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08" windowWidth="15192" windowHeight="6852" tabRatio="908"/>
  </bookViews>
  <sheets>
    <sheet name="2018 E-11" sheetId="78" r:id="rId1"/>
    <sheet name="2017 E-11" sheetId="65" r:id="rId2"/>
    <sheet name="2016 E-11" sheetId="66" r:id="rId3"/>
    <sheet name="SUMMARY" sheetId="68" r:id="rId4"/>
    <sheet name="2018 SUBSEQUENT" sheetId="79" r:id="rId5"/>
    <sheet name="2017 TEST" sheetId="69" r:id="rId6"/>
    <sheet name="2016 PRIOR" sheetId="70" r:id="rId7"/>
    <sheet name="CP FCST" sheetId="60" r:id="rId8"/>
    <sheet name="GNCP FCST" sheetId="59" r:id="rId9"/>
    <sheet name="NCP FCST" sheetId="50" r:id="rId10"/>
    <sheet name="KWH FCST" sheetId="52" r:id="rId11"/>
    <sheet name="CP Validation" sheetId="61" r:id="rId12"/>
    <sheet name="2016 CP (FNG)" sheetId="62" r:id="rId13"/>
    <sheet name="2017 CP (FNG)" sheetId="63" r:id="rId14"/>
    <sheet name="2018 CP (FNG)" sheetId="80" r:id="rId15"/>
    <sheet name="CILC-1D" sheetId="23" r:id="rId16"/>
    <sheet name="CILC-1G" sheetId="25" r:id="rId17"/>
    <sheet name="CILC-1T" sheetId="26" r:id="rId18"/>
    <sheet name="GS(T)-1" sheetId="30" r:id="rId19"/>
    <sheet name="GSCU-1" sheetId="31" r:id="rId20"/>
    <sheet name="GSD(T)-1" sheetId="32" r:id="rId21"/>
    <sheet name="GSLD(T)-1" sheetId="33" r:id="rId22"/>
    <sheet name="GSLD(T)-2" sheetId="34" r:id="rId23"/>
    <sheet name="GSLD(T)-3" sheetId="35" r:id="rId24"/>
    <sheet name="MET" sheetId="39" r:id="rId25"/>
    <sheet name="OL-1" sheetId="40" r:id="rId26"/>
    <sheet name="OS-2" sheetId="41" r:id="rId27"/>
    <sheet name="RS(T)-1" sheetId="42" r:id="rId28"/>
    <sheet name="SL-1" sheetId="46" r:id="rId29"/>
    <sheet name="SL-2" sheetId="47" r:id="rId30"/>
    <sheet name="SST-1D" sheetId="48" r:id="rId31"/>
    <sheet name="SST-1T" sheetId="49" r:id="rId32"/>
    <sheet name="BLOUNTSTOWN" sheetId="56" r:id="rId33"/>
    <sheet name="FKEC" sheetId="55" r:id="rId34"/>
    <sheet name="HOMESTEAD" sheetId="83" r:id="rId35"/>
    <sheet name="LCEC" sheetId="58" r:id="rId36"/>
    <sheet name="NEW SMYRNA" sheetId="57" r:id="rId37"/>
    <sheet name="QUINCY" sheetId="84" r:id="rId38"/>
    <sheet name="SEMINOLE" sheetId="73" r:id="rId39"/>
    <sheet name="WINTER PARK" sheetId="75" r:id="rId40"/>
    <sheet name="WAUCHULA" sheetId="74" r:id="rId41"/>
    <sheet name="Sales Forecast by COS" sheetId="24" state="hidden" r:id="rId42"/>
    <sheet name="Billing Demands" sheetId="64" state="hidden" r:id="rId43"/>
    <sheet name="Sales by Rev Class (FNG) " sheetId="53" state="hidden" r:id="rId44"/>
    <sheet name="Sales Forecast" sheetId="71" r:id="rId45"/>
    <sheet name="Billing Demand" sheetId="76" r:id="rId46"/>
    <sheet name="Summary_Delivered_Sales" sheetId="85" r:id="rId47"/>
    <sheet name="Summary_CP" sheetId="81" r:id="rId48"/>
    <sheet name="Summary_NCP " sheetId="82" r:id="rId49"/>
    <sheet name="Load Control Events" sheetId="18" r:id="rId50"/>
    <sheet name="Avg CP LF" sheetId="14" r:id="rId51"/>
    <sheet name="Avg GNCP LF" sheetId="15" r:id="rId52"/>
    <sheet name="Avg NCP LF" sheetId="16" r:id="rId53"/>
    <sheet name="HOURS" sheetId="17" r:id="rId54"/>
    <sheet name="Avg CP" sheetId="13" r:id="rId55"/>
    <sheet name="Avg GNCP" sheetId="12" r:id="rId56"/>
    <sheet name="Avg NCP ON PEAK" sheetId="77" r:id="rId57"/>
    <sheet name="Avg NCP" sheetId="11" r:id="rId58"/>
    <sheet name="Avg KWH" sheetId="10" r:id="rId59"/>
    <sheet name="E11 - 2012 09 Final" sheetId="19" r:id="rId60"/>
    <sheet name="E11 - 2013 09 Final" sheetId="20" r:id="rId61"/>
    <sheet name="E11 - 2014 09 Final" sheetId="21" r:id="rId62"/>
    <sheet name="MANUAL" sheetId="22" r:id="rId63"/>
  </sheets>
  <externalReferences>
    <externalReference r:id="rId64"/>
    <externalReference r:id="rId65"/>
    <externalReference r:id="rId66"/>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2" hidden="1">MANUAL!$F$21:$F$48</definedName>
    <definedName name="_xlnm._FilterDatabase" localSheetId="44" hidden="1">'Sales Forecast'!$B$4:$B$1690</definedName>
    <definedName name="_xlnm._FilterDatabase" localSheetId="47" hidden="1">Summary_CP!$A$5:$Q$677</definedName>
    <definedName name="_xlnm._FilterDatabase" localSheetId="48" hidden="1">'Summary_NCP '!$A$5:$N$522</definedName>
    <definedName name="aclausetq">[1]SOEF!$L$28</definedName>
    <definedName name="aclausety">[1]SOEF!$P$28</definedName>
    <definedName name="acustgrowtq">[1]SOEF!$L$14</definedName>
    <definedName name="acustgrowty">[1]SOEF!$P$14</definedName>
    <definedName name="adeprtq">[1]SOEF!$L$22</definedName>
    <definedName name="adeprty">[1]SOEF!$P$22</definedName>
    <definedName name="adivtm" localSheetId="34">[1]SOEF!#REF!</definedName>
    <definedName name="adivtm" localSheetId="37">[1]SOEF!#REF!</definedName>
    <definedName name="adivtm" localSheetId="46">[1]SOEF!#REF!</definedName>
    <definedName name="adivtm">[1]SOEF!#REF!</definedName>
    <definedName name="adivtq" localSheetId="34">[1]SOEF!#REF!</definedName>
    <definedName name="adivtq" localSheetId="37">[1]SOEF!#REF!</definedName>
    <definedName name="adivtq" localSheetId="46">[1]SOEF!#REF!</definedName>
    <definedName name="adivtq">[1]SOEF!#REF!</definedName>
    <definedName name="adivty" localSheetId="34">[1]SOEF!#REF!</definedName>
    <definedName name="adivty" localSheetId="37">[1]SOEF!#REF!</definedName>
    <definedName name="adivty">[1]SOEF!#REF!</definedName>
    <definedName name="ainctaxtq">[1]SOEF!$L$33</definedName>
    <definedName name="ainctaxty">[1]SOEF!$P$33</definedName>
    <definedName name="ainttq">[1]SOEF!$L$23</definedName>
    <definedName name="aintty">[1]SOEF!$P$23</definedName>
    <definedName name="ao_mtq">[1]SOEF!$L$21</definedName>
    <definedName name="ao_mty">[1]SOEF!$P$21</definedName>
    <definedName name="aothtaxtq">[1]SOEF!$L$29</definedName>
    <definedName name="aothtaxty">[1]SOEF!$P$29</definedName>
    <definedName name="apricemixtq">[1]SOEF!$L$17</definedName>
    <definedName name="apricemixty">[1]SOEF!$P$17</definedName>
    <definedName name="arevtm" localSheetId="34">[1]SOEF!#REF!</definedName>
    <definedName name="arevtm" localSheetId="37">[1]SOEF!#REF!</definedName>
    <definedName name="arevtm" localSheetId="46">[1]SOEF!#REF!</definedName>
    <definedName name="arevtm">[1]SOEF!#REF!</definedName>
    <definedName name="arevtq" localSheetId="34">[1]SOEF!#REF!</definedName>
    <definedName name="arevtq" localSheetId="37">[1]SOEF!#REF!</definedName>
    <definedName name="arevtq" localSheetId="46">[1]SOEF!#REF!</definedName>
    <definedName name="arevtq">[1]SOEF!#REF!</definedName>
    <definedName name="arevty" localSheetId="34">[1]SOEF!#REF!</definedName>
    <definedName name="arevty" localSheetId="37">[1]SOEF!#REF!</definedName>
    <definedName name="arevty">[1]SOEF!#REF!</definedName>
    <definedName name="atax_adjtq">[1]SOEF!$L$32</definedName>
    <definedName name="atax_adjty">[1]SOEF!$P$32</definedName>
    <definedName name="ausagetq">[1]SOEF!$L$16</definedName>
    <definedName name="ausagety">[1]SOEF!$P$16</definedName>
    <definedName name="base_revenue_eps_ty" localSheetId="34">#REF!</definedName>
    <definedName name="base_revenue_eps_ty" localSheetId="37">#REF!</definedName>
    <definedName name="base_revenue_eps_ty" localSheetId="46">#REF!</definedName>
    <definedName name="base_revenue_eps_ty">#REF!</definedName>
    <definedName name="base_revenue_tq" localSheetId="34">#REF!</definedName>
    <definedName name="base_revenue_tq" localSheetId="37">#REF!</definedName>
    <definedName name="base_revenue_tq" localSheetId="46">#REF!</definedName>
    <definedName name="base_revenue_tq">#REF!</definedName>
    <definedName name="base_revenue_ty" localSheetId="34">#REF!</definedName>
    <definedName name="base_revenue_ty" localSheetId="37">#REF!</definedName>
    <definedName name="base_revenue_ty" localSheetId="46">#REF!</definedName>
    <definedName name="base_revenue_ty">#REF!</definedName>
    <definedName name="bdivtm" localSheetId="34">[1]SOEF!#REF!</definedName>
    <definedName name="bdivtm" localSheetId="37">[1]SOEF!#REF!</definedName>
    <definedName name="bdivtm" localSheetId="46">[1]SOEF!#REF!</definedName>
    <definedName name="bdivtm">[1]SOEF!#REF!</definedName>
    <definedName name="bdivtq" localSheetId="34">[1]SOEF!#REF!</definedName>
    <definedName name="bdivtq" localSheetId="37">[1]SOEF!#REF!</definedName>
    <definedName name="bdivtq" localSheetId="46">[1]SOEF!#REF!</definedName>
    <definedName name="bdivtq">[1]SOEF!#REF!</definedName>
    <definedName name="bdivty" localSheetId="34">[1]SOEF!#REF!</definedName>
    <definedName name="bdivty" localSheetId="37">[1]SOEF!#REF!</definedName>
    <definedName name="bdivty">[1]SOEF!#REF!</definedName>
    <definedName name="brevtm" localSheetId="34">[1]SOEF!#REF!</definedName>
    <definedName name="brevtm" localSheetId="37">[1]SOEF!#REF!</definedName>
    <definedName name="brevtm">[1]SOEF!#REF!</definedName>
    <definedName name="brevtq" localSheetId="34">[1]SOEF!#REF!</definedName>
    <definedName name="brevtq" localSheetId="37">[1]SOEF!#REF!</definedName>
    <definedName name="brevtq">[1]SOEF!#REF!</definedName>
    <definedName name="brevty" localSheetId="34">[1]SOEF!#REF!</definedName>
    <definedName name="brevty" localSheetId="37">[1]SOEF!#REF!</definedName>
    <definedName name="brevty">[1]SOEF!#REF!</definedName>
    <definedName name="capBig">[2]Exhibit_9!$C$1:$C$65536,[2]Exhibit_9!$E$1:$E$65536,[2]Exhibit_9!$G$1:$G$65536,[2]Exhibit_9!$I$1:$I$65536,[2]Exhibit_9!$K$1:$K$65536,[2]Exhibit_9!$M$1:$M$65536,[2]Exhibit_9!$O$1:$O$65536</definedName>
    <definedName name="capSmall">[2]Exhibit_9!$F$1:$F$65536,[2]Exhibit_9!$D$1:$D$65536,[2]Exhibit_9!$H$1:$H$65536,[2]Exhibit_9!$J$1:$J$65536,[2]Exhibit_9!$L$1:$L$65536,[2]Exhibit_9!$N$1:$N$65536</definedName>
    <definedName name="cell_data">[2]Exhibit_4!$F$11,[2]Exhibit_4!$B$7:$D$8,[2]Exhibit_4!$B$11:$D$14,[2]Exhibit_4!$B$17:$D$21,[2]Exhibit_4!$B$24:$D$28,[2]Exhibit_4!$B$31:$D$33,[2]Exhibit_4!$B$36:$D$40,[2]Exhibit_4!$B$43:$D$46,[2]Exhibit_4!$F$7:$F$8,[2]Exhibit_4!$F$11:$F$14,[2]Exhibit_4!$F$17:$F$21,[2]Exhibit_4!$F$24:$F$28,[2]Exhibit_4!$F$31:$F$33,[2]Exhibit_4!$F$36:$F$40,[2]Exhibit_4!$F$43:$F$46,[2]Exhibit_4!$H$7:$H$8,[2]Exhibit_4!$H$11:$H$14,[2]Exhibit_4!$H$17:$H$21,[2]Exhibit_4!$H$24:$H$28,[2]Exhibit_4!$H$31:$H$33,[2]Exhibit_4!$H$36:$H$40,[2]Exhibit_4!$H$43:$H$46</definedName>
    <definedName name="cell_data1">[2]Exhibit_4!$J$7:$J$8,[2]Exhibit_4!$L$7:$L$8,[2]Exhibit_4!$N$7:$N$8,[2]Exhibit_4!$J$11:$J$14,[2]Exhibit_4!$L$11:$L$14,[2]Exhibit_4!$N$11:$N$14,[2]Exhibit_4!$J$17:$J$21,[2]Exhibit_4!$L$17:$L$21,[2]Exhibit_4!$N$17:$N$21,[2]Exhibit_4!$J$24:$J$28,[2]Exhibit_4!$L$24:$L$28,[2]Exhibit_4!$N$24:$N$28,[2]Exhibit_4!$J$31:$J$33,[2]Exhibit_4!$L$31:$L$33,[2]Exhibit_4!$N$31:$N$33,[2]Exhibit_4!$J$36:$J$40,[2]Exhibit_4!$L$36:$L$40,[2]Exhibit_4!$N$36:$N$40</definedName>
    <definedName name="cell_data2">[2]Exhibit_4!$M$52,[2]Exhibit_4!$J$43:$J$46,[2]Exhibit_4!$L$43:$L$46,[2]Exhibit_4!$N$43:$N$46</definedName>
    <definedName name="col_fin">[2]Exhibit_4!$B$1:$B$65536,[2]Exhibit_4!$C$1:$C$65536,[2]Exhibit_4!$D$1:$D$65536,[2]Exhibit_4!$E$1:$E$65536,[2]Exhibit_4!$F$1:$F$65536,[2]Exhibit_4!$H$1:$H$65536,[2]Exhibit_4!$J$1:$J$65536,[2]Exhibit_4!$L$1:$L$65536,[2]Exhibit_4!$N$1:$N$65536</definedName>
    <definedName name="col_percent">[2]Exhibit_4!$G$1:$G$65536,[2]Exhibit_4!$I$1:$I$65536,[2]Exhibit_4!$K$1:$K$65536,[2]Exhibit_4!$M$1:$M$65536,[2]Exhibit_4!$O$1:$O$65536</definedName>
    <definedName name="customer_growth_eps_tq" localSheetId="34">#REF!</definedName>
    <definedName name="customer_growth_eps_tq" localSheetId="37">#REF!</definedName>
    <definedName name="customer_growth_eps_tq" localSheetId="46">#REF!</definedName>
    <definedName name="customer_growth_eps_tq">#REF!</definedName>
    <definedName name="customer_growth_eps_ty" localSheetId="34">#REF!</definedName>
    <definedName name="customer_growth_eps_ty" localSheetId="37">#REF!</definedName>
    <definedName name="customer_growth_eps_ty" localSheetId="46">#REF!</definedName>
    <definedName name="customer_growth_eps_ty">#REF!</definedName>
    <definedName name="customer_growth_tq" localSheetId="34">#REF!</definedName>
    <definedName name="customer_growth_tq" localSheetId="37">#REF!</definedName>
    <definedName name="customer_growth_tq" localSheetId="46">#REF!</definedName>
    <definedName name="customer_growth_tq">#REF!</definedName>
    <definedName name="data_FIN">[2]Exhibit_4!$B$7:$F$49,[2]Exhibit_4!$H$7:$H$49,[2]Exhibit_4!$J$7:$J$49,[2]Exhibit_4!$L$7,[2]Exhibit_4!$L$7:$L$49,[2]Exhibit_4!$N$7:$N$49</definedName>
    <definedName name="data_PER">[2]Exhibit_4!$G$7:$G$49,[2]Exhibit_4!$I$7:$I$49,[2]Exhibit_4!$K$7:$K$49,[2]Exhibit_4!$M$7:$M$49,[2]Exhibit_4!$O$7:$O$49</definedName>
    <definedName name="DEPREC" localSheetId="34">#REF!</definedName>
    <definedName name="DEPREC" localSheetId="37">#REF!</definedName>
    <definedName name="DEPREC" localSheetId="46">#REF!</definedName>
    <definedName name="DEPREC">#REF!</definedName>
    <definedName name="deprec_eps_ty" localSheetId="34">#REF!</definedName>
    <definedName name="deprec_eps_ty" localSheetId="37">#REF!</definedName>
    <definedName name="deprec_eps_ty" localSheetId="46">#REF!</definedName>
    <definedName name="deprec_eps_ty">#REF!</definedName>
    <definedName name="deprec_tq" localSheetId="34">#REF!</definedName>
    <definedName name="deprec_tq" localSheetId="37">#REF!</definedName>
    <definedName name="deprec_tq" localSheetId="46">#REF!</definedName>
    <definedName name="deprec_tq">#REF!</definedName>
    <definedName name="deprec_ty" localSheetId="34">#REF!</definedName>
    <definedName name="deprec_ty" localSheetId="37">#REF!</definedName>
    <definedName name="deprec_ty" localSheetId="46">#REF!</definedName>
    <definedName name="deprec_ty">#REF!</definedName>
    <definedName name="detail_colB">[2]Exhibit_5!$B$1:$B$65536,[2]Exhibit_5!$D$1:$D$65536,[2]Exhibit_5!$F$1:$F$65536,[2]Exhibit_5!$H$1:$H$65536,[2]Exhibit_5!$J$1:$J$65536,[2]Exhibit_5!$L$1:$L$65536</definedName>
    <definedName name="detail_colS">[2]Exhibit_5!$C$1:$C$65536,[2]Exhibit_5!$E$1:$E$65536,[2]Exhibit_5!$G$1:$G$65536,[2]Exhibit_5!$I$1:$I$65536,[2]Exhibit_5!$K$1:$K$65536</definedName>
    <definedName name="detail_data" localSheetId="56">[2]Exhibit_5!$B$8:$L$40,[2]Exhibit_5!#REF!</definedName>
    <definedName name="detail_data" localSheetId="34">[2]Exhibit_5!$B$8:$L$40,[2]Exhibit_5!#REF!</definedName>
    <definedName name="detail_data" localSheetId="37">[2]Exhibit_5!$B$8:$L$40,[2]Exhibit_5!#REF!</definedName>
    <definedName name="detail_data" localSheetId="38">[2]Exhibit_5!$B$8:$L$40,[2]Exhibit_5!#REF!</definedName>
    <definedName name="detail_data" localSheetId="40">[2]Exhibit_5!$B$8:$L$40,[2]Exhibit_5!#REF!</definedName>
    <definedName name="detail_data" localSheetId="39">[2]Exhibit_5!$B$8:$L$40,[2]Exhibit_5!#REF!</definedName>
    <definedName name="detail_data">[2]Exhibit_5!$B$8:$L$40,[2]Exhibit_5!#REF!</definedName>
    <definedName name="DRI_Mnemonics" localSheetId="56">#REF!</definedName>
    <definedName name="DRI_Mnemonics" localSheetId="32">#REF!</definedName>
    <definedName name="DRI_Mnemonics" localSheetId="7">#REF!</definedName>
    <definedName name="DRI_Mnemonics" localSheetId="33">#REF!</definedName>
    <definedName name="DRI_Mnemonics" localSheetId="8">#REF!</definedName>
    <definedName name="DRI_Mnemonics" localSheetId="34">#REF!</definedName>
    <definedName name="DRI_Mnemonics" localSheetId="35">#REF!</definedName>
    <definedName name="DRI_Mnemonics" localSheetId="36">#REF!</definedName>
    <definedName name="DRI_Mnemonics" localSheetId="37">#REF!</definedName>
    <definedName name="DRI_Mnemonics" localSheetId="38">#REF!</definedName>
    <definedName name="DRI_Mnemonics" localSheetId="47">#REF!</definedName>
    <definedName name="DRI_Mnemonics" localSheetId="46">#REF!</definedName>
    <definedName name="DRI_Mnemonics" localSheetId="48">#REF!</definedName>
    <definedName name="DRI_Mnemonics" localSheetId="40">#REF!</definedName>
    <definedName name="DRI_Mnemonics" localSheetId="39">#REF!</definedName>
    <definedName name="DRI_Mnemonics">#REF!</definedName>
    <definedName name="esi_eps_tq" localSheetId="34">#REF!</definedName>
    <definedName name="esi_eps_tq" localSheetId="37">#REF!</definedName>
    <definedName name="esi_eps_tq" localSheetId="46">#REF!</definedName>
    <definedName name="esi_eps_tq">#REF!</definedName>
    <definedName name="esi_eps_ty" localSheetId="34">#REF!</definedName>
    <definedName name="esi_eps_ty" localSheetId="37">#REF!</definedName>
    <definedName name="esi_eps_ty" localSheetId="46">#REF!</definedName>
    <definedName name="esi_eps_ty">#REF!</definedName>
    <definedName name="esi_tq" localSheetId="34">#REF!</definedName>
    <definedName name="esi_tq" localSheetId="37">#REF!</definedName>
    <definedName name="esi_tq" localSheetId="46">#REF!</definedName>
    <definedName name="esi_tq">#REF!</definedName>
    <definedName name="esi_ty" localSheetId="34">#REF!</definedName>
    <definedName name="esi_ty" localSheetId="37">#REF!</definedName>
    <definedName name="esi_ty" localSheetId="46">#REF!</definedName>
    <definedName name="esi_ty">#REF!</definedName>
    <definedName name="esop_eps_ty" localSheetId="34">#REF!</definedName>
    <definedName name="esop_eps_ty" localSheetId="37">#REF!</definedName>
    <definedName name="esop_eps_ty" localSheetId="46">#REF!</definedName>
    <definedName name="esop_eps_ty">#REF!</definedName>
    <definedName name="esop_ty" localSheetId="34">#REF!</definedName>
    <definedName name="esop_ty" localSheetId="37">#REF!</definedName>
    <definedName name="esop_ty" localSheetId="46">#REF!</definedName>
    <definedName name="esop_ty">#REF!</definedName>
    <definedName name="grpcons_eps_lq" localSheetId="34">#REF!</definedName>
    <definedName name="grpcons_eps_lq" localSheetId="37">#REF!</definedName>
    <definedName name="grpcons_eps_lq" localSheetId="46">#REF!</definedName>
    <definedName name="grpcons_eps_lq">#REF!</definedName>
    <definedName name="grpcons_eps_ty" localSheetId="34">#REF!</definedName>
    <definedName name="grpcons_eps_ty" localSheetId="37">#REF!</definedName>
    <definedName name="grpcons_eps_ty" localSheetId="46">#REF!</definedName>
    <definedName name="grpcons_eps_ty">#REF!</definedName>
    <definedName name="grpcons_ni_lq" localSheetId="34">#REF!</definedName>
    <definedName name="grpcons_ni_lq" localSheetId="37">#REF!</definedName>
    <definedName name="grpcons_ni_lq" localSheetId="46">#REF!</definedName>
    <definedName name="grpcons_ni_lq">#REF!</definedName>
    <definedName name="grpcons_ni_ly" localSheetId="34">#REF!</definedName>
    <definedName name="grpcons_ni_ly" localSheetId="37">#REF!</definedName>
    <definedName name="grpcons_ni_ly" localSheetId="46">#REF!</definedName>
    <definedName name="grpcons_ni_ly">#REF!</definedName>
    <definedName name="grpcons_ni_ty" localSheetId="34">#REF!</definedName>
    <definedName name="grpcons_ni_ty" localSheetId="37">#REF!</definedName>
    <definedName name="grpcons_ni_ty" localSheetId="46">#REF!</definedName>
    <definedName name="grpcons_ni_ty">#REF!</definedName>
    <definedName name="interest_eps_tq" localSheetId="34">#REF!</definedName>
    <definedName name="interest_eps_tq" localSheetId="37">#REF!</definedName>
    <definedName name="interest_eps_tq" localSheetId="46">#REF!</definedName>
    <definedName name="interest_eps_tq">#REF!</definedName>
    <definedName name="interest_eps_ty" localSheetId="34">#REF!</definedName>
    <definedName name="interest_eps_ty" localSheetId="37">#REF!</definedName>
    <definedName name="interest_eps_ty" localSheetId="46">#REF!</definedName>
    <definedName name="interest_eps_ty">#REF!</definedName>
    <definedName name="interest_tq" localSheetId="34">#REF!</definedName>
    <definedName name="interest_tq" localSheetId="37">#REF!</definedName>
    <definedName name="interest_tq" localSheetId="46">#REF!</definedName>
    <definedName name="interest_tq">#REF!</definedName>
    <definedName name="interest_ty" localSheetId="34">#REF!</definedName>
    <definedName name="interest_ty" localSheetId="37">#REF!</definedName>
    <definedName name="interest_ty" localSheetId="46">#REF!</definedName>
    <definedName name="interest_ty">#REF!</definedName>
    <definedName name="Name" localSheetId="34">'[3]Weekly NEL Report'!#REF!</definedName>
    <definedName name="Name" localSheetId="37">'[3]Weekly NEL Report'!#REF!</definedName>
    <definedName name="Name" localSheetId="46">'[3]Weekly NEL Report'!#REF!</definedName>
    <definedName name="Name">'[3]Weekly NEL Report'!#REF!</definedName>
    <definedName name="Pal_Workbook_GUID" hidden="1">"8JHMH9DXSMHNF44G668W66ZD"</definedName>
    <definedName name="_xlnm.Print_Area" localSheetId="12">'2016 CP (FNG)'!$A$4:$N$28</definedName>
    <definedName name="_xlnm.Print_Area" localSheetId="13">'2017 CP (FNG)'!$A$4:$N$28</definedName>
    <definedName name="_xlnm.Print_Area" localSheetId="56">#REF!</definedName>
    <definedName name="_xlnm.Print_Area" localSheetId="32">#REF!</definedName>
    <definedName name="_xlnm.Print_Area" localSheetId="16">#REF!</definedName>
    <definedName name="_xlnm.Print_Area" localSheetId="17">#REF!</definedName>
    <definedName name="_xlnm.Print_Area" localSheetId="7">#REF!</definedName>
    <definedName name="_xlnm.Print_Area" localSheetId="59">'E11 - 2012 09 Final'!$C$4:$P$1704</definedName>
    <definedName name="_xlnm.Print_Area" localSheetId="60">'E11 - 2013 09 Final'!$B$4:$O$1658</definedName>
    <definedName name="_xlnm.Print_Area" localSheetId="61">'E11 - 2014 09 Final'!$B$4:$O$1658</definedName>
    <definedName name="_xlnm.Print_Area" localSheetId="33">#REF!</definedName>
    <definedName name="_xlnm.Print_Area" localSheetId="8">#REF!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34">#REF!</definedName>
    <definedName name="_xlnm.Print_Area" localSheetId="10">#REF!</definedName>
    <definedName name="_xlnm.Print_Area" localSheetId="35">#REF!</definedName>
    <definedName name="_xlnm.Print_Area" localSheetId="24">#REF!</definedName>
    <definedName name="_xlnm.Print_Area" localSheetId="36">#REF!</definedName>
    <definedName name="_xlnm.Print_Area" localSheetId="25">#REF!</definedName>
    <definedName name="_xlnm.Print_Area" localSheetId="26">#REF!</definedName>
    <definedName name="_xlnm.Print_Area" localSheetId="37">#REF!</definedName>
    <definedName name="_xlnm.Print_Area" localSheetId="27">#REF!</definedName>
    <definedName name="_xlnm.Print_Area" localSheetId="43">'Sales by Rev Class (FNG) '!$A$1:$P$398</definedName>
    <definedName name="_xlnm.Print_Area" localSheetId="41">'Sales Forecast by COS'!$A$2:$D$102</definedName>
    <definedName name="_xlnm.Print_Area" localSheetId="38">#REF!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47">Summary_CP!$A$524:$G$546</definedName>
    <definedName name="_xlnm.Print_Area" localSheetId="46">#REF!</definedName>
    <definedName name="_xlnm.Print_Area" localSheetId="48">'Summary_NCP '!$A$524:$G$546</definedName>
    <definedName name="_xlnm.Print_Area" localSheetId="40">#REF!</definedName>
    <definedName name="_xlnm.Print_Area" localSheetId="39">#REF!</definedName>
    <definedName name="_xlnm.Print_Area">#REF!</definedName>
    <definedName name="_xlnm.Print_Titles" localSheetId="6">'2016 PRIOR'!$B$4:$B$65513</definedName>
    <definedName name="_xlnm.Print_Titles" localSheetId="5">'2017 TEST'!$B$4:$B$65591</definedName>
    <definedName name="_xlnm.Print_Titles" localSheetId="7">'CP FCST'!$A$4:$A$65534</definedName>
    <definedName name="_xlnm.Print_Titles" localSheetId="8">'GNCP FCST'!$A$4:$A$65534</definedName>
    <definedName name="_xlnm.Print_Titles" localSheetId="10">'KWH FCST'!$A$4:$A$65536</definedName>
    <definedName name="_xlnm.Print_Titles" localSheetId="9">'NCP FCST'!$A$4:$A$65535</definedName>
    <definedName name="_xlnm.Print_Titles" localSheetId="3">SUMMARY!$A$4:$A$65515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TRUE</definedName>
    <definedName name="row_blank">[2]Exhibit_4!$A$10:$IV$10,[2]Exhibit_4!$A$16:$IV$16,[2]Exhibit_4!$A$23:$IV$23,[2]Exhibit_4!$A$30:$IV$30,[2]Exhibit_4!$A$34:$IV$34,[2]Exhibit_4!$A$42:$IV$42,[2]Exhibit_4!$A$48:$IV$48</definedName>
    <definedName name="row_data">[2]Exhibit_4!$A$7:$IV$8,[2]Exhibit_4!$A$11:$IV$14,[2]Exhibit_4!$A$17:$IV$21,[2]Exhibit_4!$A$24:$IV$28,[2]Exhibit_4!$A$31:$IV$33,[2]Exhibit_4!$A$36:$IV$40,[2]Exhibit_4!$A$43:$IV$46</definedName>
    <definedName name="row_header">[2]Exhibit_4!$M$5,[2]Exhibit_4!$K$5,[2]Exhibit_4!$I$5,[2]Exhibit_4!$G$5,[2]Exhibit_4!$O$5,[2]Exhibit_4!$A$5:$IV$5,[2]Exhibit_4!$M$5,[2]Exhibit_4!$K$5,[2]Exhibit_4!$I$5,[2]Exhibit_4!$G$5,[2]Exhibit_4!$O$5,[2]Exhibit_4!$A$6:$IV$6,[2]Exhibit_4!$A$35:$IV$35</definedName>
    <definedName name="salina_eps_tq" localSheetId="34">#REF!</definedName>
    <definedName name="salina_eps_tq" localSheetId="37">#REF!</definedName>
    <definedName name="salina_eps_tq" localSheetId="46">#REF!</definedName>
    <definedName name="salina_eps_tq">#REF!</definedName>
    <definedName name="salina_eps_ty" localSheetId="34">#REF!</definedName>
    <definedName name="salina_eps_ty" localSheetId="37">#REF!</definedName>
    <definedName name="salina_eps_ty" localSheetId="46">#REF!</definedName>
    <definedName name="salina_eps_ty">#REF!</definedName>
    <definedName name="salina_ty" localSheetId="34">#REF!</definedName>
    <definedName name="salina_ty" localSheetId="37">#REF!</definedName>
    <definedName name="salina_ty" localSheetId="46">#REF!</definedName>
    <definedName name="salina_ty">#REF!</definedName>
    <definedName name="SAPBEXhrIndnt" hidden="1">1</definedName>
    <definedName name="SAPBEXrevision" hidden="1">1</definedName>
    <definedName name="SAPBEXsysID" hidden="1">"GP1"</definedName>
    <definedName name="SAPBEXwbID" hidden="1">"3VOBL88ZUH0TJHQP6RXNFLORZ"</definedName>
    <definedName name="share_dilution_tq" localSheetId="34">#REF!</definedName>
    <definedName name="share_dilution_tq" localSheetId="37">#REF!</definedName>
    <definedName name="share_dilution_tq" localSheetId="46">#REF!</definedName>
    <definedName name="share_dilution_tq">#REF!</definedName>
    <definedName name="share_dilution_ty" localSheetId="34">#REF!</definedName>
    <definedName name="share_dilution_ty" localSheetId="37">#REF!</definedName>
    <definedName name="share_dilution_ty" localSheetId="46">#REF!</definedName>
    <definedName name="share_dilution_ty">#REF!</definedName>
    <definedName name="subtotal_non_utility_eps_tq" localSheetId="34">#REF!</definedName>
    <definedName name="subtotal_non_utility_eps_tq" localSheetId="37">#REF!</definedName>
    <definedName name="subtotal_non_utility_eps_tq" localSheetId="46">#REF!</definedName>
    <definedName name="subtotal_non_utility_eps_tq">#REF!</definedName>
    <definedName name="subtotal_non_utility_eps_ty" localSheetId="34">#REF!</definedName>
    <definedName name="subtotal_non_utility_eps_ty" localSheetId="37">#REF!</definedName>
    <definedName name="subtotal_non_utility_eps_ty" localSheetId="46">#REF!</definedName>
    <definedName name="subtotal_non_utility_eps_ty">#REF!</definedName>
    <definedName name="subtotal_non_utility_ty" localSheetId="34">#REF!</definedName>
    <definedName name="subtotal_non_utility_ty" localSheetId="37">#REF!</definedName>
    <definedName name="subtotal_non_utility_ty" localSheetId="46">#REF!</definedName>
    <definedName name="subtotal_non_utility_ty">#REF!</definedName>
    <definedName name="unlock_NonOp">[2]Exhibit_8!$B$8:$B$23,[2]Exhibit_8!$C$25:$C$29,[2]Exhibit_8!$D$8:$D$29,[2]Exhibit_8!$A$2:$IV$4</definedName>
  </definedNames>
  <calcPr calcId="145621"/>
</workbook>
</file>

<file path=xl/calcChain.xml><?xml version="1.0" encoding="utf-8"?>
<calcChain xmlns="http://schemas.openxmlformats.org/spreadsheetml/2006/main">
  <c r="D60" i="57" l="1"/>
  <c r="D59" i="57" s="1"/>
  <c r="E60" i="57"/>
  <c r="E59" i="57" s="1"/>
  <c r="F60" i="57"/>
  <c r="F59" i="57" s="1"/>
  <c r="G60" i="57"/>
  <c r="G59" i="57" s="1"/>
  <c r="H60" i="57"/>
  <c r="H59" i="57" s="1"/>
  <c r="I60" i="57"/>
  <c r="I59" i="57" s="1"/>
  <c r="J60" i="57"/>
  <c r="J59" i="57" s="1"/>
  <c r="K60" i="57"/>
  <c r="K59" i="57" s="1"/>
  <c r="L60" i="57"/>
  <c r="L59" i="57" s="1"/>
  <c r="M60" i="57"/>
  <c r="M59" i="57" s="1"/>
  <c r="N60" i="57"/>
  <c r="N59" i="57" s="1"/>
  <c r="D44" i="74"/>
  <c r="E44" i="74"/>
  <c r="E45" i="74" s="1"/>
  <c r="F44" i="74"/>
  <c r="F45" i="74" s="1"/>
  <c r="G44" i="74"/>
  <c r="G45" i="74" s="1"/>
  <c r="H44" i="74"/>
  <c r="I44" i="74"/>
  <c r="I45" i="74" s="1"/>
  <c r="J44" i="74"/>
  <c r="J45" i="74" s="1"/>
  <c r="K44" i="74"/>
  <c r="K45" i="74" s="1"/>
  <c r="L44" i="74"/>
  <c r="M44" i="74"/>
  <c r="M45" i="74" s="1"/>
  <c r="N44" i="74"/>
  <c r="N45" i="74" s="1"/>
  <c r="D45" i="74"/>
  <c r="H45" i="74"/>
  <c r="L45" i="74"/>
  <c r="D34" i="74"/>
  <c r="D35" i="74" s="1"/>
  <c r="E34" i="74"/>
  <c r="E35" i="74" s="1"/>
  <c r="F34" i="74"/>
  <c r="F35" i="74" s="1"/>
  <c r="G34" i="74"/>
  <c r="G35" i="74" s="1"/>
  <c r="H34" i="74"/>
  <c r="I34" i="74"/>
  <c r="I35" i="74" s="1"/>
  <c r="J34" i="74"/>
  <c r="J35" i="74" s="1"/>
  <c r="K34" i="74"/>
  <c r="K35" i="74" s="1"/>
  <c r="L34" i="74"/>
  <c r="M34" i="74"/>
  <c r="M35" i="74" s="1"/>
  <c r="N34" i="74"/>
  <c r="N35" i="74" s="1"/>
  <c r="H35" i="74"/>
  <c r="L35" i="74"/>
  <c r="C44" i="74"/>
  <c r="D34" i="75"/>
  <c r="D35" i="75" s="1"/>
  <c r="E34" i="75"/>
  <c r="E35" i="75" s="1"/>
  <c r="F34" i="75"/>
  <c r="F35" i="75" s="1"/>
  <c r="G34" i="75"/>
  <c r="G35" i="75" s="1"/>
  <c r="H34" i="75"/>
  <c r="I34" i="75"/>
  <c r="I35" i="75" s="1"/>
  <c r="J34" i="75"/>
  <c r="K34" i="75"/>
  <c r="K35" i="75" s="1"/>
  <c r="L34" i="75"/>
  <c r="M34" i="75"/>
  <c r="M35" i="75" s="1"/>
  <c r="N34" i="75"/>
  <c r="N35" i="75" s="1"/>
  <c r="H35" i="75"/>
  <c r="J35" i="75"/>
  <c r="L35" i="75"/>
  <c r="D44" i="75"/>
  <c r="D45" i="75" s="1"/>
  <c r="E44" i="75"/>
  <c r="E45" i="75" s="1"/>
  <c r="F44" i="75"/>
  <c r="F45" i="75" s="1"/>
  <c r="G44" i="75"/>
  <c r="G45" i="75" s="1"/>
  <c r="H44" i="75"/>
  <c r="I44" i="75"/>
  <c r="I45" i="75" s="1"/>
  <c r="J44" i="75"/>
  <c r="J45" i="75" s="1"/>
  <c r="K44" i="75"/>
  <c r="K45" i="75" s="1"/>
  <c r="L44" i="75"/>
  <c r="L45" i="75" s="1"/>
  <c r="M44" i="75"/>
  <c r="M45" i="75" s="1"/>
  <c r="N44" i="75"/>
  <c r="H45" i="75"/>
  <c r="N45" i="75"/>
  <c r="C44" i="75"/>
  <c r="D35" i="73"/>
  <c r="E35" i="73"/>
  <c r="E36" i="73" s="1"/>
  <c r="F35" i="73"/>
  <c r="F36" i="73" s="1"/>
  <c r="G35" i="73"/>
  <c r="G36" i="73" s="1"/>
  <c r="H35" i="73"/>
  <c r="H36" i="73" s="1"/>
  <c r="I35" i="73"/>
  <c r="I36" i="73" s="1"/>
  <c r="J35" i="73"/>
  <c r="J36" i="73" s="1"/>
  <c r="K35" i="73"/>
  <c r="K36" i="73" s="1"/>
  <c r="L35" i="73"/>
  <c r="M35" i="73"/>
  <c r="M36" i="73" s="1"/>
  <c r="N35" i="73"/>
  <c r="N36" i="73" s="1"/>
  <c r="D36" i="73"/>
  <c r="L36" i="73"/>
  <c r="D45" i="73"/>
  <c r="E45" i="73"/>
  <c r="E46" i="73" s="1"/>
  <c r="F45" i="73"/>
  <c r="F46" i="73" s="1"/>
  <c r="G45" i="73"/>
  <c r="G46" i="73" s="1"/>
  <c r="H45" i="73"/>
  <c r="I45" i="73"/>
  <c r="I46" i="73" s="1"/>
  <c r="J45" i="73"/>
  <c r="J46" i="73" s="1"/>
  <c r="K45" i="73"/>
  <c r="K46" i="73" s="1"/>
  <c r="L45" i="73"/>
  <c r="M45" i="73"/>
  <c r="M46" i="73" s="1"/>
  <c r="N45" i="73"/>
  <c r="N46" i="73" s="1"/>
  <c r="D46" i="73"/>
  <c r="H46" i="73"/>
  <c r="L46" i="73"/>
  <c r="C45" i="73"/>
  <c r="D34" i="84"/>
  <c r="E34" i="84"/>
  <c r="E35" i="84" s="1"/>
  <c r="F34" i="84"/>
  <c r="F35" i="84" s="1"/>
  <c r="G34" i="84"/>
  <c r="G35" i="84" s="1"/>
  <c r="H34" i="84"/>
  <c r="I34" i="84"/>
  <c r="I35" i="84" s="1"/>
  <c r="J34" i="84"/>
  <c r="K34" i="84"/>
  <c r="K35" i="84" s="1"/>
  <c r="L34" i="84"/>
  <c r="M34" i="84"/>
  <c r="M35" i="84" s="1"/>
  <c r="N34" i="84"/>
  <c r="N35" i="84" s="1"/>
  <c r="D35" i="84"/>
  <c r="H35" i="84"/>
  <c r="J35" i="84"/>
  <c r="L35" i="84"/>
  <c r="D44" i="84"/>
  <c r="D45" i="84" s="1"/>
  <c r="E44" i="84"/>
  <c r="E45" i="84" s="1"/>
  <c r="F44" i="84"/>
  <c r="F45" i="84" s="1"/>
  <c r="G44" i="84"/>
  <c r="G45" i="84" s="1"/>
  <c r="H44" i="84"/>
  <c r="H45" i="84" s="1"/>
  <c r="I44" i="84"/>
  <c r="J44" i="84"/>
  <c r="J45" i="84" s="1"/>
  <c r="K44" i="84"/>
  <c r="K45" i="84" s="1"/>
  <c r="L44" i="84"/>
  <c r="M44" i="84"/>
  <c r="M45" i="84" s="1"/>
  <c r="N44" i="84"/>
  <c r="N45" i="84" s="1"/>
  <c r="I45" i="84"/>
  <c r="L45" i="84"/>
  <c r="C44" i="84"/>
  <c r="D34" i="57"/>
  <c r="E34" i="57"/>
  <c r="F34" i="57"/>
  <c r="F35" i="57" s="1"/>
  <c r="G34" i="57"/>
  <c r="G35" i="57" s="1"/>
  <c r="H34" i="57"/>
  <c r="H35" i="57" s="1"/>
  <c r="I34" i="57"/>
  <c r="I35" i="57" s="1"/>
  <c r="J34" i="57"/>
  <c r="J35" i="57" s="1"/>
  <c r="K34" i="57"/>
  <c r="K35" i="57" s="1"/>
  <c r="L34" i="57"/>
  <c r="L35" i="57" s="1"/>
  <c r="M34" i="57"/>
  <c r="N34" i="57"/>
  <c r="N35" i="57" s="1"/>
  <c r="D35" i="57"/>
  <c r="E35" i="57"/>
  <c r="M35" i="57"/>
  <c r="D44" i="57"/>
  <c r="E44" i="57"/>
  <c r="E45" i="57" s="1"/>
  <c r="F44" i="57"/>
  <c r="G44" i="57"/>
  <c r="G45" i="57" s="1"/>
  <c r="H44" i="57"/>
  <c r="H45" i="57" s="1"/>
  <c r="I44" i="57"/>
  <c r="I45" i="57" s="1"/>
  <c r="J44" i="57"/>
  <c r="K44" i="57"/>
  <c r="K45" i="57" s="1"/>
  <c r="L44" i="57"/>
  <c r="L45" i="57" s="1"/>
  <c r="M44" i="57"/>
  <c r="M45" i="57" s="1"/>
  <c r="N44" i="57"/>
  <c r="N45" i="57" s="1"/>
  <c r="D45" i="57"/>
  <c r="F45" i="57"/>
  <c r="J45" i="57"/>
  <c r="D34" i="83"/>
  <c r="D35" i="83" s="1"/>
  <c r="E34" i="83"/>
  <c r="E35" i="83" s="1"/>
  <c r="F34" i="83"/>
  <c r="F35" i="83" s="1"/>
  <c r="G34" i="83"/>
  <c r="G35" i="83" s="1"/>
  <c r="H34" i="83"/>
  <c r="I34" i="83"/>
  <c r="I35" i="83" s="1"/>
  <c r="J34" i="83"/>
  <c r="K34" i="83"/>
  <c r="K35" i="83" s="1"/>
  <c r="L34" i="83"/>
  <c r="M34" i="83"/>
  <c r="M35" i="83" s="1"/>
  <c r="N34" i="83"/>
  <c r="N35" i="83" s="1"/>
  <c r="H35" i="83"/>
  <c r="J35" i="83"/>
  <c r="L35" i="83"/>
  <c r="D44" i="83"/>
  <c r="D45" i="83" s="1"/>
  <c r="E44" i="83"/>
  <c r="F44" i="83"/>
  <c r="G44" i="83"/>
  <c r="G45" i="83" s="1"/>
  <c r="H44" i="83"/>
  <c r="H45" i="83" s="1"/>
  <c r="I44" i="83"/>
  <c r="J44" i="83"/>
  <c r="K44" i="83"/>
  <c r="K45" i="83" s="1"/>
  <c r="L44" i="83"/>
  <c r="M44" i="83"/>
  <c r="M45" i="83" s="1"/>
  <c r="N44" i="83"/>
  <c r="D34" i="56"/>
  <c r="E34" i="56"/>
  <c r="E35" i="56" s="1"/>
  <c r="F34" i="56"/>
  <c r="G34" i="56"/>
  <c r="G35" i="56" s="1"/>
  <c r="H34" i="56"/>
  <c r="H35" i="56" s="1"/>
  <c r="I34" i="56"/>
  <c r="I35" i="56" s="1"/>
  <c r="J34" i="56"/>
  <c r="K34" i="56"/>
  <c r="K35" i="56" s="1"/>
  <c r="L34" i="56"/>
  <c r="M34" i="56"/>
  <c r="M35" i="56" s="1"/>
  <c r="N34" i="56"/>
  <c r="D35" i="56"/>
  <c r="F35" i="56"/>
  <c r="J35" i="56"/>
  <c r="L35" i="56"/>
  <c r="N35" i="56"/>
  <c r="D44" i="56"/>
  <c r="E44" i="56"/>
  <c r="E45" i="56" s="1"/>
  <c r="F44" i="56"/>
  <c r="F45" i="56" s="1"/>
  <c r="G44" i="56"/>
  <c r="G45" i="56" s="1"/>
  <c r="H44" i="56"/>
  <c r="H45" i="56" s="1"/>
  <c r="I44" i="56"/>
  <c r="I45" i="56" s="1"/>
  <c r="J44" i="56"/>
  <c r="K44" i="56"/>
  <c r="K45" i="56" s="1"/>
  <c r="L44" i="56"/>
  <c r="M44" i="56"/>
  <c r="M45" i="56" s="1"/>
  <c r="N44" i="56"/>
  <c r="D45" i="56"/>
  <c r="J45" i="56"/>
  <c r="L45" i="56"/>
  <c r="N45" i="56"/>
  <c r="D34" i="55"/>
  <c r="E34" i="55"/>
  <c r="F34" i="55"/>
  <c r="F35" i="55" s="1"/>
  <c r="G34" i="55"/>
  <c r="G35" i="55" s="1"/>
  <c r="H34" i="55"/>
  <c r="H35" i="55" s="1"/>
  <c r="I34" i="55"/>
  <c r="J34" i="55"/>
  <c r="J35" i="55" s="1"/>
  <c r="K34" i="55"/>
  <c r="K35" i="55" s="1"/>
  <c r="L34" i="55"/>
  <c r="M34" i="55"/>
  <c r="N34" i="55"/>
  <c r="N35" i="55" s="1"/>
  <c r="D35" i="55"/>
  <c r="E35" i="55"/>
  <c r="I35" i="55"/>
  <c r="L35" i="55"/>
  <c r="M35" i="55"/>
  <c r="C34" i="74"/>
  <c r="C34" i="75"/>
  <c r="C35" i="73"/>
  <c r="C36" i="73" s="1"/>
  <c r="C35" i="84"/>
  <c r="C34" i="84"/>
  <c r="C44" i="56"/>
  <c r="C45" i="56" s="1"/>
  <c r="D44" i="55"/>
  <c r="E44" i="55"/>
  <c r="F44" i="55"/>
  <c r="G44" i="55"/>
  <c r="G45" i="55" s="1"/>
  <c r="H44" i="55"/>
  <c r="I44" i="55"/>
  <c r="J44" i="55"/>
  <c r="K44" i="55"/>
  <c r="K45" i="55" s="1"/>
  <c r="L44" i="55"/>
  <c r="M44" i="55"/>
  <c r="M45" i="55" s="1"/>
  <c r="N44" i="55"/>
  <c r="C44" i="55"/>
  <c r="C45" i="55" s="1"/>
  <c r="E45" i="83"/>
  <c r="I45" i="83"/>
  <c r="C44" i="83"/>
  <c r="D45" i="58"/>
  <c r="D46" i="58" s="1"/>
  <c r="E45" i="58"/>
  <c r="E46" i="58" s="1"/>
  <c r="F45" i="58"/>
  <c r="G45" i="58"/>
  <c r="G46" i="58" s="1"/>
  <c r="H45" i="58"/>
  <c r="I45" i="58"/>
  <c r="I46" i="58" s="1"/>
  <c r="J45" i="58"/>
  <c r="K45" i="58"/>
  <c r="K46" i="58" s="1"/>
  <c r="L45" i="58"/>
  <c r="L46" i="58" s="1"/>
  <c r="M45" i="58"/>
  <c r="M46" i="58" s="1"/>
  <c r="N45" i="58"/>
  <c r="C45" i="58"/>
  <c r="C44" i="57"/>
  <c r="C45" i="57" s="1"/>
  <c r="C34" i="57"/>
  <c r="D35" i="58"/>
  <c r="E35" i="58"/>
  <c r="E36" i="58" s="1"/>
  <c r="F35" i="58"/>
  <c r="G35" i="58"/>
  <c r="G36" i="58" s="1"/>
  <c r="H35" i="58"/>
  <c r="I35" i="58"/>
  <c r="I36" i="58" s="1"/>
  <c r="J35" i="58"/>
  <c r="J36" i="58" s="1"/>
  <c r="K35" i="58"/>
  <c r="K36" i="58" s="1"/>
  <c r="L35" i="58"/>
  <c r="M35" i="58"/>
  <c r="M36" i="58" s="1"/>
  <c r="N35" i="58"/>
  <c r="C35" i="58"/>
  <c r="C36" i="58" s="1"/>
  <c r="C34" i="83"/>
  <c r="C34" i="56"/>
  <c r="C35" i="56" s="1"/>
  <c r="C34" i="55"/>
  <c r="C35" i="55" s="1"/>
  <c r="C45" i="74"/>
  <c r="C35" i="74"/>
  <c r="M133" i="52"/>
  <c r="L133" i="52"/>
  <c r="K133" i="52"/>
  <c r="J133" i="52"/>
  <c r="I133" i="52"/>
  <c r="H133" i="52"/>
  <c r="G133" i="52"/>
  <c r="F133" i="52"/>
  <c r="E133" i="52"/>
  <c r="D133" i="52"/>
  <c r="C133" i="52"/>
  <c r="B133" i="52"/>
  <c r="M132" i="52"/>
  <c r="L132" i="52"/>
  <c r="K132" i="52"/>
  <c r="J132" i="52"/>
  <c r="I132" i="52"/>
  <c r="H132" i="52"/>
  <c r="G132" i="52"/>
  <c r="F132" i="52"/>
  <c r="E132" i="52"/>
  <c r="D132" i="52"/>
  <c r="C132" i="52"/>
  <c r="B132" i="52"/>
  <c r="M131" i="52"/>
  <c r="L131" i="52"/>
  <c r="K131" i="52"/>
  <c r="J131" i="52"/>
  <c r="I131" i="52"/>
  <c r="H131" i="52"/>
  <c r="G131" i="52"/>
  <c r="F131" i="52"/>
  <c r="E131" i="52"/>
  <c r="D131" i="52"/>
  <c r="C131" i="52"/>
  <c r="B131" i="52"/>
  <c r="M130" i="52"/>
  <c r="L130" i="52"/>
  <c r="K130" i="52"/>
  <c r="J130" i="52"/>
  <c r="I130" i="52"/>
  <c r="H130" i="52"/>
  <c r="G130" i="52"/>
  <c r="F130" i="52"/>
  <c r="E130" i="52"/>
  <c r="D130" i="52"/>
  <c r="C130" i="52"/>
  <c r="B130" i="52"/>
  <c r="M129" i="52"/>
  <c r="L129" i="52"/>
  <c r="K129" i="52"/>
  <c r="J129" i="52"/>
  <c r="I129" i="52"/>
  <c r="H129" i="52"/>
  <c r="G129" i="52"/>
  <c r="F129" i="52"/>
  <c r="E129" i="52"/>
  <c r="D129" i="52"/>
  <c r="C129" i="52"/>
  <c r="B129" i="52"/>
  <c r="M128" i="52"/>
  <c r="L128" i="52"/>
  <c r="K128" i="52"/>
  <c r="J128" i="52"/>
  <c r="I128" i="52"/>
  <c r="H128" i="52"/>
  <c r="G128" i="52"/>
  <c r="F128" i="52"/>
  <c r="E128" i="52"/>
  <c r="D128" i="52"/>
  <c r="C128" i="52"/>
  <c r="B128" i="52"/>
  <c r="M127" i="52"/>
  <c r="L127" i="52"/>
  <c r="K127" i="52"/>
  <c r="J127" i="52"/>
  <c r="I127" i="52"/>
  <c r="H127" i="52"/>
  <c r="G127" i="52"/>
  <c r="F127" i="52"/>
  <c r="E127" i="52"/>
  <c r="D127" i="52"/>
  <c r="C127" i="52"/>
  <c r="B127" i="52"/>
  <c r="M126" i="52"/>
  <c r="L126" i="52"/>
  <c r="K126" i="52"/>
  <c r="J126" i="52"/>
  <c r="I126" i="52"/>
  <c r="H126" i="52"/>
  <c r="G126" i="52"/>
  <c r="F126" i="52"/>
  <c r="E126" i="52"/>
  <c r="D126" i="52"/>
  <c r="C126" i="52"/>
  <c r="B126" i="52"/>
  <c r="M125" i="52"/>
  <c r="L125" i="52"/>
  <c r="K125" i="52"/>
  <c r="J125" i="52"/>
  <c r="I125" i="52"/>
  <c r="H125" i="52"/>
  <c r="G125" i="52"/>
  <c r="F125" i="52"/>
  <c r="E125" i="52"/>
  <c r="D125" i="52"/>
  <c r="C125" i="52"/>
  <c r="B125" i="52"/>
  <c r="M87" i="52"/>
  <c r="L87" i="52"/>
  <c r="K87" i="52"/>
  <c r="J87" i="52"/>
  <c r="I87" i="52"/>
  <c r="H87" i="52"/>
  <c r="G87" i="52"/>
  <c r="F87" i="52"/>
  <c r="E87" i="52"/>
  <c r="D87" i="52"/>
  <c r="C87" i="52"/>
  <c r="B87" i="52"/>
  <c r="M86" i="52"/>
  <c r="L86" i="52"/>
  <c r="K86" i="52"/>
  <c r="J86" i="52"/>
  <c r="I86" i="52"/>
  <c r="H86" i="52"/>
  <c r="G86" i="52"/>
  <c r="F86" i="52"/>
  <c r="E86" i="52"/>
  <c r="D86" i="52"/>
  <c r="C86" i="52"/>
  <c r="B86" i="52"/>
  <c r="M85" i="52"/>
  <c r="L85" i="52"/>
  <c r="K85" i="52"/>
  <c r="J85" i="52"/>
  <c r="I85" i="52"/>
  <c r="H85" i="52"/>
  <c r="G85" i="52"/>
  <c r="F85" i="52"/>
  <c r="E85" i="52"/>
  <c r="D85" i="52"/>
  <c r="C85" i="52"/>
  <c r="B85" i="52"/>
  <c r="M84" i="52"/>
  <c r="L84" i="52"/>
  <c r="K84" i="52"/>
  <c r="J84" i="52"/>
  <c r="I84" i="52"/>
  <c r="H84" i="52"/>
  <c r="G84" i="52"/>
  <c r="F84" i="52"/>
  <c r="E84" i="52"/>
  <c r="D84" i="52"/>
  <c r="C84" i="52"/>
  <c r="B84" i="52"/>
  <c r="M83" i="52"/>
  <c r="L83" i="52"/>
  <c r="K83" i="52"/>
  <c r="J83" i="52"/>
  <c r="I83" i="52"/>
  <c r="H83" i="52"/>
  <c r="G83" i="52"/>
  <c r="F83" i="52"/>
  <c r="E83" i="52"/>
  <c r="D83" i="52"/>
  <c r="C83" i="52"/>
  <c r="B83" i="52"/>
  <c r="M82" i="52"/>
  <c r="L82" i="52"/>
  <c r="K82" i="52"/>
  <c r="J82" i="52"/>
  <c r="I82" i="52"/>
  <c r="H82" i="52"/>
  <c r="G82" i="52"/>
  <c r="F82" i="52"/>
  <c r="E82" i="52"/>
  <c r="D82" i="52"/>
  <c r="C82" i="52"/>
  <c r="B82" i="52"/>
  <c r="M81" i="52"/>
  <c r="L81" i="52"/>
  <c r="K81" i="52"/>
  <c r="J81" i="52"/>
  <c r="I81" i="52"/>
  <c r="H81" i="52"/>
  <c r="G81" i="52"/>
  <c r="F81" i="52"/>
  <c r="E81" i="52"/>
  <c r="D81" i="52"/>
  <c r="C81" i="52"/>
  <c r="B81" i="52"/>
  <c r="M79" i="52"/>
  <c r="L79" i="52"/>
  <c r="K79" i="52"/>
  <c r="J79" i="52"/>
  <c r="I79" i="52"/>
  <c r="H79" i="52"/>
  <c r="G79" i="52"/>
  <c r="F79" i="52"/>
  <c r="E79" i="52"/>
  <c r="D79" i="52"/>
  <c r="C79" i="52"/>
  <c r="B79" i="52"/>
  <c r="M41" i="52"/>
  <c r="L41" i="52"/>
  <c r="K41" i="52"/>
  <c r="J41" i="52"/>
  <c r="I41" i="52"/>
  <c r="H41" i="52"/>
  <c r="G41" i="52"/>
  <c r="F41" i="52"/>
  <c r="E41" i="52"/>
  <c r="D41" i="52"/>
  <c r="C41" i="52"/>
  <c r="B41" i="52"/>
  <c r="M40" i="52"/>
  <c r="L40" i="52"/>
  <c r="K40" i="52"/>
  <c r="J40" i="52"/>
  <c r="I40" i="52"/>
  <c r="H40" i="52"/>
  <c r="G40" i="52"/>
  <c r="F40" i="52"/>
  <c r="E40" i="52"/>
  <c r="D40" i="52"/>
  <c r="C40" i="52"/>
  <c r="B40" i="52"/>
  <c r="M39" i="52"/>
  <c r="L39" i="52"/>
  <c r="K39" i="52"/>
  <c r="J39" i="52"/>
  <c r="I39" i="52"/>
  <c r="H39" i="52"/>
  <c r="G39" i="52"/>
  <c r="F39" i="52"/>
  <c r="E39" i="52"/>
  <c r="D39" i="52"/>
  <c r="C39" i="52"/>
  <c r="B39" i="52"/>
  <c r="M38" i="52"/>
  <c r="L38" i="52"/>
  <c r="K38" i="52"/>
  <c r="J38" i="52"/>
  <c r="I38" i="52"/>
  <c r="H38" i="52"/>
  <c r="G38" i="52"/>
  <c r="F38" i="52"/>
  <c r="E38" i="52"/>
  <c r="D38" i="52"/>
  <c r="C38" i="52"/>
  <c r="B38" i="52"/>
  <c r="M37" i="52"/>
  <c r="L37" i="52"/>
  <c r="K37" i="52"/>
  <c r="J37" i="52"/>
  <c r="I37" i="52"/>
  <c r="H37" i="52"/>
  <c r="G37" i="52"/>
  <c r="F37" i="52"/>
  <c r="E37" i="52"/>
  <c r="D37" i="52"/>
  <c r="C37" i="52"/>
  <c r="B37" i="52"/>
  <c r="M36" i="52"/>
  <c r="L36" i="52"/>
  <c r="K36" i="52"/>
  <c r="J36" i="52"/>
  <c r="I36" i="52"/>
  <c r="H36" i="52"/>
  <c r="G36" i="52"/>
  <c r="F36" i="52"/>
  <c r="E36" i="52"/>
  <c r="D36" i="52"/>
  <c r="C36" i="52"/>
  <c r="B36" i="52"/>
  <c r="M35" i="52"/>
  <c r="L35" i="52"/>
  <c r="K35" i="52"/>
  <c r="J35" i="52"/>
  <c r="I35" i="52"/>
  <c r="H35" i="52"/>
  <c r="G35" i="52"/>
  <c r="F35" i="52"/>
  <c r="E35" i="52"/>
  <c r="D35" i="52"/>
  <c r="C35" i="52"/>
  <c r="B35" i="52"/>
  <c r="C33" i="52"/>
  <c r="D33" i="52"/>
  <c r="E33" i="52"/>
  <c r="F33" i="52"/>
  <c r="G33" i="52"/>
  <c r="H33" i="52"/>
  <c r="I33" i="52"/>
  <c r="J33" i="52"/>
  <c r="K33" i="52"/>
  <c r="L33" i="52"/>
  <c r="M33" i="52"/>
  <c r="B33" i="52"/>
  <c r="C34" i="52"/>
  <c r="D34" i="52"/>
  <c r="E34" i="52"/>
  <c r="F34" i="52"/>
  <c r="G34" i="52"/>
  <c r="H34" i="52"/>
  <c r="I34" i="52"/>
  <c r="J34" i="52"/>
  <c r="K34" i="52"/>
  <c r="L34" i="52"/>
  <c r="M34" i="52"/>
  <c r="B34" i="52"/>
  <c r="C80" i="52"/>
  <c r="D80" i="52"/>
  <c r="E80" i="52"/>
  <c r="F80" i="52"/>
  <c r="G80" i="52"/>
  <c r="H80" i="52"/>
  <c r="I80" i="52"/>
  <c r="J80" i="52"/>
  <c r="K80" i="52"/>
  <c r="L80" i="52"/>
  <c r="M80" i="52"/>
  <c r="B80" i="52"/>
  <c r="C45" i="75"/>
  <c r="C35" i="75"/>
  <c r="C46" i="73"/>
  <c r="C45" i="84"/>
  <c r="C35" i="57"/>
  <c r="N46" i="58"/>
  <c r="J46" i="58"/>
  <c r="H46" i="58"/>
  <c r="F46" i="58"/>
  <c r="C46" i="58"/>
  <c r="N36" i="58"/>
  <c r="L36" i="58"/>
  <c r="H36" i="58"/>
  <c r="F36" i="58"/>
  <c r="D36" i="58"/>
  <c r="N45" i="83"/>
  <c r="L45" i="83"/>
  <c r="J45" i="83"/>
  <c r="F45" i="83"/>
  <c r="C45" i="83"/>
  <c r="C35" i="83"/>
  <c r="N45" i="55"/>
  <c r="L45" i="55"/>
  <c r="J45" i="55"/>
  <c r="I45" i="55"/>
  <c r="H45" i="55"/>
  <c r="F45" i="55"/>
  <c r="E45" i="55"/>
  <c r="D45" i="55"/>
  <c r="C47" i="32"/>
  <c r="C46" i="32"/>
  <c r="D46" i="32"/>
  <c r="E46" i="32"/>
  <c r="F46" i="32"/>
  <c r="G46" i="32"/>
  <c r="H46" i="32"/>
  <c r="I46" i="32"/>
  <c r="J46" i="32"/>
  <c r="K46" i="32"/>
  <c r="L46" i="32"/>
  <c r="M46" i="32"/>
  <c r="N46" i="32"/>
  <c r="D47" i="32"/>
  <c r="E47" i="32"/>
  <c r="F47" i="32"/>
  <c r="G47" i="32"/>
  <c r="H47" i="32"/>
  <c r="I47" i="32"/>
  <c r="J47" i="32"/>
  <c r="K47" i="32"/>
  <c r="L47" i="32"/>
  <c r="M47" i="32"/>
  <c r="N47" i="32"/>
  <c r="N80" i="52" l="1"/>
  <c r="C46" i="56"/>
  <c r="N46" i="56"/>
  <c r="F46" i="56"/>
  <c r="J46" i="56"/>
  <c r="J46" i="74" s="1"/>
  <c r="N36" i="56"/>
  <c r="F36" i="56"/>
  <c r="J36" i="56"/>
  <c r="K36" i="56"/>
  <c r="G36" i="56"/>
  <c r="M36" i="56"/>
  <c r="M36" i="74" s="1"/>
  <c r="M37" i="74" s="1"/>
  <c r="M38" i="74" s="1"/>
  <c r="M39" i="74" s="1"/>
  <c r="M58" i="74" s="1"/>
  <c r="I36" i="56"/>
  <c r="E36" i="56"/>
  <c r="L36" i="56"/>
  <c r="H36" i="56"/>
  <c r="D36" i="56"/>
  <c r="K46" i="56"/>
  <c r="G46" i="56"/>
  <c r="M46" i="56"/>
  <c r="I46" i="56"/>
  <c r="E46" i="56"/>
  <c r="L46" i="56"/>
  <c r="H46" i="56"/>
  <c r="D46" i="56"/>
  <c r="C36" i="56"/>
  <c r="C46" i="75" l="1"/>
  <c r="C47" i="75" s="1"/>
  <c r="C48" i="75" s="1"/>
  <c r="C49" i="75" s="1"/>
  <c r="C66" i="75" s="1"/>
  <c r="C46" i="74"/>
  <c r="J47" i="74"/>
  <c r="J48" i="74" s="1"/>
  <c r="J49" i="74" s="1"/>
  <c r="J63" i="74" s="1"/>
  <c r="C36" i="75"/>
  <c r="C36" i="74"/>
  <c r="C37" i="74" s="1"/>
  <c r="C38" i="74" s="1"/>
  <c r="C39" i="74" s="1"/>
  <c r="C58" i="74" s="1"/>
  <c r="C37" i="56"/>
  <c r="C38" i="56" s="1"/>
  <c r="C39" i="56" s="1"/>
  <c r="C58" i="56" s="1"/>
  <c r="E46" i="75"/>
  <c r="E47" i="75" s="1"/>
  <c r="E48" i="75" s="1"/>
  <c r="E49" i="75" s="1"/>
  <c r="E66" i="75" s="1"/>
  <c r="E46" i="74"/>
  <c r="H46" i="75"/>
  <c r="H47" i="75" s="1"/>
  <c r="H48" i="75" s="1"/>
  <c r="H49" i="75" s="1"/>
  <c r="H66" i="75" s="1"/>
  <c r="H46" i="74"/>
  <c r="M46" i="75"/>
  <c r="M47" i="75" s="1"/>
  <c r="M48" i="75" s="1"/>
  <c r="M49" i="75" s="1"/>
  <c r="M66" i="75" s="1"/>
  <c r="M46" i="74"/>
  <c r="N46" i="75"/>
  <c r="N47" i="75" s="1"/>
  <c r="N48" i="75" s="1"/>
  <c r="N49" i="75" s="1"/>
  <c r="N66" i="75" s="1"/>
  <c r="N46" i="74"/>
  <c r="L46" i="75"/>
  <c r="L47" i="75" s="1"/>
  <c r="L48" i="75" s="1"/>
  <c r="L49" i="75" s="1"/>
  <c r="L66" i="75" s="1"/>
  <c r="L46" i="74"/>
  <c r="G46" i="75"/>
  <c r="G47" i="75" s="1"/>
  <c r="G48" i="75" s="1"/>
  <c r="G49" i="75" s="1"/>
  <c r="G66" i="75" s="1"/>
  <c r="G46" i="74"/>
  <c r="K46" i="75"/>
  <c r="K47" i="75" s="1"/>
  <c r="K48" i="75" s="1"/>
  <c r="K49" i="75" s="1"/>
  <c r="K66" i="75" s="1"/>
  <c r="K46" i="74"/>
  <c r="D46" i="75"/>
  <c r="D47" i="75" s="1"/>
  <c r="D48" i="75" s="1"/>
  <c r="D49" i="75" s="1"/>
  <c r="D66" i="75" s="1"/>
  <c r="D46" i="74"/>
  <c r="I46" i="75"/>
  <c r="I47" i="75" s="1"/>
  <c r="I48" i="75" s="1"/>
  <c r="I49" i="75" s="1"/>
  <c r="I66" i="75" s="1"/>
  <c r="I46" i="74"/>
  <c r="F46" i="75"/>
  <c r="F47" i="75" s="1"/>
  <c r="F48" i="75" s="1"/>
  <c r="F49" i="75" s="1"/>
  <c r="F66" i="75" s="1"/>
  <c r="F46" i="74"/>
  <c r="D36" i="75"/>
  <c r="D37" i="75" s="1"/>
  <c r="D38" i="75" s="1"/>
  <c r="D39" i="75" s="1"/>
  <c r="D58" i="75" s="1"/>
  <c r="D36" i="74"/>
  <c r="D37" i="74" s="1"/>
  <c r="D38" i="74" s="1"/>
  <c r="D39" i="74" s="1"/>
  <c r="D58" i="74" s="1"/>
  <c r="I36" i="75"/>
  <c r="I37" i="75" s="1"/>
  <c r="I38" i="75" s="1"/>
  <c r="I39" i="75" s="1"/>
  <c r="I58" i="75" s="1"/>
  <c r="I36" i="74"/>
  <c r="I37" i="74" s="1"/>
  <c r="I38" i="74" s="1"/>
  <c r="I39" i="74" s="1"/>
  <c r="I58" i="74" s="1"/>
  <c r="J36" i="75"/>
  <c r="J36" i="74"/>
  <c r="J37" i="74" s="1"/>
  <c r="J38" i="74" s="1"/>
  <c r="J39" i="74" s="1"/>
  <c r="J58" i="74" s="1"/>
  <c r="H36" i="75"/>
  <c r="H36" i="74"/>
  <c r="H37" i="74" s="1"/>
  <c r="H38" i="74" s="1"/>
  <c r="H39" i="74" s="1"/>
  <c r="H58" i="74" s="1"/>
  <c r="F36" i="75"/>
  <c r="F36" i="74"/>
  <c r="F37" i="74" s="1"/>
  <c r="F38" i="74" s="1"/>
  <c r="F39" i="74" s="1"/>
  <c r="F58" i="74" s="1"/>
  <c r="L36" i="75"/>
  <c r="L36" i="74"/>
  <c r="L37" i="74" s="1"/>
  <c r="L38" i="74" s="1"/>
  <c r="L39" i="74" s="1"/>
  <c r="L58" i="74" s="1"/>
  <c r="G36" i="75"/>
  <c r="G37" i="75" s="1"/>
  <c r="G38" i="75" s="1"/>
  <c r="G39" i="75" s="1"/>
  <c r="G58" i="75" s="1"/>
  <c r="G36" i="74"/>
  <c r="G37" i="74" s="1"/>
  <c r="G38" i="74" s="1"/>
  <c r="G39" i="74" s="1"/>
  <c r="G58" i="74" s="1"/>
  <c r="N36" i="75"/>
  <c r="N37" i="75" s="1"/>
  <c r="N38" i="75" s="1"/>
  <c r="N39" i="75" s="1"/>
  <c r="N58" i="75" s="1"/>
  <c r="N36" i="74"/>
  <c r="N37" i="74" s="1"/>
  <c r="N38" i="74" s="1"/>
  <c r="N39" i="74" s="1"/>
  <c r="N58" i="74" s="1"/>
  <c r="E36" i="75"/>
  <c r="E36" i="74"/>
  <c r="E37" i="74" s="1"/>
  <c r="E38" i="74" s="1"/>
  <c r="E39" i="74" s="1"/>
  <c r="E58" i="74" s="1"/>
  <c r="K36" i="75"/>
  <c r="K36" i="74"/>
  <c r="K37" i="74" s="1"/>
  <c r="K38" i="74" s="1"/>
  <c r="K39" i="74" s="1"/>
  <c r="K58" i="74" s="1"/>
  <c r="M37" i="73"/>
  <c r="M38" i="73" s="1"/>
  <c r="M39" i="73" s="1"/>
  <c r="M40" i="73" s="1"/>
  <c r="M59" i="73" s="1"/>
  <c r="M36" i="75"/>
  <c r="J47" i="73"/>
  <c r="J48" i="73" s="1"/>
  <c r="J49" i="73" s="1"/>
  <c r="J50" i="73" s="1"/>
  <c r="J67" i="73" s="1"/>
  <c r="J46" i="75"/>
  <c r="J47" i="75" s="1"/>
  <c r="J48" i="75" s="1"/>
  <c r="J49" i="75" s="1"/>
  <c r="J66" i="75" s="1"/>
  <c r="C46" i="84"/>
  <c r="C47" i="84" s="1"/>
  <c r="C48" i="84" s="1"/>
  <c r="C49" i="84" s="1"/>
  <c r="C66" i="84" s="1"/>
  <c r="C47" i="73"/>
  <c r="C48" i="73" s="1"/>
  <c r="C49" i="73" s="1"/>
  <c r="C50" i="73" s="1"/>
  <c r="C67" i="73" s="1"/>
  <c r="D36" i="84"/>
  <c r="D37" i="84" s="1"/>
  <c r="D38" i="84" s="1"/>
  <c r="D39" i="84" s="1"/>
  <c r="D58" i="84" s="1"/>
  <c r="D37" i="73"/>
  <c r="D38" i="73" s="1"/>
  <c r="D39" i="73" s="1"/>
  <c r="D40" i="73" s="1"/>
  <c r="D59" i="73" s="1"/>
  <c r="J36" i="84"/>
  <c r="J37" i="84" s="1"/>
  <c r="J38" i="84" s="1"/>
  <c r="J39" i="84" s="1"/>
  <c r="J58" i="84" s="1"/>
  <c r="J37" i="73"/>
  <c r="J38" i="73" s="1"/>
  <c r="J39" i="73" s="1"/>
  <c r="J40" i="73" s="1"/>
  <c r="J59" i="73" s="1"/>
  <c r="H36" i="84"/>
  <c r="H37" i="84" s="1"/>
  <c r="H38" i="84" s="1"/>
  <c r="H39" i="84" s="1"/>
  <c r="H58" i="84" s="1"/>
  <c r="H37" i="73"/>
  <c r="H38" i="73" s="1"/>
  <c r="H39" i="73" s="1"/>
  <c r="H40" i="73" s="1"/>
  <c r="H59" i="73" s="1"/>
  <c r="L36" i="84"/>
  <c r="L37" i="84" s="1"/>
  <c r="L38" i="84" s="1"/>
  <c r="L39" i="84" s="1"/>
  <c r="L58" i="84" s="1"/>
  <c r="L37" i="73"/>
  <c r="L38" i="73" s="1"/>
  <c r="L39" i="73" s="1"/>
  <c r="L40" i="73" s="1"/>
  <c r="L59" i="73" s="1"/>
  <c r="G36" i="84"/>
  <c r="G37" i="84" s="1"/>
  <c r="G38" i="84" s="1"/>
  <c r="G39" i="84" s="1"/>
  <c r="G58" i="84" s="1"/>
  <c r="G37" i="73"/>
  <c r="G38" i="73" s="1"/>
  <c r="G39" i="73" s="1"/>
  <c r="G40" i="73" s="1"/>
  <c r="G59" i="73" s="1"/>
  <c r="N36" i="84"/>
  <c r="N37" i="84" s="1"/>
  <c r="N38" i="84" s="1"/>
  <c r="N39" i="84" s="1"/>
  <c r="N58" i="84" s="1"/>
  <c r="N37" i="73"/>
  <c r="N38" i="73" s="1"/>
  <c r="N39" i="73" s="1"/>
  <c r="N40" i="73" s="1"/>
  <c r="N59" i="73" s="1"/>
  <c r="E36" i="84"/>
  <c r="E37" i="84" s="1"/>
  <c r="E38" i="84" s="1"/>
  <c r="E39" i="84" s="1"/>
  <c r="E58" i="84" s="1"/>
  <c r="E37" i="73"/>
  <c r="E38" i="73" s="1"/>
  <c r="E39" i="73" s="1"/>
  <c r="E40" i="73" s="1"/>
  <c r="E59" i="73" s="1"/>
  <c r="K36" i="84"/>
  <c r="K37" i="84" s="1"/>
  <c r="K38" i="84" s="1"/>
  <c r="K39" i="84" s="1"/>
  <c r="K58" i="84" s="1"/>
  <c r="K37" i="73"/>
  <c r="K38" i="73" s="1"/>
  <c r="K39" i="73" s="1"/>
  <c r="K40" i="73" s="1"/>
  <c r="K59" i="73" s="1"/>
  <c r="I36" i="84"/>
  <c r="I37" i="84" s="1"/>
  <c r="I38" i="84" s="1"/>
  <c r="I39" i="84" s="1"/>
  <c r="I58" i="84" s="1"/>
  <c r="I37" i="73"/>
  <c r="I38" i="73" s="1"/>
  <c r="I39" i="73" s="1"/>
  <c r="I40" i="73" s="1"/>
  <c r="I59" i="73" s="1"/>
  <c r="F36" i="84"/>
  <c r="F37" i="84" s="1"/>
  <c r="F38" i="84" s="1"/>
  <c r="F39" i="84" s="1"/>
  <c r="F58" i="84" s="1"/>
  <c r="F37" i="73"/>
  <c r="F38" i="73" s="1"/>
  <c r="F39" i="73" s="1"/>
  <c r="F40" i="73" s="1"/>
  <c r="F59" i="73" s="1"/>
  <c r="L46" i="84"/>
  <c r="L47" i="84" s="1"/>
  <c r="L48" i="84" s="1"/>
  <c r="L49" i="84" s="1"/>
  <c r="L66" i="84" s="1"/>
  <c r="L47" i="73"/>
  <c r="L48" i="73" s="1"/>
  <c r="L49" i="73" s="1"/>
  <c r="L50" i="73" s="1"/>
  <c r="L67" i="73" s="1"/>
  <c r="J47" i="56"/>
  <c r="J48" i="56" s="1"/>
  <c r="J49" i="56" s="1"/>
  <c r="J66" i="56" s="1"/>
  <c r="N46" i="84"/>
  <c r="N47" i="84" s="1"/>
  <c r="N48" i="84" s="1"/>
  <c r="N49" i="84" s="1"/>
  <c r="N66" i="84" s="1"/>
  <c r="N47" i="73"/>
  <c r="N48" i="73" s="1"/>
  <c r="N49" i="73" s="1"/>
  <c r="N50" i="73" s="1"/>
  <c r="N67" i="73" s="1"/>
  <c r="E46" i="84"/>
  <c r="E47" i="84" s="1"/>
  <c r="E48" i="84" s="1"/>
  <c r="E49" i="84" s="1"/>
  <c r="E66" i="84" s="1"/>
  <c r="E47" i="73"/>
  <c r="E48" i="73" s="1"/>
  <c r="E49" i="73" s="1"/>
  <c r="E50" i="73" s="1"/>
  <c r="E67" i="73" s="1"/>
  <c r="G46" i="84"/>
  <c r="G47" i="84" s="1"/>
  <c r="G48" i="84" s="1"/>
  <c r="G49" i="84" s="1"/>
  <c r="G66" i="84" s="1"/>
  <c r="G47" i="73"/>
  <c r="G48" i="73" s="1"/>
  <c r="G49" i="73" s="1"/>
  <c r="G50" i="73" s="1"/>
  <c r="G67" i="73" s="1"/>
  <c r="D46" i="84"/>
  <c r="D47" i="84" s="1"/>
  <c r="D48" i="84" s="1"/>
  <c r="D49" i="84" s="1"/>
  <c r="D66" i="84" s="1"/>
  <c r="D47" i="73"/>
  <c r="D48" i="73" s="1"/>
  <c r="D49" i="73" s="1"/>
  <c r="D50" i="73" s="1"/>
  <c r="D67" i="73" s="1"/>
  <c r="I46" i="84"/>
  <c r="I47" i="84" s="1"/>
  <c r="I48" i="84" s="1"/>
  <c r="I49" i="84" s="1"/>
  <c r="I66" i="84" s="1"/>
  <c r="I47" i="73"/>
  <c r="I48" i="73" s="1"/>
  <c r="I49" i="73" s="1"/>
  <c r="I50" i="73" s="1"/>
  <c r="I67" i="73" s="1"/>
  <c r="K46" i="84"/>
  <c r="K47" i="84" s="1"/>
  <c r="K48" i="84" s="1"/>
  <c r="K49" i="84" s="1"/>
  <c r="K66" i="84" s="1"/>
  <c r="K47" i="73"/>
  <c r="K48" i="73" s="1"/>
  <c r="K49" i="73" s="1"/>
  <c r="K50" i="73" s="1"/>
  <c r="K67" i="73" s="1"/>
  <c r="H46" i="84"/>
  <c r="H47" i="84" s="1"/>
  <c r="H48" i="84" s="1"/>
  <c r="H49" i="84" s="1"/>
  <c r="H66" i="84" s="1"/>
  <c r="H47" i="73"/>
  <c r="H48" i="73" s="1"/>
  <c r="H49" i="73" s="1"/>
  <c r="H50" i="73" s="1"/>
  <c r="H67" i="73" s="1"/>
  <c r="M46" i="84"/>
  <c r="M47" i="84" s="1"/>
  <c r="M48" i="84" s="1"/>
  <c r="M49" i="84" s="1"/>
  <c r="M66" i="84" s="1"/>
  <c r="M47" i="73"/>
  <c r="M48" i="73" s="1"/>
  <c r="M49" i="73" s="1"/>
  <c r="M50" i="73" s="1"/>
  <c r="M67" i="73" s="1"/>
  <c r="F46" i="84"/>
  <c r="F47" i="84" s="1"/>
  <c r="F48" i="84" s="1"/>
  <c r="F49" i="84" s="1"/>
  <c r="F66" i="84" s="1"/>
  <c r="F47" i="73"/>
  <c r="F48" i="73" s="1"/>
  <c r="F49" i="73" s="1"/>
  <c r="F50" i="73" s="1"/>
  <c r="F67" i="73" s="1"/>
  <c r="M36" i="84"/>
  <c r="M37" i="84" s="1"/>
  <c r="M38" i="84" s="1"/>
  <c r="M39" i="84" s="1"/>
  <c r="M58" i="84" s="1"/>
  <c r="I36" i="55"/>
  <c r="I37" i="55" s="1"/>
  <c r="I38" i="55" s="1"/>
  <c r="I39" i="55" s="1"/>
  <c r="I58" i="55" s="1"/>
  <c r="F47" i="56"/>
  <c r="F48" i="56" s="1"/>
  <c r="F49" i="56" s="1"/>
  <c r="F66" i="56" s="1"/>
  <c r="J46" i="55"/>
  <c r="J47" i="55" s="1"/>
  <c r="J48" i="55" s="1"/>
  <c r="J49" i="55" s="1"/>
  <c r="J66" i="55" s="1"/>
  <c r="J46" i="84"/>
  <c r="J47" i="84" s="1"/>
  <c r="J48" i="84" s="1"/>
  <c r="J49" i="84" s="1"/>
  <c r="J66" i="84" s="1"/>
  <c r="C47" i="56"/>
  <c r="C48" i="56" s="1"/>
  <c r="C49" i="56" s="1"/>
  <c r="C66" i="56" s="1"/>
  <c r="C46" i="57"/>
  <c r="C47" i="57" s="1"/>
  <c r="C48" i="57" s="1"/>
  <c r="C49" i="57" s="1"/>
  <c r="C66" i="57" s="1"/>
  <c r="C47" i="58"/>
  <c r="C48" i="58" s="1"/>
  <c r="C49" i="58" s="1"/>
  <c r="C50" i="58" s="1"/>
  <c r="C67" i="58" s="1"/>
  <c r="C46" i="55"/>
  <c r="C47" i="55" s="1"/>
  <c r="C48" i="55" s="1"/>
  <c r="C49" i="55" s="1"/>
  <c r="C66" i="55" s="1"/>
  <c r="C46" i="83"/>
  <c r="C47" i="83" s="1"/>
  <c r="C48" i="83" s="1"/>
  <c r="C49" i="83" s="1"/>
  <c r="C66" i="83" s="1"/>
  <c r="K36" i="57"/>
  <c r="K37" i="57" s="1"/>
  <c r="K38" i="57" s="1"/>
  <c r="K39" i="57" s="1"/>
  <c r="K58" i="57" s="1"/>
  <c r="N36" i="57"/>
  <c r="N37" i="57" s="1"/>
  <c r="N38" i="57" s="1"/>
  <c r="N39" i="57" s="1"/>
  <c r="N58" i="57" s="1"/>
  <c r="I36" i="57"/>
  <c r="I37" i="57" s="1"/>
  <c r="I38" i="57" s="1"/>
  <c r="I39" i="57" s="1"/>
  <c r="I58" i="57" s="1"/>
  <c r="H36" i="57"/>
  <c r="H37" i="57" s="1"/>
  <c r="H38" i="57" s="1"/>
  <c r="H39" i="57" s="1"/>
  <c r="H58" i="57" s="1"/>
  <c r="M36" i="57"/>
  <c r="M37" i="57" s="1"/>
  <c r="M38" i="57" s="1"/>
  <c r="M39" i="57" s="1"/>
  <c r="M58" i="57" s="1"/>
  <c r="J36" i="57"/>
  <c r="J37" i="57" s="1"/>
  <c r="J38" i="57" s="1"/>
  <c r="J39" i="57" s="1"/>
  <c r="J58" i="57" s="1"/>
  <c r="L36" i="57"/>
  <c r="L37" i="57" s="1"/>
  <c r="L38" i="57" s="1"/>
  <c r="L39" i="57" s="1"/>
  <c r="L58" i="57" s="1"/>
  <c r="G36" i="57"/>
  <c r="G37" i="57" s="1"/>
  <c r="G38" i="57" s="1"/>
  <c r="G39" i="57" s="1"/>
  <c r="G58" i="57" s="1"/>
  <c r="F36" i="57"/>
  <c r="F37" i="57" s="1"/>
  <c r="F38" i="57" s="1"/>
  <c r="F39" i="57" s="1"/>
  <c r="F58" i="57" s="1"/>
  <c r="E36" i="57"/>
  <c r="E37" i="57" s="1"/>
  <c r="E38" i="57" s="1"/>
  <c r="E39" i="57" s="1"/>
  <c r="E58" i="57" s="1"/>
  <c r="D36" i="55"/>
  <c r="D37" i="55" s="1"/>
  <c r="D38" i="55" s="1"/>
  <c r="D39" i="55" s="1"/>
  <c r="D58" i="55" s="1"/>
  <c r="D36" i="57"/>
  <c r="D37" i="57" s="1"/>
  <c r="D38" i="57" s="1"/>
  <c r="D39" i="57" s="1"/>
  <c r="D58" i="57" s="1"/>
  <c r="M36" i="55"/>
  <c r="M37" i="55" s="1"/>
  <c r="M38" i="55" s="1"/>
  <c r="M39" i="55" s="1"/>
  <c r="M58" i="55" s="1"/>
  <c r="D46" i="83"/>
  <c r="D47" i="83" s="1"/>
  <c r="D48" i="83" s="1"/>
  <c r="D49" i="83" s="1"/>
  <c r="D66" i="83" s="1"/>
  <c r="D47" i="58"/>
  <c r="D48" i="58" s="1"/>
  <c r="D49" i="58" s="1"/>
  <c r="D50" i="58" s="1"/>
  <c r="D67" i="58" s="1"/>
  <c r="D46" i="57"/>
  <c r="D47" i="57" s="1"/>
  <c r="D48" i="57" s="1"/>
  <c r="D49" i="57" s="1"/>
  <c r="D66" i="57" s="1"/>
  <c r="F46" i="83"/>
  <c r="F47" i="83" s="1"/>
  <c r="F48" i="83" s="1"/>
  <c r="F49" i="83" s="1"/>
  <c r="F66" i="83" s="1"/>
  <c r="F46" i="57"/>
  <c r="F47" i="57" s="1"/>
  <c r="F48" i="57" s="1"/>
  <c r="F49" i="57" s="1"/>
  <c r="F66" i="57" s="1"/>
  <c r="F47" i="58"/>
  <c r="F48" i="58" s="1"/>
  <c r="F49" i="58" s="1"/>
  <c r="F50" i="58" s="1"/>
  <c r="F67" i="58" s="1"/>
  <c r="F46" i="55"/>
  <c r="F47" i="55" s="1"/>
  <c r="F48" i="55" s="1"/>
  <c r="F49" i="55" s="1"/>
  <c r="F66" i="55" s="1"/>
  <c r="I46" i="83"/>
  <c r="I47" i="83" s="1"/>
  <c r="I48" i="83" s="1"/>
  <c r="I49" i="83" s="1"/>
  <c r="I66" i="83" s="1"/>
  <c r="I47" i="58"/>
  <c r="I48" i="58" s="1"/>
  <c r="I49" i="58" s="1"/>
  <c r="I50" i="58" s="1"/>
  <c r="I67" i="58" s="1"/>
  <c r="I46" i="57"/>
  <c r="I47" i="57" s="1"/>
  <c r="I48" i="57" s="1"/>
  <c r="I49" i="57" s="1"/>
  <c r="I66" i="57" s="1"/>
  <c r="N46" i="83"/>
  <c r="N47" i="83" s="1"/>
  <c r="N48" i="83" s="1"/>
  <c r="N49" i="83" s="1"/>
  <c r="N66" i="83" s="1"/>
  <c r="N46" i="57"/>
  <c r="N47" i="57" s="1"/>
  <c r="N48" i="57" s="1"/>
  <c r="N49" i="57" s="1"/>
  <c r="N66" i="57" s="1"/>
  <c r="N47" i="58"/>
  <c r="N48" i="58" s="1"/>
  <c r="N49" i="58" s="1"/>
  <c r="N50" i="58" s="1"/>
  <c r="N67" i="58" s="1"/>
  <c r="N46" i="55"/>
  <c r="N47" i="55" s="1"/>
  <c r="N48" i="55" s="1"/>
  <c r="N49" i="55" s="1"/>
  <c r="N66" i="55" s="1"/>
  <c r="J46" i="83"/>
  <c r="J47" i="83" s="1"/>
  <c r="J48" i="83" s="1"/>
  <c r="J49" i="83" s="1"/>
  <c r="J66" i="83" s="1"/>
  <c r="J46" i="57"/>
  <c r="J47" i="57" s="1"/>
  <c r="J48" i="57" s="1"/>
  <c r="J49" i="57" s="1"/>
  <c r="J66" i="57" s="1"/>
  <c r="J47" i="58"/>
  <c r="J48" i="58" s="1"/>
  <c r="J49" i="58" s="1"/>
  <c r="J50" i="58" s="1"/>
  <c r="J67" i="58" s="1"/>
  <c r="E46" i="83"/>
  <c r="E47" i="83" s="1"/>
  <c r="E48" i="83" s="1"/>
  <c r="E49" i="83" s="1"/>
  <c r="E66" i="83" s="1"/>
  <c r="E47" i="58"/>
  <c r="E48" i="58" s="1"/>
  <c r="E49" i="58" s="1"/>
  <c r="E50" i="58" s="1"/>
  <c r="E67" i="58" s="1"/>
  <c r="E46" i="57"/>
  <c r="E47" i="57" s="1"/>
  <c r="E48" i="57" s="1"/>
  <c r="E49" i="57" s="1"/>
  <c r="E66" i="57" s="1"/>
  <c r="H46" i="83"/>
  <c r="H47" i="83" s="1"/>
  <c r="H48" i="83" s="1"/>
  <c r="H49" i="83" s="1"/>
  <c r="H66" i="83" s="1"/>
  <c r="H47" i="58"/>
  <c r="H48" i="58" s="1"/>
  <c r="H49" i="58" s="1"/>
  <c r="H50" i="58" s="1"/>
  <c r="H67" i="58" s="1"/>
  <c r="H46" i="57"/>
  <c r="H47" i="57" s="1"/>
  <c r="H48" i="57" s="1"/>
  <c r="H49" i="57" s="1"/>
  <c r="H66" i="57" s="1"/>
  <c r="G46" i="83"/>
  <c r="G47" i="83" s="1"/>
  <c r="G48" i="83" s="1"/>
  <c r="G49" i="83" s="1"/>
  <c r="G66" i="83" s="1"/>
  <c r="G46" i="57"/>
  <c r="G47" i="57" s="1"/>
  <c r="G48" i="57" s="1"/>
  <c r="G49" i="57" s="1"/>
  <c r="G66" i="57" s="1"/>
  <c r="G47" i="58"/>
  <c r="G48" i="58" s="1"/>
  <c r="G49" i="58" s="1"/>
  <c r="G50" i="58" s="1"/>
  <c r="G67" i="58" s="1"/>
  <c r="L46" i="83"/>
  <c r="L47" i="83" s="1"/>
  <c r="L48" i="83" s="1"/>
  <c r="L49" i="83" s="1"/>
  <c r="L66" i="83" s="1"/>
  <c r="L47" i="58"/>
  <c r="L48" i="58" s="1"/>
  <c r="L49" i="58" s="1"/>
  <c r="L50" i="58" s="1"/>
  <c r="L67" i="58" s="1"/>
  <c r="L46" i="57"/>
  <c r="L47" i="57" s="1"/>
  <c r="L48" i="57" s="1"/>
  <c r="L49" i="57" s="1"/>
  <c r="L66" i="57" s="1"/>
  <c r="N47" i="56"/>
  <c r="N48" i="56" s="1"/>
  <c r="N49" i="56" s="1"/>
  <c r="N66" i="56" s="1"/>
  <c r="M46" i="83"/>
  <c r="M47" i="83" s="1"/>
  <c r="M48" i="83" s="1"/>
  <c r="M49" i="83" s="1"/>
  <c r="M66" i="83" s="1"/>
  <c r="M47" i="58"/>
  <c r="M48" i="58" s="1"/>
  <c r="M49" i="58" s="1"/>
  <c r="M50" i="58" s="1"/>
  <c r="M67" i="58" s="1"/>
  <c r="M46" i="57"/>
  <c r="M47" i="57" s="1"/>
  <c r="M48" i="57" s="1"/>
  <c r="M49" i="57" s="1"/>
  <c r="M66" i="57" s="1"/>
  <c r="K46" i="83"/>
  <c r="K47" i="83" s="1"/>
  <c r="K48" i="83" s="1"/>
  <c r="K49" i="83" s="1"/>
  <c r="K66" i="83" s="1"/>
  <c r="K46" i="57"/>
  <c r="K47" i="57" s="1"/>
  <c r="K48" i="57" s="1"/>
  <c r="K49" i="57" s="1"/>
  <c r="K66" i="57" s="1"/>
  <c r="K47" i="58"/>
  <c r="K48" i="58" s="1"/>
  <c r="K49" i="58" s="1"/>
  <c r="K50" i="58" s="1"/>
  <c r="K67" i="58" s="1"/>
  <c r="E36" i="55"/>
  <c r="E37" i="55" s="1"/>
  <c r="E38" i="55" s="1"/>
  <c r="E39" i="55" s="1"/>
  <c r="E58" i="55" s="1"/>
  <c r="D36" i="83"/>
  <c r="D37" i="83" s="1"/>
  <c r="D38" i="83" s="1"/>
  <c r="D39" i="83" s="1"/>
  <c r="D58" i="83" s="1"/>
  <c r="K37" i="56"/>
  <c r="K38" i="56" s="1"/>
  <c r="K39" i="56" s="1"/>
  <c r="K58" i="56" s="1"/>
  <c r="K36" i="83"/>
  <c r="K37" i="83" s="1"/>
  <c r="K38" i="83" s="1"/>
  <c r="K39" i="83" s="1"/>
  <c r="K58" i="83" s="1"/>
  <c r="N37" i="56"/>
  <c r="N38" i="56" s="1"/>
  <c r="N39" i="56" s="1"/>
  <c r="N58" i="56" s="1"/>
  <c r="N36" i="83"/>
  <c r="N37" i="83" s="1"/>
  <c r="N38" i="83" s="1"/>
  <c r="N39" i="83" s="1"/>
  <c r="N58" i="83" s="1"/>
  <c r="I37" i="56"/>
  <c r="I38" i="56" s="1"/>
  <c r="I39" i="56" s="1"/>
  <c r="I58" i="56" s="1"/>
  <c r="I36" i="83"/>
  <c r="I37" i="83" s="1"/>
  <c r="I38" i="83" s="1"/>
  <c r="I39" i="83" s="1"/>
  <c r="I58" i="83" s="1"/>
  <c r="H37" i="56"/>
  <c r="H38" i="56" s="1"/>
  <c r="H39" i="56" s="1"/>
  <c r="H58" i="56" s="1"/>
  <c r="H36" i="83"/>
  <c r="H37" i="83" s="1"/>
  <c r="H38" i="83" s="1"/>
  <c r="H39" i="83" s="1"/>
  <c r="H58" i="83" s="1"/>
  <c r="G37" i="56"/>
  <c r="G38" i="56" s="1"/>
  <c r="G39" i="56" s="1"/>
  <c r="G58" i="56" s="1"/>
  <c r="G36" i="83"/>
  <c r="G37" i="83" s="1"/>
  <c r="G38" i="83" s="1"/>
  <c r="G39" i="83" s="1"/>
  <c r="G58" i="83" s="1"/>
  <c r="J37" i="56"/>
  <c r="J38" i="56" s="1"/>
  <c r="J39" i="56" s="1"/>
  <c r="J58" i="56" s="1"/>
  <c r="J36" i="83"/>
  <c r="J37" i="83" s="1"/>
  <c r="J38" i="83" s="1"/>
  <c r="J39" i="83" s="1"/>
  <c r="J58" i="83" s="1"/>
  <c r="L37" i="56"/>
  <c r="L38" i="56" s="1"/>
  <c r="L39" i="56" s="1"/>
  <c r="L58" i="56" s="1"/>
  <c r="L36" i="83"/>
  <c r="L37" i="83" s="1"/>
  <c r="L38" i="83" s="1"/>
  <c r="L39" i="83" s="1"/>
  <c r="L58" i="83" s="1"/>
  <c r="E37" i="56"/>
  <c r="E38" i="56" s="1"/>
  <c r="E39" i="56" s="1"/>
  <c r="E58" i="56" s="1"/>
  <c r="E36" i="83"/>
  <c r="E37" i="83" s="1"/>
  <c r="E38" i="83" s="1"/>
  <c r="E39" i="83" s="1"/>
  <c r="E58" i="83" s="1"/>
  <c r="M37" i="56"/>
  <c r="M38" i="56" s="1"/>
  <c r="M39" i="56" s="1"/>
  <c r="M58" i="56" s="1"/>
  <c r="M36" i="83"/>
  <c r="M37" i="83" s="1"/>
  <c r="M38" i="83" s="1"/>
  <c r="M39" i="83" s="1"/>
  <c r="M58" i="83" s="1"/>
  <c r="F37" i="56"/>
  <c r="F38" i="56" s="1"/>
  <c r="F39" i="56" s="1"/>
  <c r="F58" i="56" s="1"/>
  <c r="F36" i="83"/>
  <c r="F37" i="83" s="1"/>
  <c r="F38" i="83" s="1"/>
  <c r="F39" i="83" s="1"/>
  <c r="F58" i="83" s="1"/>
  <c r="D37" i="56"/>
  <c r="D38" i="56" s="1"/>
  <c r="D39" i="56" s="1"/>
  <c r="D58" i="56" s="1"/>
  <c r="D46" i="55"/>
  <c r="D47" i="56"/>
  <c r="D48" i="56" s="1"/>
  <c r="D49" i="56" s="1"/>
  <c r="D66" i="56" s="1"/>
  <c r="E46" i="55"/>
  <c r="E47" i="56"/>
  <c r="E48" i="56" s="1"/>
  <c r="E49" i="56" s="1"/>
  <c r="E66" i="56" s="1"/>
  <c r="M46" i="55"/>
  <c r="M47" i="56"/>
  <c r="M48" i="56" s="1"/>
  <c r="M49" i="56" s="1"/>
  <c r="M66" i="56" s="1"/>
  <c r="K47" i="56"/>
  <c r="K48" i="56" s="1"/>
  <c r="K49" i="56" s="1"/>
  <c r="K66" i="56" s="1"/>
  <c r="K46" i="55"/>
  <c r="H46" i="55"/>
  <c r="H47" i="56"/>
  <c r="H48" i="56" s="1"/>
  <c r="H49" i="56" s="1"/>
  <c r="H66" i="56" s="1"/>
  <c r="L46" i="55"/>
  <c r="L47" i="56"/>
  <c r="L48" i="56" s="1"/>
  <c r="L49" i="56" s="1"/>
  <c r="L66" i="56" s="1"/>
  <c r="I46" i="55"/>
  <c r="I47" i="56"/>
  <c r="I48" i="56" s="1"/>
  <c r="I49" i="56" s="1"/>
  <c r="I66" i="56" s="1"/>
  <c r="G47" i="56"/>
  <c r="G48" i="56" s="1"/>
  <c r="G49" i="56" s="1"/>
  <c r="G66" i="56" s="1"/>
  <c r="G46" i="55"/>
  <c r="J36" i="55"/>
  <c r="J37" i="55" s="1"/>
  <c r="J38" i="55" s="1"/>
  <c r="J39" i="55" s="1"/>
  <c r="J58" i="55" s="1"/>
  <c r="F36" i="55"/>
  <c r="F37" i="55" s="1"/>
  <c r="F38" i="55" s="1"/>
  <c r="F39" i="55" s="1"/>
  <c r="F58" i="55" s="1"/>
  <c r="H36" i="55"/>
  <c r="H37" i="55" s="1"/>
  <c r="H38" i="55" s="1"/>
  <c r="H39" i="55" s="1"/>
  <c r="H58" i="55" s="1"/>
  <c r="G36" i="55"/>
  <c r="G37" i="55" s="1"/>
  <c r="G38" i="55" s="1"/>
  <c r="G39" i="55" s="1"/>
  <c r="G58" i="55" s="1"/>
  <c r="K36" i="55"/>
  <c r="K37" i="55" s="1"/>
  <c r="K38" i="55" s="1"/>
  <c r="K39" i="55" s="1"/>
  <c r="K58" i="55" s="1"/>
  <c r="L36" i="55"/>
  <c r="L37" i="55" s="1"/>
  <c r="L38" i="55" s="1"/>
  <c r="L39" i="55" s="1"/>
  <c r="L58" i="55" s="1"/>
  <c r="N36" i="55"/>
  <c r="N37" i="55" s="1"/>
  <c r="N38" i="55" s="1"/>
  <c r="N39" i="55" s="1"/>
  <c r="N58" i="55" s="1"/>
  <c r="C36" i="84"/>
  <c r="C37" i="73"/>
  <c r="D37" i="58"/>
  <c r="H37" i="58"/>
  <c r="F37" i="58"/>
  <c r="E37" i="58"/>
  <c r="M37" i="58"/>
  <c r="K37" i="58"/>
  <c r="L37" i="58"/>
  <c r="J37" i="58"/>
  <c r="N37" i="58"/>
  <c r="I37" i="58"/>
  <c r="G37" i="58"/>
  <c r="C36" i="57"/>
  <c r="C37" i="58"/>
  <c r="C36" i="55"/>
  <c r="C37" i="55" s="1"/>
  <c r="C38" i="55" s="1"/>
  <c r="C39" i="55" s="1"/>
  <c r="C58" i="55" s="1"/>
  <c r="C36" i="83"/>
  <c r="F47" i="74" l="1"/>
  <c r="F48" i="74" s="1"/>
  <c r="F49" i="74" s="1"/>
  <c r="F63" i="74" s="1"/>
  <c r="D47" i="74"/>
  <c r="D48" i="74" s="1"/>
  <c r="D49" i="74" s="1"/>
  <c r="D63" i="74" s="1"/>
  <c r="G47" i="74"/>
  <c r="G48" i="74" s="1"/>
  <c r="G49" i="74" s="1"/>
  <c r="G63" i="74" s="1"/>
  <c r="N47" i="74"/>
  <c r="N48" i="74" s="1"/>
  <c r="N49" i="74" s="1"/>
  <c r="N63" i="74" s="1"/>
  <c r="H47" i="74"/>
  <c r="H48" i="74" s="1"/>
  <c r="H49" i="74" s="1"/>
  <c r="H63" i="74" s="1"/>
  <c r="C47" i="74"/>
  <c r="C48" i="74" s="1"/>
  <c r="C49" i="74" s="1"/>
  <c r="C63" i="74" s="1"/>
  <c r="I47" i="74"/>
  <c r="I48" i="74" s="1"/>
  <c r="I49" i="74" s="1"/>
  <c r="I63" i="74" s="1"/>
  <c r="K47" i="74"/>
  <c r="K48" i="74" s="1"/>
  <c r="K49" i="74" s="1"/>
  <c r="K63" i="74" s="1"/>
  <c r="L47" i="74"/>
  <c r="L48" i="74" s="1"/>
  <c r="L49" i="74" s="1"/>
  <c r="L63" i="74" s="1"/>
  <c r="M47" i="74"/>
  <c r="M48" i="74" s="1"/>
  <c r="M49" i="74" s="1"/>
  <c r="M63" i="74" s="1"/>
  <c r="E47" i="74"/>
  <c r="E48" i="74" s="1"/>
  <c r="E49" i="74" s="1"/>
  <c r="E63" i="74" s="1"/>
  <c r="C37" i="83"/>
  <c r="C38" i="83" s="1"/>
  <c r="C39" i="83" s="1"/>
  <c r="C58" i="83" s="1"/>
  <c r="C38" i="58"/>
  <c r="C39" i="58" s="1"/>
  <c r="C40" i="58" s="1"/>
  <c r="C59" i="58" s="1"/>
  <c r="C37" i="84"/>
  <c r="C38" i="84" s="1"/>
  <c r="C39" i="84" s="1"/>
  <c r="C58" i="84" s="1"/>
  <c r="C37" i="57"/>
  <c r="C38" i="57" s="1"/>
  <c r="C39" i="57" s="1"/>
  <c r="C58" i="57" s="1"/>
  <c r="C38" i="73"/>
  <c r="C39" i="73" s="1"/>
  <c r="C40" i="73" s="1"/>
  <c r="C59" i="73" s="1"/>
  <c r="C37" i="75"/>
  <c r="C38" i="75" s="1"/>
  <c r="C39" i="75" s="1"/>
  <c r="C58" i="75" s="1"/>
  <c r="M37" i="75"/>
  <c r="M38" i="75" s="1"/>
  <c r="M39" i="75" s="1"/>
  <c r="M58" i="75" s="1"/>
  <c r="E37" i="75"/>
  <c r="E38" i="75" s="1"/>
  <c r="E39" i="75" s="1"/>
  <c r="E58" i="75" s="1"/>
  <c r="F37" i="75"/>
  <c r="F38" i="75" s="1"/>
  <c r="F39" i="75" s="1"/>
  <c r="F58" i="75" s="1"/>
  <c r="J37" i="75"/>
  <c r="J38" i="75" s="1"/>
  <c r="J39" i="75" s="1"/>
  <c r="J58" i="75" s="1"/>
  <c r="K37" i="75"/>
  <c r="K38" i="75" s="1"/>
  <c r="K39" i="75" s="1"/>
  <c r="K58" i="75" s="1"/>
  <c r="L37" i="75"/>
  <c r="L38" i="75" s="1"/>
  <c r="L39" i="75" s="1"/>
  <c r="L58" i="75" s="1"/>
  <c r="H37" i="75"/>
  <c r="H38" i="75" s="1"/>
  <c r="H39" i="75" s="1"/>
  <c r="H58" i="75" s="1"/>
  <c r="G38" i="58"/>
  <c r="G39" i="58" s="1"/>
  <c r="G40" i="58" s="1"/>
  <c r="G59" i="58" s="1"/>
  <c r="I38" i="58"/>
  <c r="I39" i="58" s="1"/>
  <c r="I40" i="58" s="1"/>
  <c r="I59" i="58" s="1"/>
  <c r="N38" i="58"/>
  <c r="N39" i="58" s="1"/>
  <c r="N40" i="58" s="1"/>
  <c r="N59" i="58" s="1"/>
  <c r="M38" i="58"/>
  <c r="M39" i="58" s="1"/>
  <c r="M40" i="58" s="1"/>
  <c r="M59" i="58" s="1"/>
  <c r="D38" i="58"/>
  <c r="D39" i="58" s="1"/>
  <c r="D40" i="58" s="1"/>
  <c r="D59" i="58" s="1"/>
  <c r="L38" i="58"/>
  <c r="L39" i="58" s="1"/>
  <c r="L40" i="58" s="1"/>
  <c r="L59" i="58" s="1"/>
  <c r="F38" i="58"/>
  <c r="F39" i="58" s="1"/>
  <c r="F40" i="58" s="1"/>
  <c r="F59" i="58" s="1"/>
  <c r="K38" i="58"/>
  <c r="K39" i="58" s="1"/>
  <c r="K40" i="58" s="1"/>
  <c r="K59" i="58" s="1"/>
  <c r="H38" i="58"/>
  <c r="H39" i="58" s="1"/>
  <c r="H40" i="58" s="1"/>
  <c r="H59" i="58" s="1"/>
  <c r="J38" i="58"/>
  <c r="J39" i="58" s="1"/>
  <c r="J40" i="58" s="1"/>
  <c r="J59" i="58" s="1"/>
  <c r="E38" i="58"/>
  <c r="E39" i="58" s="1"/>
  <c r="E40" i="58" s="1"/>
  <c r="E59" i="58" s="1"/>
  <c r="G47" i="55"/>
  <c r="G48" i="55" s="1"/>
  <c r="G49" i="55" s="1"/>
  <c r="G66" i="55" s="1"/>
  <c r="K47" i="55"/>
  <c r="K48" i="55" s="1"/>
  <c r="K49" i="55" s="1"/>
  <c r="K66" i="55" s="1"/>
  <c r="L47" i="55"/>
  <c r="L48" i="55" s="1"/>
  <c r="L49" i="55" s="1"/>
  <c r="L66" i="55" s="1"/>
  <c r="E47" i="55"/>
  <c r="E48" i="55" s="1"/>
  <c r="E49" i="55" s="1"/>
  <c r="E66" i="55" s="1"/>
  <c r="I47" i="55"/>
  <c r="I48" i="55" s="1"/>
  <c r="I49" i="55" s="1"/>
  <c r="I66" i="55" s="1"/>
  <c r="H47" i="55"/>
  <c r="H48" i="55" s="1"/>
  <c r="H49" i="55" s="1"/>
  <c r="H66" i="55" s="1"/>
  <c r="M47" i="55"/>
  <c r="M48" i="55" s="1"/>
  <c r="M49" i="55" s="1"/>
  <c r="M66" i="55" s="1"/>
  <c r="D47" i="55"/>
  <c r="D48" i="55" s="1"/>
  <c r="D49" i="55" s="1"/>
  <c r="D66" i="55" s="1"/>
  <c r="E202" i="65" l="1"/>
  <c r="O66" i="40" l="1"/>
  <c r="AO24" i="71" l="1"/>
  <c r="AN24" i="71"/>
  <c r="AM24" i="71"/>
  <c r="AO23" i="71"/>
  <c r="AN23" i="71"/>
  <c r="AM23" i="71"/>
  <c r="AO22" i="71"/>
  <c r="AN22" i="71"/>
  <c r="AM22" i="71"/>
  <c r="AO21" i="71"/>
  <c r="AN21" i="71"/>
  <c r="AM21" i="71"/>
  <c r="AO20" i="71"/>
  <c r="AN20" i="71"/>
  <c r="AM20" i="71"/>
  <c r="AO19" i="71"/>
  <c r="AN19" i="71"/>
  <c r="AM19" i="71"/>
  <c r="AO18" i="71"/>
  <c r="AN18" i="71"/>
  <c r="AM18" i="71"/>
  <c r="AO17" i="71"/>
  <c r="AN17" i="71"/>
  <c r="AM17" i="71"/>
  <c r="AO16" i="71"/>
  <c r="AN16" i="71"/>
  <c r="AM16" i="71"/>
  <c r="AO15" i="71"/>
  <c r="AN15" i="71"/>
  <c r="AM15" i="71"/>
  <c r="AO14" i="71"/>
  <c r="AN14" i="71"/>
  <c r="AM14" i="71"/>
  <c r="AO13" i="71"/>
  <c r="AN13" i="71"/>
  <c r="AM13" i="71"/>
  <c r="AO12" i="71"/>
  <c r="AN12" i="71"/>
  <c r="AM12" i="71"/>
  <c r="AO11" i="71"/>
  <c r="AN11" i="71"/>
  <c r="AM11" i="71"/>
  <c r="AO10" i="71"/>
  <c r="AN10" i="71"/>
  <c r="AM10" i="71"/>
  <c r="AO9" i="71"/>
  <c r="AN9" i="71"/>
  <c r="AM9" i="71"/>
  <c r="AO8" i="71"/>
  <c r="AN8" i="71"/>
  <c r="AM8" i="71"/>
  <c r="AO7" i="71"/>
  <c r="AN7" i="71"/>
  <c r="AM7" i="71"/>
  <c r="M736" i="85" l="1"/>
  <c r="L736" i="85"/>
  <c r="K736" i="85"/>
  <c r="J736" i="85"/>
  <c r="I736" i="85"/>
  <c r="H736" i="85"/>
  <c r="G736" i="85"/>
  <c r="D736" i="85"/>
  <c r="C736" i="85"/>
  <c r="M735" i="85"/>
  <c r="L735" i="85"/>
  <c r="K735" i="85"/>
  <c r="J735" i="85"/>
  <c r="I735" i="85"/>
  <c r="H735" i="85"/>
  <c r="G735" i="85"/>
  <c r="D735" i="85"/>
  <c r="C735" i="85"/>
  <c r="M734" i="85"/>
  <c r="L734" i="85"/>
  <c r="K734" i="85"/>
  <c r="J734" i="85"/>
  <c r="I734" i="85"/>
  <c r="H734" i="85"/>
  <c r="G734" i="85"/>
  <c r="D734" i="85"/>
  <c r="C734" i="85"/>
  <c r="M733" i="85"/>
  <c r="L733" i="85"/>
  <c r="K733" i="85"/>
  <c r="J733" i="85"/>
  <c r="I733" i="85"/>
  <c r="H733" i="85"/>
  <c r="G733" i="85"/>
  <c r="D733" i="85"/>
  <c r="C733" i="85"/>
  <c r="M732" i="85"/>
  <c r="L732" i="85"/>
  <c r="K732" i="85"/>
  <c r="J732" i="85"/>
  <c r="I732" i="85"/>
  <c r="H732" i="85"/>
  <c r="G732" i="85"/>
  <c r="D732" i="85"/>
  <c r="C732" i="85"/>
  <c r="M731" i="85"/>
  <c r="L731" i="85"/>
  <c r="K731" i="85"/>
  <c r="J731" i="85"/>
  <c r="I731" i="85"/>
  <c r="H731" i="85"/>
  <c r="G731" i="85"/>
  <c r="D731" i="85"/>
  <c r="C731" i="85"/>
  <c r="M730" i="85"/>
  <c r="L730" i="85"/>
  <c r="K730" i="85"/>
  <c r="J730" i="85"/>
  <c r="I730" i="85"/>
  <c r="H730" i="85"/>
  <c r="G730" i="85"/>
  <c r="D730" i="85"/>
  <c r="C730" i="85"/>
  <c r="M729" i="85"/>
  <c r="L729" i="85"/>
  <c r="K729" i="85"/>
  <c r="J729" i="85"/>
  <c r="I729" i="85"/>
  <c r="H729" i="85"/>
  <c r="G729" i="85"/>
  <c r="D729" i="85"/>
  <c r="C729" i="85"/>
  <c r="M728" i="85"/>
  <c r="L728" i="85"/>
  <c r="K728" i="85"/>
  <c r="J728" i="85"/>
  <c r="I728" i="85"/>
  <c r="H728" i="85"/>
  <c r="G728" i="85"/>
  <c r="D728" i="85"/>
  <c r="C728" i="85"/>
  <c r="M727" i="85"/>
  <c r="L727" i="85"/>
  <c r="K727" i="85"/>
  <c r="J727" i="85"/>
  <c r="I727" i="85"/>
  <c r="H727" i="85"/>
  <c r="G727" i="85"/>
  <c r="D727" i="85"/>
  <c r="C727" i="85"/>
  <c r="M726" i="85"/>
  <c r="L726" i="85"/>
  <c r="K726" i="85"/>
  <c r="J726" i="85"/>
  <c r="I726" i="85"/>
  <c r="H726" i="85"/>
  <c r="G726" i="85"/>
  <c r="D726" i="85"/>
  <c r="C726" i="85"/>
  <c r="M725" i="85"/>
  <c r="L725" i="85"/>
  <c r="K725" i="85"/>
  <c r="J725" i="85"/>
  <c r="I725" i="85"/>
  <c r="H725" i="85"/>
  <c r="G725" i="85"/>
  <c r="E725" i="85"/>
  <c r="D725" i="85"/>
  <c r="C725" i="85"/>
  <c r="M724" i="85"/>
  <c r="L724" i="85"/>
  <c r="K724" i="85"/>
  <c r="J724" i="85"/>
  <c r="I724" i="85"/>
  <c r="H724" i="85"/>
  <c r="G724" i="85"/>
  <c r="E724" i="85"/>
  <c r="D724" i="85"/>
  <c r="C724" i="85"/>
  <c r="M723" i="85"/>
  <c r="L723" i="85"/>
  <c r="K723" i="85"/>
  <c r="J723" i="85"/>
  <c r="I723" i="85"/>
  <c r="H723" i="85"/>
  <c r="G723" i="85"/>
  <c r="E723" i="85"/>
  <c r="D723" i="85"/>
  <c r="C723" i="85"/>
  <c r="M722" i="85"/>
  <c r="L722" i="85"/>
  <c r="K722" i="85"/>
  <c r="J722" i="85"/>
  <c r="I722" i="85"/>
  <c r="H722" i="85"/>
  <c r="G722" i="85"/>
  <c r="E722" i="85"/>
  <c r="D722" i="85"/>
  <c r="C722" i="85"/>
  <c r="M721" i="85"/>
  <c r="L721" i="85"/>
  <c r="K721" i="85"/>
  <c r="J721" i="85"/>
  <c r="I721" i="85"/>
  <c r="H721" i="85"/>
  <c r="G721" i="85"/>
  <c r="E721" i="85"/>
  <c r="D721" i="85"/>
  <c r="C721" i="85"/>
  <c r="M720" i="85"/>
  <c r="L720" i="85"/>
  <c r="K720" i="85"/>
  <c r="J720" i="85"/>
  <c r="I720" i="85"/>
  <c r="H720" i="85"/>
  <c r="G720" i="85"/>
  <c r="E720" i="85"/>
  <c r="D720" i="85"/>
  <c r="C720" i="85"/>
  <c r="M719" i="85"/>
  <c r="L719" i="85"/>
  <c r="K719" i="85"/>
  <c r="J719" i="85"/>
  <c r="I719" i="85"/>
  <c r="H719" i="85"/>
  <c r="G719" i="85"/>
  <c r="E719" i="85"/>
  <c r="D719" i="85"/>
  <c r="C719" i="85"/>
  <c r="M718" i="85"/>
  <c r="L718" i="85"/>
  <c r="K718" i="85"/>
  <c r="J718" i="85"/>
  <c r="I718" i="85"/>
  <c r="H718" i="85"/>
  <c r="G718" i="85"/>
  <c r="E718" i="85"/>
  <c r="D718" i="85"/>
  <c r="C718" i="85"/>
  <c r="M717" i="85"/>
  <c r="L717" i="85"/>
  <c r="K717" i="85"/>
  <c r="J717" i="85"/>
  <c r="I717" i="85"/>
  <c r="H717" i="85"/>
  <c r="G717" i="85"/>
  <c r="E717" i="85"/>
  <c r="D717" i="85"/>
  <c r="C717" i="85"/>
  <c r="M716" i="85"/>
  <c r="L716" i="85"/>
  <c r="K716" i="85"/>
  <c r="J716" i="85"/>
  <c r="I716" i="85"/>
  <c r="H716" i="85"/>
  <c r="G716" i="85"/>
  <c r="E716" i="85"/>
  <c r="D716" i="85"/>
  <c r="C716" i="85"/>
  <c r="M715" i="85"/>
  <c r="L715" i="85"/>
  <c r="K715" i="85"/>
  <c r="J715" i="85"/>
  <c r="I715" i="85"/>
  <c r="H715" i="85"/>
  <c r="G715" i="85"/>
  <c r="E715" i="85"/>
  <c r="D715" i="85"/>
  <c r="C715" i="85"/>
  <c r="M714" i="85"/>
  <c r="L714" i="85"/>
  <c r="K714" i="85"/>
  <c r="J714" i="85"/>
  <c r="I714" i="85"/>
  <c r="H714" i="85"/>
  <c r="G714" i="85"/>
  <c r="E714" i="85"/>
  <c r="D714" i="85"/>
  <c r="C714" i="85"/>
  <c r="M713" i="85"/>
  <c r="L713" i="85"/>
  <c r="K713" i="85"/>
  <c r="J713" i="85"/>
  <c r="I713" i="85"/>
  <c r="H713" i="85"/>
  <c r="G713" i="85"/>
  <c r="F713" i="85"/>
  <c r="E713" i="85"/>
  <c r="D713" i="85"/>
  <c r="C713" i="85"/>
  <c r="M712" i="85"/>
  <c r="L712" i="85"/>
  <c r="K712" i="85"/>
  <c r="J712" i="85"/>
  <c r="I712" i="85"/>
  <c r="H712" i="85"/>
  <c r="G712" i="85"/>
  <c r="F712" i="85"/>
  <c r="E712" i="85"/>
  <c r="D712" i="85"/>
  <c r="C712" i="85"/>
  <c r="M711" i="85"/>
  <c r="L711" i="85"/>
  <c r="K711" i="85"/>
  <c r="J711" i="85"/>
  <c r="I711" i="85"/>
  <c r="H711" i="85"/>
  <c r="G711" i="85"/>
  <c r="F711" i="85"/>
  <c r="E711" i="85"/>
  <c r="D711" i="85"/>
  <c r="C711" i="85"/>
  <c r="M710" i="85"/>
  <c r="L710" i="85"/>
  <c r="K710" i="85"/>
  <c r="J710" i="85"/>
  <c r="I710" i="85"/>
  <c r="H710" i="85"/>
  <c r="G710" i="85"/>
  <c r="F710" i="85"/>
  <c r="E710" i="85"/>
  <c r="D710" i="85"/>
  <c r="C710" i="85"/>
  <c r="M709" i="85"/>
  <c r="L709" i="85"/>
  <c r="K709" i="85"/>
  <c r="J709" i="85"/>
  <c r="I709" i="85"/>
  <c r="H709" i="85"/>
  <c r="G709" i="85"/>
  <c r="F709" i="85"/>
  <c r="E709" i="85"/>
  <c r="D709" i="85"/>
  <c r="C709" i="85"/>
  <c r="M708" i="85"/>
  <c r="L708" i="85"/>
  <c r="K708" i="85"/>
  <c r="J708" i="85"/>
  <c r="I708" i="85"/>
  <c r="H708" i="85"/>
  <c r="G708" i="85"/>
  <c r="F708" i="85"/>
  <c r="E708" i="85"/>
  <c r="D708" i="85"/>
  <c r="C708" i="85"/>
  <c r="M707" i="85"/>
  <c r="L707" i="85"/>
  <c r="K707" i="85"/>
  <c r="J707" i="85"/>
  <c r="I707" i="85"/>
  <c r="H707" i="85"/>
  <c r="G707" i="85"/>
  <c r="F707" i="85"/>
  <c r="E707" i="85"/>
  <c r="D707" i="85"/>
  <c r="C707" i="85"/>
  <c r="M706" i="85"/>
  <c r="L706" i="85"/>
  <c r="K706" i="85"/>
  <c r="J706" i="85"/>
  <c r="I706" i="85"/>
  <c r="H706" i="85"/>
  <c r="G706" i="85"/>
  <c r="F706" i="85"/>
  <c r="E706" i="85"/>
  <c r="D706" i="85"/>
  <c r="C706" i="85"/>
  <c r="O706" i="85" s="1"/>
  <c r="M705" i="85"/>
  <c r="L705" i="85"/>
  <c r="K705" i="85"/>
  <c r="J705" i="85"/>
  <c r="I705" i="85"/>
  <c r="H705" i="85"/>
  <c r="G705" i="85"/>
  <c r="F705" i="85"/>
  <c r="E705" i="85"/>
  <c r="D705" i="85"/>
  <c r="C705" i="85"/>
  <c r="M704" i="85"/>
  <c r="L704" i="85"/>
  <c r="K704" i="85"/>
  <c r="J704" i="85"/>
  <c r="I704" i="85"/>
  <c r="H704" i="85"/>
  <c r="G704" i="85"/>
  <c r="F704" i="85"/>
  <c r="E704" i="85"/>
  <c r="D704" i="85"/>
  <c r="C704" i="85"/>
  <c r="M703" i="85"/>
  <c r="L703" i="85"/>
  <c r="K703" i="85"/>
  <c r="J703" i="85"/>
  <c r="I703" i="85"/>
  <c r="H703" i="85"/>
  <c r="G703" i="85"/>
  <c r="F703" i="85"/>
  <c r="E703" i="85"/>
  <c r="D703" i="85"/>
  <c r="C703" i="85"/>
  <c r="M702" i="85"/>
  <c r="L702" i="85"/>
  <c r="K702" i="85"/>
  <c r="J702" i="85"/>
  <c r="I702" i="85"/>
  <c r="H702" i="85"/>
  <c r="G702" i="85"/>
  <c r="F702" i="85"/>
  <c r="E702" i="85"/>
  <c r="D702" i="85"/>
  <c r="C702" i="85"/>
  <c r="M701" i="85"/>
  <c r="L701" i="85"/>
  <c r="K701" i="85"/>
  <c r="J701" i="85"/>
  <c r="I701" i="85"/>
  <c r="H701" i="85"/>
  <c r="G701" i="85"/>
  <c r="F701" i="85"/>
  <c r="E701" i="85"/>
  <c r="D701" i="85"/>
  <c r="C701" i="85"/>
  <c r="O701" i="85" s="1"/>
  <c r="M700" i="85"/>
  <c r="L700" i="85"/>
  <c r="K700" i="85"/>
  <c r="J700" i="85"/>
  <c r="I700" i="85"/>
  <c r="H700" i="85"/>
  <c r="G700" i="85"/>
  <c r="F700" i="85"/>
  <c r="E700" i="85"/>
  <c r="D700" i="85"/>
  <c r="C700" i="85"/>
  <c r="M699" i="85"/>
  <c r="L699" i="85"/>
  <c r="K699" i="85"/>
  <c r="J699" i="85"/>
  <c r="I699" i="85"/>
  <c r="H699" i="85"/>
  <c r="G699" i="85"/>
  <c r="F699" i="85"/>
  <c r="E699" i="85"/>
  <c r="D699" i="85"/>
  <c r="C699" i="85"/>
  <c r="M698" i="85"/>
  <c r="L698" i="85"/>
  <c r="K698" i="85"/>
  <c r="J698" i="85"/>
  <c r="I698" i="85"/>
  <c r="H698" i="85"/>
  <c r="G698" i="85"/>
  <c r="F698" i="85"/>
  <c r="E698" i="85"/>
  <c r="D698" i="85"/>
  <c r="C698" i="85"/>
  <c r="M697" i="85"/>
  <c r="L697" i="85"/>
  <c r="K697" i="85"/>
  <c r="J697" i="85"/>
  <c r="I697" i="85"/>
  <c r="H697" i="85"/>
  <c r="G697" i="85"/>
  <c r="F697" i="85"/>
  <c r="E697" i="85"/>
  <c r="D697" i="85"/>
  <c r="C697" i="85"/>
  <c r="M696" i="85"/>
  <c r="L696" i="85"/>
  <c r="K696" i="85"/>
  <c r="J696" i="85"/>
  <c r="I696" i="85"/>
  <c r="H696" i="85"/>
  <c r="G696" i="85"/>
  <c r="F696" i="85"/>
  <c r="E696" i="85"/>
  <c r="D696" i="85"/>
  <c r="C696" i="85"/>
  <c r="M695" i="85"/>
  <c r="L695" i="85"/>
  <c r="K695" i="85"/>
  <c r="J695" i="85"/>
  <c r="I695" i="85"/>
  <c r="H695" i="85"/>
  <c r="G695" i="85"/>
  <c r="F695" i="85"/>
  <c r="E695" i="85"/>
  <c r="D695" i="85"/>
  <c r="C695" i="85"/>
  <c r="M694" i="85"/>
  <c r="L694" i="85"/>
  <c r="K694" i="85"/>
  <c r="J694" i="85"/>
  <c r="I694" i="85"/>
  <c r="H694" i="85"/>
  <c r="G694" i="85"/>
  <c r="F694" i="85"/>
  <c r="E694" i="85"/>
  <c r="D694" i="85"/>
  <c r="C694" i="85"/>
  <c r="M693" i="85"/>
  <c r="L693" i="85"/>
  <c r="K693" i="85"/>
  <c r="J693" i="85"/>
  <c r="I693" i="85"/>
  <c r="H693" i="85"/>
  <c r="G693" i="85"/>
  <c r="F693" i="85"/>
  <c r="E693" i="85"/>
  <c r="D693" i="85"/>
  <c r="C693" i="85"/>
  <c r="M692" i="85"/>
  <c r="L692" i="85"/>
  <c r="K692" i="85"/>
  <c r="J692" i="85"/>
  <c r="I692" i="85"/>
  <c r="H692" i="85"/>
  <c r="G692" i="85"/>
  <c r="F692" i="85"/>
  <c r="E692" i="85"/>
  <c r="D692" i="85"/>
  <c r="C692" i="85"/>
  <c r="M691" i="85"/>
  <c r="L691" i="85"/>
  <c r="K691" i="85"/>
  <c r="J691" i="85"/>
  <c r="I691" i="85"/>
  <c r="H691" i="85"/>
  <c r="G691" i="85"/>
  <c r="F691" i="85"/>
  <c r="E691" i="85"/>
  <c r="D691" i="85"/>
  <c r="C691" i="85"/>
  <c r="M690" i="85"/>
  <c r="L690" i="85"/>
  <c r="K690" i="85"/>
  <c r="J690" i="85"/>
  <c r="I690" i="85"/>
  <c r="H690" i="85"/>
  <c r="G690" i="85"/>
  <c r="F690" i="85"/>
  <c r="E690" i="85"/>
  <c r="D690" i="85"/>
  <c r="C690" i="85"/>
  <c r="M689" i="85"/>
  <c r="L689" i="85"/>
  <c r="K689" i="85"/>
  <c r="J689" i="85"/>
  <c r="I689" i="85"/>
  <c r="H689" i="85"/>
  <c r="G689" i="85"/>
  <c r="F689" i="85"/>
  <c r="E689" i="85"/>
  <c r="D689" i="85"/>
  <c r="C689" i="85"/>
  <c r="M688" i="85"/>
  <c r="L688" i="85"/>
  <c r="K688" i="85"/>
  <c r="J688" i="85"/>
  <c r="I688" i="85"/>
  <c r="H688" i="85"/>
  <c r="G688" i="85"/>
  <c r="F688" i="85"/>
  <c r="E688" i="85"/>
  <c r="D688" i="85"/>
  <c r="C688" i="85"/>
  <c r="M687" i="85"/>
  <c r="L687" i="85"/>
  <c r="K687" i="85"/>
  <c r="J687" i="85"/>
  <c r="I687" i="85"/>
  <c r="H687" i="85"/>
  <c r="G687" i="85"/>
  <c r="F687" i="85"/>
  <c r="E687" i="85"/>
  <c r="D687" i="85"/>
  <c r="C687" i="85"/>
  <c r="M686" i="85"/>
  <c r="L686" i="85"/>
  <c r="K686" i="85"/>
  <c r="J686" i="85"/>
  <c r="I686" i="85"/>
  <c r="H686" i="85"/>
  <c r="G686" i="85"/>
  <c r="F686" i="85"/>
  <c r="E686" i="85"/>
  <c r="D686" i="85"/>
  <c r="C686" i="85"/>
  <c r="M685" i="85"/>
  <c r="L685" i="85"/>
  <c r="K685" i="85"/>
  <c r="J685" i="85"/>
  <c r="I685" i="85"/>
  <c r="H685" i="85"/>
  <c r="G685" i="85"/>
  <c r="F685" i="85"/>
  <c r="E685" i="85"/>
  <c r="D685" i="85"/>
  <c r="C685" i="85"/>
  <c r="M684" i="85"/>
  <c r="L684" i="85"/>
  <c r="K684" i="85"/>
  <c r="J684" i="85"/>
  <c r="I684" i="85"/>
  <c r="H684" i="85"/>
  <c r="G684" i="85"/>
  <c r="F684" i="85"/>
  <c r="E684" i="85"/>
  <c r="D684" i="85"/>
  <c r="C684" i="85"/>
  <c r="M683" i="85"/>
  <c r="L683" i="85"/>
  <c r="K683" i="85"/>
  <c r="J683" i="85"/>
  <c r="I683" i="85"/>
  <c r="H683" i="85"/>
  <c r="G683" i="85"/>
  <c r="F683" i="85"/>
  <c r="E683" i="85"/>
  <c r="D683" i="85"/>
  <c r="C683" i="85"/>
  <c r="M682" i="85"/>
  <c r="L682" i="85"/>
  <c r="K682" i="85"/>
  <c r="J682" i="85"/>
  <c r="I682" i="85"/>
  <c r="H682" i="85"/>
  <c r="G682" i="85"/>
  <c r="F682" i="85"/>
  <c r="E682" i="85"/>
  <c r="D682" i="85"/>
  <c r="C682" i="85"/>
  <c r="M681" i="85"/>
  <c r="L681" i="85"/>
  <c r="K681" i="85"/>
  <c r="J681" i="85"/>
  <c r="I681" i="85"/>
  <c r="H681" i="85"/>
  <c r="G681" i="85"/>
  <c r="F681" i="85"/>
  <c r="E681" i="85"/>
  <c r="D681" i="85"/>
  <c r="C681" i="85"/>
  <c r="E565" i="85"/>
  <c r="E557" i="85"/>
  <c r="E569" i="85" s="1"/>
  <c r="E556" i="85"/>
  <c r="E568" i="85" s="1"/>
  <c r="E555" i="85"/>
  <c r="E567" i="85" s="1"/>
  <c r="E579" i="85" s="1"/>
  <c r="E554" i="85"/>
  <c r="E553" i="85"/>
  <c r="E552" i="85"/>
  <c r="E564" i="85" s="1"/>
  <c r="E551" i="85"/>
  <c r="E563" i="85" s="1"/>
  <c r="E575" i="85" s="1"/>
  <c r="E550" i="85"/>
  <c r="E549" i="85"/>
  <c r="E548" i="85"/>
  <c r="E560" i="85" s="1"/>
  <c r="E547" i="85"/>
  <c r="E559" i="85" s="1"/>
  <c r="E571" i="85" s="1"/>
  <c r="E583" i="85" s="1"/>
  <c r="E546" i="85"/>
  <c r="F413" i="85"/>
  <c r="N413" i="85" s="1"/>
  <c r="B413" i="85"/>
  <c r="B425" i="85" s="1"/>
  <c r="B437" i="85" s="1"/>
  <c r="B449" i="85" s="1"/>
  <c r="B461" i="85" s="1"/>
  <c r="B473" i="85" s="1"/>
  <c r="B485" i="85" s="1"/>
  <c r="B497" i="85" s="1"/>
  <c r="B509" i="85" s="1"/>
  <c r="B521" i="85" s="1"/>
  <c r="B533" i="85" s="1"/>
  <c r="B545" i="85" s="1"/>
  <c r="B557" i="85" s="1"/>
  <c r="B569" i="85" s="1"/>
  <c r="B581" i="85" s="1"/>
  <c r="B593" i="85" s="1"/>
  <c r="B605" i="85" s="1"/>
  <c r="B617" i="85" s="1"/>
  <c r="B629" i="85" s="1"/>
  <c r="B641" i="85" s="1"/>
  <c r="B653" i="85" s="1"/>
  <c r="B665" i="85" s="1"/>
  <c r="B677" i="85" s="1"/>
  <c r="A413" i="85"/>
  <c r="A425" i="85" s="1"/>
  <c r="A437" i="85" s="1"/>
  <c r="A449" i="85" s="1"/>
  <c r="A461" i="85" s="1"/>
  <c r="A473" i="85" s="1"/>
  <c r="A485" i="85" s="1"/>
  <c r="A497" i="85" s="1"/>
  <c r="A509" i="85" s="1"/>
  <c r="A521" i="85" s="1"/>
  <c r="A533" i="85" s="1"/>
  <c r="A545" i="85" s="1"/>
  <c r="A557" i="85" s="1"/>
  <c r="A569" i="85" s="1"/>
  <c r="A581" i="85" s="1"/>
  <c r="A593" i="85" s="1"/>
  <c r="A605" i="85" s="1"/>
  <c r="A617" i="85" s="1"/>
  <c r="A629" i="85" s="1"/>
  <c r="A641" i="85" s="1"/>
  <c r="A653" i="85" s="1"/>
  <c r="A665" i="85" s="1"/>
  <c r="A677" i="85" s="1"/>
  <c r="F412" i="85"/>
  <c r="N412" i="85" s="1"/>
  <c r="B412" i="85"/>
  <c r="B424" i="85" s="1"/>
  <c r="B436" i="85" s="1"/>
  <c r="B448" i="85" s="1"/>
  <c r="B460" i="85" s="1"/>
  <c r="B472" i="85" s="1"/>
  <c r="B484" i="85" s="1"/>
  <c r="B496" i="85" s="1"/>
  <c r="B508" i="85" s="1"/>
  <c r="B520" i="85" s="1"/>
  <c r="B532" i="85" s="1"/>
  <c r="B544" i="85" s="1"/>
  <c r="B556" i="85" s="1"/>
  <c r="B568" i="85" s="1"/>
  <c r="B580" i="85" s="1"/>
  <c r="B592" i="85" s="1"/>
  <c r="B604" i="85" s="1"/>
  <c r="B616" i="85" s="1"/>
  <c r="B628" i="85" s="1"/>
  <c r="B640" i="85" s="1"/>
  <c r="B652" i="85" s="1"/>
  <c r="B664" i="85" s="1"/>
  <c r="B676" i="85" s="1"/>
  <c r="A412" i="85"/>
  <c r="A424" i="85" s="1"/>
  <c r="A436" i="85" s="1"/>
  <c r="A448" i="85" s="1"/>
  <c r="A460" i="85" s="1"/>
  <c r="A472" i="85" s="1"/>
  <c r="A484" i="85" s="1"/>
  <c r="A496" i="85" s="1"/>
  <c r="A508" i="85" s="1"/>
  <c r="A520" i="85" s="1"/>
  <c r="A532" i="85" s="1"/>
  <c r="A544" i="85" s="1"/>
  <c r="A556" i="85" s="1"/>
  <c r="A568" i="85" s="1"/>
  <c r="A580" i="85" s="1"/>
  <c r="A592" i="85" s="1"/>
  <c r="A604" i="85" s="1"/>
  <c r="A616" i="85" s="1"/>
  <c r="A628" i="85" s="1"/>
  <c r="A640" i="85" s="1"/>
  <c r="A652" i="85" s="1"/>
  <c r="A664" i="85" s="1"/>
  <c r="A676" i="85" s="1"/>
  <c r="F411" i="85"/>
  <c r="N411" i="85" s="1"/>
  <c r="B411" i="85"/>
  <c r="B423" i="85" s="1"/>
  <c r="B435" i="85" s="1"/>
  <c r="B447" i="85" s="1"/>
  <c r="B459" i="85" s="1"/>
  <c r="B471" i="85" s="1"/>
  <c r="B483" i="85" s="1"/>
  <c r="B495" i="85" s="1"/>
  <c r="B507" i="85" s="1"/>
  <c r="B519" i="85" s="1"/>
  <c r="B531" i="85" s="1"/>
  <c r="B543" i="85" s="1"/>
  <c r="B555" i="85" s="1"/>
  <c r="B567" i="85" s="1"/>
  <c r="B579" i="85" s="1"/>
  <c r="B591" i="85" s="1"/>
  <c r="B603" i="85" s="1"/>
  <c r="B615" i="85" s="1"/>
  <c r="B627" i="85" s="1"/>
  <c r="B639" i="85" s="1"/>
  <c r="B651" i="85" s="1"/>
  <c r="B663" i="85" s="1"/>
  <c r="B675" i="85" s="1"/>
  <c r="A411" i="85"/>
  <c r="A423" i="85" s="1"/>
  <c r="A435" i="85" s="1"/>
  <c r="A447" i="85" s="1"/>
  <c r="A459" i="85" s="1"/>
  <c r="A471" i="85" s="1"/>
  <c r="A483" i="85" s="1"/>
  <c r="A495" i="85" s="1"/>
  <c r="A507" i="85" s="1"/>
  <c r="A519" i="85" s="1"/>
  <c r="A531" i="85" s="1"/>
  <c r="A543" i="85" s="1"/>
  <c r="A555" i="85" s="1"/>
  <c r="A567" i="85" s="1"/>
  <c r="A579" i="85" s="1"/>
  <c r="A591" i="85" s="1"/>
  <c r="A603" i="85" s="1"/>
  <c r="A615" i="85" s="1"/>
  <c r="A627" i="85" s="1"/>
  <c r="A639" i="85" s="1"/>
  <c r="A651" i="85" s="1"/>
  <c r="A663" i="85" s="1"/>
  <c r="A675" i="85" s="1"/>
  <c r="F410" i="85"/>
  <c r="N410" i="85" s="1"/>
  <c r="B410" i="85"/>
  <c r="B422" i="85" s="1"/>
  <c r="B434" i="85" s="1"/>
  <c r="B446" i="85" s="1"/>
  <c r="B458" i="85" s="1"/>
  <c r="B470" i="85" s="1"/>
  <c r="B482" i="85" s="1"/>
  <c r="B494" i="85" s="1"/>
  <c r="B506" i="85" s="1"/>
  <c r="B518" i="85" s="1"/>
  <c r="B530" i="85" s="1"/>
  <c r="B542" i="85" s="1"/>
  <c r="B554" i="85" s="1"/>
  <c r="B566" i="85" s="1"/>
  <c r="B578" i="85" s="1"/>
  <c r="B590" i="85" s="1"/>
  <c r="B602" i="85" s="1"/>
  <c r="B614" i="85" s="1"/>
  <c r="B626" i="85" s="1"/>
  <c r="B638" i="85" s="1"/>
  <c r="B650" i="85" s="1"/>
  <c r="B662" i="85" s="1"/>
  <c r="B674" i="85" s="1"/>
  <c r="A410" i="85"/>
  <c r="A422" i="85" s="1"/>
  <c r="A434" i="85" s="1"/>
  <c r="A446" i="85" s="1"/>
  <c r="A458" i="85" s="1"/>
  <c r="A470" i="85" s="1"/>
  <c r="A482" i="85" s="1"/>
  <c r="A494" i="85" s="1"/>
  <c r="A506" i="85" s="1"/>
  <c r="A518" i="85" s="1"/>
  <c r="A530" i="85" s="1"/>
  <c r="A542" i="85" s="1"/>
  <c r="A554" i="85" s="1"/>
  <c r="A566" i="85" s="1"/>
  <c r="A578" i="85" s="1"/>
  <c r="A590" i="85" s="1"/>
  <c r="A602" i="85" s="1"/>
  <c r="A614" i="85" s="1"/>
  <c r="A626" i="85" s="1"/>
  <c r="A638" i="85" s="1"/>
  <c r="A650" i="85" s="1"/>
  <c r="A662" i="85" s="1"/>
  <c r="A674" i="85" s="1"/>
  <c r="F409" i="85"/>
  <c r="N409" i="85" s="1"/>
  <c r="B409" i="85"/>
  <c r="B421" i="85" s="1"/>
  <c r="B433" i="85" s="1"/>
  <c r="B445" i="85" s="1"/>
  <c r="B457" i="85" s="1"/>
  <c r="B469" i="85" s="1"/>
  <c r="B481" i="85" s="1"/>
  <c r="B493" i="85" s="1"/>
  <c r="B505" i="85" s="1"/>
  <c r="B517" i="85" s="1"/>
  <c r="B529" i="85" s="1"/>
  <c r="B541" i="85" s="1"/>
  <c r="B553" i="85" s="1"/>
  <c r="B565" i="85" s="1"/>
  <c r="B577" i="85" s="1"/>
  <c r="B589" i="85" s="1"/>
  <c r="B601" i="85" s="1"/>
  <c r="B613" i="85" s="1"/>
  <c r="B625" i="85" s="1"/>
  <c r="B637" i="85" s="1"/>
  <c r="B649" i="85" s="1"/>
  <c r="B661" i="85" s="1"/>
  <c r="B673" i="85" s="1"/>
  <c r="A409" i="85"/>
  <c r="A421" i="85" s="1"/>
  <c r="A433" i="85" s="1"/>
  <c r="A445" i="85" s="1"/>
  <c r="A457" i="85" s="1"/>
  <c r="A469" i="85" s="1"/>
  <c r="A481" i="85" s="1"/>
  <c r="A493" i="85" s="1"/>
  <c r="A505" i="85" s="1"/>
  <c r="A517" i="85" s="1"/>
  <c r="A529" i="85" s="1"/>
  <c r="A541" i="85" s="1"/>
  <c r="A553" i="85" s="1"/>
  <c r="A565" i="85" s="1"/>
  <c r="A577" i="85" s="1"/>
  <c r="A589" i="85" s="1"/>
  <c r="A601" i="85" s="1"/>
  <c r="A613" i="85" s="1"/>
  <c r="A625" i="85" s="1"/>
  <c r="A637" i="85" s="1"/>
  <c r="A649" i="85" s="1"/>
  <c r="A661" i="85" s="1"/>
  <c r="A673" i="85" s="1"/>
  <c r="F408" i="85"/>
  <c r="N408" i="85" s="1"/>
  <c r="B408" i="85"/>
  <c r="B420" i="85" s="1"/>
  <c r="B432" i="85" s="1"/>
  <c r="B444" i="85" s="1"/>
  <c r="B456" i="85" s="1"/>
  <c r="B468" i="85" s="1"/>
  <c r="B480" i="85" s="1"/>
  <c r="B492" i="85" s="1"/>
  <c r="B504" i="85" s="1"/>
  <c r="B516" i="85" s="1"/>
  <c r="B528" i="85" s="1"/>
  <c r="B540" i="85" s="1"/>
  <c r="B552" i="85" s="1"/>
  <c r="B564" i="85" s="1"/>
  <c r="B576" i="85" s="1"/>
  <c r="B588" i="85" s="1"/>
  <c r="B600" i="85" s="1"/>
  <c r="B612" i="85" s="1"/>
  <c r="B624" i="85" s="1"/>
  <c r="B636" i="85" s="1"/>
  <c r="B648" i="85" s="1"/>
  <c r="B660" i="85" s="1"/>
  <c r="B672" i="85" s="1"/>
  <c r="A408" i="85"/>
  <c r="A420" i="85" s="1"/>
  <c r="A432" i="85" s="1"/>
  <c r="A444" i="85" s="1"/>
  <c r="A456" i="85" s="1"/>
  <c r="A468" i="85" s="1"/>
  <c r="A480" i="85" s="1"/>
  <c r="A492" i="85" s="1"/>
  <c r="A504" i="85" s="1"/>
  <c r="A516" i="85" s="1"/>
  <c r="A528" i="85" s="1"/>
  <c r="A540" i="85" s="1"/>
  <c r="A552" i="85" s="1"/>
  <c r="A564" i="85" s="1"/>
  <c r="A576" i="85" s="1"/>
  <c r="A588" i="85" s="1"/>
  <c r="A600" i="85" s="1"/>
  <c r="A612" i="85" s="1"/>
  <c r="A624" i="85" s="1"/>
  <c r="A636" i="85" s="1"/>
  <c r="A648" i="85" s="1"/>
  <c r="A660" i="85" s="1"/>
  <c r="A672" i="85" s="1"/>
  <c r="F407" i="85"/>
  <c r="N407" i="85" s="1"/>
  <c r="B407" i="85"/>
  <c r="B419" i="85" s="1"/>
  <c r="B431" i="85" s="1"/>
  <c r="B443" i="85" s="1"/>
  <c r="B455" i="85" s="1"/>
  <c r="B467" i="85" s="1"/>
  <c r="B479" i="85" s="1"/>
  <c r="B491" i="85" s="1"/>
  <c r="B503" i="85" s="1"/>
  <c r="B515" i="85" s="1"/>
  <c r="B527" i="85" s="1"/>
  <c r="B539" i="85" s="1"/>
  <c r="B551" i="85" s="1"/>
  <c r="B563" i="85" s="1"/>
  <c r="B575" i="85" s="1"/>
  <c r="B587" i="85" s="1"/>
  <c r="B599" i="85" s="1"/>
  <c r="B611" i="85" s="1"/>
  <c r="B623" i="85" s="1"/>
  <c r="B635" i="85" s="1"/>
  <c r="B647" i="85" s="1"/>
  <c r="B659" i="85" s="1"/>
  <c r="B671" i="85" s="1"/>
  <c r="A407" i="85"/>
  <c r="A419" i="85" s="1"/>
  <c r="A431" i="85" s="1"/>
  <c r="A443" i="85" s="1"/>
  <c r="A455" i="85" s="1"/>
  <c r="A467" i="85" s="1"/>
  <c r="A479" i="85" s="1"/>
  <c r="A491" i="85" s="1"/>
  <c r="A503" i="85" s="1"/>
  <c r="A515" i="85" s="1"/>
  <c r="A527" i="85" s="1"/>
  <c r="A539" i="85" s="1"/>
  <c r="A551" i="85" s="1"/>
  <c r="A563" i="85" s="1"/>
  <c r="A575" i="85" s="1"/>
  <c r="A587" i="85" s="1"/>
  <c r="A599" i="85" s="1"/>
  <c r="A611" i="85" s="1"/>
  <c r="A623" i="85" s="1"/>
  <c r="A635" i="85" s="1"/>
  <c r="A647" i="85" s="1"/>
  <c r="A659" i="85" s="1"/>
  <c r="A671" i="85" s="1"/>
  <c r="F406" i="85"/>
  <c r="N406" i="85" s="1"/>
  <c r="B406" i="85"/>
  <c r="B418" i="85" s="1"/>
  <c r="B430" i="85" s="1"/>
  <c r="B442" i="85" s="1"/>
  <c r="B454" i="85" s="1"/>
  <c r="B466" i="85" s="1"/>
  <c r="B478" i="85" s="1"/>
  <c r="B490" i="85" s="1"/>
  <c r="B502" i="85" s="1"/>
  <c r="B514" i="85" s="1"/>
  <c r="B526" i="85" s="1"/>
  <c r="B538" i="85" s="1"/>
  <c r="B550" i="85" s="1"/>
  <c r="B562" i="85" s="1"/>
  <c r="B574" i="85" s="1"/>
  <c r="B586" i="85" s="1"/>
  <c r="B598" i="85" s="1"/>
  <c r="B610" i="85" s="1"/>
  <c r="B622" i="85" s="1"/>
  <c r="B634" i="85" s="1"/>
  <c r="B646" i="85" s="1"/>
  <c r="B658" i="85" s="1"/>
  <c r="B670" i="85" s="1"/>
  <c r="A406" i="85"/>
  <c r="A418" i="85" s="1"/>
  <c r="A430" i="85" s="1"/>
  <c r="A442" i="85" s="1"/>
  <c r="A454" i="85" s="1"/>
  <c r="A466" i="85" s="1"/>
  <c r="A478" i="85" s="1"/>
  <c r="A490" i="85" s="1"/>
  <c r="A502" i="85" s="1"/>
  <c r="A514" i="85" s="1"/>
  <c r="A526" i="85" s="1"/>
  <c r="A538" i="85" s="1"/>
  <c r="A550" i="85" s="1"/>
  <c r="A562" i="85" s="1"/>
  <c r="A574" i="85" s="1"/>
  <c r="A586" i="85" s="1"/>
  <c r="A598" i="85" s="1"/>
  <c r="A610" i="85" s="1"/>
  <c r="A622" i="85" s="1"/>
  <c r="A634" i="85" s="1"/>
  <c r="A646" i="85" s="1"/>
  <c r="A658" i="85" s="1"/>
  <c r="A670" i="85" s="1"/>
  <c r="F405" i="85"/>
  <c r="N405" i="85" s="1"/>
  <c r="B405" i="85"/>
  <c r="B417" i="85" s="1"/>
  <c r="B429" i="85" s="1"/>
  <c r="B441" i="85" s="1"/>
  <c r="B453" i="85" s="1"/>
  <c r="B465" i="85" s="1"/>
  <c r="B477" i="85" s="1"/>
  <c r="B489" i="85" s="1"/>
  <c r="B501" i="85" s="1"/>
  <c r="B513" i="85" s="1"/>
  <c r="B525" i="85" s="1"/>
  <c r="B537" i="85" s="1"/>
  <c r="B549" i="85" s="1"/>
  <c r="B561" i="85" s="1"/>
  <c r="B573" i="85" s="1"/>
  <c r="B585" i="85" s="1"/>
  <c r="B597" i="85" s="1"/>
  <c r="B609" i="85" s="1"/>
  <c r="B621" i="85" s="1"/>
  <c r="B633" i="85" s="1"/>
  <c r="B645" i="85" s="1"/>
  <c r="B657" i="85" s="1"/>
  <c r="B669" i="85" s="1"/>
  <c r="A405" i="85"/>
  <c r="A417" i="85" s="1"/>
  <c r="A429" i="85" s="1"/>
  <c r="A441" i="85" s="1"/>
  <c r="A453" i="85" s="1"/>
  <c r="A465" i="85" s="1"/>
  <c r="A477" i="85" s="1"/>
  <c r="A489" i="85" s="1"/>
  <c r="A501" i="85" s="1"/>
  <c r="A513" i="85" s="1"/>
  <c r="A525" i="85" s="1"/>
  <c r="A537" i="85" s="1"/>
  <c r="A549" i="85" s="1"/>
  <c r="A561" i="85" s="1"/>
  <c r="A573" i="85" s="1"/>
  <c r="A585" i="85" s="1"/>
  <c r="A597" i="85" s="1"/>
  <c r="A609" i="85" s="1"/>
  <c r="A621" i="85" s="1"/>
  <c r="A633" i="85" s="1"/>
  <c r="A645" i="85" s="1"/>
  <c r="A657" i="85" s="1"/>
  <c r="A669" i="85" s="1"/>
  <c r="F404" i="85"/>
  <c r="N404" i="85" s="1"/>
  <c r="B404" i="85"/>
  <c r="B416" i="85" s="1"/>
  <c r="B428" i="85" s="1"/>
  <c r="B440" i="85" s="1"/>
  <c r="B452" i="85" s="1"/>
  <c r="B464" i="85" s="1"/>
  <c r="B476" i="85" s="1"/>
  <c r="B488" i="85" s="1"/>
  <c r="B500" i="85" s="1"/>
  <c r="B512" i="85" s="1"/>
  <c r="B524" i="85" s="1"/>
  <c r="B536" i="85" s="1"/>
  <c r="B548" i="85" s="1"/>
  <c r="B560" i="85" s="1"/>
  <c r="B572" i="85" s="1"/>
  <c r="B584" i="85" s="1"/>
  <c r="B596" i="85" s="1"/>
  <c r="B608" i="85" s="1"/>
  <c r="B620" i="85" s="1"/>
  <c r="B632" i="85" s="1"/>
  <c r="B644" i="85" s="1"/>
  <c r="B656" i="85" s="1"/>
  <c r="B668" i="85" s="1"/>
  <c r="A404" i="85"/>
  <c r="A416" i="85" s="1"/>
  <c r="A428" i="85" s="1"/>
  <c r="A440" i="85" s="1"/>
  <c r="A452" i="85" s="1"/>
  <c r="A464" i="85" s="1"/>
  <c r="A476" i="85" s="1"/>
  <c r="A488" i="85" s="1"/>
  <c r="A500" i="85" s="1"/>
  <c r="A512" i="85" s="1"/>
  <c r="A524" i="85" s="1"/>
  <c r="A536" i="85" s="1"/>
  <c r="A548" i="85" s="1"/>
  <c r="A560" i="85" s="1"/>
  <c r="A572" i="85" s="1"/>
  <c r="A584" i="85" s="1"/>
  <c r="A596" i="85" s="1"/>
  <c r="A608" i="85" s="1"/>
  <c r="A620" i="85" s="1"/>
  <c r="A632" i="85" s="1"/>
  <c r="A644" i="85" s="1"/>
  <c r="A656" i="85" s="1"/>
  <c r="A668" i="85" s="1"/>
  <c r="F403" i="85"/>
  <c r="N403" i="85" s="1"/>
  <c r="B403" i="85"/>
  <c r="B415" i="85" s="1"/>
  <c r="B427" i="85" s="1"/>
  <c r="B439" i="85" s="1"/>
  <c r="B451" i="85" s="1"/>
  <c r="B463" i="85" s="1"/>
  <c r="B475" i="85" s="1"/>
  <c r="B487" i="85" s="1"/>
  <c r="B499" i="85" s="1"/>
  <c r="B511" i="85" s="1"/>
  <c r="B523" i="85" s="1"/>
  <c r="B535" i="85" s="1"/>
  <c r="B547" i="85" s="1"/>
  <c r="B559" i="85" s="1"/>
  <c r="B571" i="85" s="1"/>
  <c r="B583" i="85" s="1"/>
  <c r="B595" i="85" s="1"/>
  <c r="B607" i="85" s="1"/>
  <c r="B619" i="85" s="1"/>
  <c r="B631" i="85" s="1"/>
  <c r="B643" i="85" s="1"/>
  <c r="B655" i="85" s="1"/>
  <c r="B667" i="85" s="1"/>
  <c r="A403" i="85"/>
  <c r="A415" i="85" s="1"/>
  <c r="A427" i="85" s="1"/>
  <c r="A439" i="85" s="1"/>
  <c r="A451" i="85" s="1"/>
  <c r="A463" i="85" s="1"/>
  <c r="A475" i="85" s="1"/>
  <c r="A487" i="85" s="1"/>
  <c r="A499" i="85" s="1"/>
  <c r="A511" i="85" s="1"/>
  <c r="A523" i="85" s="1"/>
  <c r="A535" i="85" s="1"/>
  <c r="A547" i="85" s="1"/>
  <c r="A559" i="85" s="1"/>
  <c r="A571" i="85" s="1"/>
  <c r="A583" i="85" s="1"/>
  <c r="A595" i="85" s="1"/>
  <c r="A607" i="85" s="1"/>
  <c r="A619" i="85" s="1"/>
  <c r="A631" i="85" s="1"/>
  <c r="A643" i="85" s="1"/>
  <c r="A655" i="85" s="1"/>
  <c r="A667" i="85" s="1"/>
  <c r="F402" i="85"/>
  <c r="B402" i="85"/>
  <c r="B414" i="85" s="1"/>
  <c r="B426" i="85" s="1"/>
  <c r="B438" i="85" s="1"/>
  <c r="B450" i="85" s="1"/>
  <c r="B462" i="85" s="1"/>
  <c r="B474" i="85" s="1"/>
  <c r="B486" i="85" s="1"/>
  <c r="B498" i="85" s="1"/>
  <c r="B510" i="85" s="1"/>
  <c r="B522" i="85" s="1"/>
  <c r="B534" i="85" s="1"/>
  <c r="B546" i="85" s="1"/>
  <c r="B558" i="85" s="1"/>
  <c r="B570" i="85" s="1"/>
  <c r="B582" i="85" s="1"/>
  <c r="B594" i="85" s="1"/>
  <c r="B606" i="85" s="1"/>
  <c r="B618" i="85" s="1"/>
  <c r="B630" i="85" s="1"/>
  <c r="B642" i="85" s="1"/>
  <c r="B654" i="85" s="1"/>
  <c r="B666" i="85" s="1"/>
  <c r="A402" i="85"/>
  <c r="A414" i="85" s="1"/>
  <c r="A426" i="85" s="1"/>
  <c r="A438" i="85" s="1"/>
  <c r="A450" i="85" s="1"/>
  <c r="A462" i="85" s="1"/>
  <c r="A474" i="85" s="1"/>
  <c r="A486" i="85" s="1"/>
  <c r="A498" i="85" s="1"/>
  <c r="A510" i="85" s="1"/>
  <c r="A522" i="85" s="1"/>
  <c r="A534" i="85" s="1"/>
  <c r="A546" i="85" s="1"/>
  <c r="A558" i="85" s="1"/>
  <c r="A570" i="85" s="1"/>
  <c r="A582" i="85" s="1"/>
  <c r="A594" i="85" s="1"/>
  <c r="A606" i="85" s="1"/>
  <c r="A618" i="85" s="1"/>
  <c r="A630" i="85" s="1"/>
  <c r="A642" i="85" s="1"/>
  <c r="A654" i="85" s="1"/>
  <c r="A666" i="85" s="1"/>
  <c r="N401" i="85"/>
  <c r="N400" i="85"/>
  <c r="N399" i="85"/>
  <c r="N398" i="85"/>
  <c r="N397" i="85"/>
  <c r="N396" i="85"/>
  <c r="N395" i="85"/>
  <c r="N394" i="85"/>
  <c r="N393" i="85"/>
  <c r="N392" i="85"/>
  <c r="N391" i="85"/>
  <c r="N390" i="85"/>
  <c r="N713" i="85" s="1"/>
  <c r="N389" i="85"/>
  <c r="N388" i="85"/>
  <c r="N387" i="85"/>
  <c r="N386" i="85"/>
  <c r="N385" i="85"/>
  <c r="N384" i="85"/>
  <c r="N383" i="85"/>
  <c r="N382" i="85"/>
  <c r="N381" i="85"/>
  <c r="N380" i="85"/>
  <c r="N379" i="85"/>
  <c r="N378" i="85"/>
  <c r="N712" i="85" s="1"/>
  <c r="N377" i="85"/>
  <c r="N376" i="85"/>
  <c r="N375" i="85"/>
  <c r="N374" i="85"/>
  <c r="N373" i="85"/>
  <c r="N372" i="85"/>
  <c r="N371" i="85"/>
  <c r="N370" i="85"/>
  <c r="N369" i="85"/>
  <c r="N368" i="85"/>
  <c r="N367" i="85"/>
  <c r="N366" i="85"/>
  <c r="N365" i="85"/>
  <c r="N364" i="85"/>
  <c r="N363" i="85"/>
  <c r="N362" i="85"/>
  <c r="N361" i="85"/>
  <c r="N360" i="85"/>
  <c r="N359" i="85"/>
  <c r="N358" i="85"/>
  <c r="N357" i="85"/>
  <c r="N356" i="85"/>
  <c r="N355" i="85"/>
  <c r="N354" i="85"/>
  <c r="N710" i="85" s="1"/>
  <c r="N353" i="85"/>
  <c r="N352" i="85"/>
  <c r="N351" i="85"/>
  <c r="N350" i="85"/>
  <c r="N349" i="85"/>
  <c r="N348" i="85"/>
  <c r="N347" i="85"/>
  <c r="N346" i="85"/>
  <c r="N345" i="85"/>
  <c r="N344" i="85"/>
  <c r="N343" i="85"/>
  <c r="N342" i="85"/>
  <c r="N709" i="85" s="1"/>
  <c r="N341" i="85"/>
  <c r="N340" i="85"/>
  <c r="N339" i="85"/>
  <c r="N338" i="85"/>
  <c r="N337" i="85"/>
  <c r="N336" i="85"/>
  <c r="N335" i="85"/>
  <c r="N334" i="85"/>
  <c r="N333" i="85"/>
  <c r="N332" i="85"/>
  <c r="N331" i="85"/>
  <c r="N330" i="85"/>
  <c r="N708" i="85" s="1"/>
  <c r="N329" i="85"/>
  <c r="N328" i="85"/>
  <c r="N327" i="85"/>
  <c r="N326" i="85"/>
  <c r="N325" i="85"/>
  <c r="N324" i="85"/>
  <c r="N323" i="85"/>
  <c r="N322" i="85"/>
  <c r="N321" i="85"/>
  <c r="N320" i="85"/>
  <c r="N319" i="85"/>
  <c r="N318" i="85"/>
  <c r="N707" i="85" s="1"/>
  <c r="N317" i="85"/>
  <c r="N316" i="85"/>
  <c r="N315" i="85"/>
  <c r="N314" i="85"/>
  <c r="N313" i="85"/>
  <c r="N312" i="85"/>
  <c r="N311" i="85"/>
  <c r="N310" i="85"/>
  <c r="N309" i="85"/>
  <c r="N308" i="85"/>
  <c r="N307" i="85"/>
  <c r="N306" i="85"/>
  <c r="N706" i="85" s="1"/>
  <c r="N305" i="85"/>
  <c r="N304" i="85"/>
  <c r="N303" i="85"/>
  <c r="N302" i="85"/>
  <c r="N301" i="85"/>
  <c r="N300" i="85"/>
  <c r="N299" i="85"/>
  <c r="N298" i="85"/>
  <c r="N297" i="85"/>
  <c r="N296" i="85"/>
  <c r="N295" i="85"/>
  <c r="N294" i="85"/>
  <c r="N705" i="85" s="1"/>
  <c r="N293" i="85"/>
  <c r="N292" i="85"/>
  <c r="N291" i="85"/>
  <c r="N290" i="85"/>
  <c r="N289" i="85"/>
  <c r="N288" i="85"/>
  <c r="N287" i="85"/>
  <c r="N286" i="85"/>
  <c r="N285" i="85"/>
  <c r="N284" i="85"/>
  <c r="N283" i="85"/>
  <c r="N282" i="85"/>
  <c r="N704" i="85" s="1"/>
  <c r="N281" i="85"/>
  <c r="N280" i="85"/>
  <c r="N279" i="85"/>
  <c r="N278" i="85"/>
  <c r="N277" i="85"/>
  <c r="N276" i="85"/>
  <c r="N275" i="85"/>
  <c r="N274" i="85"/>
  <c r="N273" i="85"/>
  <c r="N272" i="85"/>
  <c r="N271" i="85"/>
  <c r="N270" i="85"/>
  <c r="N703" i="85" s="1"/>
  <c r="N269" i="85"/>
  <c r="N268" i="85"/>
  <c r="N267" i="85"/>
  <c r="N266" i="85"/>
  <c r="N265" i="85"/>
  <c r="N264" i="85"/>
  <c r="N263" i="85"/>
  <c r="N262" i="85"/>
  <c r="N261" i="85"/>
  <c r="N260" i="85"/>
  <c r="N259" i="85"/>
  <c r="N258" i="85"/>
  <c r="N702" i="85" s="1"/>
  <c r="N257" i="85"/>
  <c r="N256" i="85"/>
  <c r="N255" i="85"/>
  <c r="N254" i="85"/>
  <c r="N253" i="85"/>
  <c r="N252" i="85"/>
  <c r="N251" i="85"/>
  <c r="N250" i="85"/>
  <c r="N249" i="85"/>
  <c r="N248" i="85"/>
  <c r="N247" i="85"/>
  <c r="N246" i="85"/>
  <c r="N701" i="85" s="1"/>
  <c r="N245" i="85"/>
  <c r="N244" i="85"/>
  <c r="N243" i="85"/>
  <c r="N242" i="85"/>
  <c r="N241" i="85"/>
  <c r="N240" i="85"/>
  <c r="N239" i="85"/>
  <c r="N238" i="85"/>
  <c r="N237" i="85"/>
  <c r="N236" i="85"/>
  <c r="N235" i="85"/>
  <c r="N234" i="85"/>
  <c r="N700" i="85" s="1"/>
  <c r="N233" i="85"/>
  <c r="N232" i="85"/>
  <c r="N231" i="85"/>
  <c r="N230" i="85"/>
  <c r="N229" i="85"/>
  <c r="N228" i="85"/>
  <c r="N227" i="85"/>
  <c r="N226" i="85"/>
  <c r="N225" i="85"/>
  <c r="N224" i="85"/>
  <c r="N223" i="85"/>
  <c r="N222" i="85"/>
  <c r="N699" i="85" s="1"/>
  <c r="N221" i="85"/>
  <c r="N220" i="85"/>
  <c r="N219" i="85"/>
  <c r="N218" i="85"/>
  <c r="N217" i="85"/>
  <c r="N216" i="85"/>
  <c r="N215" i="85"/>
  <c r="N214" i="85"/>
  <c r="N213" i="85"/>
  <c r="N212" i="85"/>
  <c r="N211" i="85"/>
  <c r="N210" i="85"/>
  <c r="N698" i="85" s="1"/>
  <c r="N209" i="85"/>
  <c r="N208" i="85"/>
  <c r="N207" i="85"/>
  <c r="N206" i="85"/>
  <c r="N205" i="85"/>
  <c r="N204" i="85"/>
  <c r="N203" i="85"/>
  <c r="N202" i="85"/>
  <c r="N201" i="85"/>
  <c r="N200" i="85"/>
  <c r="N199" i="85"/>
  <c r="N198" i="85"/>
  <c r="N697" i="85" s="1"/>
  <c r="N197" i="85"/>
  <c r="N196" i="85"/>
  <c r="N195" i="85"/>
  <c r="N194" i="85"/>
  <c r="N193" i="85"/>
  <c r="N192" i="85"/>
  <c r="N191" i="85"/>
  <c r="N190" i="85"/>
  <c r="N189" i="85"/>
  <c r="N188" i="85"/>
  <c r="N187" i="85"/>
  <c r="N186" i="85"/>
  <c r="N696" i="85" s="1"/>
  <c r="N185" i="85"/>
  <c r="N184" i="85"/>
  <c r="N183" i="85"/>
  <c r="N182" i="85"/>
  <c r="N181" i="85"/>
  <c r="N180" i="85"/>
  <c r="N179" i="85"/>
  <c r="N178" i="85"/>
  <c r="N177" i="85"/>
  <c r="N176" i="85"/>
  <c r="N175" i="85"/>
  <c r="N174" i="85"/>
  <c r="N695" i="85" s="1"/>
  <c r="N173" i="85"/>
  <c r="N172" i="85"/>
  <c r="N171" i="85"/>
  <c r="N170" i="85"/>
  <c r="N169" i="85"/>
  <c r="N168" i="85"/>
  <c r="N167" i="85"/>
  <c r="N166" i="85"/>
  <c r="N165" i="85"/>
  <c r="N164" i="85"/>
  <c r="N163" i="85"/>
  <c r="N162" i="85"/>
  <c r="N694" i="85" s="1"/>
  <c r="N161" i="85"/>
  <c r="N160" i="85"/>
  <c r="N159" i="85"/>
  <c r="N158" i="85"/>
  <c r="N157" i="85"/>
  <c r="N156" i="85"/>
  <c r="N155" i="85"/>
  <c r="N154" i="85"/>
  <c r="N153" i="85"/>
  <c r="N152" i="85"/>
  <c r="N151" i="85"/>
  <c r="N150" i="85"/>
  <c r="N693" i="85" s="1"/>
  <c r="N149" i="85"/>
  <c r="N148" i="85"/>
  <c r="N147" i="85"/>
  <c r="N146" i="85"/>
  <c r="N145" i="85"/>
  <c r="N144" i="85"/>
  <c r="N143" i="85"/>
  <c r="N142" i="85"/>
  <c r="N141" i="85"/>
  <c r="N140" i="85"/>
  <c r="N139" i="85"/>
  <c r="N138" i="85"/>
  <c r="N692" i="85" s="1"/>
  <c r="N137" i="85"/>
  <c r="N136" i="85"/>
  <c r="N135" i="85"/>
  <c r="N134" i="85"/>
  <c r="N133" i="85"/>
  <c r="N132" i="85"/>
  <c r="N131" i="85"/>
  <c r="N130" i="85"/>
  <c r="N129" i="85"/>
  <c r="N128" i="85"/>
  <c r="N127" i="85"/>
  <c r="N126" i="85"/>
  <c r="N691" i="85" s="1"/>
  <c r="N125" i="85"/>
  <c r="N124" i="85"/>
  <c r="N123" i="85"/>
  <c r="N122" i="85"/>
  <c r="N121" i="85"/>
  <c r="N120" i="85"/>
  <c r="N119" i="85"/>
  <c r="N118" i="85"/>
  <c r="N117" i="85"/>
  <c r="N116" i="85"/>
  <c r="N115" i="85"/>
  <c r="N114" i="85"/>
  <c r="N690" i="85" s="1"/>
  <c r="N113" i="85"/>
  <c r="N112" i="85"/>
  <c r="N111" i="85"/>
  <c r="N110" i="85"/>
  <c r="N109" i="85"/>
  <c r="N108" i="85"/>
  <c r="N107" i="85"/>
  <c r="N106" i="85"/>
  <c r="N105" i="85"/>
  <c r="N104" i="85"/>
  <c r="N103" i="85"/>
  <c r="N102" i="85"/>
  <c r="N689" i="85" s="1"/>
  <c r="N101" i="85"/>
  <c r="A101" i="85"/>
  <c r="A113" i="85" s="1"/>
  <c r="A125" i="85" s="1"/>
  <c r="A137" i="85" s="1"/>
  <c r="A149" i="85" s="1"/>
  <c r="A161" i="85" s="1"/>
  <c r="A173" i="85" s="1"/>
  <c r="A185" i="85" s="1"/>
  <c r="A197" i="85" s="1"/>
  <c r="A209" i="85" s="1"/>
  <c r="A221" i="85" s="1"/>
  <c r="A233" i="85" s="1"/>
  <c r="A245" i="85" s="1"/>
  <c r="N100" i="85"/>
  <c r="A100" i="85"/>
  <c r="A112" i="85" s="1"/>
  <c r="A124" i="85" s="1"/>
  <c r="A136" i="85" s="1"/>
  <c r="A148" i="85" s="1"/>
  <c r="A160" i="85" s="1"/>
  <c r="A172" i="85" s="1"/>
  <c r="A184" i="85" s="1"/>
  <c r="A196" i="85" s="1"/>
  <c r="A208" i="85" s="1"/>
  <c r="A220" i="85" s="1"/>
  <c r="A232" i="85" s="1"/>
  <c r="A244" i="85" s="1"/>
  <c r="N99" i="85"/>
  <c r="A99" i="85"/>
  <c r="A111" i="85" s="1"/>
  <c r="A123" i="85" s="1"/>
  <c r="A135" i="85" s="1"/>
  <c r="A147" i="85" s="1"/>
  <c r="A159" i="85" s="1"/>
  <c r="A171" i="85" s="1"/>
  <c r="A183" i="85" s="1"/>
  <c r="A195" i="85" s="1"/>
  <c r="A207" i="85" s="1"/>
  <c r="A219" i="85" s="1"/>
  <c r="A231" i="85" s="1"/>
  <c r="A243" i="85" s="1"/>
  <c r="N98" i="85"/>
  <c r="A98" i="85"/>
  <c r="A110" i="85" s="1"/>
  <c r="A122" i="85" s="1"/>
  <c r="A134" i="85" s="1"/>
  <c r="A146" i="85" s="1"/>
  <c r="A158" i="85" s="1"/>
  <c r="A170" i="85" s="1"/>
  <c r="A182" i="85" s="1"/>
  <c r="A194" i="85" s="1"/>
  <c r="A206" i="85" s="1"/>
  <c r="A218" i="85" s="1"/>
  <c r="A230" i="85" s="1"/>
  <c r="A242" i="85" s="1"/>
  <c r="N97" i="85"/>
  <c r="A97" i="85"/>
  <c r="A109" i="85" s="1"/>
  <c r="A121" i="85" s="1"/>
  <c r="A133" i="85" s="1"/>
  <c r="A145" i="85" s="1"/>
  <c r="A157" i="85" s="1"/>
  <c r="A169" i="85" s="1"/>
  <c r="A181" i="85" s="1"/>
  <c r="A193" i="85" s="1"/>
  <c r="A205" i="85" s="1"/>
  <c r="A217" i="85" s="1"/>
  <c r="A229" i="85" s="1"/>
  <c r="A241" i="85" s="1"/>
  <c r="N96" i="85"/>
  <c r="A96" i="85"/>
  <c r="A108" i="85" s="1"/>
  <c r="A120" i="85" s="1"/>
  <c r="A132" i="85" s="1"/>
  <c r="A144" i="85" s="1"/>
  <c r="A156" i="85" s="1"/>
  <c r="A168" i="85" s="1"/>
  <c r="A180" i="85" s="1"/>
  <c r="A192" i="85" s="1"/>
  <c r="A204" i="85" s="1"/>
  <c r="A216" i="85" s="1"/>
  <c r="A228" i="85" s="1"/>
  <c r="A240" i="85" s="1"/>
  <c r="N95" i="85"/>
  <c r="A95" i="85"/>
  <c r="A107" i="85" s="1"/>
  <c r="A119" i="85" s="1"/>
  <c r="A131" i="85" s="1"/>
  <c r="A143" i="85" s="1"/>
  <c r="A155" i="85" s="1"/>
  <c r="A167" i="85" s="1"/>
  <c r="A179" i="85" s="1"/>
  <c r="A191" i="85" s="1"/>
  <c r="A203" i="85" s="1"/>
  <c r="A215" i="85" s="1"/>
  <c r="A227" i="85" s="1"/>
  <c r="A239" i="85" s="1"/>
  <c r="N94" i="85"/>
  <c r="A94" i="85"/>
  <c r="A106" i="85" s="1"/>
  <c r="A118" i="85" s="1"/>
  <c r="A130" i="85" s="1"/>
  <c r="A142" i="85" s="1"/>
  <c r="A154" i="85" s="1"/>
  <c r="A166" i="85" s="1"/>
  <c r="A178" i="85" s="1"/>
  <c r="A190" i="85" s="1"/>
  <c r="A202" i="85" s="1"/>
  <c r="A214" i="85" s="1"/>
  <c r="A226" i="85" s="1"/>
  <c r="A238" i="85" s="1"/>
  <c r="N93" i="85"/>
  <c r="A93" i="85"/>
  <c r="A105" i="85" s="1"/>
  <c r="A117" i="85" s="1"/>
  <c r="A129" i="85" s="1"/>
  <c r="A141" i="85" s="1"/>
  <c r="A153" i="85" s="1"/>
  <c r="A165" i="85" s="1"/>
  <c r="A177" i="85" s="1"/>
  <c r="A189" i="85" s="1"/>
  <c r="A201" i="85" s="1"/>
  <c r="A213" i="85" s="1"/>
  <c r="A225" i="85" s="1"/>
  <c r="A237" i="85" s="1"/>
  <c r="N92" i="85"/>
  <c r="A92" i="85"/>
  <c r="A104" i="85" s="1"/>
  <c r="A116" i="85" s="1"/>
  <c r="A128" i="85" s="1"/>
  <c r="A140" i="85" s="1"/>
  <c r="A152" i="85" s="1"/>
  <c r="A164" i="85" s="1"/>
  <c r="A176" i="85" s="1"/>
  <c r="A188" i="85" s="1"/>
  <c r="A200" i="85" s="1"/>
  <c r="A212" i="85" s="1"/>
  <c r="A224" i="85" s="1"/>
  <c r="A236" i="85" s="1"/>
  <c r="N91" i="85"/>
  <c r="A91" i="85"/>
  <c r="A103" i="85" s="1"/>
  <c r="A115" i="85" s="1"/>
  <c r="A127" i="85" s="1"/>
  <c r="A139" i="85" s="1"/>
  <c r="A151" i="85" s="1"/>
  <c r="A163" i="85" s="1"/>
  <c r="A175" i="85" s="1"/>
  <c r="A187" i="85" s="1"/>
  <c r="A199" i="85" s="1"/>
  <c r="A211" i="85" s="1"/>
  <c r="A223" i="85" s="1"/>
  <c r="A235" i="85" s="1"/>
  <c r="N90" i="85"/>
  <c r="A90" i="85"/>
  <c r="A102" i="85" s="1"/>
  <c r="A114" i="85" s="1"/>
  <c r="A126" i="85" s="1"/>
  <c r="A138" i="85" s="1"/>
  <c r="A150" i="85" s="1"/>
  <c r="A162" i="85" s="1"/>
  <c r="A174" i="85" s="1"/>
  <c r="A186" i="85" s="1"/>
  <c r="A198" i="85" s="1"/>
  <c r="A210" i="85" s="1"/>
  <c r="A222" i="85" s="1"/>
  <c r="A234" i="85" s="1"/>
  <c r="N89" i="85"/>
  <c r="N88" i="85"/>
  <c r="N87" i="85"/>
  <c r="N86" i="85"/>
  <c r="N85" i="85"/>
  <c r="N84" i="85"/>
  <c r="N83" i="85"/>
  <c r="N82" i="85"/>
  <c r="N81" i="85"/>
  <c r="N80" i="85"/>
  <c r="N79" i="85"/>
  <c r="N78" i="85"/>
  <c r="N77" i="85"/>
  <c r="N76" i="85"/>
  <c r="N75" i="85"/>
  <c r="N74" i="85"/>
  <c r="N73" i="85"/>
  <c r="N72" i="85"/>
  <c r="N71" i="85"/>
  <c r="N70" i="85"/>
  <c r="N69" i="85"/>
  <c r="N68" i="85"/>
  <c r="N67" i="85"/>
  <c r="N66" i="85"/>
  <c r="N65" i="85"/>
  <c r="N64" i="85"/>
  <c r="N63" i="85"/>
  <c r="N62" i="85"/>
  <c r="N61" i="85"/>
  <c r="N60" i="85"/>
  <c r="N59" i="85"/>
  <c r="N58" i="85"/>
  <c r="N57" i="85"/>
  <c r="N56" i="85"/>
  <c r="N55" i="85"/>
  <c r="N54" i="85"/>
  <c r="N53" i="85"/>
  <c r="N52" i="85"/>
  <c r="N51" i="85"/>
  <c r="N50" i="85"/>
  <c r="N49" i="85"/>
  <c r="N48" i="85"/>
  <c r="N47" i="85"/>
  <c r="N46" i="85"/>
  <c r="N45" i="85"/>
  <c r="N44" i="85"/>
  <c r="N43" i="85"/>
  <c r="N42" i="85"/>
  <c r="N41" i="85"/>
  <c r="N40" i="85"/>
  <c r="N39" i="85"/>
  <c r="N38" i="85"/>
  <c r="N37" i="85"/>
  <c r="N36" i="85"/>
  <c r="N35" i="85"/>
  <c r="N34" i="85"/>
  <c r="N33" i="85"/>
  <c r="N32" i="85"/>
  <c r="N31" i="85"/>
  <c r="N30" i="85"/>
  <c r="N29" i="85"/>
  <c r="N28" i="85"/>
  <c r="N27" i="85"/>
  <c r="N26" i="85"/>
  <c r="N25" i="85"/>
  <c r="N24" i="85"/>
  <c r="N23" i="85"/>
  <c r="N22" i="85"/>
  <c r="N21" i="85"/>
  <c r="N20" i="85"/>
  <c r="N19" i="85"/>
  <c r="N18" i="85"/>
  <c r="N17" i="85"/>
  <c r="N16" i="85"/>
  <c r="N15" i="85"/>
  <c r="N14" i="85"/>
  <c r="N13" i="85"/>
  <c r="N12" i="85"/>
  <c r="N11" i="85"/>
  <c r="N10" i="85"/>
  <c r="N9" i="85"/>
  <c r="N8" i="85"/>
  <c r="N7" i="85"/>
  <c r="N6" i="85"/>
  <c r="O691" i="85" l="1"/>
  <c r="O695" i="85"/>
  <c r="P695" i="85" s="1"/>
  <c r="O707" i="85"/>
  <c r="O711" i="85"/>
  <c r="O690" i="85"/>
  <c r="P690" i="85" s="1"/>
  <c r="O703" i="85"/>
  <c r="O696" i="85"/>
  <c r="O699" i="85"/>
  <c r="O712" i="85"/>
  <c r="O685" i="85"/>
  <c r="O687" i="85"/>
  <c r="P687" i="85" s="1"/>
  <c r="O689" i="85"/>
  <c r="O705" i="85"/>
  <c r="P705" i="85" s="1"/>
  <c r="N711" i="85"/>
  <c r="F714" i="85"/>
  <c r="O683" i="85"/>
  <c r="O693" i="85"/>
  <c r="P693" i="85" s="1"/>
  <c r="O698" i="85"/>
  <c r="P698" i="85" s="1"/>
  <c r="O704" i="85"/>
  <c r="P704" i="85" s="1"/>
  <c r="O709" i="85"/>
  <c r="O697" i="85"/>
  <c r="O713" i="85"/>
  <c r="N681" i="85"/>
  <c r="N682" i="85"/>
  <c r="N683" i="85"/>
  <c r="P683" i="85" s="1"/>
  <c r="N685" i="85"/>
  <c r="P685" i="85" s="1"/>
  <c r="N686" i="85"/>
  <c r="O682" i="85"/>
  <c r="O688" i="85"/>
  <c r="P688" i="85" s="1"/>
  <c r="N684" i="85"/>
  <c r="N687" i="85"/>
  <c r="N688" i="85"/>
  <c r="O681" i="85"/>
  <c r="E581" i="85"/>
  <c r="E595" i="85"/>
  <c r="E572" i="85"/>
  <c r="E577" i="85"/>
  <c r="E580" i="85"/>
  <c r="F414" i="85"/>
  <c r="F415" i="85"/>
  <c r="F416" i="85"/>
  <c r="F417" i="85"/>
  <c r="F418" i="85"/>
  <c r="F419" i="85"/>
  <c r="F420" i="85"/>
  <c r="F421" i="85"/>
  <c r="F422" i="85"/>
  <c r="F423" i="85"/>
  <c r="F424" i="85"/>
  <c r="F425" i="85"/>
  <c r="E587" i="85"/>
  <c r="E591" i="85"/>
  <c r="E576" i="85"/>
  <c r="N402" i="85"/>
  <c r="N714" i="85" s="1"/>
  <c r="E561" i="85"/>
  <c r="E726" i="85"/>
  <c r="E558" i="85"/>
  <c r="E562" i="85"/>
  <c r="E566" i="85"/>
  <c r="P689" i="85"/>
  <c r="P703" i="85"/>
  <c r="P682" i="85"/>
  <c r="P709" i="85"/>
  <c r="O714" i="85"/>
  <c r="P697" i="85"/>
  <c r="P711" i="85"/>
  <c r="P713" i="85"/>
  <c r="P701" i="85"/>
  <c r="P706" i="85"/>
  <c r="P696" i="85"/>
  <c r="P712" i="85"/>
  <c r="O686" i="85"/>
  <c r="P686" i="85" s="1"/>
  <c r="P691" i="85"/>
  <c r="O694" i="85"/>
  <c r="P694" i="85" s="1"/>
  <c r="P699" i="85"/>
  <c r="O702" i="85"/>
  <c r="P702" i="85" s="1"/>
  <c r="P707" i="85"/>
  <c r="O710" i="85"/>
  <c r="P710" i="85" s="1"/>
  <c r="O684" i="85"/>
  <c r="O692" i="85"/>
  <c r="P692" i="85" s="1"/>
  <c r="O700" i="85"/>
  <c r="P700" i="85" s="1"/>
  <c r="O708" i="85"/>
  <c r="P708" i="85" s="1"/>
  <c r="P684" i="85" l="1"/>
  <c r="N424" i="85"/>
  <c r="F436" i="85"/>
  <c r="E607" i="85"/>
  <c r="E574" i="85"/>
  <c r="N423" i="85"/>
  <c r="F435" i="85"/>
  <c r="N419" i="85"/>
  <c r="F431" i="85"/>
  <c r="N415" i="85"/>
  <c r="F427" i="85"/>
  <c r="E578" i="85"/>
  <c r="E599" i="85"/>
  <c r="N416" i="85"/>
  <c r="F428" i="85"/>
  <c r="P714" i="85"/>
  <c r="E727" i="85"/>
  <c r="E570" i="85"/>
  <c r="E588" i="85"/>
  <c r="E603" i="85"/>
  <c r="N422" i="85"/>
  <c r="F434" i="85"/>
  <c r="N418" i="85"/>
  <c r="F430" i="85"/>
  <c r="F715" i="85"/>
  <c r="O715" i="85" s="1"/>
  <c r="N414" i="85"/>
  <c r="F426" i="85"/>
  <c r="E593" i="85"/>
  <c r="N420" i="85"/>
  <c r="F432" i="85"/>
  <c r="E592" i="85"/>
  <c r="E573" i="85"/>
  <c r="N425" i="85"/>
  <c r="F437" i="85"/>
  <c r="N421" i="85"/>
  <c r="F433" i="85"/>
  <c r="N417" i="85"/>
  <c r="F429" i="85"/>
  <c r="E589" i="85"/>
  <c r="E584" i="85"/>
  <c r="E601" i="85" l="1"/>
  <c r="E585" i="85"/>
  <c r="F446" i="85"/>
  <c r="N434" i="85"/>
  <c r="E619" i="85"/>
  <c r="N429" i="85"/>
  <c r="F441" i="85"/>
  <c r="F449" i="85"/>
  <c r="N437" i="85"/>
  <c r="E600" i="85"/>
  <c r="N715" i="85"/>
  <c r="P715" i="85" s="1"/>
  <c r="E611" i="85"/>
  <c r="F447" i="85"/>
  <c r="N435" i="85"/>
  <c r="E596" i="85"/>
  <c r="E604" i="85"/>
  <c r="E605" i="85"/>
  <c r="F442" i="85"/>
  <c r="N430" i="85"/>
  <c r="E615" i="85"/>
  <c r="E728" i="85"/>
  <c r="E582" i="85"/>
  <c r="N428" i="85"/>
  <c r="F440" i="85"/>
  <c r="E590" i="85"/>
  <c r="F443" i="85"/>
  <c r="N431" i="85"/>
  <c r="E586" i="85"/>
  <c r="F448" i="85"/>
  <c r="N436" i="85"/>
  <c r="N427" i="85"/>
  <c r="F439" i="85"/>
  <c r="F445" i="85"/>
  <c r="N433" i="85"/>
  <c r="F444" i="85"/>
  <c r="N432" i="85"/>
  <c r="F716" i="85"/>
  <c r="O716" i="85" s="1"/>
  <c r="N426" i="85"/>
  <c r="F438" i="85"/>
  <c r="N716" i="85" l="1"/>
  <c r="E602" i="85"/>
  <c r="E616" i="85"/>
  <c r="F457" i="85"/>
  <c r="N445" i="85"/>
  <c r="F452" i="85"/>
  <c r="N440" i="85"/>
  <c r="F454" i="85"/>
  <c r="N442" i="85"/>
  <c r="F459" i="85"/>
  <c r="N447" i="85"/>
  <c r="E612" i="85"/>
  <c r="F461" i="85"/>
  <c r="N449" i="85"/>
  <c r="E631" i="85"/>
  <c r="E597" i="85"/>
  <c r="E598" i="85"/>
  <c r="P716" i="85"/>
  <c r="F451" i="85"/>
  <c r="N439" i="85"/>
  <c r="F460" i="85"/>
  <c r="N448" i="85"/>
  <c r="F455" i="85"/>
  <c r="N443" i="85"/>
  <c r="E627" i="85"/>
  <c r="E608" i="85"/>
  <c r="E623" i="85"/>
  <c r="F453" i="85"/>
  <c r="N441" i="85"/>
  <c r="F717" i="85"/>
  <c r="O717" i="85" s="1"/>
  <c r="F450" i="85"/>
  <c r="N438" i="85"/>
  <c r="F456" i="85"/>
  <c r="N444" i="85"/>
  <c r="E729" i="85"/>
  <c r="E594" i="85"/>
  <c r="E617" i="85"/>
  <c r="F458" i="85"/>
  <c r="N446" i="85"/>
  <c r="E613" i="85"/>
  <c r="E639" i="85" l="1"/>
  <c r="E609" i="85"/>
  <c r="F471" i="85"/>
  <c r="N459" i="85"/>
  <c r="E625" i="85"/>
  <c r="E635" i="85"/>
  <c r="F472" i="85"/>
  <c r="N460" i="85"/>
  <c r="E643" i="85"/>
  <c r="E624" i="85"/>
  <c r="F464" i="85"/>
  <c r="N452" i="85"/>
  <c r="F473" i="85"/>
  <c r="N461" i="85"/>
  <c r="E628" i="85"/>
  <c r="F468" i="85"/>
  <c r="N456" i="85"/>
  <c r="E620" i="85"/>
  <c r="E610" i="85"/>
  <c r="F466" i="85"/>
  <c r="N454" i="85"/>
  <c r="F718" i="85"/>
  <c r="O718" i="85" s="1"/>
  <c r="F462" i="85"/>
  <c r="N450" i="85"/>
  <c r="E629" i="85"/>
  <c r="F470" i="85"/>
  <c r="N458" i="85"/>
  <c r="E730" i="85"/>
  <c r="E606" i="85"/>
  <c r="N717" i="85"/>
  <c r="P717" i="85" s="1"/>
  <c r="F465" i="85"/>
  <c r="N453" i="85"/>
  <c r="F467" i="85"/>
  <c r="N455" i="85"/>
  <c r="F463" i="85"/>
  <c r="N451" i="85"/>
  <c r="F469" i="85"/>
  <c r="N457" i="85"/>
  <c r="E614" i="85"/>
  <c r="F475" i="85" l="1"/>
  <c r="N463" i="85"/>
  <c r="F477" i="85"/>
  <c r="N465" i="85"/>
  <c r="E641" i="85"/>
  <c r="E622" i="85"/>
  <c r="F485" i="85"/>
  <c r="N473" i="85"/>
  <c r="F484" i="85"/>
  <c r="N472" i="85"/>
  <c r="N718" i="85"/>
  <c r="P718" i="85" s="1"/>
  <c r="E640" i="85"/>
  <c r="E655" i="85"/>
  <c r="E637" i="85"/>
  <c r="E621" i="85"/>
  <c r="E647" i="85"/>
  <c r="E651" i="85"/>
  <c r="E626" i="85"/>
  <c r="F480" i="85"/>
  <c r="N468" i="85"/>
  <c r="F481" i="85"/>
  <c r="N469" i="85"/>
  <c r="F479" i="85"/>
  <c r="N467" i="85"/>
  <c r="F482" i="85"/>
  <c r="N470" i="85"/>
  <c r="F719" i="85"/>
  <c r="O719" i="85" s="1"/>
  <c r="F474" i="85"/>
  <c r="N462" i="85"/>
  <c r="F478" i="85"/>
  <c r="N466" i="85"/>
  <c r="E632" i="85"/>
  <c r="F476" i="85"/>
  <c r="N464" i="85"/>
  <c r="E731" i="85"/>
  <c r="E618" i="85"/>
  <c r="E636" i="85"/>
  <c r="F483" i="85"/>
  <c r="N471" i="85"/>
  <c r="F491" i="85" l="1"/>
  <c r="N479" i="85"/>
  <c r="F492" i="85"/>
  <c r="N480" i="85"/>
  <c r="F497" i="85"/>
  <c r="N485" i="85"/>
  <c r="E653" i="85"/>
  <c r="F495" i="85"/>
  <c r="N483" i="85"/>
  <c r="F488" i="85"/>
  <c r="N476" i="85"/>
  <c r="F490" i="85"/>
  <c r="N478" i="85"/>
  <c r="E663" i="85"/>
  <c r="E633" i="85"/>
  <c r="E667" i="85"/>
  <c r="E648" i="85"/>
  <c r="E630" i="85"/>
  <c r="E732" i="85"/>
  <c r="E644" i="85"/>
  <c r="N719" i="85"/>
  <c r="P719" i="85" s="1"/>
  <c r="F494" i="85"/>
  <c r="N482" i="85"/>
  <c r="F493" i="85"/>
  <c r="N481" i="85"/>
  <c r="E652" i="85"/>
  <c r="F496" i="85"/>
  <c r="N484" i="85"/>
  <c r="E634" i="85"/>
  <c r="F489" i="85"/>
  <c r="N477" i="85"/>
  <c r="F720" i="85"/>
  <c r="O720" i="85" s="1"/>
  <c r="F486" i="85"/>
  <c r="N474" i="85"/>
  <c r="E638" i="85"/>
  <c r="E659" i="85"/>
  <c r="E649" i="85"/>
  <c r="F487" i="85"/>
  <c r="N475" i="85"/>
  <c r="E671" i="85" l="1"/>
  <c r="F721" i="85"/>
  <c r="O721" i="85" s="1"/>
  <c r="F498" i="85"/>
  <c r="N486" i="85"/>
  <c r="F508" i="85"/>
  <c r="N496" i="85"/>
  <c r="F505" i="85"/>
  <c r="N493" i="85"/>
  <c r="E656" i="85"/>
  <c r="F500" i="85"/>
  <c r="N488" i="85"/>
  <c r="F504" i="85"/>
  <c r="N492" i="85"/>
  <c r="E661" i="85"/>
  <c r="E664" i="85"/>
  <c r="E660" i="85"/>
  <c r="E645" i="85"/>
  <c r="E650" i="85"/>
  <c r="E646" i="85"/>
  <c r="F506" i="85"/>
  <c r="N494" i="85"/>
  <c r="F502" i="85"/>
  <c r="N490" i="85"/>
  <c r="F507" i="85"/>
  <c r="N495" i="85"/>
  <c r="F509" i="85"/>
  <c r="N497" i="85"/>
  <c r="F503" i="85"/>
  <c r="N491" i="85"/>
  <c r="F499" i="85"/>
  <c r="N487" i="85"/>
  <c r="F501" i="85"/>
  <c r="N489" i="85"/>
  <c r="E733" i="85"/>
  <c r="E642" i="85"/>
  <c r="N720" i="85"/>
  <c r="P720" i="85" s="1"/>
  <c r="E675" i="85"/>
  <c r="E665" i="85"/>
  <c r="N509" i="85" l="1"/>
  <c r="F521" i="85"/>
  <c r="E676" i="85"/>
  <c r="E672" i="85"/>
  <c r="N504" i="85"/>
  <c r="F516" i="85"/>
  <c r="N508" i="85"/>
  <c r="F520" i="85"/>
  <c r="E677" i="85"/>
  <c r="N499" i="85"/>
  <c r="F511" i="85"/>
  <c r="E657" i="85"/>
  <c r="E668" i="85"/>
  <c r="N501" i="85"/>
  <c r="F513" i="85"/>
  <c r="N507" i="85"/>
  <c r="F519" i="85"/>
  <c r="E662" i="85"/>
  <c r="N721" i="85"/>
  <c r="P721" i="85" s="1"/>
  <c r="N502" i="85"/>
  <c r="F514" i="85"/>
  <c r="E658" i="85"/>
  <c r="N503" i="85"/>
  <c r="F515" i="85"/>
  <c r="N506" i="85"/>
  <c r="F518" i="85"/>
  <c r="E654" i="85"/>
  <c r="E734" i="85"/>
  <c r="E673" i="85"/>
  <c r="N500" i="85"/>
  <c r="F512" i="85"/>
  <c r="N505" i="85"/>
  <c r="F517" i="85"/>
  <c r="F722" i="85"/>
  <c r="O722" i="85" s="1"/>
  <c r="N498" i="85"/>
  <c r="N722" i="85" s="1"/>
  <c r="F510" i="85"/>
  <c r="N512" i="85" l="1"/>
  <c r="F524" i="85"/>
  <c r="P722" i="85"/>
  <c r="E670" i="85"/>
  <c r="N519" i="85"/>
  <c r="F531" i="85"/>
  <c r="N511" i="85"/>
  <c r="F523" i="85"/>
  <c r="N520" i="85"/>
  <c r="F532" i="85"/>
  <c r="N518" i="85"/>
  <c r="F530" i="85"/>
  <c r="N515" i="85"/>
  <c r="F527" i="85"/>
  <c r="N521" i="85"/>
  <c r="F533" i="85"/>
  <c r="E674" i="85"/>
  <c r="N517" i="85"/>
  <c r="F529" i="85"/>
  <c r="E735" i="85"/>
  <c r="E666" i="85"/>
  <c r="N514" i="85"/>
  <c r="F526" i="85"/>
  <c r="F723" i="85"/>
  <c r="O723" i="85" s="1"/>
  <c r="N510" i="85"/>
  <c r="F522" i="85"/>
  <c r="N513" i="85"/>
  <c r="F525" i="85"/>
  <c r="E669" i="85"/>
  <c r="N516" i="85"/>
  <c r="F528" i="85"/>
  <c r="N723" i="85" l="1"/>
  <c r="P723" i="85" s="1"/>
  <c r="N532" i="85"/>
  <c r="F544" i="85"/>
  <c r="N531" i="85"/>
  <c r="F543" i="85"/>
  <c r="N525" i="85"/>
  <c r="F537" i="85"/>
  <c r="N530" i="85"/>
  <c r="F542" i="85"/>
  <c r="N524" i="85"/>
  <c r="F536" i="85"/>
  <c r="E736" i="85"/>
  <c r="N533" i="85"/>
  <c r="F545" i="85"/>
  <c r="N527" i="85"/>
  <c r="F539" i="85"/>
  <c r="N526" i="85"/>
  <c r="F538" i="85"/>
  <c r="N528" i="85"/>
  <c r="F540" i="85"/>
  <c r="F724" i="85"/>
  <c r="O724" i="85" s="1"/>
  <c r="N522" i="85"/>
  <c r="F534" i="85"/>
  <c r="N529" i="85"/>
  <c r="F541" i="85"/>
  <c r="N523" i="85"/>
  <c r="F535" i="85"/>
  <c r="N544" i="85" l="1"/>
  <c r="F556" i="85"/>
  <c r="N724" i="85"/>
  <c r="N540" i="85"/>
  <c r="F552" i="85"/>
  <c r="F551" i="85"/>
  <c r="N539" i="85"/>
  <c r="N537" i="85"/>
  <c r="F549" i="85"/>
  <c r="N541" i="85"/>
  <c r="F553" i="85"/>
  <c r="F550" i="85"/>
  <c r="N538" i="85"/>
  <c r="N545" i="85"/>
  <c r="F557" i="85"/>
  <c r="N536" i="85"/>
  <c r="F548" i="85"/>
  <c r="F555" i="85"/>
  <c r="N543" i="85"/>
  <c r="F547" i="85"/>
  <c r="N535" i="85"/>
  <c r="F725" i="85"/>
  <c r="O725" i="85" s="1"/>
  <c r="F546" i="85"/>
  <c r="N534" i="85"/>
  <c r="F554" i="85"/>
  <c r="N542" i="85"/>
  <c r="P724" i="85"/>
  <c r="F726" i="85" l="1"/>
  <c r="O726" i="85" s="1"/>
  <c r="F558" i="85"/>
  <c r="N546" i="85"/>
  <c r="F569" i="85"/>
  <c r="N557" i="85"/>
  <c r="F565" i="85"/>
  <c r="N553" i="85"/>
  <c r="F567" i="85"/>
  <c r="N555" i="85"/>
  <c r="F563" i="85"/>
  <c r="N551" i="85"/>
  <c r="F568" i="85"/>
  <c r="N556" i="85"/>
  <c r="F566" i="85"/>
  <c r="N554" i="85"/>
  <c r="N548" i="85"/>
  <c r="F560" i="85"/>
  <c r="F561" i="85"/>
  <c r="N549" i="85"/>
  <c r="F564" i="85"/>
  <c r="N552" i="85"/>
  <c r="N725" i="85"/>
  <c r="P725" i="85" s="1"/>
  <c r="F559" i="85"/>
  <c r="N547" i="85"/>
  <c r="F562" i="85"/>
  <c r="N550" i="85"/>
  <c r="F571" i="85" l="1"/>
  <c r="N559" i="85"/>
  <c r="F581" i="85"/>
  <c r="N569" i="85"/>
  <c r="F573" i="85"/>
  <c r="N561" i="85"/>
  <c r="F578" i="85"/>
  <c r="N566" i="85"/>
  <c r="F575" i="85"/>
  <c r="N563" i="85"/>
  <c r="N726" i="85"/>
  <c r="F574" i="85"/>
  <c r="N562" i="85"/>
  <c r="F572" i="85"/>
  <c r="N560" i="85"/>
  <c r="F577" i="85"/>
  <c r="N565" i="85"/>
  <c r="F727" i="85"/>
  <c r="O727" i="85" s="1"/>
  <c r="F570" i="85"/>
  <c r="N558" i="85"/>
  <c r="F576" i="85"/>
  <c r="N564" i="85"/>
  <c r="F580" i="85"/>
  <c r="N568" i="85"/>
  <c r="F579" i="85"/>
  <c r="N567" i="85"/>
  <c r="P726" i="85"/>
  <c r="N727" i="85" l="1"/>
  <c r="F589" i="85"/>
  <c r="N577" i="85"/>
  <c r="F586" i="85"/>
  <c r="N574" i="85"/>
  <c r="F592" i="85"/>
  <c r="N580" i="85"/>
  <c r="F728" i="85"/>
  <c r="O728" i="85" s="1"/>
  <c r="F582" i="85"/>
  <c r="N570" i="85"/>
  <c r="F590" i="85"/>
  <c r="N578" i="85"/>
  <c r="F593" i="85"/>
  <c r="N581" i="85"/>
  <c r="P727" i="85"/>
  <c r="F584" i="85"/>
  <c r="N572" i="85"/>
  <c r="F591" i="85"/>
  <c r="N579" i="85"/>
  <c r="F588" i="85"/>
  <c r="N576" i="85"/>
  <c r="F587" i="85"/>
  <c r="N575" i="85"/>
  <c r="F585" i="85"/>
  <c r="N573" i="85"/>
  <c r="F583" i="85"/>
  <c r="N571" i="85"/>
  <c r="F597" i="85" l="1"/>
  <c r="N585" i="85"/>
  <c r="F596" i="85"/>
  <c r="N584" i="85"/>
  <c r="F602" i="85"/>
  <c r="N590" i="85"/>
  <c r="F595" i="85"/>
  <c r="N583" i="85"/>
  <c r="F599" i="85"/>
  <c r="N587" i="85"/>
  <c r="F603" i="85"/>
  <c r="N591" i="85"/>
  <c r="N728" i="85"/>
  <c r="P728" i="85" s="1"/>
  <c r="F604" i="85"/>
  <c r="N592" i="85"/>
  <c r="F601" i="85"/>
  <c r="N589" i="85"/>
  <c r="F600" i="85"/>
  <c r="N588" i="85"/>
  <c r="F598" i="85"/>
  <c r="N586" i="85"/>
  <c r="F605" i="85"/>
  <c r="N593" i="85"/>
  <c r="F729" i="85"/>
  <c r="O729" i="85" s="1"/>
  <c r="F594" i="85"/>
  <c r="N582" i="85"/>
  <c r="N729" i="85" l="1"/>
  <c r="F617" i="85"/>
  <c r="N605" i="85"/>
  <c r="F612" i="85"/>
  <c r="N600" i="85"/>
  <c r="F616" i="85"/>
  <c r="N604" i="85"/>
  <c r="F608" i="85"/>
  <c r="N596" i="85"/>
  <c r="F607" i="85"/>
  <c r="N595" i="85"/>
  <c r="F730" i="85"/>
  <c r="O730" i="85" s="1"/>
  <c r="F606" i="85"/>
  <c r="N594" i="85"/>
  <c r="F611" i="85"/>
  <c r="N599" i="85"/>
  <c r="F615" i="85"/>
  <c r="N603" i="85"/>
  <c r="P729" i="85"/>
  <c r="F610" i="85"/>
  <c r="N598" i="85"/>
  <c r="F613" i="85"/>
  <c r="N601" i="85"/>
  <c r="F614" i="85"/>
  <c r="N602" i="85"/>
  <c r="F609" i="85"/>
  <c r="N597" i="85"/>
  <c r="F622" i="85" l="1"/>
  <c r="N610" i="85"/>
  <c r="F620" i="85"/>
  <c r="N608" i="85"/>
  <c r="F623" i="85"/>
  <c r="N611" i="85"/>
  <c r="F621" i="85"/>
  <c r="N609" i="85"/>
  <c r="F625" i="85"/>
  <c r="N613" i="85"/>
  <c r="N730" i="85"/>
  <c r="P730" i="85" s="1"/>
  <c r="F619" i="85"/>
  <c r="N607" i="85"/>
  <c r="F628" i="85"/>
  <c r="N616" i="85"/>
  <c r="F629" i="85"/>
  <c r="N617" i="85"/>
  <c r="F626" i="85"/>
  <c r="N614" i="85"/>
  <c r="F624" i="85"/>
  <c r="N612" i="85"/>
  <c r="F627" i="85"/>
  <c r="N615" i="85"/>
  <c r="F731" i="85"/>
  <c r="O731" i="85" s="1"/>
  <c r="F618" i="85"/>
  <c r="N606" i="85"/>
  <c r="N731" i="85" l="1"/>
  <c r="F639" i="85"/>
  <c r="N627" i="85"/>
  <c r="F638" i="85"/>
  <c r="N626" i="85"/>
  <c r="F640" i="85"/>
  <c r="N628" i="85"/>
  <c r="F632" i="85"/>
  <c r="N620" i="85"/>
  <c r="F633" i="85"/>
  <c r="N621" i="85"/>
  <c r="F732" i="85"/>
  <c r="O732" i="85" s="1"/>
  <c r="F630" i="85"/>
  <c r="N618" i="85"/>
  <c r="F637" i="85"/>
  <c r="N625" i="85"/>
  <c r="P731" i="85"/>
  <c r="F636" i="85"/>
  <c r="N624" i="85"/>
  <c r="F641" i="85"/>
  <c r="N629" i="85"/>
  <c r="F631" i="85"/>
  <c r="N619" i="85"/>
  <c r="F635" i="85"/>
  <c r="N623" i="85"/>
  <c r="F634" i="85"/>
  <c r="N622" i="85"/>
  <c r="F647" i="85" l="1"/>
  <c r="N635" i="85"/>
  <c r="F650" i="85"/>
  <c r="N638" i="85"/>
  <c r="F649" i="85"/>
  <c r="N637" i="85"/>
  <c r="F646" i="85"/>
  <c r="N634" i="85"/>
  <c r="F643" i="85"/>
  <c r="N631" i="85"/>
  <c r="F648" i="85"/>
  <c r="N636" i="85"/>
  <c r="N732" i="85"/>
  <c r="P732" i="85" s="1"/>
  <c r="F645" i="85"/>
  <c r="N633" i="85"/>
  <c r="F652" i="85"/>
  <c r="N640" i="85"/>
  <c r="F651" i="85"/>
  <c r="N639" i="85"/>
  <c r="F653" i="85"/>
  <c r="N641" i="85"/>
  <c r="F644" i="85"/>
  <c r="N632" i="85"/>
  <c r="F733" i="85"/>
  <c r="O733" i="85" s="1"/>
  <c r="F642" i="85"/>
  <c r="N630" i="85"/>
  <c r="N733" i="85" l="1"/>
  <c r="F656" i="85"/>
  <c r="N644" i="85"/>
  <c r="F663" i="85"/>
  <c r="N651" i="85"/>
  <c r="F657" i="85"/>
  <c r="N645" i="85"/>
  <c r="F662" i="85"/>
  <c r="N650" i="85"/>
  <c r="F660" i="85"/>
  <c r="N648" i="85"/>
  <c r="F734" i="85"/>
  <c r="O734" i="85" s="1"/>
  <c r="F654" i="85"/>
  <c r="N642" i="85"/>
  <c r="F655" i="85"/>
  <c r="N643" i="85"/>
  <c r="F658" i="85"/>
  <c r="N646" i="85"/>
  <c r="P733" i="85"/>
  <c r="F665" i="85"/>
  <c r="N653" i="85"/>
  <c r="F664" i="85"/>
  <c r="N652" i="85"/>
  <c r="F661" i="85"/>
  <c r="N649" i="85"/>
  <c r="F659" i="85"/>
  <c r="N647" i="85"/>
  <c r="F673" i="85" l="1"/>
  <c r="N673" i="85" s="1"/>
  <c r="N661" i="85"/>
  <c r="F674" i="85"/>
  <c r="N674" i="85" s="1"/>
  <c r="N662" i="85"/>
  <c r="F667" i="85"/>
  <c r="N667" i="85" s="1"/>
  <c r="N655" i="85"/>
  <c r="F671" i="85"/>
  <c r="N671" i="85" s="1"/>
  <c r="N659" i="85"/>
  <c r="F676" i="85"/>
  <c r="N676" i="85" s="1"/>
  <c r="N664" i="85"/>
  <c r="N734" i="85"/>
  <c r="P734" i="85" s="1"/>
  <c r="F672" i="85"/>
  <c r="N672" i="85" s="1"/>
  <c r="N660" i="85"/>
  <c r="F669" i="85"/>
  <c r="N669" i="85" s="1"/>
  <c r="N657" i="85"/>
  <c r="F668" i="85"/>
  <c r="N668" i="85" s="1"/>
  <c r="N656" i="85"/>
  <c r="F677" i="85"/>
  <c r="N677" i="85" s="1"/>
  <c r="N665" i="85"/>
  <c r="F675" i="85"/>
  <c r="N675" i="85" s="1"/>
  <c r="N663" i="85"/>
  <c r="F670" i="85"/>
  <c r="N670" i="85" s="1"/>
  <c r="N658" i="85"/>
  <c r="F735" i="85"/>
  <c r="O735" i="85" s="1"/>
  <c r="F666" i="85"/>
  <c r="N654" i="85"/>
  <c r="N735" i="85" l="1"/>
  <c r="F736" i="85"/>
  <c r="O736" i="85" s="1"/>
  <c r="N666" i="85"/>
  <c r="N736" i="85" s="1"/>
  <c r="P735" i="85"/>
  <c r="P736" i="85" l="1"/>
  <c r="A273" i="69" l="1"/>
  <c r="A272" i="69"/>
  <c r="A271" i="69"/>
  <c r="A270" i="69"/>
  <c r="A269" i="69"/>
  <c r="A268" i="69"/>
  <c r="A267" i="69"/>
  <c r="A263" i="69"/>
  <c r="A262" i="69"/>
  <c r="A261" i="69"/>
  <c r="A260" i="69"/>
  <c r="A259" i="69"/>
  <c r="A258" i="69"/>
  <c r="A257" i="69"/>
  <c r="A253" i="69"/>
  <c r="A252" i="69"/>
  <c r="A251" i="69"/>
  <c r="A250" i="69"/>
  <c r="A249" i="69"/>
  <c r="A248" i="69"/>
  <c r="A247" i="69"/>
  <c r="A243" i="69"/>
  <c r="A242" i="69"/>
  <c r="A241" i="69"/>
  <c r="A240" i="69"/>
  <c r="A239" i="69"/>
  <c r="A238" i="69"/>
  <c r="A237" i="69"/>
  <c r="A233" i="69"/>
  <c r="A232" i="69"/>
  <c r="A231" i="69"/>
  <c r="A230" i="69"/>
  <c r="A229" i="69"/>
  <c r="A228" i="69"/>
  <c r="A227" i="69"/>
  <c r="A223" i="69"/>
  <c r="A222" i="69"/>
  <c r="A221" i="69"/>
  <c r="A220" i="69"/>
  <c r="A219" i="69"/>
  <c r="A218" i="69"/>
  <c r="A217" i="69"/>
  <c r="A213" i="69"/>
  <c r="A212" i="69"/>
  <c r="A211" i="69"/>
  <c r="A210" i="69"/>
  <c r="A209" i="69"/>
  <c r="A208" i="69"/>
  <c r="A207" i="69"/>
  <c r="A203" i="69"/>
  <c r="A202" i="69"/>
  <c r="A201" i="69"/>
  <c r="A200" i="69"/>
  <c r="A199" i="69"/>
  <c r="A198" i="69"/>
  <c r="A197" i="69"/>
  <c r="A193" i="69"/>
  <c r="A192" i="69"/>
  <c r="A191" i="69"/>
  <c r="A190" i="69"/>
  <c r="A189" i="69"/>
  <c r="A188" i="69"/>
  <c r="A187" i="69"/>
  <c r="A179" i="69"/>
  <c r="A178" i="69"/>
  <c r="A177" i="69"/>
  <c r="A176" i="69"/>
  <c r="A175" i="69"/>
  <c r="A174" i="69"/>
  <c r="A173" i="69"/>
  <c r="A169" i="69"/>
  <c r="A168" i="69"/>
  <c r="A167" i="69"/>
  <c r="A166" i="69"/>
  <c r="A165" i="69"/>
  <c r="A164" i="69"/>
  <c r="A163" i="69"/>
  <c r="A159" i="69"/>
  <c r="A158" i="69"/>
  <c r="A157" i="69"/>
  <c r="A156" i="69"/>
  <c r="A155" i="69"/>
  <c r="A154" i="69"/>
  <c r="A153" i="69"/>
  <c r="A149" i="69"/>
  <c r="A148" i="69"/>
  <c r="A147" i="69"/>
  <c r="A146" i="69"/>
  <c r="A145" i="69"/>
  <c r="A144" i="69"/>
  <c r="A143" i="69"/>
  <c r="A139" i="69"/>
  <c r="A138" i="69"/>
  <c r="A137" i="69"/>
  <c r="A136" i="69"/>
  <c r="A135" i="69"/>
  <c r="A134" i="69"/>
  <c r="A133" i="69"/>
  <c r="A129" i="69"/>
  <c r="A128" i="69"/>
  <c r="A127" i="69"/>
  <c r="A126" i="69"/>
  <c r="A125" i="69"/>
  <c r="A124" i="69"/>
  <c r="A123" i="69"/>
  <c r="A119" i="69"/>
  <c r="A118" i="69"/>
  <c r="A117" i="69"/>
  <c r="A116" i="69"/>
  <c r="A115" i="69"/>
  <c r="A114" i="69"/>
  <c r="A113" i="69"/>
  <c r="A109" i="69"/>
  <c r="A108" i="69"/>
  <c r="A107" i="69"/>
  <c r="A106" i="69"/>
  <c r="A105" i="69"/>
  <c r="A104" i="69"/>
  <c r="A103" i="69"/>
  <c r="A99" i="69"/>
  <c r="A98" i="69"/>
  <c r="A97" i="69"/>
  <c r="A96" i="69"/>
  <c r="A95" i="69"/>
  <c r="A94" i="69"/>
  <c r="A93" i="69"/>
  <c r="A89" i="69"/>
  <c r="A88" i="69"/>
  <c r="A87" i="69"/>
  <c r="A86" i="69"/>
  <c r="A85" i="69"/>
  <c r="A84" i="69"/>
  <c r="A83" i="69"/>
  <c r="A79" i="69"/>
  <c r="A78" i="69"/>
  <c r="A77" i="69"/>
  <c r="A76" i="69"/>
  <c r="A75" i="69"/>
  <c r="A74" i="69"/>
  <c r="A73" i="69"/>
  <c r="A69" i="69"/>
  <c r="A68" i="69"/>
  <c r="A67" i="69"/>
  <c r="A66" i="69"/>
  <c r="A65" i="69"/>
  <c r="A64" i="69"/>
  <c r="A63" i="69"/>
  <c r="A59" i="69"/>
  <c r="A58" i="69"/>
  <c r="A57" i="69"/>
  <c r="A56" i="69"/>
  <c r="A55" i="69"/>
  <c r="A54" i="69"/>
  <c r="A53" i="69"/>
  <c r="A49" i="69"/>
  <c r="A48" i="69"/>
  <c r="A47" i="69"/>
  <c r="A46" i="69"/>
  <c r="A45" i="69"/>
  <c r="A44" i="69"/>
  <c r="A43" i="69"/>
  <c r="A39" i="69"/>
  <c r="A38" i="69"/>
  <c r="A37" i="69"/>
  <c r="A36" i="69"/>
  <c r="A35" i="69"/>
  <c r="A34" i="69"/>
  <c r="A33" i="69"/>
  <c r="A29" i="69"/>
  <c r="A28" i="69"/>
  <c r="A27" i="69"/>
  <c r="A26" i="69"/>
  <c r="A25" i="69"/>
  <c r="A24" i="69"/>
  <c r="A23" i="69"/>
  <c r="A19" i="69"/>
  <c r="A18" i="69"/>
  <c r="A17" i="69"/>
  <c r="A16" i="69"/>
  <c r="C55" i="83" l="1"/>
  <c r="D150" i="68" l="1"/>
  <c r="D149" i="68"/>
  <c r="D148" i="68"/>
  <c r="D147" i="68"/>
  <c r="A153" i="70"/>
  <c r="A152" i="70"/>
  <c r="A151" i="70"/>
  <c r="N150" i="70"/>
  <c r="M150" i="70"/>
  <c r="L150" i="70"/>
  <c r="K150" i="70"/>
  <c r="J150" i="70"/>
  <c r="I150" i="70"/>
  <c r="H150" i="70"/>
  <c r="G150" i="70"/>
  <c r="F150" i="70"/>
  <c r="E150" i="70"/>
  <c r="D150" i="70"/>
  <c r="C150" i="70"/>
  <c r="A150" i="70"/>
  <c r="A174" i="70"/>
  <c r="A173" i="70"/>
  <c r="A172" i="70"/>
  <c r="N171" i="70"/>
  <c r="M171" i="70"/>
  <c r="L171" i="70"/>
  <c r="K171" i="70"/>
  <c r="J171" i="70"/>
  <c r="I171" i="70"/>
  <c r="H171" i="70"/>
  <c r="G171" i="70"/>
  <c r="F171" i="70"/>
  <c r="E171" i="70"/>
  <c r="D171" i="70"/>
  <c r="C171" i="70"/>
  <c r="A171" i="70"/>
  <c r="N237" i="69"/>
  <c r="M237" i="69"/>
  <c r="L237" i="69"/>
  <c r="K237" i="69"/>
  <c r="J237" i="69"/>
  <c r="I237" i="69"/>
  <c r="H237" i="69"/>
  <c r="G237" i="69"/>
  <c r="F237" i="69"/>
  <c r="E237" i="69"/>
  <c r="D237" i="69"/>
  <c r="C237" i="69"/>
  <c r="N207" i="69"/>
  <c r="M207" i="69"/>
  <c r="L207" i="69"/>
  <c r="K207" i="69"/>
  <c r="J207" i="69"/>
  <c r="I207" i="69"/>
  <c r="H207" i="69"/>
  <c r="G207" i="69"/>
  <c r="F207" i="69"/>
  <c r="E207" i="69"/>
  <c r="D207" i="69"/>
  <c r="C207" i="69"/>
  <c r="O144" i="66"/>
  <c r="N144" i="66"/>
  <c r="M144" i="66"/>
  <c r="L144" i="66"/>
  <c r="K144" i="66"/>
  <c r="J144" i="66"/>
  <c r="I144" i="66"/>
  <c r="H144" i="66"/>
  <c r="G144" i="66"/>
  <c r="F144" i="66"/>
  <c r="E144" i="66"/>
  <c r="D144" i="66"/>
  <c r="O126" i="66"/>
  <c r="N126" i="66"/>
  <c r="M126" i="66"/>
  <c r="L126" i="66"/>
  <c r="K126" i="66"/>
  <c r="J126" i="66"/>
  <c r="I126" i="66"/>
  <c r="H126" i="66"/>
  <c r="G126" i="66"/>
  <c r="F126" i="66"/>
  <c r="E126" i="66"/>
  <c r="D126" i="66"/>
  <c r="P222" i="65"/>
  <c r="O222" i="65"/>
  <c r="N222" i="65"/>
  <c r="M222" i="65"/>
  <c r="L222" i="65"/>
  <c r="K222" i="65"/>
  <c r="J222" i="65"/>
  <c r="I222" i="65"/>
  <c r="H222" i="65"/>
  <c r="G222" i="65"/>
  <c r="F222" i="65"/>
  <c r="E222" i="65"/>
  <c r="O132" i="78"/>
  <c r="N132" i="78"/>
  <c r="M132" i="78"/>
  <c r="L132" i="78"/>
  <c r="K132" i="78"/>
  <c r="J132" i="78"/>
  <c r="I132" i="78"/>
  <c r="H132" i="78"/>
  <c r="G132" i="78"/>
  <c r="F132" i="78"/>
  <c r="E132" i="78"/>
  <c r="D132" i="78"/>
  <c r="O120" i="78"/>
  <c r="N120" i="78"/>
  <c r="M120" i="78"/>
  <c r="L120" i="78"/>
  <c r="K120" i="78"/>
  <c r="J120" i="78"/>
  <c r="I120" i="78"/>
  <c r="H120" i="78"/>
  <c r="G120" i="78"/>
  <c r="F120" i="78"/>
  <c r="E120" i="78"/>
  <c r="D120" i="78"/>
  <c r="N68" i="84"/>
  <c r="M129" i="50" s="1"/>
  <c r="N172" i="79" s="1"/>
  <c r="M68" i="84"/>
  <c r="M67" i="84" s="1"/>
  <c r="L128" i="59" s="1"/>
  <c r="M173" i="79" s="1"/>
  <c r="L68" i="84"/>
  <c r="K129" i="50" s="1"/>
  <c r="L172" i="79" s="1"/>
  <c r="K68" i="84"/>
  <c r="K67" i="84" s="1"/>
  <c r="J128" i="59" s="1"/>
  <c r="K173" i="79" s="1"/>
  <c r="J68" i="84"/>
  <c r="I129" i="50" s="1"/>
  <c r="J172" i="79" s="1"/>
  <c r="I68" i="84"/>
  <c r="H129" i="50" s="1"/>
  <c r="I172" i="79" s="1"/>
  <c r="H68" i="84"/>
  <c r="G129" i="50" s="1"/>
  <c r="H172" i="79" s="1"/>
  <c r="G68" i="84"/>
  <c r="G67" i="84" s="1"/>
  <c r="F128" i="59" s="1"/>
  <c r="G173" i="79" s="1"/>
  <c r="F68" i="84"/>
  <c r="F67" i="84" s="1"/>
  <c r="E128" i="59" s="1"/>
  <c r="F173" i="79" s="1"/>
  <c r="E68" i="84"/>
  <c r="E67" i="84" s="1"/>
  <c r="D128" i="59" s="1"/>
  <c r="E173" i="79" s="1"/>
  <c r="D68" i="84"/>
  <c r="C129" i="50" s="1"/>
  <c r="D172" i="79" s="1"/>
  <c r="C68" i="84"/>
  <c r="B129" i="50" s="1"/>
  <c r="M128" i="60"/>
  <c r="N174" i="79" s="1"/>
  <c r="L128" i="60"/>
  <c r="M174" i="79" s="1"/>
  <c r="K128" i="60"/>
  <c r="L174" i="79" s="1"/>
  <c r="J128" i="60"/>
  <c r="K174" i="79" s="1"/>
  <c r="I128" i="60"/>
  <c r="J174" i="79" s="1"/>
  <c r="H128" i="60"/>
  <c r="I174" i="79" s="1"/>
  <c r="G128" i="60"/>
  <c r="H174" i="79" s="1"/>
  <c r="F128" i="60"/>
  <c r="G174" i="79" s="1"/>
  <c r="E128" i="60"/>
  <c r="F174" i="79" s="1"/>
  <c r="D128" i="60"/>
  <c r="E174" i="79" s="1"/>
  <c r="C128" i="60"/>
  <c r="D174" i="79" s="1"/>
  <c r="B128" i="60"/>
  <c r="C174" i="79" s="1"/>
  <c r="B65" i="84"/>
  <c r="N60" i="84"/>
  <c r="M60" i="84"/>
  <c r="M59" i="84" s="1"/>
  <c r="L83" i="59" s="1"/>
  <c r="M239" i="69" s="1"/>
  <c r="L60" i="84"/>
  <c r="K83" i="50" s="1"/>
  <c r="L238" i="69" s="1"/>
  <c r="K60" i="84"/>
  <c r="K59" i="84" s="1"/>
  <c r="J83" i="59" s="1"/>
  <c r="K239" i="69" s="1"/>
  <c r="J60" i="84"/>
  <c r="I60" i="84"/>
  <c r="H83" i="50" s="1"/>
  <c r="I238" i="69" s="1"/>
  <c r="H60" i="84"/>
  <c r="G83" i="50" s="1"/>
  <c r="H238" i="69" s="1"/>
  <c r="G60" i="84"/>
  <c r="G59" i="84" s="1"/>
  <c r="F83" i="59" s="1"/>
  <c r="G239" i="69" s="1"/>
  <c r="F60" i="84"/>
  <c r="E60" i="84"/>
  <c r="E59" i="84" s="1"/>
  <c r="D83" i="59" s="1"/>
  <c r="E239" i="69" s="1"/>
  <c r="D60" i="84"/>
  <c r="C83" i="50" s="1"/>
  <c r="D238" i="69" s="1"/>
  <c r="C60" i="84"/>
  <c r="C59" i="84" s="1"/>
  <c r="B83" i="59" s="1"/>
  <c r="M83" i="60"/>
  <c r="N240" i="69" s="1"/>
  <c r="L83" i="60"/>
  <c r="M240" i="69" s="1"/>
  <c r="K83" i="60"/>
  <c r="L240" i="69" s="1"/>
  <c r="J83" i="60"/>
  <c r="K240" i="69" s="1"/>
  <c r="I83" i="60"/>
  <c r="J240" i="69" s="1"/>
  <c r="H83" i="60"/>
  <c r="I240" i="69" s="1"/>
  <c r="G83" i="60"/>
  <c r="H240" i="69" s="1"/>
  <c r="F83" i="60"/>
  <c r="G240" i="69" s="1"/>
  <c r="E83" i="60"/>
  <c r="F240" i="69" s="1"/>
  <c r="D83" i="60"/>
  <c r="E240" i="69" s="1"/>
  <c r="C83" i="60"/>
  <c r="D240" i="69" s="1"/>
  <c r="B83" i="60"/>
  <c r="B57" i="84"/>
  <c r="N55" i="84"/>
  <c r="N54" i="84" s="1"/>
  <c r="M38" i="59" s="1"/>
  <c r="N173" i="70" s="1"/>
  <c r="M55" i="84"/>
  <c r="M54" i="84" s="1"/>
  <c r="L38" i="59" s="1"/>
  <c r="M173" i="70" s="1"/>
  <c r="L55" i="84"/>
  <c r="K38" i="50" s="1"/>
  <c r="L172" i="70" s="1"/>
  <c r="K55" i="84"/>
  <c r="K54" i="84" s="1"/>
  <c r="J38" i="59" s="1"/>
  <c r="K173" i="70" s="1"/>
  <c r="J55" i="84"/>
  <c r="J54" i="84" s="1"/>
  <c r="I38" i="59" s="1"/>
  <c r="J173" i="70" s="1"/>
  <c r="I55" i="84"/>
  <c r="I54" i="84" s="1"/>
  <c r="H38" i="59" s="1"/>
  <c r="I173" i="70" s="1"/>
  <c r="H55" i="84"/>
  <c r="G38" i="50" s="1"/>
  <c r="H172" i="70" s="1"/>
  <c r="G55" i="84"/>
  <c r="G54" i="84" s="1"/>
  <c r="F38" i="59" s="1"/>
  <c r="G173" i="70" s="1"/>
  <c r="F55" i="84"/>
  <c r="F54" i="84" s="1"/>
  <c r="E38" i="59" s="1"/>
  <c r="F173" i="70" s="1"/>
  <c r="E55" i="84"/>
  <c r="D38" i="50" s="1"/>
  <c r="E172" i="70" s="1"/>
  <c r="D55" i="84"/>
  <c r="C38" i="50" s="1"/>
  <c r="D172" i="70" s="1"/>
  <c r="C55" i="84"/>
  <c r="C54" i="84" s="1"/>
  <c r="B38" i="59" s="1"/>
  <c r="C173" i="70" s="1"/>
  <c r="N53" i="84"/>
  <c r="M38" i="60" s="1"/>
  <c r="N174" i="70" s="1"/>
  <c r="M53" i="84"/>
  <c r="L38" i="60" s="1"/>
  <c r="M174" i="70" s="1"/>
  <c r="L53" i="84"/>
  <c r="K38" i="60" s="1"/>
  <c r="L174" i="70" s="1"/>
  <c r="K53" i="84"/>
  <c r="J38" i="60" s="1"/>
  <c r="K174" i="70" s="1"/>
  <c r="J53" i="84"/>
  <c r="I38" i="60" s="1"/>
  <c r="J174" i="70" s="1"/>
  <c r="I53" i="84"/>
  <c r="H38" i="60" s="1"/>
  <c r="I174" i="70" s="1"/>
  <c r="H53" i="84"/>
  <c r="G38" i="60" s="1"/>
  <c r="H174" i="70" s="1"/>
  <c r="G53" i="84"/>
  <c r="F38" i="60" s="1"/>
  <c r="G174" i="70" s="1"/>
  <c r="F53" i="84"/>
  <c r="E38" i="60" s="1"/>
  <c r="F174" i="70" s="1"/>
  <c r="E53" i="84"/>
  <c r="D38" i="60" s="1"/>
  <c r="E174" i="70" s="1"/>
  <c r="D53" i="84"/>
  <c r="C38" i="60" s="1"/>
  <c r="D174" i="70" s="1"/>
  <c r="C53" i="84"/>
  <c r="B38" i="60" s="1"/>
  <c r="C174" i="70" s="1"/>
  <c r="B52" i="84"/>
  <c r="N24" i="84"/>
  <c r="M24" i="84"/>
  <c r="L24" i="84"/>
  <c r="K24" i="84"/>
  <c r="J24" i="84"/>
  <c r="I24" i="84"/>
  <c r="H24" i="84"/>
  <c r="G24" i="84"/>
  <c r="F24" i="84"/>
  <c r="E24" i="84"/>
  <c r="D24" i="84"/>
  <c r="C24" i="84"/>
  <c r="N23" i="84"/>
  <c r="M23" i="84"/>
  <c r="L23" i="84"/>
  <c r="K23" i="84"/>
  <c r="J23" i="84"/>
  <c r="I23" i="84"/>
  <c r="H23" i="84"/>
  <c r="G23" i="84"/>
  <c r="F23" i="84"/>
  <c r="E23" i="84"/>
  <c r="D23" i="84"/>
  <c r="C23" i="84"/>
  <c r="B23" i="84"/>
  <c r="N22" i="84"/>
  <c r="M22" i="84"/>
  <c r="L22" i="84"/>
  <c r="K22" i="84"/>
  <c r="J22" i="84"/>
  <c r="I22" i="84"/>
  <c r="H22" i="84"/>
  <c r="G22" i="84"/>
  <c r="F22" i="84"/>
  <c r="E22" i="84"/>
  <c r="D22" i="84"/>
  <c r="C22" i="84"/>
  <c r="B22" i="84"/>
  <c r="B14" i="84"/>
  <c r="B13" i="84"/>
  <c r="B35" i="50"/>
  <c r="C151" i="70" s="1"/>
  <c r="N38" i="52"/>
  <c r="T171" i="70" s="1"/>
  <c r="N35" i="52"/>
  <c r="T150" i="70" s="1"/>
  <c r="N84" i="52"/>
  <c r="N81" i="52"/>
  <c r="T207" i="69" s="1"/>
  <c r="N150" i="79"/>
  <c r="M24" i="83"/>
  <c r="L150" i="79"/>
  <c r="K150" i="79"/>
  <c r="J150" i="79"/>
  <c r="I24" i="83"/>
  <c r="H150" i="79"/>
  <c r="G150" i="79"/>
  <c r="F150" i="79"/>
  <c r="E24" i="83"/>
  <c r="D150" i="79"/>
  <c r="C150" i="79"/>
  <c r="D171" i="79"/>
  <c r="N171" i="79"/>
  <c r="L171" i="79"/>
  <c r="K171" i="79"/>
  <c r="J171" i="79"/>
  <c r="I171" i="79"/>
  <c r="H171" i="79"/>
  <c r="G171" i="79"/>
  <c r="F171" i="79"/>
  <c r="E171" i="79"/>
  <c r="C171" i="79"/>
  <c r="N68" i="83"/>
  <c r="N67" i="83" s="1"/>
  <c r="M125" i="59" s="1"/>
  <c r="N152" i="79" s="1"/>
  <c r="M68" i="83"/>
  <c r="L126" i="50" s="1"/>
  <c r="L68" i="83"/>
  <c r="K126" i="50" s="1"/>
  <c r="K68" i="83"/>
  <c r="K67" i="83" s="1"/>
  <c r="J125" i="59" s="1"/>
  <c r="K152" i="79" s="1"/>
  <c r="J68" i="83"/>
  <c r="J67" i="83" s="1"/>
  <c r="I125" i="59" s="1"/>
  <c r="J152" i="79" s="1"/>
  <c r="I68" i="83"/>
  <c r="H126" i="50" s="1"/>
  <c r="I151" i="79" s="1"/>
  <c r="H68" i="83"/>
  <c r="G126" i="50" s="1"/>
  <c r="H151" i="79" s="1"/>
  <c r="G68" i="83"/>
  <c r="G67" i="83" s="1"/>
  <c r="F125" i="59" s="1"/>
  <c r="G152" i="79" s="1"/>
  <c r="F68" i="83"/>
  <c r="F67" i="83" s="1"/>
  <c r="E125" i="59" s="1"/>
  <c r="F152" i="79" s="1"/>
  <c r="E68" i="83"/>
  <c r="D126" i="50" s="1"/>
  <c r="D68" i="83"/>
  <c r="C126" i="50" s="1"/>
  <c r="D151" i="79" s="1"/>
  <c r="C68" i="83"/>
  <c r="B126" i="50" s="1"/>
  <c r="C151" i="79" s="1"/>
  <c r="M125" i="60"/>
  <c r="N153" i="79" s="1"/>
  <c r="L125" i="60"/>
  <c r="M153" i="79" s="1"/>
  <c r="K125" i="60"/>
  <c r="L153" i="79" s="1"/>
  <c r="J125" i="60"/>
  <c r="K153" i="79" s="1"/>
  <c r="I125" i="60"/>
  <c r="J153" i="79" s="1"/>
  <c r="H125" i="60"/>
  <c r="I153" i="79" s="1"/>
  <c r="G125" i="60"/>
  <c r="H153" i="79" s="1"/>
  <c r="F125" i="60"/>
  <c r="G153" i="79" s="1"/>
  <c r="E125" i="60"/>
  <c r="F153" i="79" s="1"/>
  <c r="D125" i="60"/>
  <c r="E153" i="79" s="1"/>
  <c r="C125" i="60"/>
  <c r="D153" i="79" s="1"/>
  <c r="B125" i="60"/>
  <c r="C153" i="79" s="1"/>
  <c r="B65" i="83"/>
  <c r="N60" i="83"/>
  <c r="N59" i="83" s="1"/>
  <c r="M80" i="59" s="1"/>
  <c r="N209" i="69" s="1"/>
  <c r="M60" i="83"/>
  <c r="M59" i="83" s="1"/>
  <c r="L80" i="59" s="1"/>
  <c r="M209" i="69" s="1"/>
  <c r="L60" i="83"/>
  <c r="K80" i="50" s="1"/>
  <c r="L208" i="69" s="1"/>
  <c r="K60" i="83"/>
  <c r="K59" i="83" s="1"/>
  <c r="J80" i="59" s="1"/>
  <c r="K209" i="69" s="1"/>
  <c r="J60" i="83"/>
  <c r="J59" i="83" s="1"/>
  <c r="I80" i="59" s="1"/>
  <c r="J209" i="69" s="1"/>
  <c r="I60" i="83"/>
  <c r="I59" i="83" s="1"/>
  <c r="H80" i="59" s="1"/>
  <c r="I209" i="69" s="1"/>
  <c r="H60" i="83"/>
  <c r="G80" i="50" s="1"/>
  <c r="H208" i="69" s="1"/>
  <c r="G60" i="83"/>
  <c r="G59" i="83" s="1"/>
  <c r="F80" i="59" s="1"/>
  <c r="G209" i="69" s="1"/>
  <c r="F60" i="83"/>
  <c r="F59" i="83" s="1"/>
  <c r="E80" i="59" s="1"/>
  <c r="F209" i="69" s="1"/>
  <c r="E60" i="83"/>
  <c r="E59" i="83" s="1"/>
  <c r="D80" i="59" s="1"/>
  <c r="E209" i="69" s="1"/>
  <c r="D60" i="83"/>
  <c r="C80" i="50" s="1"/>
  <c r="D208" i="69" s="1"/>
  <c r="C60" i="83"/>
  <c r="C59" i="83" s="1"/>
  <c r="B80" i="59" s="1"/>
  <c r="M80" i="60"/>
  <c r="N210" i="69" s="1"/>
  <c r="L80" i="60"/>
  <c r="M210" i="69" s="1"/>
  <c r="K80" i="60"/>
  <c r="L210" i="69" s="1"/>
  <c r="J80" i="60"/>
  <c r="K210" i="69" s="1"/>
  <c r="I80" i="60"/>
  <c r="J210" i="69" s="1"/>
  <c r="H80" i="60"/>
  <c r="I210" i="69" s="1"/>
  <c r="G80" i="60"/>
  <c r="H210" i="69" s="1"/>
  <c r="F80" i="60"/>
  <c r="G210" i="69" s="1"/>
  <c r="E80" i="60"/>
  <c r="F210" i="69" s="1"/>
  <c r="D80" i="60"/>
  <c r="E210" i="69" s="1"/>
  <c r="C80" i="60"/>
  <c r="D210" i="69" s="1"/>
  <c r="B80" i="60"/>
  <c r="B57" i="83"/>
  <c r="N55" i="83"/>
  <c r="N54" i="83" s="1"/>
  <c r="M35" i="59" s="1"/>
  <c r="N152" i="70" s="1"/>
  <c r="M55" i="83"/>
  <c r="L55" i="83"/>
  <c r="K35" i="50" s="1"/>
  <c r="L151" i="70" s="1"/>
  <c r="K55" i="83"/>
  <c r="K54" i="83" s="1"/>
  <c r="J35" i="59" s="1"/>
  <c r="K152" i="70" s="1"/>
  <c r="J55" i="83"/>
  <c r="J54" i="83" s="1"/>
  <c r="I35" i="59" s="1"/>
  <c r="J152" i="70" s="1"/>
  <c r="I55" i="83"/>
  <c r="H55" i="83"/>
  <c r="G35" i="50" s="1"/>
  <c r="H151" i="70" s="1"/>
  <c r="G55" i="83"/>
  <c r="G54" i="83" s="1"/>
  <c r="F35" i="59" s="1"/>
  <c r="G152" i="70" s="1"/>
  <c r="F55" i="83"/>
  <c r="F54" i="83" s="1"/>
  <c r="E35" i="59" s="1"/>
  <c r="F152" i="70" s="1"/>
  <c r="E55" i="83"/>
  <c r="D55" i="83"/>
  <c r="C35" i="50" s="1"/>
  <c r="D151" i="70" s="1"/>
  <c r="C54" i="83"/>
  <c r="B35" i="59" s="1"/>
  <c r="N53" i="83"/>
  <c r="M35" i="60" s="1"/>
  <c r="N153" i="70" s="1"/>
  <c r="M53" i="83"/>
  <c r="L35" i="60" s="1"/>
  <c r="M153" i="70" s="1"/>
  <c r="L53" i="83"/>
  <c r="K35" i="60" s="1"/>
  <c r="L153" i="70" s="1"/>
  <c r="K53" i="83"/>
  <c r="J35" i="60" s="1"/>
  <c r="K153" i="70" s="1"/>
  <c r="J53" i="83"/>
  <c r="I35" i="60" s="1"/>
  <c r="J153" i="70" s="1"/>
  <c r="I53" i="83"/>
  <c r="H35" i="60" s="1"/>
  <c r="I153" i="70" s="1"/>
  <c r="H53" i="83"/>
  <c r="G35" i="60" s="1"/>
  <c r="H153" i="70" s="1"/>
  <c r="G53" i="83"/>
  <c r="F35" i="60" s="1"/>
  <c r="G153" i="70" s="1"/>
  <c r="F53" i="83"/>
  <c r="E35" i="60" s="1"/>
  <c r="F153" i="70" s="1"/>
  <c r="E53" i="83"/>
  <c r="D35" i="60" s="1"/>
  <c r="E153" i="70" s="1"/>
  <c r="D53" i="83"/>
  <c r="C35" i="60" s="1"/>
  <c r="D153" i="70" s="1"/>
  <c r="C53" i="83"/>
  <c r="B35" i="60" s="1"/>
  <c r="C153" i="70" s="1"/>
  <c r="B52" i="83"/>
  <c r="N24" i="83"/>
  <c r="J24" i="83"/>
  <c r="F24" i="83"/>
  <c r="C24" i="83"/>
  <c r="N23" i="83"/>
  <c r="M23" i="83"/>
  <c r="L23" i="83"/>
  <c r="K23" i="83"/>
  <c r="J23" i="83"/>
  <c r="I23" i="83"/>
  <c r="H23" i="83"/>
  <c r="G23" i="83"/>
  <c r="F23" i="83"/>
  <c r="E23" i="83"/>
  <c r="D23" i="83"/>
  <c r="C23" i="83"/>
  <c r="B23" i="83"/>
  <c r="N22" i="83"/>
  <c r="M22" i="83"/>
  <c r="L22" i="83"/>
  <c r="K22" i="83"/>
  <c r="J22" i="83"/>
  <c r="I22" i="83"/>
  <c r="H22" i="83"/>
  <c r="G22" i="83"/>
  <c r="F22" i="83"/>
  <c r="E22" i="83"/>
  <c r="D22" i="83"/>
  <c r="C22" i="83"/>
  <c r="B22" i="83"/>
  <c r="B14" i="83"/>
  <c r="B13" i="83"/>
  <c r="N69" i="58"/>
  <c r="N68" i="58" s="1"/>
  <c r="M69" i="58"/>
  <c r="M68" i="58" s="1"/>
  <c r="L69" i="58"/>
  <c r="L68" i="58" s="1"/>
  <c r="K69" i="58"/>
  <c r="K68" i="58" s="1"/>
  <c r="J69" i="58"/>
  <c r="J68" i="58" s="1"/>
  <c r="I69" i="58"/>
  <c r="I68" i="58" s="1"/>
  <c r="H69" i="58"/>
  <c r="H68" i="58" s="1"/>
  <c r="G69" i="58"/>
  <c r="G68" i="58" s="1"/>
  <c r="F69" i="58"/>
  <c r="F68" i="58" s="1"/>
  <c r="E69" i="58"/>
  <c r="E68" i="58" s="1"/>
  <c r="D69" i="58"/>
  <c r="D68" i="58" s="1"/>
  <c r="C69" i="58"/>
  <c r="C68" i="58" s="1"/>
  <c r="N61" i="58"/>
  <c r="N60" i="58" s="1"/>
  <c r="M61" i="58"/>
  <c r="M60" i="58" s="1"/>
  <c r="L61" i="58"/>
  <c r="L60" i="58" s="1"/>
  <c r="K61" i="58"/>
  <c r="K60" i="58" s="1"/>
  <c r="J61" i="58"/>
  <c r="J60" i="58" s="1"/>
  <c r="I61" i="58"/>
  <c r="I60" i="58" s="1"/>
  <c r="H61" i="58"/>
  <c r="H60" i="58" s="1"/>
  <c r="G61" i="58"/>
  <c r="G60" i="58" s="1"/>
  <c r="F61" i="58"/>
  <c r="F60" i="58" s="1"/>
  <c r="E61" i="58"/>
  <c r="E60" i="58" s="1"/>
  <c r="D61" i="58"/>
  <c r="D60" i="58" s="1"/>
  <c r="C61" i="58"/>
  <c r="C60" i="58" s="1"/>
  <c r="N56" i="58"/>
  <c r="N55" i="58" s="1"/>
  <c r="M56" i="58"/>
  <c r="M55" i="58" s="1"/>
  <c r="L56" i="58"/>
  <c r="L55" i="58" s="1"/>
  <c r="K56" i="58"/>
  <c r="K55" i="58" s="1"/>
  <c r="J56" i="58"/>
  <c r="J55" i="58" s="1"/>
  <c r="I56" i="58"/>
  <c r="I55" i="58" s="1"/>
  <c r="H56" i="58"/>
  <c r="H55" i="58" s="1"/>
  <c r="G56" i="58"/>
  <c r="G55" i="58" s="1"/>
  <c r="F56" i="58"/>
  <c r="F55" i="58" s="1"/>
  <c r="E56" i="58"/>
  <c r="E55" i="58" s="1"/>
  <c r="D56" i="58"/>
  <c r="D55" i="58" s="1"/>
  <c r="C56" i="58"/>
  <c r="C55" i="58" s="1"/>
  <c r="N54" i="58"/>
  <c r="M54" i="58"/>
  <c r="L54" i="58"/>
  <c r="K54" i="58"/>
  <c r="J54" i="58"/>
  <c r="I54" i="58"/>
  <c r="H54" i="58"/>
  <c r="G54" i="58"/>
  <c r="F54" i="58"/>
  <c r="E54" i="58"/>
  <c r="D54" i="58"/>
  <c r="C54" i="58"/>
  <c r="N65" i="74"/>
  <c r="N64" i="74" s="1"/>
  <c r="M65" i="74"/>
  <c r="M64" i="74" s="1"/>
  <c r="L65" i="74"/>
  <c r="L64" i="74" s="1"/>
  <c r="K65" i="74"/>
  <c r="K64" i="74" s="1"/>
  <c r="J65" i="74"/>
  <c r="J64" i="74" s="1"/>
  <c r="I65" i="74"/>
  <c r="I64" i="74" s="1"/>
  <c r="H65" i="74"/>
  <c r="H64" i="74" s="1"/>
  <c r="G65" i="74"/>
  <c r="G64" i="74" s="1"/>
  <c r="F65" i="74"/>
  <c r="F64" i="74" s="1"/>
  <c r="E65" i="74"/>
  <c r="E64" i="74" s="1"/>
  <c r="D65" i="74"/>
  <c r="D64" i="74" s="1"/>
  <c r="C65" i="74"/>
  <c r="C64" i="74" s="1"/>
  <c r="N60" i="74"/>
  <c r="N59" i="74" s="1"/>
  <c r="M60" i="74"/>
  <c r="M59" i="74" s="1"/>
  <c r="L60" i="74"/>
  <c r="L59" i="74" s="1"/>
  <c r="K60" i="74"/>
  <c r="K59" i="74" s="1"/>
  <c r="J60" i="74"/>
  <c r="J59" i="74" s="1"/>
  <c r="I60" i="74"/>
  <c r="I59" i="74" s="1"/>
  <c r="H60" i="74"/>
  <c r="H59" i="74" s="1"/>
  <c r="G60" i="74"/>
  <c r="G59" i="74" s="1"/>
  <c r="F60" i="74"/>
  <c r="F59" i="74" s="1"/>
  <c r="E60" i="74"/>
  <c r="E59" i="74" s="1"/>
  <c r="D60" i="74"/>
  <c r="D59" i="74" s="1"/>
  <c r="C60" i="74"/>
  <c r="C59" i="74" s="1"/>
  <c r="N55" i="74"/>
  <c r="N54" i="74" s="1"/>
  <c r="M55" i="74"/>
  <c r="L40" i="50" s="1"/>
  <c r="L55" i="74"/>
  <c r="K40" i="50" s="1"/>
  <c r="K55" i="74"/>
  <c r="K54" i="74" s="1"/>
  <c r="J55" i="74"/>
  <c r="J54" i="74" s="1"/>
  <c r="I55" i="74"/>
  <c r="H40" i="50" s="1"/>
  <c r="H55" i="74"/>
  <c r="H54" i="74" s="1"/>
  <c r="G55" i="74"/>
  <c r="G54" i="74" s="1"/>
  <c r="F55" i="74"/>
  <c r="F54" i="74" s="1"/>
  <c r="E55" i="74"/>
  <c r="D40" i="50" s="1"/>
  <c r="D55" i="74"/>
  <c r="D54" i="74" s="1"/>
  <c r="C55" i="74"/>
  <c r="C54" i="74" s="1"/>
  <c r="N53" i="74"/>
  <c r="M53" i="74"/>
  <c r="L53" i="74"/>
  <c r="K53" i="74"/>
  <c r="J53" i="74"/>
  <c r="I53" i="74"/>
  <c r="H53" i="74"/>
  <c r="G53" i="74"/>
  <c r="F53" i="74"/>
  <c r="E53" i="74"/>
  <c r="D53" i="74"/>
  <c r="C53" i="74"/>
  <c r="N68" i="75"/>
  <c r="N67" i="75" s="1"/>
  <c r="M68" i="75"/>
  <c r="M67" i="75" s="1"/>
  <c r="L68" i="75"/>
  <c r="L67" i="75" s="1"/>
  <c r="K68" i="75"/>
  <c r="K67" i="75" s="1"/>
  <c r="J68" i="75"/>
  <c r="J67" i="75" s="1"/>
  <c r="I68" i="75"/>
  <c r="I67" i="75" s="1"/>
  <c r="H68" i="75"/>
  <c r="H67" i="75" s="1"/>
  <c r="G68" i="75"/>
  <c r="G67" i="75" s="1"/>
  <c r="F68" i="75"/>
  <c r="F67" i="75" s="1"/>
  <c r="E68" i="75"/>
  <c r="E67" i="75" s="1"/>
  <c r="D68" i="75"/>
  <c r="D67" i="75" s="1"/>
  <c r="C68" i="75"/>
  <c r="C67" i="75" s="1"/>
  <c r="N60" i="75"/>
  <c r="N59" i="75" s="1"/>
  <c r="M60" i="75"/>
  <c r="M59" i="75" s="1"/>
  <c r="L60" i="75"/>
  <c r="L59" i="75" s="1"/>
  <c r="K60" i="75"/>
  <c r="K59" i="75" s="1"/>
  <c r="J60" i="75"/>
  <c r="J59" i="75" s="1"/>
  <c r="I60" i="75"/>
  <c r="I59" i="75" s="1"/>
  <c r="H60" i="75"/>
  <c r="H59" i="75" s="1"/>
  <c r="G60" i="75"/>
  <c r="G59" i="75" s="1"/>
  <c r="F60" i="75"/>
  <c r="F59" i="75" s="1"/>
  <c r="E60" i="75"/>
  <c r="E59" i="75" s="1"/>
  <c r="D60" i="75"/>
  <c r="D59" i="75" s="1"/>
  <c r="C60" i="75"/>
  <c r="C59" i="75" s="1"/>
  <c r="N55" i="75"/>
  <c r="M41" i="50" s="1"/>
  <c r="M55" i="75"/>
  <c r="M54" i="75" s="1"/>
  <c r="L55" i="75"/>
  <c r="L54" i="75" s="1"/>
  <c r="K55" i="75"/>
  <c r="K54" i="75" s="1"/>
  <c r="J55" i="75"/>
  <c r="I41" i="50" s="1"/>
  <c r="I55" i="75"/>
  <c r="I54" i="75" s="1"/>
  <c r="H55" i="75"/>
  <c r="H54" i="75" s="1"/>
  <c r="G55" i="75"/>
  <c r="G54" i="75" s="1"/>
  <c r="F55" i="75"/>
  <c r="E41" i="50" s="1"/>
  <c r="E55" i="75"/>
  <c r="E54" i="75" s="1"/>
  <c r="D55" i="75"/>
  <c r="D54" i="75" s="1"/>
  <c r="C55" i="75"/>
  <c r="C54" i="75" s="1"/>
  <c r="N53" i="75"/>
  <c r="M53" i="75"/>
  <c r="L53" i="75"/>
  <c r="K53" i="75"/>
  <c r="J53" i="75"/>
  <c r="I53" i="75"/>
  <c r="H53" i="75"/>
  <c r="G53" i="75"/>
  <c r="F53" i="75"/>
  <c r="E53" i="75"/>
  <c r="D53" i="75"/>
  <c r="C53" i="75"/>
  <c r="D69" i="73"/>
  <c r="D68" i="73" s="1"/>
  <c r="E69" i="73"/>
  <c r="E68" i="73" s="1"/>
  <c r="F69" i="73"/>
  <c r="F68" i="73" s="1"/>
  <c r="G69" i="73"/>
  <c r="G68" i="73" s="1"/>
  <c r="H69" i="73"/>
  <c r="H68" i="73" s="1"/>
  <c r="I69" i="73"/>
  <c r="I68" i="73" s="1"/>
  <c r="J69" i="73"/>
  <c r="J68" i="73" s="1"/>
  <c r="K69" i="73"/>
  <c r="K68" i="73" s="1"/>
  <c r="L69" i="73"/>
  <c r="L68" i="73" s="1"/>
  <c r="M69" i="73"/>
  <c r="M68" i="73" s="1"/>
  <c r="N69" i="73"/>
  <c r="N68" i="73" s="1"/>
  <c r="C69" i="73"/>
  <c r="C68" i="73" s="1"/>
  <c r="D61" i="73"/>
  <c r="D60" i="73" s="1"/>
  <c r="E61" i="73"/>
  <c r="E60" i="73" s="1"/>
  <c r="F61" i="73"/>
  <c r="F60" i="73" s="1"/>
  <c r="G61" i="73"/>
  <c r="G60" i="73" s="1"/>
  <c r="H61" i="73"/>
  <c r="H60" i="73" s="1"/>
  <c r="I61" i="73"/>
  <c r="I60" i="73" s="1"/>
  <c r="J61" i="73"/>
  <c r="J60" i="73" s="1"/>
  <c r="K61" i="73"/>
  <c r="K60" i="73" s="1"/>
  <c r="L61" i="73"/>
  <c r="L60" i="73" s="1"/>
  <c r="M61" i="73"/>
  <c r="M60" i="73" s="1"/>
  <c r="N61" i="73"/>
  <c r="N60" i="73" s="1"/>
  <c r="C61" i="73"/>
  <c r="C60" i="73" s="1"/>
  <c r="D56" i="73"/>
  <c r="C39" i="50" s="1"/>
  <c r="E56" i="73"/>
  <c r="D39" i="50" s="1"/>
  <c r="F56" i="73"/>
  <c r="E39" i="50" s="1"/>
  <c r="G56" i="73"/>
  <c r="G55" i="73" s="1"/>
  <c r="H56" i="73"/>
  <c r="G39" i="50" s="1"/>
  <c r="I56" i="73"/>
  <c r="H39" i="50" s="1"/>
  <c r="J56" i="73"/>
  <c r="I39" i="50" s="1"/>
  <c r="K56" i="73"/>
  <c r="K55" i="73" s="1"/>
  <c r="L56" i="73"/>
  <c r="K39" i="50" s="1"/>
  <c r="M56" i="73"/>
  <c r="L39" i="50" s="1"/>
  <c r="N56" i="73"/>
  <c r="M39" i="50" s="1"/>
  <c r="C56" i="73"/>
  <c r="C55" i="73" s="1"/>
  <c r="C54" i="73"/>
  <c r="N54" i="73"/>
  <c r="M54" i="73"/>
  <c r="L54" i="73"/>
  <c r="K54" i="73"/>
  <c r="J54" i="73"/>
  <c r="I54" i="73"/>
  <c r="H54" i="73"/>
  <c r="G54" i="73"/>
  <c r="F54" i="73"/>
  <c r="E54" i="73"/>
  <c r="D54" i="73"/>
  <c r="N68" i="57"/>
  <c r="N67" i="57" s="1"/>
  <c r="M68" i="57"/>
  <c r="M67" i="57" s="1"/>
  <c r="L68" i="57"/>
  <c r="L67" i="57" s="1"/>
  <c r="K68" i="57"/>
  <c r="K67" i="57" s="1"/>
  <c r="J68" i="57"/>
  <c r="J67" i="57" s="1"/>
  <c r="I68" i="57"/>
  <c r="I67" i="57" s="1"/>
  <c r="H68" i="57"/>
  <c r="H67" i="57" s="1"/>
  <c r="G68" i="57"/>
  <c r="G67" i="57" s="1"/>
  <c r="F68" i="57"/>
  <c r="F67" i="57" s="1"/>
  <c r="E68" i="57"/>
  <c r="E67" i="57" s="1"/>
  <c r="D68" i="57"/>
  <c r="D67" i="57" s="1"/>
  <c r="C68" i="57"/>
  <c r="C67" i="57" s="1"/>
  <c r="C60" i="57"/>
  <c r="C59" i="57" s="1"/>
  <c r="N55" i="57"/>
  <c r="N54" i="57" s="1"/>
  <c r="M55" i="57"/>
  <c r="M54" i="57" s="1"/>
  <c r="L55" i="57"/>
  <c r="L54" i="57" s="1"/>
  <c r="K55" i="57"/>
  <c r="K54" i="57" s="1"/>
  <c r="J55" i="57"/>
  <c r="J54" i="57" s="1"/>
  <c r="I55" i="57"/>
  <c r="I54" i="57" s="1"/>
  <c r="H55" i="57"/>
  <c r="H54" i="57" s="1"/>
  <c r="G55" i="57"/>
  <c r="G54" i="57" s="1"/>
  <c r="F55" i="57"/>
  <c r="F54" i="57" s="1"/>
  <c r="E55" i="57"/>
  <c r="E54" i="57" s="1"/>
  <c r="D55" i="57"/>
  <c r="D54" i="57" s="1"/>
  <c r="C55" i="57"/>
  <c r="C54" i="57" s="1"/>
  <c r="N53" i="57"/>
  <c r="M53" i="57"/>
  <c r="L53" i="57"/>
  <c r="K53" i="57"/>
  <c r="J53" i="57"/>
  <c r="I53" i="57"/>
  <c r="H53" i="57"/>
  <c r="G53" i="57"/>
  <c r="F53" i="57"/>
  <c r="E53" i="57"/>
  <c r="D53" i="57"/>
  <c r="C53" i="57"/>
  <c r="N68" i="56"/>
  <c r="N67" i="56" s="1"/>
  <c r="M68" i="56"/>
  <c r="M67" i="56" s="1"/>
  <c r="L68" i="56"/>
  <c r="L67" i="56" s="1"/>
  <c r="K68" i="56"/>
  <c r="K67" i="56" s="1"/>
  <c r="J68" i="56"/>
  <c r="J67" i="56" s="1"/>
  <c r="I68" i="56"/>
  <c r="I67" i="56" s="1"/>
  <c r="H68" i="56"/>
  <c r="H67" i="56" s="1"/>
  <c r="G68" i="56"/>
  <c r="G67" i="56" s="1"/>
  <c r="F68" i="56"/>
  <c r="F67" i="56" s="1"/>
  <c r="E68" i="56"/>
  <c r="E67" i="56" s="1"/>
  <c r="D68" i="56"/>
  <c r="D67" i="56" s="1"/>
  <c r="C68" i="56"/>
  <c r="C67" i="56" s="1"/>
  <c r="N60" i="56"/>
  <c r="N59" i="56" s="1"/>
  <c r="M60" i="56"/>
  <c r="M59" i="56" s="1"/>
  <c r="L60" i="56"/>
  <c r="L59" i="56" s="1"/>
  <c r="K60" i="56"/>
  <c r="K59" i="56" s="1"/>
  <c r="J60" i="56"/>
  <c r="J59" i="56" s="1"/>
  <c r="I60" i="56"/>
  <c r="I59" i="56" s="1"/>
  <c r="H60" i="56"/>
  <c r="H59" i="56" s="1"/>
  <c r="G60" i="56"/>
  <c r="G59" i="56" s="1"/>
  <c r="F60" i="56"/>
  <c r="F59" i="56" s="1"/>
  <c r="E60" i="56"/>
  <c r="E59" i="56" s="1"/>
  <c r="D60" i="56"/>
  <c r="D59" i="56" s="1"/>
  <c r="C60" i="56"/>
  <c r="C59" i="56" s="1"/>
  <c r="N55" i="56"/>
  <c r="N54" i="56" s="1"/>
  <c r="M55" i="56"/>
  <c r="M54" i="56" s="1"/>
  <c r="L55" i="56"/>
  <c r="L54" i="56" s="1"/>
  <c r="K55" i="56"/>
  <c r="K54" i="56" s="1"/>
  <c r="J55" i="56"/>
  <c r="J54" i="56" s="1"/>
  <c r="I55" i="56"/>
  <c r="I54" i="56" s="1"/>
  <c r="H55" i="56"/>
  <c r="H54" i="56" s="1"/>
  <c r="G55" i="56"/>
  <c r="G54" i="56" s="1"/>
  <c r="F55" i="56"/>
  <c r="F54" i="56" s="1"/>
  <c r="E55" i="56"/>
  <c r="E54" i="56" s="1"/>
  <c r="D55" i="56"/>
  <c r="D54" i="56" s="1"/>
  <c r="C55" i="56"/>
  <c r="C54" i="56" s="1"/>
  <c r="N53" i="56"/>
  <c r="M53" i="56"/>
  <c r="L53" i="56"/>
  <c r="K53" i="56"/>
  <c r="J53" i="56"/>
  <c r="I53" i="56"/>
  <c r="H53" i="56"/>
  <c r="G53" i="56"/>
  <c r="F53" i="56"/>
  <c r="E53" i="56"/>
  <c r="D53" i="56"/>
  <c r="C53" i="56"/>
  <c r="D68" i="55"/>
  <c r="D67" i="55" s="1"/>
  <c r="E68" i="55"/>
  <c r="E67" i="55" s="1"/>
  <c r="F68" i="55"/>
  <c r="F67" i="55" s="1"/>
  <c r="G68" i="55"/>
  <c r="G67" i="55" s="1"/>
  <c r="H68" i="55"/>
  <c r="H67" i="55" s="1"/>
  <c r="I68" i="55"/>
  <c r="I67" i="55" s="1"/>
  <c r="J68" i="55"/>
  <c r="J67" i="55" s="1"/>
  <c r="K68" i="55"/>
  <c r="K67" i="55" s="1"/>
  <c r="L68" i="55"/>
  <c r="L67" i="55" s="1"/>
  <c r="M68" i="55"/>
  <c r="M67" i="55" s="1"/>
  <c r="N68" i="55"/>
  <c r="N67" i="55" s="1"/>
  <c r="C68" i="55"/>
  <c r="C67" i="55" s="1"/>
  <c r="D60" i="55"/>
  <c r="D59" i="55" s="1"/>
  <c r="E60" i="55"/>
  <c r="E59" i="55" s="1"/>
  <c r="F60" i="55"/>
  <c r="F59" i="55" s="1"/>
  <c r="G60" i="55"/>
  <c r="G59" i="55" s="1"/>
  <c r="H60" i="55"/>
  <c r="H59" i="55" s="1"/>
  <c r="I60" i="55"/>
  <c r="I59" i="55" s="1"/>
  <c r="J60" i="55"/>
  <c r="J59" i="55" s="1"/>
  <c r="K60" i="55"/>
  <c r="K59" i="55" s="1"/>
  <c r="L60" i="55"/>
  <c r="L59" i="55" s="1"/>
  <c r="M60" i="55"/>
  <c r="M59" i="55" s="1"/>
  <c r="N60" i="55"/>
  <c r="N59" i="55" s="1"/>
  <c r="C60" i="55"/>
  <c r="C59" i="55" s="1"/>
  <c r="D55" i="55"/>
  <c r="D54" i="55" s="1"/>
  <c r="E55" i="55"/>
  <c r="E54" i="55" s="1"/>
  <c r="F55" i="55"/>
  <c r="F54" i="55" s="1"/>
  <c r="G55" i="55"/>
  <c r="G54" i="55" s="1"/>
  <c r="H55" i="55"/>
  <c r="H54" i="55" s="1"/>
  <c r="I55" i="55"/>
  <c r="I54" i="55" s="1"/>
  <c r="J55" i="55"/>
  <c r="J54" i="55" s="1"/>
  <c r="K55" i="55"/>
  <c r="K54" i="55" s="1"/>
  <c r="L55" i="55"/>
  <c r="L54" i="55" s="1"/>
  <c r="M55" i="55"/>
  <c r="M54" i="55" s="1"/>
  <c r="N55" i="55"/>
  <c r="N54" i="55" s="1"/>
  <c r="C55" i="55"/>
  <c r="C54" i="55" s="1"/>
  <c r="D53" i="55"/>
  <c r="E53" i="55"/>
  <c r="F53" i="55"/>
  <c r="G53" i="55"/>
  <c r="H53" i="55"/>
  <c r="I53" i="55"/>
  <c r="J53" i="55"/>
  <c r="K53" i="55"/>
  <c r="L53" i="55"/>
  <c r="M53" i="55"/>
  <c r="N53" i="55"/>
  <c r="C53" i="55"/>
  <c r="N677" i="82"/>
  <c r="N676" i="82"/>
  <c r="N675" i="82"/>
  <c r="N674" i="82"/>
  <c r="N673" i="82"/>
  <c r="N672" i="82"/>
  <c r="N671" i="82"/>
  <c r="N670" i="82"/>
  <c r="N669" i="82"/>
  <c r="N668" i="82"/>
  <c r="N667" i="82"/>
  <c r="N666" i="82"/>
  <c r="N665" i="82"/>
  <c r="N664" i="82"/>
  <c r="N663" i="82"/>
  <c r="N662" i="82"/>
  <c r="N661" i="82"/>
  <c r="N660" i="82"/>
  <c r="N659" i="82"/>
  <c r="N658" i="82"/>
  <c r="N657" i="82"/>
  <c r="N656" i="82"/>
  <c r="N655" i="82"/>
  <c r="N654" i="82"/>
  <c r="N653" i="82"/>
  <c r="N652" i="82"/>
  <c r="N651" i="82"/>
  <c r="N650" i="82"/>
  <c r="N649" i="82"/>
  <c r="N648" i="82"/>
  <c r="N647" i="82"/>
  <c r="N646" i="82"/>
  <c r="N645" i="82"/>
  <c r="N644" i="82"/>
  <c r="N643" i="82"/>
  <c r="N642" i="82"/>
  <c r="N641" i="82"/>
  <c r="N640" i="82"/>
  <c r="N639" i="82"/>
  <c r="N638" i="82"/>
  <c r="N637" i="82"/>
  <c r="N636" i="82"/>
  <c r="N635" i="82"/>
  <c r="N634" i="82"/>
  <c r="N633" i="82"/>
  <c r="N632" i="82"/>
  <c r="N631" i="82"/>
  <c r="N630" i="82"/>
  <c r="N629" i="82"/>
  <c r="N628" i="82"/>
  <c r="N627" i="82"/>
  <c r="N626" i="82"/>
  <c r="N625" i="82"/>
  <c r="N624" i="82"/>
  <c r="N623" i="82"/>
  <c r="N622" i="82"/>
  <c r="N621" i="82"/>
  <c r="N620" i="82"/>
  <c r="N619" i="82"/>
  <c r="N618" i="82"/>
  <c r="N617" i="82"/>
  <c r="N616" i="82"/>
  <c r="N615" i="82"/>
  <c r="N614" i="82"/>
  <c r="N613" i="82"/>
  <c r="N612" i="82"/>
  <c r="N611" i="82"/>
  <c r="N610" i="82"/>
  <c r="N609" i="82"/>
  <c r="N608" i="82"/>
  <c r="N607" i="82"/>
  <c r="N606" i="82"/>
  <c r="N605" i="82"/>
  <c r="N604" i="82"/>
  <c r="N603" i="82"/>
  <c r="N602" i="82"/>
  <c r="N601" i="82"/>
  <c r="N600" i="82"/>
  <c r="N599" i="82"/>
  <c r="N598" i="82"/>
  <c r="N597" i="82"/>
  <c r="N596" i="82"/>
  <c r="N595" i="82"/>
  <c r="N594" i="82"/>
  <c r="N593" i="82"/>
  <c r="N592" i="82"/>
  <c r="N591" i="82"/>
  <c r="N590" i="82"/>
  <c r="N589" i="82"/>
  <c r="N588" i="82"/>
  <c r="N587" i="82"/>
  <c r="N586" i="82"/>
  <c r="N585" i="82"/>
  <c r="N584" i="82"/>
  <c r="N583" i="82"/>
  <c r="N582" i="82"/>
  <c r="N581" i="82"/>
  <c r="N580" i="82"/>
  <c r="N579" i="82"/>
  <c r="N578" i="82"/>
  <c r="N577" i="82"/>
  <c r="N576" i="82"/>
  <c r="N575" i="82"/>
  <c r="N574" i="82"/>
  <c r="N573" i="82"/>
  <c r="N572" i="82"/>
  <c r="N571" i="82"/>
  <c r="N570" i="82"/>
  <c r="N569" i="82"/>
  <c r="N568" i="82"/>
  <c r="N567" i="82"/>
  <c r="N566" i="82"/>
  <c r="N565" i="82"/>
  <c r="N564" i="82"/>
  <c r="N563" i="82"/>
  <c r="N562" i="82"/>
  <c r="N561" i="82"/>
  <c r="N560" i="82"/>
  <c r="N559" i="82"/>
  <c r="N558" i="82"/>
  <c r="N557" i="82"/>
  <c r="N556" i="82"/>
  <c r="N555" i="82"/>
  <c r="N554" i="82"/>
  <c r="N553" i="82"/>
  <c r="N552" i="82"/>
  <c r="N551" i="82"/>
  <c r="N550" i="82"/>
  <c r="N549" i="82"/>
  <c r="N548" i="82"/>
  <c r="N547" i="82"/>
  <c r="N546" i="82"/>
  <c r="N545" i="82"/>
  <c r="N544" i="82"/>
  <c r="N543" i="82"/>
  <c r="N542" i="82"/>
  <c r="N541" i="82"/>
  <c r="N540" i="82"/>
  <c r="N539" i="82"/>
  <c r="N538" i="82"/>
  <c r="N537" i="82"/>
  <c r="N536" i="82"/>
  <c r="N535" i="82"/>
  <c r="N534" i="82"/>
  <c r="N533" i="82"/>
  <c r="N532" i="82"/>
  <c r="N531" i="82"/>
  <c r="N530" i="82"/>
  <c r="N529" i="82"/>
  <c r="N528" i="82"/>
  <c r="N527" i="82"/>
  <c r="N526" i="82"/>
  <c r="N525" i="82"/>
  <c r="N524" i="82"/>
  <c r="N523" i="82"/>
  <c r="N522" i="82"/>
  <c r="N521" i="82"/>
  <c r="N520" i="82"/>
  <c r="N519" i="82"/>
  <c r="N518" i="82"/>
  <c r="N517" i="82"/>
  <c r="N516" i="82"/>
  <c r="N515" i="82"/>
  <c r="N514" i="82"/>
  <c r="N513" i="82"/>
  <c r="N512" i="82"/>
  <c r="N511" i="82"/>
  <c r="N510" i="82"/>
  <c r="N509" i="82"/>
  <c r="N508" i="82"/>
  <c r="N507" i="82"/>
  <c r="N506" i="82"/>
  <c r="N505" i="82"/>
  <c r="N504" i="82"/>
  <c r="N503" i="82"/>
  <c r="N502" i="82"/>
  <c r="N501" i="82"/>
  <c r="N500" i="82"/>
  <c r="N499" i="82"/>
  <c r="N498" i="82"/>
  <c r="N497" i="82"/>
  <c r="N496" i="82"/>
  <c r="N495" i="82"/>
  <c r="N494" i="82"/>
  <c r="N493" i="82"/>
  <c r="N492" i="82"/>
  <c r="N491" i="82"/>
  <c r="N490" i="82"/>
  <c r="N489" i="82"/>
  <c r="N488" i="82"/>
  <c r="N487" i="82"/>
  <c r="N486" i="82"/>
  <c r="N485" i="82"/>
  <c r="N484" i="82"/>
  <c r="N483" i="82"/>
  <c r="N482" i="82"/>
  <c r="N481" i="82"/>
  <c r="N480" i="82"/>
  <c r="N479" i="82"/>
  <c r="N478" i="82"/>
  <c r="N477" i="82"/>
  <c r="N476" i="82"/>
  <c r="N475" i="82"/>
  <c r="N474" i="82"/>
  <c r="N473" i="82"/>
  <c r="N472" i="82"/>
  <c r="N471" i="82"/>
  <c r="N470" i="82"/>
  <c r="N469" i="82"/>
  <c r="N468" i="82"/>
  <c r="N467" i="82"/>
  <c r="N466" i="82"/>
  <c r="N465" i="82"/>
  <c r="N464" i="82"/>
  <c r="N463" i="82"/>
  <c r="N462" i="82"/>
  <c r="N461" i="82"/>
  <c r="N460" i="82"/>
  <c r="N459" i="82"/>
  <c r="N458" i="82"/>
  <c r="N457" i="82"/>
  <c r="N456" i="82"/>
  <c r="N455" i="82"/>
  <c r="N454" i="82"/>
  <c r="N453" i="82"/>
  <c r="N452" i="82"/>
  <c r="N451" i="82"/>
  <c r="N450" i="82"/>
  <c r="N449" i="82"/>
  <c r="N448" i="82"/>
  <c r="N447" i="82"/>
  <c r="N446" i="82"/>
  <c r="N445" i="82"/>
  <c r="N444" i="82"/>
  <c r="N443" i="82"/>
  <c r="N442" i="82"/>
  <c r="N441" i="82"/>
  <c r="N440" i="82"/>
  <c r="N439" i="82"/>
  <c r="N438" i="82"/>
  <c r="N437" i="82"/>
  <c r="N436" i="82"/>
  <c r="N435" i="82"/>
  <c r="N434" i="82"/>
  <c r="N433" i="82"/>
  <c r="N432" i="82"/>
  <c r="N431" i="82"/>
  <c r="N430" i="82"/>
  <c r="N429" i="82"/>
  <c r="N428" i="82"/>
  <c r="N427" i="82"/>
  <c r="N426" i="82"/>
  <c r="N425" i="82"/>
  <c r="N424" i="82"/>
  <c r="N423" i="82"/>
  <c r="N422" i="82"/>
  <c r="N421" i="82"/>
  <c r="N420" i="82"/>
  <c r="N419" i="82"/>
  <c r="N418" i="82"/>
  <c r="N417" i="82"/>
  <c r="N416" i="82"/>
  <c r="N415" i="82"/>
  <c r="N414" i="82"/>
  <c r="N413" i="82"/>
  <c r="N412" i="82"/>
  <c r="N411" i="82"/>
  <c r="N410" i="82"/>
  <c r="N409" i="82"/>
  <c r="N408" i="82"/>
  <c r="N407" i="82"/>
  <c r="N406" i="82"/>
  <c r="N405" i="82"/>
  <c r="N404" i="82"/>
  <c r="N403" i="82"/>
  <c r="N402" i="82"/>
  <c r="N401" i="82"/>
  <c r="N400" i="82"/>
  <c r="N399" i="82"/>
  <c r="N398" i="82"/>
  <c r="N397" i="82"/>
  <c r="N396" i="82"/>
  <c r="N395" i="82"/>
  <c r="N394" i="82"/>
  <c r="N393" i="82"/>
  <c r="N392" i="82"/>
  <c r="N391" i="82"/>
  <c r="N390" i="82"/>
  <c r="N389" i="82"/>
  <c r="N388" i="82"/>
  <c r="N387" i="82"/>
  <c r="N386" i="82"/>
  <c r="N385" i="82"/>
  <c r="N384" i="82"/>
  <c r="N383" i="82"/>
  <c r="N382" i="82"/>
  <c r="N381" i="82"/>
  <c r="N380" i="82"/>
  <c r="N379" i="82"/>
  <c r="N378" i="82"/>
  <c r="N377" i="82"/>
  <c r="N376" i="82"/>
  <c r="N375" i="82"/>
  <c r="N374" i="82"/>
  <c r="N373" i="82"/>
  <c r="N372" i="82"/>
  <c r="N371" i="82"/>
  <c r="N370" i="82"/>
  <c r="N369" i="82"/>
  <c r="N368" i="82"/>
  <c r="N367" i="82"/>
  <c r="N366" i="82"/>
  <c r="N365" i="82"/>
  <c r="N364" i="82"/>
  <c r="N363" i="82"/>
  <c r="N362" i="82"/>
  <c r="N361" i="82"/>
  <c r="N360" i="82"/>
  <c r="N359" i="82"/>
  <c r="N358" i="82"/>
  <c r="N357" i="82"/>
  <c r="N356" i="82"/>
  <c r="N355" i="82"/>
  <c r="N354" i="82"/>
  <c r="N353" i="82"/>
  <c r="N352" i="82"/>
  <c r="N351" i="82"/>
  <c r="N350" i="82"/>
  <c r="N349" i="82"/>
  <c r="N348" i="82"/>
  <c r="N347" i="82"/>
  <c r="N346" i="82"/>
  <c r="N345" i="82"/>
  <c r="N344" i="82"/>
  <c r="N343" i="82"/>
  <c r="N342" i="82"/>
  <c r="N341" i="82"/>
  <c r="N340" i="82"/>
  <c r="N339" i="82"/>
  <c r="N338" i="82"/>
  <c r="N337" i="82"/>
  <c r="N336" i="82"/>
  <c r="N335" i="82"/>
  <c r="N334" i="82"/>
  <c r="N333" i="82"/>
  <c r="N332" i="82"/>
  <c r="N331" i="82"/>
  <c r="N330" i="82"/>
  <c r="N329" i="82"/>
  <c r="N328" i="82"/>
  <c r="N327" i="82"/>
  <c r="N326" i="82"/>
  <c r="N325" i="82"/>
  <c r="N324" i="82"/>
  <c r="N323" i="82"/>
  <c r="N322" i="82"/>
  <c r="N321" i="82"/>
  <c r="N320" i="82"/>
  <c r="N319" i="82"/>
  <c r="N318" i="82"/>
  <c r="N317" i="82"/>
  <c r="N316" i="82"/>
  <c r="N315" i="82"/>
  <c r="N314" i="82"/>
  <c r="N313" i="82"/>
  <c r="N312" i="82"/>
  <c r="N311" i="82"/>
  <c r="N310" i="82"/>
  <c r="N309" i="82"/>
  <c r="N308" i="82"/>
  <c r="N307" i="82"/>
  <c r="N306" i="82"/>
  <c r="N305" i="82"/>
  <c r="N304" i="82"/>
  <c r="N303" i="82"/>
  <c r="N302" i="82"/>
  <c r="N301" i="82"/>
  <c r="N300" i="82"/>
  <c r="N299" i="82"/>
  <c r="N298" i="82"/>
  <c r="N297" i="82"/>
  <c r="N296" i="82"/>
  <c r="N295" i="82"/>
  <c r="N294" i="82"/>
  <c r="N293" i="82"/>
  <c r="N292" i="82"/>
  <c r="N291" i="82"/>
  <c r="N290" i="82"/>
  <c r="N289" i="82"/>
  <c r="N288" i="82"/>
  <c r="N287" i="82"/>
  <c r="N286" i="82"/>
  <c r="N285" i="82"/>
  <c r="N284" i="82"/>
  <c r="N283" i="82"/>
  <c r="N282" i="82"/>
  <c r="N281" i="82"/>
  <c r="N280" i="82"/>
  <c r="N279" i="82"/>
  <c r="N278" i="82"/>
  <c r="P277" i="82"/>
  <c r="N277" i="82"/>
  <c r="P276" i="82"/>
  <c r="N276" i="82"/>
  <c r="P275" i="82"/>
  <c r="N275" i="82"/>
  <c r="P274" i="82"/>
  <c r="N274" i="82"/>
  <c r="P273" i="82"/>
  <c r="N273" i="82"/>
  <c r="P272" i="82"/>
  <c r="N272" i="82"/>
  <c r="P271" i="82"/>
  <c r="N271" i="82"/>
  <c r="P270" i="82"/>
  <c r="N270" i="82"/>
  <c r="P269" i="82"/>
  <c r="N269" i="82"/>
  <c r="P268" i="82"/>
  <c r="N268" i="82"/>
  <c r="P267" i="82"/>
  <c r="N267" i="82"/>
  <c r="P266" i="82"/>
  <c r="N266" i="82"/>
  <c r="P265" i="82"/>
  <c r="N265" i="82"/>
  <c r="P264" i="82"/>
  <c r="N264" i="82"/>
  <c r="P263" i="82"/>
  <c r="N263" i="82"/>
  <c r="P262" i="82"/>
  <c r="N262" i="82"/>
  <c r="P261" i="82"/>
  <c r="N261" i="82"/>
  <c r="P260" i="82"/>
  <c r="N260" i="82"/>
  <c r="P259" i="82"/>
  <c r="N259" i="82"/>
  <c r="P258" i="82"/>
  <c r="N258" i="82"/>
  <c r="P257" i="82"/>
  <c r="N257" i="82"/>
  <c r="P256" i="82"/>
  <c r="N256" i="82"/>
  <c r="P255" i="82"/>
  <c r="N255" i="82"/>
  <c r="P254" i="82"/>
  <c r="N254" i="82"/>
  <c r="P253" i="82"/>
  <c r="N253" i="82"/>
  <c r="P252" i="82"/>
  <c r="N252" i="82"/>
  <c r="P251" i="82"/>
  <c r="N251" i="82"/>
  <c r="P250" i="82"/>
  <c r="N250" i="82"/>
  <c r="P249" i="82"/>
  <c r="N249" i="82"/>
  <c r="P248" i="82"/>
  <c r="N248" i="82"/>
  <c r="P247" i="82"/>
  <c r="N247" i="82"/>
  <c r="P246" i="82"/>
  <c r="N246" i="82"/>
  <c r="P245" i="82"/>
  <c r="N245" i="82"/>
  <c r="P244" i="82"/>
  <c r="N244" i="82"/>
  <c r="P243" i="82"/>
  <c r="N243" i="82"/>
  <c r="P242" i="82"/>
  <c r="N242" i="82"/>
  <c r="P241" i="82"/>
  <c r="N241" i="82"/>
  <c r="P240" i="82"/>
  <c r="N240" i="82"/>
  <c r="P239" i="82"/>
  <c r="N239" i="82"/>
  <c r="P238" i="82"/>
  <c r="N238" i="82"/>
  <c r="P237" i="82"/>
  <c r="N237" i="82"/>
  <c r="P236" i="82"/>
  <c r="N236" i="82"/>
  <c r="P235" i="82"/>
  <c r="N235" i="82"/>
  <c r="P234" i="82"/>
  <c r="N234" i="82"/>
  <c r="P233" i="82"/>
  <c r="N233" i="82"/>
  <c r="P232" i="82"/>
  <c r="N232" i="82"/>
  <c r="P231" i="82"/>
  <c r="N231" i="82"/>
  <c r="P230" i="82"/>
  <c r="N230" i="82"/>
  <c r="P229" i="82"/>
  <c r="N229" i="82"/>
  <c r="P228" i="82"/>
  <c r="N228" i="82"/>
  <c r="P227" i="82"/>
  <c r="N227" i="82"/>
  <c r="P226" i="82"/>
  <c r="N226" i="82"/>
  <c r="P225" i="82"/>
  <c r="N225" i="82"/>
  <c r="P224" i="82"/>
  <c r="N224" i="82"/>
  <c r="P223" i="82"/>
  <c r="N223" i="82"/>
  <c r="P222" i="82"/>
  <c r="N222" i="82"/>
  <c r="P221" i="82"/>
  <c r="N221" i="82"/>
  <c r="P220" i="82"/>
  <c r="N220" i="82"/>
  <c r="P219" i="82"/>
  <c r="N219" i="82"/>
  <c r="P218" i="82"/>
  <c r="N218" i="82"/>
  <c r="P217" i="82"/>
  <c r="N217" i="82"/>
  <c r="P216" i="82"/>
  <c r="N216" i="82"/>
  <c r="P215" i="82"/>
  <c r="N215" i="82"/>
  <c r="P214" i="82"/>
  <c r="N214" i="82"/>
  <c r="P213" i="82"/>
  <c r="N213" i="82"/>
  <c r="P212" i="82"/>
  <c r="N212" i="82"/>
  <c r="P211" i="82"/>
  <c r="N211" i="82"/>
  <c r="P210" i="82"/>
  <c r="N210" i="82"/>
  <c r="P209" i="82"/>
  <c r="N209" i="82"/>
  <c r="P208" i="82"/>
  <c r="N208" i="82"/>
  <c r="P207" i="82"/>
  <c r="N207" i="82"/>
  <c r="P206" i="82"/>
  <c r="N206" i="82"/>
  <c r="P205" i="82"/>
  <c r="N205" i="82"/>
  <c r="P204" i="82"/>
  <c r="N204" i="82"/>
  <c r="P203" i="82"/>
  <c r="N203" i="82"/>
  <c r="P202" i="82"/>
  <c r="N202" i="82"/>
  <c r="P201" i="82"/>
  <c r="N201" i="82"/>
  <c r="P200" i="82"/>
  <c r="N200" i="82"/>
  <c r="P199" i="82"/>
  <c r="N199" i="82"/>
  <c r="P198" i="82"/>
  <c r="N198" i="82"/>
  <c r="P197" i="82"/>
  <c r="N197" i="82"/>
  <c r="P196" i="82"/>
  <c r="N196" i="82"/>
  <c r="P195" i="82"/>
  <c r="N195" i="82"/>
  <c r="P194" i="82"/>
  <c r="N194" i="82"/>
  <c r="P193" i="82"/>
  <c r="N193" i="82"/>
  <c r="P192" i="82"/>
  <c r="N192" i="82"/>
  <c r="P191" i="82"/>
  <c r="N191" i="82"/>
  <c r="P190" i="82"/>
  <c r="N190" i="82"/>
  <c r="P189" i="82"/>
  <c r="N189" i="82"/>
  <c r="P188" i="82"/>
  <c r="N188" i="82"/>
  <c r="P187" i="82"/>
  <c r="N187" i="82"/>
  <c r="P186" i="82"/>
  <c r="N186" i="82"/>
  <c r="P185" i="82"/>
  <c r="N185" i="82"/>
  <c r="P184" i="82"/>
  <c r="N184" i="82"/>
  <c r="P183" i="82"/>
  <c r="N183" i="82"/>
  <c r="P182" i="82"/>
  <c r="N182" i="82"/>
  <c r="P181" i="82"/>
  <c r="N181" i="82"/>
  <c r="P180" i="82"/>
  <c r="N180" i="82"/>
  <c r="P179" i="82"/>
  <c r="N179" i="82"/>
  <c r="P178" i="82"/>
  <c r="N178" i="82"/>
  <c r="P177" i="82"/>
  <c r="N177" i="82"/>
  <c r="P176" i="82"/>
  <c r="N176" i="82"/>
  <c r="P175" i="82"/>
  <c r="N175" i="82"/>
  <c r="P174" i="82"/>
  <c r="N174" i="82"/>
  <c r="P173" i="82"/>
  <c r="N173" i="82"/>
  <c r="P172" i="82"/>
  <c r="N172" i="82"/>
  <c r="P171" i="82"/>
  <c r="N171" i="82"/>
  <c r="P170" i="82"/>
  <c r="N170" i="82"/>
  <c r="P169" i="82"/>
  <c r="N169" i="82"/>
  <c r="P168" i="82"/>
  <c r="N168" i="82"/>
  <c r="P167" i="82"/>
  <c r="N167" i="82"/>
  <c r="P166" i="82"/>
  <c r="N166" i="82"/>
  <c r="P165" i="82"/>
  <c r="N165" i="82"/>
  <c r="P164" i="82"/>
  <c r="N164" i="82"/>
  <c r="P163" i="82"/>
  <c r="N163" i="82"/>
  <c r="P162" i="82"/>
  <c r="N162" i="82"/>
  <c r="P161" i="82"/>
  <c r="N161" i="82"/>
  <c r="P160" i="82"/>
  <c r="N160" i="82"/>
  <c r="P159" i="82"/>
  <c r="N159" i="82"/>
  <c r="P158" i="82"/>
  <c r="N158" i="82"/>
  <c r="P157" i="82"/>
  <c r="N157" i="82"/>
  <c r="P156" i="82"/>
  <c r="N156" i="82"/>
  <c r="P155" i="82"/>
  <c r="N155" i="82"/>
  <c r="P154" i="82"/>
  <c r="N154" i="82"/>
  <c r="P153" i="82"/>
  <c r="N153" i="82"/>
  <c r="P152" i="82"/>
  <c r="N152" i="82"/>
  <c r="P151" i="82"/>
  <c r="N151" i="82"/>
  <c r="P150" i="82"/>
  <c r="N150" i="82"/>
  <c r="P149" i="82"/>
  <c r="N149" i="82"/>
  <c r="P148" i="82"/>
  <c r="N148" i="82"/>
  <c r="P147" i="82"/>
  <c r="N147" i="82"/>
  <c r="P146" i="82"/>
  <c r="N146" i="82"/>
  <c r="P145" i="82"/>
  <c r="N145" i="82"/>
  <c r="P144" i="82"/>
  <c r="N144" i="82"/>
  <c r="P143" i="82"/>
  <c r="N143" i="82"/>
  <c r="P142" i="82"/>
  <c r="N142" i="82"/>
  <c r="P141" i="82"/>
  <c r="N141" i="82"/>
  <c r="P140" i="82"/>
  <c r="N140" i="82"/>
  <c r="P139" i="82"/>
  <c r="N139" i="82"/>
  <c r="P138" i="82"/>
  <c r="N138" i="82"/>
  <c r="P137" i="82"/>
  <c r="N137" i="82"/>
  <c r="P136" i="82"/>
  <c r="N136" i="82"/>
  <c r="P135" i="82"/>
  <c r="N135" i="82"/>
  <c r="P134" i="82"/>
  <c r="N134" i="82"/>
  <c r="P133" i="82"/>
  <c r="N133" i="82"/>
  <c r="P132" i="82"/>
  <c r="N132" i="82"/>
  <c r="P131" i="82"/>
  <c r="N131" i="82"/>
  <c r="P130" i="82"/>
  <c r="N130" i="82"/>
  <c r="P129" i="82"/>
  <c r="N129" i="82"/>
  <c r="P128" i="82"/>
  <c r="N128" i="82"/>
  <c r="P127" i="82"/>
  <c r="N127" i="82"/>
  <c r="P126" i="82"/>
  <c r="N126" i="82"/>
  <c r="P125" i="82"/>
  <c r="N125" i="82"/>
  <c r="P124" i="82"/>
  <c r="N124" i="82"/>
  <c r="P123" i="82"/>
  <c r="N123" i="82"/>
  <c r="P122" i="82"/>
  <c r="N122" i="82"/>
  <c r="P121" i="82"/>
  <c r="N121" i="82"/>
  <c r="P120" i="82"/>
  <c r="N120" i="82"/>
  <c r="P119" i="82"/>
  <c r="N119" i="82"/>
  <c r="P118" i="82"/>
  <c r="N118" i="82"/>
  <c r="P117" i="82"/>
  <c r="N117" i="82"/>
  <c r="P116" i="82"/>
  <c r="N116" i="82"/>
  <c r="P115" i="82"/>
  <c r="N115" i="82"/>
  <c r="P114" i="82"/>
  <c r="N114" i="82"/>
  <c r="P113" i="82"/>
  <c r="N113" i="82"/>
  <c r="P112" i="82"/>
  <c r="N112" i="82"/>
  <c r="P111" i="82"/>
  <c r="N111" i="82"/>
  <c r="P110" i="82"/>
  <c r="N110" i="82"/>
  <c r="P109" i="82"/>
  <c r="N109" i="82"/>
  <c r="P108" i="82"/>
  <c r="N108" i="82"/>
  <c r="P107" i="82"/>
  <c r="N107" i="82"/>
  <c r="P106" i="82"/>
  <c r="N106" i="82"/>
  <c r="P105" i="82"/>
  <c r="N105" i="82"/>
  <c r="P104" i="82"/>
  <c r="N104" i="82"/>
  <c r="P103" i="82"/>
  <c r="N103" i="82"/>
  <c r="P102" i="82"/>
  <c r="N102" i="82"/>
  <c r="P101" i="82"/>
  <c r="N101" i="82"/>
  <c r="P100" i="82"/>
  <c r="N100" i="82"/>
  <c r="P99" i="82"/>
  <c r="N99" i="82"/>
  <c r="P98" i="82"/>
  <c r="N98" i="82"/>
  <c r="P97" i="82"/>
  <c r="N97" i="82"/>
  <c r="P96" i="82"/>
  <c r="N96" i="82"/>
  <c r="P95" i="82"/>
  <c r="N95" i="82"/>
  <c r="P94" i="82"/>
  <c r="N94" i="82"/>
  <c r="P93" i="82"/>
  <c r="N93" i="82"/>
  <c r="P92" i="82"/>
  <c r="N92" i="82"/>
  <c r="P91" i="82"/>
  <c r="N91" i="82"/>
  <c r="P90" i="82"/>
  <c r="N90" i="82"/>
  <c r="P89" i="82"/>
  <c r="N89" i="82"/>
  <c r="B89" i="82"/>
  <c r="B101" i="82" s="1"/>
  <c r="B113" i="82" s="1"/>
  <c r="B125" i="82" s="1"/>
  <c r="B137" i="82" s="1"/>
  <c r="B149" i="82" s="1"/>
  <c r="B161" i="82" s="1"/>
  <c r="B173" i="82" s="1"/>
  <c r="B185" i="82" s="1"/>
  <c r="B197" i="82" s="1"/>
  <c r="B209" i="82" s="1"/>
  <c r="B221" i="82" s="1"/>
  <c r="B233" i="82" s="1"/>
  <c r="B245" i="82" s="1"/>
  <c r="B257" i="82" s="1"/>
  <c r="B269" i="82" s="1"/>
  <c r="B281" i="82" s="1"/>
  <c r="B293" i="82" s="1"/>
  <c r="B305" i="82" s="1"/>
  <c r="B317" i="82" s="1"/>
  <c r="B329" i="82" s="1"/>
  <c r="B341" i="82" s="1"/>
  <c r="B353" i="82" s="1"/>
  <c r="B365" i="82" s="1"/>
  <c r="B377" i="82" s="1"/>
  <c r="B389" i="82" s="1"/>
  <c r="B401" i="82" s="1"/>
  <c r="B413" i="82" s="1"/>
  <c r="B425" i="82" s="1"/>
  <c r="B437" i="82" s="1"/>
  <c r="B449" i="82" s="1"/>
  <c r="B461" i="82" s="1"/>
  <c r="B473" i="82" s="1"/>
  <c r="B485" i="82" s="1"/>
  <c r="B497" i="82" s="1"/>
  <c r="B509" i="82" s="1"/>
  <c r="B521" i="82" s="1"/>
  <c r="B533" i="82" s="1"/>
  <c r="B545" i="82" s="1"/>
  <c r="B557" i="82" s="1"/>
  <c r="B569" i="82" s="1"/>
  <c r="B581" i="82" s="1"/>
  <c r="B593" i="82" s="1"/>
  <c r="B605" i="82" s="1"/>
  <c r="B617" i="82" s="1"/>
  <c r="B629" i="82" s="1"/>
  <c r="B641" i="82" s="1"/>
  <c r="B653" i="82" s="1"/>
  <c r="B665" i="82" s="1"/>
  <c r="B677" i="82" s="1"/>
  <c r="A89" i="82"/>
  <c r="A101" i="82" s="1"/>
  <c r="A113" i="82" s="1"/>
  <c r="A125" i="82" s="1"/>
  <c r="A137" i="82" s="1"/>
  <c r="A149" i="82" s="1"/>
  <c r="A161" i="82" s="1"/>
  <c r="A173" i="82" s="1"/>
  <c r="A185" i="82" s="1"/>
  <c r="A197" i="82" s="1"/>
  <c r="A209" i="82" s="1"/>
  <c r="A221" i="82" s="1"/>
  <c r="A233" i="82" s="1"/>
  <c r="A245" i="82" s="1"/>
  <c r="A257" i="82" s="1"/>
  <c r="A269" i="82" s="1"/>
  <c r="A281" i="82" s="1"/>
  <c r="A293" i="82" s="1"/>
  <c r="A305" i="82" s="1"/>
  <c r="A317" i="82" s="1"/>
  <c r="A329" i="82" s="1"/>
  <c r="A341" i="82" s="1"/>
  <c r="A353" i="82" s="1"/>
  <c r="A365" i="82" s="1"/>
  <c r="A377" i="82" s="1"/>
  <c r="A389" i="82" s="1"/>
  <c r="A401" i="82" s="1"/>
  <c r="A413" i="82" s="1"/>
  <c r="A425" i="82" s="1"/>
  <c r="A437" i="82" s="1"/>
  <c r="A449" i="82" s="1"/>
  <c r="A461" i="82" s="1"/>
  <c r="A473" i="82" s="1"/>
  <c r="A485" i="82" s="1"/>
  <c r="A497" i="82" s="1"/>
  <c r="A509" i="82" s="1"/>
  <c r="A521" i="82" s="1"/>
  <c r="A533" i="82" s="1"/>
  <c r="A545" i="82" s="1"/>
  <c r="A557" i="82" s="1"/>
  <c r="A569" i="82" s="1"/>
  <c r="A581" i="82" s="1"/>
  <c r="A593" i="82" s="1"/>
  <c r="A605" i="82" s="1"/>
  <c r="A617" i="82" s="1"/>
  <c r="A629" i="82" s="1"/>
  <c r="A641" i="82" s="1"/>
  <c r="A653" i="82" s="1"/>
  <c r="A665" i="82" s="1"/>
  <c r="A677" i="82" s="1"/>
  <c r="P88" i="82"/>
  <c r="N88" i="82"/>
  <c r="B88" i="82"/>
  <c r="B100" i="82" s="1"/>
  <c r="B112" i="82" s="1"/>
  <c r="B124" i="82" s="1"/>
  <c r="B136" i="82" s="1"/>
  <c r="B148" i="82" s="1"/>
  <c r="B160" i="82" s="1"/>
  <c r="B172" i="82" s="1"/>
  <c r="B184" i="82" s="1"/>
  <c r="B196" i="82" s="1"/>
  <c r="B208" i="82" s="1"/>
  <c r="B220" i="82" s="1"/>
  <c r="B232" i="82" s="1"/>
  <c r="B244" i="82" s="1"/>
  <c r="B256" i="82" s="1"/>
  <c r="B268" i="82" s="1"/>
  <c r="B280" i="82" s="1"/>
  <c r="B292" i="82" s="1"/>
  <c r="B304" i="82" s="1"/>
  <c r="B316" i="82" s="1"/>
  <c r="B328" i="82" s="1"/>
  <c r="B340" i="82" s="1"/>
  <c r="B352" i="82" s="1"/>
  <c r="B364" i="82" s="1"/>
  <c r="B376" i="82" s="1"/>
  <c r="B388" i="82" s="1"/>
  <c r="B400" i="82" s="1"/>
  <c r="B412" i="82" s="1"/>
  <c r="B424" i="82" s="1"/>
  <c r="B436" i="82" s="1"/>
  <c r="B448" i="82" s="1"/>
  <c r="B460" i="82" s="1"/>
  <c r="B472" i="82" s="1"/>
  <c r="B484" i="82" s="1"/>
  <c r="B496" i="82" s="1"/>
  <c r="B508" i="82" s="1"/>
  <c r="B520" i="82" s="1"/>
  <c r="B532" i="82" s="1"/>
  <c r="B544" i="82" s="1"/>
  <c r="B556" i="82" s="1"/>
  <c r="B568" i="82" s="1"/>
  <c r="B580" i="82" s="1"/>
  <c r="B592" i="82" s="1"/>
  <c r="B604" i="82" s="1"/>
  <c r="B616" i="82" s="1"/>
  <c r="B628" i="82" s="1"/>
  <c r="B640" i="82" s="1"/>
  <c r="B652" i="82" s="1"/>
  <c r="B664" i="82" s="1"/>
  <c r="B676" i="82" s="1"/>
  <c r="A88" i="82"/>
  <c r="A100" i="82" s="1"/>
  <c r="A112" i="82" s="1"/>
  <c r="A124" i="82" s="1"/>
  <c r="A136" i="82" s="1"/>
  <c r="A148" i="82" s="1"/>
  <c r="A160" i="82" s="1"/>
  <c r="A172" i="82" s="1"/>
  <c r="A184" i="82" s="1"/>
  <c r="A196" i="82" s="1"/>
  <c r="A208" i="82" s="1"/>
  <c r="A220" i="82" s="1"/>
  <c r="A232" i="82" s="1"/>
  <c r="A244" i="82" s="1"/>
  <c r="A256" i="82" s="1"/>
  <c r="A268" i="82" s="1"/>
  <c r="A280" i="82" s="1"/>
  <c r="A292" i="82" s="1"/>
  <c r="A304" i="82" s="1"/>
  <c r="A316" i="82" s="1"/>
  <c r="A328" i="82" s="1"/>
  <c r="A340" i="82" s="1"/>
  <c r="A352" i="82" s="1"/>
  <c r="A364" i="82" s="1"/>
  <c r="A376" i="82" s="1"/>
  <c r="A388" i="82" s="1"/>
  <c r="A400" i="82" s="1"/>
  <c r="A412" i="82" s="1"/>
  <c r="A424" i="82" s="1"/>
  <c r="A436" i="82" s="1"/>
  <c r="A448" i="82" s="1"/>
  <c r="A460" i="82" s="1"/>
  <c r="A472" i="82" s="1"/>
  <c r="A484" i="82" s="1"/>
  <c r="A496" i="82" s="1"/>
  <c r="A508" i="82" s="1"/>
  <c r="A520" i="82" s="1"/>
  <c r="A532" i="82" s="1"/>
  <c r="A544" i="82" s="1"/>
  <c r="A556" i="82" s="1"/>
  <c r="A568" i="82" s="1"/>
  <c r="A580" i="82" s="1"/>
  <c r="A592" i="82" s="1"/>
  <c r="A604" i="82" s="1"/>
  <c r="A616" i="82" s="1"/>
  <c r="A628" i="82" s="1"/>
  <c r="A640" i="82" s="1"/>
  <c r="A652" i="82" s="1"/>
  <c r="A664" i="82" s="1"/>
  <c r="A676" i="82" s="1"/>
  <c r="P87" i="82"/>
  <c r="N87" i="82"/>
  <c r="B87" i="82"/>
  <c r="B99" i="82" s="1"/>
  <c r="B111" i="82" s="1"/>
  <c r="B123" i="82" s="1"/>
  <c r="B135" i="82" s="1"/>
  <c r="B147" i="82" s="1"/>
  <c r="B159" i="82" s="1"/>
  <c r="B171" i="82" s="1"/>
  <c r="B183" i="82" s="1"/>
  <c r="B195" i="82" s="1"/>
  <c r="B207" i="82" s="1"/>
  <c r="B219" i="82" s="1"/>
  <c r="B231" i="82" s="1"/>
  <c r="B243" i="82" s="1"/>
  <c r="B255" i="82" s="1"/>
  <c r="B267" i="82" s="1"/>
  <c r="B279" i="82" s="1"/>
  <c r="B291" i="82" s="1"/>
  <c r="B303" i="82" s="1"/>
  <c r="B315" i="82" s="1"/>
  <c r="B327" i="82" s="1"/>
  <c r="B339" i="82" s="1"/>
  <c r="B351" i="82" s="1"/>
  <c r="B363" i="82" s="1"/>
  <c r="B375" i="82" s="1"/>
  <c r="B387" i="82" s="1"/>
  <c r="B399" i="82" s="1"/>
  <c r="B411" i="82" s="1"/>
  <c r="B423" i="82" s="1"/>
  <c r="B435" i="82" s="1"/>
  <c r="B447" i="82" s="1"/>
  <c r="B459" i="82" s="1"/>
  <c r="B471" i="82" s="1"/>
  <c r="B483" i="82" s="1"/>
  <c r="B495" i="82" s="1"/>
  <c r="B507" i="82" s="1"/>
  <c r="B519" i="82" s="1"/>
  <c r="B531" i="82" s="1"/>
  <c r="B543" i="82" s="1"/>
  <c r="B555" i="82" s="1"/>
  <c r="B567" i="82" s="1"/>
  <c r="B579" i="82" s="1"/>
  <c r="B591" i="82" s="1"/>
  <c r="B603" i="82" s="1"/>
  <c r="B615" i="82" s="1"/>
  <c r="B627" i="82" s="1"/>
  <c r="B639" i="82" s="1"/>
  <c r="B651" i="82" s="1"/>
  <c r="B663" i="82" s="1"/>
  <c r="B675" i="82" s="1"/>
  <c r="A87" i="82"/>
  <c r="A99" i="82" s="1"/>
  <c r="A111" i="82" s="1"/>
  <c r="A123" i="82" s="1"/>
  <c r="A135" i="82" s="1"/>
  <c r="A147" i="82" s="1"/>
  <c r="A159" i="82" s="1"/>
  <c r="A171" i="82" s="1"/>
  <c r="A183" i="82" s="1"/>
  <c r="A195" i="82" s="1"/>
  <c r="A207" i="82" s="1"/>
  <c r="A219" i="82" s="1"/>
  <c r="A231" i="82" s="1"/>
  <c r="A243" i="82" s="1"/>
  <c r="A255" i="82" s="1"/>
  <c r="A267" i="82" s="1"/>
  <c r="A279" i="82" s="1"/>
  <c r="A291" i="82" s="1"/>
  <c r="A303" i="82" s="1"/>
  <c r="A315" i="82" s="1"/>
  <c r="A327" i="82" s="1"/>
  <c r="A339" i="82" s="1"/>
  <c r="A351" i="82" s="1"/>
  <c r="A363" i="82" s="1"/>
  <c r="A375" i="82" s="1"/>
  <c r="A387" i="82" s="1"/>
  <c r="A399" i="82" s="1"/>
  <c r="A411" i="82" s="1"/>
  <c r="A423" i="82" s="1"/>
  <c r="A435" i="82" s="1"/>
  <c r="A447" i="82" s="1"/>
  <c r="A459" i="82" s="1"/>
  <c r="A471" i="82" s="1"/>
  <c r="A483" i="82" s="1"/>
  <c r="A495" i="82" s="1"/>
  <c r="A507" i="82" s="1"/>
  <c r="A519" i="82" s="1"/>
  <c r="A531" i="82" s="1"/>
  <c r="A543" i="82" s="1"/>
  <c r="A555" i="82" s="1"/>
  <c r="A567" i="82" s="1"/>
  <c r="A579" i="82" s="1"/>
  <c r="A591" i="82" s="1"/>
  <c r="A603" i="82" s="1"/>
  <c r="A615" i="82" s="1"/>
  <c r="A627" i="82" s="1"/>
  <c r="A639" i="82" s="1"/>
  <c r="A651" i="82" s="1"/>
  <c r="A663" i="82" s="1"/>
  <c r="A675" i="82" s="1"/>
  <c r="P86" i="82"/>
  <c r="N86" i="82"/>
  <c r="B86" i="82"/>
  <c r="B98" i="82" s="1"/>
  <c r="B110" i="82" s="1"/>
  <c r="B122" i="82" s="1"/>
  <c r="B134" i="82" s="1"/>
  <c r="B146" i="82" s="1"/>
  <c r="B158" i="82" s="1"/>
  <c r="B170" i="82" s="1"/>
  <c r="B182" i="82" s="1"/>
  <c r="B194" i="82" s="1"/>
  <c r="B206" i="82" s="1"/>
  <c r="B218" i="82" s="1"/>
  <c r="B230" i="82" s="1"/>
  <c r="B242" i="82" s="1"/>
  <c r="B254" i="82" s="1"/>
  <c r="B266" i="82" s="1"/>
  <c r="B278" i="82" s="1"/>
  <c r="B290" i="82" s="1"/>
  <c r="B302" i="82" s="1"/>
  <c r="B314" i="82" s="1"/>
  <c r="B326" i="82" s="1"/>
  <c r="B338" i="82" s="1"/>
  <c r="B350" i="82" s="1"/>
  <c r="B362" i="82" s="1"/>
  <c r="B374" i="82" s="1"/>
  <c r="B386" i="82" s="1"/>
  <c r="B398" i="82" s="1"/>
  <c r="B410" i="82" s="1"/>
  <c r="B422" i="82" s="1"/>
  <c r="B434" i="82" s="1"/>
  <c r="B446" i="82" s="1"/>
  <c r="B458" i="82" s="1"/>
  <c r="B470" i="82" s="1"/>
  <c r="B482" i="82" s="1"/>
  <c r="B494" i="82" s="1"/>
  <c r="B506" i="82" s="1"/>
  <c r="B518" i="82" s="1"/>
  <c r="B530" i="82" s="1"/>
  <c r="B542" i="82" s="1"/>
  <c r="B554" i="82" s="1"/>
  <c r="B566" i="82" s="1"/>
  <c r="B578" i="82" s="1"/>
  <c r="B590" i="82" s="1"/>
  <c r="B602" i="82" s="1"/>
  <c r="B614" i="82" s="1"/>
  <c r="B626" i="82" s="1"/>
  <c r="B638" i="82" s="1"/>
  <c r="B650" i="82" s="1"/>
  <c r="B662" i="82" s="1"/>
  <c r="B674" i="82" s="1"/>
  <c r="A86" i="82"/>
  <c r="A98" i="82" s="1"/>
  <c r="A110" i="82" s="1"/>
  <c r="A122" i="82" s="1"/>
  <c r="A134" i="82" s="1"/>
  <c r="A146" i="82" s="1"/>
  <c r="A158" i="82" s="1"/>
  <c r="A170" i="82" s="1"/>
  <c r="A182" i="82" s="1"/>
  <c r="A194" i="82" s="1"/>
  <c r="A206" i="82" s="1"/>
  <c r="A218" i="82" s="1"/>
  <c r="A230" i="82" s="1"/>
  <c r="A242" i="82" s="1"/>
  <c r="A254" i="82" s="1"/>
  <c r="A266" i="82" s="1"/>
  <c r="A278" i="82" s="1"/>
  <c r="A290" i="82" s="1"/>
  <c r="A302" i="82" s="1"/>
  <c r="A314" i="82" s="1"/>
  <c r="A326" i="82" s="1"/>
  <c r="A338" i="82" s="1"/>
  <c r="A350" i="82" s="1"/>
  <c r="A362" i="82" s="1"/>
  <c r="A374" i="82" s="1"/>
  <c r="A386" i="82" s="1"/>
  <c r="A398" i="82" s="1"/>
  <c r="A410" i="82" s="1"/>
  <c r="A422" i="82" s="1"/>
  <c r="A434" i="82" s="1"/>
  <c r="A446" i="82" s="1"/>
  <c r="A458" i="82" s="1"/>
  <c r="A470" i="82" s="1"/>
  <c r="A482" i="82" s="1"/>
  <c r="A494" i="82" s="1"/>
  <c r="A506" i="82" s="1"/>
  <c r="A518" i="82" s="1"/>
  <c r="A530" i="82" s="1"/>
  <c r="A542" i="82" s="1"/>
  <c r="A554" i="82" s="1"/>
  <c r="A566" i="82" s="1"/>
  <c r="A578" i="82" s="1"/>
  <c r="A590" i="82" s="1"/>
  <c r="A602" i="82" s="1"/>
  <c r="A614" i="82" s="1"/>
  <c r="A626" i="82" s="1"/>
  <c r="A638" i="82" s="1"/>
  <c r="A650" i="82" s="1"/>
  <c r="A662" i="82" s="1"/>
  <c r="A674" i="82" s="1"/>
  <c r="P85" i="82"/>
  <c r="N85" i="82"/>
  <c r="B85" i="82"/>
  <c r="B97" i="82" s="1"/>
  <c r="B109" i="82" s="1"/>
  <c r="B121" i="82" s="1"/>
  <c r="B133" i="82" s="1"/>
  <c r="B145" i="82" s="1"/>
  <c r="B157" i="82" s="1"/>
  <c r="B169" i="82" s="1"/>
  <c r="B181" i="82" s="1"/>
  <c r="B193" i="82" s="1"/>
  <c r="B205" i="82" s="1"/>
  <c r="B217" i="82" s="1"/>
  <c r="B229" i="82" s="1"/>
  <c r="B241" i="82" s="1"/>
  <c r="B253" i="82" s="1"/>
  <c r="B265" i="82" s="1"/>
  <c r="B277" i="82" s="1"/>
  <c r="B289" i="82" s="1"/>
  <c r="B301" i="82" s="1"/>
  <c r="B313" i="82" s="1"/>
  <c r="B325" i="82" s="1"/>
  <c r="B337" i="82" s="1"/>
  <c r="B349" i="82" s="1"/>
  <c r="B361" i="82" s="1"/>
  <c r="B373" i="82" s="1"/>
  <c r="B385" i="82" s="1"/>
  <c r="B397" i="82" s="1"/>
  <c r="B409" i="82" s="1"/>
  <c r="B421" i="82" s="1"/>
  <c r="B433" i="82" s="1"/>
  <c r="B445" i="82" s="1"/>
  <c r="B457" i="82" s="1"/>
  <c r="B469" i="82" s="1"/>
  <c r="B481" i="82" s="1"/>
  <c r="B493" i="82" s="1"/>
  <c r="B505" i="82" s="1"/>
  <c r="B517" i="82" s="1"/>
  <c r="B529" i="82" s="1"/>
  <c r="B541" i="82" s="1"/>
  <c r="B553" i="82" s="1"/>
  <c r="B565" i="82" s="1"/>
  <c r="B577" i="82" s="1"/>
  <c r="B589" i="82" s="1"/>
  <c r="B601" i="82" s="1"/>
  <c r="B613" i="82" s="1"/>
  <c r="B625" i="82" s="1"/>
  <c r="B637" i="82" s="1"/>
  <c r="B649" i="82" s="1"/>
  <c r="B661" i="82" s="1"/>
  <c r="B673" i="82" s="1"/>
  <c r="A85" i="82"/>
  <c r="A97" i="82" s="1"/>
  <c r="A109" i="82" s="1"/>
  <c r="A121" i="82" s="1"/>
  <c r="A133" i="82" s="1"/>
  <c r="A145" i="82" s="1"/>
  <c r="A157" i="82" s="1"/>
  <c r="A169" i="82" s="1"/>
  <c r="A181" i="82" s="1"/>
  <c r="A193" i="82" s="1"/>
  <c r="A205" i="82" s="1"/>
  <c r="A217" i="82" s="1"/>
  <c r="A229" i="82" s="1"/>
  <c r="A241" i="82" s="1"/>
  <c r="A253" i="82" s="1"/>
  <c r="A265" i="82" s="1"/>
  <c r="A277" i="82" s="1"/>
  <c r="A289" i="82" s="1"/>
  <c r="A301" i="82" s="1"/>
  <c r="A313" i="82" s="1"/>
  <c r="A325" i="82" s="1"/>
  <c r="A337" i="82" s="1"/>
  <c r="A349" i="82" s="1"/>
  <c r="A361" i="82" s="1"/>
  <c r="A373" i="82" s="1"/>
  <c r="A385" i="82" s="1"/>
  <c r="A397" i="82" s="1"/>
  <c r="A409" i="82" s="1"/>
  <c r="A421" i="82" s="1"/>
  <c r="A433" i="82" s="1"/>
  <c r="A445" i="82" s="1"/>
  <c r="A457" i="82" s="1"/>
  <c r="A469" i="82" s="1"/>
  <c r="A481" i="82" s="1"/>
  <c r="A493" i="82" s="1"/>
  <c r="A505" i="82" s="1"/>
  <c r="A517" i="82" s="1"/>
  <c r="A529" i="82" s="1"/>
  <c r="A541" i="82" s="1"/>
  <c r="A553" i="82" s="1"/>
  <c r="A565" i="82" s="1"/>
  <c r="A577" i="82" s="1"/>
  <c r="A589" i="82" s="1"/>
  <c r="A601" i="82" s="1"/>
  <c r="A613" i="82" s="1"/>
  <c r="A625" i="82" s="1"/>
  <c r="A637" i="82" s="1"/>
  <c r="A649" i="82" s="1"/>
  <c r="A661" i="82" s="1"/>
  <c r="A673" i="82" s="1"/>
  <c r="P84" i="82"/>
  <c r="N84" i="82"/>
  <c r="B84" i="82"/>
  <c r="B96" i="82" s="1"/>
  <c r="B108" i="82" s="1"/>
  <c r="B120" i="82" s="1"/>
  <c r="B132" i="82" s="1"/>
  <c r="B144" i="82" s="1"/>
  <c r="B156" i="82" s="1"/>
  <c r="B168" i="82" s="1"/>
  <c r="B180" i="82" s="1"/>
  <c r="B192" i="82" s="1"/>
  <c r="B204" i="82" s="1"/>
  <c r="B216" i="82" s="1"/>
  <c r="B228" i="82" s="1"/>
  <c r="B240" i="82" s="1"/>
  <c r="B252" i="82" s="1"/>
  <c r="B264" i="82" s="1"/>
  <c r="B276" i="82" s="1"/>
  <c r="B288" i="82" s="1"/>
  <c r="B300" i="82" s="1"/>
  <c r="B312" i="82" s="1"/>
  <c r="B324" i="82" s="1"/>
  <c r="B336" i="82" s="1"/>
  <c r="B348" i="82" s="1"/>
  <c r="B360" i="82" s="1"/>
  <c r="B372" i="82" s="1"/>
  <c r="B384" i="82" s="1"/>
  <c r="B396" i="82" s="1"/>
  <c r="B408" i="82" s="1"/>
  <c r="B420" i="82" s="1"/>
  <c r="B432" i="82" s="1"/>
  <c r="B444" i="82" s="1"/>
  <c r="B456" i="82" s="1"/>
  <c r="B468" i="82" s="1"/>
  <c r="B480" i="82" s="1"/>
  <c r="B492" i="82" s="1"/>
  <c r="B504" i="82" s="1"/>
  <c r="B516" i="82" s="1"/>
  <c r="B528" i="82" s="1"/>
  <c r="B540" i="82" s="1"/>
  <c r="B552" i="82" s="1"/>
  <c r="B564" i="82" s="1"/>
  <c r="B576" i="82" s="1"/>
  <c r="B588" i="82" s="1"/>
  <c r="B600" i="82" s="1"/>
  <c r="B612" i="82" s="1"/>
  <c r="B624" i="82" s="1"/>
  <c r="B636" i="82" s="1"/>
  <c r="B648" i="82" s="1"/>
  <c r="B660" i="82" s="1"/>
  <c r="B672" i="82" s="1"/>
  <c r="A84" i="82"/>
  <c r="A96" i="82" s="1"/>
  <c r="A108" i="82" s="1"/>
  <c r="A120" i="82" s="1"/>
  <c r="A132" i="82" s="1"/>
  <c r="A144" i="82" s="1"/>
  <c r="A156" i="82" s="1"/>
  <c r="A168" i="82" s="1"/>
  <c r="A180" i="82" s="1"/>
  <c r="A192" i="82" s="1"/>
  <c r="A204" i="82" s="1"/>
  <c r="A216" i="82" s="1"/>
  <c r="A228" i="82" s="1"/>
  <c r="A240" i="82" s="1"/>
  <c r="A252" i="82" s="1"/>
  <c r="A264" i="82" s="1"/>
  <c r="A276" i="82" s="1"/>
  <c r="A288" i="82" s="1"/>
  <c r="A300" i="82" s="1"/>
  <c r="A312" i="82" s="1"/>
  <c r="A324" i="82" s="1"/>
  <c r="A336" i="82" s="1"/>
  <c r="A348" i="82" s="1"/>
  <c r="A360" i="82" s="1"/>
  <c r="A372" i="82" s="1"/>
  <c r="A384" i="82" s="1"/>
  <c r="A396" i="82" s="1"/>
  <c r="A408" i="82" s="1"/>
  <c r="A420" i="82" s="1"/>
  <c r="A432" i="82" s="1"/>
  <c r="A444" i="82" s="1"/>
  <c r="A456" i="82" s="1"/>
  <c r="A468" i="82" s="1"/>
  <c r="A480" i="82" s="1"/>
  <c r="A492" i="82" s="1"/>
  <c r="A504" i="82" s="1"/>
  <c r="A516" i="82" s="1"/>
  <c r="A528" i="82" s="1"/>
  <c r="A540" i="82" s="1"/>
  <c r="A552" i="82" s="1"/>
  <c r="A564" i="82" s="1"/>
  <c r="A576" i="82" s="1"/>
  <c r="A588" i="82" s="1"/>
  <c r="A600" i="82" s="1"/>
  <c r="A612" i="82" s="1"/>
  <c r="A624" i="82" s="1"/>
  <c r="A636" i="82" s="1"/>
  <c r="A648" i="82" s="1"/>
  <c r="A660" i="82" s="1"/>
  <c r="A672" i="82" s="1"/>
  <c r="P83" i="82"/>
  <c r="N83" i="82"/>
  <c r="B83" i="82"/>
  <c r="B95" i="82" s="1"/>
  <c r="B107" i="82" s="1"/>
  <c r="B119" i="82" s="1"/>
  <c r="B131" i="82" s="1"/>
  <c r="B143" i="82" s="1"/>
  <c r="B155" i="82" s="1"/>
  <c r="B167" i="82" s="1"/>
  <c r="B179" i="82" s="1"/>
  <c r="B191" i="82" s="1"/>
  <c r="B203" i="82" s="1"/>
  <c r="B215" i="82" s="1"/>
  <c r="B227" i="82" s="1"/>
  <c r="B239" i="82" s="1"/>
  <c r="B251" i="82" s="1"/>
  <c r="B263" i="82" s="1"/>
  <c r="B275" i="82" s="1"/>
  <c r="B287" i="82" s="1"/>
  <c r="B299" i="82" s="1"/>
  <c r="B311" i="82" s="1"/>
  <c r="B323" i="82" s="1"/>
  <c r="B335" i="82" s="1"/>
  <c r="B347" i="82" s="1"/>
  <c r="B359" i="82" s="1"/>
  <c r="B371" i="82" s="1"/>
  <c r="B383" i="82" s="1"/>
  <c r="B395" i="82" s="1"/>
  <c r="B407" i="82" s="1"/>
  <c r="B419" i="82" s="1"/>
  <c r="B431" i="82" s="1"/>
  <c r="B443" i="82" s="1"/>
  <c r="B455" i="82" s="1"/>
  <c r="B467" i="82" s="1"/>
  <c r="B479" i="82" s="1"/>
  <c r="B491" i="82" s="1"/>
  <c r="B503" i="82" s="1"/>
  <c r="B515" i="82" s="1"/>
  <c r="B527" i="82" s="1"/>
  <c r="B539" i="82" s="1"/>
  <c r="B551" i="82" s="1"/>
  <c r="B563" i="82" s="1"/>
  <c r="B575" i="82" s="1"/>
  <c r="B587" i="82" s="1"/>
  <c r="B599" i="82" s="1"/>
  <c r="B611" i="82" s="1"/>
  <c r="B623" i="82" s="1"/>
  <c r="B635" i="82" s="1"/>
  <c r="B647" i="82" s="1"/>
  <c r="B659" i="82" s="1"/>
  <c r="B671" i="82" s="1"/>
  <c r="A83" i="82"/>
  <c r="A95" i="82" s="1"/>
  <c r="A107" i="82" s="1"/>
  <c r="A119" i="82" s="1"/>
  <c r="A131" i="82" s="1"/>
  <c r="A143" i="82" s="1"/>
  <c r="A155" i="82" s="1"/>
  <c r="A167" i="82" s="1"/>
  <c r="A179" i="82" s="1"/>
  <c r="A191" i="82" s="1"/>
  <c r="A203" i="82" s="1"/>
  <c r="A215" i="82" s="1"/>
  <c r="A227" i="82" s="1"/>
  <c r="A239" i="82" s="1"/>
  <c r="A251" i="82" s="1"/>
  <c r="A263" i="82" s="1"/>
  <c r="A275" i="82" s="1"/>
  <c r="A287" i="82" s="1"/>
  <c r="A299" i="82" s="1"/>
  <c r="A311" i="82" s="1"/>
  <c r="A323" i="82" s="1"/>
  <c r="A335" i="82" s="1"/>
  <c r="A347" i="82" s="1"/>
  <c r="A359" i="82" s="1"/>
  <c r="A371" i="82" s="1"/>
  <c r="A383" i="82" s="1"/>
  <c r="A395" i="82" s="1"/>
  <c r="A407" i="82" s="1"/>
  <c r="A419" i="82" s="1"/>
  <c r="A431" i="82" s="1"/>
  <c r="A443" i="82" s="1"/>
  <c r="A455" i="82" s="1"/>
  <c r="A467" i="82" s="1"/>
  <c r="A479" i="82" s="1"/>
  <c r="A491" i="82" s="1"/>
  <c r="A503" i="82" s="1"/>
  <c r="A515" i="82" s="1"/>
  <c r="A527" i="82" s="1"/>
  <c r="A539" i="82" s="1"/>
  <c r="A551" i="82" s="1"/>
  <c r="A563" i="82" s="1"/>
  <c r="A575" i="82" s="1"/>
  <c r="A587" i="82" s="1"/>
  <c r="A599" i="82" s="1"/>
  <c r="A611" i="82" s="1"/>
  <c r="A623" i="82" s="1"/>
  <c r="A635" i="82" s="1"/>
  <c r="A647" i="82" s="1"/>
  <c r="A659" i="82" s="1"/>
  <c r="A671" i="82" s="1"/>
  <c r="P82" i="82"/>
  <c r="N82" i="82"/>
  <c r="B82" i="82"/>
  <c r="B94" i="82" s="1"/>
  <c r="B106" i="82" s="1"/>
  <c r="B118" i="82" s="1"/>
  <c r="B130" i="82" s="1"/>
  <c r="B142" i="82" s="1"/>
  <c r="B154" i="82" s="1"/>
  <c r="B166" i="82" s="1"/>
  <c r="B178" i="82" s="1"/>
  <c r="B190" i="82" s="1"/>
  <c r="B202" i="82" s="1"/>
  <c r="B214" i="82" s="1"/>
  <c r="B226" i="82" s="1"/>
  <c r="B238" i="82" s="1"/>
  <c r="B250" i="82" s="1"/>
  <c r="B262" i="82" s="1"/>
  <c r="B274" i="82" s="1"/>
  <c r="B286" i="82" s="1"/>
  <c r="B298" i="82" s="1"/>
  <c r="B310" i="82" s="1"/>
  <c r="B322" i="82" s="1"/>
  <c r="B334" i="82" s="1"/>
  <c r="B346" i="82" s="1"/>
  <c r="B358" i="82" s="1"/>
  <c r="B370" i="82" s="1"/>
  <c r="B382" i="82" s="1"/>
  <c r="B394" i="82" s="1"/>
  <c r="B406" i="82" s="1"/>
  <c r="B418" i="82" s="1"/>
  <c r="B430" i="82" s="1"/>
  <c r="B442" i="82" s="1"/>
  <c r="B454" i="82" s="1"/>
  <c r="B466" i="82" s="1"/>
  <c r="B478" i="82" s="1"/>
  <c r="B490" i="82" s="1"/>
  <c r="B502" i="82" s="1"/>
  <c r="B514" i="82" s="1"/>
  <c r="B526" i="82" s="1"/>
  <c r="B538" i="82" s="1"/>
  <c r="B550" i="82" s="1"/>
  <c r="B562" i="82" s="1"/>
  <c r="B574" i="82" s="1"/>
  <c r="B586" i="82" s="1"/>
  <c r="B598" i="82" s="1"/>
  <c r="B610" i="82" s="1"/>
  <c r="B622" i="82" s="1"/>
  <c r="B634" i="82" s="1"/>
  <c r="B646" i="82" s="1"/>
  <c r="B658" i="82" s="1"/>
  <c r="B670" i="82" s="1"/>
  <c r="A82" i="82"/>
  <c r="A94" i="82" s="1"/>
  <c r="A106" i="82" s="1"/>
  <c r="A118" i="82" s="1"/>
  <c r="A130" i="82" s="1"/>
  <c r="A142" i="82" s="1"/>
  <c r="A154" i="82" s="1"/>
  <c r="A166" i="82" s="1"/>
  <c r="A178" i="82" s="1"/>
  <c r="A190" i="82" s="1"/>
  <c r="A202" i="82" s="1"/>
  <c r="A214" i="82" s="1"/>
  <c r="A226" i="82" s="1"/>
  <c r="A238" i="82" s="1"/>
  <c r="A250" i="82" s="1"/>
  <c r="A262" i="82" s="1"/>
  <c r="A274" i="82" s="1"/>
  <c r="A286" i="82" s="1"/>
  <c r="A298" i="82" s="1"/>
  <c r="A310" i="82" s="1"/>
  <c r="A322" i="82" s="1"/>
  <c r="A334" i="82" s="1"/>
  <c r="A346" i="82" s="1"/>
  <c r="A358" i="82" s="1"/>
  <c r="A370" i="82" s="1"/>
  <c r="A382" i="82" s="1"/>
  <c r="A394" i="82" s="1"/>
  <c r="A406" i="82" s="1"/>
  <c r="A418" i="82" s="1"/>
  <c r="A430" i="82" s="1"/>
  <c r="A442" i="82" s="1"/>
  <c r="A454" i="82" s="1"/>
  <c r="A466" i="82" s="1"/>
  <c r="A478" i="82" s="1"/>
  <c r="A490" i="82" s="1"/>
  <c r="A502" i="82" s="1"/>
  <c r="A514" i="82" s="1"/>
  <c r="A526" i="82" s="1"/>
  <c r="A538" i="82" s="1"/>
  <c r="A550" i="82" s="1"/>
  <c r="A562" i="82" s="1"/>
  <c r="A574" i="82" s="1"/>
  <c r="A586" i="82" s="1"/>
  <c r="A598" i="82" s="1"/>
  <c r="A610" i="82" s="1"/>
  <c r="A622" i="82" s="1"/>
  <c r="A634" i="82" s="1"/>
  <c r="A646" i="82" s="1"/>
  <c r="A658" i="82" s="1"/>
  <c r="A670" i="82" s="1"/>
  <c r="P81" i="82"/>
  <c r="N81" i="82"/>
  <c r="B81" i="82"/>
  <c r="B93" i="82" s="1"/>
  <c r="B105" i="82" s="1"/>
  <c r="B117" i="82" s="1"/>
  <c r="B129" i="82" s="1"/>
  <c r="B141" i="82" s="1"/>
  <c r="B153" i="82" s="1"/>
  <c r="B165" i="82" s="1"/>
  <c r="B177" i="82" s="1"/>
  <c r="B189" i="82" s="1"/>
  <c r="B201" i="82" s="1"/>
  <c r="B213" i="82" s="1"/>
  <c r="B225" i="82" s="1"/>
  <c r="B237" i="82" s="1"/>
  <c r="B249" i="82" s="1"/>
  <c r="B261" i="82" s="1"/>
  <c r="B273" i="82" s="1"/>
  <c r="B285" i="82" s="1"/>
  <c r="B297" i="82" s="1"/>
  <c r="B309" i="82" s="1"/>
  <c r="B321" i="82" s="1"/>
  <c r="B333" i="82" s="1"/>
  <c r="B345" i="82" s="1"/>
  <c r="B357" i="82" s="1"/>
  <c r="B369" i="82" s="1"/>
  <c r="B381" i="82" s="1"/>
  <c r="B393" i="82" s="1"/>
  <c r="B405" i="82" s="1"/>
  <c r="B417" i="82" s="1"/>
  <c r="B429" i="82" s="1"/>
  <c r="B441" i="82" s="1"/>
  <c r="B453" i="82" s="1"/>
  <c r="B465" i="82" s="1"/>
  <c r="B477" i="82" s="1"/>
  <c r="B489" i="82" s="1"/>
  <c r="B501" i="82" s="1"/>
  <c r="B513" i="82" s="1"/>
  <c r="B525" i="82" s="1"/>
  <c r="B537" i="82" s="1"/>
  <c r="B549" i="82" s="1"/>
  <c r="B561" i="82" s="1"/>
  <c r="B573" i="82" s="1"/>
  <c r="B585" i="82" s="1"/>
  <c r="B597" i="82" s="1"/>
  <c r="B609" i="82" s="1"/>
  <c r="B621" i="82" s="1"/>
  <c r="B633" i="82" s="1"/>
  <c r="B645" i="82" s="1"/>
  <c r="B657" i="82" s="1"/>
  <c r="B669" i="82" s="1"/>
  <c r="A81" i="82"/>
  <c r="A93" i="82" s="1"/>
  <c r="A105" i="82" s="1"/>
  <c r="A117" i="82" s="1"/>
  <c r="A129" i="82" s="1"/>
  <c r="A141" i="82" s="1"/>
  <c r="A153" i="82" s="1"/>
  <c r="A165" i="82" s="1"/>
  <c r="A177" i="82" s="1"/>
  <c r="A189" i="82" s="1"/>
  <c r="A201" i="82" s="1"/>
  <c r="A213" i="82" s="1"/>
  <c r="A225" i="82" s="1"/>
  <c r="A237" i="82" s="1"/>
  <c r="A249" i="82" s="1"/>
  <c r="A261" i="82" s="1"/>
  <c r="A273" i="82" s="1"/>
  <c r="A285" i="82" s="1"/>
  <c r="A297" i="82" s="1"/>
  <c r="A309" i="82" s="1"/>
  <c r="A321" i="82" s="1"/>
  <c r="A333" i="82" s="1"/>
  <c r="A345" i="82" s="1"/>
  <c r="A357" i="82" s="1"/>
  <c r="A369" i="82" s="1"/>
  <c r="A381" i="82" s="1"/>
  <c r="A393" i="82" s="1"/>
  <c r="A405" i="82" s="1"/>
  <c r="A417" i="82" s="1"/>
  <c r="A429" i="82" s="1"/>
  <c r="A441" i="82" s="1"/>
  <c r="A453" i="82" s="1"/>
  <c r="A465" i="82" s="1"/>
  <c r="A477" i="82" s="1"/>
  <c r="A489" i="82" s="1"/>
  <c r="A501" i="82" s="1"/>
  <c r="A513" i="82" s="1"/>
  <c r="A525" i="82" s="1"/>
  <c r="A537" i="82" s="1"/>
  <c r="A549" i="82" s="1"/>
  <c r="A561" i="82" s="1"/>
  <c r="A573" i="82" s="1"/>
  <c r="A585" i="82" s="1"/>
  <c r="A597" i="82" s="1"/>
  <c r="A609" i="82" s="1"/>
  <c r="A621" i="82" s="1"/>
  <c r="A633" i="82" s="1"/>
  <c r="A645" i="82" s="1"/>
  <c r="A657" i="82" s="1"/>
  <c r="A669" i="82" s="1"/>
  <c r="P80" i="82"/>
  <c r="N80" i="82"/>
  <c r="B80" i="82"/>
  <c r="B92" i="82" s="1"/>
  <c r="B104" i="82" s="1"/>
  <c r="B116" i="82" s="1"/>
  <c r="B128" i="82" s="1"/>
  <c r="B140" i="82" s="1"/>
  <c r="B152" i="82" s="1"/>
  <c r="B164" i="82" s="1"/>
  <c r="B176" i="82" s="1"/>
  <c r="B188" i="82" s="1"/>
  <c r="B200" i="82" s="1"/>
  <c r="B212" i="82" s="1"/>
  <c r="B224" i="82" s="1"/>
  <c r="B236" i="82" s="1"/>
  <c r="B248" i="82" s="1"/>
  <c r="B260" i="82" s="1"/>
  <c r="B272" i="82" s="1"/>
  <c r="B284" i="82" s="1"/>
  <c r="B296" i="82" s="1"/>
  <c r="B308" i="82" s="1"/>
  <c r="B320" i="82" s="1"/>
  <c r="B332" i="82" s="1"/>
  <c r="B344" i="82" s="1"/>
  <c r="B356" i="82" s="1"/>
  <c r="B368" i="82" s="1"/>
  <c r="B380" i="82" s="1"/>
  <c r="B392" i="82" s="1"/>
  <c r="B404" i="82" s="1"/>
  <c r="B416" i="82" s="1"/>
  <c r="B428" i="82" s="1"/>
  <c r="B440" i="82" s="1"/>
  <c r="B452" i="82" s="1"/>
  <c r="B464" i="82" s="1"/>
  <c r="B476" i="82" s="1"/>
  <c r="B488" i="82" s="1"/>
  <c r="B500" i="82" s="1"/>
  <c r="B512" i="82" s="1"/>
  <c r="B524" i="82" s="1"/>
  <c r="B536" i="82" s="1"/>
  <c r="B548" i="82" s="1"/>
  <c r="B560" i="82" s="1"/>
  <c r="B572" i="82" s="1"/>
  <c r="B584" i="82" s="1"/>
  <c r="B596" i="82" s="1"/>
  <c r="B608" i="82" s="1"/>
  <c r="B620" i="82" s="1"/>
  <c r="B632" i="82" s="1"/>
  <c r="B644" i="82" s="1"/>
  <c r="B656" i="82" s="1"/>
  <c r="B668" i="82" s="1"/>
  <c r="A80" i="82"/>
  <c r="A92" i="82" s="1"/>
  <c r="A104" i="82" s="1"/>
  <c r="A116" i="82" s="1"/>
  <c r="A128" i="82" s="1"/>
  <c r="A140" i="82" s="1"/>
  <c r="A152" i="82" s="1"/>
  <c r="A164" i="82" s="1"/>
  <c r="A176" i="82" s="1"/>
  <c r="A188" i="82" s="1"/>
  <c r="A200" i="82" s="1"/>
  <c r="A212" i="82" s="1"/>
  <c r="A224" i="82" s="1"/>
  <c r="A236" i="82" s="1"/>
  <c r="A248" i="82" s="1"/>
  <c r="A260" i="82" s="1"/>
  <c r="A272" i="82" s="1"/>
  <c r="A284" i="82" s="1"/>
  <c r="A296" i="82" s="1"/>
  <c r="A308" i="82" s="1"/>
  <c r="A320" i="82" s="1"/>
  <c r="A332" i="82" s="1"/>
  <c r="A344" i="82" s="1"/>
  <c r="A356" i="82" s="1"/>
  <c r="A368" i="82" s="1"/>
  <c r="A380" i="82" s="1"/>
  <c r="A392" i="82" s="1"/>
  <c r="A404" i="82" s="1"/>
  <c r="A416" i="82" s="1"/>
  <c r="A428" i="82" s="1"/>
  <c r="A440" i="82" s="1"/>
  <c r="A452" i="82" s="1"/>
  <c r="A464" i="82" s="1"/>
  <c r="A476" i="82" s="1"/>
  <c r="A488" i="82" s="1"/>
  <c r="A500" i="82" s="1"/>
  <c r="A512" i="82" s="1"/>
  <c r="A524" i="82" s="1"/>
  <c r="A536" i="82" s="1"/>
  <c r="A548" i="82" s="1"/>
  <c r="A560" i="82" s="1"/>
  <c r="A572" i="82" s="1"/>
  <c r="A584" i="82" s="1"/>
  <c r="A596" i="82" s="1"/>
  <c r="A608" i="82" s="1"/>
  <c r="A620" i="82" s="1"/>
  <c r="A632" i="82" s="1"/>
  <c r="A644" i="82" s="1"/>
  <c r="A656" i="82" s="1"/>
  <c r="A668" i="82" s="1"/>
  <c r="P79" i="82"/>
  <c r="N79" i="82"/>
  <c r="B79" i="82"/>
  <c r="B91" i="82" s="1"/>
  <c r="B103" i="82" s="1"/>
  <c r="B115" i="82" s="1"/>
  <c r="B127" i="82" s="1"/>
  <c r="B139" i="82" s="1"/>
  <c r="B151" i="82" s="1"/>
  <c r="B163" i="82" s="1"/>
  <c r="B175" i="82" s="1"/>
  <c r="B187" i="82" s="1"/>
  <c r="B199" i="82" s="1"/>
  <c r="B211" i="82" s="1"/>
  <c r="B223" i="82" s="1"/>
  <c r="B235" i="82" s="1"/>
  <c r="B247" i="82" s="1"/>
  <c r="B259" i="82" s="1"/>
  <c r="B271" i="82" s="1"/>
  <c r="B283" i="82" s="1"/>
  <c r="B295" i="82" s="1"/>
  <c r="B307" i="82" s="1"/>
  <c r="B319" i="82" s="1"/>
  <c r="B331" i="82" s="1"/>
  <c r="B343" i="82" s="1"/>
  <c r="B355" i="82" s="1"/>
  <c r="B367" i="82" s="1"/>
  <c r="B379" i="82" s="1"/>
  <c r="B391" i="82" s="1"/>
  <c r="B403" i="82" s="1"/>
  <c r="B415" i="82" s="1"/>
  <c r="B427" i="82" s="1"/>
  <c r="B439" i="82" s="1"/>
  <c r="B451" i="82" s="1"/>
  <c r="B463" i="82" s="1"/>
  <c r="B475" i="82" s="1"/>
  <c r="B487" i="82" s="1"/>
  <c r="B499" i="82" s="1"/>
  <c r="B511" i="82" s="1"/>
  <c r="B523" i="82" s="1"/>
  <c r="B535" i="82" s="1"/>
  <c r="B547" i="82" s="1"/>
  <c r="B559" i="82" s="1"/>
  <c r="B571" i="82" s="1"/>
  <c r="B583" i="82" s="1"/>
  <c r="B595" i="82" s="1"/>
  <c r="B607" i="82" s="1"/>
  <c r="B619" i="82" s="1"/>
  <c r="B631" i="82" s="1"/>
  <c r="B643" i="82" s="1"/>
  <c r="B655" i="82" s="1"/>
  <c r="B667" i="82" s="1"/>
  <c r="A79" i="82"/>
  <c r="A91" i="82" s="1"/>
  <c r="A103" i="82" s="1"/>
  <c r="A115" i="82" s="1"/>
  <c r="A127" i="82" s="1"/>
  <c r="A139" i="82" s="1"/>
  <c r="A151" i="82" s="1"/>
  <c r="A163" i="82" s="1"/>
  <c r="A175" i="82" s="1"/>
  <c r="A187" i="82" s="1"/>
  <c r="A199" i="82" s="1"/>
  <c r="A211" i="82" s="1"/>
  <c r="A223" i="82" s="1"/>
  <c r="A235" i="82" s="1"/>
  <c r="A247" i="82" s="1"/>
  <c r="A259" i="82" s="1"/>
  <c r="A271" i="82" s="1"/>
  <c r="A283" i="82" s="1"/>
  <c r="A295" i="82" s="1"/>
  <c r="A307" i="82" s="1"/>
  <c r="A319" i="82" s="1"/>
  <c r="A331" i="82" s="1"/>
  <c r="A343" i="82" s="1"/>
  <c r="A355" i="82" s="1"/>
  <c r="A367" i="82" s="1"/>
  <c r="A379" i="82" s="1"/>
  <c r="A391" i="82" s="1"/>
  <c r="A403" i="82" s="1"/>
  <c r="A415" i="82" s="1"/>
  <c r="A427" i="82" s="1"/>
  <c r="A439" i="82" s="1"/>
  <c r="A451" i="82" s="1"/>
  <c r="A463" i="82" s="1"/>
  <c r="A475" i="82" s="1"/>
  <c r="A487" i="82" s="1"/>
  <c r="A499" i="82" s="1"/>
  <c r="A511" i="82" s="1"/>
  <c r="A523" i="82" s="1"/>
  <c r="A535" i="82" s="1"/>
  <c r="A547" i="82" s="1"/>
  <c r="A559" i="82" s="1"/>
  <c r="A571" i="82" s="1"/>
  <c r="A583" i="82" s="1"/>
  <c r="A595" i="82" s="1"/>
  <c r="A607" i="82" s="1"/>
  <c r="A619" i="82" s="1"/>
  <c r="A631" i="82" s="1"/>
  <c r="A643" i="82" s="1"/>
  <c r="A655" i="82" s="1"/>
  <c r="A667" i="82" s="1"/>
  <c r="P78" i="82"/>
  <c r="N78" i="82"/>
  <c r="B78" i="82"/>
  <c r="B90" i="82" s="1"/>
  <c r="B102" i="82" s="1"/>
  <c r="B114" i="82" s="1"/>
  <c r="B126" i="82" s="1"/>
  <c r="B138" i="82" s="1"/>
  <c r="B150" i="82" s="1"/>
  <c r="B162" i="82" s="1"/>
  <c r="B174" i="82" s="1"/>
  <c r="B186" i="82" s="1"/>
  <c r="B198" i="82" s="1"/>
  <c r="B210" i="82" s="1"/>
  <c r="B222" i="82" s="1"/>
  <c r="B234" i="82" s="1"/>
  <c r="B246" i="82" s="1"/>
  <c r="B258" i="82" s="1"/>
  <c r="B270" i="82" s="1"/>
  <c r="B282" i="82" s="1"/>
  <c r="B294" i="82" s="1"/>
  <c r="B306" i="82" s="1"/>
  <c r="B318" i="82" s="1"/>
  <c r="B330" i="82" s="1"/>
  <c r="B342" i="82" s="1"/>
  <c r="B354" i="82" s="1"/>
  <c r="B366" i="82" s="1"/>
  <c r="B378" i="82" s="1"/>
  <c r="B390" i="82" s="1"/>
  <c r="B402" i="82" s="1"/>
  <c r="B414" i="82" s="1"/>
  <c r="B426" i="82" s="1"/>
  <c r="B438" i="82" s="1"/>
  <c r="B450" i="82" s="1"/>
  <c r="B462" i="82" s="1"/>
  <c r="B474" i="82" s="1"/>
  <c r="B486" i="82" s="1"/>
  <c r="B498" i="82" s="1"/>
  <c r="B510" i="82" s="1"/>
  <c r="B522" i="82" s="1"/>
  <c r="B534" i="82" s="1"/>
  <c r="B546" i="82" s="1"/>
  <c r="B558" i="82" s="1"/>
  <c r="B570" i="82" s="1"/>
  <c r="B582" i="82" s="1"/>
  <c r="B594" i="82" s="1"/>
  <c r="B606" i="82" s="1"/>
  <c r="B618" i="82" s="1"/>
  <c r="B630" i="82" s="1"/>
  <c r="B642" i="82" s="1"/>
  <c r="B654" i="82" s="1"/>
  <c r="B666" i="82" s="1"/>
  <c r="A78" i="82"/>
  <c r="A90" i="82" s="1"/>
  <c r="A102" i="82" s="1"/>
  <c r="A114" i="82" s="1"/>
  <c r="A126" i="82" s="1"/>
  <c r="A138" i="82" s="1"/>
  <c r="A150" i="82" s="1"/>
  <c r="A162" i="82" s="1"/>
  <c r="A174" i="82" s="1"/>
  <c r="A186" i="82" s="1"/>
  <c r="A198" i="82" s="1"/>
  <c r="A210" i="82" s="1"/>
  <c r="A222" i="82" s="1"/>
  <c r="A234" i="82" s="1"/>
  <c r="A246" i="82" s="1"/>
  <c r="A258" i="82" s="1"/>
  <c r="A270" i="82" s="1"/>
  <c r="A282" i="82" s="1"/>
  <c r="A294" i="82" s="1"/>
  <c r="A306" i="82" s="1"/>
  <c r="A318" i="82" s="1"/>
  <c r="A330" i="82" s="1"/>
  <c r="A342" i="82" s="1"/>
  <c r="A354" i="82" s="1"/>
  <c r="A366" i="82" s="1"/>
  <c r="A378" i="82" s="1"/>
  <c r="A390" i="82" s="1"/>
  <c r="A402" i="82" s="1"/>
  <c r="A414" i="82" s="1"/>
  <c r="A426" i="82" s="1"/>
  <c r="A438" i="82" s="1"/>
  <c r="A450" i="82" s="1"/>
  <c r="A462" i="82" s="1"/>
  <c r="A474" i="82" s="1"/>
  <c r="A486" i="82" s="1"/>
  <c r="A498" i="82" s="1"/>
  <c r="A510" i="82" s="1"/>
  <c r="A522" i="82" s="1"/>
  <c r="A534" i="82" s="1"/>
  <c r="A546" i="82" s="1"/>
  <c r="A558" i="82" s="1"/>
  <c r="A570" i="82" s="1"/>
  <c r="A582" i="82" s="1"/>
  <c r="A594" i="82" s="1"/>
  <c r="A606" i="82" s="1"/>
  <c r="A618" i="82" s="1"/>
  <c r="A630" i="82" s="1"/>
  <c r="A642" i="82" s="1"/>
  <c r="A654" i="82" s="1"/>
  <c r="A666" i="82" s="1"/>
  <c r="P77" i="82"/>
  <c r="N77" i="82"/>
  <c r="P76" i="82"/>
  <c r="N76" i="82"/>
  <c r="P75" i="82"/>
  <c r="N75" i="82"/>
  <c r="P74" i="82"/>
  <c r="N74" i="82"/>
  <c r="P73" i="82"/>
  <c r="N73" i="82"/>
  <c r="P72" i="82"/>
  <c r="N72" i="82"/>
  <c r="P71" i="82"/>
  <c r="N71" i="82"/>
  <c r="P70" i="82"/>
  <c r="N70" i="82"/>
  <c r="P69" i="82"/>
  <c r="N69" i="82"/>
  <c r="P68" i="82"/>
  <c r="N68" i="82"/>
  <c r="P67" i="82"/>
  <c r="N67" i="82"/>
  <c r="P66" i="82"/>
  <c r="N66" i="82"/>
  <c r="P65" i="82"/>
  <c r="N65" i="82"/>
  <c r="P64" i="82"/>
  <c r="N64" i="82"/>
  <c r="P63" i="82"/>
  <c r="N63" i="82"/>
  <c r="P62" i="82"/>
  <c r="N62" i="82"/>
  <c r="P61" i="82"/>
  <c r="N61" i="82"/>
  <c r="P60" i="82"/>
  <c r="N60" i="82"/>
  <c r="P59" i="82"/>
  <c r="N59" i="82"/>
  <c r="P58" i="82"/>
  <c r="N58" i="82"/>
  <c r="P57" i="82"/>
  <c r="N57" i="82"/>
  <c r="P56" i="82"/>
  <c r="N56" i="82"/>
  <c r="P55" i="82"/>
  <c r="N55" i="82"/>
  <c r="P54" i="82"/>
  <c r="N54" i="82"/>
  <c r="P53" i="82"/>
  <c r="N53" i="82"/>
  <c r="P52" i="82"/>
  <c r="N52" i="82"/>
  <c r="P51" i="82"/>
  <c r="N51" i="82"/>
  <c r="P50" i="82"/>
  <c r="N50" i="82"/>
  <c r="P49" i="82"/>
  <c r="N49" i="82"/>
  <c r="P48" i="82"/>
  <c r="N48" i="82"/>
  <c r="P47" i="82"/>
  <c r="N47" i="82"/>
  <c r="P46" i="82"/>
  <c r="N46" i="82"/>
  <c r="P45" i="82"/>
  <c r="N45" i="82"/>
  <c r="P44" i="82"/>
  <c r="N44" i="82"/>
  <c r="P43" i="82"/>
  <c r="N43" i="82"/>
  <c r="P42" i="82"/>
  <c r="N42" i="82"/>
  <c r="P41" i="82"/>
  <c r="N41" i="82"/>
  <c r="P40" i="82"/>
  <c r="N40" i="82"/>
  <c r="P39" i="82"/>
  <c r="N39" i="82"/>
  <c r="P38" i="82"/>
  <c r="N38" i="82"/>
  <c r="P37" i="82"/>
  <c r="N37" i="82"/>
  <c r="P36" i="82"/>
  <c r="N36" i="82"/>
  <c r="P35" i="82"/>
  <c r="N35" i="82"/>
  <c r="P34" i="82"/>
  <c r="N34" i="82"/>
  <c r="P33" i="82"/>
  <c r="N33" i="82"/>
  <c r="P32" i="82"/>
  <c r="N32" i="82"/>
  <c r="P31" i="82"/>
  <c r="N31" i="82"/>
  <c r="P30" i="82"/>
  <c r="N30" i="82"/>
  <c r="P29" i="82"/>
  <c r="N29" i="82"/>
  <c r="P28" i="82"/>
  <c r="N28" i="82"/>
  <c r="P27" i="82"/>
  <c r="N27" i="82"/>
  <c r="P26" i="82"/>
  <c r="N26" i="82"/>
  <c r="P25" i="82"/>
  <c r="N25" i="82"/>
  <c r="P24" i="82"/>
  <c r="N24" i="82"/>
  <c r="P23" i="82"/>
  <c r="N23" i="82"/>
  <c r="P22" i="82"/>
  <c r="N22" i="82"/>
  <c r="P21" i="82"/>
  <c r="N21" i="82"/>
  <c r="P20" i="82"/>
  <c r="N20" i="82"/>
  <c r="P19" i="82"/>
  <c r="N19" i="82"/>
  <c r="P18" i="82"/>
  <c r="N18" i="82"/>
  <c r="P17" i="82"/>
  <c r="N17" i="82"/>
  <c r="P16" i="82"/>
  <c r="N16" i="82"/>
  <c r="P15" i="82"/>
  <c r="N15" i="82"/>
  <c r="P14" i="82"/>
  <c r="N14" i="82"/>
  <c r="P13" i="82"/>
  <c r="N13" i="82"/>
  <c r="P12" i="82"/>
  <c r="N12" i="82"/>
  <c r="P11" i="82"/>
  <c r="N11" i="82"/>
  <c r="P10" i="82"/>
  <c r="N10" i="82"/>
  <c r="P9" i="82"/>
  <c r="N9" i="82"/>
  <c r="P8" i="82"/>
  <c r="N8" i="82"/>
  <c r="P7" i="82"/>
  <c r="N7" i="82"/>
  <c r="P6" i="82"/>
  <c r="N6" i="82"/>
  <c r="N677" i="81"/>
  <c r="N676" i="81"/>
  <c r="N675" i="81"/>
  <c r="N674" i="81"/>
  <c r="N673" i="81"/>
  <c r="N672" i="81"/>
  <c r="N671" i="81"/>
  <c r="N670" i="81"/>
  <c r="N669" i="81"/>
  <c r="N668" i="81"/>
  <c r="N667" i="81"/>
  <c r="N666" i="81"/>
  <c r="N665" i="81"/>
  <c r="N664" i="81"/>
  <c r="N663" i="81"/>
  <c r="N662" i="81"/>
  <c r="N661" i="81"/>
  <c r="N660" i="81"/>
  <c r="N659" i="81"/>
  <c r="N658" i="81"/>
  <c r="N657" i="81"/>
  <c r="N656" i="81"/>
  <c r="N655" i="81"/>
  <c r="N654" i="81"/>
  <c r="N653" i="81"/>
  <c r="N652" i="81"/>
  <c r="N651" i="81"/>
  <c r="N650" i="81"/>
  <c r="N649" i="81"/>
  <c r="N648" i="81"/>
  <c r="N647" i="81"/>
  <c r="N646" i="81"/>
  <c r="N645" i="81"/>
  <c r="N644" i="81"/>
  <c r="N643" i="81"/>
  <c r="N642" i="81"/>
  <c r="N641" i="81"/>
  <c r="N640" i="81"/>
  <c r="N639" i="81"/>
  <c r="N638" i="81"/>
  <c r="N637" i="81"/>
  <c r="N636" i="81"/>
  <c r="N635" i="81"/>
  <c r="N634" i="81"/>
  <c r="N633" i="81"/>
  <c r="N632" i="81"/>
  <c r="N631" i="81"/>
  <c r="N630" i="81"/>
  <c r="N629" i="81"/>
  <c r="N628" i="81"/>
  <c r="N627" i="81"/>
  <c r="N626" i="81"/>
  <c r="N625" i="81"/>
  <c r="N624" i="81"/>
  <c r="N623" i="81"/>
  <c r="N622" i="81"/>
  <c r="N621" i="81"/>
  <c r="N620" i="81"/>
  <c r="N619" i="81"/>
  <c r="N618" i="81"/>
  <c r="N617" i="81"/>
  <c r="N616" i="81"/>
  <c r="N615" i="81"/>
  <c r="N614" i="81"/>
  <c r="N613" i="81"/>
  <c r="N612" i="81"/>
  <c r="N611" i="81"/>
  <c r="N610" i="81"/>
  <c r="N609" i="81"/>
  <c r="N608" i="81"/>
  <c r="N607" i="81"/>
  <c r="N606" i="81"/>
  <c r="N605" i="81"/>
  <c r="N604" i="81"/>
  <c r="N603" i="81"/>
  <c r="N602" i="81"/>
  <c r="N601" i="81"/>
  <c r="N600" i="81"/>
  <c r="N599" i="81"/>
  <c r="N598" i="81"/>
  <c r="N597" i="81"/>
  <c r="N596" i="81"/>
  <c r="N595" i="81"/>
  <c r="N594" i="81"/>
  <c r="N593" i="81"/>
  <c r="N592" i="81"/>
  <c r="N591" i="81"/>
  <c r="N590" i="81"/>
  <c r="N589" i="81"/>
  <c r="N588" i="81"/>
  <c r="N587" i="81"/>
  <c r="N586" i="81"/>
  <c r="N585" i="81"/>
  <c r="N584" i="81"/>
  <c r="N583" i="81"/>
  <c r="N582" i="81"/>
  <c r="N581" i="81"/>
  <c r="N580" i="81"/>
  <c r="N579" i="81"/>
  <c r="N578" i="81"/>
  <c r="N577" i="81"/>
  <c r="N576" i="81"/>
  <c r="N575" i="81"/>
  <c r="N574" i="81"/>
  <c r="N573" i="81"/>
  <c r="N572" i="81"/>
  <c r="N571" i="81"/>
  <c r="N570" i="81"/>
  <c r="N569" i="81"/>
  <c r="N568" i="81"/>
  <c r="N567" i="81"/>
  <c r="N566" i="81"/>
  <c r="N565" i="81"/>
  <c r="N564" i="81"/>
  <c r="N563" i="81"/>
  <c r="N562" i="81"/>
  <c r="N561" i="81"/>
  <c r="N560" i="81"/>
  <c r="N559" i="81"/>
  <c r="N558" i="81"/>
  <c r="N557" i="81"/>
  <c r="N556" i="81"/>
  <c r="N555" i="81"/>
  <c r="N554" i="81"/>
  <c r="N553" i="81"/>
  <c r="N552" i="81"/>
  <c r="N551" i="81"/>
  <c r="N550" i="81"/>
  <c r="N549" i="81"/>
  <c r="N548" i="81"/>
  <c r="N547" i="81"/>
  <c r="N546" i="81"/>
  <c r="N545" i="81"/>
  <c r="N544" i="81"/>
  <c r="N543" i="81"/>
  <c r="N542" i="81"/>
  <c r="N541" i="81"/>
  <c r="N540" i="81"/>
  <c r="N539" i="81"/>
  <c r="N538" i="81"/>
  <c r="N537" i="81"/>
  <c r="N536" i="81"/>
  <c r="N535" i="81"/>
  <c r="N534" i="81"/>
  <c r="N533" i="81"/>
  <c r="N532" i="81"/>
  <c r="N531" i="81"/>
  <c r="N530" i="81"/>
  <c r="N529" i="81"/>
  <c r="N528" i="81"/>
  <c r="N527" i="81"/>
  <c r="N526" i="81"/>
  <c r="N525" i="81"/>
  <c r="N524" i="81"/>
  <c r="N523" i="81"/>
  <c r="N522" i="81"/>
  <c r="N521" i="81"/>
  <c r="N520" i="81"/>
  <c r="N519" i="81"/>
  <c r="N518" i="81"/>
  <c r="N517" i="81"/>
  <c r="N516" i="81"/>
  <c r="N515" i="81"/>
  <c r="N514" i="81"/>
  <c r="N513" i="81"/>
  <c r="N512" i="81"/>
  <c r="N511" i="81"/>
  <c r="N510" i="81"/>
  <c r="N509" i="81"/>
  <c r="N508" i="81"/>
  <c r="N507" i="81"/>
  <c r="N506" i="81"/>
  <c r="N505" i="81"/>
  <c r="N504" i="81"/>
  <c r="N503" i="81"/>
  <c r="N502" i="81"/>
  <c r="N501" i="81"/>
  <c r="N500" i="81"/>
  <c r="N499" i="81"/>
  <c r="N498" i="81"/>
  <c r="N497" i="81"/>
  <c r="N496" i="81"/>
  <c r="N495" i="81"/>
  <c r="N494" i="81"/>
  <c r="N493" i="81"/>
  <c r="N492" i="81"/>
  <c r="N491" i="81"/>
  <c r="N490" i="81"/>
  <c r="N489" i="81"/>
  <c r="N488" i="81"/>
  <c r="N487" i="81"/>
  <c r="N486" i="81"/>
  <c r="N485" i="81"/>
  <c r="N484" i="81"/>
  <c r="N483" i="81"/>
  <c r="N482" i="81"/>
  <c r="N481" i="81"/>
  <c r="N480" i="81"/>
  <c r="N479" i="81"/>
  <c r="N478" i="81"/>
  <c r="N477" i="81"/>
  <c r="N476" i="81"/>
  <c r="N475" i="81"/>
  <c r="N474" i="81"/>
  <c r="N473" i="81"/>
  <c r="N472" i="81"/>
  <c r="N471" i="81"/>
  <c r="N470" i="81"/>
  <c r="N469" i="81"/>
  <c r="N468" i="81"/>
  <c r="N467" i="81"/>
  <c r="N466" i="81"/>
  <c r="N465" i="81"/>
  <c r="N464" i="81"/>
  <c r="N463" i="81"/>
  <c r="N462" i="81"/>
  <c r="N461" i="81"/>
  <c r="N460" i="81"/>
  <c r="N459" i="81"/>
  <c r="N458" i="81"/>
  <c r="N457" i="81"/>
  <c r="N456" i="81"/>
  <c r="N455" i="81"/>
  <c r="N454" i="81"/>
  <c r="N453" i="81"/>
  <c r="N452" i="81"/>
  <c r="N451" i="81"/>
  <c r="N450" i="81"/>
  <c r="N449" i="81"/>
  <c r="N448" i="81"/>
  <c r="N447" i="81"/>
  <c r="N446" i="81"/>
  <c r="N445" i="81"/>
  <c r="N444" i="81"/>
  <c r="N443" i="81"/>
  <c r="N442" i="81"/>
  <c r="N441" i="81"/>
  <c r="N440" i="81"/>
  <c r="N439" i="81"/>
  <c r="N438" i="81"/>
  <c r="N437" i="81"/>
  <c r="N436" i="81"/>
  <c r="N435" i="81"/>
  <c r="N434" i="81"/>
  <c r="N433" i="81"/>
  <c r="N432" i="81"/>
  <c r="N431" i="81"/>
  <c r="N430" i="81"/>
  <c r="N429" i="81"/>
  <c r="N428" i="81"/>
  <c r="N427" i="81"/>
  <c r="N426" i="81"/>
  <c r="N425" i="81"/>
  <c r="N424" i="81"/>
  <c r="N423" i="81"/>
  <c r="N422" i="81"/>
  <c r="N421" i="81"/>
  <c r="N420" i="81"/>
  <c r="N419" i="81"/>
  <c r="N418" i="81"/>
  <c r="N417" i="81"/>
  <c r="N416" i="81"/>
  <c r="N415" i="81"/>
  <c r="N414" i="81"/>
  <c r="N413" i="81"/>
  <c r="N412" i="81"/>
  <c r="N411" i="81"/>
  <c r="N410" i="81"/>
  <c r="N409" i="81"/>
  <c r="N408" i="81"/>
  <c r="N407" i="81"/>
  <c r="N406" i="81"/>
  <c r="N405" i="81"/>
  <c r="N404" i="81"/>
  <c r="N403" i="81"/>
  <c r="N402" i="81"/>
  <c r="N401" i="81"/>
  <c r="N400" i="81"/>
  <c r="N399" i="81"/>
  <c r="N398" i="81"/>
  <c r="N397" i="81"/>
  <c r="N396" i="81"/>
  <c r="N395" i="81"/>
  <c r="N394" i="81"/>
  <c r="N393" i="81"/>
  <c r="N392" i="81"/>
  <c r="N391" i="81"/>
  <c r="N390" i="81"/>
  <c r="N389" i="81"/>
  <c r="N388" i="81"/>
  <c r="N387" i="81"/>
  <c r="N386" i="81"/>
  <c r="N385" i="81"/>
  <c r="N384" i="81"/>
  <c r="N383" i="81"/>
  <c r="N382" i="81"/>
  <c r="N381" i="81"/>
  <c r="N380" i="81"/>
  <c r="N379" i="81"/>
  <c r="N378" i="81"/>
  <c r="N377" i="81"/>
  <c r="N376" i="81"/>
  <c r="N375" i="81"/>
  <c r="N374" i="81"/>
  <c r="N373" i="81"/>
  <c r="N372" i="81"/>
  <c r="N371" i="81"/>
  <c r="N370" i="81"/>
  <c r="N369" i="81"/>
  <c r="N368" i="81"/>
  <c r="N367" i="81"/>
  <c r="N366" i="81"/>
  <c r="N365" i="81"/>
  <c r="N364" i="81"/>
  <c r="N363" i="81"/>
  <c r="N362" i="81"/>
  <c r="N361" i="81"/>
  <c r="N360" i="81"/>
  <c r="N359" i="81"/>
  <c r="N358" i="81"/>
  <c r="N357" i="81"/>
  <c r="N356" i="81"/>
  <c r="N355" i="81"/>
  <c r="N354" i="81"/>
  <c r="N353" i="81"/>
  <c r="N352" i="81"/>
  <c r="N351" i="81"/>
  <c r="N350" i="81"/>
  <c r="N349" i="81"/>
  <c r="N348" i="81"/>
  <c r="N347" i="81"/>
  <c r="N346" i="81"/>
  <c r="N345" i="81"/>
  <c r="N344" i="81"/>
  <c r="N343" i="81"/>
  <c r="N342" i="81"/>
  <c r="N341" i="81"/>
  <c r="N340" i="81"/>
  <c r="N339" i="81"/>
  <c r="N338" i="81"/>
  <c r="N337" i="81"/>
  <c r="N336" i="81"/>
  <c r="N335" i="81"/>
  <c r="N334" i="81"/>
  <c r="N333" i="81"/>
  <c r="N332" i="81"/>
  <c r="N331" i="81"/>
  <c r="N330" i="81"/>
  <c r="N329" i="81"/>
  <c r="N328" i="81"/>
  <c r="N327" i="81"/>
  <c r="N326" i="81"/>
  <c r="N325" i="81"/>
  <c r="N324" i="81"/>
  <c r="N323" i="81"/>
  <c r="N322" i="81"/>
  <c r="N321" i="81"/>
  <c r="N320" i="81"/>
  <c r="N319" i="81"/>
  <c r="N318" i="81"/>
  <c r="N317" i="81"/>
  <c r="N316" i="81"/>
  <c r="N315" i="81"/>
  <c r="N314" i="81"/>
  <c r="N313" i="81"/>
  <c r="N312" i="81"/>
  <c r="N311" i="81"/>
  <c r="N310" i="81"/>
  <c r="N309" i="81"/>
  <c r="N308" i="81"/>
  <c r="N307" i="81"/>
  <c r="N306" i="81"/>
  <c r="N305" i="81"/>
  <c r="N304" i="81"/>
  <c r="N303" i="81"/>
  <c r="N302" i="81"/>
  <c r="N301" i="81"/>
  <c r="N300" i="81"/>
  <c r="N299" i="81"/>
  <c r="N298" i="81"/>
  <c r="N297" i="81"/>
  <c r="N296" i="81"/>
  <c r="N295" i="81"/>
  <c r="N294" i="81"/>
  <c r="N293" i="81"/>
  <c r="N292" i="81"/>
  <c r="N291" i="81"/>
  <c r="N290" i="81"/>
  <c r="N289" i="81"/>
  <c r="N288" i="81"/>
  <c r="N287" i="81"/>
  <c r="N286" i="81"/>
  <c r="N285" i="81"/>
  <c r="N284" i="81"/>
  <c r="N283" i="81"/>
  <c r="N282" i="81"/>
  <c r="N281" i="81"/>
  <c r="N280" i="81"/>
  <c r="N279" i="81"/>
  <c r="N278" i="81"/>
  <c r="P277" i="81"/>
  <c r="N277" i="81"/>
  <c r="P276" i="81"/>
  <c r="N276" i="81"/>
  <c r="P275" i="81"/>
  <c r="N275" i="81"/>
  <c r="P274" i="81"/>
  <c r="N274" i="81"/>
  <c r="P273" i="81"/>
  <c r="N273" i="81"/>
  <c r="P272" i="81"/>
  <c r="N272" i="81"/>
  <c r="P271" i="81"/>
  <c r="N271" i="81"/>
  <c r="P270" i="81"/>
  <c r="N270" i="81"/>
  <c r="P269" i="81"/>
  <c r="N269" i="81"/>
  <c r="P268" i="81"/>
  <c r="N268" i="81"/>
  <c r="P267" i="81"/>
  <c r="N267" i="81"/>
  <c r="P266" i="81"/>
  <c r="N266" i="81"/>
  <c r="P265" i="81"/>
  <c r="N265" i="81"/>
  <c r="P264" i="81"/>
  <c r="N264" i="81"/>
  <c r="P263" i="81"/>
  <c r="N263" i="81"/>
  <c r="P262" i="81"/>
  <c r="N262" i="81"/>
  <c r="P261" i="81"/>
  <c r="N261" i="81"/>
  <c r="P260" i="81"/>
  <c r="N260" i="81"/>
  <c r="P259" i="81"/>
  <c r="N259" i="81"/>
  <c r="P258" i="81"/>
  <c r="N258" i="81"/>
  <c r="P257" i="81"/>
  <c r="N257" i="81"/>
  <c r="P256" i="81"/>
  <c r="N256" i="81"/>
  <c r="P255" i="81"/>
  <c r="N255" i="81"/>
  <c r="P254" i="81"/>
  <c r="N254" i="81"/>
  <c r="P253" i="81"/>
  <c r="N253" i="81"/>
  <c r="P252" i="81"/>
  <c r="N252" i="81"/>
  <c r="P251" i="81"/>
  <c r="N251" i="81"/>
  <c r="P250" i="81"/>
  <c r="N250" i="81"/>
  <c r="P249" i="81"/>
  <c r="N249" i="81"/>
  <c r="P248" i="81"/>
  <c r="N248" i="81"/>
  <c r="P247" i="81"/>
  <c r="N247" i="81"/>
  <c r="P246" i="81"/>
  <c r="N246" i="81"/>
  <c r="P245" i="81"/>
  <c r="N245" i="81"/>
  <c r="P244" i="81"/>
  <c r="N244" i="81"/>
  <c r="P243" i="81"/>
  <c r="N243" i="81"/>
  <c r="P242" i="81"/>
  <c r="N242" i="81"/>
  <c r="P241" i="81"/>
  <c r="N241" i="81"/>
  <c r="P240" i="81"/>
  <c r="N240" i="81"/>
  <c r="P239" i="81"/>
  <c r="N239" i="81"/>
  <c r="P238" i="81"/>
  <c r="N238" i="81"/>
  <c r="P237" i="81"/>
  <c r="N237" i="81"/>
  <c r="P236" i="81"/>
  <c r="N236" i="81"/>
  <c r="P235" i="81"/>
  <c r="N235" i="81"/>
  <c r="P234" i="81"/>
  <c r="N234" i="81"/>
  <c r="P233" i="81"/>
  <c r="N233" i="81"/>
  <c r="P232" i="81"/>
  <c r="N232" i="81"/>
  <c r="P231" i="81"/>
  <c r="N231" i="81"/>
  <c r="P230" i="81"/>
  <c r="N230" i="81"/>
  <c r="P229" i="81"/>
  <c r="N229" i="81"/>
  <c r="P228" i="81"/>
  <c r="N228" i="81"/>
  <c r="P227" i="81"/>
  <c r="N227" i="81"/>
  <c r="P226" i="81"/>
  <c r="N226" i="81"/>
  <c r="P225" i="81"/>
  <c r="N225" i="81"/>
  <c r="P224" i="81"/>
  <c r="N224" i="81"/>
  <c r="P223" i="81"/>
  <c r="N223" i="81"/>
  <c r="P222" i="81"/>
  <c r="N222" i="81"/>
  <c r="P221" i="81"/>
  <c r="N221" i="81"/>
  <c r="P220" i="81"/>
  <c r="N220" i="81"/>
  <c r="P219" i="81"/>
  <c r="N219" i="81"/>
  <c r="P218" i="81"/>
  <c r="N218" i="81"/>
  <c r="P217" i="81"/>
  <c r="N217" i="81"/>
  <c r="P216" i="81"/>
  <c r="N216" i="81"/>
  <c r="P215" i="81"/>
  <c r="N215" i="81"/>
  <c r="P214" i="81"/>
  <c r="N214" i="81"/>
  <c r="P213" i="81"/>
  <c r="N213" i="81"/>
  <c r="P212" i="81"/>
  <c r="N212" i="81"/>
  <c r="P211" i="81"/>
  <c r="N211" i="81"/>
  <c r="P210" i="81"/>
  <c r="N210" i="81"/>
  <c r="P209" i="81"/>
  <c r="N209" i="81"/>
  <c r="P208" i="81"/>
  <c r="N208" i="81"/>
  <c r="P207" i="81"/>
  <c r="N207" i="81"/>
  <c r="P206" i="81"/>
  <c r="N206" i="81"/>
  <c r="P205" i="81"/>
  <c r="N205" i="81"/>
  <c r="P204" i="81"/>
  <c r="N204" i="81"/>
  <c r="P203" i="81"/>
  <c r="N203" i="81"/>
  <c r="P202" i="81"/>
  <c r="N202" i="81"/>
  <c r="P201" i="81"/>
  <c r="N201" i="81"/>
  <c r="P200" i="81"/>
  <c r="N200" i="81"/>
  <c r="P199" i="81"/>
  <c r="N199" i="81"/>
  <c r="P198" i="81"/>
  <c r="N198" i="81"/>
  <c r="P197" i="81"/>
  <c r="N197" i="81"/>
  <c r="P196" i="81"/>
  <c r="N196" i="81"/>
  <c r="P195" i="81"/>
  <c r="N195" i="81"/>
  <c r="P194" i="81"/>
  <c r="N194" i="81"/>
  <c r="P193" i="81"/>
  <c r="N193" i="81"/>
  <c r="P192" i="81"/>
  <c r="N192" i="81"/>
  <c r="P191" i="81"/>
  <c r="N191" i="81"/>
  <c r="P190" i="81"/>
  <c r="N190" i="81"/>
  <c r="P189" i="81"/>
  <c r="N189" i="81"/>
  <c r="P188" i="81"/>
  <c r="N188" i="81"/>
  <c r="P187" i="81"/>
  <c r="N187" i="81"/>
  <c r="P186" i="81"/>
  <c r="N186" i="81"/>
  <c r="P185" i="81"/>
  <c r="N185" i="81"/>
  <c r="P184" i="81"/>
  <c r="N184" i="81"/>
  <c r="P183" i="81"/>
  <c r="N183" i="81"/>
  <c r="P182" i="81"/>
  <c r="N182" i="81"/>
  <c r="P181" i="81"/>
  <c r="N181" i="81"/>
  <c r="P180" i="81"/>
  <c r="N180" i="81"/>
  <c r="P179" i="81"/>
  <c r="N179" i="81"/>
  <c r="P178" i="81"/>
  <c r="N178" i="81"/>
  <c r="P177" i="81"/>
  <c r="N177" i="81"/>
  <c r="P176" i="81"/>
  <c r="N176" i="81"/>
  <c r="P175" i="81"/>
  <c r="N175" i="81"/>
  <c r="P174" i="81"/>
  <c r="N174" i="81"/>
  <c r="P173" i="81"/>
  <c r="N173" i="81"/>
  <c r="P172" i="81"/>
  <c r="N172" i="81"/>
  <c r="P171" i="81"/>
  <c r="N171" i="81"/>
  <c r="P170" i="81"/>
  <c r="N170" i="81"/>
  <c r="P169" i="81"/>
  <c r="N169" i="81"/>
  <c r="P168" i="81"/>
  <c r="N168" i="81"/>
  <c r="P167" i="81"/>
  <c r="N167" i="81"/>
  <c r="P166" i="81"/>
  <c r="N166" i="81"/>
  <c r="P165" i="81"/>
  <c r="N165" i="81"/>
  <c r="P164" i="81"/>
  <c r="N164" i="81"/>
  <c r="P163" i="81"/>
  <c r="N163" i="81"/>
  <c r="P162" i="81"/>
  <c r="N162" i="81"/>
  <c r="P161" i="81"/>
  <c r="N161" i="81"/>
  <c r="P160" i="81"/>
  <c r="N160" i="81"/>
  <c r="P159" i="81"/>
  <c r="N159" i="81"/>
  <c r="P158" i="81"/>
  <c r="N158" i="81"/>
  <c r="P157" i="81"/>
  <c r="N157" i="81"/>
  <c r="P156" i="81"/>
  <c r="N156" i="81"/>
  <c r="P155" i="81"/>
  <c r="N155" i="81"/>
  <c r="P154" i="81"/>
  <c r="N154" i="81"/>
  <c r="P153" i="81"/>
  <c r="N153" i="81"/>
  <c r="P152" i="81"/>
  <c r="N152" i="81"/>
  <c r="P151" i="81"/>
  <c r="N151" i="81"/>
  <c r="P150" i="81"/>
  <c r="N150" i="81"/>
  <c r="P149" i="81"/>
  <c r="N149" i="81"/>
  <c r="P148" i="81"/>
  <c r="N148" i="81"/>
  <c r="P147" i="81"/>
  <c r="N147" i="81"/>
  <c r="P146" i="81"/>
  <c r="N146" i="81"/>
  <c r="P145" i="81"/>
  <c r="N145" i="81"/>
  <c r="P144" i="81"/>
  <c r="N144" i="81"/>
  <c r="P143" i="81"/>
  <c r="N143" i="81"/>
  <c r="P142" i="81"/>
  <c r="N142" i="81"/>
  <c r="P141" i="81"/>
  <c r="N141" i="81"/>
  <c r="P140" i="81"/>
  <c r="N140" i="81"/>
  <c r="P139" i="81"/>
  <c r="N139" i="81"/>
  <c r="P138" i="81"/>
  <c r="N138" i="81"/>
  <c r="P137" i="81"/>
  <c r="N137" i="81"/>
  <c r="P136" i="81"/>
  <c r="N136" i="81"/>
  <c r="P135" i="81"/>
  <c r="N135" i="81"/>
  <c r="P134" i="81"/>
  <c r="N134" i="81"/>
  <c r="P133" i="81"/>
  <c r="N133" i="81"/>
  <c r="P132" i="81"/>
  <c r="N132" i="81"/>
  <c r="P131" i="81"/>
  <c r="N131" i="81"/>
  <c r="P130" i="81"/>
  <c r="N130" i="81"/>
  <c r="P129" i="81"/>
  <c r="N129" i="81"/>
  <c r="P128" i="81"/>
  <c r="N128" i="81"/>
  <c r="P127" i="81"/>
  <c r="N127" i="81"/>
  <c r="P126" i="81"/>
  <c r="N126" i="81"/>
  <c r="P125" i="81"/>
  <c r="N125" i="81"/>
  <c r="P124" i="81"/>
  <c r="N124" i="81"/>
  <c r="P123" i="81"/>
  <c r="N123" i="81"/>
  <c r="P122" i="81"/>
  <c r="N122" i="81"/>
  <c r="P121" i="81"/>
  <c r="N121" i="81"/>
  <c r="P120" i="81"/>
  <c r="N120" i="81"/>
  <c r="P119" i="81"/>
  <c r="N119" i="81"/>
  <c r="P118" i="81"/>
  <c r="N118" i="81"/>
  <c r="P117" i="81"/>
  <c r="N117" i="81"/>
  <c r="P116" i="81"/>
  <c r="N116" i="81"/>
  <c r="P115" i="81"/>
  <c r="N115" i="81"/>
  <c r="P114" i="81"/>
  <c r="N114" i="81"/>
  <c r="P113" i="81"/>
  <c r="N113" i="81"/>
  <c r="P112" i="81"/>
  <c r="N112" i="81"/>
  <c r="P111" i="81"/>
  <c r="N111" i="81"/>
  <c r="P110" i="81"/>
  <c r="N110" i="81"/>
  <c r="P109" i="81"/>
  <c r="N109" i="81"/>
  <c r="P108" i="81"/>
  <c r="N108" i="81"/>
  <c r="P107" i="81"/>
  <c r="N107" i="81"/>
  <c r="P106" i="81"/>
  <c r="N106" i="81"/>
  <c r="P105" i="81"/>
  <c r="N105" i="81"/>
  <c r="P104" i="81"/>
  <c r="N104" i="81"/>
  <c r="P103" i="81"/>
  <c r="N103" i="81"/>
  <c r="P102" i="81"/>
  <c r="N102" i="81"/>
  <c r="P101" i="81"/>
  <c r="N101" i="81"/>
  <c r="P100" i="81"/>
  <c r="N100" i="81"/>
  <c r="P99" i="81"/>
  <c r="N99" i="81"/>
  <c r="P98" i="81"/>
  <c r="N98" i="81"/>
  <c r="P97" i="81"/>
  <c r="N97" i="81"/>
  <c r="P96" i="81"/>
  <c r="N96" i="81"/>
  <c r="P95" i="81"/>
  <c r="N95" i="81"/>
  <c r="P94" i="81"/>
  <c r="N94" i="81"/>
  <c r="P93" i="81"/>
  <c r="N93" i="81"/>
  <c r="P92" i="81"/>
  <c r="N92" i="81"/>
  <c r="P91" i="81"/>
  <c r="N91" i="81"/>
  <c r="P90" i="81"/>
  <c r="N90" i="81"/>
  <c r="P89" i="81"/>
  <c r="N89" i="81"/>
  <c r="B89" i="81"/>
  <c r="B101" i="81" s="1"/>
  <c r="B113" i="81" s="1"/>
  <c r="B125" i="81" s="1"/>
  <c r="B137" i="81" s="1"/>
  <c r="B149" i="81" s="1"/>
  <c r="B161" i="81" s="1"/>
  <c r="B173" i="81" s="1"/>
  <c r="B185" i="81" s="1"/>
  <c r="B197" i="81" s="1"/>
  <c r="B209" i="81" s="1"/>
  <c r="B221" i="81" s="1"/>
  <c r="B233" i="81" s="1"/>
  <c r="B245" i="81" s="1"/>
  <c r="B257" i="81" s="1"/>
  <c r="B269" i="81" s="1"/>
  <c r="B281" i="81" s="1"/>
  <c r="B293" i="81" s="1"/>
  <c r="B305" i="81" s="1"/>
  <c r="B317" i="81" s="1"/>
  <c r="B329" i="81" s="1"/>
  <c r="B341" i="81" s="1"/>
  <c r="B353" i="81" s="1"/>
  <c r="B365" i="81" s="1"/>
  <c r="B377" i="81" s="1"/>
  <c r="B389" i="81" s="1"/>
  <c r="B401" i="81" s="1"/>
  <c r="B413" i="81" s="1"/>
  <c r="B425" i="81" s="1"/>
  <c r="B437" i="81" s="1"/>
  <c r="B449" i="81" s="1"/>
  <c r="B461" i="81" s="1"/>
  <c r="B473" i="81" s="1"/>
  <c r="B485" i="81" s="1"/>
  <c r="B497" i="81" s="1"/>
  <c r="B509" i="81" s="1"/>
  <c r="B521" i="81" s="1"/>
  <c r="B533" i="81" s="1"/>
  <c r="B545" i="81" s="1"/>
  <c r="B557" i="81" s="1"/>
  <c r="B569" i="81" s="1"/>
  <c r="B581" i="81" s="1"/>
  <c r="B593" i="81" s="1"/>
  <c r="B605" i="81" s="1"/>
  <c r="B617" i="81" s="1"/>
  <c r="B629" i="81" s="1"/>
  <c r="B641" i="81" s="1"/>
  <c r="B653" i="81" s="1"/>
  <c r="B665" i="81" s="1"/>
  <c r="B677" i="81" s="1"/>
  <c r="A89" i="81"/>
  <c r="A101" i="81" s="1"/>
  <c r="A113" i="81" s="1"/>
  <c r="A125" i="81" s="1"/>
  <c r="A137" i="81" s="1"/>
  <c r="A149" i="81" s="1"/>
  <c r="A161" i="81" s="1"/>
  <c r="A173" i="81" s="1"/>
  <c r="A185" i="81" s="1"/>
  <c r="A197" i="81" s="1"/>
  <c r="A209" i="81" s="1"/>
  <c r="A221" i="81" s="1"/>
  <c r="A233" i="81" s="1"/>
  <c r="A245" i="81" s="1"/>
  <c r="A257" i="81" s="1"/>
  <c r="A269" i="81" s="1"/>
  <c r="A281" i="81" s="1"/>
  <c r="A293" i="81" s="1"/>
  <c r="A305" i="81" s="1"/>
  <c r="A317" i="81" s="1"/>
  <c r="A329" i="81" s="1"/>
  <c r="A341" i="81" s="1"/>
  <c r="A353" i="81" s="1"/>
  <c r="A365" i="81" s="1"/>
  <c r="A377" i="81" s="1"/>
  <c r="A389" i="81" s="1"/>
  <c r="A401" i="81" s="1"/>
  <c r="A413" i="81" s="1"/>
  <c r="A425" i="81" s="1"/>
  <c r="A437" i="81" s="1"/>
  <c r="A449" i="81" s="1"/>
  <c r="A461" i="81" s="1"/>
  <c r="A473" i="81" s="1"/>
  <c r="A485" i="81" s="1"/>
  <c r="A497" i="81" s="1"/>
  <c r="A509" i="81" s="1"/>
  <c r="A521" i="81" s="1"/>
  <c r="A533" i="81" s="1"/>
  <c r="A545" i="81" s="1"/>
  <c r="A557" i="81" s="1"/>
  <c r="A569" i="81" s="1"/>
  <c r="A581" i="81" s="1"/>
  <c r="A593" i="81" s="1"/>
  <c r="A605" i="81" s="1"/>
  <c r="A617" i="81" s="1"/>
  <c r="A629" i="81" s="1"/>
  <c r="A641" i="81" s="1"/>
  <c r="A653" i="81" s="1"/>
  <c r="A665" i="81" s="1"/>
  <c r="A677" i="81" s="1"/>
  <c r="P88" i="81"/>
  <c r="N88" i="81"/>
  <c r="B88" i="81"/>
  <c r="B100" i="81" s="1"/>
  <c r="B112" i="81" s="1"/>
  <c r="B124" i="81" s="1"/>
  <c r="B136" i="81" s="1"/>
  <c r="B148" i="81" s="1"/>
  <c r="B160" i="81" s="1"/>
  <c r="B172" i="81" s="1"/>
  <c r="B184" i="81" s="1"/>
  <c r="B196" i="81" s="1"/>
  <c r="B208" i="81" s="1"/>
  <c r="B220" i="81" s="1"/>
  <c r="B232" i="81" s="1"/>
  <c r="B244" i="81" s="1"/>
  <c r="B256" i="81" s="1"/>
  <c r="B268" i="81" s="1"/>
  <c r="B280" i="81" s="1"/>
  <c r="B292" i="81" s="1"/>
  <c r="B304" i="81" s="1"/>
  <c r="B316" i="81" s="1"/>
  <c r="B328" i="81" s="1"/>
  <c r="B340" i="81" s="1"/>
  <c r="B352" i="81" s="1"/>
  <c r="B364" i="81" s="1"/>
  <c r="B376" i="81" s="1"/>
  <c r="B388" i="81" s="1"/>
  <c r="B400" i="81" s="1"/>
  <c r="B412" i="81" s="1"/>
  <c r="B424" i="81" s="1"/>
  <c r="B436" i="81" s="1"/>
  <c r="B448" i="81" s="1"/>
  <c r="B460" i="81" s="1"/>
  <c r="B472" i="81" s="1"/>
  <c r="B484" i="81" s="1"/>
  <c r="B496" i="81" s="1"/>
  <c r="B508" i="81" s="1"/>
  <c r="B520" i="81" s="1"/>
  <c r="B532" i="81" s="1"/>
  <c r="B544" i="81" s="1"/>
  <c r="B556" i="81" s="1"/>
  <c r="B568" i="81" s="1"/>
  <c r="B580" i="81" s="1"/>
  <c r="B592" i="81" s="1"/>
  <c r="B604" i="81" s="1"/>
  <c r="B616" i="81" s="1"/>
  <c r="B628" i="81" s="1"/>
  <c r="B640" i="81" s="1"/>
  <c r="B652" i="81" s="1"/>
  <c r="B664" i="81" s="1"/>
  <c r="B676" i="81" s="1"/>
  <c r="A88" i="81"/>
  <c r="A100" i="81" s="1"/>
  <c r="A112" i="81" s="1"/>
  <c r="A124" i="81" s="1"/>
  <c r="A136" i="81" s="1"/>
  <c r="A148" i="81" s="1"/>
  <c r="A160" i="81" s="1"/>
  <c r="A172" i="81" s="1"/>
  <c r="A184" i="81" s="1"/>
  <c r="A196" i="81" s="1"/>
  <c r="A208" i="81" s="1"/>
  <c r="A220" i="81" s="1"/>
  <c r="A232" i="81" s="1"/>
  <c r="A244" i="81" s="1"/>
  <c r="A256" i="81" s="1"/>
  <c r="A268" i="81" s="1"/>
  <c r="A280" i="81" s="1"/>
  <c r="A292" i="81" s="1"/>
  <c r="A304" i="81" s="1"/>
  <c r="A316" i="81" s="1"/>
  <c r="A328" i="81" s="1"/>
  <c r="A340" i="81" s="1"/>
  <c r="A352" i="81" s="1"/>
  <c r="A364" i="81" s="1"/>
  <c r="A376" i="81" s="1"/>
  <c r="A388" i="81" s="1"/>
  <c r="A400" i="81" s="1"/>
  <c r="A412" i="81" s="1"/>
  <c r="A424" i="81" s="1"/>
  <c r="A436" i="81" s="1"/>
  <c r="A448" i="81" s="1"/>
  <c r="A460" i="81" s="1"/>
  <c r="A472" i="81" s="1"/>
  <c r="A484" i="81" s="1"/>
  <c r="A496" i="81" s="1"/>
  <c r="A508" i="81" s="1"/>
  <c r="A520" i="81" s="1"/>
  <c r="A532" i="81" s="1"/>
  <c r="A544" i="81" s="1"/>
  <c r="A556" i="81" s="1"/>
  <c r="A568" i="81" s="1"/>
  <c r="A580" i="81" s="1"/>
  <c r="A592" i="81" s="1"/>
  <c r="A604" i="81" s="1"/>
  <c r="A616" i="81" s="1"/>
  <c r="A628" i="81" s="1"/>
  <c r="A640" i="81" s="1"/>
  <c r="A652" i="81" s="1"/>
  <c r="A664" i="81" s="1"/>
  <c r="A676" i="81" s="1"/>
  <c r="P87" i="81"/>
  <c r="N87" i="81"/>
  <c r="B87" i="81"/>
  <c r="B99" i="81" s="1"/>
  <c r="B111" i="81" s="1"/>
  <c r="B123" i="81" s="1"/>
  <c r="B135" i="81" s="1"/>
  <c r="B147" i="81" s="1"/>
  <c r="B159" i="81" s="1"/>
  <c r="B171" i="81" s="1"/>
  <c r="B183" i="81" s="1"/>
  <c r="B195" i="81" s="1"/>
  <c r="B207" i="81" s="1"/>
  <c r="B219" i="81" s="1"/>
  <c r="B231" i="81" s="1"/>
  <c r="B243" i="81" s="1"/>
  <c r="B255" i="81" s="1"/>
  <c r="B267" i="81" s="1"/>
  <c r="B279" i="81" s="1"/>
  <c r="B291" i="81" s="1"/>
  <c r="B303" i="81" s="1"/>
  <c r="B315" i="81" s="1"/>
  <c r="B327" i="81" s="1"/>
  <c r="B339" i="81" s="1"/>
  <c r="B351" i="81" s="1"/>
  <c r="B363" i="81" s="1"/>
  <c r="B375" i="81" s="1"/>
  <c r="B387" i="81" s="1"/>
  <c r="B399" i="81" s="1"/>
  <c r="B411" i="81" s="1"/>
  <c r="B423" i="81" s="1"/>
  <c r="B435" i="81" s="1"/>
  <c r="B447" i="81" s="1"/>
  <c r="B459" i="81" s="1"/>
  <c r="B471" i="81" s="1"/>
  <c r="B483" i="81" s="1"/>
  <c r="B495" i="81" s="1"/>
  <c r="B507" i="81" s="1"/>
  <c r="B519" i="81" s="1"/>
  <c r="B531" i="81" s="1"/>
  <c r="B543" i="81" s="1"/>
  <c r="B555" i="81" s="1"/>
  <c r="B567" i="81" s="1"/>
  <c r="B579" i="81" s="1"/>
  <c r="B591" i="81" s="1"/>
  <c r="B603" i="81" s="1"/>
  <c r="B615" i="81" s="1"/>
  <c r="B627" i="81" s="1"/>
  <c r="B639" i="81" s="1"/>
  <c r="B651" i="81" s="1"/>
  <c r="B663" i="81" s="1"/>
  <c r="B675" i="81" s="1"/>
  <c r="A87" i="81"/>
  <c r="A99" i="81" s="1"/>
  <c r="A111" i="81" s="1"/>
  <c r="A123" i="81" s="1"/>
  <c r="A135" i="81" s="1"/>
  <c r="A147" i="81" s="1"/>
  <c r="A159" i="81" s="1"/>
  <c r="A171" i="81" s="1"/>
  <c r="A183" i="81" s="1"/>
  <c r="A195" i="81" s="1"/>
  <c r="A207" i="81" s="1"/>
  <c r="A219" i="81" s="1"/>
  <c r="A231" i="81" s="1"/>
  <c r="A243" i="81" s="1"/>
  <c r="A255" i="81" s="1"/>
  <c r="A267" i="81" s="1"/>
  <c r="A279" i="81" s="1"/>
  <c r="A291" i="81" s="1"/>
  <c r="A303" i="81" s="1"/>
  <c r="A315" i="81" s="1"/>
  <c r="A327" i="81" s="1"/>
  <c r="A339" i="81" s="1"/>
  <c r="A351" i="81" s="1"/>
  <c r="A363" i="81" s="1"/>
  <c r="A375" i="81" s="1"/>
  <c r="A387" i="81" s="1"/>
  <c r="A399" i="81" s="1"/>
  <c r="A411" i="81" s="1"/>
  <c r="A423" i="81" s="1"/>
  <c r="A435" i="81" s="1"/>
  <c r="A447" i="81" s="1"/>
  <c r="A459" i="81" s="1"/>
  <c r="A471" i="81" s="1"/>
  <c r="A483" i="81" s="1"/>
  <c r="A495" i="81" s="1"/>
  <c r="A507" i="81" s="1"/>
  <c r="A519" i="81" s="1"/>
  <c r="A531" i="81" s="1"/>
  <c r="A543" i="81" s="1"/>
  <c r="A555" i="81" s="1"/>
  <c r="A567" i="81" s="1"/>
  <c r="A579" i="81" s="1"/>
  <c r="A591" i="81" s="1"/>
  <c r="A603" i="81" s="1"/>
  <c r="A615" i="81" s="1"/>
  <c r="A627" i="81" s="1"/>
  <c r="A639" i="81" s="1"/>
  <c r="A651" i="81" s="1"/>
  <c r="A663" i="81" s="1"/>
  <c r="A675" i="81" s="1"/>
  <c r="P86" i="81"/>
  <c r="N86" i="81"/>
  <c r="B86" i="81"/>
  <c r="B98" i="81" s="1"/>
  <c r="B110" i="81" s="1"/>
  <c r="B122" i="81" s="1"/>
  <c r="B134" i="81" s="1"/>
  <c r="B146" i="81" s="1"/>
  <c r="B158" i="81" s="1"/>
  <c r="B170" i="81" s="1"/>
  <c r="B182" i="81" s="1"/>
  <c r="B194" i="81" s="1"/>
  <c r="B206" i="81" s="1"/>
  <c r="B218" i="81" s="1"/>
  <c r="B230" i="81" s="1"/>
  <c r="B242" i="81" s="1"/>
  <c r="B254" i="81" s="1"/>
  <c r="B266" i="81" s="1"/>
  <c r="B278" i="81" s="1"/>
  <c r="B290" i="81" s="1"/>
  <c r="B302" i="81" s="1"/>
  <c r="B314" i="81" s="1"/>
  <c r="B326" i="81" s="1"/>
  <c r="B338" i="81" s="1"/>
  <c r="B350" i="81" s="1"/>
  <c r="B362" i="81" s="1"/>
  <c r="B374" i="81" s="1"/>
  <c r="B386" i="81" s="1"/>
  <c r="B398" i="81" s="1"/>
  <c r="B410" i="81" s="1"/>
  <c r="B422" i="81" s="1"/>
  <c r="B434" i="81" s="1"/>
  <c r="B446" i="81" s="1"/>
  <c r="B458" i="81" s="1"/>
  <c r="B470" i="81" s="1"/>
  <c r="B482" i="81" s="1"/>
  <c r="B494" i="81" s="1"/>
  <c r="B506" i="81" s="1"/>
  <c r="B518" i="81" s="1"/>
  <c r="B530" i="81" s="1"/>
  <c r="B542" i="81" s="1"/>
  <c r="B554" i="81" s="1"/>
  <c r="B566" i="81" s="1"/>
  <c r="B578" i="81" s="1"/>
  <c r="B590" i="81" s="1"/>
  <c r="B602" i="81" s="1"/>
  <c r="B614" i="81" s="1"/>
  <c r="B626" i="81" s="1"/>
  <c r="B638" i="81" s="1"/>
  <c r="B650" i="81" s="1"/>
  <c r="B662" i="81" s="1"/>
  <c r="B674" i="81" s="1"/>
  <c r="A86" i="81"/>
  <c r="A98" i="81" s="1"/>
  <c r="A110" i="81" s="1"/>
  <c r="A122" i="81" s="1"/>
  <c r="A134" i="81" s="1"/>
  <c r="A146" i="81" s="1"/>
  <c r="A158" i="81" s="1"/>
  <c r="A170" i="81" s="1"/>
  <c r="A182" i="81" s="1"/>
  <c r="A194" i="81" s="1"/>
  <c r="A206" i="81" s="1"/>
  <c r="A218" i="81" s="1"/>
  <c r="A230" i="81" s="1"/>
  <c r="A242" i="81" s="1"/>
  <c r="A254" i="81" s="1"/>
  <c r="A266" i="81" s="1"/>
  <c r="A278" i="81" s="1"/>
  <c r="A290" i="81" s="1"/>
  <c r="A302" i="81" s="1"/>
  <c r="A314" i="81" s="1"/>
  <c r="A326" i="81" s="1"/>
  <c r="A338" i="81" s="1"/>
  <c r="A350" i="81" s="1"/>
  <c r="A362" i="81" s="1"/>
  <c r="A374" i="81" s="1"/>
  <c r="A386" i="81" s="1"/>
  <c r="A398" i="81" s="1"/>
  <c r="A410" i="81" s="1"/>
  <c r="A422" i="81" s="1"/>
  <c r="A434" i="81" s="1"/>
  <c r="A446" i="81" s="1"/>
  <c r="A458" i="81" s="1"/>
  <c r="A470" i="81" s="1"/>
  <c r="A482" i="81" s="1"/>
  <c r="A494" i="81" s="1"/>
  <c r="A506" i="81" s="1"/>
  <c r="A518" i="81" s="1"/>
  <c r="A530" i="81" s="1"/>
  <c r="A542" i="81" s="1"/>
  <c r="A554" i="81" s="1"/>
  <c r="A566" i="81" s="1"/>
  <c r="A578" i="81" s="1"/>
  <c r="A590" i="81" s="1"/>
  <c r="A602" i="81" s="1"/>
  <c r="A614" i="81" s="1"/>
  <c r="A626" i="81" s="1"/>
  <c r="A638" i="81" s="1"/>
  <c r="A650" i="81" s="1"/>
  <c r="A662" i="81" s="1"/>
  <c r="A674" i="81" s="1"/>
  <c r="P85" i="81"/>
  <c r="N85" i="81"/>
  <c r="B85" i="81"/>
  <c r="B97" i="81" s="1"/>
  <c r="B109" i="81" s="1"/>
  <c r="B121" i="81" s="1"/>
  <c r="B133" i="81" s="1"/>
  <c r="B145" i="81" s="1"/>
  <c r="B157" i="81" s="1"/>
  <c r="B169" i="81" s="1"/>
  <c r="B181" i="81" s="1"/>
  <c r="B193" i="81" s="1"/>
  <c r="B205" i="81" s="1"/>
  <c r="B217" i="81" s="1"/>
  <c r="B229" i="81" s="1"/>
  <c r="B241" i="81" s="1"/>
  <c r="B253" i="81" s="1"/>
  <c r="B265" i="81" s="1"/>
  <c r="B277" i="81" s="1"/>
  <c r="B289" i="81" s="1"/>
  <c r="B301" i="81" s="1"/>
  <c r="B313" i="81" s="1"/>
  <c r="B325" i="81" s="1"/>
  <c r="B337" i="81" s="1"/>
  <c r="B349" i="81" s="1"/>
  <c r="B361" i="81" s="1"/>
  <c r="B373" i="81" s="1"/>
  <c r="B385" i="81" s="1"/>
  <c r="B397" i="81" s="1"/>
  <c r="B409" i="81" s="1"/>
  <c r="B421" i="81" s="1"/>
  <c r="B433" i="81" s="1"/>
  <c r="B445" i="81" s="1"/>
  <c r="B457" i="81" s="1"/>
  <c r="B469" i="81" s="1"/>
  <c r="B481" i="81" s="1"/>
  <c r="B493" i="81" s="1"/>
  <c r="B505" i="81" s="1"/>
  <c r="B517" i="81" s="1"/>
  <c r="B529" i="81" s="1"/>
  <c r="B541" i="81" s="1"/>
  <c r="B553" i="81" s="1"/>
  <c r="B565" i="81" s="1"/>
  <c r="B577" i="81" s="1"/>
  <c r="B589" i="81" s="1"/>
  <c r="B601" i="81" s="1"/>
  <c r="B613" i="81" s="1"/>
  <c r="B625" i="81" s="1"/>
  <c r="B637" i="81" s="1"/>
  <c r="B649" i="81" s="1"/>
  <c r="B661" i="81" s="1"/>
  <c r="B673" i="81" s="1"/>
  <c r="A85" i="81"/>
  <c r="A97" i="81" s="1"/>
  <c r="A109" i="81" s="1"/>
  <c r="A121" i="81" s="1"/>
  <c r="A133" i="81" s="1"/>
  <c r="A145" i="81" s="1"/>
  <c r="A157" i="81" s="1"/>
  <c r="A169" i="81" s="1"/>
  <c r="A181" i="81" s="1"/>
  <c r="A193" i="81" s="1"/>
  <c r="A205" i="81" s="1"/>
  <c r="A217" i="81" s="1"/>
  <c r="A229" i="81" s="1"/>
  <c r="A241" i="81" s="1"/>
  <c r="A253" i="81" s="1"/>
  <c r="A265" i="81" s="1"/>
  <c r="A277" i="81" s="1"/>
  <c r="A289" i="81" s="1"/>
  <c r="A301" i="81" s="1"/>
  <c r="A313" i="81" s="1"/>
  <c r="A325" i="81" s="1"/>
  <c r="A337" i="81" s="1"/>
  <c r="A349" i="81" s="1"/>
  <c r="A361" i="81" s="1"/>
  <c r="A373" i="81" s="1"/>
  <c r="A385" i="81" s="1"/>
  <c r="A397" i="81" s="1"/>
  <c r="A409" i="81" s="1"/>
  <c r="A421" i="81" s="1"/>
  <c r="A433" i="81" s="1"/>
  <c r="A445" i="81" s="1"/>
  <c r="A457" i="81" s="1"/>
  <c r="A469" i="81" s="1"/>
  <c r="A481" i="81" s="1"/>
  <c r="A493" i="81" s="1"/>
  <c r="A505" i="81" s="1"/>
  <c r="A517" i="81" s="1"/>
  <c r="A529" i="81" s="1"/>
  <c r="A541" i="81" s="1"/>
  <c r="A553" i="81" s="1"/>
  <c r="A565" i="81" s="1"/>
  <c r="A577" i="81" s="1"/>
  <c r="A589" i="81" s="1"/>
  <c r="A601" i="81" s="1"/>
  <c r="A613" i="81" s="1"/>
  <c r="A625" i="81" s="1"/>
  <c r="A637" i="81" s="1"/>
  <c r="A649" i="81" s="1"/>
  <c r="A661" i="81" s="1"/>
  <c r="A673" i="81" s="1"/>
  <c r="P84" i="81"/>
  <c r="N84" i="81"/>
  <c r="B84" i="81"/>
  <c r="B96" i="81" s="1"/>
  <c r="B108" i="81" s="1"/>
  <c r="B120" i="81" s="1"/>
  <c r="B132" i="81" s="1"/>
  <c r="B144" i="81" s="1"/>
  <c r="B156" i="81" s="1"/>
  <c r="B168" i="81" s="1"/>
  <c r="B180" i="81" s="1"/>
  <c r="B192" i="81" s="1"/>
  <c r="B204" i="81" s="1"/>
  <c r="B216" i="81" s="1"/>
  <c r="B228" i="81" s="1"/>
  <c r="B240" i="81" s="1"/>
  <c r="B252" i="81" s="1"/>
  <c r="B264" i="81" s="1"/>
  <c r="B276" i="81" s="1"/>
  <c r="B288" i="81" s="1"/>
  <c r="B300" i="81" s="1"/>
  <c r="B312" i="81" s="1"/>
  <c r="B324" i="81" s="1"/>
  <c r="B336" i="81" s="1"/>
  <c r="B348" i="81" s="1"/>
  <c r="B360" i="81" s="1"/>
  <c r="B372" i="81" s="1"/>
  <c r="B384" i="81" s="1"/>
  <c r="B396" i="81" s="1"/>
  <c r="B408" i="81" s="1"/>
  <c r="B420" i="81" s="1"/>
  <c r="B432" i="81" s="1"/>
  <c r="B444" i="81" s="1"/>
  <c r="B456" i="81" s="1"/>
  <c r="B468" i="81" s="1"/>
  <c r="B480" i="81" s="1"/>
  <c r="B492" i="81" s="1"/>
  <c r="B504" i="81" s="1"/>
  <c r="B516" i="81" s="1"/>
  <c r="B528" i="81" s="1"/>
  <c r="B540" i="81" s="1"/>
  <c r="B552" i="81" s="1"/>
  <c r="B564" i="81" s="1"/>
  <c r="B576" i="81" s="1"/>
  <c r="B588" i="81" s="1"/>
  <c r="B600" i="81" s="1"/>
  <c r="B612" i="81" s="1"/>
  <c r="B624" i="81" s="1"/>
  <c r="B636" i="81" s="1"/>
  <c r="B648" i="81" s="1"/>
  <c r="B660" i="81" s="1"/>
  <c r="B672" i="81" s="1"/>
  <c r="A84" i="81"/>
  <c r="A96" i="81" s="1"/>
  <c r="A108" i="81" s="1"/>
  <c r="A120" i="81" s="1"/>
  <c r="A132" i="81" s="1"/>
  <c r="A144" i="81" s="1"/>
  <c r="A156" i="81" s="1"/>
  <c r="A168" i="81" s="1"/>
  <c r="A180" i="81" s="1"/>
  <c r="A192" i="81" s="1"/>
  <c r="A204" i="81" s="1"/>
  <c r="A216" i="81" s="1"/>
  <c r="A228" i="81" s="1"/>
  <c r="A240" i="81" s="1"/>
  <c r="A252" i="81" s="1"/>
  <c r="A264" i="81" s="1"/>
  <c r="A276" i="81" s="1"/>
  <c r="A288" i="81" s="1"/>
  <c r="A300" i="81" s="1"/>
  <c r="A312" i="81" s="1"/>
  <c r="A324" i="81" s="1"/>
  <c r="A336" i="81" s="1"/>
  <c r="A348" i="81" s="1"/>
  <c r="A360" i="81" s="1"/>
  <c r="A372" i="81" s="1"/>
  <c r="A384" i="81" s="1"/>
  <c r="A396" i="81" s="1"/>
  <c r="A408" i="81" s="1"/>
  <c r="A420" i="81" s="1"/>
  <c r="A432" i="81" s="1"/>
  <c r="A444" i="81" s="1"/>
  <c r="A456" i="81" s="1"/>
  <c r="A468" i="81" s="1"/>
  <c r="A480" i="81" s="1"/>
  <c r="A492" i="81" s="1"/>
  <c r="A504" i="81" s="1"/>
  <c r="A516" i="81" s="1"/>
  <c r="A528" i="81" s="1"/>
  <c r="A540" i="81" s="1"/>
  <c r="A552" i="81" s="1"/>
  <c r="A564" i="81" s="1"/>
  <c r="A576" i="81" s="1"/>
  <c r="A588" i="81" s="1"/>
  <c r="A600" i="81" s="1"/>
  <c r="A612" i="81" s="1"/>
  <c r="A624" i="81" s="1"/>
  <c r="A636" i="81" s="1"/>
  <c r="A648" i="81" s="1"/>
  <c r="A660" i="81" s="1"/>
  <c r="A672" i="81" s="1"/>
  <c r="P83" i="81"/>
  <c r="N83" i="81"/>
  <c r="B83" i="81"/>
  <c r="B95" i="81" s="1"/>
  <c r="B107" i="81" s="1"/>
  <c r="B119" i="81" s="1"/>
  <c r="B131" i="81" s="1"/>
  <c r="B143" i="81" s="1"/>
  <c r="B155" i="81" s="1"/>
  <c r="B167" i="81" s="1"/>
  <c r="B179" i="81" s="1"/>
  <c r="B191" i="81" s="1"/>
  <c r="B203" i="81" s="1"/>
  <c r="B215" i="81" s="1"/>
  <c r="B227" i="81" s="1"/>
  <c r="B239" i="81" s="1"/>
  <c r="B251" i="81" s="1"/>
  <c r="B263" i="81" s="1"/>
  <c r="B275" i="81" s="1"/>
  <c r="B287" i="81" s="1"/>
  <c r="B299" i="81" s="1"/>
  <c r="B311" i="81" s="1"/>
  <c r="B323" i="81" s="1"/>
  <c r="B335" i="81" s="1"/>
  <c r="B347" i="81" s="1"/>
  <c r="B359" i="81" s="1"/>
  <c r="B371" i="81" s="1"/>
  <c r="B383" i="81" s="1"/>
  <c r="B395" i="81" s="1"/>
  <c r="B407" i="81" s="1"/>
  <c r="B419" i="81" s="1"/>
  <c r="B431" i="81" s="1"/>
  <c r="B443" i="81" s="1"/>
  <c r="B455" i="81" s="1"/>
  <c r="B467" i="81" s="1"/>
  <c r="B479" i="81" s="1"/>
  <c r="B491" i="81" s="1"/>
  <c r="B503" i="81" s="1"/>
  <c r="B515" i="81" s="1"/>
  <c r="B527" i="81" s="1"/>
  <c r="B539" i="81" s="1"/>
  <c r="B551" i="81" s="1"/>
  <c r="B563" i="81" s="1"/>
  <c r="B575" i="81" s="1"/>
  <c r="B587" i="81" s="1"/>
  <c r="B599" i="81" s="1"/>
  <c r="B611" i="81" s="1"/>
  <c r="B623" i="81" s="1"/>
  <c r="B635" i="81" s="1"/>
  <c r="B647" i="81" s="1"/>
  <c r="B659" i="81" s="1"/>
  <c r="B671" i="81" s="1"/>
  <c r="A83" i="81"/>
  <c r="A95" i="81" s="1"/>
  <c r="A107" i="81" s="1"/>
  <c r="A119" i="81" s="1"/>
  <c r="A131" i="81" s="1"/>
  <c r="A143" i="81" s="1"/>
  <c r="A155" i="81" s="1"/>
  <c r="A167" i="81" s="1"/>
  <c r="A179" i="81" s="1"/>
  <c r="A191" i="81" s="1"/>
  <c r="A203" i="81" s="1"/>
  <c r="A215" i="81" s="1"/>
  <c r="A227" i="81" s="1"/>
  <c r="A239" i="81" s="1"/>
  <c r="A251" i="81" s="1"/>
  <c r="A263" i="81" s="1"/>
  <c r="A275" i="81" s="1"/>
  <c r="A287" i="81" s="1"/>
  <c r="A299" i="81" s="1"/>
  <c r="A311" i="81" s="1"/>
  <c r="A323" i="81" s="1"/>
  <c r="A335" i="81" s="1"/>
  <c r="A347" i="81" s="1"/>
  <c r="A359" i="81" s="1"/>
  <c r="A371" i="81" s="1"/>
  <c r="A383" i="81" s="1"/>
  <c r="A395" i="81" s="1"/>
  <c r="A407" i="81" s="1"/>
  <c r="A419" i="81" s="1"/>
  <c r="A431" i="81" s="1"/>
  <c r="A443" i="81" s="1"/>
  <c r="A455" i="81" s="1"/>
  <c r="A467" i="81" s="1"/>
  <c r="A479" i="81" s="1"/>
  <c r="A491" i="81" s="1"/>
  <c r="A503" i="81" s="1"/>
  <c r="A515" i="81" s="1"/>
  <c r="A527" i="81" s="1"/>
  <c r="A539" i="81" s="1"/>
  <c r="A551" i="81" s="1"/>
  <c r="A563" i="81" s="1"/>
  <c r="A575" i="81" s="1"/>
  <c r="A587" i="81" s="1"/>
  <c r="A599" i="81" s="1"/>
  <c r="A611" i="81" s="1"/>
  <c r="A623" i="81" s="1"/>
  <c r="A635" i="81" s="1"/>
  <c r="A647" i="81" s="1"/>
  <c r="A659" i="81" s="1"/>
  <c r="A671" i="81" s="1"/>
  <c r="P82" i="81"/>
  <c r="N82" i="81"/>
  <c r="B82" i="81"/>
  <c r="B94" i="81" s="1"/>
  <c r="B106" i="81" s="1"/>
  <c r="B118" i="81" s="1"/>
  <c r="B130" i="81" s="1"/>
  <c r="B142" i="81" s="1"/>
  <c r="B154" i="81" s="1"/>
  <c r="B166" i="81" s="1"/>
  <c r="B178" i="81" s="1"/>
  <c r="B190" i="81" s="1"/>
  <c r="B202" i="81" s="1"/>
  <c r="B214" i="81" s="1"/>
  <c r="B226" i="81" s="1"/>
  <c r="B238" i="81" s="1"/>
  <c r="B250" i="81" s="1"/>
  <c r="B262" i="81" s="1"/>
  <c r="B274" i="81" s="1"/>
  <c r="B286" i="81" s="1"/>
  <c r="B298" i="81" s="1"/>
  <c r="B310" i="81" s="1"/>
  <c r="B322" i="81" s="1"/>
  <c r="B334" i="81" s="1"/>
  <c r="B346" i="81" s="1"/>
  <c r="B358" i="81" s="1"/>
  <c r="B370" i="81" s="1"/>
  <c r="B382" i="81" s="1"/>
  <c r="B394" i="81" s="1"/>
  <c r="B406" i="81" s="1"/>
  <c r="B418" i="81" s="1"/>
  <c r="B430" i="81" s="1"/>
  <c r="B442" i="81" s="1"/>
  <c r="B454" i="81" s="1"/>
  <c r="B466" i="81" s="1"/>
  <c r="B478" i="81" s="1"/>
  <c r="B490" i="81" s="1"/>
  <c r="B502" i="81" s="1"/>
  <c r="B514" i="81" s="1"/>
  <c r="B526" i="81" s="1"/>
  <c r="B538" i="81" s="1"/>
  <c r="B550" i="81" s="1"/>
  <c r="B562" i="81" s="1"/>
  <c r="B574" i="81" s="1"/>
  <c r="B586" i="81" s="1"/>
  <c r="B598" i="81" s="1"/>
  <c r="B610" i="81" s="1"/>
  <c r="B622" i="81" s="1"/>
  <c r="B634" i="81" s="1"/>
  <c r="B646" i="81" s="1"/>
  <c r="B658" i="81" s="1"/>
  <c r="B670" i="81" s="1"/>
  <c r="A82" i="81"/>
  <c r="A94" i="81" s="1"/>
  <c r="A106" i="81" s="1"/>
  <c r="A118" i="81" s="1"/>
  <c r="A130" i="81" s="1"/>
  <c r="A142" i="81" s="1"/>
  <c r="A154" i="81" s="1"/>
  <c r="A166" i="81" s="1"/>
  <c r="A178" i="81" s="1"/>
  <c r="A190" i="81" s="1"/>
  <c r="A202" i="81" s="1"/>
  <c r="A214" i="81" s="1"/>
  <c r="A226" i="81" s="1"/>
  <c r="A238" i="81" s="1"/>
  <c r="A250" i="81" s="1"/>
  <c r="A262" i="81" s="1"/>
  <c r="A274" i="81" s="1"/>
  <c r="A286" i="81" s="1"/>
  <c r="A298" i="81" s="1"/>
  <c r="A310" i="81" s="1"/>
  <c r="A322" i="81" s="1"/>
  <c r="A334" i="81" s="1"/>
  <c r="A346" i="81" s="1"/>
  <c r="A358" i="81" s="1"/>
  <c r="A370" i="81" s="1"/>
  <c r="A382" i="81" s="1"/>
  <c r="A394" i="81" s="1"/>
  <c r="A406" i="81" s="1"/>
  <c r="A418" i="81" s="1"/>
  <c r="A430" i="81" s="1"/>
  <c r="A442" i="81" s="1"/>
  <c r="A454" i="81" s="1"/>
  <c r="A466" i="81" s="1"/>
  <c r="A478" i="81" s="1"/>
  <c r="A490" i="81" s="1"/>
  <c r="A502" i="81" s="1"/>
  <c r="A514" i="81" s="1"/>
  <c r="A526" i="81" s="1"/>
  <c r="A538" i="81" s="1"/>
  <c r="A550" i="81" s="1"/>
  <c r="A562" i="81" s="1"/>
  <c r="A574" i="81" s="1"/>
  <c r="A586" i="81" s="1"/>
  <c r="A598" i="81" s="1"/>
  <c r="A610" i="81" s="1"/>
  <c r="A622" i="81" s="1"/>
  <c r="A634" i="81" s="1"/>
  <c r="A646" i="81" s="1"/>
  <c r="A658" i="81" s="1"/>
  <c r="A670" i="81" s="1"/>
  <c r="P81" i="81"/>
  <c r="N81" i="81"/>
  <c r="B81" i="81"/>
  <c r="B93" i="81" s="1"/>
  <c r="B105" i="81" s="1"/>
  <c r="B117" i="81" s="1"/>
  <c r="B129" i="81" s="1"/>
  <c r="B141" i="81" s="1"/>
  <c r="B153" i="81" s="1"/>
  <c r="B165" i="81" s="1"/>
  <c r="B177" i="81" s="1"/>
  <c r="B189" i="81" s="1"/>
  <c r="B201" i="81" s="1"/>
  <c r="B213" i="81" s="1"/>
  <c r="B225" i="81" s="1"/>
  <c r="B237" i="81" s="1"/>
  <c r="B249" i="81" s="1"/>
  <c r="B261" i="81" s="1"/>
  <c r="B273" i="81" s="1"/>
  <c r="B285" i="81" s="1"/>
  <c r="B297" i="81" s="1"/>
  <c r="B309" i="81" s="1"/>
  <c r="B321" i="81" s="1"/>
  <c r="B333" i="81" s="1"/>
  <c r="B345" i="81" s="1"/>
  <c r="B357" i="81" s="1"/>
  <c r="B369" i="81" s="1"/>
  <c r="B381" i="81" s="1"/>
  <c r="B393" i="81" s="1"/>
  <c r="B405" i="81" s="1"/>
  <c r="B417" i="81" s="1"/>
  <c r="B429" i="81" s="1"/>
  <c r="B441" i="81" s="1"/>
  <c r="B453" i="81" s="1"/>
  <c r="B465" i="81" s="1"/>
  <c r="B477" i="81" s="1"/>
  <c r="B489" i="81" s="1"/>
  <c r="B501" i="81" s="1"/>
  <c r="B513" i="81" s="1"/>
  <c r="B525" i="81" s="1"/>
  <c r="B537" i="81" s="1"/>
  <c r="B549" i="81" s="1"/>
  <c r="B561" i="81" s="1"/>
  <c r="B573" i="81" s="1"/>
  <c r="B585" i="81" s="1"/>
  <c r="B597" i="81" s="1"/>
  <c r="B609" i="81" s="1"/>
  <c r="B621" i="81" s="1"/>
  <c r="B633" i="81" s="1"/>
  <c r="B645" i="81" s="1"/>
  <c r="B657" i="81" s="1"/>
  <c r="B669" i="81" s="1"/>
  <c r="A81" i="81"/>
  <c r="A93" i="81" s="1"/>
  <c r="A105" i="81" s="1"/>
  <c r="A117" i="81" s="1"/>
  <c r="A129" i="81" s="1"/>
  <c r="A141" i="81" s="1"/>
  <c r="A153" i="81" s="1"/>
  <c r="A165" i="81" s="1"/>
  <c r="A177" i="81" s="1"/>
  <c r="A189" i="81" s="1"/>
  <c r="A201" i="81" s="1"/>
  <c r="A213" i="81" s="1"/>
  <c r="A225" i="81" s="1"/>
  <c r="A237" i="81" s="1"/>
  <c r="A249" i="81" s="1"/>
  <c r="A261" i="81" s="1"/>
  <c r="A273" i="81" s="1"/>
  <c r="A285" i="81" s="1"/>
  <c r="A297" i="81" s="1"/>
  <c r="A309" i="81" s="1"/>
  <c r="A321" i="81" s="1"/>
  <c r="A333" i="81" s="1"/>
  <c r="A345" i="81" s="1"/>
  <c r="A357" i="81" s="1"/>
  <c r="A369" i="81" s="1"/>
  <c r="A381" i="81" s="1"/>
  <c r="A393" i="81" s="1"/>
  <c r="A405" i="81" s="1"/>
  <c r="A417" i="81" s="1"/>
  <c r="A429" i="81" s="1"/>
  <c r="A441" i="81" s="1"/>
  <c r="A453" i="81" s="1"/>
  <c r="A465" i="81" s="1"/>
  <c r="A477" i="81" s="1"/>
  <c r="A489" i="81" s="1"/>
  <c r="A501" i="81" s="1"/>
  <c r="A513" i="81" s="1"/>
  <c r="A525" i="81" s="1"/>
  <c r="A537" i="81" s="1"/>
  <c r="A549" i="81" s="1"/>
  <c r="A561" i="81" s="1"/>
  <c r="A573" i="81" s="1"/>
  <c r="A585" i="81" s="1"/>
  <c r="A597" i="81" s="1"/>
  <c r="A609" i="81" s="1"/>
  <c r="A621" i="81" s="1"/>
  <c r="A633" i="81" s="1"/>
  <c r="A645" i="81" s="1"/>
  <c r="A657" i="81" s="1"/>
  <c r="A669" i="81" s="1"/>
  <c r="P80" i="81"/>
  <c r="N80" i="81"/>
  <c r="B80" i="81"/>
  <c r="B92" i="81" s="1"/>
  <c r="B104" i="81" s="1"/>
  <c r="B116" i="81" s="1"/>
  <c r="B128" i="81" s="1"/>
  <c r="B140" i="81" s="1"/>
  <c r="B152" i="81" s="1"/>
  <c r="B164" i="81" s="1"/>
  <c r="B176" i="81" s="1"/>
  <c r="B188" i="81" s="1"/>
  <c r="B200" i="81" s="1"/>
  <c r="B212" i="81" s="1"/>
  <c r="B224" i="81" s="1"/>
  <c r="B236" i="81" s="1"/>
  <c r="B248" i="81" s="1"/>
  <c r="B260" i="81" s="1"/>
  <c r="B272" i="81" s="1"/>
  <c r="B284" i="81" s="1"/>
  <c r="B296" i="81" s="1"/>
  <c r="B308" i="81" s="1"/>
  <c r="B320" i="81" s="1"/>
  <c r="B332" i="81" s="1"/>
  <c r="B344" i="81" s="1"/>
  <c r="B356" i="81" s="1"/>
  <c r="B368" i="81" s="1"/>
  <c r="B380" i="81" s="1"/>
  <c r="B392" i="81" s="1"/>
  <c r="B404" i="81" s="1"/>
  <c r="B416" i="81" s="1"/>
  <c r="B428" i="81" s="1"/>
  <c r="B440" i="81" s="1"/>
  <c r="B452" i="81" s="1"/>
  <c r="B464" i="81" s="1"/>
  <c r="B476" i="81" s="1"/>
  <c r="B488" i="81" s="1"/>
  <c r="B500" i="81" s="1"/>
  <c r="B512" i="81" s="1"/>
  <c r="B524" i="81" s="1"/>
  <c r="B536" i="81" s="1"/>
  <c r="B548" i="81" s="1"/>
  <c r="B560" i="81" s="1"/>
  <c r="B572" i="81" s="1"/>
  <c r="B584" i="81" s="1"/>
  <c r="B596" i="81" s="1"/>
  <c r="B608" i="81" s="1"/>
  <c r="B620" i="81" s="1"/>
  <c r="B632" i="81" s="1"/>
  <c r="B644" i="81" s="1"/>
  <c r="B656" i="81" s="1"/>
  <c r="B668" i="81" s="1"/>
  <c r="A80" i="81"/>
  <c r="A92" i="81" s="1"/>
  <c r="A104" i="81" s="1"/>
  <c r="A116" i="81" s="1"/>
  <c r="A128" i="81" s="1"/>
  <c r="A140" i="81" s="1"/>
  <c r="A152" i="81" s="1"/>
  <c r="A164" i="81" s="1"/>
  <c r="A176" i="81" s="1"/>
  <c r="A188" i="81" s="1"/>
  <c r="A200" i="81" s="1"/>
  <c r="A212" i="81" s="1"/>
  <c r="A224" i="81" s="1"/>
  <c r="A236" i="81" s="1"/>
  <c r="A248" i="81" s="1"/>
  <c r="A260" i="81" s="1"/>
  <c r="A272" i="81" s="1"/>
  <c r="A284" i="81" s="1"/>
  <c r="A296" i="81" s="1"/>
  <c r="A308" i="81" s="1"/>
  <c r="A320" i="81" s="1"/>
  <c r="A332" i="81" s="1"/>
  <c r="A344" i="81" s="1"/>
  <c r="A356" i="81" s="1"/>
  <c r="A368" i="81" s="1"/>
  <c r="A380" i="81" s="1"/>
  <c r="A392" i="81" s="1"/>
  <c r="A404" i="81" s="1"/>
  <c r="A416" i="81" s="1"/>
  <c r="A428" i="81" s="1"/>
  <c r="A440" i="81" s="1"/>
  <c r="A452" i="81" s="1"/>
  <c r="A464" i="81" s="1"/>
  <c r="A476" i="81" s="1"/>
  <c r="A488" i="81" s="1"/>
  <c r="A500" i="81" s="1"/>
  <c r="A512" i="81" s="1"/>
  <c r="A524" i="81" s="1"/>
  <c r="A536" i="81" s="1"/>
  <c r="A548" i="81" s="1"/>
  <c r="A560" i="81" s="1"/>
  <c r="A572" i="81" s="1"/>
  <c r="A584" i="81" s="1"/>
  <c r="A596" i="81" s="1"/>
  <c r="A608" i="81" s="1"/>
  <c r="A620" i="81" s="1"/>
  <c r="A632" i="81" s="1"/>
  <c r="A644" i="81" s="1"/>
  <c r="A656" i="81" s="1"/>
  <c r="A668" i="81" s="1"/>
  <c r="P79" i="81"/>
  <c r="N79" i="81"/>
  <c r="B79" i="81"/>
  <c r="B91" i="81" s="1"/>
  <c r="B103" i="81" s="1"/>
  <c r="B115" i="81" s="1"/>
  <c r="B127" i="81" s="1"/>
  <c r="B139" i="81" s="1"/>
  <c r="B151" i="81" s="1"/>
  <c r="B163" i="81" s="1"/>
  <c r="B175" i="81" s="1"/>
  <c r="B187" i="81" s="1"/>
  <c r="B199" i="81" s="1"/>
  <c r="B211" i="81" s="1"/>
  <c r="B223" i="81" s="1"/>
  <c r="B235" i="81" s="1"/>
  <c r="B247" i="81" s="1"/>
  <c r="B259" i="81" s="1"/>
  <c r="B271" i="81" s="1"/>
  <c r="B283" i="81" s="1"/>
  <c r="B295" i="81" s="1"/>
  <c r="B307" i="81" s="1"/>
  <c r="B319" i="81" s="1"/>
  <c r="B331" i="81" s="1"/>
  <c r="B343" i="81" s="1"/>
  <c r="B355" i="81" s="1"/>
  <c r="B367" i="81" s="1"/>
  <c r="B379" i="81" s="1"/>
  <c r="B391" i="81" s="1"/>
  <c r="B403" i="81" s="1"/>
  <c r="B415" i="81" s="1"/>
  <c r="B427" i="81" s="1"/>
  <c r="B439" i="81" s="1"/>
  <c r="B451" i="81" s="1"/>
  <c r="B463" i="81" s="1"/>
  <c r="B475" i="81" s="1"/>
  <c r="B487" i="81" s="1"/>
  <c r="B499" i="81" s="1"/>
  <c r="B511" i="81" s="1"/>
  <c r="B523" i="81" s="1"/>
  <c r="B535" i="81" s="1"/>
  <c r="B547" i="81" s="1"/>
  <c r="B559" i="81" s="1"/>
  <c r="B571" i="81" s="1"/>
  <c r="B583" i="81" s="1"/>
  <c r="B595" i="81" s="1"/>
  <c r="B607" i="81" s="1"/>
  <c r="B619" i="81" s="1"/>
  <c r="B631" i="81" s="1"/>
  <c r="B643" i="81" s="1"/>
  <c r="B655" i="81" s="1"/>
  <c r="B667" i="81" s="1"/>
  <c r="A79" i="81"/>
  <c r="A91" i="81" s="1"/>
  <c r="A103" i="81" s="1"/>
  <c r="A115" i="81" s="1"/>
  <c r="A127" i="81" s="1"/>
  <c r="A139" i="81" s="1"/>
  <c r="A151" i="81" s="1"/>
  <c r="A163" i="81" s="1"/>
  <c r="A175" i="81" s="1"/>
  <c r="A187" i="81" s="1"/>
  <c r="A199" i="81" s="1"/>
  <c r="A211" i="81" s="1"/>
  <c r="A223" i="81" s="1"/>
  <c r="A235" i="81" s="1"/>
  <c r="A247" i="81" s="1"/>
  <c r="A259" i="81" s="1"/>
  <c r="A271" i="81" s="1"/>
  <c r="A283" i="81" s="1"/>
  <c r="A295" i="81" s="1"/>
  <c r="A307" i="81" s="1"/>
  <c r="A319" i="81" s="1"/>
  <c r="A331" i="81" s="1"/>
  <c r="A343" i="81" s="1"/>
  <c r="A355" i="81" s="1"/>
  <c r="A367" i="81" s="1"/>
  <c r="A379" i="81" s="1"/>
  <c r="A391" i="81" s="1"/>
  <c r="A403" i="81" s="1"/>
  <c r="A415" i="81" s="1"/>
  <c r="A427" i="81" s="1"/>
  <c r="A439" i="81" s="1"/>
  <c r="A451" i="81" s="1"/>
  <c r="A463" i="81" s="1"/>
  <c r="A475" i="81" s="1"/>
  <c r="A487" i="81" s="1"/>
  <c r="A499" i="81" s="1"/>
  <c r="A511" i="81" s="1"/>
  <c r="A523" i="81" s="1"/>
  <c r="A535" i="81" s="1"/>
  <c r="A547" i="81" s="1"/>
  <c r="A559" i="81" s="1"/>
  <c r="A571" i="81" s="1"/>
  <c r="A583" i="81" s="1"/>
  <c r="A595" i="81" s="1"/>
  <c r="A607" i="81" s="1"/>
  <c r="A619" i="81" s="1"/>
  <c r="A631" i="81" s="1"/>
  <c r="A643" i="81" s="1"/>
  <c r="A655" i="81" s="1"/>
  <c r="A667" i="81" s="1"/>
  <c r="P78" i="81"/>
  <c r="N78" i="81"/>
  <c r="B78" i="81"/>
  <c r="B90" i="81" s="1"/>
  <c r="B102" i="81" s="1"/>
  <c r="B114" i="81" s="1"/>
  <c r="B126" i="81" s="1"/>
  <c r="B138" i="81" s="1"/>
  <c r="B150" i="81" s="1"/>
  <c r="B162" i="81" s="1"/>
  <c r="B174" i="81" s="1"/>
  <c r="B186" i="81" s="1"/>
  <c r="B198" i="81" s="1"/>
  <c r="B210" i="81" s="1"/>
  <c r="B222" i="81" s="1"/>
  <c r="B234" i="81" s="1"/>
  <c r="B246" i="81" s="1"/>
  <c r="B258" i="81" s="1"/>
  <c r="B270" i="81" s="1"/>
  <c r="B282" i="81" s="1"/>
  <c r="B294" i="81" s="1"/>
  <c r="B306" i="81" s="1"/>
  <c r="B318" i="81" s="1"/>
  <c r="B330" i="81" s="1"/>
  <c r="B342" i="81" s="1"/>
  <c r="B354" i="81" s="1"/>
  <c r="B366" i="81" s="1"/>
  <c r="B378" i="81" s="1"/>
  <c r="B390" i="81" s="1"/>
  <c r="B402" i="81" s="1"/>
  <c r="B414" i="81" s="1"/>
  <c r="B426" i="81" s="1"/>
  <c r="B438" i="81" s="1"/>
  <c r="B450" i="81" s="1"/>
  <c r="B462" i="81" s="1"/>
  <c r="B474" i="81" s="1"/>
  <c r="B486" i="81" s="1"/>
  <c r="B498" i="81" s="1"/>
  <c r="B510" i="81" s="1"/>
  <c r="B522" i="81" s="1"/>
  <c r="B534" i="81" s="1"/>
  <c r="B546" i="81" s="1"/>
  <c r="B558" i="81" s="1"/>
  <c r="B570" i="81" s="1"/>
  <c r="B582" i="81" s="1"/>
  <c r="B594" i="81" s="1"/>
  <c r="B606" i="81" s="1"/>
  <c r="B618" i="81" s="1"/>
  <c r="B630" i="81" s="1"/>
  <c r="B642" i="81" s="1"/>
  <c r="B654" i="81" s="1"/>
  <c r="B666" i="81" s="1"/>
  <c r="A78" i="81"/>
  <c r="A90" i="81" s="1"/>
  <c r="A102" i="81" s="1"/>
  <c r="A114" i="81" s="1"/>
  <c r="A126" i="81" s="1"/>
  <c r="A138" i="81" s="1"/>
  <c r="A150" i="81" s="1"/>
  <c r="A162" i="81" s="1"/>
  <c r="A174" i="81" s="1"/>
  <c r="A186" i="81" s="1"/>
  <c r="A198" i="81" s="1"/>
  <c r="A210" i="81" s="1"/>
  <c r="A222" i="81" s="1"/>
  <c r="A234" i="81" s="1"/>
  <c r="A246" i="81" s="1"/>
  <c r="A258" i="81" s="1"/>
  <c r="A270" i="81" s="1"/>
  <c r="A282" i="81" s="1"/>
  <c r="A294" i="81" s="1"/>
  <c r="A306" i="81" s="1"/>
  <c r="A318" i="81" s="1"/>
  <c r="A330" i="81" s="1"/>
  <c r="A342" i="81" s="1"/>
  <c r="A354" i="81" s="1"/>
  <c r="A366" i="81" s="1"/>
  <c r="A378" i="81" s="1"/>
  <c r="A390" i="81" s="1"/>
  <c r="A402" i="81" s="1"/>
  <c r="A414" i="81" s="1"/>
  <c r="A426" i="81" s="1"/>
  <c r="A438" i="81" s="1"/>
  <c r="A450" i="81" s="1"/>
  <c r="A462" i="81" s="1"/>
  <c r="A474" i="81" s="1"/>
  <c r="A486" i="81" s="1"/>
  <c r="A498" i="81" s="1"/>
  <c r="A510" i="81" s="1"/>
  <c r="A522" i="81" s="1"/>
  <c r="A534" i="81" s="1"/>
  <c r="A546" i="81" s="1"/>
  <c r="A558" i="81" s="1"/>
  <c r="A570" i="81" s="1"/>
  <c r="A582" i="81" s="1"/>
  <c r="A594" i="81" s="1"/>
  <c r="A606" i="81" s="1"/>
  <c r="A618" i="81" s="1"/>
  <c r="A630" i="81" s="1"/>
  <c r="A642" i="81" s="1"/>
  <c r="A654" i="81" s="1"/>
  <c r="A666" i="81" s="1"/>
  <c r="P77" i="81"/>
  <c r="N77" i="81"/>
  <c r="P76" i="81"/>
  <c r="N76" i="81"/>
  <c r="P75" i="81"/>
  <c r="N75" i="81"/>
  <c r="P74" i="81"/>
  <c r="N74" i="81"/>
  <c r="P73" i="81"/>
  <c r="N73" i="81"/>
  <c r="P72" i="81"/>
  <c r="N72" i="81"/>
  <c r="P71" i="81"/>
  <c r="N71" i="81"/>
  <c r="P70" i="81"/>
  <c r="N70" i="81"/>
  <c r="P69" i="81"/>
  <c r="N69" i="81"/>
  <c r="P68" i="81"/>
  <c r="N68" i="81"/>
  <c r="P67" i="81"/>
  <c r="N67" i="81"/>
  <c r="P66" i="81"/>
  <c r="N66" i="81"/>
  <c r="P65" i="81"/>
  <c r="N65" i="81"/>
  <c r="P64" i="81"/>
  <c r="N64" i="81"/>
  <c r="P63" i="81"/>
  <c r="N63" i="81"/>
  <c r="P62" i="81"/>
  <c r="N62" i="81"/>
  <c r="P61" i="81"/>
  <c r="N61" i="81"/>
  <c r="P60" i="81"/>
  <c r="N60" i="81"/>
  <c r="P59" i="81"/>
  <c r="N59" i="81"/>
  <c r="P58" i="81"/>
  <c r="N58" i="81"/>
  <c r="P57" i="81"/>
  <c r="N57" i="81"/>
  <c r="P56" i="81"/>
  <c r="N56" i="81"/>
  <c r="P55" i="81"/>
  <c r="N55" i="81"/>
  <c r="P54" i="81"/>
  <c r="N54" i="81"/>
  <c r="P53" i="81"/>
  <c r="N53" i="81"/>
  <c r="P52" i="81"/>
  <c r="N52" i="81"/>
  <c r="P51" i="81"/>
  <c r="N51" i="81"/>
  <c r="P50" i="81"/>
  <c r="N50" i="81"/>
  <c r="P49" i="81"/>
  <c r="N49" i="81"/>
  <c r="P48" i="81"/>
  <c r="N48" i="81"/>
  <c r="P47" i="81"/>
  <c r="N47" i="81"/>
  <c r="P46" i="81"/>
  <c r="N46" i="81"/>
  <c r="P45" i="81"/>
  <c r="N45" i="81"/>
  <c r="P44" i="81"/>
  <c r="N44" i="81"/>
  <c r="P43" i="81"/>
  <c r="N43" i="81"/>
  <c r="P42" i="81"/>
  <c r="N42" i="81"/>
  <c r="P41" i="81"/>
  <c r="N41" i="81"/>
  <c r="P40" i="81"/>
  <c r="N40" i="81"/>
  <c r="P39" i="81"/>
  <c r="N39" i="81"/>
  <c r="P38" i="81"/>
  <c r="N38" i="81"/>
  <c r="P37" i="81"/>
  <c r="N37" i="81"/>
  <c r="P36" i="81"/>
  <c r="N36" i="81"/>
  <c r="P35" i="81"/>
  <c r="N35" i="81"/>
  <c r="P34" i="81"/>
  <c r="N34" i="81"/>
  <c r="P33" i="81"/>
  <c r="N33" i="81"/>
  <c r="P32" i="81"/>
  <c r="N32" i="81"/>
  <c r="P31" i="81"/>
  <c r="N31" i="81"/>
  <c r="P30" i="81"/>
  <c r="N30" i="81"/>
  <c r="P29" i="81"/>
  <c r="N29" i="81"/>
  <c r="P28" i="81"/>
  <c r="N28" i="81"/>
  <c r="P27" i="81"/>
  <c r="N27" i="81"/>
  <c r="P26" i="81"/>
  <c r="N26" i="81"/>
  <c r="P25" i="81"/>
  <c r="N25" i="81"/>
  <c r="P24" i="81"/>
  <c r="N24" i="81"/>
  <c r="P23" i="81"/>
  <c r="N23" i="81"/>
  <c r="P22" i="81"/>
  <c r="N22" i="81"/>
  <c r="P21" i="81"/>
  <c r="N21" i="81"/>
  <c r="P20" i="81"/>
  <c r="N20" i="81"/>
  <c r="P19" i="81"/>
  <c r="N19" i="81"/>
  <c r="P18" i="81"/>
  <c r="N18" i="81"/>
  <c r="P17" i="81"/>
  <c r="N17" i="81"/>
  <c r="P16" i="81"/>
  <c r="N16" i="81"/>
  <c r="P15" i="81"/>
  <c r="N15" i="81"/>
  <c r="P14" i="81"/>
  <c r="N14" i="81"/>
  <c r="P13" i="81"/>
  <c r="N13" i="81"/>
  <c r="P12" i="81"/>
  <c r="N12" i="81"/>
  <c r="P11" i="81"/>
  <c r="N11" i="81"/>
  <c r="P10" i="81"/>
  <c r="N10" i="81"/>
  <c r="P9" i="81"/>
  <c r="N9" i="81"/>
  <c r="P8" i="81"/>
  <c r="N8" i="81"/>
  <c r="P7" i="81"/>
  <c r="N7" i="81"/>
  <c r="P6" i="81"/>
  <c r="N6" i="81"/>
  <c r="A174" i="79"/>
  <c r="A173" i="79"/>
  <c r="A172" i="79"/>
  <c r="M171" i="79"/>
  <c r="A171" i="79"/>
  <c r="A153" i="79"/>
  <c r="A152" i="79"/>
  <c r="M151" i="79"/>
  <c r="L151" i="79"/>
  <c r="E151" i="79"/>
  <c r="A151" i="79"/>
  <c r="M150" i="79"/>
  <c r="E150" i="79"/>
  <c r="A150" i="79"/>
  <c r="C150" i="68"/>
  <c r="B150" i="68"/>
  <c r="C149" i="68"/>
  <c r="B149" i="68"/>
  <c r="C148" i="68"/>
  <c r="B148" i="68"/>
  <c r="C147" i="68"/>
  <c r="B147" i="68"/>
  <c r="D132" i="68"/>
  <c r="C132" i="68"/>
  <c r="B132" i="68"/>
  <c r="D131" i="68"/>
  <c r="C131" i="68"/>
  <c r="B131" i="68"/>
  <c r="D130" i="68"/>
  <c r="C130" i="68"/>
  <c r="B130" i="68"/>
  <c r="D129" i="68"/>
  <c r="C129" i="68"/>
  <c r="B129" i="68"/>
  <c r="G40" i="50" l="1"/>
  <c r="M80" i="50"/>
  <c r="N208" i="69" s="1"/>
  <c r="N214" i="69" s="1"/>
  <c r="J129" i="50"/>
  <c r="K172" i="79" s="1"/>
  <c r="K175" i="79" s="1"/>
  <c r="H59" i="83"/>
  <c r="G80" i="59" s="1"/>
  <c r="H209" i="69" s="1"/>
  <c r="H214" i="69" s="1"/>
  <c r="D54" i="84"/>
  <c r="C38" i="59" s="1"/>
  <c r="D173" i="70" s="1"/>
  <c r="D175" i="70" s="1"/>
  <c r="J67" i="84"/>
  <c r="I128" i="59" s="1"/>
  <c r="J173" i="79" s="1"/>
  <c r="J175" i="79" s="1"/>
  <c r="C40" i="50"/>
  <c r="J83" i="50"/>
  <c r="K238" i="69" s="1"/>
  <c r="K244" i="69" s="1"/>
  <c r="E129" i="50"/>
  <c r="F172" i="79" s="1"/>
  <c r="F175" i="79" s="1"/>
  <c r="E67" i="83"/>
  <c r="D125" i="59" s="1"/>
  <c r="E152" i="79" s="1"/>
  <c r="E154" i="79" s="1"/>
  <c r="D59" i="84"/>
  <c r="C83" i="59" s="1"/>
  <c r="D239" i="69" s="1"/>
  <c r="D244" i="69" s="1"/>
  <c r="F55" i="73"/>
  <c r="I54" i="74"/>
  <c r="J35" i="50"/>
  <c r="K151" i="70" s="1"/>
  <c r="K154" i="70" s="1"/>
  <c r="H38" i="50"/>
  <c r="I172" i="70" s="1"/>
  <c r="I175" i="70" s="1"/>
  <c r="H41" i="50"/>
  <c r="F83" i="50"/>
  <c r="G238" i="69" s="1"/>
  <c r="G244" i="69" s="1"/>
  <c r="M67" i="83"/>
  <c r="L125" i="59" s="1"/>
  <c r="M152" i="79" s="1"/>
  <c r="M154" i="79" s="1"/>
  <c r="H59" i="84"/>
  <c r="G83" i="59" s="1"/>
  <c r="H239" i="69" s="1"/>
  <c r="H244" i="69" s="1"/>
  <c r="N55" i="73"/>
  <c r="L54" i="74"/>
  <c r="F41" i="50"/>
  <c r="L129" i="50"/>
  <c r="M172" i="79" s="1"/>
  <c r="M175" i="79" s="1"/>
  <c r="I67" i="84"/>
  <c r="H128" i="59" s="1"/>
  <c r="I173" i="79" s="1"/>
  <c r="I175" i="79" s="1"/>
  <c r="E54" i="74"/>
  <c r="M54" i="74"/>
  <c r="L41" i="50"/>
  <c r="D41" i="50"/>
  <c r="J41" i="50"/>
  <c r="H55" i="73"/>
  <c r="J55" i="73"/>
  <c r="D55" i="73"/>
  <c r="L55" i="73"/>
  <c r="B83" i="50"/>
  <c r="C238" i="69" s="1"/>
  <c r="H54" i="84"/>
  <c r="G38" i="59" s="1"/>
  <c r="H173" i="70" s="1"/>
  <c r="H175" i="70" s="1"/>
  <c r="L59" i="84"/>
  <c r="K83" i="59" s="1"/>
  <c r="L239" i="69" s="1"/>
  <c r="L244" i="69" s="1"/>
  <c r="N67" i="84"/>
  <c r="M128" i="59" s="1"/>
  <c r="N173" i="79" s="1"/>
  <c r="J38" i="50"/>
  <c r="K172" i="70" s="1"/>
  <c r="L54" i="84"/>
  <c r="K38" i="59" s="1"/>
  <c r="L173" i="70" s="1"/>
  <c r="L175" i="70" s="1"/>
  <c r="N80" i="60"/>
  <c r="O80" i="60" s="1"/>
  <c r="T210" i="69" s="1"/>
  <c r="I35" i="50"/>
  <c r="J151" i="70" s="1"/>
  <c r="J154" i="70" s="1"/>
  <c r="I80" i="50"/>
  <c r="J208" i="69" s="1"/>
  <c r="J214" i="69" s="1"/>
  <c r="M126" i="50"/>
  <c r="N151" i="79" s="1"/>
  <c r="E126" i="50"/>
  <c r="F151" i="79" s="1"/>
  <c r="H67" i="83"/>
  <c r="G125" i="59" s="1"/>
  <c r="H152" i="79" s="1"/>
  <c r="I126" i="50"/>
  <c r="J151" i="79" s="1"/>
  <c r="F126" i="50"/>
  <c r="G151" i="79" s="1"/>
  <c r="F35" i="50"/>
  <c r="G151" i="70" s="1"/>
  <c r="G154" i="70" s="1"/>
  <c r="E80" i="50"/>
  <c r="F208" i="69" s="1"/>
  <c r="F214" i="69" s="1"/>
  <c r="J126" i="50"/>
  <c r="K151" i="79" s="1"/>
  <c r="I67" i="83"/>
  <c r="H125" i="59" s="1"/>
  <c r="I152" i="79" s="1"/>
  <c r="T237" i="69"/>
  <c r="J40" i="50"/>
  <c r="F40" i="50"/>
  <c r="M40" i="50"/>
  <c r="I40" i="50"/>
  <c r="E40" i="50"/>
  <c r="F54" i="75"/>
  <c r="J54" i="75"/>
  <c r="N54" i="75"/>
  <c r="K41" i="50"/>
  <c r="G41" i="50"/>
  <c r="C41" i="50"/>
  <c r="J39" i="50"/>
  <c r="F39" i="50"/>
  <c r="E55" i="73"/>
  <c r="I55" i="73"/>
  <c r="M55" i="73"/>
  <c r="N83" i="60"/>
  <c r="O83" i="60" s="1"/>
  <c r="T240" i="69" s="1"/>
  <c r="C172" i="79"/>
  <c r="N128" i="60"/>
  <c r="O128" i="60" s="1"/>
  <c r="T174" i="79" s="1"/>
  <c r="M38" i="50"/>
  <c r="N172" i="70" s="1"/>
  <c r="D67" i="84"/>
  <c r="C128" i="59" s="1"/>
  <c r="D173" i="79" s="1"/>
  <c r="E83" i="50"/>
  <c r="F238" i="69" s="1"/>
  <c r="F59" i="84"/>
  <c r="E83" i="59" s="1"/>
  <c r="F239" i="69" s="1"/>
  <c r="I83" i="50"/>
  <c r="J238" i="69" s="1"/>
  <c r="J59" i="84"/>
  <c r="I83" i="59" s="1"/>
  <c r="J239" i="69" s="1"/>
  <c r="M83" i="50"/>
  <c r="N238" i="69" s="1"/>
  <c r="N59" i="84"/>
  <c r="M83" i="59" s="1"/>
  <c r="N239" i="69" s="1"/>
  <c r="L38" i="50"/>
  <c r="M172" i="70" s="1"/>
  <c r="M175" i="70" s="1"/>
  <c r="F38" i="50"/>
  <c r="G172" i="70" s="1"/>
  <c r="G175" i="70" s="1"/>
  <c r="D83" i="50"/>
  <c r="E238" i="69" s="1"/>
  <c r="D129" i="50"/>
  <c r="E172" i="79" s="1"/>
  <c r="E54" i="84"/>
  <c r="D38" i="59" s="1"/>
  <c r="E173" i="70" s="1"/>
  <c r="E175" i="70" s="1"/>
  <c r="I59" i="84"/>
  <c r="H83" i="59" s="1"/>
  <c r="I239" i="69" s="1"/>
  <c r="E38" i="50"/>
  <c r="F172" i="70" s="1"/>
  <c r="F175" i="70" s="1"/>
  <c r="N38" i="60"/>
  <c r="O38" i="60" s="1"/>
  <c r="T174" i="70" s="1"/>
  <c r="C240" i="69"/>
  <c r="R240" i="69" s="1"/>
  <c r="L67" i="84"/>
  <c r="K128" i="59" s="1"/>
  <c r="L173" i="79" s="1"/>
  <c r="P66" i="84"/>
  <c r="P68" i="84"/>
  <c r="C67" i="84"/>
  <c r="B128" i="59" s="1"/>
  <c r="B38" i="50"/>
  <c r="C172" i="70" s="1"/>
  <c r="I38" i="50"/>
  <c r="J172" i="70" s="1"/>
  <c r="L83" i="50"/>
  <c r="M238" i="69" s="1"/>
  <c r="F129" i="50"/>
  <c r="G172" i="79" s="1"/>
  <c r="C239" i="69"/>
  <c r="H67" i="84"/>
  <c r="G128" i="59" s="1"/>
  <c r="H173" i="79" s="1"/>
  <c r="M35" i="50"/>
  <c r="N151" i="70" s="1"/>
  <c r="N154" i="70" s="1"/>
  <c r="E35" i="50"/>
  <c r="F151" i="70" s="1"/>
  <c r="F154" i="70" s="1"/>
  <c r="N125" i="60"/>
  <c r="O125" i="60" s="1"/>
  <c r="C210" i="69"/>
  <c r="D67" i="83"/>
  <c r="C125" i="59" s="1"/>
  <c r="D152" i="79" s="1"/>
  <c r="L67" i="83"/>
  <c r="K125" i="59" s="1"/>
  <c r="L152" i="79" s="1"/>
  <c r="C152" i="70"/>
  <c r="C154" i="70" s="1"/>
  <c r="L80" i="50"/>
  <c r="M208" i="69" s="1"/>
  <c r="M214" i="69" s="1"/>
  <c r="D80" i="50"/>
  <c r="E208" i="69" s="1"/>
  <c r="D59" i="83"/>
  <c r="C80" i="59" s="1"/>
  <c r="D209" i="69" s="1"/>
  <c r="D214" i="69" s="1"/>
  <c r="C209" i="69"/>
  <c r="D35" i="50"/>
  <c r="E151" i="70" s="1"/>
  <c r="E54" i="83"/>
  <c r="D35" i="59" s="1"/>
  <c r="E152" i="70" s="1"/>
  <c r="H35" i="50"/>
  <c r="I151" i="70" s="1"/>
  <c r="I54" i="83"/>
  <c r="H35" i="59" s="1"/>
  <c r="I152" i="70" s="1"/>
  <c r="L35" i="50"/>
  <c r="M151" i="70" s="1"/>
  <c r="M54" i="83"/>
  <c r="L35" i="59" s="1"/>
  <c r="M152" i="70" s="1"/>
  <c r="P66" i="83"/>
  <c r="P68" i="83"/>
  <c r="C67" i="83"/>
  <c r="B125" i="59" s="1"/>
  <c r="H80" i="50"/>
  <c r="I208" i="69" s="1"/>
  <c r="I214" i="69" s="1"/>
  <c r="N35" i="60"/>
  <c r="O35" i="60" s="1"/>
  <c r="T153" i="70" s="1"/>
  <c r="L59" i="83"/>
  <c r="K80" i="59" s="1"/>
  <c r="L209" i="69" s="1"/>
  <c r="L214" i="69" s="1"/>
  <c r="P53" i="83"/>
  <c r="L54" i="83"/>
  <c r="K35" i="59" s="1"/>
  <c r="L152" i="70" s="1"/>
  <c r="L154" i="70" s="1"/>
  <c r="H54" i="83"/>
  <c r="G35" i="59" s="1"/>
  <c r="H152" i="70" s="1"/>
  <c r="H154" i="70" s="1"/>
  <c r="D54" i="83"/>
  <c r="C35" i="59" s="1"/>
  <c r="D152" i="70" s="1"/>
  <c r="D154" i="70" s="1"/>
  <c r="P58" i="83"/>
  <c r="B80" i="50"/>
  <c r="C208" i="69" s="1"/>
  <c r="J80" i="50"/>
  <c r="K208" i="69" s="1"/>
  <c r="F80" i="50"/>
  <c r="G208" i="69" s="1"/>
  <c r="G214" i="69" s="1"/>
  <c r="O171" i="70"/>
  <c r="R153" i="70"/>
  <c r="O150" i="70"/>
  <c r="R174" i="70"/>
  <c r="O237" i="69"/>
  <c r="O207" i="69"/>
  <c r="R153" i="79"/>
  <c r="G132" i="68" s="1"/>
  <c r="R174" i="79"/>
  <c r="G150" i="68" s="1"/>
  <c r="P55" i="84"/>
  <c r="P53" i="84"/>
  <c r="P58" i="84"/>
  <c r="P60" i="84"/>
  <c r="I150" i="79"/>
  <c r="O150" i="79" s="1"/>
  <c r="G129" i="68" s="1"/>
  <c r="K24" i="83"/>
  <c r="G24" i="83"/>
  <c r="D24" i="83"/>
  <c r="H24" i="83"/>
  <c r="L24" i="83"/>
  <c r="N127" i="52"/>
  <c r="N130" i="52"/>
  <c r="O171" i="79"/>
  <c r="G147" i="68" s="1"/>
  <c r="P55" i="83"/>
  <c r="P60" i="83"/>
  <c r="N38" i="50" l="1"/>
  <c r="P67" i="83"/>
  <c r="P59" i="83"/>
  <c r="O35" i="50"/>
  <c r="T151" i="70" s="1"/>
  <c r="K175" i="70"/>
  <c r="H154" i="79"/>
  <c r="G154" i="79"/>
  <c r="F154" i="79"/>
  <c r="N175" i="79"/>
  <c r="K154" i="79"/>
  <c r="N38" i="59"/>
  <c r="O83" i="50"/>
  <c r="T238" i="69" s="1"/>
  <c r="N154" i="79"/>
  <c r="Q173" i="70"/>
  <c r="E149" i="68" s="1"/>
  <c r="J154" i="79"/>
  <c r="I154" i="79"/>
  <c r="P151" i="79"/>
  <c r="G130" i="68" s="1"/>
  <c r="N35" i="50"/>
  <c r="N126" i="50"/>
  <c r="O126" i="50"/>
  <c r="T151" i="79" s="1"/>
  <c r="M154" i="70"/>
  <c r="U150" i="70"/>
  <c r="E129" i="68"/>
  <c r="U171" i="70"/>
  <c r="E147" i="68"/>
  <c r="C244" i="69"/>
  <c r="J244" i="69"/>
  <c r="G175" i="79"/>
  <c r="D175" i="79"/>
  <c r="H175" i="79"/>
  <c r="U207" i="69"/>
  <c r="F129" i="68"/>
  <c r="U237" i="69"/>
  <c r="F147" i="68"/>
  <c r="E244" i="69"/>
  <c r="J175" i="70"/>
  <c r="N175" i="70"/>
  <c r="C175" i="70"/>
  <c r="P238" i="69"/>
  <c r="N244" i="69"/>
  <c r="F244" i="69"/>
  <c r="E175" i="79"/>
  <c r="Q239" i="69"/>
  <c r="M244" i="69"/>
  <c r="O128" i="59"/>
  <c r="T173" i="79" s="1"/>
  <c r="N128" i="59"/>
  <c r="C173" i="79"/>
  <c r="N129" i="50"/>
  <c r="P59" i="84"/>
  <c r="P172" i="79"/>
  <c r="R210" i="69"/>
  <c r="F132" i="68" s="1"/>
  <c r="P172" i="70"/>
  <c r="E148" i="68" s="1"/>
  <c r="N83" i="50"/>
  <c r="O38" i="59"/>
  <c r="T173" i="70" s="1"/>
  <c r="O129" i="50"/>
  <c r="T172" i="79" s="1"/>
  <c r="N83" i="59"/>
  <c r="L175" i="79"/>
  <c r="O38" i="50"/>
  <c r="T172" i="70" s="1"/>
  <c r="I244" i="69"/>
  <c r="O83" i="59"/>
  <c r="T239" i="69" s="1"/>
  <c r="P151" i="70"/>
  <c r="D154" i="79"/>
  <c r="E154" i="70"/>
  <c r="Q209" i="69"/>
  <c r="F131" i="68" s="1"/>
  <c r="P208" i="69"/>
  <c r="F130" i="68" s="1"/>
  <c r="L154" i="79"/>
  <c r="Q152" i="70"/>
  <c r="I154" i="70"/>
  <c r="C214" i="69"/>
  <c r="K214" i="69"/>
  <c r="N80" i="50"/>
  <c r="O35" i="59"/>
  <c r="T152" i="70" s="1"/>
  <c r="N80" i="59"/>
  <c r="P54" i="83"/>
  <c r="O80" i="50"/>
  <c r="T208" i="69" s="1"/>
  <c r="E214" i="69"/>
  <c r="O80" i="59"/>
  <c r="T209" i="69" s="1"/>
  <c r="N125" i="59"/>
  <c r="O125" i="59"/>
  <c r="T152" i="79" s="1"/>
  <c r="C152" i="79"/>
  <c r="N35" i="59"/>
  <c r="U240" i="69"/>
  <c r="F150" i="68"/>
  <c r="U153" i="70"/>
  <c r="E132" i="68"/>
  <c r="U174" i="70"/>
  <c r="E150" i="68"/>
  <c r="U174" i="79"/>
  <c r="P67" i="84"/>
  <c r="P54" i="84"/>
  <c r="T171" i="79"/>
  <c r="U171" i="79" s="1"/>
  <c r="T150" i="79"/>
  <c r="U150" i="79" s="1"/>
  <c r="U173" i="70" l="1"/>
  <c r="U151" i="70"/>
  <c r="U238" i="69"/>
  <c r="U151" i="79"/>
  <c r="U172" i="79"/>
  <c r="U210" i="69"/>
  <c r="G148" i="68"/>
  <c r="U172" i="70"/>
  <c r="E130" i="68"/>
  <c r="U208" i="69"/>
  <c r="U239" i="69"/>
  <c r="F148" i="68"/>
  <c r="Q173" i="79"/>
  <c r="C175" i="79"/>
  <c r="U209" i="69"/>
  <c r="U152" i="70"/>
  <c r="E131" i="68"/>
  <c r="Q152" i="79"/>
  <c r="C154" i="79"/>
  <c r="C27" i="23"/>
  <c r="N29" i="39"/>
  <c r="D29" i="39"/>
  <c r="E29" i="39"/>
  <c r="F29" i="39"/>
  <c r="G29" i="39"/>
  <c r="H29" i="39"/>
  <c r="I29" i="39"/>
  <c r="J29" i="39"/>
  <c r="K29" i="39"/>
  <c r="L29" i="39"/>
  <c r="M29" i="39"/>
  <c r="C29" i="39"/>
  <c r="G149" i="68" l="1"/>
  <c r="U173" i="79"/>
  <c r="G131" i="68"/>
  <c r="U152" i="79"/>
  <c r="O144" i="78" l="1"/>
  <c r="N144" i="78"/>
  <c r="M144" i="78"/>
  <c r="L144" i="78"/>
  <c r="K144" i="78"/>
  <c r="J144" i="78"/>
  <c r="I144" i="78"/>
  <c r="H144" i="78"/>
  <c r="G144" i="78"/>
  <c r="F144" i="78"/>
  <c r="E144" i="78"/>
  <c r="D144" i="78"/>
  <c r="O108" i="78"/>
  <c r="N108" i="78"/>
  <c r="M108" i="78"/>
  <c r="L108" i="78"/>
  <c r="K108" i="78"/>
  <c r="J108" i="78"/>
  <c r="I108" i="78"/>
  <c r="H108" i="78"/>
  <c r="G108" i="78"/>
  <c r="F108" i="78"/>
  <c r="E108" i="78"/>
  <c r="D108" i="78"/>
  <c r="O102" i="78"/>
  <c r="N102" i="78"/>
  <c r="M102" i="78"/>
  <c r="L102" i="78"/>
  <c r="K102" i="78"/>
  <c r="J102" i="78"/>
  <c r="I102" i="78"/>
  <c r="H102" i="78"/>
  <c r="G102" i="78"/>
  <c r="F102" i="78"/>
  <c r="E102" i="78"/>
  <c r="D102" i="78"/>
  <c r="O96" i="78"/>
  <c r="N96" i="78"/>
  <c r="M96" i="78"/>
  <c r="L96" i="78"/>
  <c r="K96" i="78"/>
  <c r="J96" i="78"/>
  <c r="I96" i="78"/>
  <c r="H96" i="78"/>
  <c r="G96" i="78"/>
  <c r="F96" i="78"/>
  <c r="E96" i="78"/>
  <c r="D96" i="78"/>
  <c r="O90" i="78"/>
  <c r="N90" i="78"/>
  <c r="M90" i="78"/>
  <c r="L90" i="78"/>
  <c r="K90" i="78"/>
  <c r="J90" i="78"/>
  <c r="I90" i="78"/>
  <c r="H90" i="78"/>
  <c r="G90" i="78"/>
  <c r="F90" i="78"/>
  <c r="E90" i="78"/>
  <c r="D90" i="78"/>
  <c r="O84" i="78"/>
  <c r="N84" i="78"/>
  <c r="M84" i="78"/>
  <c r="L84" i="78"/>
  <c r="K84" i="78"/>
  <c r="J84" i="78"/>
  <c r="I84" i="78"/>
  <c r="H84" i="78"/>
  <c r="G84" i="78"/>
  <c r="F84" i="78"/>
  <c r="E84" i="78"/>
  <c r="D84" i="78"/>
  <c r="O78" i="78"/>
  <c r="N78" i="78"/>
  <c r="M78" i="78"/>
  <c r="L78" i="78"/>
  <c r="K78" i="78"/>
  <c r="J78" i="78"/>
  <c r="I78" i="78"/>
  <c r="H78" i="78"/>
  <c r="G78" i="78"/>
  <c r="F78" i="78"/>
  <c r="E78" i="78"/>
  <c r="D78" i="78"/>
  <c r="O138" i="78"/>
  <c r="N138" i="78"/>
  <c r="M138" i="78"/>
  <c r="L138" i="78"/>
  <c r="K138" i="78"/>
  <c r="J138" i="78"/>
  <c r="I138" i="78"/>
  <c r="H138" i="78"/>
  <c r="G138" i="78"/>
  <c r="F138" i="78"/>
  <c r="E138" i="78"/>
  <c r="D138" i="78"/>
  <c r="O72" i="78"/>
  <c r="N72" i="78"/>
  <c r="M72" i="78"/>
  <c r="L72" i="78"/>
  <c r="K72" i="78"/>
  <c r="J72" i="78"/>
  <c r="I72" i="78"/>
  <c r="H72" i="78"/>
  <c r="G72" i="78"/>
  <c r="F72" i="78"/>
  <c r="E72" i="78"/>
  <c r="D72" i="78"/>
  <c r="O66" i="78"/>
  <c r="N66" i="78"/>
  <c r="M66" i="78"/>
  <c r="L66" i="78"/>
  <c r="K66" i="78"/>
  <c r="J66" i="78"/>
  <c r="I66" i="78"/>
  <c r="H66" i="78"/>
  <c r="G66" i="78"/>
  <c r="F66" i="78"/>
  <c r="E66" i="78"/>
  <c r="D66" i="78"/>
  <c r="O60" i="78"/>
  <c r="N60" i="78"/>
  <c r="M60" i="78"/>
  <c r="L60" i="78"/>
  <c r="K60" i="78"/>
  <c r="J60" i="78"/>
  <c r="I60" i="78"/>
  <c r="H60" i="78"/>
  <c r="G60" i="78"/>
  <c r="F60" i="78"/>
  <c r="E60" i="78"/>
  <c r="D60" i="78"/>
  <c r="O54" i="78"/>
  <c r="N54" i="78"/>
  <c r="M54" i="78"/>
  <c r="L54" i="78"/>
  <c r="K54" i="78"/>
  <c r="J54" i="78"/>
  <c r="I54" i="78"/>
  <c r="H54" i="78"/>
  <c r="G54" i="78"/>
  <c r="F54" i="78"/>
  <c r="E54" i="78"/>
  <c r="D54" i="78"/>
  <c r="O126" i="78"/>
  <c r="N126" i="78"/>
  <c r="M126" i="78"/>
  <c r="L126" i="78"/>
  <c r="K126" i="78"/>
  <c r="J126" i="78"/>
  <c r="I126" i="78"/>
  <c r="H126" i="78"/>
  <c r="G126" i="78"/>
  <c r="F126" i="78"/>
  <c r="E126" i="78"/>
  <c r="D126" i="78"/>
  <c r="O48" i="78"/>
  <c r="N48" i="78"/>
  <c r="M48" i="78"/>
  <c r="L48" i="78"/>
  <c r="K48" i="78"/>
  <c r="J48" i="78"/>
  <c r="I48" i="78"/>
  <c r="H48" i="78"/>
  <c r="G48" i="78"/>
  <c r="F48" i="78"/>
  <c r="E48" i="78"/>
  <c r="D48" i="78"/>
  <c r="O42" i="78"/>
  <c r="N42" i="78"/>
  <c r="M42" i="78"/>
  <c r="L42" i="78"/>
  <c r="K42" i="78"/>
  <c r="J42" i="78"/>
  <c r="I42" i="78"/>
  <c r="H42" i="78"/>
  <c r="G42" i="78"/>
  <c r="F42" i="78"/>
  <c r="E42" i="78"/>
  <c r="D42" i="78"/>
  <c r="O36" i="78"/>
  <c r="N36" i="78"/>
  <c r="M36" i="78"/>
  <c r="L36" i="78"/>
  <c r="K36" i="78"/>
  <c r="J36" i="78"/>
  <c r="I36" i="78"/>
  <c r="H36" i="78"/>
  <c r="G36" i="78"/>
  <c r="F36" i="78"/>
  <c r="E36" i="78"/>
  <c r="D36" i="78"/>
  <c r="O30" i="78"/>
  <c r="N30" i="78"/>
  <c r="M30" i="78"/>
  <c r="L30" i="78"/>
  <c r="K30" i="78"/>
  <c r="J30" i="78"/>
  <c r="I30" i="78"/>
  <c r="H30" i="78"/>
  <c r="G30" i="78"/>
  <c r="F30" i="78"/>
  <c r="E30" i="78"/>
  <c r="D30" i="78"/>
  <c r="O114" i="78"/>
  <c r="N114" i="78"/>
  <c r="M114" i="78"/>
  <c r="L114" i="78"/>
  <c r="K114" i="78"/>
  <c r="J114" i="78"/>
  <c r="I114" i="78"/>
  <c r="H114" i="78"/>
  <c r="G114" i="78"/>
  <c r="F114" i="78"/>
  <c r="E114" i="78"/>
  <c r="D114" i="78"/>
  <c r="O24" i="78"/>
  <c r="N24" i="78"/>
  <c r="M24" i="78"/>
  <c r="L24" i="78"/>
  <c r="K24" i="78"/>
  <c r="J24" i="78"/>
  <c r="I24" i="78"/>
  <c r="H24" i="78"/>
  <c r="G24" i="78"/>
  <c r="F24" i="78"/>
  <c r="E24" i="78"/>
  <c r="D24" i="78"/>
  <c r="O18" i="78"/>
  <c r="N18" i="78"/>
  <c r="M18" i="78"/>
  <c r="L18" i="78"/>
  <c r="K18" i="78"/>
  <c r="J18" i="78"/>
  <c r="I18" i="78"/>
  <c r="H18" i="78"/>
  <c r="G18" i="78"/>
  <c r="F18" i="78"/>
  <c r="E18" i="78"/>
  <c r="D18" i="78"/>
  <c r="O12" i="78"/>
  <c r="N12" i="78"/>
  <c r="M12" i="78"/>
  <c r="L12" i="78"/>
  <c r="K12" i="78"/>
  <c r="J12" i="78"/>
  <c r="I12" i="78"/>
  <c r="H12" i="78"/>
  <c r="G12" i="78"/>
  <c r="F12" i="78"/>
  <c r="E12" i="78"/>
  <c r="D12" i="78"/>
  <c r="A96" i="59"/>
  <c r="R123" i="59"/>
  <c r="R120" i="59"/>
  <c r="A97" i="50"/>
  <c r="B66" i="58"/>
  <c r="B62" i="74"/>
  <c r="B65" i="75"/>
  <c r="B66" i="73"/>
  <c r="B14" i="73"/>
  <c r="B15" i="73"/>
  <c r="B23" i="73"/>
  <c r="C23" i="73"/>
  <c r="B24" i="73"/>
  <c r="B53" i="73"/>
  <c r="B58" i="73"/>
  <c r="B65" i="57"/>
  <c r="B57" i="57"/>
  <c r="B52" i="57"/>
  <c r="B23" i="57"/>
  <c r="B22" i="57"/>
  <c r="B14" i="57"/>
  <c r="B13" i="57"/>
  <c r="B65" i="56"/>
  <c r="B57" i="56"/>
  <c r="B52" i="56"/>
  <c r="B23" i="56"/>
  <c r="B22" i="56"/>
  <c r="B14" i="56"/>
  <c r="B13" i="56"/>
  <c r="B65" i="55"/>
  <c r="R124" i="50"/>
  <c r="R121" i="50"/>
  <c r="L113" i="52"/>
  <c r="M76" i="79" s="1"/>
  <c r="K113" i="52"/>
  <c r="L76" i="79" s="1"/>
  <c r="H113" i="52"/>
  <c r="I76" i="79" s="1"/>
  <c r="G113" i="52"/>
  <c r="H76" i="79" s="1"/>
  <c r="D113" i="52"/>
  <c r="E76" i="79" s="1"/>
  <c r="C113" i="52"/>
  <c r="D76" i="79" s="1"/>
  <c r="B113" i="52"/>
  <c r="C76" i="79" s="1"/>
  <c r="N192" i="79"/>
  <c r="M192" i="79"/>
  <c r="L24" i="75"/>
  <c r="K192" i="79"/>
  <c r="J192" i="79"/>
  <c r="I192" i="79"/>
  <c r="H24" i="75"/>
  <c r="G192" i="79"/>
  <c r="F192" i="79"/>
  <c r="E192" i="79"/>
  <c r="D24" i="75"/>
  <c r="C192" i="79"/>
  <c r="M185" i="79"/>
  <c r="L185" i="79"/>
  <c r="K185" i="79"/>
  <c r="I185" i="79"/>
  <c r="H24" i="74"/>
  <c r="G185" i="79"/>
  <c r="E185" i="79"/>
  <c r="D185" i="79"/>
  <c r="M178" i="79"/>
  <c r="L178" i="79"/>
  <c r="K178" i="79"/>
  <c r="I178" i="79"/>
  <c r="H25" i="73"/>
  <c r="G178" i="79"/>
  <c r="E25" i="73"/>
  <c r="D25" i="73"/>
  <c r="N164" i="79"/>
  <c r="M164" i="79"/>
  <c r="L164" i="79"/>
  <c r="K164" i="79"/>
  <c r="J164" i="79"/>
  <c r="I164" i="79"/>
  <c r="H164" i="79"/>
  <c r="G164" i="79"/>
  <c r="F164" i="79"/>
  <c r="D24" i="57"/>
  <c r="N157" i="79"/>
  <c r="L25" i="58"/>
  <c r="K157" i="79"/>
  <c r="J157" i="79"/>
  <c r="H157" i="79"/>
  <c r="G157" i="79"/>
  <c r="F157" i="79"/>
  <c r="D157" i="79"/>
  <c r="N143" i="79"/>
  <c r="M143" i="79"/>
  <c r="L143" i="79"/>
  <c r="K143" i="79"/>
  <c r="J143" i="79"/>
  <c r="I143" i="79"/>
  <c r="H24" i="55"/>
  <c r="G143" i="79"/>
  <c r="F143" i="79"/>
  <c r="E143" i="79"/>
  <c r="D143" i="79"/>
  <c r="C143" i="79"/>
  <c r="N24" i="56"/>
  <c r="J24" i="56"/>
  <c r="G24" i="56"/>
  <c r="E135" i="52"/>
  <c r="C136" i="79"/>
  <c r="A98" i="52"/>
  <c r="B13" i="55"/>
  <c r="B14" i="55"/>
  <c r="B22" i="55"/>
  <c r="B23" i="55"/>
  <c r="B52" i="55"/>
  <c r="B57" i="55"/>
  <c r="B70" i="49"/>
  <c r="B62" i="49"/>
  <c r="B57" i="49"/>
  <c r="N29" i="49"/>
  <c r="M29" i="49"/>
  <c r="L29" i="49"/>
  <c r="K29" i="49"/>
  <c r="J29" i="49"/>
  <c r="I29" i="49"/>
  <c r="H29" i="49"/>
  <c r="G29" i="49"/>
  <c r="F29" i="49"/>
  <c r="E29" i="49"/>
  <c r="D29" i="49"/>
  <c r="C29" i="49"/>
  <c r="N28" i="49"/>
  <c r="M28" i="49"/>
  <c r="L28" i="49"/>
  <c r="K28" i="49"/>
  <c r="J28" i="49"/>
  <c r="I28" i="49"/>
  <c r="H28" i="49"/>
  <c r="G28" i="49"/>
  <c r="F28" i="49"/>
  <c r="E28" i="49"/>
  <c r="D28" i="49"/>
  <c r="C28" i="49"/>
  <c r="B28" i="49"/>
  <c r="N27" i="49"/>
  <c r="M27" i="49"/>
  <c r="L27" i="49"/>
  <c r="K27" i="49"/>
  <c r="J27" i="49"/>
  <c r="I27" i="49"/>
  <c r="H27" i="49"/>
  <c r="G27" i="49"/>
  <c r="F27" i="49"/>
  <c r="E27" i="49"/>
  <c r="D27" i="49"/>
  <c r="C27" i="49"/>
  <c r="B27" i="49"/>
  <c r="B19" i="49"/>
  <c r="B18" i="49"/>
  <c r="B70" i="48"/>
  <c r="B62" i="48"/>
  <c r="B57" i="48"/>
  <c r="N29" i="48"/>
  <c r="M29" i="48"/>
  <c r="L29" i="48"/>
  <c r="K29" i="48"/>
  <c r="J29" i="48"/>
  <c r="I29" i="48"/>
  <c r="H29" i="48"/>
  <c r="G29" i="48"/>
  <c r="F29" i="48"/>
  <c r="E29" i="48"/>
  <c r="D29" i="48"/>
  <c r="C29" i="48"/>
  <c r="N28" i="48"/>
  <c r="M28" i="48"/>
  <c r="L28" i="48"/>
  <c r="K28" i="48"/>
  <c r="J28" i="48"/>
  <c r="I28" i="48"/>
  <c r="H28" i="48"/>
  <c r="G28" i="48"/>
  <c r="F28" i="48"/>
  <c r="E28" i="48"/>
  <c r="D28" i="48"/>
  <c r="C28" i="48"/>
  <c r="B28" i="48"/>
  <c r="N27" i="48"/>
  <c r="M27" i="48"/>
  <c r="L27" i="48"/>
  <c r="K27" i="48"/>
  <c r="J27" i="48"/>
  <c r="I27" i="48"/>
  <c r="H27" i="48"/>
  <c r="G27" i="48"/>
  <c r="F27" i="48"/>
  <c r="E27" i="48"/>
  <c r="D27" i="48"/>
  <c r="C27" i="48"/>
  <c r="B27" i="48"/>
  <c r="B19" i="48"/>
  <c r="B18" i="48"/>
  <c r="B70" i="47"/>
  <c r="N29" i="47"/>
  <c r="M29" i="47"/>
  <c r="L29" i="47"/>
  <c r="K29" i="47"/>
  <c r="J29" i="47"/>
  <c r="I29" i="47"/>
  <c r="H29" i="47"/>
  <c r="G29" i="47"/>
  <c r="F29" i="47"/>
  <c r="E29" i="47"/>
  <c r="D29" i="47"/>
  <c r="C29" i="47"/>
  <c r="B70" i="46"/>
  <c r="N29" i="46"/>
  <c r="M29" i="46"/>
  <c r="L29" i="46"/>
  <c r="K29" i="46"/>
  <c r="J29" i="46"/>
  <c r="I29" i="46"/>
  <c r="H29" i="46"/>
  <c r="G29" i="46"/>
  <c r="F29" i="46"/>
  <c r="E29" i="46"/>
  <c r="D29" i="46"/>
  <c r="C29" i="46"/>
  <c r="B70" i="42"/>
  <c r="N29" i="42"/>
  <c r="M29" i="42"/>
  <c r="L29" i="42"/>
  <c r="K29" i="42"/>
  <c r="J29" i="42"/>
  <c r="I29" i="42"/>
  <c r="H29" i="42"/>
  <c r="G29" i="42"/>
  <c r="F29" i="42"/>
  <c r="E29" i="42"/>
  <c r="D29" i="42"/>
  <c r="C29" i="42"/>
  <c r="B70" i="41"/>
  <c r="N29" i="41"/>
  <c r="M29" i="41"/>
  <c r="L29" i="41"/>
  <c r="K29" i="41"/>
  <c r="J29" i="41"/>
  <c r="I29" i="41"/>
  <c r="H29" i="41"/>
  <c r="G29" i="41"/>
  <c r="F29" i="41"/>
  <c r="E29" i="41"/>
  <c r="D29" i="41"/>
  <c r="C29" i="41"/>
  <c r="B70" i="40"/>
  <c r="N29" i="40"/>
  <c r="M29" i="40"/>
  <c r="L29" i="40"/>
  <c r="K29" i="40"/>
  <c r="J29" i="40"/>
  <c r="I29" i="40"/>
  <c r="H29" i="40"/>
  <c r="G29" i="40"/>
  <c r="F29" i="40"/>
  <c r="E29" i="40"/>
  <c r="D29" i="40"/>
  <c r="C29" i="40"/>
  <c r="B70" i="39"/>
  <c r="M113" i="52"/>
  <c r="N76" i="79" s="1"/>
  <c r="J113" i="52"/>
  <c r="K76" i="79" s="1"/>
  <c r="I113" i="52"/>
  <c r="J76" i="79" s="1"/>
  <c r="F113" i="52"/>
  <c r="G76" i="79" s="1"/>
  <c r="E113" i="52"/>
  <c r="F76" i="79" s="1"/>
  <c r="B70" i="35"/>
  <c r="N29" i="35"/>
  <c r="M29" i="35"/>
  <c r="L29" i="35"/>
  <c r="K29" i="35"/>
  <c r="J29" i="35"/>
  <c r="I29" i="35"/>
  <c r="H29" i="35"/>
  <c r="G29" i="35"/>
  <c r="F29" i="35"/>
  <c r="E29" i="35"/>
  <c r="D29" i="35"/>
  <c r="C29" i="35"/>
  <c r="B70" i="34"/>
  <c r="N29" i="34"/>
  <c r="M29" i="34"/>
  <c r="L29" i="34"/>
  <c r="K29" i="34"/>
  <c r="J29" i="34"/>
  <c r="I29" i="34"/>
  <c r="H29" i="34"/>
  <c r="G29" i="34"/>
  <c r="F29" i="34"/>
  <c r="E29" i="34"/>
  <c r="D29" i="34"/>
  <c r="C29" i="34"/>
  <c r="B70" i="33"/>
  <c r="N29" i="33"/>
  <c r="M29" i="33"/>
  <c r="L29" i="33"/>
  <c r="K29" i="33"/>
  <c r="J29" i="33"/>
  <c r="I29" i="33"/>
  <c r="H29" i="33"/>
  <c r="G29" i="33"/>
  <c r="F29" i="33"/>
  <c r="E29" i="33"/>
  <c r="D29" i="33"/>
  <c r="C29" i="33"/>
  <c r="B71" i="32"/>
  <c r="N29" i="32"/>
  <c r="M29" i="32"/>
  <c r="L29" i="32"/>
  <c r="K29" i="32"/>
  <c r="J29" i="32"/>
  <c r="I29" i="32"/>
  <c r="H29" i="32"/>
  <c r="G29" i="32"/>
  <c r="F29" i="32"/>
  <c r="E29" i="32"/>
  <c r="D29" i="32"/>
  <c r="C29" i="32"/>
  <c r="B71" i="31"/>
  <c r="N29" i="31"/>
  <c r="M29" i="31"/>
  <c r="L29" i="31"/>
  <c r="K29" i="31"/>
  <c r="J29" i="31"/>
  <c r="I29" i="31"/>
  <c r="H29" i="31"/>
  <c r="G29" i="31"/>
  <c r="F29" i="31"/>
  <c r="E29" i="31"/>
  <c r="D29" i="31"/>
  <c r="C29" i="31"/>
  <c r="B71" i="30"/>
  <c r="N29" i="30"/>
  <c r="M29" i="30"/>
  <c r="L29" i="30"/>
  <c r="K29" i="30"/>
  <c r="J29" i="30"/>
  <c r="I29" i="30"/>
  <c r="H29" i="30"/>
  <c r="G29" i="30"/>
  <c r="F29" i="30"/>
  <c r="E29" i="30"/>
  <c r="D29" i="30"/>
  <c r="C29" i="30"/>
  <c r="N29" i="26"/>
  <c r="M29" i="26"/>
  <c r="L29" i="26"/>
  <c r="K29" i="26"/>
  <c r="J29" i="26"/>
  <c r="I29" i="26"/>
  <c r="H29" i="26"/>
  <c r="G29" i="26"/>
  <c r="F29" i="26"/>
  <c r="E29" i="26"/>
  <c r="D29" i="26"/>
  <c r="C29" i="26"/>
  <c r="B70" i="26"/>
  <c r="A96" i="60"/>
  <c r="R123" i="60"/>
  <c r="R133" i="60" s="1"/>
  <c r="R120" i="60"/>
  <c r="B5" i="79"/>
  <c r="A195" i="79"/>
  <c r="A194" i="79"/>
  <c r="A193" i="79"/>
  <c r="A192" i="79"/>
  <c r="A188" i="79"/>
  <c r="A187" i="79"/>
  <c r="A186" i="79"/>
  <c r="A185" i="79"/>
  <c r="A181" i="79"/>
  <c r="A180" i="79"/>
  <c r="A179" i="79"/>
  <c r="A178" i="79"/>
  <c r="A167" i="79"/>
  <c r="A166" i="79"/>
  <c r="A165" i="79"/>
  <c r="A164" i="79"/>
  <c r="A160" i="79"/>
  <c r="A159" i="79"/>
  <c r="A158" i="79"/>
  <c r="A157" i="79"/>
  <c r="A146" i="79"/>
  <c r="A145" i="79"/>
  <c r="A144" i="79"/>
  <c r="A143" i="79"/>
  <c r="A139" i="79"/>
  <c r="A138" i="79"/>
  <c r="A137" i="79"/>
  <c r="A136" i="79"/>
  <c r="A128" i="79"/>
  <c r="A127" i="79"/>
  <c r="A126" i="79"/>
  <c r="A125" i="79"/>
  <c r="A121" i="79"/>
  <c r="A120" i="79"/>
  <c r="A119" i="79"/>
  <c r="A118" i="79"/>
  <c r="A114" i="79"/>
  <c r="A113" i="79"/>
  <c r="A112" i="79"/>
  <c r="A111" i="79"/>
  <c r="A107" i="79"/>
  <c r="A106" i="79"/>
  <c r="A105" i="79"/>
  <c r="A104" i="79"/>
  <c r="A100" i="79"/>
  <c r="A99" i="79"/>
  <c r="A98" i="79"/>
  <c r="A97" i="79"/>
  <c r="A93" i="79"/>
  <c r="A92" i="79"/>
  <c r="A91" i="79"/>
  <c r="A90" i="79"/>
  <c r="A86" i="79"/>
  <c r="A85" i="79"/>
  <c r="A84" i="79"/>
  <c r="A83" i="79"/>
  <c r="A79" i="79"/>
  <c r="A78" i="79"/>
  <c r="A77" i="79"/>
  <c r="A76" i="79"/>
  <c r="A72" i="79"/>
  <c r="A71" i="79"/>
  <c r="A70" i="79"/>
  <c r="A69" i="79"/>
  <c r="A65" i="79"/>
  <c r="A64" i="79"/>
  <c r="A63" i="79"/>
  <c r="A62" i="79"/>
  <c r="A58" i="79"/>
  <c r="A57" i="79"/>
  <c r="A56" i="79"/>
  <c r="A55" i="79"/>
  <c r="A51" i="79"/>
  <c r="A50" i="79"/>
  <c r="A49" i="79"/>
  <c r="A48" i="79"/>
  <c r="A44" i="79"/>
  <c r="A43" i="79"/>
  <c r="A42" i="79"/>
  <c r="A41" i="79"/>
  <c r="A37" i="79"/>
  <c r="A36" i="79"/>
  <c r="A35" i="79"/>
  <c r="A34" i="79"/>
  <c r="A30" i="79"/>
  <c r="A29" i="79"/>
  <c r="A28" i="79"/>
  <c r="A27" i="79"/>
  <c r="A23" i="79"/>
  <c r="A22" i="79"/>
  <c r="A21" i="79"/>
  <c r="A20" i="79"/>
  <c r="A16" i="79"/>
  <c r="A15" i="79"/>
  <c r="A14" i="79"/>
  <c r="A13" i="79"/>
  <c r="B120" i="52" l="1"/>
  <c r="C125" i="79" s="1"/>
  <c r="F120" i="52"/>
  <c r="G125" i="79" s="1"/>
  <c r="J120" i="52"/>
  <c r="K125" i="79" s="1"/>
  <c r="C120" i="52"/>
  <c r="D125" i="79" s="1"/>
  <c r="G120" i="52"/>
  <c r="H125" i="79" s="1"/>
  <c r="K120" i="52"/>
  <c r="L125" i="79" s="1"/>
  <c r="D120" i="52"/>
  <c r="E125" i="79" s="1"/>
  <c r="H120" i="52"/>
  <c r="I125" i="79" s="1"/>
  <c r="L120" i="52"/>
  <c r="M125" i="79" s="1"/>
  <c r="E120" i="52"/>
  <c r="F125" i="79" s="1"/>
  <c r="I120" i="52"/>
  <c r="J125" i="79" s="1"/>
  <c r="M120" i="52"/>
  <c r="N125" i="79" s="1"/>
  <c r="E119" i="52"/>
  <c r="F118" i="79" s="1"/>
  <c r="I119" i="52"/>
  <c r="J118" i="79" s="1"/>
  <c r="M119" i="52"/>
  <c r="N118" i="79" s="1"/>
  <c r="B119" i="52"/>
  <c r="C118" i="79" s="1"/>
  <c r="F119" i="52"/>
  <c r="G118" i="79" s="1"/>
  <c r="J119" i="52"/>
  <c r="K118" i="79" s="1"/>
  <c r="C119" i="52"/>
  <c r="D118" i="79" s="1"/>
  <c r="G119" i="52"/>
  <c r="H118" i="79" s="1"/>
  <c r="K119" i="52"/>
  <c r="L118" i="79" s="1"/>
  <c r="D119" i="52"/>
  <c r="E118" i="79" s="1"/>
  <c r="H119" i="52"/>
  <c r="I118" i="79" s="1"/>
  <c r="L119" i="52"/>
  <c r="M118" i="79" s="1"/>
  <c r="B118" i="52"/>
  <c r="C111" i="79" s="1"/>
  <c r="J118" i="52"/>
  <c r="K111" i="79" s="1"/>
  <c r="C118" i="52"/>
  <c r="D111" i="79" s="1"/>
  <c r="G118" i="52"/>
  <c r="H111" i="79" s="1"/>
  <c r="K118" i="52"/>
  <c r="L111" i="79" s="1"/>
  <c r="F118" i="52"/>
  <c r="G111" i="79" s="1"/>
  <c r="D118" i="52"/>
  <c r="E111" i="79" s="1"/>
  <c r="H118" i="52"/>
  <c r="I111" i="79" s="1"/>
  <c r="L118" i="52"/>
  <c r="M111" i="79" s="1"/>
  <c r="E118" i="52"/>
  <c r="F111" i="79" s="1"/>
  <c r="I118" i="52"/>
  <c r="J111" i="79" s="1"/>
  <c r="M118" i="52"/>
  <c r="N111" i="79" s="1"/>
  <c r="I117" i="52"/>
  <c r="J104" i="79" s="1"/>
  <c r="C117" i="52"/>
  <c r="D104" i="79" s="1"/>
  <c r="G117" i="52"/>
  <c r="H104" i="79" s="1"/>
  <c r="K117" i="52"/>
  <c r="L104" i="79" s="1"/>
  <c r="D117" i="52"/>
  <c r="E104" i="79" s="1"/>
  <c r="H117" i="52"/>
  <c r="I104" i="79" s="1"/>
  <c r="L117" i="52"/>
  <c r="M104" i="79" s="1"/>
  <c r="E117" i="52"/>
  <c r="F104" i="79" s="1"/>
  <c r="M117" i="52"/>
  <c r="N104" i="79" s="1"/>
  <c r="B117" i="52"/>
  <c r="C104" i="79" s="1"/>
  <c r="F117" i="52"/>
  <c r="G104" i="79" s="1"/>
  <c r="J117" i="52"/>
  <c r="K104" i="79" s="1"/>
  <c r="D116" i="52"/>
  <c r="E97" i="79" s="1"/>
  <c r="H116" i="52"/>
  <c r="I97" i="79" s="1"/>
  <c r="L116" i="52"/>
  <c r="M97" i="79" s="1"/>
  <c r="E116" i="52"/>
  <c r="F97" i="79" s="1"/>
  <c r="I116" i="52"/>
  <c r="J97" i="79" s="1"/>
  <c r="M116" i="52"/>
  <c r="N97" i="79" s="1"/>
  <c r="B116" i="52"/>
  <c r="C97" i="79" s="1"/>
  <c r="F116" i="52"/>
  <c r="G97" i="79" s="1"/>
  <c r="J116" i="52"/>
  <c r="K97" i="79" s="1"/>
  <c r="C116" i="52"/>
  <c r="D97" i="79" s="1"/>
  <c r="G116" i="52"/>
  <c r="H97" i="79" s="1"/>
  <c r="K116" i="52"/>
  <c r="L97" i="79" s="1"/>
  <c r="E115" i="52"/>
  <c r="F90" i="79" s="1"/>
  <c r="M115" i="52"/>
  <c r="N90" i="79" s="1"/>
  <c r="B115" i="52"/>
  <c r="C90" i="79" s="1"/>
  <c r="F115" i="52"/>
  <c r="G90" i="79" s="1"/>
  <c r="J115" i="52"/>
  <c r="K90" i="79" s="1"/>
  <c r="C115" i="52"/>
  <c r="D90" i="79" s="1"/>
  <c r="G115" i="52"/>
  <c r="H90" i="79" s="1"/>
  <c r="K115" i="52"/>
  <c r="L90" i="79" s="1"/>
  <c r="I115" i="52"/>
  <c r="J90" i="79" s="1"/>
  <c r="D115" i="52"/>
  <c r="E90" i="79" s="1"/>
  <c r="H115" i="52"/>
  <c r="I90" i="79" s="1"/>
  <c r="L115" i="52"/>
  <c r="M90" i="79" s="1"/>
  <c r="C114" i="52"/>
  <c r="D83" i="79" s="1"/>
  <c r="K114" i="52"/>
  <c r="L83" i="79" s="1"/>
  <c r="D114" i="52"/>
  <c r="E83" i="79" s="1"/>
  <c r="H114" i="52"/>
  <c r="I83" i="79" s="1"/>
  <c r="L114" i="52"/>
  <c r="M83" i="79" s="1"/>
  <c r="B114" i="52"/>
  <c r="C83" i="79" s="1"/>
  <c r="F114" i="52"/>
  <c r="G83" i="79" s="1"/>
  <c r="J114" i="52"/>
  <c r="K83" i="79" s="1"/>
  <c r="G114" i="52"/>
  <c r="H83" i="79" s="1"/>
  <c r="E114" i="52"/>
  <c r="F83" i="79" s="1"/>
  <c r="I114" i="52"/>
  <c r="J83" i="79" s="1"/>
  <c r="M114" i="52"/>
  <c r="N83" i="79" s="1"/>
  <c r="M112" i="52"/>
  <c r="N69" i="79" s="1"/>
  <c r="C112" i="52"/>
  <c r="D69" i="79" s="1"/>
  <c r="G112" i="52"/>
  <c r="H69" i="79" s="1"/>
  <c r="K112" i="52"/>
  <c r="L69" i="79" s="1"/>
  <c r="E112" i="52"/>
  <c r="F69" i="79" s="1"/>
  <c r="I112" i="52"/>
  <c r="J69" i="79" s="1"/>
  <c r="B112" i="52"/>
  <c r="C69" i="79" s="1"/>
  <c r="F112" i="52"/>
  <c r="G69" i="79" s="1"/>
  <c r="J112" i="52"/>
  <c r="K69" i="79" s="1"/>
  <c r="D112" i="52"/>
  <c r="E69" i="79" s="1"/>
  <c r="H112" i="52"/>
  <c r="I69" i="79" s="1"/>
  <c r="L112" i="52"/>
  <c r="M69" i="79" s="1"/>
  <c r="C111" i="52"/>
  <c r="D62" i="79" s="1"/>
  <c r="G111" i="52"/>
  <c r="H62" i="79" s="1"/>
  <c r="K111" i="52"/>
  <c r="L62" i="79" s="1"/>
  <c r="D111" i="52"/>
  <c r="E62" i="79" s="1"/>
  <c r="H111" i="52"/>
  <c r="I62" i="79" s="1"/>
  <c r="L111" i="52"/>
  <c r="M62" i="79" s="1"/>
  <c r="E111" i="52"/>
  <c r="F62" i="79" s="1"/>
  <c r="I111" i="52"/>
  <c r="J62" i="79" s="1"/>
  <c r="M111" i="52"/>
  <c r="N62" i="79" s="1"/>
  <c r="B111" i="52"/>
  <c r="F111" i="52"/>
  <c r="G62" i="79" s="1"/>
  <c r="J111" i="52"/>
  <c r="K62" i="79" s="1"/>
  <c r="L110" i="52"/>
  <c r="M55" i="79" s="1"/>
  <c r="C110" i="52"/>
  <c r="D55" i="79" s="1"/>
  <c r="G110" i="52"/>
  <c r="H55" i="79" s="1"/>
  <c r="K110" i="52"/>
  <c r="L55" i="79" s="1"/>
  <c r="D110" i="52"/>
  <c r="E55" i="79" s="1"/>
  <c r="I110" i="52"/>
  <c r="J55" i="79" s="1"/>
  <c r="H110" i="52"/>
  <c r="I55" i="79" s="1"/>
  <c r="E110" i="52"/>
  <c r="F55" i="79" s="1"/>
  <c r="M110" i="52"/>
  <c r="N55" i="79" s="1"/>
  <c r="B110" i="52"/>
  <c r="F110" i="52"/>
  <c r="G55" i="79" s="1"/>
  <c r="J110" i="52"/>
  <c r="K55" i="79" s="1"/>
  <c r="B109" i="52"/>
  <c r="F109" i="52"/>
  <c r="G48" i="79" s="1"/>
  <c r="J109" i="52"/>
  <c r="K48" i="79" s="1"/>
  <c r="D109" i="52"/>
  <c r="E48" i="79" s="1"/>
  <c r="H109" i="52"/>
  <c r="I48" i="79" s="1"/>
  <c r="L109" i="52"/>
  <c r="M48" i="79" s="1"/>
  <c r="E109" i="52"/>
  <c r="F48" i="79" s="1"/>
  <c r="I109" i="52"/>
  <c r="J48" i="79" s="1"/>
  <c r="M109" i="52"/>
  <c r="N48" i="79" s="1"/>
  <c r="C109" i="52"/>
  <c r="D48" i="79" s="1"/>
  <c r="G109" i="52"/>
  <c r="H48" i="79" s="1"/>
  <c r="K109" i="52"/>
  <c r="L48" i="79" s="1"/>
  <c r="E108" i="52"/>
  <c r="F41" i="79" s="1"/>
  <c r="M108" i="52"/>
  <c r="N41" i="79" s="1"/>
  <c r="C108" i="52"/>
  <c r="D41" i="79" s="1"/>
  <c r="G108" i="52"/>
  <c r="H41" i="79" s="1"/>
  <c r="K108" i="52"/>
  <c r="L41" i="79" s="1"/>
  <c r="I108" i="52"/>
  <c r="J41" i="79" s="1"/>
  <c r="B108" i="52"/>
  <c r="C41" i="79" s="1"/>
  <c r="F108" i="52"/>
  <c r="G41" i="79" s="1"/>
  <c r="J108" i="52"/>
  <c r="K41" i="79" s="1"/>
  <c r="D108" i="52"/>
  <c r="E41" i="79" s="1"/>
  <c r="H108" i="52"/>
  <c r="I41" i="79" s="1"/>
  <c r="L108" i="52"/>
  <c r="M41" i="79" s="1"/>
  <c r="C107" i="52"/>
  <c r="D34" i="79" s="1"/>
  <c r="G107" i="52"/>
  <c r="H34" i="79" s="1"/>
  <c r="K107" i="52"/>
  <c r="L34" i="79" s="1"/>
  <c r="B107" i="52"/>
  <c r="C34" i="79" s="1"/>
  <c r="J107" i="52"/>
  <c r="K34" i="79" s="1"/>
  <c r="D107" i="52"/>
  <c r="E34" i="79" s="1"/>
  <c r="H107" i="52"/>
  <c r="I34" i="79" s="1"/>
  <c r="L107" i="52"/>
  <c r="M34" i="79" s="1"/>
  <c r="F107" i="52"/>
  <c r="G34" i="79" s="1"/>
  <c r="E107" i="52"/>
  <c r="F34" i="79" s="1"/>
  <c r="I107" i="52"/>
  <c r="J34" i="79" s="1"/>
  <c r="M107" i="52"/>
  <c r="N34" i="79" s="1"/>
  <c r="B106" i="52"/>
  <c r="F106" i="52"/>
  <c r="G27" i="79" s="1"/>
  <c r="J106" i="52"/>
  <c r="K27" i="79" s="1"/>
  <c r="C106" i="52"/>
  <c r="D27" i="79" s="1"/>
  <c r="G106" i="52"/>
  <c r="H27" i="79" s="1"/>
  <c r="K106" i="52"/>
  <c r="L27" i="79" s="1"/>
  <c r="D106" i="52"/>
  <c r="E27" i="79" s="1"/>
  <c r="H106" i="52"/>
  <c r="I27" i="79" s="1"/>
  <c r="L106" i="52"/>
  <c r="M27" i="79" s="1"/>
  <c r="E106" i="52"/>
  <c r="F27" i="79" s="1"/>
  <c r="I106" i="52"/>
  <c r="J27" i="79" s="1"/>
  <c r="M106" i="52"/>
  <c r="N27" i="79" s="1"/>
  <c r="H133" i="78"/>
  <c r="N121" i="78"/>
  <c r="N133" i="78"/>
  <c r="M123" i="78"/>
  <c r="G122" i="78"/>
  <c r="G133" i="78"/>
  <c r="O135" i="78"/>
  <c r="L121" i="78"/>
  <c r="L134" i="78"/>
  <c r="I121" i="78"/>
  <c r="I133" i="78"/>
  <c r="M135" i="78"/>
  <c r="K133" i="78"/>
  <c r="J123" i="78"/>
  <c r="F134" i="78"/>
  <c r="G121" i="78"/>
  <c r="K122" i="78"/>
  <c r="O133" i="78"/>
  <c r="F123" i="78"/>
  <c r="D123" i="78"/>
  <c r="D133" i="78"/>
  <c r="M121" i="78"/>
  <c r="M133" i="78"/>
  <c r="D121" i="78"/>
  <c r="F121" i="78"/>
  <c r="F133" i="78"/>
  <c r="J135" i="78"/>
  <c r="K121" i="78"/>
  <c r="O122" i="78"/>
  <c r="G134" i="78"/>
  <c r="N123" i="78"/>
  <c r="H122" i="78"/>
  <c r="L133" i="78"/>
  <c r="I123" i="78"/>
  <c r="E135" i="78"/>
  <c r="J121" i="78"/>
  <c r="J133" i="78"/>
  <c r="N134" i="78"/>
  <c r="E123" i="78"/>
  <c r="O121" i="78"/>
  <c r="K135" i="78"/>
  <c r="H121" i="78"/>
  <c r="L122" i="78"/>
  <c r="H134" i="78"/>
  <c r="E121" i="78"/>
  <c r="E133" i="78"/>
  <c r="I135" i="78"/>
  <c r="M122" i="78"/>
  <c r="O134" i="78"/>
  <c r="F122" i="78"/>
  <c r="L135" i="78"/>
  <c r="M134" i="78"/>
  <c r="H123" i="78"/>
  <c r="H135" i="78"/>
  <c r="N122" i="78"/>
  <c r="G135" i="78"/>
  <c r="O123" i="78"/>
  <c r="I134" i="78"/>
  <c r="E134" i="78"/>
  <c r="K123" i="78"/>
  <c r="L123" i="78"/>
  <c r="E122" i="78"/>
  <c r="J134" i="78"/>
  <c r="D135" i="78"/>
  <c r="I122" i="78"/>
  <c r="K134" i="78"/>
  <c r="G123" i="78"/>
  <c r="F135" i="78"/>
  <c r="N135" i="78"/>
  <c r="J122" i="78"/>
  <c r="D122" i="78"/>
  <c r="D134" i="78"/>
  <c r="R135" i="50"/>
  <c r="R137" i="50"/>
  <c r="R133" i="59"/>
  <c r="R135" i="59" s="1"/>
  <c r="R135" i="60"/>
  <c r="C157" i="79"/>
  <c r="N128" i="52"/>
  <c r="T157" i="79" s="1"/>
  <c r="C164" i="79"/>
  <c r="N129" i="52"/>
  <c r="T164" i="79" s="1"/>
  <c r="C178" i="79"/>
  <c r="N131" i="52"/>
  <c r="T178" i="79" s="1"/>
  <c r="N132" i="52"/>
  <c r="N24" i="57"/>
  <c r="L25" i="73"/>
  <c r="D178" i="79"/>
  <c r="J24" i="57"/>
  <c r="F24" i="75"/>
  <c r="N25" i="58"/>
  <c r="L157" i="79"/>
  <c r="N136" i="79"/>
  <c r="H185" i="79"/>
  <c r="E24" i="74"/>
  <c r="F24" i="57"/>
  <c r="H25" i="58"/>
  <c r="H143" i="79"/>
  <c r="O143" i="79" s="1"/>
  <c r="G123" i="68" s="1"/>
  <c r="L192" i="79"/>
  <c r="J135" i="52"/>
  <c r="K136" i="79"/>
  <c r="C185" i="79"/>
  <c r="C24" i="55"/>
  <c r="K24" i="75"/>
  <c r="D24" i="56"/>
  <c r="D136" i="79"/>
  <c r="G135" i="52"/>
  <c r="H136" i="79"/>
  <c r="K135" i="52"/>
  <c r="L136" i="79"/>
  <c r="D24" i="55"/>
  <c r="L24" i="55"/>
  <c r="C24" i="57"/>
  <c r="G24" i="57"/>
  <c r="K24" i="57"/>
  <c r="K25" i="73"/>
  <c r="C24" i="75"/>
  <c r="J24" i="75"/>
  <c r="E24" i="75"/>
  <c r="G24" i="74"/>
  <c r="L24" i="74"/>
  <c r="D25" i="58"/>
  <c r="J25" i="58"/>
  <c r="C62" i="79"/>
  <c r="J136" i="79"/>
  <c r="D164" i="79"/>
  <c r="H178" i="79"/>
  <c r="G24" i="55"/>
  <c r="I24" i="56"/>
  <c r="I136" i="79"/>
  <c r="E25" i="58"/>
  <c r="E157" i="79"/>
  <c r="M25" i="58"/>
  <c r="M157" i="79"/>
  <c r="E24" i="55"/>
  <c r="I24" i="55"/>
  <c r="M24" i="55"/>
  <c r="H24" i="57"/>
  <c r="L24" i="57"/>
  <c r="C25" i="73"/>
  <c r="I25" i="73"/>
  <c r="N24" i="75"/>
  <c r="I24" i="75"/>
  <c r="C24" i="74"/>
  <c r="M24" i="74"/>
  <c r="F25" i="58"/>
  <c r="K25" i="58"/>
  <c r="C27" i="79"/>
  <c r="C55" i="79"/>
  <c r="F136" i="79"/>
  <c r="D192" i="79"/>
  <c r="F135" i="52"/>
  <c r="G136" i="79"/>
  <c r="K24" i="55"/>
  <c r="G25" i="73"/>
  <c r="K24" i="74"/>
  <c r="C25" i="58"/>
  <c r="N133" i="52"/>
  <c r="D135" i="52"/>
  <c r="E136" i="79"/>
  <c r="M24" i="56"/>
  <c r="M136" i="79"/>
  <c r="I25" i="58"/>
  <c r="I157" i="79"/>
  <c r="E164" i="79"/>
  <c r="E178" i="79"/>
  <c r="F25" i="73"/>
  <c r="F178" i="79"/>
  <c r="J25" i="73"/>
  <c r="J178" i="79"/>
  <c r="N25" i="73"/>
  <c r="N178" i="79"/>
  <c r="F24" i="74"/>
  <c r="F185" i="79"/>
  <c r="J24" i="74"/>
  <c r="J185" i="79"/>
  <c r="N24" i="74"/>
  <c r="N185" i="79"/>
  <c r="N115" i="52"/>
  <c r="N117" i="52"/>
  <c r="F24" i="55"/>
  <c r="J24" i="55"/>
  <c r="N24" i="55"/>
  <c r="E24" i="57"/>
  <c r="I24" i="57"/>
  <c r="M24" i="57"/>
  <c r="M25" i="73"/>
  <c r="M24" i="75"/>
  <c r="G24" i="75"/>
  <c r="D24" i="74"/>
  <c r="I24" i="74"/>
  <c r="G25" i="58"/>
  <c r="C48" i="79"/>
  <c r="H192" i="79"/>
  <c r="N113" i="52"/>
  <c r="O76" i="79"/>
  <c r="G67" i="68" s="1"/>
  <c r="L24" i="56"/>
  <c r="H24" i="56"/>
  <c r="C24" i="56"/>
  <c r="K24" i="56"/>
  <c r="I135" i="52"/>
  <c r="M135" i="52"/>
  <c r="F24" i="56"/>
  <c r="L135" i="52"/>
  <c r="E24" i="56"/>
  <c r="H135" i="52"/>
  <c r="N126" i="52"/>
  <c r="C135" i="52"/>
  <c r="N125" i="52"/>
  <c r="B135" i="52"/>
  <c r="O125" i="79" l="1"/>
  <c r="G109" i="68" s="1"/>
  <c r="N120" i="52"/>
  <c r="O118" i="79"/>
  <c r="G103" i="68" s="1"/>
  <c r="N119" i="52"/>
  <c r="O111" i="79"/>
  <c r="G97" i="68" s="1"/>
  <c r="N118" i="52"/>
  <c r="O104" i="79"/>
  <c r="G91" i="68" s="1"/>
  <c r="O97" i="79"/>
  <c r="G85" i="68" s="1"/>
  <c r="N116" i="52"/>
  <c r="O90" i="79"/>
  <c r="G79" i="68" s="1"/>
  <c r="O83" i="79"/>
  <c r="G73" i="68" s="1"/>
  <c r="N114" i="52"/>
  <c r="N112" i="52"/>
  <c r="O69" i="79"/>
  <c r="G61" i="68" s="1"/>
  <c r="O62" i="79"/>
  <c r="G55" i="68" s="1"/>
  <c r="N111" i="52"/>
  <c r="N110" i="52"/>
  <c r="O55" i="79"/>
  <c r="G49" i="68" s="1"/>
  <c r="O48" i="79"/>
  <c r="G43" i="68" s="1"/>
  <c r="N109" i="52"/>
  <c r="O41" i="79"/>
  <c r="G37" i="68" s="1"/>
  <c r="N108" i="52"/>
  <c r="N107" i="52"/>
  <c r="O34" i="79"/>
  <c r="G31" i="68" s="1"/>
  <c r="N106" i="52"/>
  <c r="O27" i="79"/>
  <c r="G25" i="68" s="1"/>
  <c r="T143" i="79"/>
  <c r="U143" i="79" s="1"/>
  <c r="T192" i="79"/>
  <c r="T136" i="79"/>
  <c r="T185" i="79"/>
  <c r="O164" i="79"/>
  <c r="G141" i="68" s="1"/>
  <c r="O192" i="79"/>
  <c r="G165" i="68" s="1"/>
  <c r="O185" i="79"/>
  <c r="G159" i="68" s="1"/>
  <c r="O178" i="79"/>
  <c r="G153" i="68" s="1"/>
  <c r="O157" i="79"/>
  <c r="G135" i="68" s="1"/>
  <c r="O136" i="79"/>
  <c r="G117" i="68" s="1"/>
  <c r="N135" i="52"/>
  <c r="U192" i="79" l="1"/>
  <c r="U178" i="79"/>
  <c r="U164" i="79"/>
  <c r="U185" i="79"/>
  <c r="U157" i="79"/>
  <c r="U136" i="79"/>
  <c r="O199" i="79"/>
  <c r="B111" i="77" l="1"/>
  <c r="B76" i="77"/>
  <c r="B41" i="77"/>
  <c r="P127" i="77"/>
  <c r="D115" i="77"/>
  <c r="D80" i="77"/>
  <c r="E80" i="77" s="1"/>
  <c r="D45" i="77"/>
  <c r="F80" i="77" l="1"/>
  <c r="E45" i="77"/>
  <c r="E115" i="77"/>
  <c r="N29" i="23"/>
  <c r="M29" i="23"/>
  <c r="L29" i="23"/>
  <c r="K29" i="23"/>
  <c r="J29" i="23"/>
  <c r="I29" i="23"/>
  <c r="H29" i="23"/>
  <c r="G29" i="23"/>
  <c r="F29" i="23"/>
  <c r="E29" i="23"/>
  <c r="D29" i="23"/>
  <c r="C29" i="23"/>
  <c r="B20" i="17"/>
  <c r="C20" i="17"/>
  <c r="D20" i="17"/>
  <c r="E20" i="25" s="1"/>
  <c r="E20" i="17"/>
  <c r="F20" i="23" s="1"/>
  <c r="F20" i="17"/>
  <c r="G20" i="17"/>
  <c r="H20" i="17"/>
  <c r="I20" i="25" s="1"/>
  <c r="I20" i="17"/>
  <c r="J20" i="23" s="1"/>
  <c r="J20" i="17"/>
  <c r="K20" i="17"/>
  <c r="L20" i="17"/>
  <c r="M20" i="25" s="1"/>
  <c r="M20" i="17"/>
  <c r="N20" i="23" s="1"/>
  <c r="B70" i="23"/>
  <c r="B70" i="25"/>
  <c r="D29" i="25"/>
  <c r="E29" i="25"/>
  <c r="F29" i="25"/>
  <c r="G29" i="25"/>
  <c r="H29" i="25"/>
  <c r="I29" i="25"/>
  <c r="J29" i="25"/>
  <c r="K29" i="25"/>
  <c r="L29" i="25"/>
  <c r="M29" i="25"/>
  <c r="N29" i="25"/>
  <c r="C29" i="25"/>
  <c r="C28" i="25"/>
  <c r="K105" i="52" l="1"/>
  <c r="L20" i="79" s="1"/>
  <c r="C105" i="52"/>
  <c r="D20" i="79" s="1"/>
  <c r="M105" i="52"/>
  <c r="N20" i="79" s="1"/>
  <c r="I105" i="52"/>
  <c r="J20" i="79" s="1"/>
  <c r="E105" i="52"/>
  <c r="F20" i="79" s="1"/>
  <c r="L105" i="52"/>
  <c r="M20" i="79" s="1"/>
  <c r="H105" i="52"/>
  <c r="I20" i="79" s="1"/>
  <c r="D105" i="52"/>
  <c r="E20" i="79" s="1"/>
  <c r="G105" i="52"/>
  <c r="H20" i="79" s="1"/>
  <c r="B105" i="52"/>
  <c r="J105" i="52"/>
  <c r="K20" i="79" s="1"/>
  <c r="F105" i="52"/>
  <c r="G20" i="79" s="1"/>
  <c r="E104" i="52"/>
  <c r="F13" i="79" s="1"/>
  <c r="I104" i="52"/>
  <c r="J13" i="79" s="1"/>
  <c r="M104" i="52"/>
  <c r="N13" i="79" s="1"/>
  <c r="B104" i="52"/>
  <c r="F104" i="52"/>
  <c r="G13" i="79" s="1"/>
  <c r="J104" i="52"/>
  <c r="K13" i="79" s="1"/>
  <c r="C104" i="52"/>
  <c r="D13" i="79" s="1"/>
  <c r="G104" i="52"/>
  <c r="H13" i="79" s="1"/>
  <c r="K104" i="52"/>
  <c r="L13" i="79" s="1"/>
  <c r="D104" i="52"/>
  <c r="E13" i="79" s="1"/>
  <c r="H104" i="52"/>
  <c r="I13" i="79" s="1"/>
  <c r="L104" i="52"/>
  <c r="M13" i="79" s="1"/>
  <c r="L15" i="84"/>
  <c r="L15" i="83"/>
  <c r="L16" i="58"/>
  <c r="L15" i="74"/>
  <c r="L15" i="75"/>
  <c r="L15" i="56"/>
  <c r="L16" i="73"/>
  <c r="L15" i="57"/>
  <c r="L20" i="48"/>
  <c r="L20" i="46"/>
  <c r="L20" i="33"/>
  <c r="L20" i="26"/>
  <c r="L20" i="49"/>
  <c r="L20" i="42"/>
  <c r="L20" i="39"/>
  <c r="L20" i="32"/>
  <c r="L15" i="55"/>
  <c r="L20" i="41"/>
  <c r="L20" i="35"/>
  <c r="L20" i="31"/>
  <c r="L20" i="47"/>
  <c r="L20" i="40"/>
  <c r="L20" i="34"/>
  <c r="L20" i="30"/>
  <c r="H15" i="84"/>
  <c r="H15" i="83"/>
  <c r="H16" i="58"/>
  <c r="H15" i="74"/>
  <c r="H15" i="75"/>
  <c r="H15" i="56"/>
  <c r="H16" i="73"/>
  <c r="H15" i="57"/>
  <c r="H20" i="48"/>
  <c r="H20" i="46"/>
  <c r="H20" i="33"/>
  <c r="H20" i="26"/>
  <c r="H20" i="49"/>
  <c r="H20" i="42"/>
  <c r="H20" i="39"/>
  <c r="H20" i="32"/>
  <c r="H15" i="55"/>
  <c r="H20" i="41"/>
  <c r="H20" i="35"/>
  <c r="H20" i="31"/>
  <c r="H20" i="47"/>
  <c r="H20" i="40"/>
  <c r="H20" i="34"/>
  <c r="H20" i="30"/>
  <c r="D15" i="84"/>
  <c r="D15" i="83"/>
  <c r="D16" i="58"/>
  <c r="D15" i="74"/>
  <c r="D15" i="75"/>
  <c r="D15" i="56"/>
  <c r="D16" i="73"/>
  <c r="D15" i="57"/>
  <c r="D20" i="48"/>
  <c r="D20" i="46"/>
  <c r="D20" i="33"/>
  <c r="D20" i="26"/>
  <c r="D20" i="49"/>
  <c r="D20" i="42"/>
  <c r="D20" i="39"/>
  <c r="D20" i="32"/>
  <c r="D15" i="55"/>
  <c r="D20" i="41"/>
  <c r="D20" i="35"/>
  <c r="D20" i="31"/>
  <c r="D20" i="47"/>
  <c r="D20" i="40"/>
  <c r="D20" i="34"/>
  <c r="D20" i="30"/>
  <c r="N20" i="25"/>
  <c r="J20" i="25"/>
  <c r="F20" i="25"/>
  <c r="E20" i="23"/>
  <c r="I20" i="23"/>
  <c r="M20" i="23"/>
  <c r="K15" i="84"/>
  <c r="K15" i="83"/>
  <c r="K16" i="73"/>
  <c r="K15" i="57"/>
  <c r="K16" i="58"/>
  <c r="K15" i="74"/>
  <c r="K15" i="75"/>
  <c r="K15" i="56"/>
  <c r="K20" i="47"/>
  <c r="K20" i="40"/>
  <c r="K20" i="34"/>
  <c r="K20" i="30"/>
  <c r="K20" i="48"/>
  <c r="K20" i="46"/>
  <c r="K20" i="33"/>
  <c r="K20" i="26"/>
  <c r="K20" i="49"/>
  <c r="K20" i="42"/>
  <c r="K20" i="39"/>
  <c r="K20" i="32"/>
  <c r="K15" i="55"/>
  <c r="K20" i="41"/>
  <c r="K20" i="35"/>
  <c r="K20" i="31"/>
  <c r="G15" i="84"/>
  <c r="G15" i="83"/>
  <c r="G16" i="73"/>
  <c r="G15" i="57"/>
  <c r="G16" i="58"/>
  <c r="G15" i="74"/>
  <c r="G15" i="75"/>
  <c r="G15" i="56"/>
  <c r="G20" i="47"/>
  <c r="G20" i="40"/>
  <c r="G20" i="34"/>
  <c r="G20" i="30"/>
  <c r="G20" i="48"/>
  <c r="G20" i="46"/>
  <c r="G20" i="33"/>
  <c r="G20" i="26"/>
  <c r="G20" i="49"/>
  <c r="G20" i="42"/>
  <c r="G20" i="39"/>
  <c r="G20" i="32"/>
  <c r="G15" i="55"/>
  <c r="G20" i="41"/>
  <c r="G20" i="35"/>
  <c r="G20" i="31"/>
  <c r="C15" i="84"/>
  <c r="C15" i="83"/>
  <c r="C16" i="73"/>
  <c r="C15" i="57"/>
  <c r="C16" i="58"/>
  <c r="C15" i="74"/>
  <c r="C15" i="75"/>
  <c r="C15" i="56"/>
  <c r="C20" i="47"/>
  <c r="C20" i="40"/>
  <c r="C20" i="34"/>
  <c r="C20" i="30"/>
  <c r="C20" i="48"/>
  <c r="C20" i="46"/>
  <c r="C20" i="33"/>
  <c r="C20" i="26"/>
  <c r="C20" i="49"/>
  <c r="C20" i="42"/>
  <c r="C20" i="39"/>
  <c r="C20" i="32"/>
  <c r="C15" i="55"/>
  <c r="C20" i="41"/>
  <c r="C20" i="35"/>
  <c r="C20" i="31"/>
  <c r="N15" i="84"/>
  <c r="N15" i="83"/>
  <c r="N15" i="75"/>
  <c r="N15" i="56"/>
  <c r="N16" i="73"/>
  <c r="N15" i="57"/>
  <c r="N16" i="58"/>
  <c r="N15" i="74"/>
  <c r="N15" i="55"/>
  <c r="N20" i="41"/>
  <c r="N20" i="35"/>
  <c r="N20" i="31"/>
  <c r="N20" i="47"/>
  <c r="N20" i="40"/>
  <c r="N20" i="34"/>
  <c r="N20" i="30"/>
  <c r="N20" i="48"/>
  <c r="N20" i="46"/>
  <c r="N20" i="33"/>
  <c r="N20" i="26"/>
  <c r="N20" i="49"/>
  <c r="N20" i="42"/>
  <c r="N20" i="39"/>
  <c r="N20" i="32"/>
  <c r="J15" i="84"/>
  <c r="J15" i="83"/>
  <c r="J15" i="75"/>
  <c r="J15" i="56"/>
  <c r="J16" i="73"/>
  <c r="J15" i="57"/>
  <c r="J16" i="58"/>
  <c r="J15" i="74"/>
  <c r="J15" i="55"/>
  <c r="J20" i="41"/>
  <c r="J20" i="35"/>
  <c r="J20" i="31"/>
  <c r="J20" i="47"/>
  <c r="J20" i="40"/>
  <c r="J20" i="34"/>
  <c r="J20" i="30"/>
  <c r="J20" i="48"/>
  <c r="J20" i="46"/>
  <c r="J20" i="33"/>
  <c r="J20" i="26"/>
  <c r="J20" i="49"/>
  <c r="J20" i="42"/>
  <c r="J20" i="39"/>
  <c r="J20" i="32"/>
  <c r="F15" i="84"/>
  <c r="F15" i="83"/>
  <c r="F15" i="75"/>
  <c r="F15" i="56"/>
  <c r="F16" i="73"/>
  <c r="F15" i="57"/>
  <c r="F16" i="58"/>
  <c r="F15" i="74"/>
  <c r="F15" i="55"/>
  <c r="F20" i="41"/>
  <c r="F20" i="35"/>
  <c r="F20" i="31"/>
  <c r="F20" i="47"/>
  <c r="F20" i="40"/>
  <c r="F20" i="34"/>
  <c r="F20" i="30"/>
  <c r="F20" i="48"/>
  <c r="F20" i="46"/>
  <c r="F20" i="33"/>
  <c r="F20" i="26"/>
  <c r="F20" i="49"/>
  <c r="F20" i="42"/>
  <c r="F20" i="39"/>
  <c r="F20" i="32"/>
  <c r="C20" i="25"/>
  <c r="L20" i="25"/>
  <c r="H20" i="25"/>
  <c r="D20" i="25"/>
  <c r="G20" i="23"/>
  <c r="K20" i="23"/>
  <c r="C20" i="23"/>
  <c r="M15" i="84"/>
  <c r="M15" i="83"/>
  <c r="M15" i="74"/>
  <c r="M15" i="75"/>
  <c r="M15" i="56"/>
  <c r="M16" i="73"/>
  <c r="M15" i="57"/>
  <c r="M16" i="58"/>
  <c r="M20" i="49"/>
  <c r="M20" i="42"/>
  <c r="M20" i="39"/>
  <c r="M20" i="32"/>
  <c r="M15" i="55"/>
  <c r="M20" i="41"/>
  <c r="M20" i="35"/>
  <c r="M20" i="31"/>
  <c r="M20" i="47"/>
  <c r="M20" i="40"/>
  <c r="M20" i="34"/>
  <c r="M20" i="30"/>
  <c r="M20" i="48"/>
  <c r="M20" i="46"/>
  <c r="M20" i="33"/>
  <c r="M20" i="26"/>
  <c r="I15" i="84"/>
  <c r="I15" i="83"/>
  <c r="I15" i="74"/>
  <c r="I15" i="75"/>
  <c r="I15" i="56"/>
  <c r="I16" i="73"/>
  <c r="I15" i="57"/>
  <c r="I16" i="58"/>
  <c r="I20" i="49"/>
  <c r="I20" i="42"/>
  <c r="I20" i="39"/>
  <c r="I20" i="32"/>
  <c r="I15" i="55"/>
  <c r="I20" i="41"/>
  <c r="I20" i="35"/>
  <c r="I20" i="31"/>
  <c r="I20" i="47"/>
  <c r="I20" i="40"/>
  <c r="I20" i="34"/>
  <c r="I20" i="30"/>
  <c r="I20" i="48"/>
  <c r="I20" i="46"/>
  <c r="I20" i="33"/>
  <c r="I20" i="26"/>
  <c r="E15" i="84"/>
  <c r="E15" i="83"/>
  <c r="E15" i="74"/>
  <c r="E15" i="75"/>
  <c r="E15" i="56"/>
  <c r="E16" i="73"/>
  <c r="E15" i="57"/>
  <c r="E16" i="58"/>
  <c r="E20" i="49"/>
  <c r="E20" i="42"/>
  <c r="E20" i="39"/>
  <c r="E20" i="32"/>
  <c r="E15" i="55"/>
  <c r="E20" i="41"/>
  <c r="E20" i="35"/>
  <c r="E20" i="31"/>
  <c r="E20" i="47"/>
  <c r="E20" i="40"/>
  <c r="E20" i="34"/>
  <c r="E20" i="30"/>
  <c r="E20" i="48"/>
  <c r="E20" i="46"/>
  <c r="E20" i="33"/>
  <c r="E20" i="26"/>
  <c r="K20" i="25"/>
  <c r="G20" i="25"/>
  <c r="D20" i="23"/>
  <c r="H20" i="23"/>
  <c r="L20" i="23"/>
  <c r="F45" i="77"/>
  <c r="G80" i="77"/>
  <c r="F115" i="77"/>
  <c r="N20" i="17"/>
  <c r="N105" i="52" l="1"/>
  <c r="C20" i="79"/>
  <c r="O20" i="79" s="1"/>
  <c r="G19" i="68" s="1"/>
  <c r="N104" i="52"/>
  <c r="C13" i="79"/>
  <c r="O13" i="79" s="1"/>
  <c r="G13" i="68" s="1"/>
  <c r="O20" i="26"/>
  <c r="O20" i="25"/>
  <c r="H80" i="77"/>
  <c r="G45" i="77"/>
  <c r="G115" i="77"/>
  <c r="O132" i="79" l="1"/>
  <c r="O201" i="79" s="1"/>
  <c r="G172" i="68"/>
  <c r="N13" i="68" s="1"/>
  <c r="I80" i="77"/>
  <c r="H115" i="77"/>
  <c r="H45" i="77"/>
  <c r="B19" i="63"/>
  <c r="B19" i="62"/>
  <c r="G179" i="68" l="1"/>
  <c r="N147" i="68"/>
  <c r="N153" i="68"/>
  <c r="N109" i="68"/>
  <c r="N103" i="68"/>
  <c r="N135" i="68"/>
  <c r="N91" i="68"/>
  <c r="N37" i="68"/>
  <c r="N117" i="68"/>
  <c r="N172" i="68"/>
  <c r="N159" i="68"/>
  <c r="N31" i="68"/>
  <c r="N123" i="68"/>
  <c r="N79" i="68"/>
  <c r="N43" i="68"/>
  <c r="N129" i="68"/>
  <c r="N165" i="68"/>
  <c r="N49" i="68"/>
  <c r="N73" i="68"/>
  <c r="N61" i="68"/>
  <c r="N25" i="68"/>
  <c r="N97" i="68"/>
  <c r="N55" i="68"/>
  <c r="N67" i="68"/>
  <c r="N141" i="68"/>
  <c r="N85" i="68"/>
  <c r="N19" i="68"/>
  <c r="J80" i="77"/>
  <c r="I115" i="77"/>
  <c r="I45" i="77"/>
  <c r="J45" i="77" l="1"/>
  <c r="J115" i="77"/>
  <c r="K80" i="77"/>
  <c r="AL43" i="76"/>
  <c r="AK43" i="76"/>
  <c r="AJ43" i="76"/>
  <c r="AI43" i="76"/>
  <c r="AH43" i="76"/>
  <c r="AG43" i="76"/>
  <c r="AF43" i="76"/>
  <c r="AE43" i="76"/>
  <c r="AD43" i="76"/>
  <c r="AC43" i="76"/>
  <c r="AB43" i="76"/>
  <c r="AA43" i="76"/>
  <c r="Z43" i="76"/>
  <c r="Y43" i="76"/>
  <c r="X43" i="76"/>
  <c r="W43" i="76"/>
  <c r="V43" i="76"/>
  <c r="U43" i="76"/>
  <c r="T43" i="76"/>
  <c r="S43" i="76"/>
  <c r="R43" i="76"/>
  <c r="Q43" i="76"/>
  <c r="P43" i="76"/>
  <c r="O43" i="76"/>
  <c r="N43" i="76"/>
  <c r="M43" i="76"/>
  <c r="L43" i="76"/>
  <c r="K43" i="76"/>
  <c r="J43" i="76"/>
  <c r="I43" i="76"/>
  <c r="H43" i="76"/>
  <c r="G43" i="76"/>
  <c r="F43" i="76"/>
  <c r="E43" i="76"/>
  <c r="D43" i="76"/>
  <c r="C43" i="76"/>
  <c r="AL39" i="76"/>
  <c r="AK39" i="76"/>
  <c r="AJ39" i="76"/>
  <c r="AI39" i="76"/>
  <c r="AH39" i="76"/>
  <c r="AG39" i="76"/>
  <c r="AF39" i="76"/>
  <c r="AE39" i="76"/>
  <c r="AD39" i="76"/>
  <c r="AC39" i="76"/>
  <c r="AB39" i="76"/>
  <c r="AA39" i="76"/>
  <c r="Z39" i="76"/>
  <c r="Y39" i="76"/>
  <c r="X39" i="76"/>
  <c r="W39" i="76"/>
  <c r="V39" i="76"/>
  <c r="U39" i="76"/>
  <c r="T39" i="76"/>
  <c r="S39" i="76"/>
  <c r="R39" i="76"/>
  <c r="Q39" i="76"/>
  <c r="P39" i="76"/>
  <c r="O39" i="76"/>
  <c r="N39" i="76"/>
  <c r="M39" i="76"/>
  <c r="L39" i="76"/>
  <c r="K39" i="76"/>
  <c r="J39" i="76"/>
  <c r="I39" i="76"/>
  <c r="H39" i="76"/>
  <c r="G39" i="76"/>
  <c r="F39" i="76"/>
  <c r="E39" i="76"/>
  <c r="D39" i="76"/>
  <c r="C39" i="76"/>
  <c r="AL35" i="76"/>
  <c r="AK35" i="76"/>
  <c r="AJ35" i="76"/>
  <c r="AI35" i="76"/>
  <c r="AH35" i="76"/>
  <c r="AG35" i="76"/>
  <c r="AF35" i="76"/>
  <c r="AE35" i="76"/>
  <c r="AD35" i="76"/>
  <c r="AC35" i="76"/>
  <c r="AB35" i="76"/>
  <c r="AA35" i="76"/>
  <c r="Z35" i="76"/>
  <c r="N92" i="39" s="1"/>
  <c r="Y35" i="76"/>
  <c r="M92" i="39" s="1"/>
  <c r="X35" i="76"/>
  <c r="L92" i="39" s="1"/>
  <c r="W35" i="76"/>
  <c r="K92" i="39" s="1"/>
  <c r="V35" i="76"/>
  <c r="J92" i="39" s="1"/>
  <c r="U35" i="76"/>
  <c r="I92" i="39" s="1"/>
  <c r="T35" i="76"/>
  <c r="H92" i="39" s="1"/>
  <c r="S35" i="76"/>
  <c r="G92" i="39" s="1"/>
  <c r="R35" i="76"/>
  <c r="F92" i="39" s="1"/>
  <c r="Q35" i="76"/>
  <c r="E92" i="39" s="1"/>
  <c r="P35" i="76"/>
  <c r="D92" i="39" s="1"/>
  <c r="O35" i="76"/>
  <c r="C92" i="39" s="1"/>
  <c r="N35" i="76"/>
  <c r="N87" i="39" s="1"/>
  <c r="M35" i="76"/>
  <c r="M87" i="39" s="1"/>
  <c r="L35" i="76"/>
  <c r="L87" i="39" s="1"/>
  <c r="K35" i="76"/>
  <c r="K87" i="39" s="1"/>
  <c r="J35" i="76"/>
  <c r="J87" i="39" s="1"/>
  <c r="I35" i="76"/>
  <c r="I87" i="39" s="1"/>
  <c r="H35" i="76"/>
  <c r="H87" i="39" s="1"/>
  <c r="G35" i="76"/>
  <c r="G87" i="39" s="1"/>
  <c r="F35" i="76"/>
  <c r="F87" i="39" s="1"/>
  <c r="E35" i="76"/>
  <c r="E87" i="39" s="1"/>
  <c r="D35" i="76"/>
  <c r="D87" i="39" s="1"/>
  <c r="C35" i="76"/>
  <c r="C87" i="39" s="1"/>
  <c r="AL33" i="76"/>
  <c r="AK33" i="76"/>
  <c r="AJ33" i="76"/>
  <c r="AI33" i="76"/>
  <c r="AH33" i="76"/>
  <c r="AG33" i="76"/>
  <c r="AF33" i="76"/>
  <c r="AE33" i="76"/>
  <c r="AD33" i="76"/>
  <c r="AC33" i="76"/>
  <c r="AB33" i="76"/>
  <c r="AA33" i="76"/>
  <c r="Z33" i="76"/>
  <c r="N92" i="35" s="1"/>
  <c r="Y33" i="76"/>
  <c r="M92" i="35" s="1"/>
  <c r="X33" i="76"/>
  <c r="L92" i="35" s="1"/>
  <c r="W33" i="76"/>
  <c r="K92" i="35" s="1"/>
  <c r="V33" i="76"/>
  <c r="J92" i="35" s="1"/>
  <c r="U33" i="76"/>
  <c r="I92" i="35" s="1"/>
  <c r="T33" i="76"/>
  <c r="H92" i="35" s="1"/>
  <c r="S33" i="76"/>
  <c r="G92" i="35" s="1"/>
  <c r="R33" i="76"/>
  <c r="F92" i="35" s="1"/>
  <c r="Q33" i="76"/>
  <c r="E92" i="35" s="1"/>
  <c r="P33" i="76"/>
  <c r="D92" i="35" s="1"/>
  <c r="O33" i="76"/>
  <c r="C92" i="35" s="1"/>
  <c r="N33" i="76"/>
  <c r="N87" i="35" s="1"/>
  <c r="M33" i="76"/>
  <c r="M87" i="35" s="1"/>
  <c r="L33" i="76"/>
  <c r="L87" i="35" s="1"/>
  <c r="K33" i="76"/>
  <c r="K87" i="35" s="1"/>
  <c r="J33" i="76"/>
  <c r="J87" i="35" s="1"/>
  <c r="I33" i="76"/>
  <c r="I87" i="35" s="1"/>
  <c r="H33" i="76"/>
  <c r="H87" i="35" s="1"/>
  <c r="G33" i="76"/>
  <c r="G87" i="35" s="1"/>
  <c r="F33" i="76"/>
  <c r="F87" i="35" s="1"/>
  <c r="E33" i="76"/>
  <c r="E87" i="35" s="1"/>
  <c r="D33" i="76"/>
  <c r="D87" i="35" s="1"/>
  <c r="C33" i="76"/>
  <c r="C87" i="35" s="1"/>
  <c r="AL31" i="76"/>
  <c r="AK31" i="76"/>
  <c r="AJ31" i="76"/>
  <c r="AI31" i="76"/>
  <c r="AH31" i="76"/>
  <c r="AG31" i="76"/>
  <c r="AF31" i="76"/>
  <c r="AE31" i="76"/>
  <c r="AD31" i="76"/>
  <c r="AC31" i="76"/>
  <c r="AB31" i="76"/>
  <c r="AA31" i="76"/>
  <c r="Z31" i="76"/>
  <c r="N92" i="34" s="1"/>
  <c r="Y31" i="76"/>
  <c r="M92" i="34" s="1"/>
  <c r="X31" i="76"/>
  <c r="L92" i="34" s="1"/>
  <c r="W31" i="76"/>
  <c r="K92" i="34" s="1"/>
  <c r="V31" i="76"/>
  <c r="J92" i="34" s="1"/>
  <c r="U31" i="76"/>
  <c r="I92" i="34" s="1"/>
  <c r="T31" i="76"/>
  <c r="H92" i="34" s="1"/>
  <c r="S31" i="76"/>
  <c r="G92" i="34" s="1"/>
  <c r="R31" i="76"/>
  <c r="F92" i="34" s="1"/>
  <c r="Q31" i="76"/>
  <c r="E92" i="34" s="1"/>
  <c r="P31" i="76"/>
  <c r="D92" i="34" s="1"/>
  <c r="O31" i="76"/>
  <c r="C92" i="34" s="1"/>
  <c r="N31" i="76"/>
  <c r="N87" i="34" s="1"/>
  <c r="M31" i="76"/>
  <c r="M87" i="34" s="1"/>
  <c r="L31" i="76"/>
  <c r="L87" i="34" s="1"/>
  <c r="K31" i="76"/>
  <c r="K87" i="34" s="1"/>
  <c r="J31" i="76"/>
  <c r="J87" i="34" s="1"/>
  <c r="I31" i="76"/>
  <c r="I87" i="34" s="1"/>
  <c r="H31" i="76"/>
  <c r="H87" i="34" s="1"/>
  <c r="G31" i="76"/>
  <c r="G87" i="34" s="1"/>
  <c r="F31" i="76"/>
  <c r="F87" i="34" s="1"/>
  <c r="E31" i="76"/>
  <c r="E87" i="34" s="1"/>
  <c r="D31" i="76"/>
  <c r="D87" i="34" s="1"/>
  <c r="C31" i="76"/>
  <c r="C87" i="34" s="1"/>
  <c r="AL25" i="76"/>
  <c r="AK25" i="76"/>
  <c r="AJ25" i="76"/>
  <c r="AI25" i="76"/>
  <c r="AH25" i="76"/>
  <c r="AG25" i="76"/>
  <c r="AF25" i="76"/>
  <c r="AE25" i="76"/>
  <c r="AD25" i="76"/>
  <c r="AC25" i="76"/>
  <c r="AB25" i="76"/>
  <c r="AA25" i="76"/>
  <c r="Z25" i="76"/>
  <c r="N92" i="33" s="1"/>
  <c r="Y25" i="76"/>
  <c r="M92" i="33" s="1"/>
  <c r="X25" i="76"/>
  <c r="L92" i="33" s="1"/>
  <c r="W25" i="76"/>
  <c r="K92" i="33" s="1"/>
  <c r="V25" i="76"/>
  <c r="J92" i="33" s="1"/>
  <c r="U25" i="76"/>
  <c r="I92" i="33" s="1"/>
  <c r="T25" i="76"/>
  <c r="H92" i="33" s="1"/>
  <c r="S25" i="76"/>
  <c r="G92" i="33" s="1"/>
  <c r="R25" i="76"/>
  <c r="F92" i="33" s="1"/>
  <c r="Q25" i="76"/>
  <c r="E92" i="33" s="1"/>
  <c r="P25" i="76"/>
  <c r="D92" i="33" s="1"/>
  <c r="O25" i="76"/>
  <c r="C92" i="33" s="1"/>
  <c r="N25" i="76"/>
  <c r="N87" i="33" s="1"/>
  <c r="M25" i="76"/>
  <c r="M87" i="33" s="1"/>
  <c r="L25" i="76"/>
  <c r="L87" i="33" s="1"/>
  <c r="K25" i="76"/>
  <c r="K87" i="33" s="1"/>
  <c r="J25" i="76"/>
  <c r="J87" i="33" s="1"/>
  <c r="I25" i="76"/>
  <c r="I87" i="33" s="1"/>
  <c r="H25" i="76"/>
  <c r="H87" i="33" s="1"/>
  <c r="G25" i="76"/>
  <c r="G87" i="33" s="1"/>
  <c r="F25" i="76"/>
  <c r="F87" i="33" s="1"/>
  <c r="E25" i="76"/>
  <c r="E87" i="33" s="1"/>
  <c r="D25" i="76"/>
  <c r="D87" i="33" s="1"/>
  <c r="C25" i="76"/>
  <c r="C87" i="33" s="1"/>
  <c r="AL19" i="76"/>
  <c r="AK19" i="76"/>
  <c r="AJ19" i="76"/>
  <c r="AI19" i="76"/>
  <c r="AH19" i="76"/>
  <c r="AG19" i="76"/>
  <c r="AF19" i="76"/>
  <c r="AE19" i="76"/>
  <c r="AD19" i="76"/>
  <c r="AC19" i="76"/>
  <c r="AB19" i="76"/>
  <c r="AA19" i="76"/>
  <c r="Z19" i="76"/>
  <c r="N93" i="32" s="1"/>
  <c r="Y19" i="76"/>
  <c r="M93" i="32" s="1"/>
  <c r="X19" i="76"/>
  <c r="L93" i="32" s="1"/>
  <c r="W19" i="76"/>
  <c r="K93" i="32" s="1"/>
  <c r="V19" i="76"/>
  <c r="J93" i="32" s="1"/>
  <c r="U19" i="76"/>
  <c r="I93" i="32" s="1"/>
  <c r="T19" i="76"/>
  <c r="H93" i="32" s="1"/>
  <c r="S19" i="76"/>
  <c r="G93" i="32" s="1"/>
  <c r="R19" i="76"/>
  <c r="F93" i="32" s="1"/>
  <c r="Q19" i="76"/>
  <c r="E93" i="32" s="1"/>
  <c r="P19" i="76"/>
  <c r="D93" i="32" s="1"/>
  <c r="O19" i="76"/>
  <c r="C93" i="32" s="1"/>
  <c r="N19" i="76"/>
  <c r="N88" i="32" s="1"/>
  <c r="M19" i="76"/>
  <c r="M88" i="32" s="1"/>
  <c r="L19" i="76"/>
  <c r="L88" i="32" s="1"/>
  <c r="K19" i="76"/>
  <c r="K88" i="32" s="1"/>
  <c r="J19" i="76"/>
  <c r="J88" i="32" s="1"/>
  <c r="I19" i="76"/>
  <c r="I88" i="32" s="1"/>
  <c r="H19" i="76"/>
  <c r="H88" i="32" s="1"/>
  <c r="G19" i="76"/>
  <c r="G88" i="32" s="1"/>
  <c r="F19" i="76"/>
  <c r="F88" i="32" s="1"/>
  <c r="E19" i="76"/>
  <c r="E88" i="32" s="1"/>
  <c r="D19" i="76"/>
  <c r="D88" i="32" s="1"/>
  <c r="C19" i="76"/>
  <c r="C88" i="32" s="1"/>
  <c r="AL13" i="76"/>
  <c r="AK13" i="76"/>
  <c r="AJ13" i="76"/>
  <c r="AI13" i="76"/>
  <c r="AH13" i="76"/>
  <c r="AG13" i="76"/>
  <c r="AF13" i="76"/>
  <c r="AE13" i="76"/>
  <c r="AD13" i="76"/>
  <c r="AC13" i="76"/>
  <c r="AB13" i="76"/>
  <c r="AA13" i="76"/>
  <c r="Z13" i="76"/>
  <c r="N92" i="26" s="1"/>
  <c r="Y13" i="76"/>
  <c r="M92" i="26" s="1"/>
  <c r="X13" i="76"/>
  <c r="L92" i="26" s="1"/>
  <c r="W13" i="76"/>
  <c r="K92" i="26" s="1"/>
  <c r="V13" i="76"/>
  <c r="J92" i="26" s="1"/>
  <c r="U13" i="76"/>
  <c r="I92" i="26" s="1"/>
  <c r="T13" i="76"/>
  <c r="H92" i="26" s="1"/>
  <c r="S13" i="76"/>
  <c r="G92" i="26" s="1"/>
  <c r="R13" i="76"/>
  <c r="F92" i="26" s="1"/>
  <c r="Q13" i="76"/>
  <c r="E92" i="26" s="1"/>
  <c r="P13" i="76"/>
  <c r="D92" i="26" s="1"/>
  <c r="O13" i="76"/>
  <c r="C92" i="26" s="1"/>
  <c r="N13" i="76"/>
  <c r="N87" i="26" s="1"/>
  <c r="M13" i="76"/>
  <c r="M87" i="26" s="1"/>
  <c r="L13" i="76"/>
  <c r="L87" i="26" s="1"/>
  <c r="K13" i="76"/>
  <c r="K87" i="26" s="1"/>
  <c r="J13" i="76"/>
  <c r="J87" i="26" s="1"/>
  <c r="I13" i="76"/>
  <c r="I87" i="26" s="1"/>
  <c r="H13" i="76"/>
  <c r="H87" i="26" s="1"/>
  <c r="G13" i="76"/>
  <c r="G87" i="26" s="1"/>
  <c r="F13" i="76"/>
  <c r="F87" i="26" s="1"/>
  <c r="E13" i="76"/>
  <c r="E87" i="26" s="1"/>
  <c r="D13" i="76"/>
  <c r="D87" i="26" s="1"/>
  <c r="C13" i="76"/>
  <c r="C87" i="26" s="1"/>
  <c r="AL10" i="76"/>
  <c r="AK10" i="76"/>
  <c r="AJ10" i="76"/>
  <c r="AI10" i="76"/>
  <c r="AH10" i="76"/>
  <c r="AG10" i="76"/>
  <c r="AF10" i="76"/>
  <c r="AE10" i="76"/>
  <c r="AD10" i="76"/>
  <c r="AC10" i="76"/>
  <c r="AB10" i="76"/>
  <c r="AA10" i="76"/>
  <c r="Z10" i="76"/>
  <c r="N92" i="25" s="1"/>
  <c r="Y10" i="76"/>
  <c r="M92" i="25" s="1"/>
  <c r="X10" i="76"/>
  <c r="L92" i="25" s="1"/>
  <c r="W10" i="76"/>
  <c r="K92" i="25" s="1"/>
  <c r="V10" i="76"/>
  <c r="J92" i="25" s="1"/>
  <c r="U10" i="76"/>
  <c r="I92" i="25" s="1"/>
  <c r="T10" i="76"/>
  <c r="H92" i="25" s="1"/>
  <c r="S10" i="76"/>
  <c r="G92" i="25" s="1"/>
  <c r="R10" i="76"/>
  <c r="F92" i="25" s="1"/>
  <c r="Q10" i="76"/>
  <c r="E92" i="25" s="1"/>
  <c r="P10" i="76"/>
  <c r="D92" i="25" s="1"/>
  <c r="O10" i="76"/>
  <c r="C92" i="25" s="1"/>
  <c r="N10" i="76"/>
  <c r="N87" i="25" s="1"/>
  <c r="M10" i="76"/>
  <c r="M87" i="25" s="1"/>
  <c r="L10" i="76"/>
  <c r="L87" i="25" s="1"/>
  <c r="K10" i="76"/>
  <c r="K87" i="25" s="1"/>
  <c r="J10" i="76"/>
  <c r="J87" i="25" s="1"/>
  <c r="I10" i="76"/>
  <c r="I87" i="25" s="1"/>
  <c r="H10" i="76"/>
  <c r="H87" i="25" s="1"/>
  <c r="G10" i="76"/>
  <c r="G87" i="25" s="1"/>
  <c r="F10" i="76"/>
  <c r="F87" i="25" s="1"/>
  <c r="E10" i="76"/>
  <c r="E87" i="25" s="1"/>
  <c r="D10" i="76"/>
  <c r="D87" i="25" s="1"/>
  <c r="C10" i="76"/>
  <c r="C87" i="25" s="1"/>
  <c r="AL7" i="76"/>
  <c r="AL44" i="76" s="1"/>
  <c r="AK7" i="76"/>
  <c r="AK44" i="76" s="1"/>
  <c r="AJ7" i="76"/>
  <c r="AJ44" i="76" s="1"/>
  <c r="AI7" i="76"/>
  <c r="AI44" i="76" s="1"/>
  <c r="AH7" i="76"/>
  <c r="AH44" i="76" s="1"/>
  <c r="AG7" i="76"/>
  <c r="AG44" i="76" s="1"/>
  <c r="AF7" i="76"/>
  <c r="AF44" i="76" s="1"/>
  <c r="AE7" i="76"/>
  <c r="AE44" i="76" s="1"/>
  <c r="AD7" i="76"/>
  <c r="AD44" i="76" s="1"/>
  <c r="AC7" i="76"/>
  <c r="AC44" i="76" s="1"/>
  <c r="AB7" i="76"/>
  <c r="AB44" i="76" s="1"/>
  <c r="AA7" i="76"/>
  <c r="AA44" i="76" s="1"/>
  <c r="Z7" i="76"/>
  <c r="Y7" i="76"/>
  <c r="X7" i="76"/>
  <c r="W7" i="76"/>
  <c r="V7" i="76"/>
  <c r="U7" i="76"/>
  <c r="T7" i="76"/>
  <c r="S7" i="76"/>
  <c r="R7" i="76"/>
  <c r="Q7" i="76"/>
  <c r="P7" i="76"/>
  <c r="O7" i="76"/>
  <c r="N7" i="76"/>
  <c r="M7" i="76"/>
  <c r="L7" i="76"/>
  <c r="K7" i="76"/>
  <c r="J7" i="76"/>
  <c r="I7" i="76"/>
  <c r="H7" i="76"/>
  <c r="G7" i="76"/>
  <c r="F7" i="76"/>
  <c r="E7" i="76"/>
  <c r="D7" i="76"/>
  <c r="C7" i="76"/>
  <c r="F44" i="76" l="1"/>
  <c r="F87" i="23"/>
  <c r="J44" i="76"/>
  <c r="J87" i="23"/>
  <c r="N44" i="76"/>
  <c r="N87" i="23"/>
  <c r="R44" i="76"/>
  <c r="F92" i="23"/>
  <c r="V44" i="76"/>
  <c r="J92" i="23"/>
  <c r="Z44" i="76"/>
  <c r="N92" i="23"/>
  <c r="G44" i="76"/>
  <c r="G87" i="23"/>
  <c r="K44" i="76"/>
  <c r="K87" i="23"/>
  <c r="O44" i="76"/>
  <c r="C92" i="23"/>
  <c r="S44" i="76"/>
  <c r="G92" i="23"/>
  <c r="W44" i="76"/>
  <c r="K92" i="23"/>
  <c r="D44" i="76"/>
  <c r="D87" i="23"/>
  <c r="H44" i="76"/>
  <c r="H87" i="23"/>
  <c r="L44" i="76"/>
  <c r="L87" i="23"/>
  <c r="P44" i="76"/>
  <c r="D92" i="23"/>
  <c r="T44" i="76"/>
  <c r="H92" i="23"/>
  <c r="X44" i="76"/>
  <c r="L92" i="23"/>
  <c r="C44" i="76"/>
  <c r="C87" i="23"/>
  <c r="E44" i="76"/>
  <c r="E87" i="23"/>
  <c r="I44" i="76"/>
  <c r="I87" i="23"/>
  <c r="M44" i="76"/>
  <c r="M87" i="23"/>
  <c r="Q44" i="76"/>
  <c r="E92" i="23"/>
  <c r="U44" i="76"/>
  <c r="I92" i="23"/>
  <c r="Y44" i="76"/>
  <c r="M92" i="23"/>
  <c r="K115" i="77"/>
  <c r="K45" i="77"/>
  <c r="L80" i="77"/>
  <c r="L115" i="77" l="1"/>
  <c r="M80" i="77"/>
  <c r="L45" i="77"/>
  <c r="M45" i="77" l="1"/>
  <c r="N80" i="77"/>
  <c r="M115" i="77"/>
  <c r="P242" i="65"/>
  <c r="O242" i="65"/>
  <c r="N242" i="65"/>
  <c r="M242" i="65"/>
  <c r="L242" i="65"/>
  <c r="K242" i="65"/>
  <c r="J242" i="65"/>
  <c r="I242" i="65"/>
  <c r="H242" i="65"/>
  <c r="G242" i="65"/>
  <c r="F242" i="65"/>
  <c r="E242" i="65"/>
  <c r="A15" i="69"/>
  <c r="A14" i="69"/>
  <c r="A13" i="69"/>
  <c r="O162" i="66"/>
  <c r="N162" i="66"/>
  <c r="M162" i="66"/>
  <c r="L162" i="66"/>
  <c r="K162" i="66"/>
  <c r="J162" i="66"/>
  <c r="I162" i="66"/>
  <c r="H162" i="66"/>
  <c r="G162" i="66"/>
  <c r="F162" i="66"/>
  <c r="E162" i="66"/>
  <c r="D162" i="66"/>
  <c r="O156" i="66"/>
  <c r="N156" i="66"/>
  <c r="M156" i="66"/>
  <c r="L156" i="66"/>
  <c r="K156" i="66"/>
  <c r="J156" i="66"/>
  <c r="I156" i="66"/>
  <c r="H156" i="66"/>
  <c r="G156" i="66"/>
  <c r="F156" i="66"/>
  <c r="E156" i="66"/>
  <c r="D156" i="66"/>
  <c r="O108" i="66"/>
  <c r="N108" i="66"/>
  <c r="M108" i="66"/>
  <c r="L108" i="66"/>
  <c r="K108" i="66"/>
  <c r="J108" i="66"/>
  <c r="I108" i="66"/>
  <c r="H108" i="66"/>
  <c r="G108" i="66"/>
  <c r="F108" i="66"/>
  <c r="E108" i="66"/>
  <c r="D108" i="66"/>
  <c r="O102" i="66"/>
  <c r="N102" i="66"/>
  <c r="M102" i="66"/>
  <c r="L102" i="66"/>
  <c r="K102" i="66"/>
  <c r="J102" i="66"/>
  <c r="I102" i="66"/>
  <c r="H102" i="66"/>
  <c r="G102" i="66"/>
  <c r="F102" i="66"/>
  <c r="E102" i="66"/>
  <c r="D102" i="66"/>
  <c r="L192" i="65" l="1"/>
  <c r="E192" i="65"/>
  <c r="F192" i="65"/>
  <c r="K192" i="65"/>
  <c r="P192" i="65"/>
  <c r="I192" i="65"/>
  <c r="J192" i="65"/>
  <c r="O192" i="65"/>
  <c r="M192" i="65"/>
  <c r="N192" i="65"/>
  <c r="H192" i="65"/>
  <c r="G192" i="65"/>
  <c r="M225" i="65"/>
  <c r="I193" i="65"/>
  <c r="I194" i="65"/>
  <c r="N223" i="65"/>
  <c r="N193" i="65"/>
  <c r="G223" i="65"/>
  <c r="O224" i="65"/>
  <c r="O193" i="65"/>
  <c r="J223" i="65"/>
  <c r="N225" i="65"/>
  <c r="L223" i="65"/>
  <c r="L193" i="65"/>
  <c r="P194" i="65"/>
  <c r="E194" i="65"/>
  <c r="I225" i="65"/>
  <c r="J194" i="65"/>
  <c r="K225" i="65"/>
  <c r="F224" i="65"/>
  <c r="P223" i="65"/>
  <c r="H195" i="65"/>
  <c r="I223" i="65"/>
  <c r="M193" i="65"/>
  <c r="F195" i="65"/>
  <c r="G193" i="65"/>
  <c r="N224" i="65"/>
  <c r="L224" i="65"/>
  <c r="L195" i="65"/>
  <c r="M223" i="65"/>
  <c r="M224" i="65"/>
  <c r="F223" i="65"/>
  <c r="F193" i="65"/>
  <c r="N195" i="65"/>
  <c r="G224" i="65"/>
  <c r="K193" i="65"/>
  <c r="O194" i="65"/>
  <c r="F225" i="65"/>
  <c r="H223" i="65"/>
  <c r="H193" i="65"/>
  <c r="L194" i="65"/>
  <c r="I224" i="65"/>
  <c r="M194" i="65"/>
  <c r="J224" i="65"/>
  <c r="K223" i="65"/>
  <c r="G194" i="65"/>
  <c r="J193" i="65"/>
  <c r="P193" i="65"/>
  <c r="P195" i="65"/>
  <c r="J225" i="65"/>
  <c r="O223" i="65"/>
  <c r="K194" i="65"/>
  <c r="J195" i="65"/>
  <c r="H194" i="65"/>
  <c r="G195" i="65"/>
  <c r="M195" i="65"/>
  <c r="G225" i="65"/>
  <c r="L225" i="65"/>
  <c r="P225" i="65"/>
  <c r="E224" i="65"/>
  <c r="K195" i="65"/>
  <c r="F194" i="65"/>
  <c r="E195" i="65"/>
  <c r="E193" i="65"/>
  <c r="K224" i="65"/>
  <c r="N194" i="65"/>
  <c r="P224" i="65"/>
  <c r="H225" i="65"/>
  <c r="H224" i="65"/>
  <c r="O225" i="65"/>
  <c r="I195" i="65"/>
  <c r="E223" i="65"/>
  <c r="E225" i="65"/>
  <c r="O195" i="65"/>
  <c r="N45" i="77"/>
  <c r="N115" i="77"/>
  <c r="A136" i="70"/>
  <c r="A195" i="70"/>
  <c r="A194" i="70"/>
  <c r="A193" i="70"/>
  <c r="A192" i="70"/>
  <c r="A188" i="70"/>
  <c r="A187" i="70"/>
  <c r="A186" i="70"/>
  <c r="A185" i="70"/>
  <c r="A181" i="70"/>
  <c r="A180" i="70"/>
  <c r="A179" i="70"/>
  <c r="A178" i="70"/>
  <c r="A167" i="70"/>
  <c r="A166" i="70"/>
  <c r="A165" i="70"/>
  <c r="A164" i="70"/>
  <c r="A160" i="70"/>
  <c r="A159" i="70"/>
  <c r="A158" i="70"/>
  <c r="A157" i="70"/>
  <c r="A146" i="70"/>
  <c r="A145" i="70"/>
  <c r="A144" i="70"/>
  <c r="A143" i="70"/>
  <c r="A139" i="70"/>
  <c r="A138" i="70"/>
  <c r="A137" i="70"/>
  <c r="A128" i="70"/>
  <c r="A127" i="70"/>
  <c r="A126" i="70"/>
  <c r="A125" i="70"/>
  <c r="A121" i="70"/>
  <c r="A120" i="70"/>
  <c r="A119" i="70"/>
  <c r="A118" i="70"/>
  <c r="A114" i="70"/>
  <c r="A113" i="70"/>
  <c r="A112" i="70"/>
  <c r="A111" i="70"/>
  <c r="A107" i="70"/>
  <c r="A106" i="70"/>
  <c r="A105" i="70"/>
  <c r="A104" i="70"/>
  <c r="A100" i="70"/>
  <c r="A99" i="70"/>
  <c r="A98" i="70"/>
  <c r="A97" i="70"/>
  <c r="A93" i="70"/>
  <c r="A92" i="70"/>
  <c r="A91" i="70"/>
  <c r="A90" i="70"/>
  <c r="A86" i="70"/>
  <c r="A85" i="70"/>
  <c r="A84" i="70"/>
  <c r="A83" i="70"/>
  <c r="A79" i="70"/>
  <c r="A78" i="70"/>
  <c r="A77" i="70"/>
  <c r="A76" i="70"/>
  <c r="A72" i="70"/>
  <c r="A71" i="70"/>
  <c r="A70" i="70"/>
  <c r="A69" i="70"/>
  <c r="A65" i="70"/>
  <c r="A64" i="70"/>
  <c r="A63" i="70"/>
  <c r="A62" i="70"/>
  <c r="A58" i="70"/>
  <c r="A57" i="70"/>
  <c r="A56" i="70"/>
  <c r="A55" i="70"/>
  <c r="A51" i="70"/>
  <c r="A50" i="70"/>
  <c r="A49" i="70"/>
  <c r="A48" i="70"/>
  <c r="A44" i="70"/>
  <c r="A43" i="70"/>
  <c r="A42" i="70"/>
  <c r="A41" i="70"/>
  <c r="A37" i="70"/>
  <c r="A36" i="70"/>
  <c r="A35" i="70"/>
  <c r="A34" i="70"/>
  <c r="A30" i="70"/>
  <c r="A29" i="70"/>
  <c r="A28" i="70"/>
  <c r="A27" i="70"/>
  <c r="A23" i="70"/>
  <c r="A22" i="70"/>
  <c r="A21" i="70"/>
  <c r="A20" i="70"/>
  <c r="A15" i="70"/>
  <c r="A14" i="70"/>
  <c r="A13" i="70"/>
  <c r="A16" i="70"/>
  <c r="I145" i="66" l="1"/>
  <c r="M146" i="66"/>
  <c r="N145" i="66"/>
  <c r="K145" i="66"/>
  <c r="O146" i="66"/>
  <c r="D145" i="66"/>
  <c r="H146" i="66"/>
  <c r="E146" i="66"/>
  <c r="J146" i="66"/>
  <c r="O145" i="66"/>
  <c r="J145" i="66"/>
  <c r="H145" i="66"/>
  <c r="L146" i="66"/>
  <c r="G146" i="66"/>
  <c r="E145" i="66"/>
  <c r="I147" i="66"/>
  <c r="M145" i="66"/>
  <c r="F147" i="66"/>
  <c r="N146" i="66"/>
  <c r="L145" i="66"/>
  <c r="M147" i="66"/>
  <c r="E147" i="66"/>
  <c r="F145" i="66"/>
  <c r="G145" i="66"/>
  <c r="K146" i="66"/>
  <c r="J147" i="66"/>
  <c r="D146" i="66"/>
  <c r="O147" i="66"/>
  <c r="I146" i="66"/>
  <c r="F146" i="66"/>
  <c r="K147" i="66"/>
  <c r="H147" i="66"/>
  <c r="G147" i="66"/>
  <c r="D147" i="66"/>
  <c r="L147" i="66"/>
  <c r="N147" i="66"/>
  <c r="C168" i="68"/>
  <c r="B168" i="68"/>
  <c r="C167" i="68"/>
  <c r="B167" i="68"/>
  <c r="C166" i="68"/>
  <c r="B166" i="68"/>
  <c r="C165" i="68"/>
  <c r="B165" i="68"/>
  <c r="D156" i="68"/>
  <c r="D155" i="68"/>
  <c r="D154" i="68"/>
  <c r="D153" i="68"/>
  <c r="C156" i="68"/>
  <c r="C155" i="68"/>
  <c r="C154" i="68"/>
  <c r="C153" i="68"/>
  <c r="B156" i="68"/>
  <c r="B155" i="68"/>
  <c r="B154" i="68"/>
  <c r="B153" i="68"/>
  <c r="C144" i="68"/>
  <c r="C143" i="68"/>
  <c r="C142" i="68"/>
  <c r="C141" i="68"/>
  <c r="B144" i="68"/>
  <c r="B143" i="68"/>
  <c r="B142" i="68"/>
  <c r="B141" i="68"/>
  <c r="C178" i="70"/>
  <c r="N193" i="70" l="1"/>
  <c r="O165" i="66" s="1"/>
  <c r="M193" i="70"/>
  <c r="N165" i="66" s="1"/>
  <c r="L193" i="70"/>
  <c r="M165" i="66" s="1"/>
  <c r="K193" i="70"/>
  <c r="L165" i="66" s="1"/>
  <c r="J193" i="70"/>
  <c r="K165" i="66" s="1"/>
  <c r="I193" i="70"/>
  <c r="J165" i="66" s="1"/>
  <c r="H193" i="70"/>
  <c r="I165" i="66" s="1"/>
  <c r="G193" i="70"/>
  <c r="H165" i="66" s="1"/>
  <c r="F193" i="70"/>
  <c r="G165" i="66" s="1"/>
  <c r="E193" i="70"/>
  <c r="F165" i="66" s="1"/>
  <c r="D193" i="70"/>
  <c r="E165" i="66" s="1"/>
  <c r="N186" i="70"/>
  <c r="O159" i="66" s="1"/>
  <c r="M186" i="70"/>
  <c r="N159" i="66" s="1"/>
  <c r="L186" i="70"/>
  <c r="M159" i="66" s="1"/>
  <c r="K186" i="70"/>
  <c r="L159" i="66" s="1"/>
  <c r="J186" i="70"/>
  <c r="K159" i="66" s="1"/>
  <c r="I186" i="70"/>
  <c r="J159" i="66" s="1"/>
  <c r="H186" i="70"/>
  <c r="I159" i="66" s="1"/>
  <c r="G186" i="70"/>
  <c r="H159" i="66" s="1"/>
  <c r="F186" i="70"/>
  <c r="G159" i="66" s="1"/>
  <c r="E186" i="70"/>
  <c r="F159" i="66" s="1"/>
  <c r="D186" i="70"/>
  <c r="E159" i="66" s="1"/>
  <c r="N179" i="70"/>
  <c r="O153" i="66" s="1"/>
  <c r="M179" i="70"/>
  <c r="N153" i="66" s="1"/>
  <c r="L179" i="70"/>
  <c r="M153" i="66" s="1"/>
  <c r="K179" i="70"/>
  <c r="L153" i="66" s="1"/>
  <c r="J179" i="70"/>
  <c r="K153" i="66" s="1"/>
  <c r="I179" i="70"/>
  <c r="J153" i="66" s="1"/>
  <c r="H179" i="70"/>
  <c r="I153" i="66" s="1"/>
  <c r="G179" i="70"/>
  <c r="H153" i="66" s="1"/>
  <c r="F179" i="70"/>
  <c r="G153" i="66" s="1"/>
  <c r="E179" i="70"/>
  <c r="F153" i="66" s="1"/>
  <c r="D179" i="70"/>
  <c r="E153" i="66" s="1"/>
  <c r="C22" i="56" l="1"/>
  <c r="C136" i="70"/>
  <c r="C125" i="50"/>
  <c r="D144" i="79" s="1"/>
  <c r="E117" i="78" s="1"/>
  <c r="K125" i="50"/>
  <c r="L144" i="79" s="1"/>
  <c r="M117" i="78" s="1"/>
  <c r="C130" i="50"/>
  <c r="D179" i="79" s="1"/>
  <c r="E141" i="78" s="1"/>
  <c r="G131" i="50"/>
  <c r="H186" i="79" s="1"/>
  <c r="C127" i="50"/>
  <c r="K127" i="50"/>
  <c r="L158" i="79" s="1"/>
  <c r="M129" i="78" s="1"/>
  <c r="D125" i="50"/>
  <c r="E144" i="79" s="1"/>
  <c r="F117" i="78" s="1"/>
  <c r="L125" i="50"/>
  <c r="M144" i="79" s="1"/>
  <c r="N117" i="78" s="1"/>
  <c r="H131" i="50"/>
  <c r="I186" i="79" s="1"/>
  <c r="D127" i="50"/>
  <c r="E158" i="79" s="1"/>
  <c r="F129" i="78" s="1"/>
  <c r="L127" i="50"/>
  <c r="M158" i="79" s="1"/>
  <c r="N129" i="78" s="1"/>
  <c r="E125" i="50"/>
  <c r="F144" i="79" s="1"/>
  <c r="G117" i="78" s="1"/>
  <c r="I125" i="50"/>
  <c r="J144" i="79" s="1"/>
  <c r="K117" i="78" s="1"/>
  <c r="M125" i="50"/>
  <c r="N144" i="79" s="1"/>
  <c r="O117" i="78" s="1"/>
  <c r="E130" i="50"/>
  <c r="F179" i="79" s="1"/>
  <c r="G141" i="78" s="1"/>
  <c r="E131" i="50"/>
  <c r="F186" i="79" s="1"/>
  <c r="I131" i="50"/>
  <c r="J186" i="79" s="1"/>
  <c r="M131" i="50"/>
  <c r="N186" i="79" s="1"/>
  <c r="E127" i="50"/>
  <c r="F158" i="79" s="1"/>
  <c r="G129" i="78" s="1"/>
  <c r="I127" i="50"/>
  <c r="J158" i="79" s="1"/>
  <c r="K129" i="78" s="1"/>
  <c r="M127" i="50"/>
  <c r="N158" i="79" s="1"/>
  <c r="O129" i="78" s="1"/>
  <c r="G125" i="50"/>
  <c r="H144" i="79" s="1"/>
  <c r="I117" i="78" s="1"/>
  <c r="C131" i="50"/>
  <c r="K131" i="50"/>
  <c r="L186" i="79" s="1"/>
  <c r="G127" i="50"/>
  <c r="H158" i="79" s="1"/>
  <c r="I129" i="78" s="1"/>
  <c r="H125" i="50"/>
  <c r="I144" i="79" s="1"/>
  <c r="J117" i="78" s="1"/>
  <c r="D130" i="50"/>
  <c r="E179" i="79" s="1"/>
  <c r="F141" i="78" s="1"/>
  <c r="D131" i="59"/>
  <c r="E194" i="79" s="1"/>
  <c r="F146" i="78" s="1"/>
  <c r="D131" i="50"/>
  <c r="E186" i="79" s="1"/>
  <c r="L131" i="50"/>
  <c r="H127" i="50"/>
  <c r="I158" i="79" s="1"/>
  <c r="J129" i="78" s="1"/>
  <c r="B125" i="50"/>
  <c r="P68" i="55"/>
  <c r="F125" i="50"/>
  <c r="G144" i="79" s="1"/>
  <c r="H117" i="78" s="1"/>
  <c r="J125" i="50"/>
  <c r="K144" i="79" s="1"/>
  <c r="L117" i="78" s="1"/>
  <c r="F39" i="60"/>
  <c r="G181" i="70" s="1"/>
  <c r="H151" i="66" s="1"/>
  <c r="F130" i="50"/>
  <c r="G179" i="79" s="1"/>
  <c r="H141" i="78" s="1"/>
  <c r="B131" i="50"/>
  <c r="P65" i="74"/>
  <c r="F131" i="50"/>
  <c r="G186" i="79" s="1"/>
  <c r="J131" i="50"/>
  <c r="K186" i="79" s="1"/>
  <c r="B127" i="50"/>
  <c r="P69" i="58"/>
  <c r="F127" i="50"/>
  <c r="J127" i="50"/>
  <c r="K158" i="79" s="1"/>
  <c r="L129" i="78" s="1"/>
  <c r="B129" i="60"/>
  <c r="C181" i="79" s="1"/>
  <c r="D139" i="78" s="1"/>
  <c r="B39" i="50"/>
  <c r="N39" i="50" s="1"/>
  <c r="B131" i="59"/>
  <c r="P68" i="75"/>
  <c r="B132" i="50"/>
  <c r="B84" i="60"/>
  <c r="C186" i="79" l="1"/>
  <c r="N131" i="50"/>
  <c r="O131" i="50"/>
  <c r="C193" i="79"/>
  <c r="D147" i="78" s="1"/>
  <c r="N127" i="50"/>
  <c r="O127" i="50"/>
  <c r="O39" i="50"/>
  <c r="D39" i="59"/>
  <c r="E180" i="70" s="1"/>
  <c r="F152" i="66" s="1"/>
  <c r="D39" i="60"/>
  <c r="E181" i="70" s="1"/>
  <c r="F151" i="66" s="1"/>
  <c r="E39" i="59"/>
  <c r="F180" i="70" s="1"/>
  <c r="G152" i="66" s="1"/>
  <c r="E39" i="60"/>
  <c r="F181" i="70" s="1"/>
  <c r="G151" i="66" s="1"/>
  <c r="C39" i="59"/>
  <c r="D180" i="70" s="1"/>
  <c r="E152" i="66" s="1"/>
  <c r="C39" i="60"/>
  <c r="D181" i="70" s="1"/>
  <c r="E151" i="66" s="1"/>
  <c r="P55" i="73"/>
  <c r="F39" i="59"/>
  <c r="G180" i="70" s="1"/>
  <c r="H152" i="66" s="1"/>
  <c r="C129" i="60"/>
  <c r="D181" i="79" s="1"/>
  <c r="E139" i="78" s="1"/>
  <c r="P67" i="75"/>
  <c r="C179" i="70"/>
  <c r="T179" i="70"/>
  <c r="K128" i="50"/>
  <c r="L165" i="79" s="1"/>
  <c r="B124" i="59"/>
  <c r="P67" i="55"/>
  <c r="D186" i="79"/>
  <c r="C124" i="50"/>
  <c r="F128" i="50"/>
  <c r="G165" i="79" s="1"/>
  <c r="I124" i="59"/>
  <c r="J145" i="79" s="1"/>
  <c r="K116" i="78" s="1"/>
  <c r="L126" i="59"/>
  <c r="M159" i="79" s="1"/>
  <c r="N128" i="78" s="1"/>
  <c r="D124" i="59"/>
  <c r="H128" i="50"/>
  <c r="I165" i="79" s="1"/>
  <c r="C126" i="59"/>
  <c r="B124" i="50"/>
  <c r="P68" i="56"/>
  <c r="L130" i="59"/>
  <c r="M187" i="79" s="1"/>
  <c r="D124" i="50"/>
  <c r="C130" i="59"/>
  <c r="D187" i="79" s="1"/>
  <c r="M126" i="59"/>
  <c r="N159" i="79" s="1"/>
  <c r="O128" i="78" s="1"/>
  <c r="D158" i="79"/>
  <c r="E129" i="78" s="1"/>
  <c r="B130" i="50"/>
  <c r="P69" i="73"/>
  <c r="G158" i="79"/>
  <c r="H129" i="78" s="1"/>
  <c r="C158" i="79"/>
  <c r="D129" i="78" s="1"/>
  <c r="T158" i="79"/>
  <c r="F124" i="59"/>
  <c r="G145" i="79" s="1"/>
  <c r="H116" i="78" s="1"/>
  <c r="C144" i="79"/>
  <c r="D117" i="78" s="1"/>
  <c r="N125" i="50"/>
  <c r="O125" i="50"/>
  <c r="T186" i="79"/>
  <c r="M186" i="79"/>
  <c r="L128" i="50"/>
  <c r="M165" i="79" s="1"/>
  <c r="P61" i="73"/>
  <c r="G124" i="59"/>
  <c r="H145" i="79" s="1"/>
  <c r="I116" i="78" s="1"/>
  <c r="I130" i="50"/>
  <c r="J179" i="79" s="1"/>
  <c r="K141" i="78" s="1"/>
  <c r="M124" i="50"/>
  <c r="I124" i="50"/>
  <c r="M124" i="59"/>
  <c r="N145" i="79" s="1"/>
  <c r="O116" i="78" s="1"/>
  <c r="E124" i="59"/>
  <c r="F145" i="79" s="1"/>
  <c r="G116" i="78" s="1"/>
  <c r="I128" i="50"/>
  <c r="J165" i="79" s="1"/>
  <c r="D126" i="59"/>
  <c r="E159" i="79" s="1"/>
  <c r="F128" i="78" s="1"/>
  <c r="L124" i="50"/>
  <c r="L124" i="59"/>
  <c r="M145" i="79" s="1"/>
  <c r="N116" i="78" s="1"/>
  <c r="K126" i="59"/>
  <c r="L159" i="79" s="1"/>
  <c r="M128" i="78" s="1"/>
  <c r="G124" i="50"/>
  <c r="J130" i="59"/>
  <c r="K187" i="79" s="1"/>
  <c r="H130" i="50"/>
  <c r="I179" i="79" s="1"/>
  <c r="J141" i="78" s="1"/>
  <c r="M128" i="50"/>
  <c r="N165" i="79" s="1"/>
  <c r="H130" i="59"/>
  <c r="I187" i="79" s="1"/>
  <c r="C194" i="79"/>
  <c r="D146" i="78" s="1"/>
  <c r="J126" i="59"/>
  <c r="K159" i="79" s="1"/>
  <c r="L128" i="78" s="1"/>
  <c r="B126" i="59"/>
  <c r="P68" i="58"/>
  <c r="F130" i="59"/>
  <c r="G187" i="79" s="1"/>
  <c r="B130" i="59"/>
  <c r="P64" i="74"/>
  <c r="J124" i="59"/>
  <c r="K145" i="79" s="1"/>
  <c r="L116" i="78" s="1"/>
  <c r="E128" i="50"/>
  <c r="F165" i="79" s="1"/>
  <c r="L130" i="50"/>
  <c r="M179" i="79" s="1"/>
  <c r="N141" i="78" s="1"/>
  <c r="D128" i="50"/>
  <c r="E165" i="79" s="1"/>
  <c r="G126" i="59"/>
  <c r="H159" i="79" s="1"/>
  <c r="I128" i="78" s="1"/>
  <c r="G130" i="50"/>
  <c r="H179" i="79" s="1"/>
  <c r="I141" i="78" s="1"/>
  <c r="J128" i="50"/>
  <c r="K165" i="79" s="1"/>
  <c r="E126" i="59"/>
  <c r="F159" i="79" s="1"/>
  <c r="G128" i="78" s="1"/>
  <c r="I130" i="59"/>
  <c r="J187" i="79" s="1"/>
  <c r="H124" i="50"/>
  <c r="K124" i="59"/>
  <c r="L145" i="79" s="1"/>
  <c r="M116" i="78" s="1"/>
  <c r="G128" i="50"/>
  <c r="H165" i="79" s="1"/>
  <c r="C128" i="50"/>
  <c r="D165" i="79" s="1"/>
  <c r="F126" i="59"/>
  <c r="G159" i="79" s="1"/>
  <c r="H128" i="78" s="1"/>
  <c r="J130" i="50"/>
  <c r="K179" i="79" s="1"/>
  <c r="L141" i="78" s="1"/>
  <c r="J124" i="50"/>
  <c r="F124" i="50"/>
  <c r="G137" i="79" s="1"/>
  <c r="H126" i="59"/>
  <c r="I159" i="79" s="1"/>
  <c r="J128" i="78" s="1"/>
  <c r="D130" i="59"/>
  <c r="E187" i="79" s="1"/>
  <c r="H124" i="59"/>
  <c r="I145" i="79" s="1"/>
  <c r="J116" i="78" s="1"/>
  <c r="K130" i="59"/>
  <c r="L187" i="79" s="1"/>
  <c r="P55" i="56"/>
  <c r="I126" i="59"/>
  <c r="J159" i="79" s="1"/>
  <c r="K128" i="78" s="1"/>
  <c r="M130" i="59"/>
  <c r="N187" i="79" s="1"/>
  <c r="E130" i="59"/>
  <c r="F187" i="79" s="1"/>
  <c r="M130" i="50"/>
  <c r="N179" i="79" s="1"/>
  <c r="O141" i="78" s="1"/>
  <c r="P56" i="73"/>
  <c r="E124" i="50"/>
  <c r="P60" i="56"/>
  <c r="G130" i="59"/>
  <c r="H187" i="79" s="1"/>
  <c r="K130" i="50"/>
  <c r="L179" i="79" s="1"/>
  <c r="M141" i="78" s="1"/>
  <c r="K124" i="50"/>
  <c r="C124" i="59"/>
  <c r="P55" i="55"/>
  <c r="P60" i="55"/>
  <c r="C250" i="69"/>
  <c r="T144" i="79" l="1"/>
  <c r="O130" i="59"/>
  <c r="T187" i="79" s="1"/>
  <c r="N130" i="59"/>
  <c r="O130" i="50"/>
  <c r="T179" i="79" s="1"/>
  <c r="N130" i="50"/>
  <c r="N126" i="59"/>
  <c r="O126" i="59"/>
  <c r="T159" i="79" s="1"/>
  <c r="P179" i="70"/>
  <c r="D153" i="66"/>
  <c r="E182" i="70"/>
  <c r="D182" i="70"/>
  <c r="G182" i="70"/>
  <c r="E233" i="65"/>
  <c r="P144" i="79"/>
  <c r="P186" i="79"/>
  <c r="P158" i="79"/>
  <c r="E129" i="60"/>
  <c r="F181" i="79" s="1"/>
  <c r="G139" i="78" s="1"/>
  <c r="B39" i="59"/>
  <c r="F129" i="60"/>
  <c r="G181" i="79" s="1"/>
  <c r="H139" i="78" s="1"/>
  <c r="D129" i="60"/>
  <c r="E181" i="79" s="1"/>
  <c r="F139" i="78" s="1"/>
  <c r="F182" i="70"/>
  <c r="F137" i="79"/>
  <c r="C127" i="59"/>
  <c r="D166" i="79" s="1"/>
  <c r="J127" i="59"/>
  <c r="K166" i="79" s="1"/>
  <c r="N137" i="79"/>
  <c r="H127" i="59"/>
  <c r="I166" i="79" s="1"/>
  <c r="E137" i="79"/>
  <c r="P55" i="57"/>
  <c r="B37" i="50"/>
  <c r="C165" i="70" s="1"/>
  <c r="D141" i="66" s="1"/>
  <c r="K123" i="59"/>
  <c r="J123" i="59"/>
  <c r="G127" i="59"/>
  <c r="H166" i="79" s="1"/>
  <c r="D127" i="59"/>
  <c r="E166" i="79" s="1"/>
  <c r="E127" i="59"/>
  <c r="F166" i="79" s="1"/>
  <c r="C187" i="79"/>
  <c r="J137" i="79"/>
  <c r="B123" i="59"/>
  <c r="P67" i="56"/>
  <c r="D159" i="79"/>
  <c r="E128" i="78" s="1"/>
  <c r="F127" i="59"/>
  <c r="G166" i="79" s="1"/>
  <c r="C123" i="59"/>
  <c r="C145" i="79"/>
  <c r="D116" i="78" s="1"/>
  <c r="O124" i="59"/>
  <c r="B128" i="50"/>
  <c r="P68" i="57"/>
  <c r="N124" i="59"/>
  <c r="D145" i="79"/>
  <c r="E116" i="78" s="1"/>
  <c r="F123" i="59"/>
  <c r="H123" i="59"/>
  <c r="C159" i="79"/>
  <c r="D128" i="78" s="1"/>
  <c r="H137" i="79"/>
  <c r="O124" i="50"/>
  <c r="T137" i="79" s="1"/>
  <c r="M137" i="79"/>
  <c r="D123" i="59"/>
  <c r="E138" i="79" s="1"/>
  <c r="P60" i="57"/>
  <c r="B82" i="50"/>
  <c r="I137" i="79"/>
  <c r="M127" i="59"/>
  <c r="N166" i="79" s="1"/>
  <c r="I123" i="59"/>
  <c r="L127" i="59"/>
  <c r="M166" i="79" s="1"/>
  <c r="N124" i="50"/>
  <c r="L137" i="79"/>
  <c r="E123" i="59"/>
  <c r="K137" i="79"/>
  <c r="G123" i="59"/>
  <c r="L123" i="59"/>
  <c r="I127" i="59"/>
  <c r="J166" i="79" s="1"/>
  <c r="M123" i="59"/>
  <c r="C179" i="79"/>
  <c r="C137" i="79"/>
  <c r="E145" i="79"/>
  <c r="D137" i="79"/>
  <c r="K127" i="59"/>
  <c r="L166" i="79" s="1"/>
  <c r="B57" i="75"/>
  <c r="B52" i="75"/>
  <c r="B23" i="75"/>
  <c r="B22" i="75"/>
  <c r="B14" i="75"/>
  <c r="B13" i="75"/>
  <c r="B57" i="74"/>
  <c r="B52" i="74"/>
  <c r="B23" i="74"/>
  <c r="B22" i="74"/>
  <c r="B14" i="74"/>
  <c r="B13" i="74"/>
  <c r="B15" i="58"/>
  <c r="B14" i="58"/>
  <c r="A52" i="52"/>
  <c r="T145" i="79" l="1"/>
  <c r="C180" i="70"/>
  <c r="D152" i="66" s="1"/>
  <c r="C228" i="69"/>
  <c r="E215" i="65" s="1"/>
  <c r="B135" i="50"/>
  <c r="O128" i="50"/>
  <c r="N128" i="50"/>
  <c r="F116" i="78"/>
  <c r="K22" i="56"/>
  <c r="K136" i="70"/>
  <c r="J22" i="57"/>
  <c r="J164" i="70"/>
  <c r="N23" i="58"/>
  <c r="N157" i="70"/>
  <c r="J23" i="58"/>
  <c r="J157" i="70"/>
  <c r="M22" i="55"/>
  <c r="M143" i="70"/>
  <c r="I22" i="55"/>
  <c r="I143" i="70"/>
  <c r="G23" i="73"/>
  <c r="F84" i="59" s="1"/>
  <c r="G249" i="69" s="1"/>
  <c r="I234" i="65" s="1"/>
  <c r="G178" i="70"/>
  <c r="K23" i="73"/>
  <c r="K178" i="70"/>
  <c r="K22" i="74"/>
  <c r="K185" i="70"/>
  <c r="C22" i="75"/>
  <c r="C192" i="70"/>
  <c r="C23" i="56"/>
  <c r="C187" i="69"/>
  <c r="K23" i="56"/>
  <c r="K187" i="69"/>
  <c r="G23" i="55"/>
  <c r="G197" i="69"/>
  <c r="I182" i="65" s="1"/>
  <c r="C24" i="58"/>
  <c r="C217" i="69"/>
  <c r="K24" i="58"/>
  <c r="K217" i="69"/>
  <c r="G23" i="57"/>
  <c r="G227" i="69"/>
  <c r="C24" i="73"/>
  <c r="N85" i="52"/>
  <c r="C247" i="69"/>
  <c r="C23" i="74"/>
  <c r="N86" i="52"/>
  <c r="C257" i="69"/>
  <c r="G23" i="74"/>
  <c r="G257" i="69"/>
  <c r="C23" i="75"/>
  <c r="N87" i="52"/>
  <c r="C267" i="69"/>
  <c r="D22" i="56"/>
  <c r="D136" i="70"/>
  <c r="M22" i="57"/>
  <c r="M164" i="70"/>
  <c r="I22" i="57"/>
  <c r="I164" i="70"/>
  <c r="I23" i="58"/>
  <c r="I157" i="70"/>
  <c r="E23" i="58"/>
  <c r="E157" i="70"/>
  <c r="D22" i="55"/>
  <c r="D143" i="70"/>
  <c r="D23" i="73"/>
  <c r="D178" i="70"/>
  <c r="D22" i="74"/>
  <c r="D185" i="70"/>
  <c r="H22" i="74"/>
  <c r="H185" i="70"/>
  <c r="H22" i="75"/>
  <c r="H192" i="70"/>
  <c r="L22" i="75"/>
  <c r="L192" i="70"/>
  <c r="L23" i="56"/>
  <c r="L187" i="69"/>
  <c r="D24" i="58"/>
  <c r="D217" i="69"/>
  <c r="E22" i="56"/>
  <c r="E136" i="70"/>
  <c r="M22" i="56"/>
  <c r="M136" i="70"/>
  <c r="L22" i="57"/>
  <c r="L164" i="70"/>
  <c r="D22" i="57"/>
  <c r="D164" i="70"/>
  <c r="L23" i="58"/>
  <c r="L157" i="70"/>
  <c r="D23" i="58"/>
  <c r="D157" i="70"/>
  <c r="K22" i="55"/>
  <c r="K143" i="70"/>
  <c r="G22" i="55"/>
  <c r="G143" i="70"/>
  <c r="E23" i="73"/>
  <c r="D84" i="59" s="1"/>
  <c r="E249" i="69" s="1"/>
  <c r="G234" i="65" s="1"/>
  <c r="E178" i="70"/>
  <c r="I23" i="73"/>
  <c r="I178" i="70"/>
  <c r="E22" i="74"/>
  <c r="E185" i="70"/>
  <c r="I22" i="74"/>
  <c r="I185" i="70"/>
  <c r="E22" i="75"/>
  <c r="E192" i="70"/>
  <c r="I22" i="75"/>
  <c r="I192" i="70"/>
  <c r="E23" i="56"/>
  <c r="E187" i="69"/>
  <c r="M23" i="56"/>
  <c r="M187" i="69"/>
  <c r="E23" i="55"/>
  <c r="E197" i="69"/>
  <c r="G182" i="65" s="1"/>
  <c r="M23" i="55"/>
  <c r="M197" i="69"/>
  <c r="O182" i="65" s="1"/>
  <c r="E24" i="58"/>
  <c r="E217" i="69"/>
  <c r="M24" i="58"/>
  <c r="M217" i="69"/>
  <c r="E23" i="57"/>
  <c r="E227" i="69"/>
  <c r="M23" i="57"/>
  <c r="M227" i="69"/>
  <c r="E24" i="73"/>
  <c r="E247" i="69"/>
  <c r="E23" i="74"/>
  <c r="E257" i="69"/>
  <c r="F22" i="56"/>
  <c r="F136" i="70"/>
  <c r="J22" i="56"/>
  <c r="J136" i="70"/>
  <c r="N22" i="56"/>
  <c r="N136" i="70"/>
  <c r="K22" i="57"/>
  <c r="K164" i="70"/>
  <c r="G22" i="57"/>
  <c r="G164" i="70"/>
  <c r="C22" i="57"/>
  <c r="C164" i="70"/>
  <c r="K23" i="58"/>
  <c r="K157" i="70"/>
  <c r="G23" i="58"/>
  <c r="G157" i="70"/>
  <c r="N22" i="55"/>
  <c r="N143" i="70"/>
  <c r="J22" i="55"/>
  <c r="J143" i="70"/>
  <c r="F22" i="55"/>
  <c r="F143" i="70"/>
  <c r="C23" i="58"/>
  <c r="C157" i="70"/>
  <c r="F23" i="73"/>
  <c r="E84" i="59" s="1"/>
  <c r="F249" i="69" s="1"/>
  <c r="H234" i="65" s="1"/>
  <c r="F178" i="70"/>
  <c r="J23" i="73"/>
  <c r="J178" i="70"/>
  <c r="N23" i="73"/>
  <c r="N178" i="70"/>
  <c r="F22" i="74"/>
  <c r="F185" i="70"/>
  <c r="J22" i="74"/>
  <c r="J185" i="70"/>
  <c r="N22" i="74"/>
  <c r="N185" i="70"/>
  <c r="F22" i="75"/>
  <c r="F192" i="70"/>
  <c r="J22" i="75"/>
  <c r="J192" i="70"/>
  <c r="N22" i="75"/>
  <c r="N192" i="70"/>
  <c r="F23" i="56"/>
  <c r="F187" i="69"/>
  <c r="J23" i="56"/>
  <c r="J187" i="69"/>
  <c r="N23" i="56"/>
  <c r="N187" i="69"/>
  <c r="F23" i="55"/>
  <c r="F197" i="69"/>
  <c r="H182" i="65" s="1"/>
  <c r="J23" i="55"/>
  <c r="J197" i="69"/>
  <c r="L182" i="65" s="1"/>
  <c r="N23" i="55"/>
  <c r="N197" i="69"/>
  <c r="P182" i="65" s="1"/>
  <c r="F24" i="58"/>
  <c r="F217" i="69"/>
  <c r="J24" i="58"/>
  <c r="J217" i="69"/>
  <c r="N24" i="58"/>
  <c r="N217" i="69"/>
  <c r="F23" i="57"/>
  <c r="F227" i="69"/>
  <c r="J23" i="57"/>
  <c r="J227" i="69"/>
  <c r="N23" i="57"/>
  <c r="N227" i="69"/>
  <c r="F24" i="73"/>
  <c r="F247" i="69"/>
  <c r="J24" i="73"/>
  <c r="J247" i="69"/>
  <c r="N24" i="73"/>
  <c r="N247" i="69"/>
  <c r="F23" i="74"/>
  <c r="F257" i="69"/>
  <c r="J23" i="74"/>
  <c r="J257" i="69"/>
  <c r="N23" i="74"/>
  <c r="N257" i="69"/>
  <c r="F23" i="75"/>
  <c r="F267" i="69"/>
  <c r="J23" i="75"/>
  <c r="J267" i="69"/>
  <c r="N23" i="75"/>
  <c r="N267" i="69"/>
  <c r="N22" i="57"/>
  <c r="N164" i="70"/>
  <c r="F22" i="57"/>
  <c r="F164" i="70"/>
  <c r="F23" i="58"/>
  <c r="F157" i="70"/>
  <c r="E22" i="55"/>
  <c r="E143" i="70"/>
  <c r="C22" i="74"/>
  <c r="C185" i="70"/>
  <c r="G22" i="75"/>
  <c r="G192" i="70"/>
  <c r="G23" i="56"/>
  <c r="G187" i="69"/>
  <c r="K23" i="55"/>
  <c r="K197" i="69"/>
  <c r="M182" i="65" s="1"/>
  <c r="C23" i="57"/>
  <c r="C227" i="69"/>
  <c r="G24" i="73"/>
  <c r="G247" i="69"/>
  <c r="H22" i="56"/>
  <c r="H136" i="70"/>
  <c r="E22" i="57"/>
  <c r="E164" i="70"/>
  <c r="H22" i="55"/>
  <c r="H143" i="70"/>
  <c r="L23" i="73"/>
  <c r="L178" i="70"/>
  <c r="L22" i="74"/>
  <c r="L185" i="70"/>
  <c r="D23" i="56"/>
  <c r="D187" i="69"/>
  <c r="D23" i="55"/>
  <c r="D197" i="69"/>
  <c r="F182" i="65" s="1"/>
  <c r="L23" i="55"/>
  <c r="L197" i="69"/>
  <c r="N182" i="65" s="1"/>
  <c r="H24" i="58"/>
  <c r="H217" i="69"/>
  <c r="L24" i="58"/>
  <c r="L217" i="69"/>
  <c r="D23" i="57"/>
  <c r="D227" i="69"/>
  <c r="H23" i="57"/>
  <c r="H227" i="69"/>
  <c r="L23" i="57"/>
  <c r="L227" i="69"/>
  <c r="D24" i="73"/>
  <c r="D247" i="69"/>
  <c r="H24" i="73"/>
  <c r="H247" i="69"/>
  <c r="L24" i="73"/>
  <c r="L247" i="69"/>
  <c r="D23" i="74"/>
  <c r="D257" i="69"/>
  <c r="H23" i="74"/>
  <c r="H257" i="69"/>
  <c r="L23" i="74"/>
  <c r="L257" i="69"/>
  <c r="D23" i="75"/>
  <c r="D267" i="69"/>
  <c r="H23" i="75"/>
  <c r="H267" i="69"/>
  <c r="L23" i="75"/>
  <c r="L267" i="69"/>
  <c r="G22" i="56"/>
  <c r="G136" i="70"/>
  <c r="G22" i="74"/>
  <c r="G185" i="70"/>
  <c r="K22" i="75"/>
  <c r="K192" i="70"/>
  <c r="C23" i="55"/>
  <c r="C197" i="69"/>
  <c r="E182" i="65" s="1"/>
  <c r="G24" i="58"/>
  <c r="G217" i="69"/>
  <c r="K23" i="57"/>
  <c r="K227" i="69"/>
  <c r="K24" i="73"/>
  <c r="K247" i="69"/>
  <c r="K23" i="74"/>
  <c r="K257" i="69"/>
  <c r="G23" i="75"/>
  <c r="G267" i="69"/>
  <c r="K23" i="75"/>
  <c r="K267" i="69"/>
  <c r="L22" i="56"/>
  <c r="L136" i="70"/>
  <c r="M23" i="58"/>
  <c r="M157" i="70"/>
  <c r="L22" i="55"/>
  <c r="L143" i="70"/>
  <c r="H23" i="73"/>
  <c r="H178" i="70"/>
  <c r="D22" i="75"/>
  <c r="D192" i="70"/>
  <c r="H23" i="56"/>
  <c r="H187" i="69"/>
  <c r="H23" i="55"/>
  <c r="H197" i="69"/>
  <c r="J182" i="65" s="1"/>
  <c r="I22" i="56"/>
  <c r="I136" i="70"/>
  <c r="H22" i="57"/>
  <c r="H164" i="70"/>
  <c r="H23" i="58"/>
  <c r="H157" i="70"/>
  <c r="C22" i="55"/>
  <c r="C143" i="70"/>
  <c r="M23" i="73"/>
  <c r="M178" i="70"/>
  <c r="M22" i="74"/>
  <c r="M185" i="70"/>
  <c r="M22" i="75"/>
  <c r="M192" i="70"/>
  <c r="I23" i="56"/>
  <c r="I187" i="69"/>
  <c r="I23" i="55"/>
  <c r="I197" i="69"/>
  <c r="K182" i="65" s="1"/>
  <c r="I24" i="58"/>
  <c r="I217" i="69"/>
  <c r="I23" i="57"/>
  <c r="I227" i="69"/>
  <c r="I24" i="73"/>
  <c r="I247" i="69"/>
  <c r="M24" i="73"/>
  <c r="M247" i="69"/>
  <c r="I23" i="74"/>
  <c r="I257" i="69"/>
  <c r="M23" i="74"/>
  <c r="M257" i="69"/>
  <c r="E23" i="75"/>
  <c r="E267" i="69"/>
  <c r="I23" i="75"/>
  <c r="I267" i="69"/>
  <c r="M23" i="75"/>
  <c r="M267" i="69"/>
  <c r="D141" i="78"/>
  <c r="P179" i="79"/>
  <c r="Q145" i="79"/>
  <c r="Q187" i="79"/>
  <c r="Q159" i="79"/>
  <c r="D138" i="79"/>
  <c r="J138" i="79"/>
  <c r="F138" i="79"/>
  <c r="C165" i="79"/>
  <c r="B127" i="59"/>
  <c r="P67" i="57"/>
  <c r="K138" i="79"/>
  <c r="G138" i="79"/>
  <c r="C138" i="79"/>
  <c r="N123" i="59"/>
  <c r="O123" i="59"/>
  <c r="T138" i="79" s="1"/>
  <c r="E154" i="68"/>
  <c r="U179" i="70"/>
  <c r="N138" i="79"/>
  <c r="M138" i="79"/>
  <c r="H138" i="79"/>
  <c r="I138" i="79"/>
  <c r="L138" i="79"/>
  <c r="D84" i="60"/>
  <c r="B39" i="60"/>
  <c r="B43" i="52"/>
  <c r="C43" i="52"/>
  <c r="G43" i="52"/>
  <c r="K43" i="52"/>
  <c r="N39" i="52"/>
  <c r="T178" i="70" s="1"/>
  <c r="N40" i="52"/>
  <c r="T185" i="70" s="1"/>
  <c r="N41" i="52"/>
  <c r="T192" i="70" s="1"/>
  <c r="F43" i="52"/>
  <c r="J43" i="52"/>
  <c r="D43" i="52"/>
  <c r="H43" i="52"/>
  <c r="L43" i="52"/>
  <c r="E43" i="52"/>
  <c r="I43" i="52"/>
  <c r="M43" i="52"/>
  <c r="H129" i="59" l="1"/>
  <c r="I180" i="79" s="1"/>
  <c r="J140" i="78" s="1"/>
  <c r="G129" i="59"/>
  <c r="H180" i="79" s="1"/>
  <c r="I140" i="78" s="1"/>
  <c r="D129" i="59"/>
  <c r="E180" i="79" s="1"/>
  <c r="F140" i="78" s="1"/>
  <c r="L129" i="59"/>
  <c r="M180" i="79" s="1"/>
  <c r="N140" i="78" s="1"/>
  <c r="K129" i="59"/>
  <c r="L180" i="79" s="1"/>
  <c r="M140" i="78" s="1"/>
  <c r="C129" i="59"/>
  <c r="D180" i="79" s="1"/>
  <c r="E140" i="78" s="1"/>
  <c r="F129" i="59"/>
  <c r="G180" i="79" s="1"/>
  <c r="H140" i="78" s="1"/>
  <c r="M129" i="59"/>
  <c r="N180" i="79" s="1"/>
  <c r="O140" i="78" s="1"/>
  <c r="E129" i="59"/>
  <c r="F180" i="79" s="1"/>
  <c r="G140" i="78" s="1"/>
  <c r="J129" i="59"/>
  <c r="K180" i="79" s="1"/>
  <c r="L140" i="78" s="1"/>
  <c r="B82" i="59"/>
  <c r="I129" i="59"/>
  <c r="J180" i="79" s="1"/>
  <c r="K140" i="78" s="1"/>
  <c r="O127" i="59"/>
  <c r="N127" i="59"/>
  <c r="C229" i="69"/>
  <c r="E214" i="65" s="1"/>
  <c r="P54" i="57"/>
  <c r="T267" i="69"/>
  <c r="T247" i="69"/>
  <c r="T257" i="69"/>
  <c r="B37" i="59"/>
  <c r="O143" i="70"/>
  <c r="P59" i="57"/>
  <c r="O227" i="69"/>
  <c r="P59" i="55"/>
  <c r="C84" i="59"/>
  <c r="D249" i="69" s="1"/>
  <c r="F234" i="65" s="1"/>
  <c r="P60" i="73"/>
  <c r="P54" i="56"/>
  <c r="O217" i="69"/>
  <c r="O192" i="70"/>
  <c r="O185" i="70"/>
  <c r="O247" i="69"/>
  <c r="O257" i="69"/>
  <c r="O187" i="69"/>
  <c r="O267" i="69"/>
  <c r="O197" i="69"/>
  <c r="O157" i="70"/>
  <c r="O164" i="70"/>
  <c r="O178" i="70"/>
  <c r="E153" i="68" s="1"/>
  <c r="O136" i="70"/>
  <c r="B129" i="59"/>
  <c r="P68" i="73"/>
  <c r="P59" i="56"/>
  <c r="T165" i="79"/>
  <c r="P165" i="79"/>
  <c r="C166" i="79"/>
  <c r="E250" i="69"/>
  <c r="G233" i="65" s="1"/>
  <c r="C181" i="70"/>
  <c r="D151" i="66" s="1"/>
  <c r="C84" i="60"/>
  <c r="E84" i="60"/>
  <c r="F84" i="60"/>
  <c r="D133" i="59" l="1"/>
  <c r="E182" i="79"/>
  <c r="F182" i="79"/>
  <c r="B133" i="59"/>
  <c r="O129" i="59"/>
  <c r="T180" i="79" s="1"/>
  <c r="N129" i="59"/>
  <c r="C166" i="70"/>
  <c r="D140" i="66" s="1"/>
  <c r="P54" i="55"/>
  <c r="F159" i="68"/>
  <c r="U257" i="69"/>
  <c r="E159" i="68"/>
  <c r="U185" i="70"/>
  <c r="E165" i="68"/>
  <c r="U192" i="70"/>
  <c r="C180" i="79"/>
  <c r="F165" i="68"/>
  <c r="U267" i="69"/>
  <c r="O199" i="70"/>
  <c r="O277" i="69"/>
  <c r="F153" i="68"/>
  <c r="U247" i="69"/>
  <c r="U178" i="70"/>
  <c r="T166" i="79"/>
  <c r="Q166" i="79"/>
  <c r="D250" i="69"/>
  <c r="G250" i="69"/>
  <c r="I233" i="65" s="1"/>
  <c r="G182" i="79"/>
  <c r="F250" i="69"/>
  <c r="C182" i="70"/>
  <c r="D140" i="78" l="1"/>
  <c r="Q180" i="79"/>
  <c r="C182" i="79"/>
  <c r="F233" i="65"/>
  <c r="D182" i="79"/>
  <c r="H233" i="65"/>
  <c r="N28" i="23"/>
  <c r="M28" i="23"/>
  <c r="L28" i="23"/>
  <c r="K28" i="23"/>
  <c r="J28" i="23"/>
  <c r="I28" i="23"/>
  <c r="H28" i="23"/>
  <c r="G28" i="23"/>
  <c r="F28" i="23"/>
  <c r="E28" i="23"/>
  <c r="D28" i="23"/>
  <c r="C28" i="23"/>
  <c r="B28" i="23"/>
  <c r="N27" i="23"/>
  <c r="M27" i="23"/>
  <c r="L27" i="23"/>
  <c r="K27" i="23"/>
  <c r="J27" i="23"/>
  <c r="I27" i="23"/>
  <c r="H27" i="23"/>
  <c r="G27" i="23"/>
  <c r="F27" i="23"/>
  <c r="E27" i="23"/>
  <c r="D27" i="23"/>
  <c r="B27" i="23"/>
  <c r="B19" i="23"/>
  <c r="B18" i="23"/>
  <c r="N28" i="25"/>
  <c r="M28" i="25"/>
  <c r="L28" i="25"/>
  <c r="K28" i="25"/>
  <c r="J28" i="25"/>
  <c r="I28" i="25"/>
  <c r="H28" i="25"/>
  <c r="G28" i="25"/>
  <c r="F28" i="25"/>
  <c r="E28" i="25"/>
  <c r="D28" i="25"/>
  <c r="B28" i="25"/>
  <c r="N27" i="25"/>
  <c r="M27" i="25"/>
  <c r="L27" i="25"/>
  <c r="K27" i="25"/>
  <c r="J27" i="25"/>
  <c r="I27" i="25"/>
  <c r="H27" i="25"/>
  <c r="G27" i="25"/>
  <c r="F27" i="25"/>
  <c r="E27" i="25"/>
  <c r="D27" i="25"/>
  <c r="C27" i="25"/>
  <c r="B27" i="25"/>
  <c r="B19" i="25"/>
  <c r="B18" i="25"/>
  <c r="N28" i="26"/>
  <c r="M28" i="26"/>
  <c r="L28" i="26"/>
  <c r="K28" i="26"/>
  <c r="J28" i="26"/>
  <c r="I28" i="26"/>
  <c r="H28" i="26"/>
  <c r="G28" i="26"/>
  <c r="F28" i="26"/>
  <c r="E28" i="26"/>
  <c r="D28" i="26"/>
  <c r="C28" i="26"/>
  <c r="B28" i="26"/>
  <c r="N27" i="26"/>
  <c r="M27" i="26"/>
  <c r="L27" i="26"/>
  <c r="K27" i="26"/>
  <c r="J27" i="26"/>
  <c r="I27" i="26"/>
  <c r="H27" i="26"/>
  <c r="G27" i="26"/>
  <c r="F27" i="26"/>
  <c r="E27" i="26"/>
  <c r="D27" i="26"/>
  <c r="C27" i="26"/>
  <c r="B27" i="26"/>
  <c r="B19" i="26"/>
  <c r="B18" i="26"/>
  <c r="N28" i="30"/>
  <c r="M28" i="30"/>
  <c r="L28" i="30"/>
  <c r="K28" i="30"/>
  <c r="J28" i="30"/>
  <c r="I28" i="30"/>
  <c r="H28" i="30"/>
  <c r="G28" i="30"/>
  <c r="F28" i="30"/>
  <c r="E28" i="30"/>
  <c r="D28" i="30"/>
  <c r="C28" i="30"/>
  <c r="B28" i="30"/>
  <c r="N27" i="30"/>
  <c r="M27" i="30"/>
  <c r="L27" i="30"/>
  <c r="K27" i="30"/>
  <c r="J27" i="30"/>
  <c r="I27" i="30"/>
  <c r="H27" i="30"/>
  <c r="G27" i="30"/>
  <c r="F27" i="30"/>
  <c r="E27" i="30"/>
  <c r="D27" i="30"/>
  <c r="C27" i="30"/>
  <c r="B27" i="30"/>
  <c r="B19" i="30"/>
  <c r="B18" i="30"/>
  <c r="N28" i="31"/>
  <c r="M28" i="31"/>
  <c r="L28" i="31"/>
  <c r="K28" i="31"/>
  <c r="J28" i="31"/>
  <c r="I28" i="31"/>
  <c r="H28" i="31"/>
  <c r="G28" i="31"/>
  <c r="F28" i="31"/>
  <c r="E28" i="31"/>
  <c r="D28" i="31"/>
  <c r="C28" i="31"/>
  <c r="B28" i="31"/>
  <c r="N27" i="31"/>
  <c r="M16" i="52" s="1"/>
  <c r="N41" i="70" s="1"/>
  <c r="M27" i="31"/>
  <c r="L16" i="52" s="1"/>
  <c r="M41" i="70" s="1"/>
  <c r="L27" i="31"/>
  <c r="K16" i="52" s="1"/>
  <c r="L41" i="70" s="1"/>
  <c r="K27" i="31"/>
  <c r="J16" i="52" s="1"/>
  <c r="K41" i="70" s="1"/>
  <c r="J27" i="31"/>
  <c r="I16" i="52" s="1"/>
  <c r="J41" i="70" s="1"/>
  <c r="I27" i="31"/>
  <c r="H16" i="52" s="1"/>
  <c r="I41" i="70" s="1"/>
  <c r="H27" i="31"/>
  <c r="G16" i="52" s="1"/>
  <c r="H41" i="70" s="1"/>
  <c r="G27" i="31"/>
  <c r="F16" i="52" s="1"/>
  <c r="G41" i="70" s="1"/>
  <c r="F27" i="31"/>
  <c r="E16" i="52" s="1"/>
  <c r="F41" i="70" s="1"/>
  <c r="E27" i="31"/>
  <c r="D16" i="52" s="1"/>
  <c r="E41" i="70" s="1"/>
  <c r="D27" i="31"/>
  <c r="C16" i="52" s="1"/>
  <c r="D41" i="70" s="1"/>
  <c r="C27" i="31"/>
  <c r="B16" i="52" s="1"/>
  <c r="C41" i="70" s="1"/>
  <c r="B27" i="31"/>
  <c r="B19" i="31"/>
  <c r="B18" i="31"/>
  <c r="N28" i="32"/>
  <c r="M28" i="32"/>
  <c r="L28" i="32"/>
  <c r="K28" i="32"/>
  <c r="J28" i="32"/>
  <c r="I28" i="32"/>
  <c r="H28" i="32"/>
  <c r="G28" i="32"/>
  <c r="F28" i="32"/>
  <c r="E28" i="32"/>
  <c r="D28" i="32"/>
  <c r="C28" i="32"/>
  <c r="B28" i="32"/>
  <c r="N27" i="32"/>
  <c r="M17" i="52" s="1"/>
  <c r="N48" i="70" s="1"/>
  <c r="M27" i="32"/>
  <c r="L17" i="52" s="1"/>
  <c r="M48" i="70" s="1"/>
  <c r="L27" i="32"/>
  <c r="K17" i="52" s="1"/>
  <c r="L48" i="70" s="1"/>
  <c r="K27" i="32"/>
  <c r="J17" i="52" s="1"/>
  <c r="K48" i="70" s="1"/>
  <c r="J27" i="32"/>
  <c r="I17" i="52" s="1"/>
  <c r="J48" i="70" s="1"/>
  <c r="I27" i="32"/>
  <c r="H17" i="52" s="1"/>
  <c r="I48" i="70" s="1"/>
  <c r="H27" i="32"/>
  <c r="G17" i="52" s="1"/>
  <c r="H48" i="70" s="1"/>
  <c r="G27" i="32"/>
  <c r="F17" i="52" s="1"/>
  <c r="G48" i="70" s="1"/>
  <c r="F27" i="32"/>
  <c r="E17" i="52" s="1"/>
  <c r="F48" i="70" s="1"/>
  <c r="E27" i="32"/>
  <c r="D17" i="52" s="1"/>
  <c r="E48" i="70" s="1"/>
  <c r="D27" i="32"/>
  <c r="C17" i="52" s="1"/>
  <c r="D48" i="70" s="1"/>
  <c r="C27" i="32"/>
  <c r="B17" i="52" s="1"/>
  <c r="C48" i="70" s="1"/>
  <c r="B27" i="32"/>
  <c r="B19" i="32"/>
  <c r="B18" i="32"/>
  <c r="N28" i="33"/>
  <c r="M28" i="33"/>
  <c r="L28" i="33"/>
  <c r="K28" i="33"/>
  <c r="J28" i="33"/>
  <c r="I28" i="33"/>
  <c r="H28" i="33"/>
  <c r="G28" i="33"/>
  <c r="F28" i="33"/>
  <c r="E28" i="33"/>
  <c r="D28" i="33"/>
  <c r="C28" i="33"/>
  <c r="B28" i="33"/>
  <c r="N27" i="33"/>
  <c r="M18" i="52" s="1"/>
  <c r="N55" i="70" s="1"/>
  <c r="M27" i="33"/>
  <c r="L18" i="52" s="1"/>
  <c r="M55" i="70" s="1"/>
  <c r="L27" i="33"/>
  <c r="K18" i="52" s="1"/>
  <c r="L55" i="70" s="1"/>
  <c r="K27" i="33"/>
  <c r="J18" i="52" s="1"/>
  <c r="K55" i="70" s="1"/>
  <c r="J27" i="33"/>
  <c r="I18" i="52" s="1"/>
  <c r="J55" i="70" s="1"/>
  <c r="I27" i="33"/>
  <c r="H18" i="52" s="1"/>
  <c r="I55" i="70" s="1"/>
  <c r="H27" i="33"/>
  <c r="G18" i="52" s="1"/>
  <c r="H55" i="70" s="1"/>
  <c r="G27" i="33"/>
  <c r="F18" i="52" s="1"/>
  <c r="G55" i="70" s="1"/>
  <c r="F27" i="33"/>
  <c r="E18" i="52" s="1"/>
  <c r="F55" i="70" s="1"/>
  <c r="E27" i="33"/>
  <c r="D18" i="52" s="1"/>
  <c r="E55" i="70" s="1"/>
  <c r="D27" i="33"/>
  <c r="C18" i="52" s="1"/>
  <c r="D55" i="70" s="1"/>
  <c r="C27" i="33"/>
  <c r="B18" i="52" s="1"/>
  <c r="C55" i="70" s="1"/>
  <c r="B27" i="33"/>
  <c r="B19" i="33"/>
  <c r="B18" i="33"/>
  <c r="N28" i="34"/>
  <c r="M28" i="34"/>
  <c r="L28" i="34"/>
  <c r="K28" i="34"/>
  <c r="J28" i="34"/>
  <c r="I28" i="34"/>
  <c r="H28" i="34"/>
  <c r="G28" i="34"/>
  <c r="F28" i="34"/>
  <c r="E28" i="34"/>
  <c r="D28" i="34"/>
  <c r="C28" i="34"/>
  <c r="N27" i="34"/>
  <c r="M19" i="52" s="1"/>
  <c r="N62" i="70" s="1"/>
  <c r="M27" i="34"/>
  <c r="L19" i="52" s="1"/>
  <c r="M62" i="70" s="1"/>
  <c r="L27" i="34"/>
  <c r="K19" i="52" s="1"/>
  <c r="L62" i="70" s="1"/>
  <c r="K27" i="34"/>
  <c r="J19" i="52" s="1"/>
  <c r="K62" i="70" s="1"/>
  <c r="J27" i="34"/>
  <c r="I19" i="52" s="1"/>
  <c r="J62" i="70" s="1"/>
  <c r="I27" i="34"/>
  <c r="H19" i="52" s="1"/>
  <c r="I62" i="70" s="1"/>
  <c r="H27" i="34"/>
  <c r="G19" i="52" s="1"/>
  <c r="H62" i="70" s="1"/>
  <c r="G27" i="34"/>
  <c r="F19" i="52" s="1"/>
  <c r="G62" i="70" s="1"/>
  <c r="F27" i="34"/>
  <c r="E19" i="52" s="1"/>
  <c r="F62" i="70" s="1"/>
  <c r="E27" i="34"/>
  <c r="D19" i="52" s="1"/>
  <c r="E62" i="70" s="1"/>
  <c r="D27" i="34"/>
  <c r="C19" i="52" s="1"/>
  <c r="D62" i="70" s="1"/>
  <c r="C27" i="34"/>
  <c r="B19" i="52" s="1"/>
  <c r="C62" i="70" s="1"/>
  <c r="N28" i="35"/>
  <c r="M28" i="35"/>
  <c r="L28" i="35"/>
  <c r="K28" i="35"/>
  <c r="J28" i="35"/>
  <c r="I28" i="35"/>
  <c r="H28" i="35"/>
  <c r="G28" i="35"/>
  <c r="F28" i="35"/>
  <c r="E28" i="35"/>
  <c r="D28" i="35"/>
  <c r="C28" i="35"/>
  <c r="N27" i="35"/>
  <c r="M20" i="52" s="1"/>
  <c r="N69" i="70" s="1"/>
  <c r="M27" i="35"/>
  <c r="L20" i="52" s="1"/>
  <c r="M69" i="70" s="1"/>
  <c r="L27" i="35"/>
  <c r="K20" i="52" s="1"/>
  <c r="L69" i="70" s="1"/>
  <c r="K27" i="35"/>
  <c r="J20" i="52" s="1"/>
  <c r="K69" i="70" s="1"/>
  <c r="J27" i="35"/>
  <c r="I20" i="52" s="1"/>
  <c r="J69" i="70" s="1"/>
  <c r="I27" i="35"/>
  <c r="H20" i="52" s="1"/>
  <c r="I69" i="70" s="1"/>
  <c r="H27" i="35"/>
  <c r="G20" i="52" s="1"/>
  <c r="H69" i="70" s="1"/>
  <c r="G27" i="35"/>
  <c r="F20" i="52" s="1"/>
  <c r="G69" i="70" s="1"/>
  <c r="F27" i="35"/>
  <c r="E20" i="52" s="1"/>
  <c r="F69" i="70" s="1"/>
  <c r="E27" i="35"/>
  <c r="D20" i="52" s="1"/>
  <c r="E69" i="70" s="1"/>
  <c r="D27" i="35"/>
  <c r="C20" i="52" s="1"/>
  <c r="D69" i="70" s="1"/>
  <c r="C27" i="35"/>
  <c r="B20" i="52" s="1"/>
  <c r="C69" i="70" s="1"/>
  <c r="N28" i="39"/>
  <c r="M28" i="39"/>
  <c r="L28" i="39"/>
  <c r="K28" i="39"/>
  <c r="J28" i="39"/>
  <c r="I28" i="39"/>
  <c r="H28" i="39"/>
  <c r="G28" i="39"/>
  <c r="F28" i="39"/>
  <c r="E28" i="39"/>
  <c r="D28" i="39"/>
  <c r="C28" i="39"/>
  <c r="C27" i="39"/>
  <c r="B21" i="52" s="1"/>
  <c r="C76" i="70" s="1"/>
  <c r="N27" i="39"/>
  <c r="M21" i="52" s="1"/>
  <c r="N76" i="70" s="1"/>
  <c r="M27" i="39"/>
  <c r="L21" i="52" s="1"/>
  <c r="M76" i="70" s="1"/>
  <c r="L27" i="39"/>
  <c r="K21" i="52" s="1"/>
  <c r="L76" i="70" s="1"/>
  <c r="K27" i="39"/>
  <c r="J21" i="52" s="1"/>
  <c r="K76" i="70" s="1"/>
  <c r="J27" i="39"/>
  <c r="I21" i="52" s="1"/>
  <c r="J76" i="70" s="1"/>
  <c r="I27" i="39"/>
  <c r="H21" i="52" s="1"/>
  <c r="I76" i="70" s="1"/>
  <c r="H27" i="39"/>
  <c r="G21" i="52" s="1"/>
  <c r="H76" i="70" s="1"/>
  <c r="G27" i="39"/>
  <c r="F21" i="52" s="1"/>
  <c r="G76" i="70" s="1"/>
  <c r="F27" i="39"/>
  <c r="E21" i="52" s="1"/>
  <c r="F76" i="70" s="1"/>
  <c r="E27" i="39"/>
  <c r="D21" i="52" s="1"/>
  <c r="E76" i="70" s="1"/>
  <c r="D27" i="39"/>
  <c r="C21" i="52" s="1"/>
  <c r="D76" i="70" s="1"/>
  <c r="N28" i="40"/>
  <c r="M28" i="40"/>
  <c r="L28" i="40"/>
  <c r="K28" i="40"/>
  <c r="J28" i="40"/>
  <c r="I28" i="40"/>
  <c r="H28" i="40"/>
  <c r="G28" i="40"/>
  <c r="F28" i="40"/>
  <c r="E28" i="40"/>
  <c r="D28" i="40"/>
  <c r="C28" i="40"/>
  <c r="N27" i="40"/>
  <c r="M27" i="40"/>
  <c r="L27" i="40"/>
  <c r="K27" i="40"/>
  <c r="J27" i="40"/>
  <c r="I27" i="40"/>
  <c r="H27" i="40"/>
  <c r="G27" i="40"/>
  <c r="F27" i="40"/>
  <c r="E27" i="40"/>
  <c r="D27" i="40"/>
  <c r="C27" i="40"/>
  <c r="B22" i="52" s="1"/>
  <c r="C83" i="70" s="1"/>
  <c r="N28" i="41"/>
  <c r="M28" i="41"/>
  <c r="L28" i="41"/>
  <c r="K28" i="41"/>
  <c r="J28" i="41"/>
  <c r="I28" i="41"/>
  <c r="H28" i="41"/>
  <c r="G28" i="41"/>
  <c r="F28" i="41"/>
  <c r="E28" i="41"/>
  <c r="D28" i="41"/>
  <c r="C28" i="41"/>
  <c r="N27" i="41"/>
  <c r="M23" i="52" s="1"/>
  <c r="N90" i="70" s="1"/>
  <c r="M27" i="41"/>
  <c r="L23" i="52" s="1"/>
  <c r="M90" i="70" s="1"/>
  <c r="L27" i="41"/>
  <c r="K23" i="52" s="1"/>
  <c r="L90" i="70" s="1"/>
  <c r="K27" i="41"/>
  <c r="J23" i="52" s="1"/>
  <c r="K90" i="70" s="1"/>
  <c r="J27" i="41"/>
  <c r="I23" i="52" s="1"/>
  <c r="J90" i="70" s="1"/>
  <c r="I27" i="41"/>
  <c r="H23" i="52" s="1"/>
  <c r="I90" i="70" s="1"/>
  <c r="H27" i="41"/>
  <c r="G23" i="52" s="1"/>
  <c r="H90" i="70" s="1"/>
  <c r="G27" i="41"/>
  <c r="F23" i="52" s="1"/>
  <c r="G90" i="70" s="1"/>
  <c r="F27" i="41"/>
  <c r="E23" i="52" s="1"/>
  <c r="F90" i="70" s="1"/>
  <c r="E27" i="41"/>
  <c r="D23" i="52" s="1"/>
  <c r="E90" i="70" s="1"/>
  <c r="D27" i="41"/>
  <c r="C23" i="52" s="1"/>
  <c r="D90" i="70" s="1"/>
  <c r="C27" i="41"/>
  <c r="B23" i="52" s="1"/>
  <c r="C90" i="70" s="1"/>
  <c r="N28" i="42"/>
  <c r="M28" i="42"/>
  <c r="L28" i="42"/>
  <c r="K28" i="42"/>
  <c r="J28" i="42"/>
  <c r="I28" i="42"/>
  <c r="H28" i="42"/>
  <c r="G28" i="42"/>
  <c r="F28" i="42"/>
  <c r="E28" i="42"/>
  <c r="D28" i="42"/>
  <c r="C28" i="42"/>
  <c r="N27" i="42"/>
  <c r="M24" i="52" s="1"/>
  <c r="N97" i="70" s="1"/>
  <c r="M27" i="42"/>
  <c r="L24" i="52" s="1"/>
  <c r="M97" i="70" s="1"/>
  <c r="L27" i="42"/>
  <c r="K24" i="52" s="1"/>
  <c r="L97" i="70" s="1"/>
  <c r="K27" i="42"/>
  <c r="J24" i="52" s="1"/>
  <c r="K97" i="70" s="1"/>
  <c r="J27" i="42"/>
  <c r="I24" i="52" s="1"/>
  <c r="J97" i="70" s="1"/>
  <c r="I27" i="42"/>
  <c r="H24" i="52" s="1"/>
  <c r="I97" i="70" s="1"/>
  <c r="H27" i="42"/>
  <c r="G24" i="52" s="1"/>
  <c r="H97" i="70" s="1"/>
  <c r="G27" i="42"/>
  <c r="F24" i="52" s="1"/>
  <c r="G97" i="70" s="1"/>
  <c r="F27" i="42"/>
  <c r="E24" i="52" s="1"/>
  <c r="F97" i="70" s="1"/>
  <c r="E27" i="42"/>
  <c r="D24" i="52" s="1"/>
  <c r="E97" i="70" s="1"/>
  <c r="D27" i="42"/>
  <c r="C24" i="52" s="1"/>
  <c r="D97" i="70" s="1"/>
  <c r="C27" i="42"/>
  <c r="B24" i="52" s="1"/>
  <c r="C97" i="70" s="1"/>
  <c r="N28" i="46"/>
  <c r="M28" i="46"/>
  <c r="L28" i="46"/>
  <c r="K28" i="46"/>
  <c r="J28" i="46"/>
  <c r="I28" i="46"/>
  <c r="H28" i="46"/>
  <c r="G28" i="46"/>
  <c r="F28" i="46"/>
  <c r="E28" i="46"/>
  <c r="D28" i="46"/>
  <c r="C28" i="46"/>
  <c r="B28" i="46"/>
  <c r="N27" i="46"/>
  <c r="M25" i="52" s="1"/>
  <c r="N104" i="70" s="1"/>
  <c r="M27" i="46"/>
  <c r="L25" i="52" s="1"/>
  <c r="M104" i="70" s="1"/>
  <c r="L27" i="46"/>
  <c r="K25" i="52" s="1"/>
  <c r="L104" i="70" s="1"/>
  <c r="K27" i="46"/>
  <c r="J25" i="52" s="1"/>
  <c r="K104" i="70" s="1"/>
  <c r="J27" i="46"/>
  <c r="I25" i="52" s="1"/>
  <c r="J104" i="70" s="1"/>
  <c r="I27" i="46"/>
  <c r="H25" i="52" s="1"/>
  <c r="I104" i="70" s="1"/>
  <c r="H27" i="46"/>
  <c r="G25" i="52" s="1"/>
  <c r="H104" i="70" s="1"/>
  <c r="G27" i="46"/>
  <c r="F25" i="52" s="1"/>
  <c r="G104" i="70" s="1"/>
  <c r="F27" i="46"/>
  <c r="E25" i="52" s="1"/>
  <c r="F104" i="70" s="1"/>
  <c r="E27" i="46"/>
  <c r="D25" i="52" s="1"/>
  <c r="E104" i="70" s="1"/>
  <c r="D27" i="46"/>
  <c r="C25" i="52" s="1"/>
  <c r="D104" i="70" s="1"/>
  <c r="C27" i="46"/>
  <c r="B25" i="52" s="1"/>
  <c r="C104" i="70" s="1"/>
  <c r="B27" i="46"/>
  <c r="B19" i="46"/>
  <c r="B18" i="46"/>
  <c r="E27" i="47"/>
  <c r="D26" i="52" s="1"/>
  <c r="E111" i="70" s="1"/>
  <c r="D27" i="47"/>
  <c r="C26" i="52" s="1"/>
  <c r="D111" i="70" s="1"/>
  <c r="C27" i="47"/>
  <c r="B26" i="52" s="1"/>
  <c r="C111" i="70" s="1"/>
  <c r="N28" i="47"/>
  <c r="M28" i="47"/>
  <c r="L28" i="47"/>
  <c r="K28" i="47"/>
  <c r="J28" i="47"/>
  <c r="I28" i="47"/>
  <c r="H28" i="47"/>
  <c r="G28" i="47"/>
  <c r="F28" i="47"/>
  <c r="E28" i="47"/>
  <c r="D28" i="47"/>
  <c r="C28" i="47"/>
  <c r="N27" i="47"/>
  <c r="M26" i="52" s="1"/>
  <c r="N111" i="70" s="1"/>
  <c r="M27" i="47"/>
  <c r="L26" i="52" s="1"/>
  <c r="M111" i="70" s="1"/>
  <c r="L27" i="47"/>
  <c r="K26" i="52" s="1"/>
  <c r="L111" i="70" s="1"/>
  <c r="K27" i="47"/>
  <c r="J26" i="52" s="1"/>
  <c r="K111" i="70" s="1"/>
  <c r="J27" i="47"/>
  <c r="I26" i="52" s="1"/>
  <c r="J111" i="70" s="1"/>
  <c r="I27" i="47"/>
  <c r="H26" i="52" s="1"/>
  <c r="I111" i="70" s="1"/>
  <c r="H27" i="47"/>
  <c r="G26" i="52" s="1"/>
  <c r="H111" i="70" s="1"/>
  <c r="G27" i="47"/>
  <c r="F26" i="52" s="1"/>
  <c r="G111" i="70" s="1"/>
  <c r="F27" i="47"/>
  <c r="E26" i="52" s="1"/>
  <c r="F111" i="70" s="1"/>
  <c r="M27" i="52"/>
  <c r="N118" i="70" s="1"/>
  <c r="C27" i="52"/>
  <c r="D118" i="70" s="1"/>
  <c r="D27" i="52"/>
  <c r="E118" i="70" s="1"/>
  <c r="E27" i="52"/>
  <c r="F118" i="70" s="1"/>
  <c r="F27" i="52"/>
  <c r="G118" i="70" s="1"/>
  <c r="G27" i="52"/>
  <c r="H118" i="70" s="1"/>
  <c r="H27" i="52"/>
  <c r="I118" i="70" s="1"/>
  <c r="I27" i="52"/>
  <c r="J118" i="70" s="1"/>
  <c r="J27" i="52"/>
  <c r="K118" i="70" s="1"/>
  <c r="K27" i="52"/>
  <c r="L118" i="70" s="1"/>
  <c r="L27" i="52"/>
  <c r="M118" i="70" s="1"/>
  <c r="B27" i="52"/>
  <c r="C118" i="70" s="1"/>
  <c r="M28" i="52"/>
  <c r="N125" i="70" s="1"/>
  <c r="C28" i="52"/>
  <c r="D125" i="70" s="1"/>
  <c r="D28" i="52"/>
  <c r="E125" i="70" s="1"/>
  <c r="E28" i="52"/>
  <c r="F125" i="70" s="1"/>
  <c r="F28" i="52"/>
  <c r="G125" i="70" s="1"/>
  <c r="G28" i="52"/>
  <c r="H125" i="70" s="1"/>
  <c r="H28" i="52"/>
  <c r="I125" i="70" s="1"/>
  <c r="I28" i="52"/>
  <c r="J125" i="70" s="1"/>
  <c r="J28" i="52"/>
  <c r="K125" i="70" s="1"/>
  <c r="K28" i="52"/>
  <c r="L125" i="70" s="1"/>
  <c r="L28" i="52"/>
  <c r="M125" i="70" s="1"/>
  <c r="B28" i="52"/>
  <c r="C125" i="70" s="1"/>
  <c r="F22" i="52" l="1"/>
  <c r="G83" i="70" s="1"/>
  <c r="J22" i="52"/>
  <c r="K83" i="70" s="1"/>
  <c r="C22" i="52"/>
  <c r="D83" i="70" s="1"/>
  <c r="G22" i="52"/>
  <c r="H83" i="70" s="1"/>
  <c r="K22" i="52"/>
  <c r="L83" i="70" s="1"/>
  <c r="D22" i="52"/>
  <c r="E83" i="70" s="1"/>
  <c r="H22" i="52"/>
  <c r="I83" i="70" s="1"/>
  <c r="L22" i="52"/>
  <c r="M83" i="70" s="1"/>
  <c r="E22" i="52"/>
  <c r="F83" i="70" s="1"/>
  <c r="I22" i="52"/>
  <c r="J83" i="70" s="1"/>
  <c r="M22" i="52"/>
  <c r="N83" i="70" s="1"/>
  <c r="C15" i="52"/>
  <c r="D34" i="70" s="1"/>
  <c r="G15" i="52"/>
  <c r="H34" i="70" s="1"/>
  <c r="K15" i="52"/>
  <c r="L34" i="70" s="1"/>
  <c r="D15" i="52"/>
  <c r="E34" i="70" s="1"/>
  <c r="H15" i="52"/>
  <c r="I34" i="70" s="1"/>
  <c r="L15" i="52"/>
  <c r="M34" i="70" s="1"/>
  <c r="E15" i="52"/>
  <c r="F34" i="70" s="1"/>
  <c r="I15" i="52"/>
  <c r="J34" i="70" s="1"/>
  <c r="M15" i="52"/>
  <c r="N34" i="70" s="1"/>
  <c r="B15" i="52"/>
  <c r="C34" i="70" s="1"/>
  <c r="F15" i="52"/>
  <c r="G34" i="70" s="1"/>
  <c r="J15" i="52"/>
  <c r="K34" i="70" s="1"/>
  <c r="O104" i="70"/>
  <c r="O55" i="70"/>
  <c r="O48" i="70"/>
  <c r="O41" i="70"/>
  <c r="O76" i="70"/>
  <c r="O125" i="70"/>
  <c r="O118" i="70"/>
  <c r="O97" i="70"/>
  <c r="O90" i="70"/>
  <c r="O69" i="70"/>
  <c r="O62" i="70"/>
  <c r="O111" i="70"/>
  <c r="F122" i="52"/>
  <c r="F137" i="52" s="1"/>
  <c r="J122" i="52"/>
  <c r="J137" i="52" s="1"/>
  <c r="C122" i="52"/>
  <c r="C137" i="52" s="1"/>
  <c r="G122" i="52"/>
  <c r="G137" i="52" s="1"/>
  <c r="K122" i="52"/>
  <c r="K137" i="52" s="1"/>
  <c r="D122" i="52"/>
  <c r="D137" i="52" s="1"/>
  <c r="H122" i="52"/>
  <c r="H137" i="52" s="1"/>
  <c r="L122" i="52"/>
  <c r="L137" i="52" s="1"/>
  <c r="E122" i="52"/>
  <c r="E137" i="52" s="1"/>
  <c r="I122" i="52"/>
  <c r="I137" i="52" s="1"/>
  <c r="M122" i="52"/>
  <c r="M137" i="52" s="1"/>
  <c r="O27" i="23"/>
  <c r="T125" i="79"/>
  <c r="T173" i="69"/>
  <c r="T125" i="70"/>
  <c r="T118" i="79"/>
  <c r="T163" i="69"/>
  <c r="T118" i="70"/>
  <c r="T111" i="79"/>
  <c r="T153" i="69"/>
  <c r="T111" i="70"/>
  <c r="T104" i="79"/>
  <c r="T143" i="69"/>
  <c r="T104" i="70"/>
  <c r="T97" i="79"/>
  <c r="T133" i="69"/>
  <c r="T97" i="70"/>
  <c r="T90" i="79"/>
  <c r="T123" i="69"/>
  <c r="T90" i="70"/>
  <c r="T83" i="79"/>
  <c r="T113" i="69"/>
  <c r="T83" i="70"/>
  <c r="T76" i="79"/>
  <c r="T103" i="69"/>
  <c r="T76" i="70"/>
  <c r="T69" i="79"/>
  <c r="T93" i="69"/>
  <c r="T69" i="70"/>
  <c r="T62" i="79"/>
  <c r="T83" i="69"/>
  <c r="T62" i="70"/>
  <c r="T55" i="79"/>
  <c r="T73" i="69"/>
  <c r="T55" i="70"/>
  <c r="T48" i="79"/>
  <c r="T63" i="69"/>
  <c r="T48" i="70"/>
  <c r="T41" i="79"/>
  <c r="T53" i="69"/>
  <c r="T41" i="70"/>
  <c r="T34" i="79"/>
  <c r="T43" i="69"/>
  <c r="T34" i="70"/>
  <c r="T27" i="79"/>
  <c r="T33" i="69"/>
  <c r="T27" i="70"/>
  <c r="T20" i="79"/>
  <c r="U20" i="79" s="1"/>
  <c r="T23" i="69"/>
  <c r="T20" i="70"/>
  <c r="T13" i="79"/>
  <c r="U13" i="79" s="1"/>
  <c r="T13" i="69"/>
  <c r="T13" i="70"/>
  <c r="O83" i="70" l="1"/>
  <c r="O34" i="70"/>
  <c r="B122" i="52"/>
  <c r="B137" i="52" s="1"/>
  <c r="B18" i="17"/>
  <c r="C18" i="17"/>
  <c r="D18" i="17"/>
  <c r="E18" i="17"/>
  <c r="F18" i="17"/>
  <c r="G18" i="17"/>
  <c r="H18" i="17"/>
  <c r="I18" i="17"/>
  <c r="J18" i="17"/>
  <c r="K18" i="17"/>
  <c r="L18" i="17"/>
  <c r="M18" i="17"/>
  <c r="B19" i="17"/>
  <c r="C19" i="17"/>
  <c r="D19" i="17"/>
  <c r="E19" i="17"/>
  <c r="F19" i="17"/>
  <c r="G19" i="17"/>
  <c r="H19" i="17"/>
  <c r="I19" i="17"/>
  <c r="J19" i="17"/>
  <c r="K19" i="17"/>
  <c r="L19" i="17"/>
  <c r="M19" i="17"/>
  <c r="C17" i="17"/>
  <c r="D17" i="17"/>
  <c r="E17" i="17"/>
  <c r="F17" i="17"/>
  <c r="G17" i="17"/>
  <c r="H17" i="17"/>
  <c r="I17" i="17"/>
  <c r="J17" i="17"/>
  <c r="K17" i="17"/>
  <c r="L17" i="17"/>
  <c r="M17" i="17"/>
  <c r="B17" i="17"/>
  <c r="B13" i="17"/>
  <c r="C13" i="17"/>
  <c r="D13" i="17"/>
  <c r="E13" i="17"/>
  <c r="F13" i="17"/>
  <c r="G13" i="17"/>
  <c r="H13" i="17"/>
  <c r="I13" i="17"/>
  <c r="J13" i="17"/>
  <c r="K13" i="17"/>
  <c r="L13" i="17"/>
  <c r="M13" i="17"/>
  <c r="B14" i="17"/>
  <c r="C14" i="17"/>
  <c r="D14" i="17"/>
  <c r="E14" i="17"/>
  <c r="F14" i="17"/>
  <c r="G14" i="17"/>
  <c r="H14" i="17"/>
  <c r="I14" i="17"/>
  <c r="J14" i="17"/>
  <c r="K14" i="17"/>
  <c r="L14" i="17"/>
  <c r="M14" i="17"/>
  <c r="C12" i="17"/>
  <c r="D12" i="17"/>
  <c r="E12" i="17"/>
  <c r="F12" i="17"/>
  <c r="G12" i="17"/>
  <c r="H12" i="17"/>
  <c r="I12" i="17"/>
  <c r="J12" i="17"/>
  <c r="K12" i="17"/>
  <c r="L12" i="17"/>
  <c r="M12" i="17"/>
  <c r="B12" i="17"/>
  <c r="O19" i="65" l="1"/>
  <c r="AR19" i="65" s="1"/>
  <c r="O249" i="65"/>
  <c r="O239" i="65"/>
  <c r="O229" i="65"/>
  <c r="O219" i="65"/>
  <c r="O209" i="65"/>
  <c r="O199" i="65"/>
  <c r="O189" i="65"/>
  <c r="O179" i="65"/>
  <c r="AR179" i="65" s="1"/>
  <c r="O169" i="65"/>
  <c r="AR169" i="65" s="1"/>
  <c r="O159" i="65"/>
  <c r="AR159" i="65" s="1"/>
  <c r="O149" i="65"/>
  <c r="AR149" i="65" s="1"/>
  <c r="O139" i="65"/>
  <c r="AR139" i="65" s="1"/>
  <c r="O129" i="65"/>
  <c r="AR129" i="65" s="1"/>
  <c r="O119" i="65"/>
  <c r="AR119" i="65" s="1"/>
  <c r="O109" i="65"/>
  <c r="AR109" i="65" s="1"/>
  <c r="O99" i="65"/>
  <c r="AR99" i="65" s="1"/>
  <c r="O89" i="65"/>
  <c r="AR89" i="65" s="1"/>
  <c r="O79" i="65"/>
  <c r="AR79" i="65" s="1"/>
  <c r="O69" i="65"/>
  <c r="AR69" i="65" s="1"/>
  <c r="O59" i="65"/>
  <c r="AR59" i="65" s="1"/>
  <c r="O49" i="65"/>
  <c r="AR49" i="65" s="1"/>
  <c r="O39" i="65"/>
  <c r="AR39" i="65" s="1"/>
  <c r="O29" i="65"/>
  <c r="AR29" i="65" s="1"/>
  <c r="M14" i="84"/>
  <c r="M14" i="83"/>
  <c r="M15" i="73"/>
  <c r="M14" i="56"/>
  <c r="M14" i="57"/>
  <c r="M14" i="55"/>
  <c r="M19" i="49"/>
  <c r="M19" i="48"/>
  <c r="K249" i="65"/>
  <c r="K239" i="65"/>
  <c r="K229" i="65"/>
  <c r="K219" i="65"/>
  <c r="K209" i="65"/>
  <c r="K199" i="65"/>
  <c r="K189" i="65"/>
  <c r="K179" i="65"/>
  <c r="AN179" i="65" s="1"/>
  <c r="K169" i="65"/>
  <c r="AN169" i="65" s="1"/>
  <c r="K159" i="65"/>
  <c r="AN159" i="65" s="1"/>
  <c r="K149" i="65"/>
  <c r="AN149" i="65" s="1"/>
  <c r="K139" i="65"/>
  <c r="AN139" i="65" s="1"/>
  <c r="K129" i="65"/>
  <c r="AN129" i="65" s="1"/>
  <c r="K119" i="65"/>
  <c r="AN119" i="65" s="1"/>
  <c r="K109" i="65"/>
  <c r="AN109" i="65" s="1"/>
  <c r="K99" i="65"/>
  <c r="AN99" i="65" s="1"/>
  <c r="K89" i="65"/>
  <c r="AN89" i="65" s="1"/>
  <c r="K79" i="65"/>
  <c r="AN79" i="65" s="1"/>
  <c r="K69" i="65"/>
  <c r="AN69" i="65" s="1"/>
  <c r="K59" i="65"/>
  <c r="AN59" i="65" s="1"/>
  <c r="K49" i="65"/>
  <c r="AN49" i="65" s="1"/>
  <c r="K39" i="65"/>
  <c r="AN39" i="65" s="1"/>
  <c r="K29" i="65"/>
  <c r="AN29" i="65" s="1"/>
  <c r="K19" i="65"/>
  <c r="AN19" i="65" s="1"/>
  <c r="I14" i="84"/>
  <c r="I14" i="83"/>
  <c r="I15" i="73"/>
  <c r="I14" i="56"/>
  <c r="I14" i="57"/>
  <c r="I14" i="55"/>
  <c r="I19" i="49"/>
  <c r="I19" i="48"/>
  <c r="G29" i="65"/>
  <c r="AJ29" i="65" s="1"/>
  <c r="G249" i="65"/>
  <c r="G239" i="65"/>
  <c r="G229" i="65"/>
  <c r="G219" i="65"/>
  <c r="G209" i="65"/>
  <c r="G199" i="65"/>
  <c r="G189" i="65"/>
  <c r="G179" i="65"/>
  <c r="AJ179" i="65" s="1"/>
  <c r="G169" i="65"/>
  <c r="AJ169" i="65" s="1"/>
  <c r="G159" i="65"/>
  <c r="AJ159" i="65" s="1"/>
  <c r="G149" i="65"/>
  <c r="AJ149" i="65" s="1"/>
  <c r="G139" i="65"/>
  <c r="AJ139" i="65" s="1"/>
  <c r="G129" i="65"/>
  <c r="AJ129" i="65" s="1"/>
  <c r="G119" i="65"/>
  <c r="AJ119" i="65" s="1"/>
  <c r="G109" i="65"/>
  <c r="AJ109" i="65" s="1"/>
  <c r="G99" i="65"/>
  <c r="AJ99" i="65" s="1"/>
  <c r="G89" i="65"/>
  <c r="AJ89" i="65" s="1"/>
  <c r="G79" i="65"/>
  <c r="AJ79" i="65" s="1"/>
  <c r="G69" i="65"/>
  <c r="AJ69" i="65" s="1"/>
  <c r="G59" i="65"/>
  <c r="AJ59" i="65" s="1"/>
  <c r="G49" i="65"/>
  <c r="AJ49" i="65" s="1"/>
  <c r="G39" i="65"/>
  <c r="AJ39" i="65" s="1"/>
  <c r="G19" i="65"/>
  <c r="AJ19" i="65" s="1"/>
  <c r="E14" i="84"/>
  <c r="E14" i="83"/>
  <c r="E15" i="73"/>
  <c r="E14" i="56"/>
  <c r="E14" i="57"/>
  <c r="E14" i="55"/>
  <c r="E19" i="49"/>
  <c r="E19" i="48"/>
  <c r="M13" i="84"/>
  <c r="M13" i="83"/>
  <c r="M14" i="73"/>
  <c r="M13" i="56"/>
  <c r="M13" i="57"/>
  <c r="M18" i="48"/>
  <c r="M18" i="49"/>
  <c r="M13" i="55"/>
  <c r="I13" i="84"/>
  <c r="I13" i="83"/>
  <c r="I14" i="73"/>
  <c r="I13" i="56"/>
  <c r="I13" i="57"/>
  <c r="I18" i="48"/>
  <c r="I18" i="49"/>
  <c r="I13" i="55"/>
  <c r="E13" i="84"/>
  <c r="E13" i="83"/>
  <c r="E14" i="73"/>
  <c r="E13" i="56"/>
  <c r="E13" i="57"/>
  <c r="E18" i="48"/>
  <c r="E18" i="49"/>
  <c r="E13" i="55"/>
  <c r="N29" i="65"/>
  <c r="AQ29" i="65" s="1"/>
  <c r="N19" i="65"/>
  <c r="AQ19" i="65" s="1"/>
  <c r="N249" i="65"/>
  <c r="N239" i="65"/>
  <c r="N229" i="65"/>
  <c r="N219" i="65"/>
  <c r="N209" i="65"/>
  <c r="N199" i="65"/>
  <c r="N189" i="65"/>
  <c r="N179" i="65"/>
  <c r="AQ179" i="65" s="1"/>
  <c r="N169" i="65"/>
  <c r="AQ169" i="65" s="1"/>
  <c r="N159" i="65"/>
  <c r="AQ159" i="65" s="1"/>
  <c r="N149" i="65"/>
  <c r="AQ149" i="65" s="1"/>
  <c r="N139" i="65"/>
  <c r="AQ139" i="65" s="1"/>
  <c r="N129" i="65"/>
  <c r="AQ129" i="65" s="1"/>
  <c r="N119" i="65"/>
  <c r="AQ119" i="65" s="1"/>
  <c r="N109" i="65"/>
  <c r="AQ109" i="65" s="1"/>
  <c r="N99" i="65"/>
  <c r="AQ99" i="65" s="1"/>
  <c r="N89" i="65"/>
  <c r="AQ89" i="65" s="1"/>
  <c r="N79" i="65"/>
  <c r="AQ79" i="65" s="1"/>
  <c r="N69" i="65"/>
  <c r="AQ69" i="65" s="1"/>
  <c r="N59" i="65"/>
  <c r="AQ59" i="65" s="1"/>
  <c r="N49" i="65"/>
  <c r="AQ49" i="65" s="1"/>
  <c r="N39" i="65"/>
  <c r="AQ39" i="65" s="1"/>
  <c r="L14" i="84"/>
  <c r="L14" i="83"/>
  <c r="L15" i="73"/>
  <c r="L14" i="56"/>
  <c r="L14" i="57"/>
  <c r="L19" i="48"/>
  <c r="L19" i="49"/>
  <c r="L14" i="55"/>
  <c r="J29" i="65"/>
  <c r="AM29" i="65" s="1"/>
  <c r="J19" i="65"/>
  <c r="AM19" i="65" s="1"/>
  <c r="J249" i="65"/>
  <c r="J239" i="65"/>
  <c r="J229" i="65"/>
  <c r="J219" i="65"/>
  <c r="J209" i="65"/>
  <c r="J199" i="65"/>
  <c r="J189" i="65"/>
  <c r="J179" i="65"/>
  <c r="AM179" i="65" s="1"/>
  <c r="J169" i="65"/>
  <c r="AM169" i="65" s="1"/>
  <c r="J159" i="65"/>
  <c r="AM159" i="65" s="1"/>
  <c r="J149" i="65"/>
  <c r="AM149" i="65" s="1"/>
  <c r="J139" i="65"/>
  <c r="AM139" i="65" s="1"/>
  <c r="J129" i="65"/>
  <c r="AM129" i="65" s="1"/>
  <c r="J119" i="65"/>
  <c r="AM119" i="65" s="1"/>
  <c r="J109" i="65"/>
  <c r="AM109" i="65" s="1"/>
  <c r="J99" i="65"/>
  <c r="AM99" i="65" s="1"/>
  <c r="J89" i="65"/>
  <c r="AM89" i="65" s="1"/>
  <c r="J79" i="65"/>
  <c r="AM79" i="65" s="1"/>
  <c r="J69" i="65"/>
  <c r="AM69" i="65" s="1"/>
  <c r="J59" i="65"/>
  <c r="AM59" i="65" s="1"/>
  <c r="J49" i="65"/>
  <c r="AM49" i="65" s="1"/>
  <c r="J39" i="65"/>
  <c r="AM39" i="65" s="1"/>
  <c r="H14" i="84"/>
  <c r="H14" i="83"/>
  <c r="H15" i="73"/>
  <c r="H14" i="56"/>
  <c r="H14" i="57"/>
  <c r="H19" i="48"/>
  <c r="H19" i="49"/>
  <c r="H14" i="55"/>
  <c r="F29" i="65"/>
  <c r="AI29" i="65" s="1"/>
  <c r="F19" i="65"/>
  <c r="AI19" i="65" s="1"/>
  <c r="F249" i="65"/>
  <c r="F239" i="65"/>
  <c r="F229" i="65"/>
  <c r="F219" i="65"/>
  <c r="F209" i="65"/>
  <c r="F199" i="65"/>
  <c r="F189" i="65"/>
  <c r="F179" i="65"/>
  <c r="AI179" i="65" s="1"/>
  <c r="F169" i="65"/>
  <c r="AI169" i="65" s="1"/>
  <c r="F159" i="65"/>
  <c r="AI159" i="65" s="1"/>
  <c r="F149" i="65"/>
  <c r="AI149" i="65" s="1"/>
  <c r="F139" i="65"/>
  <c r="AI139" i="65" s="1"/>
  <c r="F129" i="65"/>
  <c r="AI129" i="65" s="1"/>
  <c r="F119" i="65"/>
  <c r="AI119" i="65" s="1"/>
  <c r="F109" i="65"/>
  <c r="AI109" i="65" s="1"/>
  <c r="F99" i="65"/>
  <c r="AI99" i="65" s="1"/>
  <c r="F89" i="65"/>
  <c r="AI89" i="65" s="1"/>
  <c r="F79" i="65"/>
  <c r="AI79" i="65" s="1"/>
  <c r="F69" i="65"/>
  <c r="AI69" i="65" s="1"/>
  <c r="F59" i="65"/>
  <c r="AI59" i="65" s="1"/>
  <c r="F49" i="65"/>
  <c r="AI49" i="65" s="1"/>
  <c r="F39" i="65"/>
  <c r="AI39" i="65" s="1"/>
  <c r="D14" i="84"/>
  <c r="D14" i="83"/>
  <c r="D15" i="73"/>
  <c r="D14" i="56"/>
  <c r="D14" i="57"/>
  <c r="D19" i="48"/>
  <c r="D19" i="49"/>
  <c r="D14" i="55"/>
  <c r="L13" i="84"/>
  <c r="L13" i="83"/>
  <c r="L13" i="57"/>
  <c r="L14" i="73"/>
  <c r="L13" i="56"/>
  <c r="L18" i="48"/>
  <c r="L13" i="55"/>
  <c r="L18" i="49"/>
  <c r="H13" i="84"/>
  <c r="H13" i="83"/>
  <c r="H13" i="57"/>
  <c r="H14" i="73"/>
  <c r="H13" i="56"/>
  <c r="H18" i="48"/>
  <c r="H13" i="55"/>
  <c r="H18" i="49"/>
  <c r="D13" i="84"/>
  <c r="D13" i="83"/>
  <c r="D13" i="57"/>
  <c r="D14" i="73"/>
  <c r="D13" i="56"/>
  <c r="D18" i="48"/>
  <c r="D13" i="55"/>
  <c r="D18" i="49"/>
  <c r="M249" i="65"/>
  <c r="M239" i="65"/>
  <c r="M229" i="65"/>
  <c r="M219" i="65"/>
  <c r="M209" i="65"/>
  <c r="M199" i="65"/>
  <c r="M189" i="65"/>
  <c r="M179" i="65"/>
  <c r="AP179" i="65" s="1"/>
  <c r="M169" i="65"/>
  <c r="AP169" i="65" s="1"/>
  <c r="M159" i="65"/>
  <c r="AP159" i="65" s="1"/>
  <c r="M149" i="65"/>
  <c r="AP149" i="65" s="1"/>
  <c r="M139" i="65"/>
  <c r="AP139" i="65" s="1"/>
  <c r="M129" i="65"/>
  <c r="AP129" i="65" s="1"/>
  <c r="M119" i="65"/>
  <c r="AP119" i="65" s="1"/>
  <c r="M109" i="65"/>
  <c r="AP109" i="65" s="1"/>
  <c r="M99" i="65"/>
  <c r="AP99" i="65" s="1"/>
  <c r="M89" i="65"/>
  <c r="AP89" i="65" s="1"/>
  <c r="M79" i="65"/>
  <c r="AP79" i="65" s="1"/>
  <c r="M69" i="65"/>
  <c r="AP69" i="65" s="1"/>
  <c r="M59" i="65"/>
  <c r="AP59" i="65" s="1"/>
  <c r="M49" i="65"/>
  <c r="AP49" i="65" s="1"/>
  <c r="M39" i="65"/>
  <c r="AP39" i="65" s="1"/>
  <c r="M29" i="65"/>
  <c r="AP29" i="65" s="1"/>
  <c r="M19" i="65"/>
  <c r="AP19" i="65" s="1"/>
  <c r="K14" i="84"/>
  <c r="K14" i="83"/>
  <c r="K14" i="57"/>
  <c r="K15" i="73"/>
  <c r="K14" i="56"/>
  <c r="K19" i="48"/>
  <c r="K14" i="55"/>
  <c r="K19" i="49"/>
  <c r="I249" i="65"/>
  <c r="I239" i="65"/>
  <c r="I229" i="65"/>
  <c r="I219" i="65"/>
  <c r="I209" i="65"/>
  <c r="I199" i="65"/>
  <c r="I189" i="65"/>
  <c r="I179" i="65"/>
  <c r="AL179" i="65" s="1"/>
  <c r="I169" i="65"/>
  <c r="AL169" i="65" s="1"/>
  <c r="I159" i="65"/>
  <c r="AL159" i="65" s="1"/>
  <c r="I149" i="65"/>
  <c r="AL149" i="65" s="1"/>
  <c r="I139" i="65"/>
  <c r="AL139" i="65" s="1"/>
  <c r="I129" i="65"/>
  <c r="AL129" i="65" s="1"/>
  <c r="I119" i="65"/>
  <c r="AL119" i="65" s="1"/>
  <c r="I109" i="65"/>
  <c r="AL109" i="65" s="1"/>
  <c r="I99" i="65"/>
  <c r="AL99" i="65" s="1"/>
  <c r="I89" i="65"/>
  <c r="AL89" i="65" s="1"/>
  <c r="I79" i="65"/>
  <c r="AL79" i="65" s="1"/>
  <c r="I69" i="65"/>
  <c r="AL69" i="65" s="1"/>
  <c r="I59" i="65"/>
  <c r="AL59" i="65" s="1"/>
  <c r="I49" i="65"/>
  <c r="AL49" i="65" s="1"/>
  <c r="I39" i="65"/>
  <c r="AL39" i="65" s="1"/>
  <c r="I29" i="65"/>
  <c r="AL29" i="65" s="1"/>
  <c r="I19" i="65"/>
  <c r="AL19" i="65" s="1"/>
  <c r="G14" i="84"/>
  <c r="G14" i="83"/>
  <c r="G14" i="57"/>
  <c r="G15" i="73"/>
  <c r="G14" i="56"/>
  <c r="G19" i="48"/>
  <c r="G14" i="55"/>
  <c r="G19" i="49"/>
  <c r="E249" i="65"/>
  <c r="E239" i="65"/>
  <c r="E229" i="65"/>
  <c r="E219" i="65"/>
  <c r="E209" i="65"/>
  <c r="E199" i="65"/>
  <c r="E189" i="65"/>
  <c r="E179" i="65"/>
  <c r="AH179" i="65" s="1"/>
  <c r="E169" i="65"/>
  <c r="AH169" i="65" s="1"/>
  <c r="E159" i="65"/>
  <c r="AH159" i="65" s="1"/>
  <c r="E149" i="65"/>
  <c r="AH149" i="65" s="1"/>
  <c r="E139" i="65"/>
  <c r="AH139" i="65" s="1"/>
  <c r="E129" i="65"/>
  <c r="AH129" i="65" s="1"/>
  <c r="E119" i="65"/>
  <c r="AH119" i="65" s="1"/>
  <c r="E109" i="65"/>
  <c r="AH109" i="65" s="1"/>
  <c r="E99" i="65"/>
  <c r="AH99" i="65" s="1"/>
  <c r="E89" i="65"/>
  <c r="AH89" i="65" s="1"/>
  <c r="E79" i="65"/>
  <c r="AH79" i="65" s="1"/>
  <c r="E69" i="65"/>
  <c r="AH69" i="65" s="1"/>
  <c r="E59" i="65"/>
  <c r="AH59" i="65" s="1"/>
  <c r="E49" i="65"/>
  <c r="AH49" i="65" s="1"/>
  <c r="E39" i="65"/>
  <c r="AH39" i="65" s="1"/>
  <c r="E29" i="65"/>
  <c r="AH29" i="65" s="1"/>
  <c r="E19" i="65"/>
  <c r="AH19" i="65" s="1"/>
  <c r="C14" i="84"/>
  <c r="C14" i="83"/>
  <c r="C14" i="57"/>
  <c r="C15" i="73"/>
  <c r="C14" i="56"/>
  <c r="C19" i="48"/>
  <c r="C14" i="55"/>
  <c r="C19" i="49"/>
  <c r="K13" i="84"/>
  <c r="K13" i="83"/>
  <c r="K13" i="56"/>
  <c r="K13" i="57"/>
  <c r="K14" i="73"/>
  <c r="K13" i="55"/>
  <c r="K18" i="48"/>
  <c r="K18" i="49"/>
  <c r="G13" i="84"/>
  <c r="G13" i="83"/>
  <c r="G13" i="56"/>
  <c r="G13" i="57"/>
  <c r="G14" i="73"/>
  <c r="G13" i="55"/>
  <c r="G18" i="48"/>
  <c r="G18" i="49"/>
  <c r="C13" i="84"/>
  <c r="C13" i="83"/>
  <c r="C13" i="56"/>
  <c r="C13" i="57"/>
  <c r="C14" i="73"/>
  <c r="C13" i="55"/>
  <c r="C18" i="48"/>
  <c r="C18" i="49"/>
  <c r="P29" i="65"/>
  <c r="AS29" i="65" s="1"/>
  <c r="P19" i="65"/>
  <c r="AS19" i="65" s="1"/>
  <c r="P249" i="65"/>
  <c r="P239" i="65"/>
  <c r="P229" i="65"/>
  <c r="P219" i="65"/>
  <c r="P209" i="65"/>
  <c r="P199" i="65"/>
  <c r="P189" i="65"/>
  <c r="P179" i="65"/>
  <c r="AS179" i="65" s="1"/>
  <c r="P169" i="65"/>
  <c r="AS169" i="65" s="1"/>
  <c r="P159" i="65"/>
  <c r="AS159" i="65" s="1"/>
  <c r="P149" i="65"/>
  <c r="AS149" i="65" s="1"/>
  <c r="P139" i="65"/>
  <c r="AS139" i="65" s="1"/>
  <c r="P129" i="65"/>
  <c r="AS129" i="65" s="1"/>
  <c r="P119" i="65"/>
  <c r="AS119" i="65" s="1"/>
  <c r="P109" i="65"/>
  <c r="AS109" i="65" s="1"/>
  <c r="P99" i="65"/>
  <c r="AS99" i="65" s="1"/>
  <c r="P89" i="65"/>
  <c r="AS89" i="65" s="1"/>
  <c r="P79" i="65"/>
  <c r="AS79" i="65" s="1"/>
  <c r="P69" i="65"/>
  <c r="AS69" i="65" s="1"/>
  <c r="P59" i="65"/>
  <c r="AS59" i="65" s="1"/>
  <c r="P49" i="65"/>
  <c r="AS49" i="65" s="1"/>
  <c r="P39" i="65"/>
  <c r="AS39" i="65" s="1"/>
  <c r="N14" i="84"/>
  <c r="N14" i="83"/>
  <c r="N14" i="56"/>
  <c r="N14" i="57"/>
  <c r="N15" i="73"/>
  <c r="N14" i="55"/>
  <c r="N19" i="48"/>
  <c r="N19" i="49"/>
  <c r="L29" i="65"/>
  <c r="AO29" i="65" s="1"/>
  <c r="L19" i="65"/>
  <c r="AO19" i="65" s="1"/>
  <c r="L249" i="65"/>
  <c r="L239" i="65"/>
  <c r="L229" i="65"/>
  <c r="L219" i="65"/>
  <c r="L209" i="65"/>
  <c r="L199" i="65"/>
  <c r="L189" i="65"/>
  <c r="L179" i="65"/>
  <c r="AO179" i="65" s="1"/>
  <c r="L169" i="65"/>
  <c r="AO169" i="65" s="1"/>
  <c r="L159" i="65"/>
  <c r="AO159" i="65" s="1"/>
  <c r="L149" i="65"/>
  <c r="AO149" i="65" s="1"/>
  <c r="L139" i="65"/>
  <c r="AO139" i="65" s="1"/>
  <c r="L129" i="65"/>
  <c r="AO129" i="65" s="1"/>
  <c r="L119" i="65"/>
  <c r="AO119" i="65" s="1"/>
  <c r="L109" i="65"/>
  <c r="AO109" i="65" s="1"/>
  <c r="L99" i="65"/>
  <c r="AO99" i="65" s="1"/>
  <c r="L89" i="65"/>
  <c r="AO89" i="65" s="1"/>
  <c r="L79" i="65"/>
  <c r="AO79" i="65" s="1"/>
  <c r="L69" i="65"/>
  <c r="AO69" i="65" s="1"/>
  <c r="L59" i="65"/>
  <c r="AO59" i="65" s="1"/>
  <c r="L49" i="65"/>
  <c r="AO49" i="65" s="1"/>
  <c r="L39" i="65"/>
  <c r="AO39" i="65" s="1"/>
  <c r="J14" i="84"/>
  <c r="J14" i="83"/>
  <c r="J14" i="56"/>
  <c r="J14" i="57"/>
  <c r="J15" i="73"/>
  <c r="J14" i="55"/>
  <c r="J19" i="48"/>
  <c r="J19" i="49"/>
  <c r="H29" i="65"/>
  <c r="AK29" i="65" s="1"/>
  <c r="H19" i="65"/>
  <c r="AK19" i="65" s="1"/>
  <c r="H249" i="65"/>
  <c r="H239" i="65"/>
  <c r="H229" i="65"/>
  <c r="H219" i="65"/>
  <c r="H209" i="65"/>
  <c r="H199" i="65"/>
  <c r="H189" i="65"/>
  <c r="H179" i="65"/>
  <c r="AK179" i="65" s="1"/>
  <c r="H169" i="65"/>
  <c r="AK169" i="65" s="1"/>
  <c r="H159" i="65"/>
  <c r="AK159" i="65" s="1"/>
  <c r="H149" i="65"/>
  <c r="AK149" i="65" s="1"/>
  <c r="H139" i="65"/>
  <c r="AK139" i="65" s="1"/>
  <c r="H129" i="65"/>
  <c r="AK129" i="65" s="1"/>
  <c r="H119" i="65"/>
  <c r="AK119" i="65" s="1"/>
  <c r="H109" i="65"/>
  <c r="AK109" i="65" s="1"/>
  <c r="H99" i="65"/>
  <c r="AK99" i="65" s="1"/>
  <c r="H89" i="65"/>
  <c r="AK89" i="65" s="1"/>
  <c r="H79" i="65"/>
  <c r="AK79" i="65" s="1"/>
  <c r="H69" i="65"/>
  <c r="AK69" i="65" s="1"/>
  <c r="H59" i="65"/>
  <c r="AK59" i="65" s="1"/>
  <c r="H49" i="65"/>
  <c r="AK49" i="65" s="1"/>
  <c r="H39" i="65"/>
  <c r="AK39" i="65" s="1"/>
  <c r="F14" i="84"/>
  <c r="F14" i="83"/>
  <c r="F14" i="56"/>
  <c r="F14" i="57"/>
  <c r="F15" i="73"/>
  <c r="F14" i="55"/>
  <c r="F19" i="48"/>
  <c r="F19" i="49"/>
  <c r="N13" i="84"/>
  <c r="N13" i="83"/>
  <c r="N14" i="73"/>
  <c r="N13" i="56"/>
  <c r="N13" i="57"/>
  <c r="N13" i="55"/>
  <c r="N18" i="49"/>
  <c r="N18" i="48"/>
  <c r="J13" i="84"/>
  <c r="J13" i="83"/>
  <c r="J14" i="73"/>
  <c r="J13" i="56"/>
  <c r="J13" i="57"/>
  <c r="J13" i="55"/>
  <c r="J18" i="49"/>
  <c r="J18" i="48"/>
  <c r="F13" i="84"/>
  <c r="F13" i="83"/>
  <c r="F14" i="73"/>
  <c r="F13" i="56"/>
  <c r="F13" i="57"/>
  <c r="F13" i="55"/>
  <c r="F18" i="49"/>
  <c r="F18" i="48"/>
  <c r="N122" i="52"/>
  <c r="K14" i="75"/>
  <c r="K15" i="58"/>
  <c r="K14" i="74"/>
  <c r="K19" i="26"/>
  <c r="K19" i="30"/>
  <c r="K19" i="31"/>
  <c r="K19" i="32"/>
  <c r="K19" i="33"/>
  <c r="K19" i="46"/>
  <c r="K19" i="23"/>
  <c r="K19" i="34"/>
  <c r="K19" i="35"/>
  <c r="K19" i="39"/>
  <c r="K19" i="40"/>
  <c r="K19" i="41"/>
  <c r="K19" i="42"/>
  <c r="K19" i="25"/>
  <c r="G14" i="75"/>
  <c r="G15" i="58"/>
  <c r="G14" i="74"/>
  <c r="G19" i="26"/>
  <c r="G19" i="30"/>
  <c r="G19" i="31"/>
  <c r="G19" i="32"/>
  <c r="G19" i="33"/>
  <c r="G19" i="46"/>
  <c r="G19" i="23"/>
  <c r="G19" i="34"/>
  <c r="G19" i="35"/>
  <c r="G19" i="39"/>
  <c r="G19" i="40"/>
  <c r="G19" i="41"/>
  <c r="G19" i="42"/>
  <c r="G19" i="25"/>
  <c r="C19" i="25"/>
  <c r="C14" i="75"/>
  <c r="C15" i="58"/>
  <c r="C14" i="74"/>
  <c r="C19" i="26"/>
  <c r="C19" i="30"/>
  <c r="C19" i="31"/>
  <c r="C19" i="32"/>
  <c r="C19" i="33"/>
  <c r="C19" i="46"/>
  <c r="C19" i="23"/>
  <c r="C19" i="34"/>
  <c r="C19" i="35"/>
  <c r="C19" i="39"/>
  <c r="C19" i="40"/>
  <c r="C19" i="41"/>
  <c r="C19" i="42"/>
  <c r="K13" i="74"/>
  <c r="J40" i="59" s="1"/>
  <c r="K187" i="70" s="1"/>
  <c r="L158" i="66" s="1"/>
  <c r="J39" i="59"/>
  <c r="K180" i="70" s="1"/>
  <c r="L152" i="66" s="1"/>
  <c r="K13" i="75"/>
  <c r="K14" i="58"/>
  <c r="K18" i="34"/>
  <c r="K18" i="35"/>
  <c r="K18" i="39"/>
  <c r="K18" i="40"/>
  <c r="K18" i="41"/>
  <c r="K18" i="42"/>
  <c r="K18" i="25"/>
  <c r="K18" i="26"/>
  <c r="K18" i="30"/>
  <c r="K18" i="31"/>
  <c r="K18" i="32"/>
  <c r="K18" i="33"/>
  <c r="K18" i="46"/>
  <c r="K18" i="23"/>
  <c r="G13" i="74"/>
  <c r="F40" i="59" s="1"/>
  <c r="G187" i="70" s="1"/>
  <c r="H158" i="66" s="1"/>
  <c r="G13" i="75"/>
  <c r="G14" i="58"/>
  <c r="G18" i="34"/>
  <c r="G18" i="35"/>
  <c r="G18" i="39"/>
  <c r="G18" i="40"/>
  <c r="G18" i="41"/>
  <c r="G18" i="42"/>
  <c r="G18" i="23"/>
  <c r="G18" i="25"/>
  <c r="G18" i="26"/>
  <c r="G18" i="30"/>
  <c r="G18" i="31"/>
  <c r="G18" i="32"/>
  <c r="G18" i="33"/>
  <c r="G18" i="46"/>
  <c r="C13" i="74"/>
  <c r="C13" i="75"/>
  <c r="C14" i="58"/>
  <c r="C18" i="34"/>
  <c r="C18" i="35"/>
  <c r="C18" i="39"/>
  <c r="C18" i="40"/>
  <c r="C18" i="41"/>
  <c r="C18" i="42"/>
  <c r="C18" i="25"/>
  <c r="C18" i="26"/>
  <c r="C18" i="30"/>
  <c r="C18" i="31"/>
  <c r="C18" i="32"/>
  <c r="C18" i="33"/>
  <c r="C18" i="23"/>
  <c r="C18" i="46"/>
  <c r="N14" i="74"/>
  <c r="N14" i="75"/>
  <c r="N15" i="58"/>
  <c r="N19" i="25"/>
  <c r="N19" i="26"/>
  <c r="N19" i="30"/>
  <c r="N19" i="31"/>
  <c r="N19" i="32"/>
  <c r="N19" i="33"/>
  <c r="N19" i="46"/>
  <c r="N19" i="23"/>
  <c r="N19" i="34"/>
  <c r="N19" i="35"/>
  <c r="N19" i="39"/>
  <c r="N19" i="40"/>
  <c r="N19" i="41"/>
  <c r="N19" i="42"/>
  <c r="J14" i="74"/>
  <c r="J14" i="75"/>
  <c r="J15" i="58"/>
  <c r="J19" i="25"/>
  <c r="J19" i="23"/>
  <c r="J19" i="34"/>
  <c r="J19" i="35"/>
  <c r="J19" i="39"/>
  <c r="J19" i="40"/>
  <c r="J19" i="41"/>
  <c r="J19" i="42"/>
  <c r="J19" i="26"/>
  <c r="J19" i="30"/>
  <c r="J19" i="31"/>
  <c r="J19" i="32"/>
  <c r="J19" i="33"/>
  <c r="J19" i="46"/>
  <c r="F14" i="74"/>
  <c r="F14" i="75"/>
  <c r="F15" i="58"/>
  <c r="F19" i="25"/>
  <c r="F19" i="26"/>
  <c r="F19" i="30"/>
  <c r="F19" i="31"/>
  <c r="F19" i="32"/>
  <c r="F19" i="33"/>
  <c r="F19" i="46"/>
  <c r="F19" i="23"/>
  <c r="F19" i="34"/>
  <c r="F19" i="35"/>
  <c r="F19" i="39"/>
  <c r="F19" i="40"/>
  <c r="F19" i="41"/>
  <c r="F19" i="42"/>
  <c r="N13" i="74"/>
  <c r="M40" i="59" s="1"/>
  <c r="N187" i="70" s="1"/>
  <c r="O158" i="66" s="1"/>
  <c r="M39" i="59"/>
  <c r="N180" i="70" s="1"/>
  <c r="O152" i="66" s="1"/>
  <c r="N13" i="75"/>
  <c r="M41" i="59" s="1"/>
  <c r="N194" i="70" s="1"/>
  <c r="O164" i="66" s="1"/>
  <c r="N14" i="58"/>
  <c r="N18" i="23"/>
  <c r="N18" i="25"/>
  <c r="N18" i="26"/>
  <c r="N18" i="30"/>
  <c r="N18" i="31"/>
  <c r="N18" i="32"/>
  <c r="N18" i="33"/>
  <c r="N18" i="46"/>
  <c r="N18" i="34"/>
  <c r="N18" i="35"/>
  <c r="N18" i="39"/>
  <c r="N18" i="40"/>
  <c r="N18" i="41"/>
  <c r="N18" i="42"/>
  <c r="J13" i="74"/>
  <c r="I40" i="59" s="1"/>
  <c r="J187" i="70" s="1"/>
  <c r="K158" i="66" s="1"/>
  <c r="I39" i="59"/>
  <c r="J180" i="70" s="1"/>
  <c r="K152" i="66" s="1"/>
  <c r="J14" i="58"/>
  <c r="J13" i="75"/>
  <c r="I41" i="59" s="1"/>
  <c r="J194" i="70" s="1"/>
  <c r="K164" i="66" s="1"/>
  <c r="J18" i="23"/>
  <c r="J18" i="25"/>
  <c r="J18" i="26"/>
  <c r="J18" i="30"/>
  <c r="J18" i="31"/>
  <c r="J18" i="32"/>
  <c r="J18" i="33"/>
  <c r="J18" i="46"/>
  <c r="J18" i="34"/>
  <c r="J18" i="35"/>
  <c r="J18" i="39"/>
  <c r="J18" i="40"/>
  <c r="J18" i="41"/>
  <c r="J18" i="42"/>
  <c r="F13" i="74"/>
  <c r="E40" i="59" s="1"/>
  <c r="F187" i="70" s="1"/>
  <c r="G158" i="66" s="1"/>
  <c r="F13" i="75"/>
  <c r="E41" i="59" s="1"/>
  <c r="F194" i="70" s="1"/>
  <c r="G164" i="66" s="1"/>
  <c r="F14" i="58"/>
  <c r="F18" i="23"/>
  <c r="F18" i="25"/>
  <c r="F18" i="26"/>
  <c r="F18" i="30"/>
  <c r="F18" i="31"/>
  <c r="F18" i="32"/>
  <c r="F18" i="33"/>
  <c r="F18" i="34"/>
  <c r="F18" i="35"/>
  <c r="F18" i="39"/>
  <c r="F18" i="40"/>
  <c r="F18" i="41"/>
  <c r="F18" i="42"/>
  <c r="F18" i="46"/>
  <c r="M14" i="74"/>
  <c r="M15" i="58"/>
  <c r="M14" i="75"/>
  <c r="M19" i="23"/>
  <c r="M19" i="34"/>
  <c r="M19" i="35"/>
  <c r="M19" i="39"/>
  <c r="M19" i="40"/>
  <c r="M19" i="41"/>
  <c r="M19" i="42"/>
  <c r="M19" i="26"/>
  <c r="M19" i="30"/>
  <c r="M19" i="31"/>
  <c r="M19" i="32"/>
  <c r="M19" i="33"/>
  <c r="M19" i="46"/>
  <c r="M19" i="25"/>
  <c r="I14" i="74"/>
  <c r="I14" i="75"/>
  <c r="I15" i="58"/>
  <c r="I19" i="23"/>
  <c r="I19" i="34"/>
  <c r="I19" i="35"/>
  <c r="I19" i="39"/>
  <c r="I19" i="40"/>
  <c r="I19" i="41"/>
  <c r="I19" i="42"/>
  <c r="I19" i="26"/>
  <c r="I19" i="30"/>
  <c r="I19" i="31"/>
  <c r="I19" i="32"/>
  <c r="I19" i="33"/>
  <c r="I19" i="46"/>
  <c r="I19" i="25"/>
  <c r="E14" i="74"/>
  <c r="E15" i="58"/>
  <c r="E14" i="75"/>
  <c r="E19" i="23"/>
  <c r="E19" i="34"/>
  <c r="E19" i="35"/>
  <c r="E19" i="39"/>
  <c r="E19" i="40"/>
  <c r="E19" i="41"/>
  <c r="E19" i="42"/>
  <c r="E19" i="26"/>
  <c r="E19" i="30"/>
  <c r="E19" i="31"/>
  <c r="E19" i="32"/>
  <c r="E19" i="33"/>
  <c r="E19" i="46"/>
  <c r="E19" i="25"/>
  <c r="M14" i="58"/>
  <c r="M13" i="75"/>
  <c r="L41" i="59" s="1"/>
  <c r="M194" i="70" s="1"/>
  <c r="N164" i="66" s="1"/>
  <c r="M13" i="74"/>
  <c r="L39" i="59"/>
  <c r="M180" i="70" s="1"/>
  <c r="N152" i="66" s="1"/>
  <c r="M18" i="34"/>
  <c r="M18" i="35"/>
  <c r="M18" i="39"/>
  <c r="M18" i="40"/>
  <c r="M18" i="41"/>
  <c r="M18" i="42"/>
  <c r="M18" i="23"/>
  <c r="M18" i="25"/>
  <c r="M18" i="26"/>
  <c r="M18" i="30"/>
  <c r="M18" i="31"/>
  <c r="M18" i="32"/>
  <c r="M18" i="33"/>
  <c r="M18" i="46"/>
  <c r="I14" i="58"/>
  <c r="I13" i="75"/>
  <c r="H41" i="59" s="1"/>
  <c r="I194" i="70" s="1"/>
  <c r="J164" i="66" s="1"/>
  <c r="I13" i="74"/>
  <c r="H40" i="59" s="1"/>
  <c r="I187" i="70" s="1"/>
  <c r="J158" i="66" s="1"/>
  <c r="H39" i="59"/>
  <c r="I180" i="70" s="1"/>
  <c r="J152" i="66" s="1"/>
  <c r="I18" i="34"/>
  <c r="I18" i="35"/>
  <c r="I18" i="39"/>
  <c r="I18" i="40"/>
  <c r="I18" i="41"/>
  <c r="I18" i="42"/>
  <c r="I18" i="25"/>
  <c r="I18" i="26"/>
  <c r="I18" i="30"/>
  <c r="I18" i="31"/>
  <c r="I18" i="32"/>
  <c r="I18" i="33"/>
  <c r="I18" i="23"/>
  <c r="I18" i="46"/>
  <c r="E14" i="58"/>
  <c r="E13" i="75"/>
  <c r="D41" i="59" s="1"/>
  <c r="E194" i="70" s="1"/>
  <c r="F164" i="66" s="1"/>
  <c r="E13" i="74"/>
  <c r="D40" i="59" s="1"/>
  <c r="E187" i="70" s="1"/>
  <c r="F158" i="66" s="1"/>
  <c r="E18" i="34"/>
  <c r="E18" i="35"/>
  <c r="E18" i="39"/>
  <c r="E18" i="40"/>
  <c r="E18" i="41"/>
  <c r="E18" i="42"/>
  <c r="E18" i="23"/>
  <c r="E18" i="46"/>
  <c r="E18" i="25"/>
  <c r="E18" i="26"/>
  <c r="E18" i="30"/>
  <c r="E18" i="31"/>
  <c r="E18" i="32"/>
  <c r="E18" i="33"/>
  <c r="L15" i="58"/>
  <c r="L14" i="75"/>
  <c r="L14" i="74"/>
  <c r="L19" i="25"/>
  <c r="L19" i="26"/>
  <c r="L19" i="30"/>
  <c r="L19" i="31"/>
  <c r="L19" i="32"/>
  <c r="L19" i="33"/>
  <c r="L19" i="46"/>
  <c r="L19" i="23"/>
  <c r="L19" i="34"/>
  <c r="L19" i="35"/>
  <c r="L19" i="39"/>
  <c r="L19" i="40"/>
  <c r="L19" i="41"/>
  <c r="L19" i="42"/>
  <c r="H15" i="58"/>
  <c r="H14" i="75"/>
  <c r="H14" i="74"/>
  <c r="H19" i="25"/>
  <c r="H19" i="23"/>
  <c r="H19" i="34"/>
  <c r="H19" i="35"/>
  <c r="H19" i="40"/>
  <c r="H19" i="42"/>
  <c r="H19" i="26"/>
  <c r="H19" i="30"/>
  <c r="H19" i="31"/>
  <c r="H19" i="32"/>
  <c r="H19" i="33"/>
  <c r="H19" i="46"/>
  <c r="H19" i="39"/>
  <c r="H19" i="41"/>
  <c r="D15" i="58"/>
  <c r="D14" i="75"/>
  <c r="D14" i="74"/>
  <c r="D19" i="25"/>
  <c r="D19" i="26"/>
  <c r="D19" i="30"/>
  <c r="D19" i="31"/>
  <c r="D19" i="32"/>
  <c r="D19" i="33"/>
  <c r="D19" i="23"/>
  <c r="D19" i="34"/>
  <c r="D19" i="35"/>
  <c r="D19" i="39"/>
  <c r="D19" i="40"/>
  <c r="D19" i="41"/>
  <c r="D19" i="42"/>
  <c r="D19" i="46"/>
  <c r="L13" i="75"/>
  <c r="K41" i="59" s="1"/>
  <c r="L194" i="70" s="1"/>
  <c r="M164" i="66" s="1"/>
  <c r="L14" i="58"/>
  <c r="L13" i="74"/>
  <c r="K40" i="59" s="1"/>
  <c r="L187" i="70" s="1"/>
  <c r="M158" i="66" s="1"/>
  <c r="K39" i="59"/>
  <c r="L180" i="70" s="1"/>
  <c r="M152" i="66" s="1"/>
  <c r="L18" i="25"/>
  <c r="L18" i="26"/>
  <c r="L18" i="30"/>
  <c r="L18" i="31"/>
  <c r="L18" i="32"/>
  <c r="L18" i="33"/>
  <c r="L18" i="46"/>
  <c r="L18" i="23"/>
  <c r="L18" i="34"/>
  <c r="L18" i="39"/>
  <c r="L18" i="41"/>
  <c r="L18" i="35"/>
  <c r="L18" i="40"/>
  <c r="L18" i="42"/>
  <c r="H13" i="75"/>
  <c r="G41" i="59" s="1"/>
  <c r="H194" i="70" s="1"/>
  <c r="I164" i="66" s="1"/>
  <c r="H14" i="58"/>
  <c r="H13" i="74"/>
  <c r="G40" i="59" s="1"/>
  <c r="H187" i="70" s="1"/>
  <c r="I158" i="66" s="1"/>
  <c r="H18" i="25"/>
  <c r="H18" i="26"/>
  <c r="H18" i="30"/>
  <c r="H18" i="31"/>
  <c r="H18" i="32"/>
  <c r="H18" i="33"/>
  <c r="H18" i="23"/>
  <c r="H18" i="46"/>
  <c r="H18" i="34"/>
  <c r="H18" i="35"/>
  <c r="H18" i="39"/>
  <c r="H18" i="40"/>
  <c r="H18" i="41"/>
  <c r="H18" i="42"/>
  <c r="D13" i="75"/>
  <c r="C41" i="59" s="1"/>
  <c r="D194" i="70" s="1"/>
  <c r="E164" i="66" s="1"/>
  <c r="D14" i="58"/>
  <c r="D13" i="74"/>
  <c r="C40" i="59" s="1"/>
  <c r="D187" i="70" s="1"/>
  <c r="E158" i="66" s="1"/>
  <c r="D18" i="25"/>
  <c r="D18" i="26"/>
  <c r="D18" i="30"/>
  <c r="D18" i="31"/>
  <c r="D18" i="32"/>
  <c r="D18" i="33"/>
  <c r="D18" i="23"/>
  <c r="D18" i="35"/>
  <c r="D18" i="41"/>
  <c r="D18" i="42"/>
  <c r="D18" i="46"/>
  <c r="D18" i="34"/>
  <c r="D18" i="39"/>
  <c r="D18" i="40"/>
  <c r="G15" i="17"/>
  <c r="D77" i="74" l="1"/>
  <c r="D262" i="69" s="1"/>
  <c r="D76" i="74"/>
  <c r="D261" i="69" s="1"/>
  <c r="D78" i="74"/>
  <c r="D263" i="69" s="1"/>
  <c r="D83" i="75"/>
  <c r="D272" i="69" s="1"/>
  <c r="F247" i="65" s="1"/>
  <c r="D82" i="75"/>
  <c r="D271" i="69" s="1"/>
  <c r="F246" i="65" s="1"/>
  <c r="D84" i="75"/>
  <c r="D273" i="69" s="1"/>
  <c r="F248" i="65" s="1"/>
  <c r="H76" i="74"/>
  <c r="H261" i="69" s="1"/>
  <c r="H78" i="74"/>
  <c r="H263" i="69" s="1"/>
  <c r="H77" i="74"/>
  <c r="H262" i="69" s="1"/>
  <c r="F83" i="75"/>
  <c r="F272" i="69" s="1"/>
  <c r="H247" i="65" s="1"/>
  <c r="F84" i="75"/>
  <c r="F273" i="69" s="1"/>
  <c r="H248" i="65" s="1"/>
  <c r="F82" i="75"/>
  <c r="F271" i="69" s="1"/>
  <c r="H246" i="65" s="1"/>
  <c r="K77" i="74"/>
  <c r="K262" i="69" s="1"/>
  <c r="K78" i="74"/>
  <c r="K263" i="69" s="1"/>
  <c r="K76" i="74"/>
  <c r="K261" i="69" s="1"/>
  <c r="F84" i="57"/>
  <c r="F233" i="69" s="1"/>
  <c r="H218" i="65" s="1"/>
  <c r="F82" i="57"/>
  <c r="F231" i="69" s="1"/>
  <c r="H216" i="65" s="1"/>
  <c r="F83" i="57"/>
  <c r="F232" i="69" s="1"/>
  <c r="H217" i="65" s="1"/>
  <c r="J84" i="57"/>
  <c r="J233" i="69" s="1"/>
  <c r="L218" i="65" s="1"/>
  <c r="J83" i="57"/>
  <c r="J232" i="69" s="1"/>
  <c r="L217" i="65" s="1"/>
  <c r="J82" i="57"/>
  <c r="J231" i="69" s="1"/>
  <c r="L216" i="65" s="1"/>
  <c r="N83" i="57"/>
  <c r="N232" i="69" s="1"/>
  <c r="P217" i="65" s="1"/>
  <c r="N84" i="57"/>
  <c r="N233" i="69" s="1"/>
  <c r="P218" i="65" s="1"/>
  <c r="N82" i="57"/>
  <c r="N231" i="69" s="1"/>
  <c r="P216" i="65" s="1"/>
  <c r="C82" i="73"/>
  <c r="C251" i="69" s="1"/>
  <c r="E236" i="65" s="1"/>
  <c r="C84" i="73"/>
  <c r="C253" i="69" s="1"/>
  <c r="E238" i="65" s="1"/>
  <c r="C83" i="73"/>
  <c r="C252" i="69" s="1"/>
  <c r="E237" i="65" s="1"/>
  <c r="G83" i="73"/>
  <c r="G252" i="69" s="1"/>
  <c r="I237" i="65" s="1"/>
  <c r="G82" i="73"/>
  <c r="G251" i="69" s="1"/>
  <c r="I236" i="65" s="1"/>
  <c r="G84" i="73"/>
  <c r="G253" i="69" s="1"/>
  <c r="I238" i="65" s="1"/>
  <c r="K83" i="73"/>
  <c r="K252" i="69" s="1"/>
  <c r="M237" i="65" s="1"/>
  <c r="K82" i="73"/>
  <c r="K251" i="69" s="1"/>
  <c r="M236" i="65" s="1"/>
  <c r="K84" i="73"/>
  <c r="K253" i="69" s="1"/>
  <c r="M238" i="65" s="1"/>
  <c r="D82" i="83"/>
  <c r="D211" i="69" s="1"/>
  <c r="F196" i="65" s="1"/>
  <c r="D84" i="83"/>
  <c r="D213" i="69" s="1"/>
  <c r="F198" i="65" s="1"/>
  <c r="D83" i="83"/>
  <c r="D212" i="69" s="1"/>
  <c r="F197" i="65" s="1"/>
  <c r="H84" i="83"/>
  <c r="H213" i="69" s="1"/>
  <c r="J198" i="65" s="1"/>
  <c r="H83" i="83"/>
  <c r="H212" i="69" s="1"/>
  <c r="J197" i="65" s="1"/>
  <c r="H82" i="83"/>
  <c r="H211" i="69" s="1"/>
  <c r="J196" i="65" s="1"/>
  <c r="L83" i="83"/>
  <c r="L212" i="69" s="1"/>
  <c r="N197" i="65" s="1"/>
  <c r="L82" i="83"/>
  <c r="L211" i="69" s="1"/>
  <c r="N196" i="65" s="1"/>
  <c r="L84" i="83"/>
  <c r="L213" i="69" s="1"/>
  <c r="N198" i="65" s="1"/>
  <c r="E84" i="56"/>
  <c r="E193" i="69" s="1"/>
  <c r="E83" i="56"/>
  <c r="E192" i="69" s="1"/>
  <c r="E82" i="56"/>
  <c r="E191" i="69" s="1"/>
  <c r="I84" i="56"/>
  <c r="I193" i="69" s="1"/>
  <c r="I83" i="56"/>
  <c r="I192" i="69" s="1"/>
  <c r="I82" i="56"/>
  <c r="I191" i="69" s="1"/>
  <c r="M84" i="56"/>
  <c r="M193" i="69" s="1"/>
  <c r="M83" i="56"/>
  <c r="M192" i="69" s="1"/>
  <c r="M82" i="56"/>
  <c r="M191" i="69" s="1"/>
  <c r="H84" i="75"/>
  <c r="H273" i="69" s="1"/>
  <c r="J248" i="65" s="1"/>
  <c r="H82" i="75"/>
  <c r="H271" i="69" s="1"/>
  <c r="J246" i="65" s="1"/>
  <c r="H83" i="75"/>
  <c r="H272" i="69" s="1"/>
  <c r="J247" i="65" s="1"/>
  <c r="L78" i="74"/>
  <c r="L263" i="69" s="1"/>
  <c r="L77" i="74"/>
  <c r="L262" i="69" s="1"/>
  <c r="L76" i="74"/>
  <c r="L261" i="69" s="1"/>
  <c r="E78" i="74"/>
  <c r="E263" i="69" s="1"/>
  <c r="E77" i="74"/>
  <c r="E262" i="69" s="1"/>
  <c r="E76" i="74"/>
  <c r="E261" i="69" s="1"/>
  <c r="I83" i="75"/>
  <c r="I272" i="69" s="1"/>
  <c r="K247" i="65" s="1"/>
  <c r="I82" i="75"/>
  <c r="I271" i="69" s="1"/>
  <c r="K246" i="65" s="1"/>
  <c r="I84" i="75"/>
  <c r="I273" i="69" s="1"/>
  <c r="K248" i="65" s="1"/>
  <c r="M83" i="75"/>
  <c r="M272" i="69" s="1"/>
  <c r="O247" i="65" s="1"/>
  <c r="M84" i="75"/>
  <c r="M273" i="69" s="1"/>
  <c r="O248" i="65" s="1"/>
  <c r="M82" i="75"/>
  <c r="M271" i="69" s="1"/>
  <c r="O246" i="65" s="1"/>
  <c r="F76" i="74"/>
  <c r="F261" i="69" s="1"/>
  <c r="F77" i="74"/>
  <c r="F262" i="69" s="1"/>
  <c r="F78" i="74"/>
  <c r="F263" i="69" s="1"/>
  <c r="J84" i="75"/>
  <c r="J273" i="69" s="1"/>
  <c r="L248" i="65" s="1"/>
  <c r="J83" i="75"/>
  <c r="J272" i="69" s="1"/>
  <c r="L247" i="65" s="1"/>
  <c r="J82" i="75"/>
  <c r="J271" i="69" s="1"/>
  <c r="L246" i="65" s="1"/>
  <c r="C77" i="74"/>
  <c r="C262" i="69" s="1"/>
  <c r="C76" i="74"/>
  <c r="C261" i="69" s="1"/>
  <c r="C78" i="74"/>
  <c r="C263" i="69" s="1"/>
  <c r="G84" i="75"/>
  <c r="G273" i="69" s="1"/>
  <c r="I248" i="65" s="1"/>
  <c r="G82" i="75"/>
  <c r="G271" i="69" s="1"/>
  <c r="I246" i="65" s="1"/>
  <c r="G83" i="75"/>
  <c r="G272" i="69" s="1"/>
  <c r="I247" i="65" s="1"/>
  <c r="F84" i="56"/>
  <c r="F193" i="69" s="1"/>
  <c r="F83" i="56"/>
  <c r="F192" i="69" s="1"/>
  <c r="F82" i="56"/>
  <c r="F191" i="69" s="1"/>
  <c r="J82" i="56"/>
  <c r="J191" i="69" s="1"/>
  <c r="J84" i="56"/>
  <c r="J193" i="69" s="1"/>
  <c r="J83" i="56"/>
  <c r="J192" i="69" s="1"/>
  <c r="N84" i="56"/>
  <c r="N193" i="69" s="1"/>
  <c r="N83" i="56"/>
  <c r="N192" i="69" s="1"/>
  <c r="N82" i="56"/>
  <c r="N191" i="69" s="1"/>
  <c r="C82" i="55"/>
  <c r="C201" i="69" s="1"/>
  <c r="E186" i="65" s="1"/>
  <c r="C84" i="55"/>
  <c r="C203" i="69" s="1"/>
  <c r="E188" i="65" s="1"/>
  <c r="C83" i="55"/>
  <c r="C202" i="69" s="1"/>
  <c r="E187" i="65" s="1"/>
  <c r="C82" i="57"/>
  <c r="C231" i="69" s="1"/>
  <c r="E216" i="65" s="1"/>
  <c r="C83" i="57"/>
  <c r="C232" i="69" s="1"/>
  <c r="E217" i="65" s="1"/>
  <c r="C84" i="57"/>
  <c r="C233" i="69" s="1"/>
  <c r="E218" i="65" s="1"/>
  <c r="G82" i="55"/>
  <c r="G201" i="69" s="1"/>
  <c r="I186" i="65" s="1"/>
  <c r="G83" i="55"/>
  <c r="G202" i="69" s="1"/>
  <c r="I187" i="65" s="1"/>
  <c r="G84" i="55"/>
  <c r="G203" i="69" s="1"/>
  <c r="I188" i="65" s="1"/>
  <c r="G82" i="57"/>
  <c r="G231" i="69" s="1"/>
  <c r="I216" i="65" s="1"/>
  <c r="G84" i="57"/>
  <c r="G233" i="69" s="1"/>
  <c r="I218" i="65" s="1"/>
  <c r="G83" i="57"/>
  <c r="G232" i="69" s="1"/>
  <c r="I217" i="65" s="1"/>
  <c r="K84" i="55"/>
  <c r="K203" i="69" s="1"/>
  <c r="M188" i="65" s="1"/>
  <c r="K82" i="55"/>
  <c r="K201" i="69" s="1"/>
  <c r="M186" i="65" s="1"/>
  <c r="K83" i="55"/>
  <c r="K202" i="69" s="1"/>
  <c r="M187" i="65" s="1"/>
  <c r="K83" i="57"/>
  <c r="K232" i="69" s="1"/>
  <c r="M217" i="65" s="1"/>
  <c r="K82" i="57"/>
  <c r="K231" i="69" s="1"/>
  <c r="M216" i="65" s="1"/>
  <c r="K84" i="57"/>
  <c r="K233" i="69" s="1"/>
  <c r="M218" i="65" s="1"/>
  <c r="D82" i="57"/>
  <c r="D231" i="69" s="1"/>
  <c r="F216" i="65" s="1"/>
  <c r="D84" i="57"/>
  <c r="D233" i="69" s="1"/>
  <c r="F218" i="65" s="1"/>
  <c r="D83" i="57"/>
  <c r="D232" i="69" s="1"/>
  <c r="F217" i="65" s="1"/>
  <c r="D84" i="84"/>
  <c r="D243" i="69" s="1"/>
  <c r="F228" i="65" s="1"/>
  <c r="D83" i="84"/>
  <c r="D242" i="69" s="1"/>
  <c r="F227" i="65" s="1"/>
  <c r="D82" i="84"/>
  <c r="D241" i="69" s="1"/>
  <c r="F226" i="65" s="1"/>
  <c r="H82" i="57"/>
  <c r="H231" i="69" s="1"/>
  <c r="J216" i="65" s="1"/>
  <c r="H83" i="57"/>
  <c r="H232" i="69" s="1"/>
  <c r="J217" i="65" s="1"/>
  <c r="H84" i="57"/>
  <c r="H233" i="69" s="1"/>
  <c r="J218" i="65" s="1"/>
  <c r="H83" i="84"/>
  <c r="H242" i="69" s="1"/>
  <c r="J227" i="65" s="1"/>
  <c r="H82" i="84"/>
  <c r="H241" i="69" s="1"/>
  <c r="J226" i="65" s="1"/>
  <c r="H84" i="84"/>
  <c r="H243" i="69" s="1"/>
  <c r="J228" i="65" s="1"/>
  <c r="L83" i="57"/>
  <c r="L232" i="69" s="1"/>
  <c r="N217" i="65" s="1"/>
  <c r="L84" i="57"/>
  <c r="L233" i="69" s="1"/>
  <c r="N218" i="65" s="1"/>
  <c r="L82" i="57"/>
  <c r="L231" i="69" s="1"/>
  <c r="N216" i="65" s="1"/>
  <c r="L82" i="84"/>
  <c r="L241" i="69" s="1"/>
  <c r="N226" i="65" s="1"/>
  <c r="L84" i="84"/>
  <c r="L243" i="69" s="1"/>
  <c r="N228" i="65" s="1"/>
  <c r="L83" i="84"/>
  <c r="L242" i="69" s="1"/>
  <c r="N227" i="65" s="1"/>
  <c r="E84" i="73"/>
  <c r="E253" i="69" s="1"/>
  <c r="G238" i="65" s="1"/>
  <c r="E82" i="73"/>
  <c r="E251" i="69" s="1"/>
  <c r="G236" i="65" s="1"/>
  <c r="E83" i="73"/>
  <c r="E252" i="69" s="1"/>
  <c r="G237" i="65" s="1"/>
  <c r="I83" i="73"/>
  <c r="I252" i="69" s="1"/>
  <c r="K237" i="65" s="1"/>
  <c r="I84" i="73"/>
  <c r="I253" i="69" s="1"/>
  <c r="K238" i="65" s="1"/>
  <c r="I82" i="73"/>
  <c r="I251" i="69" s="1"/>
  <c r="K236" i="65" s="1"/>
  <c r="M83" i="73"/>
  <c r="M252" i="69" s="1"/>
  <c r="O237" i="65" s="1"/>
  <c r="M84" i="73"/>
  <c r="M253" i="69" s="1"/>
  <c r="O238" i="65" s="1"/>
  <c r="M82" i="73"/>
  <c r="M251" i="69" s="1"/>
  <c r="O236" i="65" s="1"/>
  <c r="L84" i="75"/>
  <c r="L273" i="69" s="1"/>
  <c r="N248" i="65" s="1"/>
  <c r="L83" i="75"/>
  <c r="L272" i="69" s="1"/>
  <c r="N247" i="65" s="1"/>
  <c r="L82" i="75"/>
  <c r="L271" i="69" s="1"/>
  <c r="N246" i="65" s="1"/>
  <c r="I77" i="74"/>
  <c r="I262" i="69" s="1"/>
  <c r="I78" i="74"/>
  <c r="I263" i="69" s="1"/>
  <c r="I76" i="74"/>
  <c r="I261" i="69" s="1"/>
  <c r="J77" i="74"/>
  <c r="J262" i="69" s="1"/>
  <c r="J78" i="74"/>
  <c r="J263" i="69" s="1"/>
  <c r="J76" i="74"/>
  <c r="J261" i="69" s="1"/>
  <c r="N83" i="75"/>
  <c r="N272" i="69" s="1"/>
  <c r="P247" i="65" s="1"/>
  <c r="N84" i="75"/>
  <c r="N273" i="69" s="1"/>
  <c r="P248" i="65" s="1"/>
  <c r="N82" i="75"/>
  <c r="N271" i="69" s="1"/>
  <c r="P246" i="65" s="1"/>
  <c r="K82" i="75"/>
  <c r="K271" i="69" s="1"/>
  <c r="M246" i="65" s="1"/>
  <c r="K84" i="75"/>
  <c r="K273" i="69" s="1"/>
  <c r="M248" i="65" s="1"/>
  <c r="K83" i="75"/>
  <c r="K272" i="69" s="1"/>
  <c r="M247" i="65" s="1"/>
  <c r="F83" i="55"/>
  <c r="F202" i="69" s="1"/>
  <c r="H187" i="65" s="1"/>
  <c r="F84" i="55"/>
  <c r="F203" i="69" s="1"/>
  <c r="H188" i="65" s="1"/>
  <c r="F82" i="55"/>
  <c r="F201" i="69" s="1"/>
  <c r="H186" i="65" s="1"/>
  <c r="F84" i="83"/>
  <c r="F213" i="69" s="1"/>
  <c r="H198" i="65" s="1"/>
  <c r="F83" i="83"/>
  <c r="F212" i="69" s="1"/>
  <c r="H197" i="65" s="1"/>
  <c r="F82" i="83"/>
  <c r="F211" i="69" s="1"/>
  <c r="H196" i="65" s="1"/>
  <c r="J83" i="55"/>
  <c r="J202" i="69" s="1"/>
  <c r="L187" i="65" s="1"/>
  <c r="J84" i="55"/>
  <c r="J203" i="69" s="1"/>
  <c r="L188" i="65" s="1"/>
  <c r="J82" i="55"/>
  <c r="J201" i="69" s="1"/>
  <c r="L186" i="65" s="1"/>
  <c r="J84" i="83"/>
  <c r="J213" i="69" s="1"/>
  <c r="L198" i="65" s="1"/>
  <c r="J82" i="83"/>
  <c r="J211" i="69" s="1"/>
  <c r="L196" i="65" s="1"/>
  <c r="J83" i="83"/>
  <c r="J212" i="69" s="1"/>
  <c r="L197" i="65" s="1"/>
  <c r="N82" i="55"/>
  <c r="N201" i="69" s="1"/>
  <c r="P186" i="65" s="1"/>
  <c r="N83" i="55"/>
  <c r="N202" i="69" s="1"/>
  <c r="P187" i="65" s="1"/>
  <c r="N84" i="55"/>
  <c r="N203" i="69" s="1"/>
  <c r="P188" i="65" s="1"/>
  <c r="N84" i="83"/>
  <c r="N213" i="69" s="1"/>
  <c r="P198" i="65" s="1"/>
  <c r="N82" i="83"/>
  <c r="N211" i="69" s="1"/>
  <c r="P196" i="65" s="1"/>
  <c r="N83" i="83"/>
  <c r="N212" i="69" s="1"/>
  <c r="P197" i="65" s="1"/>
  <c r="C82" i="83"/>
  <c r="C211" i="69" s="1"/>
  <c r="E196" i="65" s="1"/>
  <c r="C84" i="83"/>
  <c r="C213" i="69" s="1"/>
  <c r="E198" i="65" s="1"/>
  <c r="C83" i="83"/>
  <c r="C212" i="69" s="1"/>
  <c r="E197" i="65" s="1"/>
  <c r="G82" i="83"/>
  <c r="G211" i="69" s="1"/>
  <c r="I196" i="65" s="1"/>
  <c r="G83" i="83"/>
  <c r="G212" i="69" s="1"/>
  <c r="I197" i="65" s="1"/>
  <c r="G84" i="83"/>
  <c r="G213" i="69" s="1"/>
  <c r="I198" i="65" s="1"/>
  <c r="K83" i="83"/>
  <c r="K212" i="69" s="1"/>
  <c r="M197" i="65" s="1"/>
  <c r="K84" i="83"/>
  <c r="K213" i="69" s="1"/>
  <c r="M198" i="65" s="1"/>
  <c r="K82" i="83"/>
  <c r="K211" i="69" s="1"/>
  <c r="M196" i="65" s="1"/>
  <c r="D82" i="55"/>
  <c r="D201" i="69" s="1"/>
  <c r="F186" i="65" s="1"/>
  <c r="D83" i="55"/>
  <c r="D202" i="69" s="1"/>
  <c r="F187" i="65" s="1"/>
  <c r="D84" i="55"/>
  <c r="D203" i="69" s="1"/>
  <c r="F188" i="65" s="1"/>
  <c r="D84" i="56"/>
  <c r="D193" i="69" s="1"/>
  <c r="D83" i="56"/>
  <c r="D192" i="69" s="1"/>
  <c r="D82" i="56"/>
  <c r="D191" i="69" s="1"/>
  <c r="H82" i="55"/>
  <c r="H201" i="69" s="1"/>
  <c r="J186" i="65" s="1"/>
  <c r="H84" i="55"/>
  <c r="H203" i="69" s="1"/>
  <c r="J188" i="65" s="1"/>
  <c r="H83" i="55"/>
  <c r="H202" i="69" s="1"/>
  <c r="J187" i="65" s="1"/>
  <c r="H84" i="56"/>
  <c r="H193" i="69" s="1"/>
  <c r="H83" i="56"/>
  <c r="H192" i="69" s="1"/>
  <c r="H82" i="56"/>
  <c r="H191" i="69" s="1"/>
  <c r="L84" i="55"/>
  <c r="L203" i="69" s="1"/>
  <c r="N188" i="65" s="1"/>
  <c r="L82" i="55"/>
  <c r="L201" i="69" s="1"/>
  <c r="N186" i="65" s="1"/>
  <c r="L83" i="55"/>
  <c r="L202" i="69" s="1"/>
  <c r="N187" i="65" s="1"/>
  <c r="L83" i="56"/>
  <c r="L192" i="69" s="1"/>
  <c r="L82" i="56"/>
  <c r="L191" i="69" s="1"/>
  <c r="L84" i="56"/>
  <c r="L193" i="69" s="1"/>
  <c r="E83" i="55"/>
  <c r="E202" i="69" s="1"/>
  <c r="G187" i="65" s="1"/>
  <c r="E84" i="55"/>
  <c r="E203" i="69" s="1"/>
  <c r="G188" i="65" s="1"/>
  <c r="E82" i="55"/>
  <c r="E201" i="69" s="1"/>
  <c r="G186" i="65" s="1"/>
  <c r="E82" i="83"/>
  <c r="E211" i="69" s="1"/>
  <c r="G196" i="65" s="1"/>
  <c r="E84" i="83"/>
  <c r="E213" i="69" s="1"/>
  <c r="G198" i="65" s="1"/>
  <c r="E83" i="83"/>
  <c r="E212" i="69" s="1"/>
  <c r="G197" i="65" s="1"/>
  <c r="I82" i="55"/>
  <c r="I201" i="69" s="1"/>
  <c r="K186" i="65" s="1"/>
  <c r="I84" i="55"/>
  <c r="I203" i="69" s="1"/>
  <c r="K188" i="65" s="1"/>
  <c r="I83" i="55"/>
  <c r="I202" i="69" s="1"/>
  <c r="K187" i="65" s="1"/>
  <c r="I83" i="83"/>
  <c r="I212" i="69" s="1"/>
  <c r="K197" i="65" s="1"/>
  <c r="I82" i="83"/>
  <c r="I211" i="69" s="1"/>
  <c r="K196" i="65" s="1"/>
  <c r="I84" i="83"/>
  <c r="I213" i="69" s="1"/>
  <c r="K198" i="65" s="1"/>
  <c r="M83" i="55"/>
  <c r="M202" i="69" s="1"/>
  <c r="O187" i="65" s="1"/>
  <c r="M84" i="55"/>
  <c r="M203" i="69" s="1"/>
  <c r="O188" i="65" s="1"/>
  <c r="M82" i="55"/>
  <c r="M201" i="69" s="1"/>
  <c r="O186" i="65" s="1"/>
  <c r="M84" i="83"/>
  <c r="M213" i="69" s="1"/>
  <c r="O198" i="65" s="1"/>
  <c r="M83" i="83"/>
  <c r="M212" i="69" s="1"/>
  <c r="O197" i="65" s="1"/>
  <c r="M82" i="83"/>
  <c r="M211" i="69" s="1"/>
  <c r="O196" i="65" s="1"/>
  <c r="E83" i="75"/>
  <c r="E272" i="69" s="1"/>
  <c r="G247" i="65" s="1"/>
  <c r="E84" i="75"/>
  <c r="E273" i="69" s="1"/>
  <c r="G248" i="65" s="1"/>
  <c r="E82" i="75"/>
  <c r="E271" i="69" s="1"/>
  <c r="G246" i="65" s="1"/>
  <c r="M77" i="74"/>
  <c r="M262" i="69" s="1"/>
  <c r="M76" i="74"/>
  <c r="M261" i="69" s="1"/>
  <c r="M78" i="74"/>
  <c r="M263" i="69" s="1"/>
  <c r="N78" i="74"/>
  <c r="N263" i="69" s="1"/>
  <c r="N76" i="74"/>
  <c r="N261" i="69" s="1"/>
  <c r="N77" i="74"/>
  <c r="N262" i="69" s="1"/>
  <c r="C83" i="75"/>
  <c r="C272" i="69" s="1"/>
  <c r="E247" i="65" s="1"/>
  <c r="C82" i="75"/>
  <c r="C271" i="69" s="1"/>
  <c r="E246" i="65" s="1"/>
  <c r="C84" i="75"/>
  <c r="C273" i="69" s="1"/>
  <c r="E248" i="65" s="1"/>
  <c r="G76" i="74"/>
  <c r="G261" i="69" s="1"/>
  <c r="G78" i="74"/>
  <c r="G263" i="69" s="1"/>
  <c r="G77" i="74"/>
  <c r="G262" i="69" s="1"/>
  <c r="F82" i="73"/>
  <c r="F251" i="69" s="1"/>
  <c r="H236" i="65" s="1"/>
  <c r="F83" i="73"/>
  <c r="F252" i="69" s="1"/>
  <c r="H237" i="65" s="1"/>
  <c r="F84" i="73"/>
  <c r="F253" i="69" s="1"/>
  <c r="H238" i="65" s="1"/>
  <c r="F84" i="84"/>
  <c r="F243" i="69" s="1"/>
  <c r="H228" i="65" s="1"/>
  <c r="F82" i="84"/>
  <c r="F241" i="69" s="1"/>
  <c r="H226" i="65" s="1"/>
  <c r="F83" i="84"/>
  <c r="F242" i="69" s="1"/>
  <c r="H227" i="65" s="1"/>
  <c r="J84" i="73"/>
  <c r="J253" i="69" s="1"/>
  <c r="L238" i="65" s="1"/>
  <c r="J82" i="73"/>
  <c r="J251" i="69" s="1"/>
  <c r="L236" i="65" s="1"/>
  <c r="J83" i="73"/>
  <c r="J252" i="69" s="1"/>
  <c r="L237" i="65" s="1"/>
  <c r="J82" i="84"/>
  <c r="J241" i="69" s="1"/>
  <c r="L226" i="65" s="1"/>
  <c r="J84" i="84"/>
  <c r="J243" i="69" s="1"/>
  <c r="L228" i="65" s="1"/>
  <c r="J83" i="84"/>
  <c r="J242" i="69" s="1"/>
  <c r="L227" i="65" s="1"/>
  <c r="N82" i="73"/>
  <c r="N251" i="69" s="1"/>
  <c r="P236" i="65" s="1"/>
  <c r="N83" i="73"/>
  <c r="N252" i="69" s="1"/>
  <c r="P237" i="65" s="1"/>
  <c r="N84" i="73"/>
  <c r="N253" i="69" s="1"/>
  <c r="P238" i="65" s="1"/>
  <c r="N84" i="84"/>
  <c r="N243" i="69" s="1"/>
  <c r="P228" i="65" s="1"/>
  <c r="N83" i="84"/>
  <c r="N242" i="69" s="1"/>
  <c r="P227" i="65" s="1"/>
  <c r="N82" i="84"/>
  <c r="N241" i="69" s="1"/>
  <c r="P226" i="65" s="1"/>
  <c r="C82" i="56"/>
  <c r="C191" i="69" s="1"/>
  <c r="C83" i="56"/>
  <c r="C192" i="69" s="1"/>
  <c r="C84" i="56"/>
  <c r="C193" i="69" s="1"/>
  <c r="C83" i="84"/>
  <c r="C242" i="69" s="1"/>
  <c r="E227" i="65" s="1"/>
  <c r="C82" i="84"/>
  <c r="C241" i="69" s="1"/>
  <c r="E226" i="65" s="1"/>
  <c r="C84" i="84"/>
  <c r="C243" i="69" s="1"/>
  <c r="E228" i="65" s="1"/>
  <c r="G84" i="56"/>
  <c r="G193" i="69" s="1"/>
  <c r="G83" i="56"/>
  <c r="G192" i="69" s="1"/>
  <c r="G82" i="56"/>
  <c r="G191" i="69" s="1"/>
  <c r="G83" i="84"/>
  <c r="G242" i="69" s="1"/>
  <c r="I227" i="65" s="1"/>
  <c r="G82" i="84"/>
  <c r="G241" i="69" s="1"/>
  <c r="I226" i="65" s="1"/>
  <c r="G84" i="84"/>
  <c r="G243" i="69" s="1"/>
  <c r="I228" i="65" s="1"/>
  <c r="K84" i="56"/>
  <c r="K193" i="69" s="1"/>
  <c r="K83" i="56"/>
  <c r="K192" i="69" s="1"/>
  <c r="K82" i="56"/>
  <c r="K191" i="69" s="1"/>
  <c r="K84" i="84"/>
  <c r="K243" i="69" s="1"/>
  <c r="M228" i="65" s="1"/>
  <c r="K82" i="84"/>
  <c r="K241" i="69" s="1"/>
  <c r="M226" i="65" s="1"/>
  <c r="K83" i="84"/>
  <c r="K242" i="69" s="1"/>
  <c r="M227" i="65" s="1"/>
  <c r="D84" i="73"/>
  <c r="D253" i="69" s="1"/>
  <c r="F238" i="65" s="1"/>
  <c r="D83" i="73"/>
  <c r="D252" i="69" s="1"/>
  <c r="F237" i="65" s="1"/>
  <c r="D82" i="73"/>
  <c r="D251" i="69" s="1"/>
  <c r="F236" i="65" s="1"/>
  <c r="H84" i="73"/>
  <c r="H253" i="69" s="1"/>
  <c r="J238" i="65" s="1"/>
  <c r="H83" i="73"/>
  <c r="H252" i="69" s="1"/>
  <c r="J237" i="65" s="1"/>
  <c r="H82" i="73"/>
  <c r="H251" i="69" s="1"/>
  <c r="J236" i="65" s="1"/>
  <c r="L84" i="73"/>
  <c r="L253" i="69" s="1"/>
  <c r="N238" i="65" s="1"/>
  <c r="L83" i="73"/>
  <c r="L252" i="69" s="1"/>
  <c r="N237" i="65" s="1"/>
  <c r="L82" i="73"/>
  <c r="L251" i="69" s="1"/>
  <c r="N236" i="65" s="1"/>
  <c r="E82" i="57"/>
  <c r="E231" i="69" s="1"/>
  <c r="G216" i="65" s="1"/>
  <c r="E83" i="57"/>
  <c r="E232" i="69" s="1"/>
  <c r="G217" i="65" s="1"/>
  <c r="E84" i="57"/>
  <c r="E233" i="69" s="1"/>
  <c r="G218" i="65" s="1"/>
  <c r="E83" i="84"/>
  <c r="E242" i="69" s="1"/>
  <c r="G227" i="65" s="1"/>
  <c r="E82" i="84"/>
  <c r="E241" i="69" s="1"/>
  <c r="G226" i="65" s="1"/>
  <c r="E84" i="84"/>
  <c r="E243" i="69" s="1"/>
  <c r="G228" i="65" s="1"/>
  <c r="I84" i="57"/>
  <c r="I233" i="69" s="1"/>
  <c r="K218" i="65" s="1"/>
  <c r="I82" i="57"/>
  <c r="I231" i="69" s="1"/>
  <c r="K216" i="65" s="1"/>
  <c r="I83" i="57"/>
  <c r="I232" i="69" s="1"/>
  <c r="K217" i="65" s="1"/>
  <c r="I82" i="84"/>
  <c r="I241" i="69" s="1"/>
  <c r="K226" i="65" s="1"/>
  <c r="I84" i="84"/>
  <c r="I243" i="69" s="1"/>
  <c r="K228" i="65" s="1"/>
  <c r="I83" i="84"/>
  <c r="I242" i="69" s="1"/>
  <c r="K227" i="65" s="1"/>
  <c r="M84" i="57"/>
  <c r="M233" i="69" s="1"/>
  <c r="O218" i="65" s="1"/>
  <c r="M82" i="57"/>
  <c r="M231" i="69" s="1"/>
  <c r="O216" i="65" s="1"/>
  <c r="M83" i="57"/>
  <c r="M232" i="69" s="1"/>
  <c r="O217" i="65" s="1"/>
  <c r="M83" i="84"/>
  <c r="M242" i="69" s="1"/>
  <c r="O227" i="65" s="1"/>
  <c r="M84" i="84"/>
  <c r="M243" i="69" s="1"/>
  <c r="O228" i="65" s="1"/>
  <c r="M82" i="84"/>
  <c r="M241" i="69" s="1"/>
  <c r="O226" i="65" s="1"/>
  <c r="E84" i="58"/>
  <c r="E222" i="69" s="1"/>
  <c r="G207" i="65" s="1"/>
  <c r="E83" i="58"/>
  <c r="E221" i="69" s="1"/>
  <c r="G206" i="65" s="1"/>
  <c r="E85" i="58"/>
  <c r="E223" i="69" s="1"/>
  <c r="G208" i="65" s="1"/>
  <c r="I84" i="58"/>
  <c r="I222" i="69" s="1"/>
  <c r="K207" i="65" s="1"/>
  <c r="I83" i="58"/>
  <c r="I221" i="69" s="1"/>
  <c r="K206" i="65" s="1"/>
  <c r="I85" i="58"/>
  <c r="I223" i="69" s="1"/>
  <c r="K208" i="65" s="1"/>
  <c r="G83" i="58"/>
  <c r="G221" i="69" s="1"/>
  <c r="I206" i="65" s="1"/>
  <c r="G85" i="58"/>
  <c r="G223" i="69" s="1"/>
  <c r="I208" i="65" s="1"/>
  <c r="G84" i="58"/>
  <c r="G222" i="69" s="1"/>
  <c r="I207" i="65" s="1"/>
  <c r="D85" i="58"/>
  <c r="D223" i="69" s="1"/>
  <c r="F208" i="65" s="1"/>
  <c r="D83" i="58"/>
  <c r="D221" i="69" s="1"/>
  <c r="F206" i="65" s="1"/>
  <c r="D84" i="58"/>
  <c r="D222" i="69" s="1"/>
  <c r="F207" i="65" s="1"/>
  <c r="N84" i="58"/>
  <c r="N222" i="69" s="1"/>
  <c r="P207" i="65" s="1"/>
  <c r="N85" i="58"/>
  <c r="N223" i="69" s="1"/>
  <c r="P208" i="65" s="1"/>
  <c r="N83" i="58"/>
  <c r="N221" i="69" s="1"/>
  <c r="P206" i="65" s="1"/>
  <c r="K83" i="58"/>
  <c r="K221" i="69" s="1"/>
  <c r="M206" i="65" s="1"/>
  <c r="K84" i="58"/>
  <c r="K222" i="69" s="1"/>
  <c r="M207" i="65" s="1"/>
  <c r="K85" i="58"/>
  <c r="K223" i="69" s="1"/>
  <c r="M208" i="65" s="1"/>
  <c r="H83" i="58"/>
  <c r="H221" i="69" s="1"/>
  <c r="J206" i="65" s="1"/>
  <c r="H85" i="58"/>
  <c r="H223" i="69" s="1"/>
  <c r="J208" i="65" s="1"/>
  <c r="H84" i="58"/>
  <c r="H222" i="69" s="1"/>
  <c r="J207" i="65" s="1"/>
  <c r="M84" i="58"/>
  <c r="M222" i="69" s="1"/>
  <c r="O207" i="65" s="1"/>
  <c r="M85" i="58"/>
  <c r="M223" i="69" s="1"/>
  <c r="O208" i="65" s="1"/>
  <c r="M83" i="58"/>
  <c r="M221" i="69" s="1"/>
  <c r="O206" i="65" s="1"/>
  <c r="C84" i="58"/>
  <c r="C222" i="69" s="1"/>
  <c r="E207" i="65" s="1"/>
  <c r="C83" i="58"/>
  <c r="C221" i="69" s="1"/>
  <c r="E206" i="65" s="1"/>
  <c r="C85" i="58"/>
  <c r="C223" i="69" s="1"/>
  <c r="E208" i="65" s="1"/>
  <c r="J83" i="58"/>
  <c r="J221" i="69" s="1"/>
  <c r="L206" i="65" s="1"/>
  <c r="J85" i="58"/>
  <c r="J223" i="69" s="1"/>
  <c r="L208" i="65" s="1"/>
  <c r="J84" i="58"/>
  <c r="J222" i="69" s="1"/>
  <c r="L207" i="65" s="1"/>
  <c r="L83" i="58"/>
  <c r="L221" i="69" s="1"/>
  <c r="N206" i="65" s="1"/>
  <c r="L85" i="58"/>
  <c r="L223" i="69" s="1"/>
  <c r="N208" i="65" s="1"/>
  <c r="L84" i="58"/>
  <c r="L222" i="69" s="1"/>
  <c r="N207" i="65" s="1"/>
  <c r="F83" i="58"/>
  <c r="F221" i="69" s="1"/>
  <c r="H206" i="65" s="1"/>
  <c r="F85" i="58"/>
  <c r="F223" i="69" s="1"/>
  <c r="H208" i="65" s="1"/>
  <c r="F84" i="58"/>
  <c r="F222" i="69" s="1"/>
  <c r="H207" i="65" s="1"/>
  <c r="N137" i="52"/>
  <c r="G37" i="50"/>
  <c r="H165" i="70" s="1"/>
  <c r="I141" i="66" s="1"/>
  <c r="K33" i="50"/>
  <c r="L137" i="70" s="1"/>
  <c r="M117" i="66" s="1"/>
  <c r="C82" i="50"/>
  <c r="G85" i="50"/>
  <c r="K78" i="50"/>
  <c r="M37" i="50"/>
  <c r="N165" i="70" s="1"/>
  <c r="O141" i="66" s="1"/>
  <c r="E86" i="50"/>
  <c r="I85" i="50"/>
  <c r="M78" i="50"/>
  <c r="F41" i="59"/>
  <c r="G194" i="70" s="1"/>
  <c r="H164" i="66" s="1"/>
  <c r="D33" i="50"/>
  <c r="E137" i="70" s="1"/>
  <c r="F117" i="66" s="1"/>
  <c r="H37" i="50"/>
  <c r="I165" i="70" s="1"/>
  <c r="J141" i="66" s="1"/>
  <c r="L37" i="50"/>
  <c r="M165" i="70" s="1"/>
  <c r="N141" i="66" s="1"/>
  <c r="D78" i="50"/>
  <c r="D85" i="50"/>
  <c r="H78" i="50"/>
  <c r="L86" i="50"/>
  <c r="L82" i="50"/>
  <c r="M33" i="50"/>
  <c r="N137" i="70" s="1"/>
  <c r="O117" i="66" s="1"/>
  <c r="E82" i="50"/>
  <c r="F33" i="50"/>
  <c r="G137" i="70" s="1"/>
  <c r="H117" i="66" s="1"/>
  <c r="F37" i="50"/>
  <c r="G165" i="70" s="1"/>
  <c r="H141" i="66" s="1"/>
  <c r="J41" i="59"/>
  <c r="K194" i="70" s="1"/>
  <c r="L164" i="66" s="1"/>
  <c r="F85" i="50"/>
  <c r="J82" i="50"/>
  <c r="J78" i="50"/>
  <c r="C33" i="50"/>
  <c r="D137" i="70" s="1"/>
  <c r="E117" i="66" s="1"/>
  <c r="K37" i="50"/>
  <c r="L165" i="70" s="1"/>
  <c r="M141" i="66" s="1"/>
  <c r="C85" i="50"/>
  <c r="C78" i="50"/>
  <c r="G82" i="50"/>
  <c r="K82" i="50"/>
  <c r="H33" i="50"/>
  <c r="I137" i="70" s="1"/>
  <c r="J117" i="66" s="1"/>
  <c r="H85" i="50"/>
  <c r="E33" i="50"/>
  <c r="F137" i="70" s="1"/>
  <c r="G117" i="66" s="1"/>
  <c r="E37" i="50"/>
  <c r="F165" i="70" s="1"/>
  <c r="G141" i="66" s="1"/>
  <c r="E78" i="50"/>
  <c r="I82" i="50"/>
  <c r="M86" i="50"/>
  <c r="J33" i="50"/>
  <c r="K137" i="70" s="1"/>
  <c r="L117" i="66" s="1"/>
  <c r="J37" i="50"/>
  <c r="K165" i="70" s="1"/>
  <c r="L141" i="66" s="1"/>
  <c r="B78" i="50"/>
  <c r="F82" i="50"/>
  <c r="F86" i="50"/>
  <c r="K85" i="50"/>
  <c r="H82" i="50"/>
  <c r="F78" i="50"/>
  <c r="C37" i="50"/>
  <c r="D165" i="70" s="1"/>
  <c r="E141" i="66" s="1"/>
  <c r="G86" i="50"/>
  <c r="K86" i="50"/>
  <c r="I33" i="50"/>
  <c r="J137" i="70" s="1"/>
  <c r="K117" i="66" s="1"/>
  <c r="I86" i="50"/>
  <c r="M85" i="50"/>
  <c r="B33" i="50"/>
  <c r="C137" i="70" s="1"/>
  <c r="D117" i="66" s="1"/>
  <c r="G33" i="50"/>
  <c r="H137" i="70" s="1"/>
  <c r="I117" i="66" s="1"/>
  <c r="C86" i="50"/>
  <c r="G78" i="50"/>
  <c r="D37" i="50"/>
  <c r="E165" i="70" s="1"/>
  <c r="F141" i="66" s="1"/>
  <c r="L40" i="59"/>
  <c r="M187" i="70" s="1"/>
  <c r="N158" i="66" s="1"/>
  <c r="L33" i="50"/>
  <c r="M137" i="70" s="1"/>
  <c r="N117" i="66" s="1"/>
  <c r="D86" i="50"/>
  <c r="D82" i="50"/>
  <c r="H86" i="50"/>
  <c r="L78" i="50"/>
  <c r="L85" i="50"/>
  <c r="I37" i="50"/>
  <c r="J165" i="70" s="1"/>
  <c r="K141" i="66" s="1"/>
  <c r="E85" i="50"/>
  <c r="I78" i="50"/>
  <c r="M82" i="50"/>
  <c r="J85" i="50"/>
  <c r="J86" i="50"/>
  <c r="D9" i="12"/>
  <c r="D115" i="10"/>
  <c r="D80" i="10"/>
  <c r="E80" i="10" s="1"/>
  <c r="F80" i="10" s="1"/>
  <c r="G80" i="10" s="1"/>
  <c r="H80" i="10" s="1"/>
  <c r="I80" i="10" s="1"/>
  <c r="J80" i="10" s="1"/>
  <c r="K80" i="10" s="1"/>
  <c r="L80" i="10" s="1"/>
  <c r="M80" i="10" s="1"/>
  <c r="N80" i="10" s="1"/>
  <c r="D45" i="10"/>
  <c r="E45" i="10" s="1"/>
  <c r="F45" i="10" s="1"/>
  <c r="G45" i="10" s="1"/>
  <c r="H45" i="10" s="1"/>
  <c r="I45" i="10" s="1"/>
  <c r="J45" i="10" s="1"/>
  <c r="K45" i="10" s="1"/>
  <c r="L45" i="10" s="1"/>
  <c r="M45" i="10" s="1"/>
  <c r="N45" i="10" s="1"/>
  <c r="D115" i="11"/>
  <c r="D80" i="11"/>
  <c r="D45" i="11"/>
  <c r="E45" i="11" s="1"/>
  <c r="F45" i="11" s="1"/>
  <c r="G45" i="11" s="1"/>
  <c r="H45" i="11" s="1"/>
  <c r="I45" i="11" s="1"/>
  <c r="J45" i="11" s="1"/>
  <c r="K45" i="11" s="1"/>
  <c r="L45" i="11" s="1"/>
  <c r="M45" i="11" s="1"/>
  <c r="N45" i="11" s="1"/>
  <c r="D121" i="12"/>
  <c r="E121" i="12" s="1"/>
  <c r="F121" i="12" s="1"/>
  <c r="G121" i="12" s="1"/>
  <c r="H121" i="12" s="1"/>
  <c r="I121" i="12" s="1"/>
  <c r="J121" i="12" s="1"/>
  <c r="K121" i="12" s="1"/>
  <c r="L121" i="12" s="1"/>
  <c r="M121" i="12" s="1"/>
  <c r="N121" i="12" s="1"/>
  <c r="D79" i="12"/>
  <c r="E79" i="12" s="1"/>
  <c r="F79" i="12" s="1"/>
  <c r="G79" i="12" s="1"/>
  <c r="H79" i="12" s="1"/>
  <c r="I79" i="12" s="1"/>
  <c r="J79" i="12" s="1"/>
  <c r="K79" i="12" s="1"/>
  <c r="L79" i="12" s="1"/>
  <c r="M79" i="12" s="1"/>
  <c r="N79" i="12" s="1"/>
  <c r="D44" i="12"/>
  <c r="E44" i="12" s="1"/>
  <c r="F44" i="12" s="1"/>
  <c r="G44" i="12" s="1"/>
  <c r="H44" i="12" s="1"/>
  <c r="I44" i="12" s="1"/>
  <c r="J44" i="12" s="1"/>
  <c r="K44" i="12" s="1"/>
  <c r="L44" i="12" s="1"/>
  <c r="M44" i="12" s="1"/>
  <c r="N44" i="12" s="1"/>
  <c r="D122" i="13"/>
  <c r="D80" i="13"/>
  <c r="E80" i="13" s="1"/>
  <c r="F80" i="13" s="1"/>
  <c r="G80" i="13" s="1"/>
  <c r="H80" i="13" s="1"/>
  <c r="I80" i="13" s="1"/>
  <c r="J80" i="13" s="1"/>
  <c r="K80" i="13" s="1"/>
  <c r="L80" i="13" s="1"/>
  <c r="M80" i="13" s="1"/>
  <c r="N80" i="13" s="1"/>
  <c r="D45" i="13"/>
  <c r="D135" i="16"/>
  <c r="E135" i="16" s="1"/>
  <c r="F135" i="16" s="1"/>
  <c r="G135" i="16" s="1"/>
  <c r="H135" i="16" s="1"/>
  <c r="I135" i="16" s="1"/>
  <c r="J135" i="16" s="1"/>
  <c r="K135" i="16" s="1"/>
  <c r="L135" i="16" s="1"/>
  <c r="M135" i="16" s="1"/>
  <c r="N135" i="16" s="1"/>
  <c r="D93" i="16"/>
  <c r="E93" i="16" s="1"/>
  <c r="F93" i="16" s="1"/>
  <c r="G93" i="16" s="1"/>
  <c r="H93" i="16" s="1"/>
  <c r="I93" i="16" s="1"/>
  <c r="J93" i="16" s="1"/>
  <c r="K93" i="16" s="1"/>
  <c r="L93" i="16" s="1"/>
  <c r="M93" i="16" s="1"/>
  <c r="N93" i="16" s="1"/>
  <c r="D51" i="16"/>
  <c r="E51" i="16" s="1"/>
  <c r="F51" i="16" s="1"/>
  <c r="G51" i="16" s="1"/>
  <c r="H51" i="16" s="1"/>
  <c r="I51" i="16" s="1"/>
  <c r="J51" i="16" s="1"/>
  <c r="K51" i="16" s="1"/>
  <c r="L51" i="16" s="1"/>
  <c r="M51" i="16" s="1"/>
  <c r="N51" i="16" s="1"/>
  <c r="D135" i="15"/>
  <c r="E135" i="15" s="1"/>
  <c r="F135" i="15" s="1"/>
  <c r="G135" i="15" s="1"/>
  <c r="H135" i="15" s="1"/>
  <c r="I135" i="15" s="1"/>
  <c r="J135" i="15" s="1"/>
  <c r="K135" i="15" s="1"/>
  <c r="L135" i="15" s="1"/>
  <c r="M135" i="15" s="1"/>
  <c r="N135" i="15" s="1"/>
  <c r="D93" i="15"/>
  <c r="E93" i="15" s="1"/>
  <c r="F93" i="15" s="1"/>
  <c r="G93" i="15" s="1"/>
  <c r="H93" i="15" s="1"/>
  <c r="I93" i="15" s="1"/>
  <c r="J93" i="15" s="1"/>
  <c r="K93" i="15" s="1"/>
  <c r="L93" i="15" s="1"/>
  <c r="M93" i="15" s="1"/>
  <c r="N93" i="15" s="1"/>
  <c r="D51" i="15"/>
  <c r="E51" i="15" s="1"/>
  <c r="F51" i="15" s="1"/>
  <c r="G51" i="15" s="1"/>
  <c r="H51" i="15" s="1"/>
  <c r="I51" i="15" s="1"/>
  <c r="J51" i="15" s="1"/>
  <c r="K51" i="15" s="1"/>
  <c r="L51" i="15" s="1"/>
  <c r="M51" i="15" s="1"/>
  <c r="N51" i="15" s="1"/>
  <c r="D135" i="14"/>
  <c r="E135" i="14" s="1"/>
  <c r="F135" i="14" s="1"/>
  <c r="G135" i="14" s="1"/>
  <c r="H135" i="14" s="1"/>
  <c r="I135" i="14" s="1"/>
  <c r="J135" i="14" s="1"/>
  <c r="K135" i="14" s="1"/>
  <c r="L135" i="14" s="1"/>
  <c r="M135" i="14" s="1"/>
  <c r="N135" i="14" s="1"/>
  <c r="D93" i="14"/>
  <c r="E93" i="14" s="1"/>
  <c r="F93" i="14" s="1"/>
  <c r="G93" i="14" s="1"/>
  <c r="H93" i="14" s="1"/>
  <c r="I93" i="14" s="1"/>
  <c r="J93" i="14" s="1"/>
  <c r="K93" i="14" s="1"/>
  <c r="L93" i="14" s="1"/>
  <c r="M93" i="14" s="1"/>
  <c r="N93" i="14" s="1"/>
  <c r="D51" i="14"/>
  <c r="E51" i="14" s="1"/>
  <c r="F51" i="14" s="1"/>
  <c r="G51" i="14" s="1"/>
  <c r="H51" i="14" s="1"/>
  <c r="I51" i="14" s="1"/>
  <c r="J51" i="14" s="1"/>
  <c r="K51" i="14" s="1"/>
  <c r="L51" i="14" s="1"/>
  <c r="M51" i="14" s="1"/>
  <c r="N51" i="14" s="1"/>
  <c r="E115" i="10" l="1"/>
  <c r="E115" i="11"/>
  <c r="E9" i="12"/>
  <c r="F9" i="12" s="1"/>
  <c r="E122" i="13"/>
  <c r="E45" i="13"/>
  <c r="F45" i="13" s="1"/>
  <c r="G45" i="13" s="1"/>
  <c r="H45" i="13" s="1"/>
  <c r="I45" i="13" s="1"/>
  <c r="J45" i="13" s="1"/>
  <c r="K45" i="13" s="1"/>
  <c r="L45" i="13" s="1"/>
  <c r="M45" i="13" s="1"/>
  <c r="N45" i="13" s="1"/>
  <c r="O137" i="52"/>
  <c r="O104" i="52"/>
  <c r="O122" i="52"/>
  <c r="O125" i="52"/>
  <c r="O135" i="52"/>
  <c r="O82" i="50"/>
  <c r="N82" i="50"/>
  <c r="O127" i="52"/>
  <c r="O130" i="52"/>
  <c r="O120" i="52"/>
  <c r="O132" i="52"/>
  <c r="O112" i="52"/>
  <c r="O115" i="52"/>
  <c r="O107" i="52"/>
  <c r="O109" i="52"/>
  <c r="O106" i="52"/>
  <c r="O114" i="52"/>
  <c r="O128" i="52"/>
  <c r="O117" i="52"/>
  <c r="O126" i="52"/>
  <c r="O133" i="52"/>
  <c r="O113" i="52"/>
  <c r="O108" i="52"/>
  <c r="O110" i="52"/>
  <c r="O111" i="52"/>
  <c r="O119" i="52"/>
  <c r="O118" i="52"/>
  <c r="O131" i="52"/>
  <c r="O105" i="52"/>
  <c r="O116" i="52"/>
  <c r="O129" i="52"/>
  <c r="P165" i="70"/>
  <c r="P137" i="70"/>
  <c r="J84" i="50"/>
  <c r="K248" i="69" s="1"/>
  <c r="M235" i="65" s="1"/>
  <c r="L84" i="50"/>
  <c r="M248" i="69" s="1"/>
  <c r="O235" i="65" s="1"/>
  <c r="I84" i="50"/>
  <c r="K84" i="50"/>
  <c r="L248" i="69" s="1"/>
  <c r="N235" i="65" s="1"/>
  <c r="H84" i="50"/>
  <c r="I248" i="69" s="1"/>
  <c r="K235" i="65" s="1"/>
  <c r="M84" i="50"/>
  <c r="N248" i="69" s="1"/>
  <c r="P235" i="65" s="1"/>
  <c r="K33" i="59"/>
  <c r="L138" i="70" s="1"/>
  <c r="M116" i="66" s="1"/>
  <c r="L84" i="59"/>
  <c r="K82" i="59"/>
  <c r="L229" i="69" s="1"/>
  <c r="N214" i="65" s="1"/>
  <c r="E86" i="59"/>
  <c r="G85" i="59"/>
  <c r="L85" i="59"/>
  <c r="M85" i="59"/>
  <c r="N259" i="69" s="1"/>
  <c r="K86" i="59"/>
  <c r="F82" i="59"/>
  <c r="G229" i="69" s="1"/>
  <c r="I214" i="65" s="1"/>
  <c r="E85" i="59"/>
  <c r="K84" i="59"/>
  <c r="J37" i="59"/>
  <c r="K166" i="70" s="1"/>
  <c r="L140" i="66" s="1"/>
  <c r="C33" i="59"/>
  <c r="D138" i="70" s="1"/>
  <c r="E116" i="66" s="1"/>
  <c r="F37" i="59"/>
  <c r="G166" i="70" s="1"/>
  <c r="H140" i="66" s="1"/>
  <c r="L37" i="59"/>
  <c r="M166" i="70" s="1"/>
  <c r="N140" i="66" s="1"/>
  <c r="E82" i="59"/>
  <c r="F229" i="69" s="1"/>
  <c r="H214" i="65" s="1"/>
  <c r="D33" i="59"/>
  <c r="E138" i="70" s="1"/>
  <c r="F116" i="66" s="1"/>
  <c r="C82" i="59"/>
  <c r="J188" i="69"/>
  <c r="I268" i="69"/>
  <c r="K245" i="65" s="1"/>
  <c r="J228" i="69"/>
  <c r="L215" i="65" s="1"/>
  <c r="D188" i="69"/>
  <c r="J258" i="69"/>
  <c r="L188" i="69"/>
  <c r="K268" i="69"/>
  <c r="M245" i="65" s="1"/>
  <c r="N228" i="69"/>
  <c r="P215" i="65" s="1"/>
  <c r="M258" i="69"/>
  <c r="E228" i="69"/>
  <c r="G215" i="65" s="1"/>
  <c r="F188" i="69"/>
  <c r="K228" i="69"/>
  <c r="M215" i="65" s="1"/>
  <c r="F228" i="69"/>
  <c r="H215" i="65" s="1"/>
  <c r="M268" i="69"/>
  <c r="O245" i="65" s="1"/>
  <c r="H78" i="59"/>
  <c r="K258" i="69"/>
  <c r="F258" i="69"/>
  <c r="M188" i="69"/>
  <c r="D86" i="59"/>
  <c r="H188" i="69"/>
  <c r="G33" i="59"/>
  <c r="H138" i="70" s="1"/>
  <c r="I116" i="66" s="1"/>
  <c r="N258" i="69"/>
  <c r="L268" i="69"/>
  <c r="N245" i="65" s="1"/>
  <c r="K85" i="59"/>
  <c r="F86" i="59"/>
  <c r="B78" i="59"/>
  <c r="J33" i="59"/>
  <c r="K138" i="70" s="1"/>
  <c r="L116" i="66" s="1"/>
  <c r="M86" i="59"/>
  <c r="E37" i="59"/>
  <c r="F166" i="70" s="1"/>
  <c r="G140" i="66" s="1"/>
  <c r="L228" i="69"/>
  <c r="N215" i="65" s="1"/>
  <c r="D258" i="69"/>
  <c r="G258" i="69"/>
  <c r="F33" i="59"/>
  <c r="G138" i="70" s="1"/>
  <c r="H116" i="66" s="1"/>
  <c r="M33" i="59"/>
  <c r="N138" i="70" s="1"/>
  <c r="O116" i="66" s="1"/>
  <c r="D85" i="59"/>
  <c r="M78" i="59"/>
  <c r="F268" i="69"/>
  <c r="H245" i="65" s="1"/>
  <c r="H258" i="69"/>
  <c r="G188" i="69"/>
  <c r="K188" i="69"/>
  <c r="M228" i="69"/>
  <c r="O215" i="65" s="1"/>
  <c r="I188" i="69"/>
  <c r="E188" i="69"/>
  <c r="D268" i="69"/>
  <c r="F245" i="65" s="1"/>
  <c r="I228" i="69"/>
  <c r="K215" i="65" s="1"/>
  <c r="G228" i="69"/>
  <c r="I215" i="65" s="1"/>
  <c r="H86" i="59"/>
  <c r="E268" i="69"/>
  <c r="G245" i="65" s="1"/>
  <c r="J268" i="69"/>
  <c r="L245" i="65" s="1"/>
  <c r="H268" i="69"/>
  <c r="J245" i="65" s="1"/>
  <c r="F78" i="59"/>
  <c r="L258" i="69"/>
  <c r="G268" i="69"/>
  <c r="I245" i="65" s="1"/>
  <c r="C188" i="69"/>
  <c r="N268" i="69"/>
  <c r="P245" i="65" s="1"/>
  <c r="I258" i="69"/>
  <c r="H228" i="69"/>
  <c r="J215" i="65" s="1"/>
  <c r="K37" i="59"/>
  <c r="L166" i="70" s="1"/>
  <c r="M140" i="66" s="1"/>
  <c r="J78" i="59"/>
  <c r="E258" i="69"/>
  <c r="N188" i="69"/>
  <c r="D228" i="69"/>
  <c r="K78" i="59"/>
  <c r="G37" i="59"/>
  <c r="H166" i="70" s="1"/>
  <c r="I140" i="66" s="1"/>
  <c r="J85" i="59"/>
  <c r="I37" i="59"/>
  <c r="J166" i="70" s="1"/>
  <c r="K140" i="66" s="1"/>
  <c r="L78" i="59"/>
  <c r="D82" i="59"/>
  <c r="L33" i="59"/>
  <c r="M138" i="70" s="1"/>
  <c r="N116" i="66" s="1"/>
  <c r="D37" i="59"/>
  <c r="E166" i="70" s="1"/>
  <c r="F140" i="66" s="1"/>
  <c r="G78" i="59"/>
  <c r="C86" i="59"/>
  <c r="B33" i="59"/>
  <c r="C138" i="70" s="1"/>
  <c r="I86" i="59"/>
  <c r="I33" i="59"/>
  <c r="J138" i="70" s="1"/>
  <c r="K116" i="66" s="1"/>
  <c r="G86" i="59"/>
  <c r="C37" i="59"/>
  <c r="E78" i="59"/>
  <c r="E33" i="59"/>
  <c r="F138" i="70" s="1"/>
  <c r="G116" i="66" s="1"/>
  <c r="H85" i="59"/>
  <c r="H33" i="59"/>
  <c r="I138" i="70" s="1"/>
  <c r="J116" i="66" s="1"/>
  <c r="G82" i="59"/>
  <c r="F85" i="59"/>
  <c r="L86" i="59"/>
  <c r="D78" i="59"/>
  <c r="H37" i="59"/>
  <c r="I166" i="70" s="1"/>
  <c r="J140" i="66" s="1"/>
  <c r="M84" i="59"/>
  <c r="I85" i="59"/>
  <c r="M37" i="59"/>
  <c r="N166" i="70" s="1"/>
  <c r="O140" i="66" s="1"/>
  <c r="B40" i="59"/>
  <c r="P54" i="74"/>
  <c r="B85" i="59"/>
  <c r="M82" i="59"/>
  <c r="I78" i="59"/>
  <c r="B40" i="50"/>
  <c r="N40" i="50" s="1"/>
  <c r="P55" i="74"/>
  <c r="I82" i="59"/>
  <c r="B85" i="50"/>
  <c r="P60" i="74"/>
  <c r="L82" i="59"/>
  <c r="G84" i="59"/>
  <c r="B86" i="59"/>
  <c r="H82" i="59"/>
  <c r="C78" i="59"/>
  <c r="B41" i="59"/>
  <c r="P54" i="75"/>
  <c r="J86" i="59"/>
  <c r="B41" i="50"/>
  <c r="P55" i="75"/>
  <c r="G84" i="50"/>
  <c r="G39" i="59"/>
  <c r="J82" i="59"/>
  <c r="P60" i="75"/>
  <c r="B86" i="50"/>
  <c r="E80" i="11"/>
  <c r="F115" i="10" l="1"/>
  <c r="F115" i="11"/>
  <c r="F122" i="13"/>
  <c r="N85" i="50"/>
  <c r="O85" i="50"/>
  <c r="N40" i="59"/>
  <c r="O40" i="59"/>
  <c r="T187" i="70" s="1"/>
  <c r="N86" i="59"/>
  <c r="O86" i="59"/>
  <c r="N41" i="59"/>
  <c r="O41" i="59"/>
  <c r="T194" i="70" s="1"/>
  <c r="N39" i="59"/>
  <c r="O39" i="59"/>
  <c r="T180" i="70" s="1"/>
  <c r="D166" i="70"/>
  <c r="E140" i="66" s="1"/>
  <c r="N37" i="59"/>
  <c r="O37" i="59"/>
  <c r="D229" i="69"/>
  <c r="F214" i="65" s="1"/>
  <c r="O82" i="59"/>
  <c r="N82" i="59"/>
  <c r="D116" i="66"/>
  <c r="O41" i="50"/>
  <c r="N41" i="50"/>
  <c r="O40" i="50"/>
  <c r="T186" i="70" s="1"/>
  <c r="C85" i="59"/>
  <c r="D259" i="69" s="1"/>
  <c r="Q138" i="70"/>
  <c r="P188" i="69"/>
  <c r="F215" i="65"/>
  <c r="P228" i="69"/>
  <c r="M259" i="69"/>
  <c r="G154" i="68"/>
  <c r="J248" i="69"/>
  <c r="L235" i="65" s="1"/>
  <c r="M249" i="69"/>
  <c r="O234" i="65" s="1"/>
  <c r="H84" i="59"/>
  <c r="I249" i="69" s="1"/>
  <c r="K234" i="65" s="1"/>
  <c r="I84" i="59"/>
  <c r="J249" i="69" s="1"/>
  <c r="L234" i="65" s="1"/>
  <c r="J84" i="59"/>
  <c r="F259" i="69"/>
  <c r="H259" i="69"/>
  <c r="F269" i="69"/>
  <c r="H244" i="65" s="1"/>
  <c r="L269" i="69"/>
  <c r="N244" i="65" s="1"/>
  <c r="L249" i="69"/>
  <c r="N234" i="65" s="1"/>
  <c r="G160" i="68"/>
  <c r="E269" i="69"/>
  <c r="G244" i="65" s="1"/>
  <c r="J229" i="69"/>
  <c r="L214" i="65" s="1"/>
  <c r="N229" i="69"/>
  <c r="P214" i="65" s="1"/>
  <c r="K269" i="69"/>
  <c r="M244" i="65" s="1"/>
  <c r="E189" i="69"/>
  <c r="K229" i="69"/>
  <c r="M214" i="65" s="1"/>
  <c r="J259" i="69"/>
  <c r="M269" i="69"/>
  <c r="O244" i="65" s="1"/>
  <c r="I259" i="69"/>
  <c r="H269" i="69"/>
  <c r="J244" i="65" s="1"/>
  <c r="D269" i="69"/>
  <c r="F244" i="65" s="1"/>
  <c r="E229" i="69"/>
  <c r="G214" i="65" s="1"/>
  <c r="I269" i="69"/>
  <c r="K244" i="65" s="1"/>
  <c r="E259" i="69"/>
  <c r="G269" i="69"/>
  <c r="I244" i="65" s="1"/>
  <c r="J189" i="69"/>
  <c r="N249" i="69"/>
  <c r="P234" i="65" s="1"/>
  <c r="G259" i="69"/>
  <c r="H189" i="69"/>
  <c r="M189" i="69"/>
  <c r="G189" i="69"/>
  <c r="N269" i="69"/>
  <c r="P244" i="65" s="1"/>
  <c r="L259" i="69"/>
  <c r="D189" i="69"/>
  <c r="H229" i="69"/>
  <c r="J214" i="65" s="1"/>
  <c r="F189" i="69"/>
  <c r="J269" i="69"/>
  <c r="L244" i="65" s="1"/>
  <c r="L189" i="69"/>
  <c r="I229" i="69"/>
  <c r="K214" i="65" s="1"/>
  <c r="M229" i="69"/>
  <c r="O214" i="65" s="1"/>
  <c r="K259" i="69"/>
  <c r="G142" i="68"/>
  <c r="K189" i="69"/>
  <c r="P137" i="79"/>
  <c r="G118" i="68" s="1"/>
  <c r="N189" i="69"/>
  <c r="C189" i="69"/>
  <c r="I189" i="69"/>
  <c r="P59" i="74"/>
  <c r="N33" i="59"/>
  <c r="H248" i="69"/>
  <c r="C269" i="69"/>
  <c r="C187" i="70"/>
  <c r="H249" i="69"/>
  <c r="C268" i="69"/>
  <c r="N86" i="50"/>
  <c r="O86" i="50"/>
  <c r="C194" i="70"/>
  <c r="P59" i="75"/>
  <c r="C186" i="70"/>
  <c r="H180" i="70"/>
  <c r="C193" i="70"/>
  <c r="T193" i="70"/>
  <c r="C258" i="69"/>
  <c r="C259" i="69"/>
  <c r="F80" i="11"/>
  <c r="G9" i="12"/>
  <c r="G115" i="10" l="1"/>
  <c r="G115" i="11"/>
  <c r="G122" i="13"/>
  <c r="O85" i="59"/>
  <c r="T259" i="69" s="1"/>
  <c r="N85" i="59"/>
  <c r="Q166" i="70"/>
  <c r="Q194" i="70"/>
  <c r="D164" i="66"/>
  <c r="P193" i="70"/>
  <c r="D165" i="66"/>
  <c r="Q187" i="70"/>
  <c r="D158" i="66"/>
  <c r="P186" i="70"/>
  <c r="D159" i="66"/>
  <c r="Q180" i="70"/>
  <c r="I152" i="66"/>
  <c r="Q269" i="69"/>
  <c r="F167" i="68" s="1"/>
  <c r="Q259" i="69"/>
  <c r="F161" i="68" s="1"/>
  <c r="J235" i="65"/>
  <c r="Q189" i="69"/>
  <c r="P258" i="69"/>
  <c r="E245" i="65"/>
  <c r="P268" i="69"/>
  <c r="Q229" i="69"/>
  <c r="K249" i="69"/>
  <c r="M234" i="65" s="1"/>
  <c r="G155" i="68"/>
  <c r="G143" i="68"/>
  <c r="G161" i="68"/>
  <c r="Q138" i="79"/>
  <c r="G119" i="68" s="1"/>
  <c r="T258" i="69"/>
  <c r="U186" i="79"/>
  <c r="T269" i="69"/>
  <c r="T268" i="69"/>
  <c r="U179" i="79"/>
  <c r="E244" i="65"/>
  <c r="J234" i="65"/>
  <c r="G80" i="11"/>
  <c r="H9" i="12"/>
  <c r="H115" i="10" l="1"/>
  <c r="H115" i="11"/>
  <c r="H122" i="13"/>
  <c r="U180" i="79"/>
  <c r="U187" i="79"/>
  <c r="U187" i="70"/>
  <c r="E161" i="68"/>
  <c r="E160" i="68"/>
  <c r="U186" i="70"/>
  <c r="E166" i="68"/>
  <c r="U193" i="70"/>
  <c r="U180" i="70"/>
  <c r="E155" i="68"/>
  <c r="E167" i="68"/>
  <c r="U194" i="70"/>
  <c r="H80" i="11"/>
  <c r="I9" i="12"/>
  <c r="I115" i="10" l="1"/>
  <c r="I115" i="11"/>
  <c r="I122" i="13"/>
  <c r="I80" i="11"/>
  <c r="J9" i="12"/>
  <c r="J115" i="10" l="1"/>
  <c r="J115" i="11"/>
  <c r="J122" i="13"/>
  <c r="J80" i="11"/>
  <c r="K9" i="12"/>
  <c r="K115" i="10" l="1"/>
  <c r="K115" i="11"/>
  <c r="K122" i="13"/>
  <c r="K80" i="11"/>
  <c r="L9" i="12"/>
  <c r="L115" i="10" l="1"/>
  <c r="L115" i="11"/>
  <c r="L122" i="13"/>
  <c r="L80" i="11"/>
  <c r="M9" i="12"/>
  <c r="M115" i="10" l="1"/>
  <c r="M115" i="11"/>
  <c r="M122" i="13"/>
  <c r="M80" i="11"/>
  <c r="N9" i="12"/>
  <c r="N115" i="10" l="1"/>
  <c r="N115" i="11"/>
  <c r="N122" i="13"/>
  <c r="N80" i="11"/>
  <c r="M176" i="14"/>
  <c r="L176" i="14"/>
  <c r="K176" i="14"/>
  <c r="J176" i="14"/>
  <c r="I176" i="14"/>
  <c r="H176" i="14"/>
  <c r="G176" i="14"/>
  <c r="F176" i="14"/>
  <c r="E176" i="14"/>
  <c r="D176" i="14"/>
  <c r="C176" i="14"/>
  <c r="B176" i="14"/>
  <c r="M175" i="14"/>
  <c r="L175" i="14"/>
  <c r="K175" i="14"/>
  <c r="J175" i="14"/>
  <c r="I175" i="14"/>
  <c r="H175" i="14"/>
  <c r="G175" i="14"/>
  <c r="F175" i="14"/>
  <c r="E175" i="14"/>
  <c r="D175" i="14"/>
  <c r="C175" i="14"/>
  <c r="B175" i="14"/>
  <c r="M174" i="14"/>
  <c r="L174" i="14"/>
  <c r="K174" i="14"/>
  <c r="J174" i="14"/>
  <c r="I174" i="14"/>
  <c r="H174" i="14"/>
  <c r="G174" i="14"/>
  <c r="F174" i="14"/>
  <c r="E174" i="14"/>
  <c r="D174" i="14"/>
  <c r="C174" i="14"/>
  <c r="B174" i="14"/>
  <c r="M170" i="14"/>
  <c r="L170" i="14"/>
  <c r="K170" i="14"/>
  <c r="J170" i="14"/>
  <c r="I170" i="14"/>
  <c r="H170" i="14"/>
  <c r="G170" i="14"/>
  <c r="F170" i="14"/>
  <c r="E170" i="14"/>
  <c r="D170" i="14"/>
  <c r="C170" i="14"/>
  <c r="B170" i="14"/>
  <c r="M169" i="14"/>
  <c r="L169" i="14"/>
  <c r="K169" i="14"/>
  <c r="J169" i="14"/>
  <c r="I169" i="14"/>
  <c r="H169" i="14"/>
  <c r="G169" i="14"/>
  <c r="F169" i="14"/>
  <c r="E169" i="14"/>
  <c r="D169" i="14"/>
  <c r="C169" i="14"/>
  <c r="B169" i="14"/>
  <c r="M168" i="14"/>
  <c r="L168" i="14"/>
  <c r="K168" i="14"/>
  <c r="J168" i="14"/>
  <c r="I168" i="14"/>
  <c r="H168" i="14"/>
  <c r="G168" i="14"/>
  <c r="F168" i="14"/>
  <c r="E168" i="14"/>
  <c r="D168" i="14"/>
  <c r="C168" i="14"/>
  <c r="B168" i="14"/>
  <c r="M167" i="14"/>
  <c r="L167" i="14"/>
  <c r="K167" i="14"/>
  <c r="J167" i="14"/>
  <c r="I167" i="14"/>
  <c r="H167" i="14"/>
  <c r="G167" i="14"/>
  <c r="F167" i="14"/>
  <c r="E167" i="14"/>
  <c r="D167" i="14"/>
  <c r="C167" i="14"/>
  <c r="B167" i="14"/>
  <c r="M166" i="14"/>
  <c r="L166" i="14"/>
  <c r="K166" i="14"/>
  <c r="J166" i="14"/>
  <c r="I166" i="14"/>
  <c r="H166" i="14"/>
  <c r="G166" i="14"/>
  <c r="F166" i="14"/>
  <c r="E166" i="14"/>
  <c r="D166" i="14"/>
  <c r="C166" i="14"/>
  <c r="B166" i="14"/>
  <c r="M165" i="14"/>
  <c r="L165" i="14"/>
  <c r="K165" i="14"/>
  <c r="J165" i="14"/>
  <c r="I165" i="14"/>
  <c r="H165" i="14"/>
  <c r="G165" i="14"/>
  <c r="F165" i="14"/>
  <c r="E165" i="14"/>
  <c r="D165" i="14"/>
  <c r="C165" i="14"/>
  <c r="B165" i="14"/>
  <c r="B131" i="14"/>
  <c r="B89" i="14"/>
  <c r="B47" i="14"/>
  <c r="M176" i="15"/>
  <c r="L176" i="15"/>
  <c r="K176" i="15"/>
  <c r="J176" i="15"/>
  <c r="I176" i="15"/>
  <c r="H176" i="15"/>
  <c r="G176" i="15"/>
  <c r="F176" i="15"/>
  <c r="E176" i="15"/>
  <c r="D176" i="15"/>
  <c r="C176" i="15"/>
  <c r="M175" i="15"/>
  <c r="L175" i="15"/>
  <c r="K175" i="15"/>
  <c r="J175" i="15"/>
  <c r="I175" i="15"/>
  <c r="H175" i="15"/>
  <c r="G175" i="15"/>
  <c r="F175" i="15"/>
  <c r="E175" i="15"/>
  <c r="D175" i="15"/>
  <c r="C175" i="15"/>
  <c r="M174" i="15"/>
  <c r="L174" i="15"/>
  <c r="K174" i="15"/>
  <c r="J174" i="15"/>
  <c r="I174" i="15"/>
  <c r="H174" i="15"/>
  <c r="G174" i="15"/>
  <c r="F174" i="15"/>
  <c r="E174" i="15"/>
  <c r="D174" i="15"/>
  <c r="C174" i="15"/>
  <c r="M170" i="15"/>
  <c r="L170" i="15"/>
  <c r="K170" i="15"/>
  <c r="J170" i="15"/>
  <c r="I170" i="15"/>
  <c r="H170" i="15"/>
  <c r="G170" i="15"/>
  <c r="F170" i="15"/>
  <c r="E170" i="15"/>
  <c r="D170" i="15"/>
  <c r="C170" i="15"/>
  <c r="M169" i="15"/>
  <c r="L169" i="15"/>
  <c r="K169" i="15"/>
  <c r="J169" i="15"/>
  <c r="I169" i="15"/>
  <c r="H169" i="15"/>
  <c r="G169" i="15"/>
  <c r="F169" i="15"/>
  <c r="E169" i="15"/>
  <c r="D169" i="15"/>
  <c r="C169" i="15"/>
  <c r="M168" i="15"/>
  <c r="L168" i="15"/>
  <c r="K168" i="15"/>
  <c r="J168" i="15"/>
  <c r="I168" i="15"/>
  <c r="H168" i="15"/>
  <c r="G168" i="15"/>
  <c r="F168" i="15"/>
  <c r="E168" i="15"/>
  <c r="D168" i="15"/>
  <c r="C168" i="15"/>
  <c r="M167" i="15"/>
  <c r="L167" i="15"/>
  <c r="K167" i="15"/>
  <c r="J167" i="15"/>
  <c r="I167" i="15"/>
  <c r="H167" i="15"/>
  <c r="G167" i="15"/>
  <c r="F167" i="15"/>
  <c r="E167" i="15"/>
  <c r="D167" i="15"/>
  <c r="C167" i="15"/>
  <c r="M166" i="15"/>
  <c r="L166" i="15"/>
  <c r="K166" i="15"/>
  <c r="J166" i="15"/>
  <c r="I166" i="15"/>
  <c r="H166" i="15"/>
  <c r="G166" i="15"/>
  <c r="F166" i="15"/>
  <c r="E166" i="15"/>
  <c r="D166" i="15"/>
  <c r="C166" i="15"/>
  <c r="M165" i="15"/>
  <c r="L165" i="15"/>
  <c r="K165" i="15"/>
  <c r="J165" i="15"/>
  <c r="I165" i="15"/>
  <c r="H165" i="15"/>
  <c r="G165" i="15"/>
  <c r="F165" i="15"/>
  <c r="E165" i="15"/>
  <c r="D165" i="15"/>
  <c r="C165" i="15"/>
  <c r="B131" i="15"/>
  <c r="B89" i="15"/>
  <c r="B47" i="15"/>
  <c r="B131" i="16"/>
  <c r="B89" i="16"/>
  <c r="B47" i="16"/>
  <c r="B111" i="10"/>
  <c r="B76" i="10"/>
  <c r="B41" i="10"/>
  <c r="B111" i="11"/>
  <c r="B76" i="11"/>
  <c r="B41" i="11"/>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491" i="20"/>
  <c r="A490" i="20"/>
  <c r="A489" i="20"/>
  <c r="A488" i="20"/>
  <c r="A487" i="20"/>
  <c r="A486" i="20"/>
  <c r="A485" i="20"/>
  <c r="A484" i="20"/>
  <c r="A483" i="20"/>
  <c r="A482" i="20"/>
  <c r="A481" i="20"/>
  <c r="A480" i="20"/>
  <c r="A479" i="20"/>
  <c r="A478"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C73" i="77" l="1"/>
  <c r="C69" i="77"/>
  <c r="C62" i="77"/>
  <c r="C58" i="77"/>
  <c r="C54" i="77"/>
  <c r="C50" i="77"/>
  <c r="C72" i="77"/>
  <c r="C68" i="77"/>
  <c r="C61" i="77"/>
  <c r="C57" i="77"/>
  <c r="C53" i="77"/>
  <c r="C49" i="77"/>
  <c r="C71" i="77"/>
  <c r="C64" i="77"/>
  <c r="C60" i="77"/>
  <c r="C56" i="77"/>
  <c r="C52" i="77"/>
  <c r="C48" i="77"/>
  <c r="C70" i="77"/>
  <c r="C63" i="77"/>
  <c r="C59" i="77"/>
  <c r="C55" i="77"/>
  <c r="C51" i="77"/>
  <c r="D48" i="77"/>
  <c r="D54" i="77"/>
  <c r="D72" i="77"/>
  <c r="D68" i="77"/>
  <c r="D61" i="77"/>
  <c r="D57" i="77"/>
  <c r="D53" i="77"/>
  <c r="D71" i="77"/>
  <c r="D64" i="77"/>
  <c r="D60" i="77"/>
  <c r="D56" i="77"/>
  <c r="D52" i="77"/>
  <c r="D70" i="77"/>
  <c r="D63" i="77"/>
  <c r="D59" i="77"/>
  <c r="D49" i="77"/>
  <c r="D55" i="77"/>
  <c r="D73" i="77"/>
  <c r="D69" i="77"/>
  <c r="D62" i="77"/>
  <c r="D58" i="77"/>
  <c r="D50" i="77"/>
  <c r="D51" i="77"/>
  <c r="E70" i="77"/>
  <c r="E63" i="77"/>
  <c r="E59" i="77"/>
  <c r="E48" i="77"/>
  <c r="E52" i="77"/>
  <c r="E73" i="77"/>
  <c r="E69" i="77"/>
  <c r="E62" i="77"/>
  <c r="E58" i="77"/>
  <c r="E55" i="77"/>
  <c r="E50" i="77"/>
  <c r="E72" i="77"/>
  <c r="E68" i="77"/>
  <c r="E61" i="77"/>
  <c r="E57" i="77"/>
  <c r="E54" i="77"/>
  <c r="E49" i="77"/>
  <c r="E71" i="77"/>
  <c r="E64" i="77"/>
  <c r="E60" i="77"/>
  <c r="E56" i="77"/>
  <c r="E53" i="77"/>
  <c r="E51" i="77"/>
  <c r="F53" i="77"/>
  <c r="F49" i="77"/>
  <c r="F71" i="77"/>
  <c r="F63" i="77"/>
  <c r="F60" i="77"/>
  <c r="F56" i="77"/>
  <c r="F52" i="77"/>
  <c r="F48" i="77"/>
  <c r="F70" i="77"/>
  <c r="F61" i="77"/>
  <c r="F59" i="77"/>
  <c r="F55" i="77"/>
  <c r="F51" i="77"/>
  <c r="F73" i="77"/>
  <c r="F69" i="77"/>
  <c r="F64" i="77"/>
  <c r="F58" i="77"/>
  <c r="F54" i="77"/>
  <c r="F50" i="77"/>
  <c r="F72" i="77"/>
  <c r="F68" i="77"/>
  <c r="F62" i="77"/>
  <c r="F57" i="77"/>
  <c r="G52" i="77"/>
  <c r="G70" i="77"/>
  <c r="G63" i="77"/>
  <c r="G59" i="77"/>
  <c r="G50" i="77"/>
  <c r="G55" i="77"/>
  <c r="G73" i="77"/>
  <c r="G69" i="77"/>
  <c r="G62" i="77"/>
  <c r="G58" i="77"/>
  <c r="G49" i="77"/>
  <c r="G54" i="77"/>
  <c r="G72" i="77"/>
  <c r="G68" i="77"/>
  <c r="G61" i="77"/>
  <c r="G57" i="77"/>
  <c r="G48" i="77"/>
  <c r="G53" i="77"/>
  <c r="G71" i="77"/>
  <c r="G64" i="77"/>
  <c r="G60" i="77"/>
  <c r="G56" i="77"/>
  <c r="G51" i="77"/>
  <c r="H55" i="77"/>
  <c r="H73" i="77"/>
  <c r="H69" i="77"/>
  <c r="H62" i="77"/>
  <c r="H58" i="77"/>
  <c r="H51" i="77"/>
  <c r="H54" i="77"/>
  <c r="H72" i="77"/>
  <c r="H68" i="77"/>
  <c r="H61" i="77"/>
  <c r="H57" i="77"/>
  <c r="H50" i="77"/>
  <c r="H53" i="77"/>
  <c r="H71" i="77"/>
  <c r="H64" i="77"/>
  <c r="H60" i="77"/>
  <c r="H56" i="77"/>
  <c r="H49" i="77"/>
  <c r="H52" i="77"/>
  <c r="H70" i="77"/>
  <c r="H63" i="77"/>
  <c r="H59" i="77"/>
  <c r="H48" i="77"/>
  <c r="I55" i="77"/>
  <c r="I70" i="77"/>
  <c r="I63" i="77"/>
  <c r="I59" i="77"/>
  <c r="I54" i="77"/>
  <c r="I50" i="77"/>
  <c r="I73" i="77"/>
  <c r="I69" i="77"/>
  <c r="I62" i="77"/>
  <c r="I58" i="77"/>
  <c r="I53" i="77"/>
  <c r="I52" i="77"/>
  <c r="I72" i="77"/>
  <c r="I68" i="77"/>
  <c r="I61" i="77"/>
  <c r="I57" i="77"/>
  <c r="I48" i="77"/>
  <c r="I49" i="77"/>
  <c r="I71" i="77"/>
  <c r="I64" i="77"/>
  <c r="I60" i="77"/>
  <c r="I56" i="77"/>
  <c r="I51" i="77"/>
  <c r="J52" i="77"/>
  <c r="J48" i="77"/>
  <c r="J70" i="77"/>
  <c r="J62" i="77"/>
  <c r="J59" i="77"/>
  <c r="J55" i="77"/>
  <c r="J51" i="77"/>
  <c r="J73" i="77"/>
  <c r="J69" i="77"/>
  <c r="J60" i="77"/>
  <c r="J58" i="77"/>
  <c r="J54" i="77"/>
  <c r="J50" i="77"/>
  <c r="J72" i="77"/>
  <c r="J68" i="77"/>
  <c r="J63" i="77"/>
  <c r="J57" i="77"/>
  <c r="J53" i="77"/>
  <c r="J49" i="77"/>
  <c r="J71" i="77"/>
  <c r="J64" i="77"/>
  <c r="J61" i="77"/>
  <c r="J56" i="77"/>
  <c r="K53" i="77"/>
  <c r="K71" i="77"/>
  <c r="K64" i="77"/>
  <c r="K60" i="77"/>
  <c r="K56" i="77"/>
  <c r="K49" i="77"/>
  <c r="K72" i="77"/>
  <c r="K61" i="77"/>
  <c r="K51" i="77"/>
  <c r="K52" i="77"/>
  <c r="K70" i="77"/>
  <c r="K63" i="77"/>
  <c r="K59" i="77"/>
  <c r="K55" i="77"/>
  <c r="K48" i="77"/>
  <c r="K54" i="77"/>
  <c r="K68" i="77"/>
  <c r="K57" i="77"/>
  <c r="K73" i="77"/>
  <c r="K69" i="77"/>
  <c r="K62" i="77"/>
  <c r="K58" i="77"/>
  <c r="K50" i="77"/>
  <c r="L54" i="77"/>
  <c r="L72" i="77"/>
  <c r="L68" i="77"/>
  <c r="L61" i="77"/>
  <c r="L57" i="77"/>
  <c r="L49" i="77"/>
  <c r="L59" i="77"/>
  <c r="L58" i="77"/>
  <c r="L53" i="77"/>
  <c r="L71" i="77"/>
  <c r="L64" i="77"/>
  <c r="L60" i="77"/>
  <c r="L56" i="77"/>
  <c r="L51" i="77"/>
  <c r="L63" i="77"/>
  <c r="L62" i="77"/>
  <c r="L52" i="77"/>
  <c r="L70" i="77"/>
  <c r="L55" i="77"/>
  <c r="L48" i="77"/>
  <c r="L73" i="77"/>
  <c r="L69" i="77"/>
  <c r="L50" i="77"/>
  <c r="M71" i="77"/>
  <c r="M64" i="77"/>
  <c r="M60" i="77"/>
  <c r="M56" i="77"/>
  <c r="M52" i="77"/>
  <c r="M50" i="77"/>
  <c r="M68" i="77"/>
  <c r="M51" i="77"/>
  <c r="M70" i="77"/>
  <c r="M63" i="77"/>
  <c r="M59" i="77"/>
  <c r="M55" i="77"/>
  <c r="M49" i="77"/>
  <c r="M57" i="77"/>
  <c r="M73" i="77"/>
  <c r="M69" i="77"/>
  <c r="M62" i="77"/>
  <c r="M58" i="77"/>
  <c r="M48" i="77"/>
  <c r="M54" i="77"/>
  <c r="M61" i="77"/>
  <c r="M72" i="77"/>
  <c r="M53" i="77"/>
  <c r="N54" i="77"/>
  <c r="N50" i="77"/>
  <c r="N72" i="77"/>
  <c r="N68" i="77"/>
  <c r="N62" i="77"/>
  <c r="N58" i="77"/>
  <c r="N53" i="77"/>
  <c r="N49" i="77"/>
  <c r="N71" i="77"/>
  <c r="N64" i="77"/>
  <c r="N60" i="77"/>
  <c r="N57" i="77"/>
  <c r="N52" i="77"/>
  <c r="N48" i="77"/>
  <c r="N70" i="77"/>
  <c r="N63" i="77"/>
  <c r="N55" i="77"/>
  <c r="N56" i="77"/>
  <c r="N51" i="77"/>
  <c r="N73" i="77"/>
  <c r="N69" i="77"/>
  <c r="N61" i="77"/>
  <c r="N59" i="77"/>
  <c r="D61" i="13"/>
  <c r="C108" i="77"/>
  <c r="C104" i="77"/>
  <c r="C97" i="77"/>
  <c r="C93" i="77"/>
  <c r="C89" i="77"/>
  <c r="C85" i="77"/>
  <c r="C107" i="77"/>
  <c r="C103" i="77"/>
  <c r="C96" i="77"/>
  <c r="C92" i="77"/>
  <c r="C88" i="77"/>
  <c r="C84" i="77"/>
  <c r="C106" i="77"/>
  <c r="C99" i="77"/>
  <c r="C95" i="77"/>
  <c r="C91" i="77"/>
  <c r="C87" i="77"/>
  <c r="C83" i="77"/>
  <c r="C105" i="77"/>
  <c r="C98" i="77"/>
  <c r="C94" i="77"/>
  <c r="C90" i="77"/>
  <c r="C86" i="77"/>
  <c r="E106" i="77"/>
  <c r="E108" i="77"/>
  <c r="E87" i="77"/>
  <c r="E86" i="77"/>
  <c r="E93" i="77"/>
  <c r="E92" i="77"/>
  <c r="D108" i="77"/>
  <c r="D104" i="77"/>
  <c r="D97" i="77"/>
  <c r="D93" i="77"/>
  <c r="D89" i="77"/>
  <c r="D85" i="77"/>
  <c r="E99" i="77"/>
  <c r="E104" i="77"/>
  <c r="E83" i="77"/>
  <c r="E107" i="77"/>
  <c r="E89" i="77"/>
  <c r="E88" i="77"/>
  <c r="D107" i="77"/>
  <c r="D103" i="77"/>
  <c r="D96" i="77"/>
  <c r="D92" i="77"/>
  <c r="D88" i="77"/>
  <c r="D84" i="77"/>
  <c r="E105" i="77"/>
  <c r="E97" i="77"/>
  <c r="E94" i="77"/>
  <c r="E103" i="77"/>
  <c r="E85" i="77"/>
  <c r="E84" i="77"/>
  <c r="D106" i="77"/>
  <c r="D99" i="77"/>
  <c r="D95" i="77"/>
  <c r="D91" i="77"/>
  <c r="D87" i="77"/>
  <c r="D83" i="77"/>
  <c r="E98" i="77"/>
  <c r="E91" i="77"/>
  <c r="E90" i="77"/>
  <c r="E95" i="77"/>
  <c r="E96" i="77"/>
  <c r="D105" i="77"/>
  <c r="D98" i="77"/>
  <c r="D94" i="77"/>
  <c r="D90" i="77"/>
  <c r="D86" i="77"/>
  <c r="F98" i="77"/>
  <c r="F107" i="77"/>
  <c r="F90" i="77"/>
  <c r="F95" i="77"/>
  <c r="F92" i="77"/>
  <c r="F87" i="77"/>
  <c r="F108" i="77"/>
  <c r="F103" i="77"/>
  <c r="F86" i="77"/>
  <c r="F93" i="77"/>
  <c r="F88" i="77"/>
  <c r="F83" i="77"/>
  <c r="F104" i="77"/>
  <c r="F96" i="77"/>
  <c r="F106" i="77"/>
  <c r="F89" i="77"/>
  <c r="F84" i="77"/>
  <c r="F105" i="77"/>
  <c r="F97" i="77"/>
  <c r="F94" i="77"/>
  <c r="F99" i="77"/>
  <c r="F85" i="77"/>
  <c r="F91" i="77"/>
  <c r="G108" i="77"/>
  <c r="G103" i="77"/>
  <c r="G105" i="77"/>
  <c r="G85" i="77"/>
  <c r="G96" i="77"/>
  <c r="G94" i="77"/>
  <c r="G104" i="77"/>
  <c r="G106" i="77"/>
  <c r="G98" i="77"/>
  <c r="G92" i="77"/>
  <c r="G91" i="77"/>
  <c r="G90" i="77"/>
  <c r="G97" i="77"/>
  <c r="G99" i="77"/>
  <c r="G93" i="77"/>
  <c r="G88" i="77"/>
  <c r="G87" i="77"/>
  <c r="G86" i="77"/>
  <c r="G107" i="77"/>
  <c r="G95" i="77"/>
  <c r="G89" i="77"/>
  <c r="G84" i="77"/>
  <c r="G83" i="77"/>
  <c r="H108" i="77"/>
  <c r="H104" i="77"/>
  <c r="H97" i="77"/>
  <c r="H93" i="77"/>
  <c r="H89" i="77"/>
  <c r="H85" i="77"/>
  <c r="H107" i="77"/>
  <c r="H103" i="77"/>
  <c r="H96" i="77"/>
  <c r="H92" i="77"/>
  <c r="H88" i="77"/>
  <c r="H84" i="77"/>
  <c r="H106" i="77"/>
  <c r="H99" i="77"/>
  <c r="H95" i="77"/>
  <c r="H91" i="77"/>
  <c r="H87" i="77"/>
  <c r="H83" i="77"/>
  <c r="H105" i="77"/>
  <c r="H98" i="77"/>
  <c r="H94" i="77"/>
  <c r="H90" i="77"/>
  <c r="H86" i="77"/>
  <c r="I96" i="77"/>
  <c r="I98" i="77"/>
  <c r="I88" i="77"/>
  <c r="I83" i="77"/>
  <c r="I104" i="77"/>
  <c r="I85" i="77"/>
  <c r="I106" i="77"/>
  <c r="I94" i="77"/>
  <c r="I84" i="77"/>
  <c r="I90" i="77"/>
  <c r="I97" i="77"/>
  <c r="I107" i="77"/>
  <c r="I99" i="77"/>
  <c r="I95" i="77"/>
  <c r="I91" i="77"/>
  <c r="I86" i="77"/>
  <c r="I93" i="77"/>
  <c r="I103" i="77"/>
  <c r="I105" i="77"/>
  <c r="I92" i="77"/>
  <c r="I87" i="77"/>
  <c r="I108" i="77"/>
  <c r="I89" i="77"/>
  <c r="J98" i="77"/>
  <c r="J91" i="77"/>
  <c r="J103" i="77"/>
  <c r="J94" i="77"/>
  <c r="J95" i="77"/>
  <c r="J106" i="77"/>
  <c r="J108" i="77"/>
  <c r="J87" i="77"/>
  <c r="J96" i="77"/>
  <c r="J93" i="77"/>
  <c r="J92" i="77"/>
  <c r="J99" i="77"/>
  <c r="J104" i="77"/>
  <c r="J83" i="77"/>
  <c r="J90" i="77"/>
  <c r="J89" i="77"/>
  <c r="J88" i="77"/>
  <c r="J105" i="77"/>
  <c r="J97" i="77"/>
  <c r="J107" i="77"/>
  <c r="J86" i="77"/>
  <c r="J85" i="77"/>
  <c r="J84" i="77"/>
  <c r="K98" i="77"/>
  <c r="K107" i="77"/>
  <c r="K99" i="77"/>
  <c r="K93" i="77"/>
  <c r="K92" i="77"/>
  <c r="K87" i="77"/>
  <c r="K108" i="77"/>
  <c r="K103" i="77"/>
  <c r="K90" i="77"/>
  <c r="K89" i="77"/>
  <c r="K88" i="77"/>
  <c r="K83" i="77"/>
  <c r="K104" i="77"/>
  <c r="K96" i="77"/>
  <c r="K86" i="77"/>
  <c r="K85" i="77"/>
  <c r="K84" i="77"/>
  <c r="K105" i="77"/>
  <c r="K97" i="77"/>
  <c r="K106" i="77"/>
  <c r="K94" i="77"/>
  <c r="K95" i="77"/>
  <c r="K91" i="77"/>
  <c r="L105" i="77"/>
  <c r="L98" i="77"/>
  <c r="L94" i="77"/>
  <c r="L90" i="77"/>
  <c r="L86" i="77"/>
  <c r="L99" i="77"/>
  <c r="L91" i="77"/>
  <c r="L83" i="77"/>
  <c r="L108" i="77"/>
  <c r="L104" i="77"/>
  <c r="L97" i="77"/>
  <c r="L93" i="77"/>
  <c r="L89" i="77"/>
  <c r="L85" i="77"/>
  <c r="L95" i="77"/>
  <c r="L87" i="77"/>
  <c r="L107" i="77"/>
  <c r="L103" i="77"/>
  <c r="L96" i="77"/>
  <c r="L92" i="77"/>
  <c r="L88" i="77"/>
  <c r="L84" i="77"/>
  <c r="L106" i="77"/>
  <c r="M104" i="77"/>
  <c r="M96" i="77"/>
  <c r="M94" i="77"/>
  <c r="M92" i="77"/>
  <c r="M87" i="77"/>
  <c r="M90" i="77"/>
  <c r="M107" i="77"/>
  <c r="M84" i="77"/>
  <c r="M103" i="77"/>
  <c r="M91" i="77"/>
  <c r="M97" i="77"/>
  <c r="M106" i="77"/>
  <c r="M93" i="77"/>
  <c r="M88" i="77"/>
  <c r="M83" i="77"/>
  <c r="M86" i="77"/>
  <c r="M89" i="77"/>
  <c r="M108" i="77"/>
  <c r="M85" i="77"/>
  <c r="M99" i="77"/>
  <c r="M105" i="77"/>
  <c r="M95" i="77"/>
  <c r="M98" i="77"/>
  <c r="N106" i="77"/>
  <c r="N94" i="77"/>
  <c r="N95" i="77"/>
  <c r="N108" i="77"/>
  <c r="N86" i="77"/>
  <c r="N83" i="77"/>
  <c r="N107" i="77"/>
  <c r="N99" i="77"/>
  <c r="N92" i="77"/>
  <c r="N91" i="77"/>
  <c r="N104" i="77"/>
  <c r="N93" i="77"/>
  <c r="N98" i="77"/>
  <c r="N85" i="77"/>
  <c r="N103" i="77"/>
  <c r="N105" i="77"/>
  <c r="N88" i="77"/>
  <c r="N87" i="77"/>
  <c r="N97" i="77"/>
  <c r="N89" i="77"/>
  <c r="N96" i="77"/>
  <c r="N90" i="77"/>
  <c r="N84" i="77"/>
  <c r="C104" i="11"/>
  <c r="E105" i="11"/>
  <c r="F54" i="11"/>
  <c r="G109" i="16"/>
  <c r="I48" i="13"/>
  <c r="M49" i="13"/>
  <c r="E51" i="13"/>
  <c r="I52" i="13"/>
  <c r="M53" i="13"/>
  <c r="E55" i="13"/>
  <c r="I56" i="13"/>
  <c r="M57" i="13"/>
  <c r="E59" i="13"/>
  <c r="I60" i="13"/>
  <c r="M61" i="13"/>
  <c r="E63" i="13"/>
  <c r="I64" i="13"/>
  <c r="E69" i="13"/>
  <c r="I70" i="13"/>
  <c r="M71" i="13"/>
  <c r="E73" i="13"/>
  <c r="I47" i="12"/>
  <c r="L62" i="12"/>
  <c r="H61" i="12"/>
  <c r="D60" i="12"/>
  <c r="L58" i="12"/>
  <c r="H57" i="12"/>
  <c r="D56" i="12"/>
  <c r="L54" i="12"/>
  <c r="H53" i="12"/>
  <c r="D52" i="12"/>
  <c r="L50" i="12"/>
  <c r="H49" i="12"/>
  <c r="E48" i="12"/>
  <c r="L72" i="12"/>
  <c r="H71" i="12"/>
  <c r="D70" i="12"/>
  <c r="L68" i="12"/>
  <c r="N48" i="11"/>
  <c r="F50" i="11"/>
  <c r="J51" i="11"/>
  <c r="N52" i="11"/>
  <c r="N79" i="14"/>
  <c r="J79" i="14"/>
  <c r="F79" i="14"/>
  <c r="N78" i="14"/>
  <c r="J78" i="14"/>
  <c r="F78" i="14"/>
  <c r="N77" i="14"/>
  <c r="J77" i="14"/>
  <c r="F77" i="14"/>
  <c r="N76" i="14"/>
  <c r="J76" i="14"/>
  <c r="F76" i="14"/>
  <c r="N75" i="14"/>
  <c r="J75" i="14"/>
  <c r="F75" i="14"/>
  <c r="N74" i="14"/>
  <c r="J74" i="14"/>
  <c r="F74" i="14"/>
  <c r="N70" i="14"/>
  <c r="J70" i="14"/>
  <c r="F70" i="14"/>
  <c r="N69" i="14"/>
  <c r="J69" i="14"/>
  <c r="F69" i="14"/>
  <c r="N68" i="14"/>
  <c r="J68" i="14"/>
  <c r="F68" i="14"/>
  <c r="N67" i="14"/>
  <c r="J67" i="14"/>
  <c r="F67" i="14"/>
  <c r="N66" i="14"/>
  <c r="J66" i="14"/>
  <c r="F66" i="14"/>
  <c r="N65" i="14"/>
  <c r="J65" i="14"/>
  <c r="F65" i="14"/>
  <c r="N64" i="14"/>
  <c r="J64" i="14"/>
  <c r="F64" i="14"/>
  <c r="N63" i="14"/>
  <c r="J63" i="14"/>
  <c r="F63" i="14"/>
  <c r="N62" i="14"/>
  <c r="J62" i="14"/>
  <c r="F62" i="14"/>
  <c r="N61" i="14"/>
  <c r="J61" i="14"/>
  <c r="F61" i="14"/>
  <c r="N60" i="14"/>
  <c r="J60" i="14"/>
  <c r="F60" i="14"/>
  <c r="N59" i="14"/>
  <c r="J59" i="14"/>
  <c r="F59" i="14"/>
  <c r="N58" i="14"/>
  <c r="J58" i="14"/>
  <c r="F58" i="14"/>
  <c r="N57" i="14"/>
  <c r="L79" i="14"/>
  <c r="H79" i="14"/>
  <c r="D79" i="14"/>
  <c r="L78" i="14"/>
  <c r="H78" i="14"/>
  <c r="D78" i="14"/>
  <c r="L77" i="14"/>
  <c r="H77" i="14"/>
  <c r="D77" i="14"/>
  <c r="L76" i="14"/>
  <c r="H76" i="14"/>
  <c r="D76" i="14"/>
  <c r="L75" i="14"/>
  <c r="H75" i="14"/>
  <c r="D75" i="14"/>
  <c r="L74" i="14"/>
  <c r="H74" i="14"/>
  <c r="D74" i="14"/>
  <c r="L70" i="14"/>
  <c r="H70" i="14"/>
  <c r="D70" i="14"/>
  <c r="L69" i="14"/>
  <c r="H69" i="14"/>
  <c r="D69" i="14"/>
  <c r="L68" i="14"/>
  <c r="H68" i="14"/>
  <c r="D68" i="14"/>
  <c r="L67" i="14"/>
  <c r="H67" i="14"/>
  <c r="D67" i="14"/>
  <c r="L66" i="14"/>
  <c r="H66" i="14"/>
  <c r="D66" i="14"/>
  <c r="L65" i="14"/>
  <c r="H65" i="14"/>
  <c r="D65" i="14"/>
  <c r="L64" i="14"/>
  <c r="H64" i="14"/>
  <c r="D64" i="14"/>
  <c r="L63" i="14"/>
  <c r="H63" i="14"/>
  <c r="D63" i="14"/>
  <c r="L62" i="14"/>
  <c r="H62" i="14"/>
  <c r="D62" i="14"/>
  <c r="L61" i="14"/>
  <c r="H61" i="14"/>
  <c r="D61" i="14"/>
  <c r="L60" i="14"/>
  <c r="H60" i="14"/>
  <c r="D60" i="14"/>
  <c r="L59" i="14"/>
  <c r="H59" i="14"/>
  <c r="D59" i="14"/>
  <c r="L58" i="14"/>
  <c r="H58" i="14"/>
  <c r="D58" i="14"/>
  <c r="L57" i="14"/>
  <c r="M79" i="14"/>
  <c r="E79" i="14"/>
  <c r="I78" i="14"/>
  <c r="M77" i="14"/>
  <c r="E77" i="14"/>
  <c r="I76" i="14"/>
  <c r="M75" i="14"/>
  <c r="E75" i="14"/>
  <c r="I74" i="14"/>
  <c r="I70" i="14"/>
  <c r="M69" i="14"/>
  <c r="E69" i="14"/>
  <c r="I68" i="14"/>
  <c r="M67" i="14"/>
  <c r="E67" i="14"/>
  <c r="I66" i="14"/>
  <c r="M65" i="14"/>
  <c r="E65" i="14"/>
  <c r="I64" i="14"/>
  <c r="M63" i="14"/>
  <c r="E63" i="14"/>
  <c r="I62" i="14"/>
  <c r="M61" i="14"/>
  <c r="E61" i="14"/>
  <c r="I60" i="14"/>
  <c r="M59" i="14"/>
  <c r="E59" i="14"/>
  <c r="I58" i="14"/>
  <c r="M57" i="14"/>
  <c r="H57" i="14"/>
  <c r="D57" i="14"/>
  <c r="L56" i="14"/>
  <c r="H56" i="14"/>
  <c r="D56" i="14"/>
  <c r="L55" i="14"/>
  <c r="H55" i="14"/>
  <c r="D55" i="14"/>
  <c r="L54" i="14"/>
  <c r="H54" i="14"/>
  <c r="D54" i="14"/>
  <c r="K79" i="15"/>
  <c r="G79" i="15"/>
  <c r="C79" i="15"/>
  <c r="K78" i="15"/>
  <c r="G78" i="15"/>
  <c r="C78" i="15"/>
  <c r="K77" i="15"/>
  <c r="G77" i="15"/>
  <c r="C77" i="15"/>
  <c r="K76" i="15"/>
  <c r="G76" i="15"/>
  <c r="C76" i="15"/>
  <c r="K75" i="15"/>
  <c r="G75" i="15"/>
  <c r="C75" i="15"/>
  <c r="K74" i="15"/>
  <c r="G74" i="15"/>
  <c r="C74" i="15"/>
  <c r="I79" i="14"/>
  <c r="M78" i="14"/>
  <c r="E78" i="14"/>
  <c r="I77" i="14"/>
  <c r="M76" i="14"/>
  <c r="E76" i="14"/>
  <c r="I75" i="14"/>
  <c r="M74" i="14"/>
  <c r="E74" i="14"/>
  <c r="M70" i="14"/>
  <c r="E70" i="14"/>
  <c r="I69" i="14"/>
  <c r="M68" i="14"/>
  <c r="E68" i="14"/>
  <c r="I67" i="14"/>
  <c r="M66" i="14"/>
  <c r="E66" i="14"/>
  <c r="I65" i="14"/>
  <c r="M64" i="14"/>
  <c r="E64" i="14"/>
  <c r="I63" i="14"/>
  <c r="M62" i="14"/>
  <c r="E62" i="14"/>
  <c r="I61" i="14"/>
  <c r="M60" i="14"/>
  <c r="E60" i="14"/>
  <c r="I59" i="14"/>
  <c r="M58" i="14"/>
  <c r="E58" i="14"/>
  <c r="J57" i="14"/>
  <c r="F57" i="14"/>
  <c r="N56" i="14"/>
  <c r="J56" i="14"/>
  <c r="F56" i="14"/>
  <c r="N55" i="14"/>
  <c r="J55" i="14"/>
  <c r="F55" i="14"/>
  <c r="N54" i="14"/>
  <c r="J54" i="14"/>
  <c r="F54" i="14"/>
  <c r="M79" i="15"/>
  <c r="I79" i="15"/>
  <c r="E79" i="15"/>
  <c r="M78" i="15"/>
  <c r="I78" i="15"/>
  <c r="E78" i="15"/>
  <c r="M77" i="15"/>
  <c r="I77" i="15"/>
  <c r="E77" i="15"/>
  <c r="M76" i="15"/>
  <c r="I76" i="15"/>
  <c r="E76" i="15"/>
  <c r="M75" i="15"/>
  <c r="I75" i="15"/>
  <c r="E75" i="15"/>
  <c r="M74" i="15"/>
  <c r="I74" i="15"/>
  <c r="E74" i="15"/>
  <c r="K79" i="14"/>
  <c r="G78" i="14"/>
  <c r="C77" i="14"/>
  <c r="K75" i="14"/>
  <c r="G74" i="14"/>
  <c r="K69" i="14"/>
  <c r="G68" i="14"/>
  <c r="C67" i="14"/>
  <c r="K65" i="14"/>
  <c r="G64" i="14"/>
  <c r="C63" i="14"/>
  <c r="K61" i="14"/>
  <c r="G60" i="14"/>
  <c r="C59" i="14"/>
  <c r="K57" i="14"/>
  <c r="C57" i="14"/>
  <c r="G56" i="14"/>
  <c r="K55" i="14"/>
  <c r="C55" i="14"/>
  <c r="G54" i="14"/>
  <c r="J79" i="15"/>
  <c r="N78" i="15"/>
  <c r="F78" i="15"/>
  <c r="J77" i="15"/>
  <c r="N76" i="15"/>
  <c r="F76" i="15"/>
  <c r="J75" i="15"/>
  <c r="N74" i="15"/>
  <c r="F74" i="15"/>
  <c r="M70" i="15"/>
  <c r="I70" i="15"/>
  <c r="E70" i="15"/>
  <c r="M69" i="15"/>
  <c r="I69" i="15"/>
  <c r="E69" i="15"/>
  <c r="M68" i="15"/>
  <c r="I68" i="15"/>
  <c r="E68" i="15"/>
  <c r="M67" i="15"/>
  <c r="I67" i="15"/>
  <c r="E67" i="15"/>
  <c r="M66" i="15"/>
  <c r="I66" i="15"/>
  <c r="E66" i="15"/>
  <c r="M65" i="15"/>
  <c r="I65" i="15"/>
  <c r="E65" i="15"/>
  <c r="M64" i="15"/>
  <c r="I64" i="15"/>
  <c r="E64" i="15"/>
  <c r="M63" i="15"/>
  <c r="I63" i="15"/>
  <c r="E63" i="15"/>
  <c r="M62" i="15"/>
  <c r="I62" i="15"/>
  <c r="G79" i="14"/>
  <c r="C78" i="14"/>
  <c r="K76" i="14"/>
  <c r="G75" i="14"/>
  <c r="C74" i="14"/>
  <c r="C39" i="14" s="1"/>
  <c r="K70" i="14"/>
  <c r="G69" i="14"/>
  <c r="C68" i="14"/>
  <c r="K66" i="14"/>
  <c r="G65" i="14"/>
  <c r="C64" i="14"/>
  <c r="K62" i="14"/>
  <c r="G61" i="14"/>
  <c r="C60" i="14"/>
  <c r="K58" i="14"/>
  <c r="I57" i="14"/>
  <c r="M56" i="14"/>
  <c r="E56" i="14"/>
  <c r="I55" i="14"/>
  <c r="M54" i="14"/>
  <c r="E54" i="14"/>
  <c r="H79" i="15"/>
  <c r="L78" i="15"/>
  <c r="D78" i="15"/>
  <c r="H77" i="15"/>
  <c r="L76" i="15"/>
  <c r="D76" i="15"/>
  <c r="H75" i="15"/>
  <c r="L74" i="15"/>
  <c r="D74" i="15"/>
  <c r="L70" i="15"/>
  <c r="H70" i="15"/>
  <c r="D70" i="15"/>
  <c r="L69" i="15"/>
  <c r="H69" i="15"/>
  <c r="D69" i="15"/>
  <c r="L68" i="15"/>
  <c r="H68" i="15"/>
  <c r="D68" i="15"/>
  <c r="L67" i="15"/>
  <c r="H67" i="15"/>
  <c r="D67" i="15"/>
  <c r="L66" i="15"/>
  <c r="H66" i="15"/>
  <c r="D66" i="15"/>
  <c r="L65" i="15"/>
  <c r="H65" i="15"/>
  <c r="D65" i="15"/>
  <c r="L64" i="15"/>
  <c r="H64" i="15"/>
  <c r="D64" i="15"/>
  <c r="L63" i="15"/>
  <c r="H63" i="15"/>
  <c r="D63" i="15"/>
  <c r="L62" i="15"/>
  <c r="H62" i="15"/>
  <c r="D62" i="15"/>
  <c r="L61" i="15"/>
  <c r="H61" i="15"/>
  <c r="C79" i="14"/>
  <c r="G76" i="14"/>
  <c r="C69" i="14"/>
  <c r="G66" i="14"/>
  <c r="K63" i="14"/>
  <c r="C61" i="14"/>
  <c r="G58" i="14"/>
  <c r="K56" i="14"/>
  <c r="G55" i="14"/>
  <c r="C54" i="14"/>
  <c r="N79" i="15"/>
  <c r="J78" i="15"/>
  <c r="F77" i="15"/>
  <c r="N75" i="15"/>
  <c r="J74" i="15"/>
  <c r="K70" i="15"/>
  <c r="C70" i="15"/>
  <c r="G69" i="15"/>
  <c r="K68" i="15"/>
  <c r="C68" i="15"/>
  <c r="G67" i="15"/>
  <c r="K66" i="15"/>
  <c r="C66" i="15"/>
  <c r="G65" i="15"/>
  <c r="K64" i="15"/>
  <c r="C64" i="15"/>
  <c r="G63" i="15"/>
  <c r="K62" i="15"/>
  <c r="E62" i="15"/>
  <c r="K61" i="15"/>
  <c r="F61" i="15"/>
  <c r="N60" i="15"/>
  <c r="J60" i="15"/>
  <c r="F60" i="15"/>
  <c r="N59" i="15"/>
  <c r="J59" i="15"/>
  <c r="F59" i="15"/>
  <c r="N58" i="15"/>
  <c r="J58" i="15"/>
  <c r="F58" i="15"/>
  <c r="N57" i="15"/>
  <c r="J57" i="15"/>
  <c r="F57" i="15"/>
  <c r="N56" i="15"/>
  <c r="J56" i="15"/>
  <c r="F56" i="15"/>
  <c r="N55" i="15"/>
  <c r="J55" i="15"/>
  <c r="F55" i="15"/>
  <c r="N54" i="15"/>
  <c r="J54" i="15"/>
  <c r="F54" i="15"/>
  <c r="M79" i="16"/>
  <c r="I79" i="16"/>
  <c r="E79" i="16"/>
  <c r="M78" i="16"/>
  <c r="I78" i="16"/>
  <c r="E78" i="16"/>
  <c r="M77" i="16"/>
  <c r="I77" i="16"/>
  <c r="E77" i="16"/>
  <c r="M76" i="16"/>
  <c r="I76" i="16"/>
  <c r="E76" i="16"/>
  <c r="M75" i="16"/>
  <c r="I75" i="16"/>
  <c r="E75" i="16"/>
  <c r="M74" i="16"/>
  <c r="I74" i="16"/>
  <c r="E74" i="16"/>
  <c r="M70" i="16"/>
  <c r="I70" i="16"/>
  <c r="E70" i="16"/>
  <c r="M69" i="16"/>
  <c r="I69" i="16"/>
  <c r="E69" i="16"/>
  <c r="M68" i="16"/>
  <c r="I68" i="16"/>
  <c r="E68" i="16"/>
  <c r="M67" i="16"/>
  <c r="I67" i="16"/>
  <c r="E67" i="16"/>
  <c r="M66" i="16"/>
  <c r="I66" i="16"/>
  <c r="E66" i="16"/>
  <c r="M65" i="16"/>
  <c r="I65" i="16"/>
  <c r="E65" i="16"/>
  <c r="M64" i="16"/>
  <c r="I64" i="16"/>
  <c r="E64" i="16"/>
  <c r="M63" i="16"/>
  <c r="I63" i="16"/>
  <c r="E63" i="16"/>
  <c r="M62" i="16"/>
  <c r="I62" i="16"/>
  <c r="E62" i="16"/>
  <c r="M61" i="16"/>
  <c r="I61" i="16"/>
  <c r="E61" i="16"/>
  <c r="M60" i="16"/>
  <c r="I60" i="16"/>
  <c r="E60" i="16"/>
  <c r="M59" i="16"/>
  <c r="I59" i="16"/>
  <c r="E59" i="16"/>
  <c r="M58" i="16"/>
  <c r="I58" i="16"/>
  <c r="E58" i="16"/>
  <c r="M57" i="16"/>
  <c r="I57" i="16"/>
  <c r="E57" i="16"/>
  <c r="M56" i="16"/>
  <c r="I56" i="16"/>
  <c r="E56" i="16"/>
  <c r="M55" i="16"/>
  <c r="I55" i="16"/>
  <c r="E55" i="16"/>
  <c r="M54" i="16"/>
  <c r="I54" i="16"/>
  <c r="E54" i="16"/>
  <c r="M73" i="10"/>
  <c r="I73" i="10"/>
  <c r="E73" i="10"/>
  <c r="M72" i="10"/>
  <c r="I72" i="10"/>
  <c r="E72" i="10"/>
  <c r="M71" i="10"/>
  <c r="I71" i="10"/>
  <c r="K78" i="14"/>
  <c r="C76" i="14"/>
  <c r="K68" i="14"/>
  <c r="C66" i="14"/>
  <c r="G63" i="14"/>
  <c r="K60" i="14"/>
  <c r="C58" i="14"/>
  <c r="I56" i="14"/>
  <c r="E55" i="14"/>
  <c r="L79" i="15"/>
  <c r="H78" i="15"/>
  <c r="D77" i="15"/>
  <c r="L75" i="15"/>
  <c r="H74" i="15"/>
  <c r="J70" i="15"/>
  <c r="N69" i="15"/>
  <c r="F69" i="15"/>
  <c r="J68" i="15"/>
  <c r="N67" i="15"/>
  <c r="F67" i="15"/>
  <c r="J66" i="15"/>
  <c r="N65" i="15"/>
  <c r="F65" i="15"/>
  <c r="J64" i="15"/>
  <c r="N63" i="15"/>
  <c r="F63" i="15"/>
  <c r="J62" i="15"/>
  <c r="C62" i="15"/>
  <c r="J61" i="15"/>
  <c r="E61" i="15"/>
  <c r="M60" i="15"/>
  <c r="I60" i="15"/>
  <c r="E60" i="15"/>
  <c r="M59" i="15"/>
  <c r="I59" i="15"/>
  <c r="E59" i="15"/>
  <c r="M58" i="15"/>
  <c r="I58" i="15"/>
  <c r="E58" i="15"/>
  <c r="M57" i="15"/>
  <c r="I57" i="15"/>
  <c r="E57" i="15"/>
  <c r="M56" i="15"/>
  <c r="I56" i="15"/>
  <c r="E56" i="15"/>
  <c r="M55" i="15"/>
  <c r="I55" i="15"/>
  <c r="E55" i="15"/>
  <c r="M54" i="15"/>
  <c r="I54" i="15"/>
  <c r="E54" i="15"/>
  <c r="L79" i="16"/>
  <c r="H79" i="16"/>
  <c r="D79" i="16"/>
  <c r="L78" i="16"/>
  <c r="H78" i="16"/>
  <c r="D78" i="16"/>
  <c r="L77" i="16"/>
  <c r="H77" i="16"/>
  <c r="D77" i="16"/>
  <c r="L76" i="16"/>
  <c r="H76" i="16"/>
  <c r="D76" i="16"/>
  <c r="L75" i="16"/>
  <c r="H75" i="16"/>
  <c r="D75" i="16"/>
  <c r="L74" i="16"/>
  <c r="H74" i="16"/>
  <c r="D74" i="16"/>
  <c r="L70" i="16"/>
  <c r="H70" i="16"/>
  <c r="D70" i="16"/>
  <c r="L69" i="16"/>
  <c r="H69" i="16"/>
  <c r="D69" i="16"/>
  <c r="L68" i="16"/>
  <c r="H68" i="16"/>
  <c r="D68" i="16"/>
  <c r="L67" i="16"/>
  <c r="H67" i="16"/>
  <c r="D67" i="16"/>
  <c r="L66" i="16"/>
  <c r="H66" i="16"/>
  <c r="D66" i="16"/>
  <c r="L65" i="16"/>
  <c r="H65" i="16"/>
  <c r="D65" i="16"/>
  <c r="L64" i="16"/>
  <c r="H64" i="16"/>
  <c r="D64" i="16"/>
  <c r="L63" i="16"/>
  <c r="H63" i="16"/>
  <c r="D63" i="16"/>
  <c r="L62" i="16"/>
  <c r="H62" i="16"/>
  <c r="D62" i="16"/>
  <c r="L61" i="16"/>
  <c r="H61" i="16"/>
  <c r="D61" i="16"/>
  <c r="L60" i="16"/>
  <c r="H60" i="16"/>
  <c r="D60" i="16"/>
  <c r="L59" i="16"/>
  <c r="H59" i="16"/>
  <c r="D59" i="16"/>
  <c r="L58" i="16"/>
  <c r="H58" i="16"/>
  <c r="D58" i="16"/>
  <c r="L57" i="16"/>
  <c r="H57" i="16"/>
  <c r="D57" i="16"/>
  <c r="L56" i="16"/>
  <c r="H56" i="16"/>
  <c r="D56" i="16"/>
  <c r="L55" i="16"/>
  <c r="H55" i="16"/>
  <c r="D55" i="16"/>
  <c r="L54" i="16"/>
  <c r="H54" i="16"/>
  <c r="D54" i="16"/>
  <c r="L73" i="10"/>
  <c r="H73" i="10"/>
  <c r="D73" i="10"/>
  <c r="L72" i="10"/>
  <c r="H72" i="10"/>
  <c r="D72" i="10"/>
  <c r="L71" i="10"/>
  <c r="H71" i="10"/>
  <c r="K77" i="14"/>
  <c r="K67" i="14"/>
  <c r="G62" i="14"/>
  <c r="G57" i="14"/>
  <c r="K54" i="14"/>
  <c r="L77" i="15"/>
  <c r="D75" i="15"/>
  <c r="F70" i="15"/>
  <c r="N68" i="15"/>
  <c r="J67" i="15"/>
  <c r="F66" i="15"/>
  <c r="N64" i="15"/>
  <c r="J63" i="15"/>
  <c r="F62" i="15"/>
  <c r="G61" i="15"/>
  <c r="K60" i="15"/>
  <c r="C60" i="15"/>
  <c r="G59" i="15"/>
  <c r="K58" i="15"/>
  <c r="C58" i="15"/>
  <c r="G57" i="15"/>
  <c r="K56" i="15"/>
  <c r="C56" i="15"/>
  <c r="G55" i="15"/>
  <c r="K54" i="15"/>
  <c r="C54" i="15"/>
  <c r="N79" i="16"/>
  <c r="F79" i="16"/>
  <c r="J78" i="16"/>
  <c r="N77" i="16"/>
  <c r="F77" i="16"/>
  <c r="J76" i="16"/>
  <c r="N75" i="16"/>
  <c r="F75" i="16"/>
  <c r="J74" i="16"/>
  <c r="J70" i="16"/>
  <c r="N69" i="16"/>
  <c r="F69" i="16"/>
  <c r="J68" i="16"/>
  <c r="N67" i="16"/>
  <c r="F67" i="16"/>
  <c r="J66" i="16"/>
  <c r="N65" i="16"/>
  <c r="F65" i="16"/>
  <c r="J64" i="16"/>
  <c r="N63" i="16"/>
  <c r="F63" i="16"/>
  <c r="J62" i="16"/>
  <c r="N61" i="16"/>
  <c r="F61" i="16"/>
  <c r="J60" i="16"/>
  <c r="N59" i="16"/>
  <c r="F59" i="16"/>
  <c r="J58" i="16"/>
  <c r="N57" i="16"/>
  <c r="F57" i="16"/>
  <c r="J56" i="16"/>
  <c r="N55" i="16"/>
  <c r="F55" i="16"/>
  <c r="J54" i="16"/>
  <c r="N73" i="10"/>
  <c r="F73" i="10"/>
  <c r="J72" i="10"/>
  <c r="N71" i="10"/>
  <c r="F71" i="10"/>
  <c r="N70" i="10"/>
  <c r="J70" i="10"/>
  <c r="F70" i="10"/>
  <c r="N69" i="10"/>
  <c r="J69" i="10"/>
  <c r="F69" i="10"/>
  <c r="N68" i="10"/>
  <c r="J68" i="10"/>
  <c r="F68" i="10"/>
  <c r="N64" i="10"/>
  <c r="J64" i="10"/>
  <c r="F64" i="10"/>
  <c r="N63" i="10"/>
  <c r="J63" i="10"/>
  <c r="F63" i="10"/>
  <c r="N62" i="10"/>
  <c r="J62" i="10"/>
  <c r="F62" i="10"/>
  <c r="N61" i="10"/>
  <c r="J61" i="10"/>
  <c r="F61" i="10"/>
  <c r="G77" i="14"/>
  <c r="G67" i="14"/>
  <c r="C62" i="14"/>
  <c r="E57" i="14"/>
  <c r="I54" i="14"/>
  <c r="F79" i="15"/>
  <c r="J76" i="15"/>
  <c r="K69" i="15"/>
  <c r="G68" i="15"/>
  <c r="C67" i="15"/>
  <c r="K65" i="15"/>
  <c r="G64" i="15"/>
  <c r="C63" i="15"/>
  <c r="N61" i="15"/>
  <c r="D61" i="15"/>
  <c r="H60" i="15"/>
  <c r="L59" i="15"/>
  <c r="D59" i="15"/>
  <c r="H58" i="15"/>
  <c r="L57" i="15"/>
  <c r="D57" i="15"/>
  <c r="H56" i="15"/>
  <c r="L55" i="15"/>
  <c r="D55" i="15"/>
  <c r="H54" i="15"/>
  <c r="K79" i="16"/>
  <c r="C79" i="16"/>
  <c r="G78" i="16"/>
  <c r="K77" i="16"/>
  <c r="C77" i="16"/>
  <c r="G76" i="16"/>
  <c r="K75" i="16"/>
  <c r="C75" i="16"/>
  <c r="G74" i="16"/>
  <c r="G70" i="16"/>
  <c r="K69" i="16"/>
  <c r="C69" i="16"/>
  <c r="G68" i="16"/>
  <c r="K67" i="16"/>
  <c r="C67" i="16"/>
  <c r="G66" i="16"/>
  <c r="K65" i="16"/>
  <c r="C65" i="16"/>
  <c r="G64" i="16"/>
  <c r="K63" i="16"/>
  <c r="C63" i="16"/>
  <c r="G62" i="16"/>
  <c r="K61" i="16"/>
  <c r="C61" i="16"/>
  <c r="G60" i="16"/>
  <c r="K59" i="16"/>
  <c r="C59" i="16"/>
  <c r="G58" i="16"/>
  <c r="K57" i="16"/>
  <c r="C57" i="16"/>
  <c r="G56" i="16"/>
  <c r="K55" i="16"/>
  <c r="C55" i="16"/>
  <c r="G54" i="16"/>
  <c r="K73" i="10"/>
  <c r="C73" i="10"/>
  <c r="G72" i="10"/>
  <c r="K71" i="10"/>
  <c r="E71" i="10"/>
  <c r="M70" i="10"/>
  <c r="I70" i="10"/>
  <c r="E70" i="10"/>
  <c r="M69" i="10"/>
  <c r="I69" i="10"/>
  <c r="E69" i="10"/>
  <c r="M68" i="10"/>
  <c r="I68" i="10"/>
  <c r="E68" i="10"/>
  <c r="M64" i="10"/>
  <c r="I64" i="10"/>
  <c r="E64" i="10"/>
  <c r="M63" i="10"/>
  <c r="I63" i="10"/>
  <c r="E63" i="10"/>
  <c r="M62" i="10"/>
  <c r="I62" i="10"/>
  <c r="E62" i="10"/>
  <c r="M61" i="10"/>
  <c r="I61" i="10"/>
  <c r="E61" i="10"/>
  <c r="M60" i="10"/>
  <c r="I60" i="10"/>
  <c r="E60" i="10"/>
  <c r="M59" i="10"/>
  <c r="I59" i="10"/>
  <c r="E59" i="10"/>
  <c r="M58" i="10"/>
  <c r="I58" i="10"/>
  <c r="E58" i="10"/>
  <c r="M57" i="10"/>
  <c r="I57" i="10"/>
  <c r="E57" i="10"/>
  <c r="M56" i="10"/>
  <c r="I56" i="10"/>
  <c r="E56" i="10"/>
  <c r="M55" i="10"/>
  <c r="I55" i="10"/>
  <c r="E55" i="10"/>
  <c r="M54" i="10"/>
  <c r="I54" i="10"/>
  <c r="E54" i="10"/>
  <c r="M53" i="10"/>
  <c r="I53" i="10"/>
  <c r="E53" i="10"/>
  <c r="M52" i="10"/>
  <c r="I52" i="10"/>
  <c r="E52" i="10"/>
  <c r="M51" i="10"/>
  <c r="I51" i="10"/>
  <c r="E51" i="10"/>
  <c r="M50" i="10"/>
  <c r="I50" i="10"/>
  <c r="E50" i="10"/>
  <c r="M49" i="10"/>
  <c r="I49" i="10"/>
  <c r="E49" i="10"/>
  <c r="C75" i="14"/>
  <c r="G70" i="14"/>
  <c r="K59" i="14"/>
  <c r="N77" i="15"/>
  <c r="C69" i="15"/>
  <c r="G66" i="15"/>
  <c r="K63" i="15"/>
  <c r="I61" i="15"/>
  <c r="D60" i="15"/>
  <c r="L58" i="15"/>
  <c r="H57" i="15"/>
  <c r="D56" i="15"/>
  <c r="L54" i="15"/>
  <c r="N78" i="16"/>
  <c r="J77" i="16"/>
  <c r="F76" i="16"/>
  <c r="N74" i="16"/>
  <c r="F70" i="16"/>
  <c r="N68" i="16"/>
  <c r="J67" i="16"/>
  <c r="F66" i="16"/>
  <c r="N64" i="16"/>
  <c r="J63" i="16"/>
  <c r="F62" i="16"/>
  <c r="N60" i="16"/>
  <c r="J59" i="16"/>
  <c r="F58" i="16"/>
  <c r="N56" i="16"/>
  <c r="J55" i="16"/>
  <c r="F54" i="16"/>
  <c r="N72" i="10"/>
  <c r="J71" i="10"/>
  <c r="L70" i="10"/>
  <c r="D70" i="10"/>
  <c r="H69" i="10"/>
  <c r="L68" i="10"/>
  <c r="D68" i="10"/>
  <c r="L64" i="10"/>
  <c r="D64" i="10"/>
  <c r="H63" i="10"/>
  <c r="L62" i="10"/>
  <c r="D62" i="10"/>
  <c r="H61" i="10"/>
  <c r="N60" i="10"/>
  <c r="H60" i="10"/>
  <c r="C60" i="10"/>
  <c r="J59" i="10"/>
  <c r="D59" i="10"/>
  <c r="K58" i="10"/>
  <c r="F58" i="10"/>
  <c r="L57" i="10"/>
  <c r="G57" i="10"/>
  <c r="N56" i="10"/>
  <c r="H56" i="10"/>
  <c r="C56" i="10"/>
  <c r="J55" i="10"/>
  <c r="D55" i="10"/>
  <c r="K54" i="10"/>
  <c r="F54" i="10"/>
  <c r="L53" i="10"/>
  <c r="G53" i="10"/>
  <c r="N52" i="10"/>
  <c r="H52" i="10"/>
  <c r="C52" i="10"/>
  <c r="J51" i="10"/>
  <c r="D51" i="10"/>
  <c r="K50" i="10"/>
  <c r="F50" i="10"/>
  <c r="L49" i="10"/>
  <c r="G49" i="10"/>
  <c r="N48" i="10"/>
  <c r="J48" i="10"/>
  <c r="F48" i="10"/>
  <c r="M73" i="11"/>
  <c r="I73" i="11"/>
  <c r="E73" i="11"/>
  <c r="M72" i="11"/>
  <c r="I72" i="11"/>
  <c r="E72" i="11"/>
  <c r="M71" i="11"/>
  <c r="I71" i="11"/>
  <c r="E71" i="11"/>
  <c r="M70" i="11"/>
  <c r="I70" i="11"/>
  <c r="E70" i="11"/>
  <c r="M69" i="11"/>
  <c r="I69" i="11"/>
  <c r="E69" i="11"/>
  <c r="M68" i="11"/>
  <c r="I68" i="11"/>
  <c r="E68" i="11"/>
  <c r="M64" i="11"/>
  <c r="I64" i="11"/>
  <c r="E64" i="11"/>
  <c r="M63" i="11"/>
  <c r="I63" i="11"/>
  <c r="E63" i="11"/>
  <c r="M62" i="11"/>
  <c r="I62" i="11"/>
  <c r="E62" i="11"/>
  <c r="M61" i="11"/>
  <c r="I61" i="11"/>
  <c r="E61" i="11"/>
  <c r="M60" i="11"/>
  <c r="I60" i="11"/>
  <c r="E60" i="11"/>
  <c r="M59" i="11"/>
  <c r="I59" i="11"/>
  <c r="E59" i="11"/>
  <c r="M58" i="11"/>
  <c r="I58" i="11"/>
  <c r="E58" i="11"/>
  <c r="M57" i="11"/>
  <c r="I57" i="11"/>
  <c r="E57" i="11"/>
  <c r="M56" i="11"/>
  <c r="I56" i="11"/>
  <c r="E56" i="11"/>
  <c r="M55" i="11"/>
  <c r="I55" i="11"/>
  <c r="C65" i="14"/>
  <c r="C56" i="14"/>
  <c r="F75" i="15"/>
  <c r="G70" i="15"/>
  <c r="K67" i="15"/>
  <c r="C65" i="15"/>
  <c r="G62" i="15"/>
  <c r="L60" i="15"/>
  <c r="H59" i="15"/>
  <c r="D58" i="15"/>
  <c r="L56" i="15"/>
  <c r="H55" i="15"/>
  <c r="D54" i="15"/>
  <c r="J79" i="16"/>
  <c r="F78" i="16"/>
  <c r="N76" i="16"/>
  <c r="J75" i="16"/>
  <c r="F74" i="16"/>
  <c r="N70" i="16"/>
  <c r="J69" i="16"/>
  <c r="F68" i="16"/>
  <c r="N66" i="16"/>
  <c r="J65" i="16"/>
  <c r="F64" i="16"/>
  <c r="N62" i="16"/>
  <c r="J61" i="16"/>
  <c r="F60" i="16"/>
  <c r="N58" i="16"/>
  <c r="J57" i="16"/>
  <c r="F56" i="16"/>
  <c r="N54" i="16"/>
  <c r="J73" i="10"/>
  <c r="F72" i="10"/>
  <c r="D71" i="10"/>
  <c r="H70" i="10"/>
  <c r="L69" i="10"/>
  <c r="D69" i="10"/>
  <c r="H68" i="10"/>
  <c r="H64" i="10"/>
  <c r="L63" i="10"/>
  <c r="D63" i="10"/>
  <c r="H62" i="10"/>
  <c r="L61" i="10"/>
  <c r="D61" i="10"/>
  <c r="K60" i="10"/>
  <c r="F60" i="10"/>
  <c r="L59" i="10"/>
  <c r="G59" i="10"/>
  <c r="N58" i="10"/>
  <c r="H58" i="10"/>
  <c r="C58" i="10"/>
  <c r="J57" i="10"/>
  <c r="D57" i="10"/>
  <c r="K56" i="10"/>
  <c r="F56" i="10"/>
  <c r="L55" i="10"/>
  <c r="G55" i="10"/>
  <c r="N54" i="10"/>
  <c r="H54" i="10"/>
  <c r="C54" i="10"/>
  <c r="J53" i="10"/>
  <c r="D53" i="10"/>
  <c r="K52" i="10"/>
  <c r="F52" i="10"/>
  <c r="L51" i="10"/>
  <c r="G51" i="10"/>
  <c r="N50" i="10"/>
  <c r="H50" i="10"/>
  <c r="C50" i="10"/>
  <c r="J49" i="10"/>
  <c r="D49" i="10"/>
  <c r="L48" i="10"/>
  <c r="H48" i="10"/>
  <c r="D48" i="10"/>
  <c r="K73" i="11"/>
  <c r="G73" i="11"/>
  <c r="C73" i="11"/>
  <c r="K72" i="11"/>
  <c r="G72" i="11"/>
  <c r="C72" i="11"/>
  <c r="K71" i="11"/>
  <c r="G71" i="11"/>
  <c r="C71" i="11"/>
  <c r="K70" i="11"/>
  <c r="G70" i="11"/>
  <c r="C70" i="11"/>
  <c r="K69" i="11"/>
  <c r="G69" i="11"/>
  <c r="C69" i="11"/>
  <c r="K68" i="11"/>
  <c r="G68" i="11"/>
  <c r="C68" i="11"/>
  <c r="K64" i="11"/>
  <c r="G64" i="11"/>
  <c r="C64" i="11"/>
  <c r="K63" i="11"/>
  <c r="G63" i="11"/>
  <c r="C63" i="11"/>
  <c r="K62" i="11"/>
  <c r="G62" i="11"/>
  <c r="C62" i="11"/>
  <c r="K61" i="11"/>
  <c r="G61" i="11"/>
  <c r="C61" i="11"/>
  <c r="K60" i="11"/>
  <c r="G60" i="11"/>
  <c r="C60" i="11"/>
  <c r="K59" i="11"/>
  <c r="G59" i="11"/>
  <c r="C59" i="11"/>
  <c r="K58" i="11"/>
  <c r="G58" i="11"/>
  <c r="C58" i="11"/>
  <c r="K57" i="11"/>
  <c r="G57" i="11"/>
  <c r="C57" i="11"/>
  <c r="K56" i="11"/>
  <c r="G56" i="11"/>
  <c r="C56" i="11"/>
  <c r="K55" i="11"/>
  <c r="K74" i="14"/>
  <c r="G59" i="14"/>
  <c r="N70" i="15"/>
  <c r="J65" i="15"/>
  <c r="C61" i="15"/>
  <c r="G58" i="15"/>
  <c r="K55" i="15"/>
  <c r="C78" i="16"/>
  <c r="G75" i="16"/>
  <c r="K70" i="16"/>
  <c r="C68" i="16"/>
  <c r="G65" i="16"/>
  <c r="K62" i="16"/>
  <c r="C60" i="16"/>
  <c r="G57" i="16"/>
  <c r="K54" i="16"/>
  <c r="C72" i="10"/>
  <c r="G70" i="10"/>
  <c r="C69" i="10"/>
  <c r="G64" i="10"/>
  <c r="C63" i="10"/>
  <c r="K61" i="10"/>
  <c r="J60" i="10"/>
  <c r="K59" i="10"/>
  <c r="L58" i="10"/>
  <c r="N57" i="10"/>
  <c r="C57" i="10"/>
  <c r="D56" i="10"/>
  <c r="F55" i="10"/>
  <c r="G54" i="10"/>
  <c r="H53" i="10"/>
  <c r="J52" i="10"/>
  <c r="K51" i="10"/>
  <c r="L50" i="10"/>
  <c r="N49" i="10"/>
  <c r="C49" i="10"/>
  <c r="G48" i="10"/>
  <c r="J73" i="11"/>
  <c r="N72" i="11"/>
  <c r="F72" i="11"/>
  <c r="J71" i="11"/>
  <c r="N70" i="11"/>
  <c r="F70" i="11"/>
  <c r="J69" i="11"/>
  <c r="N68" i="11"/>
  <c r="F68" i="11"/>
  <c r="N64" i="11"/>
  <c r="F64" i="11"/>
  <c r="J63" i="11"/>
  <c r="N62" i="11"/>
  <c r="F62" i="11"/>
  <c r="J61" i="11"/>
  <c r="N60" i="11"/>
  <c r="F60" i="11"/>
  <c r="J59" i="11"/>
  <c r="N58" i="11"/>
  <c r="F58" i="11"/>
  <c r="J57" i="11"/>
  <c r="N56" i="11"/>
  <c r="F56" i="11"/>
  <c r="J55" i="11"/>
  <c r="E55" i="11"/>
  <c r="M54" i="11"/>
  <c r="I54" i="11"/>
  <c r="E54" i="11"/>
  <c r="M53" i="11"/>
  <c r="I53" i="11"/>
  <c r="E53" i="11"/>
  <c r="M52" i="11"/>
  <c r="I52" i="11"/>
  <c r="E52" i="11"/>
  <c r="M51" i="11"/>
  <c r="I51" i="11"/>
  <c r="E51" i="11"/>
  <c r="M50" i="11"/>
  <c r="I50" i="11"/>
  <c r="E50" i="11"/>
  <c r="M49" i="11"/>
  <c r="I49" i="11"/>
  <c r="E49" i="11"/>
  <c r="M48" i="11"/>
  <c r="I48" i="11"/>
  <c r="E48" i="11"/>
  <c r="E68" i="12"/>
  <c r="I68" i="12"/>
  <c r="M68" i="12"/>
  <c r="E69" i="12"/>
  <c r="I69" i="12"/>
  <c r="M69" i="12"/>
  <c r="E70" i="12"/>
  <c r="I70" i="12"/>
  <c r="M70" i="12"/>
  <c r="E71" i="12"/>
  <c r="I71" i="12"/>
  <c r="M71" i="12"/>
  <c r="E72" i="12"/>
  <c r="I72" i="12"/>
  <c r="M72" i="12"/>
  <c r="M67" i="12"/>
  <c r="H67" i="12"/>
  <c r="D67" i="12"/>
  <c r="D48" i="12"/>
  <c r="I48" i="12"/>
  <c r="M48" i="12"/>
  <c r="E49" i="12"/>
  <c r="I49" i="12"/>
  <c r="M49" i="12"/>
  <c r="E50" i="12"/>
  <c r="I50" i="12"/>
  <c r="M50" i="12"/>
  <c r="E51" i="12"/>
  <c r="I51" i="12"/>
  <c r="M51" i="12"/>
  <c r="E52" i="12"/>
  <c r="I52" i="12"/>
  <c r="M52" i="12"/>
  <c r="E53" i="12"/>
  <c r="I53" i="12"/>
  <c r="M53" i="12"/>
  <c r="E54" i="12"/>
  <c r="I54" i="12"/>
  <c r="M54" i="12"/>
  <c r="E55" i="12"/>
  <c r="I55" i="12"/>
  <c r="M55" i="12"/>
  <c r="E56" i="12"/>
  <c r="I56" i="12"/>
  <c r="M56" i="12"/>
  <c r="E57" i="12"/>
  <c r="I57" i="12"/>
  <c r="M57" i="12"/>
  <c r="E58" i="12"/>
  <c r="I58" i="12"/>
  <c r="M58" i="12"/>
  <c r="E59" i="12"/>
  <c r="I59" i="12"/>
  <c r="M59" i="12"/>
  <c r="E60" i="12"/>
  <c r="I60" i="12"/>
  <c r="M60" i="12"/>
  <c r="E61" i="12"/>
  <c r="I61" i="12"/>
  <c r="M61" i="12"/>
  <c r="E62" i="12"/>
  <c r="I62" i="12"/>
  <c r="M62" i="12"/>
  <c r="E63" i="12"/>
  <c r="I63" i="12"/>
  <c r="M63" i="12"/>
  <c r="F47" i="12"/>
  <c r="J47" i="12"/>
  <c r="N47" i="12"/>
  <c r="L73" i="13"/>
  <c r="H73" i="13"/>
  <c r="D73" i="13"/>
  <c r="L72" i="13"/>
  <c r="H72" i="13"/>
  <c r="D72" i="13"/>
  <c r="L71" i="13"/>
  <c r="H71" i="13"/>
  <c r="D71" i="13"/>
  <c r="L70" i="13"/>
  <c r="H70" i="13"/>
  <c r="D70" i="13"/>
  <c r="L69" i="13"/>
  <c r="H69" i="13"/>
  <c r="D69" i="13"/>
  <c r="L68" i="13"/>
  <c r="H68" i="13"/>
  <c r="D68" i="13"/>
  <c r="L64" i="13"/>
  <c r="H64" i="13"/>
  <c r="D64" i="13"/>
  <c r="L63" i="13"/>
  <c r="H63" i="13"/>
  <c r="D63" i="13"/>
  <c r="L62" i="13"/>
  <c r="H62" i="13"/>
  <c r="D62" i="13"/>
  <c r="L61" i="13"/>
  <c r="H61" i="13"/>
  <c r="L60" i="13"/>
  <c r="H60" i="13"/>
  <c r="D60" i="13"/>
  <c r="L59" i="13"/>
  <c r="H59" i="13"/>
  <c r="D59" i="13"/>
  <c r="L58" i="13"/>
  <c r="H58" i="13"/>
  <c r="D58" i="13"/>
  <c r="L57" i="13"/>
  <c r="H57" i="13"/>
  <c r="D57" i="13"/>
  <c r="L56" i="13"/>
  <c r="H56" i="13"/>
  <c r="D56" i="13"/>
  <c r="L55" i="13"/>
  <c r="H55" i="13"/>
  <c r="D55" i="13"/>
  <c r="L54" i="13"/>
  <c r="H54" i="13"/>
  <c r="D54" i="13"/>
  <c r="L53" i="13"/>
  <c r="H53" i="13"/>
  <c r="D53" i="13"/>
  <c r="L52" i="13"/>
  <c r="H52" i="13"/>
  <c r="D52" i="13"/>
  <c r="L51" i="13"/>
  <c r="H51" i="13"/>
  <c r="D51" i="13"/>
  <c r="L50" i="13"/>
  <c r="H50" i="13"/>
  <c r="D50" i="13"/>
  <c r="L49" i="13"/>
  <c r="H49" i="13"/>
  <c r="D49" i="13"/>
  <c r="L48" i="13"/>
  <c r="H48" i="13"/>
  <c r="D48" i="13"/>
  <c r="M55" i="14"/>
  <c r="D79" i="15"/>
  <c r="J69" i="15"/>
  <c r="F64" i="15"/>
  <c r="G60" i="15"/>
  <c r="K57" i="15"/>
  <c r="C55" i="15"/>
  <c r="G77" i="16"/>
  <c r="K74" i="16"/>
  <c r="C70" i="16"/>
  <c r="G67" i="16"/>
  <c r="K64" i="16"/>
  <c r="C62" i="16"/>
  <c r="G59" i="16"/>
  <c r="K56" i="16"/>
  <c r="C54" i="16"/>
  <c r="G71" i="10"/>
  <c r="C70" i="10"/>
  <c r="K68" i="10"/>
  <c r="C64" i="10"/>
  <c r="K62" i="10"/>
  <c r="G61" i="10"/>
  <c r="G60" i="10"/>
  <c r="H59" i="10"/>
  <c r="J58" i="10"/>
  <c r="K57" i="10"/>
  <c r="L56" i="10"/>
  <c r="N55" i="10"/>
  <c r="C55" i="10"/>
  <c r="D54" i="10"/>
  <c r="F53" i="10"/>
  <c r="G52" i="10"/>
  <c r="H51" i="10"/>
  <c r="J50" i="10"/>
  <c r="K49" i="10"/>
  <c r="M48" i="10"/>
  <c r="E48" i="10"/>
  <c r="H73" i="11"/>
  <c r="L72" i="11"/>
  <c r="D72" i="11"/>
  <c r="H71" i="11"/>
  <c r="L70" i="11"/>
  <c r="D70" i="11"/>
  <c r="H69" i="11"/>
  <c r="L68" i="11"/>
  <c r="D68" i="11"/>
  <c r="L64" i="11"/>
  <c r="D64" i="11"/>
  <c r="H63" i="11"/>
  <c r="L62" i="11"/>
  <c r="D62" i="11"/>
  <c r="H61" i="11"/>
  <c r="L60" i="11"/>
  <c r="D60" i="11"/>
  <c r="H59" i="11"/>
  <c r="L58" i="11"/>
  <c r="D58" i="11"/>
  <c r="H57" i="11"/>
  <c r="L56" i="11"/>
  <c r="D56" i="11"/>
  <c r="H55" i="11"/>
  <c r="D55" i="11"/>
  <c r="L54" i="11"/>
  <c r="H54" i="11"/>
  <c r="D54" i="11"/>
  <c r="L53" i="11"/>
  <c r="H53" i="11"/>
  <c r="D53" i="11"/>
  <c r="L52" i="11"/>
  <c r="H52" i="11"/>
  <c r="D52" i="11"/>
  <c r="L51" i="11"/>
  <c r="H51" i="11"/>
  <c r="D51" i="11"/>
  <c r="L50" i="11"/>
  <c r="H50" i="11"/>
  <c r="D50" i="11"/>
  <c r="L49" i="11"/>
  <c r="H49" i="11"/>
  <c r="D49" i="11"/>
  <c r="L48" i="11"/>
  <c r="H48" i="11"/>
  <c r="D48" i="11"/>
  <c r="F68" i="12"/>
  <c r="J68" i="12"/>
  <c r="N68" i="12"/>
  <c r="F69" i="12"/>
  <c r="J69" i="12"/>
  <c r="N69" i="12"/>
  <c r="F70" i="12"/>
  <c r="J70" i="12"/>
  <c r="N70" i="12"/>
  <c r="F71" i="12"/>
  <c r="J71" i="12"/>
  <c r="N71" i="12"/>
  <c r="F72" i="12"/>
  <c r="J72" i="12"/>
  <c r="N72" i="12"/>
  <c r="L67" i="12"/>
  <c r="G67" i="12"/>
  <c r="C67" i="12"/>
  <c r="C48" i="12"/>
  <c r="J48" i="12"/>
  <c r="N48" i="12"/>
  <c r="F49" i="12"/>
  <c r="J49" i="12"/>
  <c r="N49" i="12"/>
  <c r="F50" i="12"/>
  <c r="J50" i="12"/>
  <c r="N50" i="12"/>
  <c r="F51" i="12"/>
  <c r="J51" i="12"/>
  <c r="N51" i="12"/>
  <c r="F52" i="12"/>
  <c r="J52" i="12"/>
  <c r="N52" i="12"/>
  <c r="F53" i="12"/>
  <c r="J53" i="12"/>
  <c r="N53" i="12"/>
  <c r="F54" i="12"/>
  <c r="J54" i="12"/>
  <c r="N54" i="12"/>
  <c r="F55" i="12"/>
  <c r="J55" i="12"/>
  <c r="N55" i="12"/>
  <c r="F56" i="12"/>
  <c r="J56" i="12"/>
  <c r="N56" i="12"/>
  <c r="F57" i="12"/>
  <c r="J57" i="12"/>
  <c r="N57" i="12"/>
  <c r="F58" i="12"/>
  <c r="J58" i="12"/>
  <c r="N58" i="12"/>
  <c r="F59" i="12"/>
  <c r="J59" i="12"/>
  <c r="N59" i="12"/>
  <c r="F60" i="12"/>
  <c r="J60" i="12"/>
  <c r="N60" i="12"/>
  <c r="F61" i="12"/>
  <c r="J61" i="12"/>
  <c r="N61" i="12"/>
  <c r="F62" i="12"/>
  <c r="J62" i="12"/>
  <c r="N62" i="12"/>
  <c r="F63" i="12"/>
  <c r="J63" i="12"/>
  <c r="N63" i="12"/>
  <c r="G47" i="12"/>
  <c r="K47" i="12"/>
  <c r="C47" i="12"/>
  <c r="K73" i="13"/>
  <c r="G73" i="13"/>
  <c r="C73" i="13"/>
  <c r="K72" i="13"/>
  <c r="G72" i="13"/>
  <c r="C72" i="13"/>
  <c r="K71" i="13"/>
  <c r="G71" i="13"/>
  <c r="C71" i="13"/>
  <c r="K70" i="13"/>
  <c r="G70" i="13"/>
  <c r="C70" i="13"/>
  <c r="K69" i="13"/>
  <c r="G69" i="13"/>
  <c r="C69" i="13"/>
  <c r="K68" i="13"/>
  <c r="G68" i="13"/>
  <c r="C68" i="13"/>
  <c r="K64" i="13"/>
  <c r="G64" i="13"/>
  <c r="C64" i="13"/>
  <c r="K63" i="13"/>
  <c r="G63" i="13"/>
  <c r="C63" i="13"/>
  <c r="K62" i="13"/>
  <c r="G62" i="13"/>
  <c r="C62" i="13"/>
  <c r="K61" i="13"/>
  <c r="G61" i="13"/>
  <c r="C61" i="13"/>
  <c r="K60" i="13"/>
  <c r="G60" i="13"/>
  <c r="C60" i="13"/>
  <c r="K59" i="13"/>
  <c r="G59" i="13"/>
  <c r="C59" i="13"/>
  <c r="K58" i="13"/>
  <c r="G58" i="13"/>
  <c r="C58" i="13"/>
  <c r="K57" i="13"/>
  <c r="G57" i="13"/>
  <c r="C57" i="13"/>
  <c r="K56" i="13"/>
  <c r="G56" i="13"/>
  <c r="C56" i="13"/>
  <c r="K55" i="13"/>
  <c r="G55" i="13"/>
  <c r="C55" i="13"/>
  <c r="K54" i="13"/>
  <c r="G54" i="13"/>
  <c r="C54" i="13"/>
  <c r="K53" i="13"/>
  <c r="G53" i="13"/>
  <c r="C53" i="13"/>
  <c r="K52" i="13"/>
  <c r="G52" i="13"/>
  <c r="C52" i="13"/>
  <c r="K51" i="13"/>
  <c r="G51" i="13"/>
  <c r="C51" i="13"/>
  <c r="K50" i="13"/>
  <c r="G50" i="13"/>
  <c r="C50" i="13"/>
  <c r="K49" i="13"/>
  <c r="G49" i="13"/>
  <c r="C49" i="13"/>
  <c r="K48" i="13"/>
  <c r="G48" i="13"/>
  <c r="C48" i="13"/>
  <c r="C70" i="14"/>
  <c r="H76" i="15"/>
  <c r="F68" i="15"/>
  <c r="N62" i="15"/>
  <c r="K59" i="15"/>
  <c r="C57" i="15"/>
  <c r="G54" i="15"/>
  <c r="G79" i="16"/>
  <c r="K76" i="16"/>
  <c r="C74" i="16"/>
  <c r="G69" i="16"/>
  <c r="K66" i="16"/>
  <c r="C64" i="16"/>
  <c r="G61" i="16"/>
  <c r="K58" i="16"/>
  <c r="C56" i="16"/>
  <c r="G73" i="10"/>
  <c r="C71" i="10"/>
  <c r="K69" i="10"/>
  <c r="G68" i="10"/>
  <c r="K63" i="10"/>
  <c r="G62" i="10"/>
  <c r="C61" i="10"/>
  <c r="D60" i="10"/>
  <c r="F59" i="10"/>
  <c r="G58" i="10"/>
  <c r="H57" i="10"/>
  <c r="J56" i="10"/>
  <c r="K55" i="10"/>
  <c r="L54" i="10"/>
  <c r="N53" i="10"/>
  <c r="C53" i="10"/>
  <c r="D52" i="10"/>
  <c r="F51" i="10"/>
  <c r="G50" i="10"/>
  <c r="H49" i="10"/>
  <c r="K48" i="10"/>
  <c r="C48" i="10"/>
  <c r="N73" i="11"/>
  <c r="F73" i="11"/>
  <c r="J72" i="11"/>
  <c r="N71" i="11"/>
  <c r="F71" i="11"/>
  <c r="J70" i="11"/>
  <c r="N69" i="11"/>
  <c r="F69" i="11"/>
  <c r="J68" i="11"/>
  <c r="J64" i="11"/>
  <c r="N63" i="11"/>
  <c r="F63" i="11"/>
  <c r="J62" i="11"/>
  <c r="N61" i="11"/>
  <c r="F61" i="11"/>
  <c r="J60" i="11"/>
  <c r="N59" i="11"/>
  <c r="F59" i="11"/>
  <c r="J58" i="11"/>
  <c r="N57" i="11"/>
  <c r="F57" i="11"/>
  <c r="J56" i="11"/>
  <c r="N55" i="11"/>
  <c r="G55" i="11"/>
  <c r="C55" i="11"/>
  <c r="K54" i="11"/>
  <c r="G54" i="11"/>
  <c r="C54" i="11"/>
  <c r="K53" i="11"/>
  <c r="G53" i="11"/>
  <c r="C53" i="11"/>
  <c r="K52" i="11"/>
  <c r="G52" i="11"/>
  <c r="C52" i="11"/>
  <c r="K51" i="11"/>
  <c r="G51" i="11"/>
  <c r="C51" i="11"/>
  <c r="K50" i="11"/>
  <c r="G50" i="11"/>
  <c r="C50" i="11"/>
  <c r="K49" i="11"/>
  <c r="G49" i="11"/>
  <c r="C49" i="11"/>
  <c r="K48" i="11"/>
  <c r="G48" i="11"/>
  <c r="C48" i="11"/>
  <c r="C68" i="12"/>
  <c r="G68" i="12"/>
  <c r="K68" i="12"/>
  <c r="C69" i="12"/>
  <c r="G69" i="12"/>
  <c r="K69" i="12"/>
  <c r="C70" i="12"/>
  <c r="G70" i="12"/>
  <c r="K70" i="12"/>
  <c r="C71" i="12"/>
  <c r="G71" i="12"/>
  <c r="K71" i="12"/>
  <c r="C72" i="12"/>
  <c r="G72" i="12"/>
  <c r="K72" i="12"/>
  <c r="J67" i="12"/>
  <c r="K67" i="12"/>
  <c r="F67" i="12"/>
  <c r="F48" i="12"/>
  <c r="G48" i="12"/>
  <c r="K48" i="12"/>
  <c r="C49" i="12"/>
  <c r="G49" i="12"/>
  <c r="K49" i="12"/>
  <c r="C50" i="12"/>
  <c r="G50" i="12"/>
  <c r="K50" i="12"/>
  <c r="C51" i="12"/>
  <c r="G51" i="12"/>
  <c r="K51" i="12"/>
  <c r="C52" i="12"/>
  <c r="G52" i="12"/>
  <c r="K52" i="12"/>
  <c r="C53" i="12"/>
  <c r="G53" i="12"/>
  <c r="K53" i="12"/>
  <c r="C54" i="12"/>
  <c r="G54" i="12"/>
  <c r="K54" i="12"/>
  <c r="C55" i="12"/>
  <c r="G55" i="12"/>
  <c r="K55" i="12"/>
  <c r="C56" i="12"/>
  <c r="G56" i="12"/>
  <c r="K56" i="12"/>
  <c r="C57" i="12"/>
  <c r="G57" i="12"/>
  <c r="K57" i="12"/>
  <c r="C58" i="12"/>
  <c r="G58" i="12"/>
  <c r="K58" i="12"/>
  <c r="C59" i="12"/>
  <c r="G59" i="12"/>
  <c r="K59" i="12"/>
  <c r="C60" i="12"/>
  <c r="G60" i="12"/>
  <c r="K60" i="12"/>
  <c r="C61" i="12"/>
  <c r="G61" i="12"/>
  <c r="K61" i="12"/>
  <c r="C62" i="12"/>
  <c r="G62" i="12"/>
  <c r="K62" i="12"/>
  <c r="C63" i="12"/>
  <c r="G63" i="12"/>
  <c r="K63" i="12"/>
  <c r="D47" i="12"/>
  <c r="H47" i="12"/>
  <c r="L47" i="12"/>
  <c r="N73" i="13"/>
  <c r="J73" i="13"/>
  <c r="F73" i="13"/>
  <c r="N72" i="13"/>
  <c r="J72" i="13"/>
  <c r="F72" i="13"/>
  <c r="N71" i="13"/>
  <c r="J71" i="13"/>
  <c r="F71" i="13"/>
  <c r="N70" i="13"/>
  <c r="J70" i="13"/>
  <c r="F70" i="13"/>
  <c r="N69" i="13"/>
  <c r="J69" i="13"/>
  <c r="F69" i="13"/>
  <c r="N68" i="13"/>
  <c r="J68" i="13"/>
  <c r="F68" i="13"/>
  <c r="N64" i="13"/>
  <c r="J64" i="13"/>
  <c r="F64" i="13"/>
  <c r="N63" i="13"/>
  <c r="J63" i="13"/>
  <c r="F63" i="13"/>
  <c r="N62" i="13"/>
  <c r="J62" i="13"/>
  <c r="F62" i="13"/>
  <c r="N61" i="13"/>
  <c r="J61" i="13"/>
  <c r="F61" i="13"/>
  <c r="N60" i="13"/>
  <c r="J60" i="13"/>
  <c r="F60" i="13"/>
  <c r="N59" i="13"/>
  <c r="J59" i="13"/>
  <c r="F59" i="13"/>
  <c r="N58" i="13"/>
  <c r="J58" i="13"/>
  <c r="F58" i="13"/>
  <c r="N57" i="13"/>
  <c r="J57" i="13"/>
  <c r="F57" i="13"/>
  <c r="N56" i="13"/>
  <c r="J56" i="13"/>
  <c r="F56" i="13"/>
  <c r="N55" i="13"/>
  <c r="J55" i="13"/>
  <c r="F55" i="13"/>
  <c r="N54" i="13"/>
  <c r="J54" i="13"/>
  <c r="F54" i="13"/>
  <c r="N53" i="13"/>
  <c r="J53" i="13"/>
  <c r="F53" i="13"/>
  <c r="N52" i="13"/>
  <c r="J52" i="13"/>
  <c r="F52" i="13"/>
  <c r="N51" i="13"/>
  <c r="J51" i="13"/>
  <c r="F51" i="13"/>
  <c r="N50" i="13"/>
  <c r="J50" i="13"/>
  <c r="F50" i="13"/>
  <c r="N49" i="13"/>
  <c r="J49" i="13"/>
  <c r="F49" i="13"/>
  <c r="N48" i="13"/>
  <c r="J48" i="13"/>
  <c r="F48" i="13"/>
  <c r="K64" i="14"/>
  <c r="N66" i="15"/>
  <c r="M61" i="15"/>
  <c r="C59" i="15"/>
  <c r="G56" i="15"/>
  <c r="K78" i="16"/>
  <c r="C76" i="16"/>
  <c r="K68" i="16"/>
  <c r="C66" i="16"/>
  <c r="G63" i="16"/>
  <c r="K60" i="16"/>
  <c r="C58" i="16"/>
  <c r="G55" i="16"/>
  <c r="K72" i="10"/>
  <c r="K70" i="10"/>
  <c r="G69" i="10"/>
  <c r="C68" i="10"/>
  <c r="K64" i="10"/>
  <c r="G63" i="10"/>
  <c r="C62" i="10"/>
  <c r="L60" i="10"/>
  <c r="N59" i="10"/>
  <c r="C59" i="10"/>
  <c r="D58" i="10"/>
  <c r="F57" i="10"/>
  <c r="G56" i="10"/>
  <c r="H55" i="10"/>
  <c r="J54" i="10"/>
  <c r="K53" i="10"/>
  <c r="L52" i="10"/>
  <c r="N51" i="10"/>
  <c r="C51" i="10"/>
  <c r="D50" i="10"/>
  <c r="F49" i="10"/>
  <c r="I48" i="10"/>
  <c r="L73" i="11"/>
  <c r="D73" i="11"/>
  <c r="H72" i="11"/>
  <c r="L71" i="11"/>
  <c r="D71" i="11"/>
  <c r="H70" i="11"/>
  <c r="L69" i="11"/>
  <c r="D69" i="11"/>
  <c r="H68" i="11"/>
  <c r="H64" i="11"/>
  <c r="L63" i="11"/>
  <c r="D63" i="11"/>
  <c r="H62" i="11"/>
  <c r="L61" i="11"/>
  <c r="D61" i="11"/>
  <c r="H60" i="11"/>
  <c r="L59" i="11"/>
  <c r="D59" i="11"/>
  <c r="H58" i="11"/>
  <c r="L57" i="11"/>
  <c r="D57" i="11"/>
  <c r="H56" i="11"/>
  <c r="L55" i="11"/>
  <c r="F55" i="11"/>
  <c r="M48" i="13"/>
  <c r="E50" i="13"/>
  <c r="I51" i="13"/>
  <c r="M52" i="13"/>
  <c r="E54" i="13"/>
  <c r="I55" i="13"/>
  <c r="M56" i="13"/>
  <c r="E58" i="13"/>
  <c r="I59" i="13"/>
  <c r="M60" i="13"/>
  <c r="E62" i="13"/>
  <c r="I63" i="13"/>
  <c r="M64" i="13"/>
  <c r="E68" i="13"/>
  <c r="I69" i="13"/>
  <c r="M70" i="13"/>
  <c r="E72" i="13"/>
  <c r="I73" i="13"/>
  <c r="E47" i="12"/>
  <c r="L63" i="12"/>
  <c r="H62" i="12"/>
  <c r="D61" i="12"/>
  <c r="L59" i="12"/>
  <c r="H58" i="12"/>
  <c r="D57" i="12"/>
  <c r="L55" i="12"/>
  <c r="H54" i="12"/>
  <c r="D53" i="12"/>
  <c r="L51" i="12"/>
  <c r="H50" i="12"/>
  <c r="D49" i="12"/>
  <c r="E67" i="12"/>
  <c r="H72" i="12"/>
  <c r="D71" i="12"/>
  <c r="L69" i="12"/>
  <c r="H68" i="12"/>
  <c r="F49" i="11"/>
  <c r="J50" i="11"/>
  <c r="N51" i="11"/>
  <c r="F53" i="11"/>
  <c r="J54" i="11"/>
  <c r="E49" i="13"/>
  <c r="I50" i="13"/>
  <c r="M51" i="13"/>
  <c r="E53" i="13"/>
  <c r="I54" i="13"/>
  <c r="M55" i="13"/>
  <c r="E57" i="13"/>
  <c r="I58" i="13"/>
  <c r="M59" i="13"/>
  <c r="E61" i="13"/>
  <c r="I62" i="13"/>
  <c r="M63" i="13"/>
  <c r="I68" i="13"/>
  <c r="M69" i="13"/>
  <c r="E71" i="13"/>
  <c r="I72" i="13"/>
  <c r="M73" i="13"/>
  <c r="H63" i="12"/>
  <c r="D62" i="12"/>
  <c r="L60" i="12"/>
  <c r="H59" i="12"/>
  <c r="D58" i="12"/>
  <c r="L56" i="12"/>
  <c r="H55" i="12"/>
  <c r="D54" i="12"/>
  <c r="L52" i="12"/>
  <c r="H51" i="12"/>
  <c r="D50" i="12"/>
  <c r="L48" i="12"/>
  <c r="I67" i="12"/>
  <c r="D72" i="12"/>
  <c r="L70" i="12"/>
  <c r="H69" i="12"/>
  <c r="D68" i="12"/>
  <c r="F48" i="11"/>
  <c r="J49" i="11"/>
  <c r="N50" i="11"/>
  <c r="F52" i="11"/>
  <c r="J53" i="11"/>
  <c r="N54" i="11"/>
  <c r="E48" i="13"/>
  <c r="I49" i="13"/>
  <c r="M50" i="13"/>
  <c r="E52" i="13"/>
  <c r="I53" i="13"/>
  <c r="M54" i="13"/>
  <c r="E56" i="13"/>
  <c r="I57" i="13"/>
  <c r="M58" i="13"/>
  <c r="E60" i="13"/>
  <c r="I61" i="13"/>
  <c r="M62" i="13"/>
  <c r="E64" i="13"/>
  <c r="M68" i="13"/>
  <c r="E70" i="13"/>
  <c r="I71" i="13"/>
  <c r="M72" i="13"/>
  <c r="M47" i="12"/>
  <c r="D63" i="12"/>
  <c r="L61" i="12"/>
  <c r="H60" i="12"/>
  <c r="D59" i="12"/>
  <c r="L57" i="12"/>
  <c r="H56" i="12"/>
  <c r="D55" i="12"/>
  <c r="L53" i="12"/>
  <c r="H52" i="12"/>
  <c r="D51" i="12"/>
  <c r="L49" i="12"/>
  <c r="H48" i="12"/>
  <c r="N67" i="12"/>
  <c r="L71" i="12"/>
  <c r="H70" i="12"/>
  <c r="D69" i="12"/>
  <c r="J48" i="11"/>
  <c r="N49" i="11"/>
  <c r="F51" i="11"/>
  <c r="J52" i="11"/>
  <c r="N53" i="11"/>
  <c r="E83" i="13"/>
  <c r="I84" i="13"/>
  <c r="M85" i="13"/>
  <c r="E87" i="13"/>
  <c r="I88" i="13"/>
  <c r="M89" i="13"/>
  <c r="E91" i="13"/>
  <c r="I92" i="13"/>
  <c r="M93" i="13"/>
  <c r="E95" i="13"/>
  <c r="M97" i="13"/>
  <c r="K105" i="13"/>
  <c r="L85" i="12"/>
  <c r="D91" i="12"/>
  <c r="H96" i="12"/>
  <c r="H106" i="12"/>
  <c r="E87" i="11"/>
  <c r="I92" i="11"/>
  <c r="M97" i="11"/>
  <c r="J86" i="10"/>
  <c r="L103" i="16"/>
  <c r="I83" i="13"/>
  <c r="M84" i="13"/>
  <c r="E86" i="13"/>
  <c r="I87" i="13"/>
  <c r="M88" i="13"/>
  <c r="E90" i="13"/>
  <c r="I91" i="13"/>
  <c r="M92" i="13"/>
  <c r="E94" i="13"/>
  <c r="M95" i="13"/>
  <c r="I98" i="13"/>
  <c r="E103" i="13"/>
  <c r="J106" i="13"/>
  <c r="D87" i="12"/>
  <c r="H92" i="12"/>
  <c r="L97" i="12"/>
  <c r="H102" i="12"/>
  <c r="L107" i="12"/>
  <c r="E83" i="11"/>
  <c r="I88" i="11"/>
  <c r="M93" i="11"/>
  <c r="E99" i="11"/>
  <c r="E103" i="11"/>
  <c r="E90" i="10"/>
  <c r="N121" i="14"/>
  <c r="J121" i="14"/>
  <c r="F121" i="14"/>
  <c r="N120" i="14"/>
  <c r="J120" i="14"/>
  <c r="F120" i="14"/>
  <c r="N119" i="14"/>
  <c r="J119" i="14"/>
  <c r="F119" i="14"/>
  <c r="N118" i="14"/>
  <c r="J118" i="14"/>
  <c r="F118" i="14"/>
  <c r="N117" i="14"/>
  <c r="J117" i="14"/>
  <c r="F117" i="14"/>
  <c r="N116" i="14"/>
  <c r="J116" i="14"/>
  <c r="F116" i="14"/>
  <c r="N112" i="14"/>
  <c r="J112" i="14"/>
  <c r="F112" i="14"/>
  <c r="N111" i="14"/>
  <c r="J111" i="14"/>
  <c r="F111" i="14"/>
  <c r="N110" i="14"/>
  <c r="J110" i="14"/>
  <c r="F110" i="14"/>
  <c r="N109" i="14"/>
  <c r="J109" i="14"/>
  <c r="F109" i="14"/>
  <c r="N108" i="14"/>
  <c r="J108" i="14"/>
  <c r="F108" i="14"/>
  <c r="N107" i="14"/>
  <c r="J107" i="14"/>
  <c r="F107" i="14"/>
  <c r="N106" i="14"/>
  <c r="J106" i="14"/>
  <c r="F106" i="14"/>
  <c r="N105" i="14"/>
  <c r="J105" i="14"/>
  <c r="F105" i="14"/>
  <c r="N104" i="14"/>
  <c r="J104" i="14"/>
  <c r="F104" i="14"/>
  <c r="N103" i="14"/>
  <c r="J103" i="14"/>
  <c r="F103" i="14"/>
  <c r="N102" i="14"/>
  <c r="J102" i="14"/>
  <c r="F102" i="14"/>
  <c r="N101" i="14"/>
  <c r="J101" i="14"/>
  <c r="F101" i="14"/>
  <c r="N100" i="14"/>
  <c r="J100" i="14"/>
  <c r="F100" i="14"/>
  <c r="N99" i="14"/>
  <c r="L121" i="14"/>
  <c r="H121" i="14"/>
  <c r="D121" i="14"/>
  <c r="L120" i="14"/>
  <c r="H120" i="14"/>
  <c r="D120" i="14"/>
  <c r="L119" i="14"/>
  <c r="H119" i="14"/>
  <c r="D119" i="14"/>
  <c r="L118" i="14"/>
  <c r="H118" i="14"/>
  <c r="D118" i="14"/>
  <c r="L117" i="14"/>
  <c r="H117" i="14"/>
  <c r="D117" i="14"/>
  <c r="L116" i="14"/>
  <c r="H116" i="14"/>
  <c r="D116" i="14"/>
  <c r="L112" i="14"/>
  <c r="H112" i="14"/>
  <c r="D112" i="14"/>
  <c r="L111" i="14"/>
  <c r="H111" i="14"/>
  <c r="D111" i="14"/>
  <c r="L110" i="14"/>
  <c r="H110" i="14"/>
  <c r="D110" i="14"/>
  <c r="L109" i="14"/>
  <c r="H109" i="14"/>
  <c r="D109" i="14"/>
  <c r="L108" i="14"/>
  <c r="H108" i="14"/>
  <c r="D108" i="14"/>
  <c r="L107" i="14"/>
  <c r="H107" i="14"/>
  <c r="D107" i="14"/>
  <c r="L106" i="14"/>
  <c r="H106" i="14"/>
  <c r="D106" i="14"/>
  <c r="L105" i="14"/>
  <c r="H105" i="14"/>
  <c r="D105" i="14"/>
  <c r="L104" i="14"/>
  <c r="H104" i="14"/>
  <c r="D104" i="14"/>
  <c r="L103" i="14"/>
  <c r="H103" i="14"/>
  <c r="D103" i="14"/>
  <c r="L102" i="14"/>
  <c r="H102" i="14"/>
  <c r="D102" i="14"/>
  <c r="L101" i="14"/>
  <c r="H101" i="14"/>
  <c r="D101" i="14"/>
  <c r="L100" i="14"/>
  <c r="H100" i="14"/>
  <c r="D100" i="14"/>
  <c r="L99" i="14"/>
  <c r="M121" i="14"/>
  <c r="E121" i="14"/>
  <c r="I120" i="14"/>
  <c r="M119" i="14"/>
  <c r="E119" i="14"/>
  <c r="I118" i="14"/>
  <c r="M117" i="14"/>
  <c r="E117" i="14"/>
  <c r="I116" i="14"/>
  <c r="I112" i="14"/>
  <c r="M111" i="14"/>
  <c r="E111" i="14"/>
  <c r="I110" i="14"/>
  <c r="M109" i="14"/>
  <c r="E109" i="14"/>
  <c r="I108" i="14"/>
  <c r="M107" i="14"/>
  <c r="E107" i="14"/>
  <c r="I106" i="14"/>
  <c r="M105" i="14"/>
  <c r="E105" i="14"/>
  <c r="I104" i="14"/>
  <c r="M103" i="14"/>
  <c r="E103" i="14"/>
  <c r="I102" i="14"/>
  <c r="M101" i="14"/>
  <c r="E101" i="14"/>
  <c r="I100" i="14"/>
  <c r="M99" i="14"/>
  <c r="H99" i="14"/>
  <c r="D99" i="14"/>
  <c r="L98" i="14"/>
  <c r="H98" i="14"/>
  <c r="D98" i="14"/>
  <c r="L97" i="14"/>
  <c r="H97" i="14"/>
  <c r="D97" i="14"/>
  <c r="L96" i="14"/>
  <c r="H96" i="14"/>
  <c r="D96" i="14"/>
  <c r="N121" i="15"/>
  <c r="J121" i="15"/>
  <c r="F121" i="15"/>
  <c r="N120" i="15"/>
  <c r="J120" i="15"/>
  <c r="F120" i="15"/>
  <c r="N119" i="15"/>
  <c r="J119" i="15"/>
  <c r="F119" i="15"/>
  <c r="N118" i="15"/>
  <c r="J118" i="15"/>
  <c r="F118" i="15"/>
  <c r="N117" i="15"/>
  <c r="J117" i="15"/>
  <c r="F117" i="15"/>
  <c r="N116" i="15"/>
  <c r="J116" i="15"/>
  <c r="F116" i="15"/>
  <c r="K121" i="14"/>
  <c r="C121" i="14"/>
  <c r="G120" i="14"/>
  <c r="K119" i="14"/>
  <c r="C119" i="14"/>
  <c r="G118" i="14"/>
  <c r="K117" i="14"/>
  <c r="C117" i="14"/>
  <c r="G116" i="14"/>
  <c r="G112" i="14"/>
  <c r="K111" i="14"/>
  <c r="C111" i="14"/>
  <c r="G110" i="14"/>
  <c r="K109" i="14"/>
  <c r="C109" i="14"/>
  <c r="G108" i="14"/>
  <c r="K107" i="14"/>
  <c r="C107" i="14"/>
  <c r="G106" i="14"/>
  <c r="K105" i="14"/>
  <c r="C105" i="14"/>
  <c r="G104" i="14"/>
  <c r="K103" i="14"/>
  <c r="C103" i="14"/>
  <c r="G102" i="14"/>
  <c r="K101" i="14"/>
  <c r="C101" i="14"/>
  <c r="G100" i="14"/>
  <c r="K99" i="14"/>
  <c r="G99" i="14"/>
  <c r="C99" i="14"/>
  <c r="K98" i="14"/>
  <c r="G98" i="14"/>
  <c r="C98" i="14"/>
  <c r="K97" i="14"/>
  <c r="G97" i="14"/>
  <c r="C97" i="14"/>
  <c r="K96" i="14"/>
  <c r="G96" i="14"/>
  <c r="C96" i="14"/>
  <c r="M121" i="15"/>
  <c r="I121" i="15"/>
  <c r="E121" i="15"/>
  <c r="M120" i="15"/>
  <c r="I120" i="15"/>
  <c r="E120" i="15"/>
  <c r="M119" i="15"/>
  <c r="I119" i="15"/>
  <c r="E119" i="15"/>
  <c r="M118" i="15"/>
  <c r="I118" i="15"/>
  <c r="E118" i="15"/>
  <c r="M117" i="15"/>
  <c r="I117" i="15"/>
  <c r="E117" i="15"/>
  <c r="M116" i="15"/>
  <c r="I116" i="15"/>
  <c r="E116" i="15"/>
  <c r="I121" i="14"/>
  <c r="E120" i="14"/>
  <c r="M118" i="14"/>
  <c r="I117" i="14"/>
  <c r="E116" i="14"/>
  <c r="M112" i="14"/>
  <c r="I111" i="14"/>
  <c r="E110" i="14"/>
  <c r="M108" i="14"/>
  <c r="I107" i="14"/>
  <c r="E106" i="14"/>
  <c r="M104" i="14"/>
  <c r="I103" i="14"/>
  <c r="E102" i="14"/>
  <c r="M100" i="14"/>
  <c r="J99" i="14"/>
  <c r="N98" i="14"/>
  <c r="F98" i="14"/>
  <c r="J97" i="14"/>
  <c r="N96" i="14"/>
  <c r="F96" i="14"/>
  <c r="K121" i="15"/>
  <c r="C121" i="15"/>
  <c r="G120" i="15"/>
  <c r="K119" i="15"/>
  <c r="C119" i="15"/>
  <c r="G118" i="15"/>
  <c r="K117" i="15"/>
  <c r="C117" i="15"/>
  <c r="G116" i="15"/>
  <c r="L112" i="15"/>
  <c r="H112" i="15"/>
  <c r="D112" i="15"/>
  <c r="L111" i="15"/>
  <c r="H111" i="15"/>
  <c r="D111" i="15"/>
  <c r="L110" i="15"/>
  <c r="H110" i="15"/>
  <c r="D110" i="15"/>
  <c r="L109" i="15"/>
  <c r="H109" i="15"/>
  <c r="D109" i="15"/>
  <c r="L108" i="15"/>
  <c r="H108" i="15"/>
  <c r="D108" i="15"/>
  <c r="L107" i="15"/>
  <c r="H107" i="15"/>
  <c r="D107" i="15"/>
  <c r="L106" i="15"/>
  <c r="H106" i="15"/>
  <c r="D106" i="15"/>
  <c r="L105" i="15"/>
  <c r="H105" i="15"/>
  <c r="D105" i="15"/>
  <c r="L104" i="15"/>
  <c r="H104" i="15"/>
  <c r="D104" i="15"/>
  <c r="L103" i="15"/>
  <c r="H103" i="15"/>
  <c r="D103" i="15"/>
  <c r="L102" i="15"/>
  <c r="H102" i="15"/>
  <c r="D102" i="15"/>
  <c r="L101" i="15"/>
  <c r="H101" i="15"/>
  <c r="D101" i="15"/>
  <c r="L100" i="15"/>
  <c r="H100" i="15"/>
  <c r="D100" i="15"/>
  <c r="L99" i="15"/>
  <c r="H99" i="15"/>
  <c r="D99" i="15"/>
  <c r="L98" i="15"/>
  <c r="H98" i="15"/>
  <c r="D98" i="15"/>
  <c r="L97" i="15"/>
  <c r="H97" i="15"/>
  <c r="D97" i="15"/>
  <c r="L96" i="15"/>
  <c r="H96" i="15"/>
  <c r="D96" i="15"/>
  <c r="L121" i="16"/>
  <c r="H121" i="16"/>
  <c r="D121" i="16"/>
  <c r="L120" i="16"/>
  <c r="H120" i="16"/>
  <c r="D120" i="16"/>
  <c r="L119" i="16"/>
  <c r="H119" i="16"/>
  <c r="D119" i="16"/>
  <c r="L118" i="16"/>
  <c r="H118" i="16"/>
  <c r="D118" i="16"/>
  <c r="L117" i="16"/>
  <c r="H117" i="16"/>
  <c r="D117" i="16"/>
  <c r="L116" i="16"/>
  <c r="H116" i="16"/>
  <c r="D116" i="16"/>
  <c r="L112" i="16"/>
  <c r="H112" i="16"/>
  <c r="D112" i="16"/>
  <c r="L111" i="16"/>
  <c r="H111" i="16"/>
  <c r="D111" i="16"/>
  <c r="L110" i="16"/>
  <c r="H110" i="16"/>
  <c r="D110" i="16"/>
  <c r="L109" i="16"/>
  <c r="H109" i="16"/>
  <c r="D109" i="16"/>
  <c r="M120" i="14"/>
  <c r="I119" i="14"/>
  <c r="E118" i="14"/>
  <c r="M116" i="14"/>
  <c r="E112" i="14"/>
  <c r="M110" i="14"/>
  <c r="I109" i="14"/>
  <c r="E108" i="14"/>
  <c r="M106" i="14"/>
  <c r="I105" i="14"/>
  <c r="E104" i="14"/>
  <c r="M102" i="14"/>
  <c r="I101" i="14"/>
  <c r="E100" i="14"/>
  <c r="F99" i="14"/>
  <c r="J98" i="14"/>
  <c r="N97" i="14"/>
  <c r="F97" i="14"/>
  <c r="J96" i="14"/>
  <c r="G121" i="15"/>
  <c r="K120" i="15"/>
  <c r="C120" i="15"/>
  <c r="G119" i="15"/>
  <c r="K118" i="15"/>
  <c r="C118" i="15"/>
  <c r="G117" i="15"/>
  <c r="K116" i="15"/>
  <c r="C116" i="15"/>
  <c r="N112" i="15"/>
  <c r="J112" i="15"/>
  <c r="F112" i="15"/>
  <c r="N111" i="15"/>
  <c r="J111" i="15"/>
  <c r="F111" i="15"/>
  <c r="N110" i="15"/>
  <c r="J110" i="15"/>
  <c r="F110" i="15"/>
  <c r="N109" i="15"/>
  <c r="J109" i="15"/>
  <c r="F109" i="15"/>
  <c r="N108" i="15"/>
  <c r="J108" i="15"/>
  <c r="F108" i="15"/>
  <c r="N107" i="15"/>
  <c r="J107" i="15"/>
  <c r="F107" i="15"/>
  <c r="N106" i="15"/>
  <c r="J106" i="15"/>
  <c r="F106" i="15"/>
  <c r="N105" i="15"/>
  <c r="J105" i="15"/>
  <c r="F105" i="15"/>
  <c r="N104" i="15"/>
  <c r="J104" i="15"/>
  <c r="F104" i="15"/>
  <c r="N103" i="15"/>
  <c r="J103" i="15"/>
  <c r="F103" i="15"/>
  <c r="N102" i="15"/>
  <c r="J102" i="15"/>
  <c r="F102" i="15"/>
  <c r="N101" i="15"/>
  <c r="J101" i="15"/>
  <c r="F101" i="15"/>
  <c r="N100" i="15"/>
  <c r="J100" i="15"/>
  <c r="F100" i="15"/>
  <c r="N99" i="15"/>
  <c r="J99" i="15"/>
  <c r="F99" i="15"/>
  <c r="N98" i="15"/>
  <c r="J98" i="15"/>
  <c r="F98" i="15"/>
  <c r="N97" i="15"/>
  <c r="J97" i="15"/>
  <c r="F97" i="15"/>
  <c r="N96" i="15"/>
  <c r="J96" i="15"/>
  <c r="F96" i="15"/>
  <c r="N121" i="16"/>
  <c r="J121" i="16"/>
  <c r="F121" i="16"/>
  <c r="N120" i="16"/>
  <c r="J120" i="16"/>
  <c r="F120" i="16"/>
  <c r="N119" i="16"/>
  <c r="J119" i="16"/>
  <c r="F119" i="16"/>
  <c r="N118" i="16"/>
  <c r="J118" i="16"/>
  <c r="F118" i="16"/>
  <c r="N117" i="16"/>
  <c r="J117" i="16"/>
  <c r="F117" i="16"/>
  <c r="N116" i="16"/>
  <c r="J116" i="16"/>
  <c r="F116" i="16"/>
  <c r="N112" i="16"/>
  <c r="J112" i="16"/>
  <c r="F112" i="16"/>
  <c r="N111" i="16"/>
  <c r="J111" i="16"/>
  <c r="F111" i="16"/>
  <c r="N110" i="16"/>
  <c r="J110" i="16"/>
  <c r="F110" i="16"/>
  <c r="N109" i="16"/>
  <c r="J109" i="16"/>
  <c r="F109" i="16"/>
  <c r="N108" i="16"/>
  <c r="G121" i="14"/>
  <c r="K118" i="14"/>
  <c r="C116" i="14"/>
  <c r="G111" i="14"/>
  <c r="K108" i="14"/>
  <c r="C106" i="14"/>
  <c r="G103" i="14"/>
  <c r="K100" i="14"/>
  <c r="M98" i="14"/>
  <c r="I97" i="14"/>
  <c r="E96" i="14"/>
  <c r="L120" i="15"/>
  <c r="H119" i="15"/>
  <c r="D118" i="15"/>
  <c r="L116" i="15"/>
  <c r="K112" i="15"/>
  <c r="C112" i="15"/>
  <c r="G111" i="15"/>
  <c r="K110" i="15"/>
  <c r="C110" i="15"/>
  <c r="G109" i="15"/>
  <c r="K108" i="15"/>
  <c r="C108" i="15"/>
  <c r="G107" i="15"/>
  <c r="K106" i="15"/>
  <c r="C106" i="15"/>
  <c r="G105" i="15"/>
  <c r="K104" i="15"/>
  <c r="C104" i="15"/>
  <c r="G103" i="15"/>
  <c r="K102" i="15"/>
  <c r="C102" i="15"/>
  <c r="G101" i="15"/>
  <c r="K100" i="15"/>
  <c r="C100" i="15"/>
  <c r="G99" i="15"/>
  <c r="K98" i="15"/>
  <c r="C98" i="15"/>
  <c r="G97" i="15"/>
  <c r="K96" i="15"/>
  <c r="C96" i="15"/>
  <c r="M121" i="16"/>
  <c r="E121" i="16"/>
  <c r="I120" i="16"/>
  <c r="M119" i="16"/>
  <c r="E119" i="16"/>
  <c r="I118" i="16"/>
  <c r="M117" i="16"/>
  <c r="E117" i="16"/>
  <c r="I116" i="16"/>
  <c r="I112" i="16"/>
  <c r="M111" i="16"/>
  <c r="E111" i="16"/>
  <c r="I110" i="16"/>
  <c r="M109" i="16"/>
  <c r="E109" i="16"/>
  <c r="K108" i="16"/>
  <c r="G108" i="16"/>
  <c r="C108" i="16"/>
  <c r="K107" i="16"/>
  <c r="G107" i="16"/>
  <c r="C107" i="16"/>
  <c r="K106" i="16"/>
  <c r="G106" i="16"/>
  <c r="C106" i="16"/>
  <c r="K105" i="16"/>
  <c r="G105" i="16"/>
  <c r="C105" i="16"/>
  <c r="K104" i="16"/>
  <c r="G104" i="16"/>
  <c r="C104" i="16"/>
  <c r="K103" i="16"/>
  <c r="G103" i="16"/>
  <c r="C103" i="16"/>
  <c r="K102" i="16"/>
  <c r="G102" i="16"/>
  <c r="C102" i="16"/>
  <c r="K101" i="16"/>
  <c r="G101" i="16"/>
  <c r="C101" i="16"/>
  <c r="K100" i="16"/>
  <c r="G100" i="16"/>
  <c r="C100" i="16"/>
  <c r="K99" i="16"/>
  <c r="G99" i="16"/>
  <c r="C99" i="16"/>
  <c r="K98" i="16"/>
  <c r="G98" i="16"/>
  <c r="C98" i="16"/>
  <c r="K97" i="16"/>
  <c r="G97" i="16"/>
  <c r="C97" i="16"/>
  <c r="K96" i="16"/>
  <c r="G96" i="16"/>
  <c r="C96" i="16"/>
  <c r="M108" i="10"/>
  <c r="I108" i="10"/>
  <c r="E108" i="10"/>
  <c r="M107" i="10"/>
  <c r="I107" i="10"/>
  <c r="E107" i="10"/>
  <c r="M106" i="10"/>
  <c r="I106" i="10"/>
  <c r="E106" i="10"/>
  <c r="M105" i="10"/>
  <c r="I105" i="10"/>
  <c r="E105" i="10"/>
  <c r="M104" i="10"/>
  <c r="I104" i="10"/>
  <c r="E104" i="10"/>
  <c r="M103" i="10"/>
  <c r="I103" i="10"/>
  <c r="E103" i="10"/>
  <c r="C120" i="14"/>
  <c r="G117" i="14"/>
  <c r="K112" i="14"/>
  <c r="C110" i="14"/>
  <c r="G107" i="14"/>
  <c r="K104" i="14"/>
  <c r="C102" i="14"/>
  <c r="I99" i="14"/>
  <c r="E98" i="14"/>
  <c r="M96" i="14"/>
  <c r="H121" i="15"/>
  <c r="D120" i="15"/>
  <c r="L118" i="15"/>
  <c r="H117" i="15"/>
  <c r="D116" i="15"/>
  <c r="G112" i="15"/>
  <c r="K111" i="15"/>
  <c r="C111" i="15"/>
  <c r="G110" i="15"/>
  <c r="K109" i="15"/>
  <c r="C109" i="15"/>
  <c r="G108" i="15"/>
  <c r="K107" i="15"/>
  <c r="C107" i="15"/>
  <c r="G106" i="15"/>
  <c r="K105" i="15"/>
  <c r="C105" i="15"/>
  <c r="G104" i="15"/>
  <c r="K103" i="15"/>
  <c r="C103" i="15"/>
  <c r="G102" i="15"/>
  <c r="K101" i="15"/>
  <c r="C101" i="15"/>
  <c r="G100" i="15"/>
  <c r="K99" i="15"/>
  <c r="C99" i="15"/>
  <c r="G98" i="15"/>
  <c r="K97" i="15"/>
  <c r="C97" i="15"/>
  <c r="G96" i="15"/>
  <c r="I121" i="16"/>
  <c r="M120" i="16"/>
  <c r="E120" i="16"/>
  <c r="I119" i="16"/>
  <c r="M118" i="16"/>
  <c r="E118" i="16"/>
  <c r="I117" i="16"/>
  <c r="M116" i="16"/>
  <c r="E116" i="16"/>
  <c r="M112" i="16"/>
  <c r="E112" i="16"/>
  <c r="I111" i="16"/>
  <c r="M110" i="16"/>
  <c r="E110" i="16"/>
  <c r="I109" i="16"/>
  <c r="M108" i="16"/>
  <c r="I108" i="16"/>
  <c r="E108" i="16"/>
  <c r="M107" i="16"/>
  <c r="I107" i="16"/>
  <c r="E107" i="16"/>
  <c r="M106" i="16"/>
  <c r="I106" i="16"/>
  <c r="E106" i="16"/>
  <c r="M105" i="16"/>
  <c r="I105" i="16"/>
  <c r="E105" i="16"/>
  <c r="M104" i="16"/>
  <c r="I104" i="16"/>
  <c r="E104" i="16"/>
  <c r="M103" i="16"/>
  <c r="I103" i="16"/>
  <c r="E103" i="16"/>
  <c r="M102" i="16"/>
  <c r="I102" i="16"/>
  <c r="E102" i="16"/>
  <c r="M101" i="16"/>
  <c r="I101" i="16"/>
  <c r="E101" i="16"/>
  <c r="M100" i="16"/>
  <c r="I100" i="16"/>
  <c r="E100" i="16"/>
  <c r="M99" i="16"/>
  <c r="I99" i="16"/>
  <c r="E99" i="16"/>
  <c r="M98" i="16"/>
  <c r="I98" i="16"/>
  <c r="E98" i="16"/>
  <c r="M97" i="16"/>
  <c r="I97" i="16"/>
  <c r="E97" i="16"/>
  <c r="M96" i="16"/>
  <c r="I96" i="16"/>
  <c r="E96" i="16"/>
  <c r="K108" i="10"/>
  <c r="G108" i="10"/>
  <c r="C108" i="10"/>
  <c r="K107" i="10"/>
  <c r="G107" i="10"/>
  <c r="C107" i="10"/>
  <c r="K106" i="10"/>
  <c r="G106" i="10"/>
  <c r="C106" i="10"/>
  <c r="K105" i="10"/>
  <c r="G105" i="10"/>
  <c r="C105" i="10"/>
  <c r="K104" i="10"/>
  <c r="G104" i="10"/>
  <c r="C104" i="10"/>
  <c r="K103" i="10"/>
  <c r="G103" i="10"/>
  <c r="C103" i="10"/>
  <c r="K99" i="10"/>
  <c r="G99" i="10"/>
  <c r="C99" i="10"/>
  <c r="K98" i="10"/>
  <c r="G98" i="10"/>
  <c r="C98" i="10"/>
  <c r="K97" i="10"/>
  <c r="G97" i="10"/>
  <c r="C97" i="10"/>
  <c r="K96" i="10"/>
  <c r="G96" i="10"/>
  <c r="C96" i="10"/>
  <c r="K95" i="10"/>
  <c r="G95" i="10"/>
  <c r="C95" i="10"/>
  <c r="K94" i="10"/>
  <c r="G94" i="10"/>
  <c r="C94" i="10"/>
  <c r="K93" i="10"/>
  <c r="G93" i="10"/>
  <c r="C93" i="10"/>
  <c r="K92" i="10"/>
  <c r="G92" i="10"/>
  <c r="C92" i="10"/>
  <c r="K91" i="10"/>
  <c r="G91" i="10"/>
  <c r="C91" i="10"/>
  <c r="K90" i="10"/>
  <c r="G90" i="10"/>
  <c r="C90" i="10"/>
  <c r="K89" i="10"/>
  <c r="G89" i="10"/>
  <c r="C89" i="10"/>
  <c r="K88" i="10"/>
  <c r="G88" i="10"/>
  <c r="C88" i="10"/>
  <c r="K87" i="10"/>
  <c r="G87" i="10"/>
  <c r="C87" i="10"/>
  <c r="K86" i="10"/>
  <c r="G86" i="10"/>
  <c r="C86" i="10"/>
  <c r="K85" i="10"/>
  <c r="G85" i="10"/>
  <c r="C85" i="10"/>
  <c r="K84" i="10"/>
  <c r="K120" i="14"/>
  <c r="K110" i="14"/>
  <c r="G105" i="14"/>
  <c r="C100" i="14"/>
  <c r="E97" i="14"/>
  <c r="L119" i="15"/>
  <c r="D117" i="15"/>
  <c r="M112" i="15"/>
  <c r="I111" i="15"/>
  <c r="E110" i="15"/>
  <c r="M108" i="15"/>
  <c r="I107" i="15"/>
  <c r="E106" i="15"/>
  <c r="M104" i="15"/>
  <c r="I103" i="15"/>
  <c r="E102" i="15"/>
  <c r="M100" i="15"/>
  <c r="I99" i="15"/>
  <c r="E98" i="15"/>
  <c r="M96" i="15"/>
  <c r="C121" i="16"/>
  <c r="K119" i="16"/>
  <c r="G118" i="16"/>
  <c r="C117" i="16"/>
  <c r="G112" i="16"/>
  <c r="C111" i="16"/>
  <c r="K109" i="16"/>
  <c r="J108" i="16"/>
  <c r="N107" i="16"/>
  <c r="F107" i="16"/>
  <c r="J106" i="16"/>
  <c r="N105" i="16"/>
  <c r="F105" i="16"/>
  <c r="J104" i="16"/>
  <c r="N103" i="16"/>
  <c r="F103" i="16"/>
  <c r="J102" i="16"/>
  <c r="N101" i="16"/>
  <c r="F101" i="16"/>
  <c r="J100" i="16"/>
  <c r="N99" i="16"/>
  <c r="F99" i="16"/>
  <c r="J98" i="16"/>
  <c r="N97" i="16"/>
  <c r="F97" i="16"/>
  <c r="J96" i="16"/>
  <c r="H108" i="10"/>
  <c r="L107" i="10"/>
  <c r="D107" i="10"/>
  <c r="H106" i="10"/>
  <c r="L105" i="10"/>
  <c r="D105" i="10"/>
  <c r="H104" i="10"/>
  <c r="L103" i="10"/>
  <c r="D103" i="10"/>
  <c r="M99" i="10"/>
  <c r="H99" i="10"/>
  <c r="N98" i="10"/>
  <c r="I98" i="10"/>
  <c r="D98" i="10"/>
  <c r="J97" i="10"/>
  <c r="E97" i="10"/>
  <c r="L96" i="10"/>
  <c r="F96" i="10"/>
  <c r="M95" i="10"/>
  <c r="H95" i="10"/>
  <c r="N94" i="10"/>
  <c r="I94" i="10"/>
  <c r="D94" i="10"/>
  <c r="J93" i="10"/>
  <c r="E93" i="10"/>
  <c r="L92" i="10"/>
  <c r="F92" i="10"/>
  <c r="M91" i="10"/>
  <c r="H91" i="10"/>
  <c r="N90" i="10"/>
  <c r="I90" i="10"/>
  <c r="D90" i="10"/>
  <c r="J89" i="10"/>
  <c r="E89" i="10"/>
  <c r="L88" i="10"/>
  <c r="F88" i="10"/>
  <c r="M87" i="10"/>
  <c r="H87" i="10"/>
  <c r="N86" i="10"/>
  <c r="I86" i="10"/>
  <c r="D86" i="10"/>
  <c r="J85" i="10"/>
  <c r="E85" i="10"/>
  <c r="L84" i="10"/>
  <c r="G84" i="10"/>
  <c r="C84" i="10"/>
  <c r="K83" i="10"/>
  <c r="G83" i="10"/>
  <c r="C83" i="10"/>
  <c r="N108" i="11"/>
  <c r="J108" i="11"/>
  <c r="F108" i="11"/>
  <c r="N107" i="11"/>
  <c r="J107" i="11"/>
  <c r="F107" i="11"/>
  <c r="N106" i="11"/>
  <c r="J106" i="11"/>
  <c r="F106" i="11"/>
  <c r="N105" i="11"/>
  <c r="J105" i="11"/>
  <c r="F105" i="11"/>
  <c r="N104" i="11"/>
  <c r="J104" i="11"/>
  <c r="F104" i="11"/>
  <c r="N103" i="11"/>
  <c r="J103" i="11"/>
  <c r="F103" i="11"/>
  <c r="N99" i="11"/>
  <c r="J99" i="11"/>
  <c r="F99" i="11"/>
  <c r="N98" i="11"/>
  <c r="J98" i="11"/>
  <c r="F98" i="11"/>
  <c r="N97" i="11"/>
  <c r="J97" i="11"/>
  <c r="F97" i="11"/>
  <c r="N96" i="11"/>
  <c r="J96" i="11"/>
  <c r="F96" i="11"/>
  <c r="N95" i="11"/>
  <c r="J95" i="11"/>
  <c r="F95" i="11"/>
  <c r="N94" i="11"/>
  <c r="J94" i="11"/>
  <c r="F94" i="11"/>
  <c r="N93" i="11"/>
  <c r="J93" i="11"/>
  <c r="F93" i="11"/>
  <c r="N92" i="11"/>
  <c r="J92" i="11"/>
  <c r="F92" i="11"/>
  <c r="N91" i="11"/>
  <c r="J91" i="11"/>
  <c r="F91" i="11"/>
  <c r="N90" i="11"/>
  <c r="J90" i="11"/>
  <c r="F90" i="11"/>
  <c r="N89" i="11"/>
  <c r="J89" i="11"/>
  <c r="F89" i="11"/>
  <c r="N88" i="11"/>
  <c r="J88" i="11"/>
  <c r="F88" i="11"/>
  <c r="N87" i="11"/>
  <c r="J87" i="11"/>
  <c r="F87" i="11"/>
  <c r="N86" i="11"/>
  <c r="J86" i="11"/>
  <c r="F86" i="11"/>
  <c r="N85" i="11"/>
  <c r="J85" i="11"/>
  <c r="F85" i="11"/>
  <c r="N84" i="11"/>
  <c r="J84" i="11"/>
  <c r="F84" i="11"/>
  <c r="N83" i="11"/>
  <c r="J83" i="11"/>
  <c r="F83" i="11"/>
  <c r="M107" i="12"/>
  <c r="I107" i="12"/>
  <c r="E107" i="12"/>
  <c r="M106" i="12"/>
  <c r="I106" i="12"/>
  <c r="E106" i="12"/>
  <c r="M105" i="12"/>
  <c r="I105" i="12"/>
  <c r="E105" i="12"/>
  <c r="M104" i="12"/>
  <c r="I104" i="12"/>
  <c r="E104" i="12"/>
  <c r="M103" i="12"/>
  <c r="I103" i="12"/>
  <c r="E103" i="12"/>
  <c r="M102" i="12"/>
  <c r="I102" i="12"/>
  <c r="E102" i="12"/>
  <c r="M98" i="12"/>
  <c r="I98" i="12"/>
  <c r="E98" i="12"/>
  <c r="M97" i="12"/>
  <c r="I97" i="12"/>
  <c r="E97" i="12"/>
  <c r="M96" i="12"/>
  <c r="I96" i="12"/>
  <c r="E96" i="12"/>
  <c r="M95" i="12"/>
  <c r="I95" i="12"/>
  <c r="E95" i="12"/>
  <c r="M94" i="12"/>
  <c r="I94" i="12"/>
  <c r="E94" i="12"/>
  <c r="M93" i="12"/>
  <c r="I93" i="12"/>
  <c r="E93" i="12"/>
  <c r="M92" i="12"/>
  <c r="I92" i="12"/>
  <c r="E92" i="12"/>
  <c r="M91" i="12"/>
  <c r="I91" i="12"/>
  <c r="E91" i="12"/>
  <c r="M90" i="12"/>
  <c r="I90" i="12"/>
  <c r="E90" i="12"/>
  <c r="M89" i="12"/>
  <c r="I89" i="12"/>
  <c r="E89" i="12"/>
  <c r="M88" i="12"/>
  <c r="I88" i="12"/>
  <c r="E88" i="12"/>
  <c r="M87" i="12"/>
  <c r="I87" i="12"/>
  <c r="E87" i="12"/>
  <c r="M86" i="12"/>
  <c r="I86" i="12"/>
  <c r="E86" i="12"/>
  <c r="M85" i="12"/>
  <c r="I85" i="12"/>
  <c r="E85" i="12"/>
  <c r="M84" i="12"/>
  <c r="I84" i="12"/>
  <c r="E84" i="12"/>
  <c r="M83" i="12"/>
  <c r="I83" i="12"/>
  <c r="E83" i="12"/>
  <c r="M82" i="12"/>
  <c r="I82" i="12"/>
  <c r="E82" i="12"/>
  <c r="C118" i="14"/>
  <c r="C108" i="14"/>
  <c r="K102" i="14"/>
  <c r="I98" i="14"/>
  <c r="D121" i="15"/>
  <c r="H118" i="15"/>
  <c r="E112" i="15"/>
  <c r="M110" i="15"/>
  <c r="I109" i="15"/>
  <c r="E108" i="15"/>
  <c r="M106" i="15"/>
  <c r="I105" i="15"/>
  <c r="E104" i="15"/>
  <c r="M102" i="15"/>
  <c r="I101" i="15"/>
  <c r="E100" i="15"/>
  <c r="M98" i="15"/>
  <c r="I97" i="15"/>
  <c r="E96" i="15"/>
  <c r="K121" i="16"/>
  <c r="G120" i="16"/>
  <c r="C119" i="16"/>
  <c r="K117" i="16"/>
  <c r="G116" i="16"/>
  <c r="K111" i="16"/>
  <c r="G110" i="16"/>
  <c r="C109" i="16"/>
  <c r="F108" i="16"/>
  <c r="J107" i="16"/>
  <c r="N106" i="16"/>
  <c r="F106" i="16"/>
  <c r="J105" i="16"/>
  <c r="N104" i="16"/>
  <c r="F104" i="16"/>
  <c r="J103" i="16"/>
  <c r="N102" i="16"/>
  <c r="F102" i="16"/>
  <c r="J101" i="16"/>
  <c r="N100" i="16"/>
  <c r="F100" i="16"/>
  <c r="J99" i="16"/>
  <c r="N98" i="16"/>
  <c r="F98" i="16"/>
  <c r="J97" i="16"/>
  <c r="N96" i="16"/>
  <c r="F96" i="16"/>
  <c r="L108" i="10"/>
  <c r="D108" i="10"/>
  <c r="H107" i="10"/>
  <c r="L106" i="10"/>
  <c r="D106" i="10"/>
  <c r="H105" i="10"/>
  <c r="L104" i="10"/>
  <c r="D104" i="10"/>
  <c r="H103" i="10"/>
  <c r="J99" i="10"/>
  <c r="E99" i="10"/>
  <c r="L98" i="10"/>
  <c r="F98" i="10"/>
  <c r="M97" i="10"/>
  <c r="H97" i="10"/>
  <c r="N96" i="10"/>
  <c r="I96" i="10"/>
  <c r="D96" i="10"/>
  <c r="J95" i="10"/>
  <c r="E95" i="10"/>
  <c r="L94" i="10"/>
  <c r="F94" i="10"/>
  <c r="M93" i="10"/>
  <c r="H93" i="10"/>
  <c r="N92" i="10"/>
  <c r="I92" i="10"/>
  <c r="D92" i="10"/>
  <c r="J91" i="10"/>
  <c r="E91" i="10"/>
  <c r="L90" i="10"/>
  <c r="F90" i="10"/>
  <c r="M89" i="10"/>
  <c r="H89" i="10"/>
  <c r="N88" i="10"/>
  <c r="I88" i="10"/>
  <c r="D88" i="10"/>
  <c r="J87" i="10"/>
  <c r="E87" i="10"/>
  <c r="L86" i="10"/>
  <c r="F86" i="10"/>
  <c r="M85" i="10"/>
  <c r="H85" i="10"/>
  <c r="N84" i="10"/>
  <c r="I84" i="10"/>
  <c r="E84" i="10"/>
  <c r="M83" i="10"/>
  <c r="I83" i="10"/>
  <c r="E83" i="10"/>
  <c r="L108" i="11"/>
  <c r="H108" i="11"/>
  <c r="D108" i="11"/>
  <c r="L107" i="11"/>
  <c r="H107" i="11"/>
  <c r="D107" i="11"/>
  <c r="L106" i="11"/>
  <c r="H106" i="11"/>
  <c r="D106" i="11"/>
  <c r="L105" i="11"/>
  <c r="H105" i="11"/>
  <c r="D105" i="11"/>
  <c r="L104" i="11"/>
  <c r="H104" i="11"/>
  <c r="D104" i="11"/>
  <c r="L103" i="11"/>
  <c r="H103" i="11"/>
  <c r="D103" i="11"/>
  <c r="L99" i="11"/>
  <c r="H99" i="11"/>
  <c r="D99" i="11"/>
  <c r="L98" i="11"/>
  <c r="H98" i="11"/>
  <c r="D98" i="11"/>
  <c r="L97" i="11"/>
  <c r="H97" i="11"/>
  <c r="D97" i="11"/>
  <c r="L96" i="11"/>
  <c r="H96" i="11"/>
  <c r="D96" i="11"/>
  <c r="L95" i="11"/>
  <c r="H95" i="11"/>
  <c r="D95" i="11"/>
  <c r="L94" i="11"/>
  <c r="H94" i="11"/>
  <c r="D94" i="11"/>
  <c r="L93" i="11"/>
  <c r="H93" i="11"/>
  <c r="D93" i="11"/>
  <c r="L92" i="11"/>
  <c r="H92" i="11"/>
  <c r="D92" i="11"/>
  <c r="L91" i="11"/>
  <c r="H91" i="11"/>
  <c r="D91" i="11"/>
  <c r="L90" i="11"/>
  <c r="H90" i="11"/>
  <c r="D90" i="11"/>
  <c r="L89" i="11"/>
  <c r="H89" i="11"/>
  <c r="D89" i="11"/>
  <c r="L88" i="11"/>
  <c r="H88" i="11"/>
  <c r="D88" i="11"/>
  <c r="L87" i="11"/>
  <c r="H87" i="11"/>
  <c r="D87" i="11"/>
  <c r="L86" i="11"/>
  <c r="H86" i="11"/>
  <c r="D86" i="11"/>
  <c r="L85" i="11"/>
  <c r="H85" i="11"/>
  <c r="D85" i="11"/>
  <c r="L84" i="11"/>
  <c r="H84" i="11"/>
  <c r="D84" i="11"/>
  <c r="L83" i="11"/>
  <c r="H83" i="11"/>
  <c r="D83" i="11"/>
  <c r="K107" i="12"/>
  <c r="G107" i="12"/>
  <c r="C107" i="12"/>
  <c r="K106" i="12"/>
  <c r="G106" i="12"/>
  <c r="C106" i="12"/>
  <c r="K105" i="12"/>
  <c r="G105" i="12"/>
  <c r="C105" i="12"/>
  <c r="K104" i="12"/>
  <c r="G104" i="12"/>
  <c r="C104" i="12"/>
  <c r="K103" i="12"/>
  <c r="G103" i="12"/>
  <c r="C103" i="12"/>
  <c r="K102" i="12"/>
  <c r="G102" i="12"/>
  <c r="C102" i="12"/>
  <c r="K98" i="12"/>
  <c r="G98" i="12"/>
  <c r="C98" i="12"/>
  <c r="K97" i="12"/>
  <c r="G97" i="12"/>
  <c r="C97" i="12"/>
  <c r="K96" i="12"/>
  <c r="G96" i="12"/>
  <c r="C96" i="12"/>
  <c r="K95" i="12"/>
  <c r="G95" i="12"/>
  <c r="C95" i="12"/>
  <c r="K94" i="12"/>
  <c r="G94" i="12"/>
  <c r="C94" i="12"/>
  <c r="K93" i="12"/>
  <c r="G93" i="12"/>
  <c r="C93" i="12"/>
  <c r="K92" i="12"/>
  <c r="G92" i="12"/>
  <c r="C92" i="12"/>
  <c r="K91" i="12"/>
  <c r="G91" i="12"/>
  <c r="C91" i="12"/>
  <c r="K90" i="12"/>
  <c r="G90" i="12"/>
  <c r="C90" i="12"/>
  <c r="K89" i="12"/>
  <c r="G89" i="12"/>
  <c r="C89" i="12"/>
  <c r="K88" i="12"/>
  <c r="G88" i="12"/>
  <c r="C88" i="12"/>
  <c r="K87" i="12"/>
  <c r="G87" i="12"/>
  <c r="C87" i="12"/>
  <c r="K86" i="12"/>
  <c r="G86" i="12"/>
  <c r="C86" i="12"/>
  <c r="K85" i="12"/>
  <c r="G85" i="12"/>
  <c r="C85" i="12"/>
  <c r="K84" i="12"/>
  <c r="G84" i="12"/>
  <c r="C84" i="12"/>
  <c r="K83" i="12"/>
  <c r="G83" i="12"/>
  <c r="C83" i="12"/>
  <c r="K82" i="12"/>
  <c r="G82" i="12"/>
  <c r="C82" i="12"/>
  <c r="M108" i="13"/>
  <c r="I108" i="13"/>
  <c r="E108" i="13"/>
  <c r="M107" i="13"/>
  <c r="I107" i="13"/>
  <c r="E107" i="13"/>
  <c r="M106" i="13"/>
  <c r="I106" i="13"/>
  <c r="E106" i="13"/>
  <c r="M105" i="13"/>
  <c r="I105" i="13"/>
  <c r="E105" i="13"/>
  <c r="M104" i="13"/>
  <c r="I104" i="13"/>
  <c r="E104" i="13"/>
  <c r="M103" i="13"/>
  <c r="G119" i="14"/>
  <c r="C104" i="14"/>
  <c r="I96" i="14"/>
  <c r="L121" i="15"/>
  <c r="H116" i="15"/>
  <c r="I112" i="15"/>
  <c r="M109" i="15"/>
  <c r="E107" i="15"/>
  <c r="I104" i="15"/>
  <c r="M101" i="15"/>
  <c r="E99" i="15"/>
  <c r="I96" i="15"/>
  <c r="G121" i="16"/>
  <c r="K118" i="16"/>
  <c r="C116" i="16"/>
  <c r="G111" i="16"/>
  <c r="L108" i="16"/>
  <c r="H107" i="16"/>
  <c r="D106" i="16"/>
  <c r="L104" i="16"/>
  <c r="H103" i="16"/>
  <c r="D102" i="16"/>
  <c r="L100" i="16"/>
  <c r="H99" i="16"/>
  <c r="D98" i="16"/>
  <c r="L96" i="16"/>
  <c r="N108" i="10"/>
  <c r="J107" i="10"/>
  <c r="F106" i="10"/>
  <c r="N104" i="10"/>
  <c r="J103" i="10"/>
  <c r="L99" i="10"/>
  <c r="M98" i="10"/>
  <c r="N97" i="10"/>
  <c r="D97" i="10"/>
  <c r="E96" i="10"/>
  <c r="F95" i="10"/>
  <c r="H94" i="10"/>
  <c r="I93" i="10"/>
  <c r="J92" i="10"/>
  <c r="L91" i="10"/>
  <c r="M90" i="10"/>
  <c r="N89" i="10"/>
  <c r="D89" i="10"/>
  <c r="E88" i="10"/>
  <c r="F87" i="10"/>
  <c r="H86" i="10"/>
  <c r="I85" i="10"/>
  <c r="J84" i="10"/>
  <c r="N83" i="10"/>
  <c r="F83" i="10"/>
  <c r="G108" i="11"/>
  <c r="K107" i="11"/>
  <c r="C107" i="11"/>
  <c r="G106" i="11"/>
  <c r="K105" i="11"/>
  <c r="C105" i="11"/>
  <c r="G104" i="11"/>
  <c r="K103" i="11"/>
  <c r="C103" i="11"/>
  <c r="K99" i="11"/>
  <c r="C99" i="11"/>
  <c r="G98" i="11"/>
  <c r="K97" i="11"/>
  <c r="C97" i="11"/>
  <c r="G96" i="11"/>
  <c r="K95" i="11"/>
  <c r="C95" i="11"/>
  <c r="G94" i="11"/>
  <c r="K93" i="11"/>
  <c r="C93" i="11"/>
  <c r="G92" i="11"/>
  <c r="K91" i="11"/>
  <c r="C91" i="11"/>
  <c r="G90" i="11"/>
  <c r="K89" i="11"/>
  <c r="C89" i="11"/>
  <c r="G88" i="11"/>
  <c r="K87" i="11"/>
  <c r="C87" i="11"/>
  <c r="G86" i="11"/>
  <c r="K85" i="11"/>
  <c r="C85" i="11"/>
  <c r="G84" i="11"/>
  <c r="K83" i="11"/>
  <c r="C83" i="11"/>
  <c r="N107" i="12"/>
  <c r="F107" i="12"/>
  <c r="J106" i="12"/>
  <c r="N105" i="12"/>
  <c r="F105" i="12"/>
  <c r="J104" i="12"/>
  <c r="N103" i="12"/>
  <c r="F103" i="12"/>
  <c r="J102" i="12"/>
  <c r="J98" i="12"/>
  <c r="N97" i="12"/>
  <c r="F97" i="12"/>
  <c r="J96" i="12"/>
  <c r="N95" i="12"/>
  <c r="F95" i="12"/>
  <c r="J94" i="12"/>
  <c r="N93" i="12"/>
  <c r="F93" i="12"/>
  <c r="J92" i="12"/>
  <c r="N91" i="12"/>
  <c r="F91" i="12"/>
  <c r="J90" i="12"/>
  <c r="N89" i="12"/>
  <c r="F89" i="12"/>
  <c r="J88" i="12"/>
  <c r="N87" i="12"/>
  <c r="F87" i="12"/>
  <c r="J86" i="12"/>
  <c r="N85" i="12"/>
  <c r="F85" i="12"/>
  <c r="J84" i="12"/>
  <c r="N83" i="12"/>
  <c r="F83" i="12"/>
  <c r="J82" i="12"/>
  <c r="K108" i="13"/>
  <c r="F108" i="13"/>
  <c r="L107" i="13"/>
  <c r="G107" i="13"/>
  <c r="N106" i="13"/>
  <c r="H106" i="13"/>
  <c r="C106" i="13"/>
  <c r="J105" i="13"/>
  <c r="D105" i="13"/>
  <c r="K104" i="13"/>
  <c r="F104" i="13"/>
  <c r="L103" i="13"/>
  <c r="H103" i="13"/>
  <c r="D103" i="13"/>
  <c r="L99" i="13"/>
  <c r="H99" i="13"/>
  <c r="D99" i="13"/>
  <c r="L98" i="13"/>
  <c r="H98" i="13"/>
  <c r="D98" i="13"/>
  <c r="L97" i="13"/>
  <c r="H97" i="13"/>
  <c r="D97" i="13"/>
  <c r="L96" i="13"/>
  <c r="H96" i="13"/>
  <c r="D96" i="13"/>
  <c r="L95" i="13"/>
  <c r="H95" i="13"/>
  <c r="D95" i="13"/>
  <c r="L94" i="13"/>
  <c r="H94" i="13"/>
  <c r="D94" i="13"/>
  <c r="L93" i="13"/>
  <c r="H93" i="13"/>
  <c r="D93" i="13"/>
  <c r="L92" i="13"/>
  <c r="H92" i="13"/>
  <c r="D92" i="13"/>
  <c r="L91" i="13"/>
  <c r="H91" i="13"/>
  <c r="D91" i="13"/>
  <c r="L90" i="13"/>
  <c r="H90" i="13"/>
  <c r="D90" i="13"/>
  <c r="L89" i="13"/>
  <c r="H89" i="13"/>
  <c r="D89" i="13"/>
  <c r="L88" i="13"/>
  <c r="H88" i="13"/>
  <c r="D88" i="13"/>
  <c r="L87" i="13"/>
  <c r="H87" i="13"/>
  <c r="D87" i="13"/>
  <c r="L86" i="13"/>
  <c r="H86" i="13"/>
  <c r="D86" i="13"/>
  <c r="L85" i="13"/>
  <c r="H85" i="13"/>
  <c r="D85" i="13"/>
  <c r="L84" i="13"/>
  <c r="H84" i="13"/>
  <c r="D84" i="13"/>
  <c r="L83" i="13"/>
  <c r="H83" i="13"/>
  <c r="D83" i="13"/>
  <c r="K116" i="14"/>
  <c r="C112" i="14"/>
  <c r="G101" i="14"/>
  <c r="H120" i="15"/>
  <c r="M111" i="15"/>
  <c r="E109" i="15"/>
  <c r="I106" i="15"/>
  <c r="M103" i="15"/>
  <c r="E101" i="15"/>
  <c r="I98" i="15"/>
  <c r="K120" i="16"/>
  <c r="C118" i="16"/>
  <c r="K110" i="16"/>
  <c r="H108" i="16"/>
  <c r="D107" i="16"/>
  <c r="L105" i="16"/>
  <c r="H104" i="16"/>
  <c r="D103" i="16"/>
  <c r="L101" i="16"/>
  <c r="H100" i="16"/>
  <c r="D99" i="16"/>
  <c r="L97" i="16"/>
  <c r="H96" i="16"/>
  <c r="J108" i="10"/>
  <c r="F107" i="10"/>
  <c r="N105" i="10"/>
  <c r="J104" i="10"/>
  <c r="F103" i="10"/>
  <c r="I99" i="10"/>
  <c r="J98" i="10"/>
  <c r="L97" i="10"/>
  <c r="M96" i="10"/>
  <c r="N95" i="10"/>
  <c r="D95" i="10"/>
  <c r="E94" i="10"/>
  <c r="F93" i="10"/>
  <c r="H92" i="10"/>
  <c r="I91" i="10"/>
  <c r="J90" i="10"/>
  <c r="L89" i="10"/>
  <c r="M88" i="10"/>
  <c r="N87" i="10"/>
  <c r="D87" i="10"/>
  <c r="E86" i="10"/>
  <c r="F85" i="10"/>
  <c r="H84" i="10"/>
  <c r="L83" i="10"/>
  <c r="D83" i="10"/>
  <c r="M108" i="11"/>
  <c r="E108" i="11"/>
  <c r="I107" i="11"/>
  <c r="M106" i="11"/>
  <c r="E106" i="11"/>
  <c r="I105" i="11"/>
  <c r="M104" i="11"/>
  <c r="E104" i="11"/>
  <c r="I103" i="11"/>
  <c r="G109" i="14"/>
  <c r="E99" i="14"/>
  <c r="D119" i="15"/>
  <c r="E111" i="15"/>
  <c r="I108" i="15"/>
  <c r="M105" i="15"/>
  <c r="E103" i="15"/>
  <c r="I100" i="15"/>
  <c r="M97" i="15"/>
  <c r="C120" i="16"/>
  <c r="G117" i="16"/>
  <c r="K112" i="16"/>
  <c r="C110" i="16"/>
  <c r="D108" i="16"/>
  <c r="L106" i="16"/>
  <c r="H105" i="16"/>
  <c r="D104" i="16"/>
  <c r="L102" i="16"/>
  <c r="H101" i="16"/>
  <c r="D100" i="16"/>
  <c r="L98" i="16"/>
  <c r="H97" i="16"/>
  <c r="D96" i="16"/>
  <c r="F108" i="10"/>
  <c r="N106" i="10"/>
  <c r="J105" i="10"/>
  <c r="F104" i="10"/>
  <c r="F99" i="10"/>
  <c r="H98" i="10"/>
  <c r="I97" i="10"/>
  <c r="J96" i="10"/>
  <c r="L95" i="10"/>
  <c r="M94" i="10"/>
  <c r="N93" i="10"/>
  <c r="D93" i="10"/>
  <c r="E92" i="10"/>
  <c r="F91" i="10"/>
  <c r="H90" i="10"/>
  <c r="I89" i="10"/>
  <c r="J88" i="10"/>
  <c r="L87" i="10"/>
  <c r="M86" i="10"/>
  <c r="N85" i="10"/>
  <c r="D85" i="10"/>
  <c r="F84" i="10"/>
  <c r="J83" i="10"/>
  <c r="K108" i="11"/>
  <c r="C108" i="11"/>
  <c r="G107" i="11"/>
  <c r="K106" i="11"/>
  <c r="C106" i="11"/>
  <c r="G105" i="11"/>
  <c r="K104" i="11"/>
  <c r="G103" i="11"/>
  <c r="G99" i="11"/>
  <c r="K98" i="11"/>
  <c r="C98" i="11"/>
  <c r="G97" i="11"/>
  <c r="K96" i="11"/>
  <c r="C96" i="11"/>
  <c r="G95" i="11"/>
  <c r="K94" i="11"/>
  <c r="C94" i="11"/>
  <c r="G93" i="11"/>
  <c r="K92" i="11"/>
  <c r="C92" i="11"/>
  <c r="G91" i="11"/>
  <c r="K90" i="11"/>
  <c r="C90" i="11"/>
  <c r="G89" i="11"/>
  <c r="K88" i="11"/>
  <c r="C88" i="11"/>
  <c r="G87" i="11"/>
  <c r="K86" i="11"/>
  <c r="C86" i="11"/>
  <c r="G85" i="11"/>
  <c r="K84" i="11"/>
  <c r="C84" i="11"/>
  <c r="G83" i="11"/>
  <c r="J107" i="12"/>
  <c r="N106" i="12"/>
  <c r="F106" i="12"/>
  <c r="J105" i="12"/>
  <c r="N104" i="12"/>
  <c r="F104" i="12"/>
  <c r="J103" i="12"/>
  <c r="N102" i="12"/>
  <c r="F102" i="12"/>
  <c r="N98" i="12"/>
  <c r="F98" i="12"/>
  <c r="J97" i="12"/>
  <c r="N96" i="12"/>
  <c r="F96" i="12"/>
  <c r="J95" i="12"/>
  <c r="N94" i="12"/>
  <c r="F94" i="12"/>
  <c r="J93" i="12"/>
  <c r="N92" i="12"/>
  <c r="F92" i="12"/>
  <c r="J91" i="12"/>
  <c r="N90" i="12"/>
  <c r="F90" i="12"/>
  <c r="J89" i="12"/>
  <c r="N88" i="12"/>
  <c r="F88" i="12"/>
  <c r="J87" i="12"/>
  <c r="N86" i="12"/>
  <c r="F86" i="12"/>
  <c r="J85" i="12"/>
  <c r="N84" i="12"/>
  <c r="F84" i="12"/>
  <c r="J83" i="12"/>
  <c r="N82" i="12"/>
  <c r="F82" i="12"/>
  <c r="N108" i="13"/>
  <c r="H108" i="13"/>
  <c r="C108" i="13"/>
  <c r="J107" i="13"/>
  <c r="D107" i="13"/>
  <c r="K106" i="13"/>
  <c r="F106" i="13"/>
  <c r="L105" i="13"/>
  <c r="G105" i="13"/>
  <c r="N104" i="13"/>
  <c r="H104" i="13"/>
  <c r="C104" i="13"/>
  <c r="J103" i="13"/>
  <c r="F103" i="13"/>
  <c r="N99" i="13"/>
  <c r="J99" i="13"/>
  <c r="F99" i="13"/>
  <c r="N98" i="13"/>
  <c r="J98" i="13"/>
  <c r="F98" i="13"/>
  <c r="N97" i="13"/>
  <c r="J97" i="13"/>
  <c r="F97" i="13"/>
  <c r="N96" i="13"/>
  <c r="J96" i="13"/>
  <c r="F96" i="13"/>
  <c r="N95" i="13"/>
  <c r="J95" i="13"/>
  <c r="F95" i="13"/>
  <c r="N94" i="13"/>
  <c r="J94" i="13"/>
  <c r="F94" i="13"/>
  <c r="N93" i="13"/>
  <c r="J93" i="13"/>
  <c r="F93" i="13"/>
  <c r="N92" i="13"/>
  <c r="J92" i="13"/>
  <c r="F92" i="13"/>
  <c r="N91" i="13"/>
  <c r="J91" i="13"/>
  <c r="F91" i="13"/>
  <c r="N90" i="13"/>
  <c r="J90" i="13"/>
  <c r="F90" i="13"/>
  <c r="N89" i="13"/>
  <c r="J89" i="13"/>
  <c r="F89" i="13"/>
  <c r="N88" i="13"/>
  <c r="J88" i="13"/>
  <c r="F88" i="13"/>
  <c r="N87" i="13"/>
  <c r="J87" i="13"/>
  <c r="F87" i="13"/>
  <c r="N86" i="13"/>
  <c r="J86" i="13"/>
  <c r="F86" i="13"/>
  <c r="N85" i="13"/>
  <c r="J85" i="13"/>
  <c r="F85" i="13"/>
  <c r="N84" i="13"/>
  <c r="J84" i="13"/>
  <c r="F84" i="13"/>
  <c r="N83" i="13"/>
  <c r="J83" i="13"/>
  <c r="F83" i="13"/>
  <c r="E105" i="15"/>
  <c r="K116" i="16"/>
  <c r="C112" i="16"/>
  <c r="D105" i="16"/>
  <c r="D21" i="16" s="1"/>
  <c r="L99" i="16"/>
  <c r="J106" i="10"/>
  <c r="E98" i="10"/>
  <c r="J94" i="10"/>
  <c r="D91" i="10"/>
  <c r="I87" i="10"/>
  <c r="D84" i="10"/>
  <c r="I106" i="11"/>
  <c r="M103" i="11"/>
  <c r="I99" i="11"/>
  <c r="E98" i="11"/>
  <c r="M96" i="11"/>
  <c r="I95" i="11"/>
  <c r="E94" i="11"/>
  <c r="M92" i="11"/>
  <c r="I91" i="11"/>
  <c r="E90" i="11"/>
  <c r="M88" i="11"/>
  <c r="I87" i="11"/>
  <c r="E86" i="11"/>
  <c r="M84" i="11"/>
  <c r="I83" i="11"/>
  <c r="L106" i="12"/>
  <c r="H105" i="12"/>
  <c r="D104" i="12"/>
  <c r="L102" i="12"/>
  <c r="D98" i="12"/>
  <c r="L96" i="12"/>
  <c r="H95" i="12"/>
  <c r="D94" i="12"/>
  <c r="L92" i="12"/>
  <c r="H91" i="12"/>
  <c r="D90" i="12"/>
  <c r="L88" i="12"/>
  <c r="H87" i="12"/>
  <c r="D86" i="12"/>
  <c r="L84" i="12"/>
  <c r="H83" i="12"/>
  <c r="D82" i="12"/>
  <c r="J108" i="13"/>
  <c r="K107" i="13"/>
  <c r="L106" i="13"/>
  <c r="N105" i="13"/>
  <c r="C105" i="13"/>
  <c r="D104" i="13"/>
  <c r="G103" i="13"/>
  <c r="G99" i="13"/>
  <c r="K98" i="13"/>
  <c r="C98" i="13"/>
  <c r="G97" i="13"/>
  <c r="K96" i="13"/>
  <c r="C96" i="13"/>
  <c r="G95" i="13"/>
  <c r="K94" i="13"/>
  <c r="C94" i="13"/>
  <c r="G93" i="13"/>
  <c r="K92" i="13"/>
  <c r="C92" i="13"/>
  <c r="G91" i="13"/>
  <c r="K90" i="13"/>
  <c r="C90" i="13"/>
  <c r="G89" i="13"/>
  <c r="K88" i="13"/>
  <c r="C88" i="13"/>
  <c r="G87" i="13"/>
  <c r="K86" i="13"/>
  <c r="C86" i="13"/>
  <c r="G85" i="13"/>
  <c r="K84" i="13"/>
  <c r="C84" i="13"/>
  <c r="G83" i="13"/>
  <c r="M97" i="14"/>
  <c r="L117" i="15"/>
  <c r="I110" i="15"/>
  <c r="M99" i="15"/>
  <c r="L107" i="16"/>
  <c r="H102" i="16"/>
  <c r="D97" i="16"/>
  <c r="N103" i="10"/>
  <c r="N99" i="10"/>
  <c r="H96" i="10"/>
  <c r="M92" i="10"/>
  <c r="F89" i="10"/>
  <c r="L85" i="10"/>
  <c r="M107" i="11"/>
  <c r="M98" i="11"/>
  <c r="I97" i="11"/>
  <c r="E96" i="11"/>
  <c r="M94" i="11"/>
  <c r="I93" i="11"/>
  <c r="E92" i="11"/>
  <c r="M90" i="11"/>
  <c r="I89" i="11"/>
  <c r="E88" i="11"/>
  <c r="M86" i="11"/>
  <c r="I85" i="11"/>
  <c r="E84" i="11"/>
  <c r="H107" i="12"/>
  <c r="D106" i="12"/>
  <c r="L104" i="12"/>
  <c r="H103" i="12"/>
  <c r="D102" i="12"/>
  <c r="L98" i="12"/>
  <c r="H97" i="12"/>
  <c r="D96" i="12"/>
  <c r="L94" i="12"/>
  <c r="H93" i="12"/>
  <c r="D92" i="12"/>
  <c r="L90" i="12"/>
  <c r="H89" i="12"/>
  <c r="D88" i="12"/>
  <c r="L86" i="12"/>
  <c r="H85" i="12"/>
  <c r="D84" i="12"/>
  <c r="L82" i="12"/>
  <c r="D108" i="13"/>
  <c r="F107" i="13"/>
  <c r="G106" i="13"/>
  <c r="H105" i="13"/>
  <c r="J104" i="13"/>
  <c r="K103" i="13"/>
  <c r="C103" i="13"/>
  <c r="K99" i="13"/>
  <c r="C99" i="13"/>
  <c r="G98" i="13"/>
  <c r="K97" i="13"/>
  <c r="C97" i="13"/>
  <c r="G96" i="13"/>
  <c r="K95" i="13"/>
  <c r="C95" i="13"/>
  <c r="G94" i="13"/>
  <c r="K93" i="13"/>
  <c r="C93" i="13"/>
  <c r="G92" i="13"/>
  <c r="K91" i="13"/>
  <c r="C91" i="13"/>
  <c r="G90" i="13"/>
  <c r="K89" i="13"/>
  <c r="C89" i="13"/>
  <c r="G88" i="13"/>
  <c r="K87" i="13"/>
  <c r="C87" i="13"/>
  <c r="G86" i="13"/>
  <c r="K85" i="13"/>
  <c r="C85" i="13"/>
  <c r="G84" i="13"/>
  <c r="K83" i="13"/>
  <c r="C83" i="13"/>
  <c r="M107" i="15"/>
  <c r="E97" i="15"/>
  <c r="G119" i="16"/>
  <c r="H106" i="16"/>
  <c r="D101" i="16"/>
  <c r="N107" i="10"/>
  <c r="D99" i="10"/>
  <c r="I95" i="10"/>
  <c r="N91" i="10"/>
  <c r="H88" i="10"/>
  <c r="M84" i="10"/>
  <c r="E107" i="11"/>
  <c r="I104" i="11"/>
  <c r="M99" i="11"/>
  <c r="I98" i="11"/>
  <c r="E97" i="11"/>
  <c r="M95" i="11"/>
  <c r="I94" i="11"/>
  <c r="E93" i="11"/>
  <c r="M91" i="11"/>
  <c r="I90" i="11"/>
  <c r="E89" i="11"/>
  <c r="M87" i="11"/>
  <c r="I86" i="11"/>
  <c r="E85" i="11"/>
  <c r="M83" i="11"/>
  <c r="D107" i="12"/>
  <c r="L105" i="12"/>
  <c r="H104" i="12"/>
  <c r="D103" i="12"/>
  <c r="H98" i="12"/>
  <c r="D97" i="12"/>
  <c r="L95" i="12"/>
  <c r="H94" i="12"/>
  <c r="D93" i="12"/>
  <c r="L91" i="12"/>
  <c r="H90" i="12"/>
  <c r="D89" i="12"/>
  <c r="L87" i="12"/>
  <c r="H86" i="12"/>
  <c r="D85" i="12"/>
  <c r="L83" i="12"/>
  <c r="H82" i="12"/>
  <c r="L108" i="13"/>
  <c r="N107" i="13"/>
  <c r="C107" i="13"/>
  <c r="D106" i="13"/>
  <c r="F105" i="13"/>
  <c r="G104" i="13"/>
  <c r="I103" i="13"/>
  <c r="I99" i="13"/>
  <c r="M98" i="13"/>
  <c r="E98" i="13"/>
  <c r="I97" i="13"/>
  <c r="M96" i="13"/>
  <c r="E96" i="13"/>
  <c r="I95" i="13"/>
  <c r="M83" i="13"/>
  <c r="E85" i="13"/>
  <c r="I86" i="13"/>
  <c r="M87" i="13"/>
  <c r="E89" i="13"/>
  <c r="I90" i="13"/>
  <c r="M91" i="13"/>
  <c r="E93" i="13"/>
  <c r="I94" i="13"/>
  <c r="I96" i="13"/>
  <c r="E99" i="13"/>
  <c r="N103" i="13"/>
  <c r="H107" i="13"/>
  <c r="D83" i="12"/>
  <c r="H88" i="12"/>
  <c r="L93" i="12"/>
  <c r="L103" i="12"/>
  <c r="I84" i="11"/>
  <c r="M89" i="11"/>
  <c r="E95" i="11"/>
  <c r="M105" i="11"/>
  <c r="L93" i="10"/>
  <c r="F105" i="10"/>
  <c r="I102" i="15"/>
  <c r="E84" i="13"/>
  <c r="I85" i="13"/>
  <c r="M86" i="13"/>
  <c r="E88" i="13"/>
  <c r="I89" i="13"/>
  <c r="M90" i="13"/>
  <c r="E92" i="13"/>
  <c r="I93" i="13"/>
  <c r="M94" i="13"/>
  <c r="E97" i="13"/>
  <c r="M99" i="13"/>
  <c r="L104" i="13"/>
  <c r="G108" i="13"/>
  <c r="H84" i="12"/>
  <c r="L89" i="12"/>
  <c r="D95" i="12"/>
  <c r="D105" i="12"/>
  <c r="M85" i="11"/>
  <c r="E91" i="11"/>
  <c r="I96" i="11"/>
  <c r="I108" i="11"/>
  <c r="H83" i="10"/>
  <c r="F97" i="10"/>
  <c r="H98" i="16"/>
  <c r="K106" i="14"/>
  <c r="F21" i="16"/>
  <c r="P86" i="77" l="1"/>
  <c r="O86" i="77"/>
  <c r="P105" i="77"/>
  <c r="O105" i="77"/>
  <c r="P95" i="77"/>
  <c r="O95" i="77"/>
  <c r="O88" i="77"/>
  <c r="P88" i="77"/>
  <c r="P107" i="77"/>
  <c r="O107" i="77"/>
  <c r="O97" i="77"/>
  <c r="P97" i="77"/>
  <c r="M21" i="77"/>
  <c r="L21" i="77"/>
  <c r="G21" i="77"/>
  <c r="F21" i="77"/>
  <c r="P63" i="77"/>
  <c r="O63" i="77"/>
  <c r="P56" i="77"/>
  <c r="O56" i="77"/>
  <c r="O49" i="77"/>
  <c r="P49" i="77"/>
  <c r="P68" i="77"/>
  <c r="O68" i="77"/>
  <c r="O58" i="77"/>
  <c r="P58" i="77"/>
  <c r="O90" i="77"/>
  <c r="P90" i="77"/>
  <c r="O83" i="77"/>
  <c r="P83" i="77"/>
  <c r="O99" i="77"/>
  <c r="P99" i="77"/>
  <c r="P92" i="77"/>
  <c r="O92" i="77"/>
  <c r="O85" i="77"/>
  <c r="P85" i="77"/>
  <c r="O104" i="77"/>
  <c r="P104" i="77"/>
  <c r="P51" i="77"/>
  <c r="O51" i="77"/>
  <c r="O70" i="77"/>
  <c r="P70" i="77"/>
  <c r="P60" i="77"/>
  <c r="O60" i="77"/>
  <c r="P53" i="77"/>
  <c r="O53" i="77"/>
  <c r="O72" i="77"/>
  <c r="P72" i="77"/>
  <c r="O62" i="77"/>
  <c r="P62" i="77"/>
  <c r="O94" i="77"/>
  <c r="P94" i="77"/>
  <c r="O87" i="77"/>
  <c r="P87" i="77"/>
  <c r="P106" i="77"/>
  <c r="O106" i="77"/>
  <c r="P96" i="77"/>
  <c r="O96" i="77"/>
  <c r="O89" i="77"/>
  <c r="P89" i="77"/>
  <c r="O108" i="77"/>
  <c r="P108" i="77"/>
  <c r="K21" i="77"/>
  <c r="J21" i="77"/>
  <c r="I21" i="77"/>
  <c r="H21" i="77"/>
  <c r="O55" i="77"/>
  <c r="P55" i="77"/>
  <c r="O48" i="77"/>
  <c r="P48" i="77"/>
  <c r="P64" i="77"/>
  <c r="O64" i="77"/>
  <c r="C21" i="77"/>
  <c r="O57" i="77"/>
  <c r="P57" i="77"/>
  <c r="O50" i="77"/>
  <c r="P50" i="77"/>
  <c r="P69" i="77"/>
  <c r="O69" i="77"/>
  <c r="P98" i="77"/>
  <c r="O98" i="77"/>
  <c r="O91" i="77"/>
  <c r="P91" i="77"/>
  <c r="P84" i="77"/>
  <c r="O84" i="77"/>
  <c r="P103" i="77"/>
  <c r="O103" i="77"/>
  <c r="O93" i="77"/>
  <c r="P93" i="77"/>
  <c r="N21" i="77"/>
  <c r="E21" i="77"/>
  <c r="D21" i="77"/>
  <c r="O59" i="77"/>
  <c r="P59" i="77"/>
  <c r="P52" i="77"/>
  <c r="O52" i="77"/>
  <c r="P71" i="77"/>
  <c r="O71" i="77"/>
  <c r="P61" i="77"/>
  <c r="O61" i="77"/>
  <c r="P54" i="77"/>
  <c r="O54" i="77"/>
  <c r="O73" i="77"/>
  <c r="P73" i="77"/>
  <c r="O63" i="10"/>
  <c r="P63" i="10" s="1"/>
  <c r="O51" i="10"/>
  <c r="O62" i="10"/>
  <c r="O72" i="12"/>
  <c r="I21" i="15"/>
  <c r="F21" i="15"/>
  <c r="G21" i="15"/>
  <c r="D21" i="15"/>
  <c r="H21" i="15"/>
  <c r="N21" i="15"/>
  <c r="L21" i="15"/>
  <c r="L21" i="16"/>
  <c r="I21" i="16"/>
  <c r="C21" i="16"/>
  <c r="K21" i="16"/>
  <c r="J21" i="16"/>
  <c r="O72" i="13"/>
  <c r="P72" i="13" s="1"/>
  <c r="O107" i="13"/>
  <c r="P107" i="13" s="1"/>
  <c r="O108" i="13"/>
  <c r="P108" i="13" s="1"/>
  <c r="C162" i="68" s="1"/>
  <c r="O71" i="13"/>
  <c r="P71" i="13" s="1"/>
  <c r="B138" i="68" s="1"/>
  <c r="O106" i="13"/>
  <c r="P106" i="13" s="1"/>
  <c r="C138" i="68" s="1"/>
  <c r="O106" i="12"/>
  <c r="O70" i="12"/>
  <c r="P72" i="12"/>
  <c r="B161" i="68" s="1"/>
  <c r="O51" i="11"/>
  <c r="P62" i="11"/>
  <c r="B98" i="68" s="1"/>
  <c r="P53" i="11"/>
  <c r="B44" i="68" s="1"/>
  <c r="P57" i="11"/>
  <c r="B68" i="68" s="1"/>
  <c r="P52" i="11"/>
  <c r="B38" i="68" s="1"/>
  <c r="P56" i="11"/>
  <c r="B62" i="68" s="1"/>
  <c r="P60" i="11"/>
  <c r="B86" i="68" s="1"/>
  <c r="P58" i="11"/>
  <c r="B74" i="68" s="1"/>
  <c r="P61" i="11"/>
  <c r="B92" i="68" s="1"/>
  <c r="P51" i="11"/>
  <c r="B32" i="68" s="1"/>
  <c r="P59" i="11"/>
  <c r="B80" i="68" s="1"/>
  <c r="O55" i="11"/>
  <c r="O71" i="11"/>
  <c r="O106" i="11"/>
  <c r="P48" i="11"/>
  <c r="B14" i="68" s="1"/>
  <c r="O58" i="11"/>
  <c r="O53" i="11"/>
  <c r="O87" i="11"/>
  <c r="O95" i="11"/>
  <c r="O105" i="11"/>
  <c r="O86" i="11"/>
  <c r="O104" i="11"/>
  <c r="P88" i="11"/>
  <c r="C44" i="68" s="1"/>
  <c r="P96" i="11"/>
  <c r="C92" i="68" s="1"/>
  <c r="P91" i="11"/>
  <c r="C62" i="68" s="1"/>
  <c r="P86" i="11"/>
  <c r="C32" i="68" s="1"/>
  <c r="P94" i="11"/>
  <c r="C80" i="68" s="1"/>
  <c r="P97" i="11"/>
  <c r="C98" i="68" s="1"/>
  <c r="P92" i="11"/>
  <c r="C68" i="68" s="1"/>
  <c r="P87" i="11"/>
  <c r="C38" i="68" s="1"/>
  <c r="P95" i="11"/>
  <c r="C86" i="68" s="1"/>
  <c r="O98" i="11"/>
  <c r="P93" i="11"/>
  <c r="C74" i="68" s="1"/>
  <c r="O91" i="10"/>
  <c r="O107" i="10"/>
  <c r="P107" i="10" s="1"/>
  <c r="O83" i="11"/>
  <c r="O62" i="11"/>
  <c r="O56" i="11"/>
  <c r="O91" i="11"/>
  <c r="O108" i="11"/>
  <c r="O90" i="11"/>
  <c r="O70" i="11"/>
  <c r="O68" i="11"/>
  <c r="O72" i="11"/>
  <c r="P84" i="11"/>
  <c r="C20" i="68" s="1"/>
  <c r="O107" i="11"/>
  <c r="O84" i="11"/>
  <c r="O60" i="11"/>
  <c r="O99" i="11"/>
  <c r="P103" i="11"/>
  <c r="C118" i="68" s="1"/>
  <c r="O49" i="11"/>
  <c r="O64" i="11"/>
  <c r="O63" i="11"/>
  <c r="O68" i="10"/>
  <c r="O52" i="10"/>
  <c r="O59" i="10"/>
  <c r="O48" i="10"/>
  <c r="O108" i="10"/>
  <c r="O61" i="10"/>
  <c r="O73" i="10"/>
  <c r="O55" i="10"/>
  <c r="O60" i="10"/>
  <c r="O58" i="10"/>
  <c r="O57" i="10"/>
  <c r="O56" i="10"/>
  <c r="O53" i="10"/>
  <c r="O103" i="10"/>
  <c r="O85" i="10"/>
  <c r="O89" i="10"/>
  <c r="O93" i="10"/>
  <c r="O97" i="10"/>
  <c r="O49" i="10"/>
  <c r="O54" i="10"/>
  <c r="O64" i="10"/>
  <c r="O69" i="10"/>
  <c r="O72" i="10"/>
  <c r="P72" i="10" s="1"/>
  <c r="O50" i="10"/>
  <c r="O71" i="10"/>
  <c r="O99" i="10"/>
  <c r="O87" i="10"/>
  <c r="O92" i="10"/>
  <c r="O83" i="10"/>
  <c r="O84" i="10"/>
  <c r="O95" i="10"/>
  <c r="O105" i="10"/>
  <c r="P105" i="10" s="1"/>
  <c r="O88" i="10"/>
  <c r="O96" i="10"/>
  <c r="O90" i="10"/>
  <c r="O86" i="10"/>
  <c r="O94" i="10"/>
  <c r="P71" i="11"/>
  <c r="B136" i="68" s="1"/>
  <c r="O57" i="11"/>
  <c r="P70" i="12"/>
  <c r="B137" i="68" s="1"/>
  <c r="P55" i="11"/>
  <c r="B56" i="68" s="1"/>
  <c r="P64" i="11"/>
  <c r="B110" i="68" s="1"/>
  <c r="P70" i="11"/>
  <c r="P71" i="12"/>
  <c r="P50" i="11"/>
  <c r="B26" i="68" s="1"/>
  <c r="O73" i="13"/>
  <c r="P73" i="13" s="1"/>
  <c r="B162" i="68" s="1"/>
  <c r="P63" i="11"/>
  <c r="B104" i="68" s="1"/>
  <c r="P73" i="11"/>
  <c r="B160" i="68" s="1"/>
  <c r="P54" i="11"/>
  <c r="B50" i="68" s="1"/>
  <c r="O70" i="10"/>
  <c r="P70" i="10" s="1"/>
  <c r="P69" i="11"/>
  <c r="B124" i="68" s="1"/>
  <c r="E21" i="15"/>
  <c r="C21" i="15"/>
  <c r="M21" i="16"/>
  <c r="P49" i="11"/>
  <c r="B20" i="68" s="1"/>
  <c r="P68" i="11"/>
  <c r="B118" i="68" s="1"/>
  <c r="P72" i="11"/>
  <c r="P85" i="11"/>
  <c r="C26" i="68" s="1"/>
  <c r="P105" i="12"/>
  <c r="C137" i="68" s="1"/>
  <c r="O104" i="10"/>
  <c r="O94" i="11"/>
  <c r="O97" i="11"/>
  <c r="O103" i="11"/>
  <c r="O85" i="11"/>
  <c r="P106" i="12"/>
  <c r="P90" i="11"/>
  <c r="C56" i="68" s="1"/>
  <c r="P98" i="11"/>
  <c r="C104" i="68" s="1"/>
  <c r="P108" i="11"/>
  <c r="C160" i="68" s="1"/>
  <c r="P83" i="11"/>
  <c r="C14" i="68" s="1"/>
  <c r="P99" i="11"/>
  <c r="C110" i="68" s="1"/>
  <c r="J21" i="15"/>
  <c r="P106" i="11"/>
  <c r="C136" i="68" s="1"/>
  <c r="P89" i="11"/>
  <c r="C50" i="68" s="1"/>
  <c r="P107" i="11"/>
  <c r="P107" i="12"/>
  <c r="C161" i="68" s="1"/>
  <c r="O106" i="10"/>
  <c r="O92" i="11"/>
  <c r="O93" i="11"/>
  <c r="P104" i="11"/>
  <c r="C124" i="68" s="1"/>
  <c r="P105" i="11"/>
  <c r="G21" i="16"/>
  <c r="K21" i="15"/>
  <c r="E21" i="16"/>
  <c r="M21" i="15"/>
  <c r="O54" i="11"/>
  <c r="O73" i="11"/>
  <c r="O50" i="11"/>
  <c r="O71" i="12"/>
  <c r="O61" i="11"/>
  <c r="O52" i="11"/>
  <c r="H21" i="16"/>
  <c r="O69" i="11"/>
  <c r="O59" i="11"/>
  <c r="N21" i="16"/>
  <c r="O48" i="11"/>
  <c r="O88" i="11"/>
  <c r="O89" i="11"/>
  <c r="O96" i="11"/>
  <c r="O98" i="10"/>
  <c r="O105" i="12"/>
  <c r="O107" i="12"/>
  <c r="B103" i="68" l="1"/>
  <c r="P21" i="77"/>
  <c r="O21" i="77"/>
  <c r="P84" i="10"/>
  <c r="C19" i="68"/>
  <c r="P49" i="10"/>
  <c r="B19" i="68"/>
  <c r="P57" i="10"/>
  <c r="B67" i="68"/>
  <c r="P51" i="10"/>
  <c r="B31" i="68"/>
  <c r="P97" i="10"/>
  <c r="C97" i="68"/>
  <c r="P103" i="10"/>
  <c r="C117" i="68"/>
  <c r="P58" i="10"/>
  <c r="B73" i="68"/>
  <c r="P104" i="10"/>
  <c r="C123" i="68"/>
  <c r="P71" i="10"/>
  <c r="B135" i="68"/>
  <c r="P98" i="10"/>
  <c r="C103" i="68"/>
  <c r="P90" i="10"/>
  <c r="C55" i="68"/>
  <c r="P95" i="10"/>
  <c r="C85" i="68"/>
  <c r="P87" i="10"/>
  <c r="C37" i="68"/>
  <c r="P50" i="10"/>
  <c r="B25" i="68"/>
  <c r="P54" i="10"/>
  <c r="B49" i="68"/>
  <c r="P89" i="10"/>
  <c r="C49" i="68"/>
  <c r="P56" i="10"/>
  <c r="B61" i="68"/>
  <c r="P55" i="10"/>
  <c r="B55" i="68"/>
  <c r="P108" i="10"/>
  <c r="C159" i="68"/>
  <c r="P59" i="10"/>
  <c r="B79" i="68"/>
  <c r="P62" i="10"/>
  <c r="B97" i="68"/>
  <c r="P96" i="10"/>
  <c r="C91" i="68"/>
  <c r="P99" i="10"/>
  <c r="C109" i="68"/>
  <c r="P85" i="10"/>
  <c r="C25" i="68"/>
  <c r="P73" i="10"/>
  <c r="B159" i="68"/>
  <c r="P48" i="10"/>
  <c r="B13" i="68"/>
  <c r="P52" i="10"/>
  <c r="B37" i="68"/>
  <c r="P106" i="10"/>
  <c r="C135" i="68"/>
  <c r="P94" i="10"/>
  <c r="C79" i="68"/>
  <c r="P88" i="10"/>
  <c r="C43" i="68"/>
  <c r="P83" i="10"/>
  <c r="C13" i="68"/>
  <c r="P69" i="10"/>
  <c r="B123" i="68"/>
  <c r="P86" i="10"/>
  <c r="C31" i="68"/>
  <c r="P92" i="10"/>
  <c r="C67" i="68"/>
  <c r="P64" i="10"/>
  <c r="B109" i="68"/>
  <c r="P93" i="10"/>
  <c r="C73" i="68"/>
  <c r="P53" i="10"/>
  <c r="B43" i="68"/>
  <c r="P60" i="10"/>
  <c r="B85" i="68"/>
  <c r="P61" i="10"/>
  <c r="B91" i="68"/>
  <c r="P68" i="10"/>
  <c r="B117" i="68"/>
  <c r="P91" i="10"/>
  <c r="C61" i="68"/>
  <c r="B173" i="68"/>
  <c r="B180" i="68" s="1"/>
  <c r="C173" i="68"/>
  <c r="C180" i="68" s="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23" i="21"/>
  <c r="A1124" i="21"/>
  <c r="A1125" i="21"/>
  <c r="A1126" i="21"/>
  <c r="A1127" i="21"/>
  <c r="A1128" i="21"/>
  <c r="A1129"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46" i="21"/>
  <c r="C144" i="77" l="1"/>
  <c r="C140" i="77"/>
  <c r="C133" i="77"/>
  <c r="C129" i="77"/>
  <c r="C124" i="77"/>
  <c r="C120" i="77"/>
  <c r="C143" i="77"/>
  <c r="C139" i="77"/>
  <c r="C132" i="77"/>
  <c r="C128" i="77"/>
  <c r="C123" i="77"/>
  <c r="C119" i="77"/>
  <c r="C142" i="77"/>
  <c r="C138" i="77"/>
  <c r="C131" i="77"/>
  <c r="C126" i="77"/>
  <c r="C122" i="77"/>
  <c r="C118" i="77"/>
  <c r="C141" i="77"/>
  <c r="C134" i="77"/>
  <c r="C130" i="77"/>
  <c r="C125" i="77"/>
  <c r="C121" i="77"/>
  <c r="D120" i="77"/>
  <c r="D14" i="77" s="1"/>
  <c r="D142" i="77"/>
  <c r="D36" i="77" s="1"/>
  <c r="D138" i="77"/>
  <c r="D32" i="77" s="1"/>
  <c r="D131" i="77"/>
  <c r="D25" i="77" s="1"/>
  <c r="D126" i="77"/>
  <c r="D20" i="77" s="1"/>
  <c r="D122" i="77"/>
  <c r="D16" i="77" s="1"/>
  <c r="D118" i="77"/>
  <c r="D12" i="77" s="1"/>
  <c r="D141" i="77"/>
  <c r="D35" i="77" s="1"/>
  <c r="D134" i="77"/>
  <c r="D28" i="77" s="1"/>
  <c r="D130" i="77"/>
  <c r="D24" i="77" s="1"/>
  <c r="D125" i="77"/>
  <c r="D19" i="77" s="1"/>
  <c r="D121" i="77"/>
  <c r="D15" i="77" s="1"/>
  <c r="D144" i="77"/>
  <c r="D38" i="77" s="1"/>
  <c r="D140" i="77"/>
  <c r="D34" i="77" s="1"/>
  <c r="D133" i="77"/>
  <c r="D27" i="77" s="1"/>
  <c r="D129" i="77"/>
  <c r="D23" i="77" s="1"/>
  <c r="D124" i="77"/>
  <c r="D18" i="77" s="1"/>
  <c r="D119" i="77"/>
  <c r="D13" i="77" s="1"/>
  <c r="D143" i="77"/>
  <c r="D37" i="77" s="1"/>
  <c r="D139" i="77"/>
  <c r="D33" i="77" s="1"/>
  <c r="D132" i="77"/>
  <c r="D26" i="77" s="1"/>
  <c r="D128" i="77"/>
  <c r="D22" i="77" s="1"/>
  <c r="D123" i="77"/>
  <c r="D17" i="77" s="1"/>
  <c r="E144" i="77"/>
  <c r="E38" i="77" s="1"/>
  <c r="E140" i="77"/>
  <c r="E34" i="77" s="1"/>
  <c r="E133" i="77"/>
  <c r="E27" i="77" s="1"/>
  <c r="E129" i="77"/>
  <c r="E23" i="77" s="1"/>
  <c r="E124" i="77"/>
  <c r="E18" i="77" s="1"/>
  <c r="E119" i="77"/>
  <c r="E13" i="77" s="1"/>
  <c r="E143" i="77"/>
  <c r="E37" i="77" s="1"/>
  <c r="E139" i="77"/>
  <c r="E33" i="77" s="1"/>
  <c r="E132" i="77"/>
  <c r="E26" i="77" s="1"/>
  <c r="E128" i="77"/>
  <c r="E22" i="77" s="1"/>
  <c r="E123" i="77"/>
  <c r="E17" i="77" s="1"/>
  <c r="E120" i="77"/>
  <c r="E14" i="77" s="1"/>
  <c r="E142" i="77"/>
  <c r="E36" i="77" s="1"/>
  <c r="E138" i="77"/>
  <c r="E32" i="77" s="1"/>
  <c r="E131" i="77"/>
  <c r="E25" i="77" s="1"/>
  <c r="E126" i="77"/>
  <c r="E20" i="77" s="1"/>
  <c r="E122" i="77"/>
  <c r="E16" i="77" s="1"/>
  <c r="E118" i="77"/>
  <c r="E12" i="77" s="1"/>
  <c r="E141" i="77"/>
  <c r="E35" i="77" s="1"/>
  <c r="E134" i="77"/>
  <c r="E28" i="77" s="1"/>
  <c r="E130" i="77"/>
  <c r="E24" i="77" s="1"/>
  <c r="E125" i="77"/>
  <c r="E19" i="77" s="1"/>
  <c r="E121" i="77"/>
  <c r="E15" i="77" s="1"/>
  <c r="F141" i="77"/>
  <c r="F35" i="77" s="1"/>
  <c r="F134" i="77"/>
  <c r="F28" i="77" s="1"/>
  <c r="F130" i="77"/>
  <c r="F24" i="77" s="1"/>
  <c r="F125" i="77"/>
  <c r="F19" i="77" s="1"/>
  <c r="F121" i="77"/>
  <c r="F15" i="77" s="1"/>
  <c r="F144" i="77"/>
  <c r="F38" i="77" s="1"/>
  <c r="F140" i="77"/>
  <c r="F34" i="77" s="1"/>
  <c r="F133" i="77"/>
  <c r="F27" i="77" s="1"/>
  <c r="F129" i="77"/>
  <c r="F23" i="77" s="1"/>
  <c r="F124" i="77"/>
  <c r="F18" i="77" s="1"/>
  <c r="F119" i="77"/>
  <c r="F13" i="77" s="1"/>
  <c r="F143" i="77"/>
  <c r="F37" i="77" s="1"/>
  <c r="F139" i="77"/>
  <c r="F33" i="77" s="1"/>
  <c r="F132" i="77"/>
  <c r="F26" i="77" s="1"/>
  <c r="F128" i="77"/>
  <c r="F22" i="77" s="1"/>
  <c r="F123" i="77"/>
  <c r="F17" i="77" s="1"/>
  <c r="F120" i="77"/>
  <c r="F14" i="77" s="1"/>
  <c r="F142" i="77"/>
  <c r="F36" i="77" s="1"/>
  <c r="F138" i="77"/>
  <c r="F32" i="77" s="1"/>
  <c r="F131" i="77"/>
  <c r="F25" i="77" s="1"/>
  <c r="F126" i="77"/>
  <c r="F20" i="77" s="1"/>
  <c r="F122" i="77"/>
  <c r="F16" i="77" s="1"/>
  <c r="F118" i="77"/>
  <c r="F12" i="77" s="1"/>
  <c r="G142" i="77"/>
  <c r="G36" i="77" s="1"/>
  <c r="G138" i="77"/>
  <c r="G32" i="77" s="1"/>
  <c r="G131" i="77"/>
  <c r="G25" i="77" s="1"/>
  <c r="G126" i="77"/>
  <c r="G20" i="77" s="1"/>
  <c r="G122" i="77"/>
  <c r="G16" i="77" s="1"/>
  <c r="G118" i="77"/>
  <c r="G12" i="77" s="1"/>
  <c r="G141" i="77"/>
  <c r="G35" i="77" s="1"/>
  <c r="G134" i="77"/>
  <c r="G28" i="77" s="1"/>
  <c r="G130" i="77"/>
  <c r="G24" i="77" s="1"/>
  <c r="G125" i="77"/>
  <c r="G19" i="77" s="1"/>
  <c r="G121" i="77"/>
  <c r="G15" i="77" s="1"/>
  <c r="G144" i="77"/>
  <c r="G38" i="77" s="1"/>
  <c r="G140" i="77"/>
  <c r="G34" i="77" s="1"/>
  <c r="G133" i="77"/>
  <c r="G27" i="77" s="1"/>
  <c r="G129" i="77"/>
  <c r="G23" i="77" s="1"/>
  <c r="G124" i="77"/>
  <c r="G18" i="77" s="1"/>
  <c r="G120" i="77"/>
  <c r="G14" i="77" s="1"/>
  <c r="G143" i="77"/>
  <c r="G37" i="77" s="1"/>
  <c r="G139" i="77"/>
  <c r="G33" i="77" s="1"/>
  <c r="G132" i="77"/>
  <c r="G26" i="77" s="1"/>
  <c r="G128" i="77"/>
  <c r="G22" i="77" s="1"/>
  <c r="G123" i="77"/>
  <c r="G17" i="77" s="1"/>
  <c r="G119" i="77"/>
  <c r="G13" i="77" s="1"/>
  <c r="H143" i="77"/>
  <c r="H37" i="77" s="1"/>
  <c r="H139" i="77"/>
  <c r="H33" i="77" s="1"/>
  <c r="H132" i="77"/>
  <c r="H26" i="77" s="1"/>
  <c r="H128" i="77"/>
  <c r="H22" i="77" s="1"/>
  <c r="H123" i="77"/>
  <c r="H17" i="77" s="1"/>
  <c r="H118" i="77"/>
  <c r="H12" i="77" s="1"/>
  <c r="H142" i="77"/>
  <c r="H36" i="77" s="1"/>
  <c r="H138" i="77"/>
  <c r="H32" i="77" s="1"/>
  <c r="H131" i="77"/>
  <c r="H25" i="77" s="1"/>
  <c r="H126" i="77"/>
  <c r="H20" i="77" s="1"/>
  <c r="H122" i="77"/>
  <c r="H16" i="77" s="1"/>
  <c r="H119" i="77"/>
  <c r="H13" i="77" s="1"/>
  <c r="H141" i="77"/>
  <c r="H35" i="77" s="1"/>
  <c r="H134" i="77"/>
  <c r="H28" i="77" s="1"/>
  <c r="H130" i="77"/>
  <c r="H24" i="77" s="1"/>
  <c r="H125" i="77"/>
  <c r="H19" i="77" s="1"/>
  <c r="H121" i="77"/>
  <c r="H15" i="77" s="1"/>
  <c r="H144" i="77"/>
  <c r="H38" i="77" s="1"/>
  <c r="H140" i="77"/>
  <c r="H34" i="77" s="1"/>
  <c r="H133" i="77"/>
  <c r="H27" i="77" s="1"/>
  <c r="H129" i="77"/>
  <c r="H23" i="77" s="1"/>
  <c r="H124" i="77"/>
  <c r="H18" i="77" s="1"/>
  <c r="H120" i="77"/>
  <c r="H14" i="77" s="1"/>
  <c r="I142" i="77"/>
  <c r="I36" i="77" s="1"/>
  <c r="I138" i="77"/>
  <c r="I32" i="77" s="1"/>
  <c r="I131" i="77"/>
  <c r="I25" i="77" s="1"/>
  <c r="I126" i="77"/>
  <c r="I20" i="77" s="1"/>
  <c r="I122" i="77"/>
  <c r="I16" i="77" s="1"/>
  <c r="I119" i="77"/>
  <c r="I13" i="77" s="1"/>
  <c r="I141" i="77"/>
  <c r="I35" i="77" s="1"/>
  <c r="I134" i="77"/>
  <c r="I28" i="77" s="1"/>
  <c r="I130" i="77"/>
  <c r="I24" i="77" s="1"/>
  <c r="I125" i="77"/>
  <c r="I19" i="77" s="1"/>
  <c r="I121" i="77"/>
  <c r="I15" i="77" s="1"/>
  <c r="I144" i="77"/>
  <c r="I38" i="77" s="1"/>
  <c r="I140" i="77"/>
  <c r="I34" i="77" s="1"/>
  <c r="I133" i="77"/>
  <c r="I27" i="77" s="1"/>
  <c r="I129" i="77"/>
  <c r="I23" i="77" s="1"/>
  <c r="I124" i="77"/>
  <c r="I18" i="77" s="1"/>
  <c r="I120" i="77"/>
  <c r="I14" i="77" s="1"/>
  <c r="I143" i="77"/>
  <c r="I37" i="77" s="1"/>
  <c r="I139" i="77"/>
  <c r="I33" i="77" s="1"/>
  <c r="I132" i="77"/>
  <c r="I26" i="77" s="1"/>
  <c r="I128" i="77"/>
  <c r="I22" i="77" s="1"/>
  <c r="I123" i="77"/>
  <c r="I17" i="77" s="1"/>
  <c r="I118" i="77"/>
  <c r="I12" i="77" s="1"/>
  <c r="J144" i="77"/>
  <c r="J38" i="77" s="1"/>
  <c r="J140" i="77"/>
  <c r="J34" i="77" s="1"/>
  <c r="J133" i="77"/>
  <c r="J27" i="77" s="1"/>
  <c r="J129" i="77"/>
  <c r="J23" i="77" s="1"/>
  <c r="J124" i="77"/>
  <c r="J18" i="77" s="1"/>
  <c r="J119" i="77"/>
  <c r="J13" i="77" s="1"/>
  <c r="D147" i="14"/>
  <c r="L147" i="14"/>
  <c r="J143" i="77"/>
  <c r="J37" i="77" s="1"/>
  <c r="J139" i="77"/>
  <c r="J33" i="77" s="1"/>
  <c r="J132" i="77"/>
  <c r="J26" i="77" s="1"/>
  <c r="J128" i="77"/>
  <c r="J22" i="77" s="1"/>
  <c r="J123" i="77"/>
  <c r="J17" i="77" s="1"/>
  <c r="J120" i="77"/>
  <c r="J14" i="77" s="1"/>
  <c r="M147" i="14"/>
  <c r="J142" i="77"/>
  <c r="J36" i="77" s="1"/>
  <c r="J138" i="77"/>
  <c r="J32" i="77" s="1"/>
  <c r="J131" i="77"/>
  <c r="J25" i="77" s="1"/>
  <c r="J126" i="77"/>
  <c r="J20" i="77" s="1"/>
  <c r="J122" i="77"/>
  <c r="J16" i="77" s="1"/>
  <c r="J118" i="77"/>
  <c r="J12" i="77" s="1"/>
  <c r="F147" i="14"/>
  <c r="J147" i="14"/>
  <c r="N147" i="14"/>
  <c r="I147" i="14"/>
  <c r="J141" i="77"/>
  <c r="J35" i="77" s="1"/>
  <c r="J134" i="77"/>
  <c r="J28" i="77" s="1"/>
  <c r="J130" i="77"/>
  <c r="J24" i="77" s="1"/>
  <c r="J125" i="77"/>
  <c r="J19" i="77" s="1"/>
  <c r="J121" i="77"/>
  <c r="J15" i="77" s="1"/>
  <c r="C147" i="14"/>
  <c r="G147" i="14"/>
  <c r="K147" i="14"/>
  <c r="C127" i="11"/>
  <c r="H147" i="14"/>
  <c r="C127" i="10"/>
  <c r="E147" i="14"/>
  <c r="K144" i="77"/>
  <c r="K38" i="77" s="1"/>
  <c r="K140" i="77"/>
  <c r="K34" i="77" s="1"/>
  <c r="K133" i="77"/>
  <c r="K27" i="77" s="1"/>
  <c r="K129" i="77"/>
  <c r="K23" i="77" s="1"/>
  <c r="K124" i="77"/>
  <c r="K18" i="77" s="1"/>
  <c r="K120" i="77"/>
  <c r="K14" i="77" s="1"/>
  <c r="K134" i="77"/>
  <c r="K28" i="77" s="1"/>
  <c r="K125" i="77"/>
  <c r="K19" i="77" s="1"/>
  <c r="K121" i="77"/>
  <c r="K15" i="77" s="1"/>
  <c r="K143" i="77"/>
  <c r="K37" i="77" s="1"/>
  <c r="K139" i="77"/>
  <c r="K33" i="77" s="1"/>
  <c r="K132" i="77"/>
  <c r="K26" i="77" s="1"/>
  <c r="K128" i="77"/>
  <c r="K22" i="77" s="1"/>
  <c r="K123" i="77"/>
  <c r="K17" i="77" s="1"/>
  <c r="K119" i="77"/>
  <c r="K13" i="77" s="1"/>
  <c r="K141" i="77"/>
  <c r="K35" i="77" s="1"/>
  <c r="K130" i="77"/>
  <c r="K24" i="77" s="1"/>
  <c r="K142" i="77"/>
  <c r="K36" i="77" s="1"/>
  <c r="K138" i="77"/>
  <c r="K32" i="77" s="1"/>
  <c r="K131" i="77"/>
  <c r="K25" i="77" s="1"/>
  <c r="K126" i="77"/>
  <c r="K20" i="77" s="1"/>
  <c r="K122" i="77"/>
  <c r="K16" i="77" s="1"/>
  <c r="K118" i="77"/>
  <c r="K12" i="77" s="1"/>
  <c r="L142" i="77"/>
  <c r="L36" i="77" s="1"/>
  <c r="L138" i="77"/>
  <c r="L32" i="77" s="1"/>
  <c r="L131" i="77"/>
  <c r="L25" i="77" s="1"/>
  <c r="L126" i="77"/>
  <c r="L20" i="77" s="1"/>
  <c r="L122" i="77"/>
  <c r="L16" i="77" s="1"/>
  <c r="L118" i="77"/>
  <c r="L12" i="77" s="1"/>
  <c r="L144" i="77"/>
  <c r="L38" i="77" s="1"/>
  <c r="L129" i="77"/>
  <c r="L23" i="77" s="1"/>
  <c r="L119" i="77"/>
  <c r="L13" i="77" s="1"/>
  <c r="L139" i="77"/>
  <c r="L33" i="77" s="1"/>
  <c r="L123" i="77"/>
  <c r="L17" i="77" s="1"/>
  <c r="L141" i="77"/>
  <c r="L35" i="77" s="1"/>
  <c r="L134" i="77"/>
  <c r="L28" i="77" s="1"/>
  <c r="L130" i="77"/>
  <c r="L24" i="77" s="1"/>
  <c r="L125" i="77"/>
  <c r="L19" i="77" s="1"/>
  <c r="L121" i="77"/>
  <c r="L15" i="77" s="1"/>
  <c r="L140" i="77"/>
  <c r="L34" i="77" s="1"/>
  <c r="L124" i="77"/>
  <c r="L18" i="77" s="1"/>
  <c r="L143" i="77"/>
  <c r="L37" i="77" s="1"/>
  <c r="L132" i="77"/>
  <c r="L26" i="77" s="1"/>
  <c r="L120" i="77"/>
  <c r="L14" i="77" s="1"/>
  <c r="L133" i="77"/>
  <c r="L27" i="77" s="1"/>
  <c r="L128" i="77"/>
  <c r="L22" i="77" s="1"/>
  <c r="M143" i="77"/>
  <c r="M37" i="77" s="1"/>
  <c r="M139" i="77"/>
  <c r="M33" i="77" s="1"/>
  <c r="M132" i="77"/>
  <c r="M26" i="77" s="1"/>
  <c r="M128" i="77"/>
  <c r="M22" i="77" s="1"/>
  <c r="M123" i="77"/>
  <c r="M17" i="77" s="1"/>
  <c r="M118" i="77"/>
  <c r="M12" i="77" s="1"/>
  <c r="M140" i="77"/>
  <c r="M34" i="77" s="1"/>
  <c r="M124" i="77"/>
  <c r="M18" i="77" s="1"/>
  <c r="M142" i="77"/>
  <c r="M36" i="77" s="1"/>
  <c r="M138" i="77"/>
  <c r="M32" i="77" s="1"/>
  <c r="M131" i="77"/>
  <c r="M25" i="77" s="1"/>
  <c r="M126" i="77"/>
  <c r="M20" i="77" s="1"/>
  <c r="M122" i="77"/>
  <c r="M16" i="77" s="1"/>
  <c r="M119" i="77"/>
  <c r="M13" i="77" s="1"/>
  <c r="M129" i="77"/>
  <c r="M23" i="77" s="1"/>
  <c r="M141" i="77"/>
  <c r="M35" i="77" s="1"/>
  <c r="M134" i="77"/>
  <c r="M28" i="77" s="1"/>
  <c r="M130" i="77"/>
  <c r="M24" i="77" s="1"/>
  <c r="M125" i="77"/>
  <c r="M19" i="77" s="1"/>
  <c r="M121" i="77"/>
  <c r="M15" i="77" s="1"/>
  <c r="M144" i="77"/>
  <c r="M38" i="77" s="1"/>
  <c r="M120" i="77"/>
  <c r="M14" i="77" s="1"/>
  <c r="M133" i="77"/>
  <c r="M27" i="77" s="1"/>
  <c r="N143" i="77"/>
  <c r="N37" i="77" s="1"/>
  <c r="N139" i="77"/>
  <c r="N33" i="77" s="1"/>
  <c r="N132" i="77"/>
  <c r="N26" i="77" s="1"/>
  <c r="N128" i="77"/>
  <c r="N22" i="77" s="1"/>
  <c r="N123" i="77"/>
  <c r="N17" i="77" s="1"/>
  <c r="N118" i="77"/>
  <c r="N12" i="77" s="1"/>
  <c r="N142" i="77"/>
  <c r="N36" i="77" s="1"/>
  <c r="N138" i="77"/>
  <c r="N32" i="77" s="1"/>
  <c r="N131" i="77"/>
  <c r="N25" i="77" s="1"/>
  <c r="N126" i="77"/>
  <c r="N20" i="77" s="1"/>
  <c r="N122" i="77"/>
  <c r="N16" i="77" s="1"/>
  <c r="N119" i="77"/>
  <c r="N13" i="77" s="1"/>
  <c r="N141" i="77"/>
  <c r="N35" i="77" s="1"/>
  <c r="N134" i="77"/>
  <c r="N28" i="77" s="1"/>
  <c r="N130" i="77"/>
  <c r="N24" i="77" s="1"/>
  <c r="N125" i="77"/>
  <c r="N19" i="77" s="1"/>
  <c r="N121" i="77"/>
  <c r="N15" i="77" s="1"/>
  <c r="N144" i="77"/>
  <c r="N38" i="77" s="1"/>
  <c r="N140" i="77"/>
  <c r="N34" i="77" s="1"/>
  <c r="N133" i="77"/>
  <c r="N27" i="77" s="1"/>
  <c r="N129" i="77"/>
  <c r="N23" i="77" s="1"/>
  <c r="N124" i="77"/>
  <c r="N18" i="77" s="1"/>
  <c r="N120" i="77"/>
  <c r="N14" i="77" s="1"/>
  <c r="C134" i="13"/>
  <c r="D127" i="10"/>
  <c r="D21" i="10" s="1"/>
  <c r="D134" i="13"/>
  <c r="D21" i="13" s="1"/>
  <c r="D127" i="11"/>
  <c r="D21" i="11" s="1"/>
  <c r="E127" i="11"/>
  <c r="E21" i="11" s="1"/>
  <c r="E127" i="10"/>
  <c r="E21" i="10" s="1"/>
  <c r="E134" i="13"/>
  <c r="E21" i="13" s="1"/>
  <c r="F127" i="10"/>
  <c r="F21" i="10" s="1"/>
  <c r="F134" i="13"/>
  <c r="F21" i="13" s="1"/>
  <c r="F127" i="11"/>
  <c r="F21" i="11" s="1"/>
  <c r="G127" i="10"/>
  <c r="G21" i="10" s="1"/>
  <c r="G134" i="13"/>
  <c r="G21" i="13" s="1"/>
  <c r="G127" i="11"/>
  <c r="G21" i="11" s="1"/>
  <c r="H134" i="13"/>
  <c r="H21" i="13" s="1"/>
  <c r="H127" i="10"/>
  <c r="H21" i="10" s="1"/>
  <c r="H127" i="11"/>
  <c r="H21" i="11" s="1"/>
  <c r="I134" i="13"/>
  <c r="I21" i="13" s="1"/>
  <c r="I127" i="11"/>
  <c r="I21" i="11" s="1"/>
  <c r="I127" i="10"/>
  <c r="I21" i="10" s="1"/>
  <c r="J127" i="10"/>
  <c r="J21" i="10" s="1"/>
  <c r="J134" i="13"/>
  <c r="J21" i="13" s="1"/>
  <c r="J127" i="11"/>
  <c r="J21" i="11" s="1"/>
  <c r="K134" i="13"/>
  <c r="K21" i="13" s="1"/>
  <c r="K127" i="10"/>
  <c r="K21" i="10" s="1"/>
  <c r="K127" i="11"/>
  <c r="K21" i="11" s="1"/>
  <c r="L134" i="13"/>
  <c r="L21" i="13" s="1"/>
  <c r="L127" i="10"/>
  <c r="L21" i="10" s="1"/>
  <c r="L127" i="11"/>
  <c r="L21" i="11" s="1"/>
  <c r="M127" i="10"/>
  <c r="M21" i="10" s="1"/>
  <c r="M149" i="13"/>
  <c r="M134" i="13"/>
  <c r="M21" i="13" s="1"/>
  <c r="M127" i="11"/>
  <c r="M21" i="11" s="1"/>
  <c r="N134" i="13"/>
  <c r="N21" i="13" s="1"/>
  <c r="N127" i="11"/>
  <c r="N21" i="11" s="1"/>
  <c r="N127" i="10"/>
  <c r="N21" i="10" s="1"/>
  <c r="B172" i="68"/>
  <c r="C172" i="68"/>
  <c r="C179" i="68" s="1"/>
  <c r="C126" i="13"/>
  <c r="C13" i="13" s="1"/>
  <c r="N164" i="14"/>
  <c r="N38" i="14" s="1"/>
  <c r="M131" i="60" s="1"/>
  <c r="J164" i="14"/>
  <c r="J38" i="14" s="1"/>
  <c r="I131" i="60" s="1"/>
  <c r="F164" i="14"/>
  <c r="F38" i="14" s="1"/>
  <c r="E131" i="60" s="1"/>
  <c r="N163" i="14"/>
  <c r="N37" i="14" s="1"/>
  <c r="M130" i="60" s="1"/>
  <c r="N188" i="79" s="1"/>
  <c r="J163" i="14"/>
  <c r="J37" i="14" s="1"/>
  <c r="I130" i="60" s="1"/>
  <c r="J188" i="79" s="1"/>
  <c r="F163" i="14"/>
  <c r="F37" i="14" s="1"/>
  <c r="E130" i="60" s="1"/>
  <c r="F188" i="79" s="1"/>
  <c r="N162" i="14"/>
  <c r="N36" i="14" s="1"/>
  <c r="J162" i="14"/>
  <c r="J36" i="14" s="1"/>
  <c r="F162" i="14"/>
  <c r="N161" i="14"/>
  <c r="N35" i="14" s="1"/>
  <c r="J161" i="14"/>
  <c r="J35" i="14" s="1"/>
  <c r="F161" i="14"/>
  <c r="F35" i="14" s="1"/>
  <c r="N160" i="14"/>
  <c r="N34" i="14" s="1"/>
  <c r="M126" i="60" s="1"/>
  <c r="N160" i="79" s="1"/>
  <c r="O127" i="78" s="1"/>
  <c r="J160" i="14"/>
  <c r="J34" i="14" s="1"/>
  <c r="I126" i="60" s="1"/>
  <c r="J160" i="79" s="1"/>
  <c r="K127" i="78" s="1"/>
  <c r="F160" i="14"/>
  <c r="F34" i="14" s="1"/>
  <c r="E126" i="60" s="1"/>
  <c r="F160" i="79" s="1"/>
  <c r="G127" i="78" s="1"/>
  <c r="N159" i="14"/>
  <c r="N33" i="14" s="1"/>
  <c r="M124" i="60" s="1"/>
  <c r="N146" i="79" s="1"/>
  <c r="O115" i="78" s="1"/>
  <c r="J159" i="14"/>
  <c r="J33" i="14" s="1"/>
  <c r="I124" i="60" s="1"/>
  <c r="J146" i="79" s="1"/>
  <c r="K115" i="78" s="1"/>
  <c r="F159" i="14"/>
  <c r="F33" i="14" s="1"/>
  <c r="E124" i="60" s="1"/>
  <c r="F146" i="79" s="1"/>
  <c r="G115" i="78" s="1"/>
  <c r="N158" i="14"/>
  <c r="N32" i="14" s="1"/>
  <c r="J158" i="14"/>
  <c r="J32" i="14" s="1"/>
  <c r="F158" i="14"/>
  <c r="F32" i="14" s="1"/>
  <c r="N154" i="14"/>
  <c r="J154" i="14"/>
  <c r="F154" i="14"/>
  <c r="N153" i="14"/>
  <c r="J153" i="14"/>
  <c r="F153" i="14"/>
  <c r="N152" i="14"/>
  <c r="J152" i="14"/>
  <c r="F152" i="14"/>
  <c r="N151" i="14"/>
  <c r="J151" i="14"/>
  <c r="F151" i="14"/>
  <c r="N150" i="14"/>
  <c r="J150" i="14"/>
  <c r="F150" i="14"/>
  <c r="N149" i="14"/>
  <c r="J149" i="14"/>
  <c r="F149" i="14"/>
  <c r="N148" i="14"/>
  <c r="J148" i="14"/>
  <c r="F148" i="14"/>
  <c r="N146" i="14"/>
  <c r="J146" i="14"/>
  <c r="F146" i="14"/>
  <c r="N145" i="14"/>
  <c r="J145" i="14"/>
  <c r="F145" i="14"/>
  <c r="N144" i="14"/>
  <c r="J144" i="14"/>
  <c r="F144" i="14"/>
  <c r="N143" i="14"/>
  <c r="J143" i="14"/>
  <c r="F143" i="14"/>
  <c r="N142" i="14"/>
  <c r="J142" i="14"/>
  <c r="F142" i="14"/>
  <c r="N141" i="14"/>
  <c r="J141" i="14"/>
  <c r="F141" i="14"/>
  <c r="N140" i="14"/>
  <c r="J140" i="14"/>
  <c r="F140" i="14"/>
  <c r="N139" i="14"/>
  <c r="J139" i="14"/>
  <c r="F139" i="14"/>
  <c r="N138" i="14"/>
  <c r="J138" i="14"/>
  <c r="F138" i="14"/>
  <c r="L164" i="14"/>
  <c r="L38" i="14" s="1"/>
  <c r="K131" i="60" s="1"/>
  <c r="H164" i="14"/>
  <c r="H38" i="14" s="1"/>
  <c r="G131" i="60" s="1"/>
  <c r="D164" i="14"/>
  <c r="D38" i="14" s="1"/>
  <c r="C131" i="60" s="1"/>
  <c r="L163" i="14"/>
  <c r="L37" i="14" s="1"/>
  <c r="K130" i="60" s="1"/>
  <c r="L188" i="79" s="1"/>
  <c r="H163" i="14"/>
  <c r="D163" i="14"/>
  <c r="D37" i="14" s="1"/>
  <c r="L162" i="14"/>
  <c r="L36" i="14" s="1"/>
  <c r="H162" i="14"/>
  <c r="H36" i="14" s="1"/>
  <c r="D162" i="14"/>
  <c r="L161" i="14"/>
  <c r="L35" i="14" s="1"/>
  <c r="H161" i="14"/>
  <c r="H35" i="14" s="1"/>
  <c r="D161" i="14"/>
  <c r="L160" i="14"/>
  <c r="L34" i="14" s="1"/>
  <c r="K126" i="60" s="1"/>
  <c r="L160" i="79" s="1"/>
  <c r="M127" i="78" s="1"/>
  <c r="H160" i="14"/>
  <c r="H34" i="14" s="1"/>
  <c r="G126" i="60" s="1"/>
  <c r="H160" i="79" s="1"/>
  <c r="I127" i="78" s="1"/>
  <c r="D160" i="14"/>
  <c r="D34" i="14" s="1"/>
  <c r="C126" i="60" s="1"/>
  <c r="D160" i="79" s="1"/>
  <c r="E127" i="78" s="1"/>
  <c r="L159" i="14"/>
  <c r="L33" i="14" s="1"/>
  <c r="K124" i="60" s="1"/>
  <c r="L146" i="79" s="1"/>
  <c r="M115" i="78" s="1"/>
  <c r="H159" i="14"/>
  <c r="H33" i="14" s="1"/>
  <c r="G124" i="60" s="1"/>
  <c r="H146" i="79" s="1"/>
  <c r="I115" i="78" s="1"/>
  <c r="D159" i="14"/>
  <c r="D33" i="14" s="1"/>
  <c r="C124" i="60" s="1"/>
  <c r="D146" i="79" s="1"/>
  <c r="E115" i="78" s="1"/>
  <c r="L158" i="14"/>
  <c r="L32" i="14" s="1"/>
  <c r="H158" i="14"/>
  <c r="H32" i="14" s="1"/>
  <c r="D158" i="14"/>
  <c r="D32" i="14" s="1"/>
  <c r="L154" i="14"/>
  <c r="H154" i="14"/>
  <c r="D154" i="14"/>
  <c r="L153" i="14"/>
  <c r="H153" i="14"/>
  <c r="D153" i="14"/>
  <c r="L152" i="14"/>
  <c r="H152" i="14"/>
  <c r="D152" i="14"/>
  <c r="L151" i="14"/>
  <c r="H151" i="14"/>
  <c r="D151" i="14"/>
  <c r="L150" i="14"/>
  <c r="H150" i="14"/>
  <c r="D150" i="14"/>
  <c r="L149" i="14"/>
  <c r="H149" i="14"/>
  <c r="D149" i="14"/>
  <c r="L148" i="14"/>
  <c r="H148" i="14"/>
  <c r="D148" i="14"/>
  <c r="L146" i="14"/>
  <c r="H146" i="14"/>
  <c r="D146" i="14"/>
  <c r="L145" i="14"/>
  <c r="H145" i="14"/>
  <c r="D145" i="14"/>
  <c r="L144" i="14"/>
  <c r="H144" i="14"/>
  <c r="D144" i="14"/>
  <c r="L143" i="14"/>
  <c r="H143" i="14"/>
  <c r="D143" i="14"/>
  <c r="L142" i="14"/>
  <c r="H142" i="14"/>
  <c r="D142" i="14"/>
  <c r="L141" i="14"/>
  <c r="H141" i="14"/>
  <c r="D141" i="14"/>
  <c r="L140" i="14"/>
  <c r="H140" i="14"/>
  <c r="D140" i="14"/>
  <c r="L139" i="14"/>
  <c r="H139" i="14"/>
  <c r="D139" i="14"/>
  <c r="L138" i="14"/>
  <c r="H138" i="14"/>
  <c r="D138" i="14"/>
  <c r="M164" i="14"/>
  <c r="M38" i="14" s="1"/>
  <c r="L131" i="60" s="1"/>
  <c r="E164" i="14"/>
  <c r="E38" i="14" s="1"/>
  <c r="D131" i="60" s="1"/>
  <c r="I163" i="14"/>
  <c r="I37" i="14" s="1"/>
  <c r="H130" i="60" s="1"/>
  <c r="I188" i="79" s="1"/>
  <c r="M162" i="14"/>
  <c r="M36" i="14" s="1"/>
  <c r="E162" i="14"/>
  <c r="I161" i="14"/>
  <c r="I35" i="14" s="1"/>
  <c r="M160" i="14"/>
  <c r="M34" i="14" s="1"/>
  <c r="L126" i="60" s="1"/>
  <c r="M160" i="79" s="1"/>
  <c r="N127" i="78" s="1"/>
  <c r="E160" i="14"/>
  <c r="E34" i="14" s="1"/>
  <c r="D126" i="60" s="1"/>
  <c r="E160" i="79" s="1"/>
  <c r="F127" i="78" s="1"/>
  <c r="I159" i="14"/>
  <c r="I33" i="14" s="1"/>
  <c r="H124" i="60" s="1"/>
  <c r="I146" i="79" s="1"/>
  <c r="J115" i="78" s="1"/>
  <c r="M158" i="14"/>
  <c r="M32" i="14" s="1"/>
  <c r="E158" i="14"/>
  <c r="E32" i="14" s="1"/>
  <c r="I154" i="14"/>
  <c r="M153" i="14"/>
  <c r="E153" i="14"/>
  <c r="I152" i="14"/>
  <c r="M151" i="14"/>
  <c r="E151" i="14"/>
  <c r="I150" i="14"/>
  <c r="M149" i="14"/>
  <c r="E149" i="14"/>
  <c r="I148" i="14"/>
  <c r="M146" i="14"/>
  <c r="E146" i="14"/>
  <c r="I145" i="14"/>
  <c r="M144" i="14"/>
  <c r="E144" i="14"/>
  <c r="I143" i="14"/>
  <c r="M142" i="14"/>
  <c r="E142" i="14"/>
  <c r="I141" i="14"/>
  <c r="M140" i="14"/>
  <c r="E140" i="14"/>
  <c r="I139" i="14"/>
  <c r="M138" i="14"/>
  <c r="E138" i="14"/>
  <c r="I164" i="14"/>
  <c r="I38" i="14" s="1"/>
  <c r="H131" i="60" s="1"/>
  <c r="M163" i="14"/>
  <c r="M37" i="14" s="1"/>
  <c r="L130" i="60" s="1"/>
  <c r="M188" i="79" s="1"/>
  <c r="E163" i="14"/>
  <c r="E37" i="14" s="1"/>
  <c r="D130" i="60" s="1"/>
  <c r="E188" i="79" s="1"/>
  <c r="I162" i="14"/>
  <c r="I36" i="14" s="1"/>
  <c r="M161" i="14"/>
  <c r="M35" i="14" s="1"/>
  <c r="E161" i="14"/>
  <c r="E35" i="14" s="1"/>
  <c r="I160" i="14"/>
  <c r="I34" i="14" s="1"/>
  <c r="H126" i="60" s="1"/>
  <c r="I160" i="79" s="1"/>
  <c r="J127" i="78" s="1"/>
  <c r="M159" i="14"/>
  <c r="M33" i="14" s="1"/>
  <c r="L124" i="60" s="1"/>
  <c r="M146" i="79" s="1"/>
  <c r="N115" i="78" s="1"/>
  <c r="E159" i="14"/>
  <c r="E33" i="14" s="1"/>
  <c r="D124" i="60" s="1"/>
  <c r="E146" i="79" s="1"/>
  <c r="I158" i="14"/>
  <c r="I32" i="14" s="1"/>
  <c r="M154" i="14"/>
  <c r="E154" i="14"/>
  <c r="I153" i="14"/>
  <c r="M152" i="14"/>
  <c r="E152" i="14"/>
  <c r="I151" i="14"/>
  <c r="M150" i="14"/>
  <c r="E150" i="14"/>
  <c r="I149" i="14"/>
  <c r="M148" i="14"/>
  <c r="E148" i="14"/>
  <c r="I146" i="14"/>
  <c r="M145" i="14"/>
  <c r="E145" i="14"/>
  <c r="I144" i="14"/>
  <c r="M143" i="14"/>
  <c r="E143" i="14"/>
  <c r="I142" i="14"/>
  <c r="M141" i="14"/>
  <c r="E141" i="14"/>
  <c r="I140" i="14"/>
  <c r="M139" i="14"/>
  <c r="E139" i="14"/>
  <c r="I138" i="14"/>
  <c r="N164" i="15"/>
  <c r="J164" i="15"/>
  <c r="F164" i="15"/>
  <c r="N163" i="15"/>
  <c r="N37" i="15" s="1"/>
  <c r="J163" i="15"/>
  <c r="J37" i="15" s="1"/>
  <c r="F163" i="15"/>
  <c r="F37" i="15" s="1"/>
  <c r="N162" i="15"/>
  <c r="N36" i="15" s="1"/>
  <c r="J162" i="15"/>
  <c r="J36" i="15" s="1"/>
  <c r="F162" i="15"/>
  <c r="N161" i="15"/>
  <c r="N35" i="15" s="1"/>
  <c r="J161" i="15"/>
  <c r="J35" i="15" s="1"/>
  <c r="F161" i="15"/>
  <c r="F35" i="15" s="1"/>
  <c r="N160" i="15"/>
  <c r="N34" i="15" s="1"/>
  <c r="J160" i="15"/>
  <c r="J34" i="15" s="1"/>
  <c r="F160" i="15"/>
  <c r="F34" i="15" s="1"/>
  <c r="N159" i="15"/>
  <c r="N33" i="15" s="1"/>
  <c r="J159" i="15"/>
  <c r="J33" i="15" s="1"/>
  <c r="F159" i="15"/>
  <c r="F33" i="15" s="1"/>
  <c r="N158" i="15"/>
  <c r="N32" i="15" s="1"/>
  <c r="J158" i="15"/>
  <c r="J32" i="15" s="1"/>
  <c r="F158" i="15"/>
  <c r="F32" i="15" s="1"/>
  <c r="N154" i="15"/>
  <c r="N28" i="15" s="1"/>
  <c r="J154" i="15"/>
  <c r="J28" i="15" s="1"/>
  <c r="F154" i="15"/>
  <c r="F28" i="15" s="1"/>
  <c r="N153" i="15"/>
  <c r="N27" i="15" s="1"/>
  <c r="J153" i="15"/>
  <c r="J27" i="15" s="1"/>
  <c r="F153" i="15"/>
  <c r="F27" i="15" s="1"/>
  <c r="N152" i="15"/>
  <c r="N26" i="15" s="1"/>
  <c r="J152" i="15"/>
  <c r="J26" i="15" s="1"/>
  <c r="F152" i="15"/>
  <c r="F26" i="15" s="1"/>
  <c r="N151" i="15"/>
  <c r="N25" i="15" s="1"/>
  <c r="J151" i="15"/>
  <c r="J25" i="15" s="1"/>
  <c r="F151" i="15"/>
  <c r="F25" i="15" s="1"/>
  <c r="K164" i="14"/>
  <c r="K38" i="14" s="1"/>
  <c r="J131" i="60" s="1"/>
  <c r="G163" i="14"/>
  <c r="C162" i="14"/>
  <c r="K160" i="14"/>
  <c r="K34" i="14" s="1"/>
  <c r="J126" i="60" s="1"/>
  <c r="K160" i="79" s="1"/>
  <c r="L127" i="78" s="1"/>
  <c r="G159" i="14"/>
  <c r="G33" i="14" s="1"/>
  <c r="F124" i="60" s="1"/>
  <c r="G146" i="79" s="1"/>
  <c r="H115" i="78" s="1"/>
  <c r="C158" i="14"/>
  <c r="C32" i="14" s="1"/>
  <c r="K153" i="14"/>
  <c r="G152" i="14"/>
  <c r="C151" i="14"/>
  <c r="K149" i="14"/>
  <c r="G148" i="14"/>
  <c r="C146" i="14"/>
  <c r="K144" i="14"/>
  <c r="G143" i="14"/>
  <c r="C142" i="14"/>
  <c r="K140" i="14"/>
  <c r="G139" i="14"/>
  <c r="C138" i="14"/>
  <c r="G164" i="14"/>
  <c r="G38" i="14" s="1"/>
  <c r="F131" i="60" s="1"/>
  <c r="C163" i="14"/>
  <c r="C37" i="14" s="1"/>
  <c r="K161" i="14"/>
  <c r="K35" i="14" s="1"/>
  <c r="G160" i="14"/>
  <c r="G34" i="14" s="1"/>
  <c r="F126" i="60" s="1"/>
  <c r="G160" i="79" s="1"/>
  <c r="H127" i="78" s="1"/>
  <c r="C159" i="14"/>
  <c r="C33" i="14" s="1"/>
  <c r="K154" i="14"/>
  <c r="G153" i="14"/>
  <c r="C152" i="14"/>
  <c r="K150" i="14"/>
  <c r="G149" i="14"/>
  <c r="C148" i="14"/>
  <c r="K145" i="14"/>
  <c r="G144" i="14"/>
  <c r="C143" i="14"/>
  <c r="K141" i="14"/>
  <c r="G140" i="14"/>
  <c r="C139" i="14"/>
  <c r="L164" i="15"/>
  <c r="G164" i="15"/>
  <c r="M163" i="15"/>
  <c r="M37" i="15" s="1"/>
  <c r="H163" i="15"/>
  <c r="H37" i="15" s="1"/>
  <c r="C163" i="15"/>
  <c r="C37" i="15" s="1"/>
  <c r="I162" i="15"/>
  <c r="I36" i="15" s="1"/>
  <c r="D162" i="15"/>
  <c r="K161" i="15"/>
  <c r="K35" i="15" s="1"/>
  <c r="E161" i="15"/>
  <c r="E35" i="15" s="1"/>
  <c r="L160" i="15"/>
  <c r="L34" i="15" s="1"/>
  <c r="G160" i="15"/>
  <c r="G34" i="15" s="1"/>
  <c r="M159" i="15"/>
  <c r="M33" i="15" s="1"/>
  <c r="H159" i="15"/>
  <c r="H33" i="15" s="1"/>
  <c r="C159" i="15"/>
  <c r="C33" i="15" s="1"/>
  <c r="I158" i="15"/>
  <c r="I32" i="15" s="1"/>
  <c r="D158" i="15"/>
  <c r="D32" i="15" s="1"/>
  <c r="K154" i="15"/>
  <c r="K28" i="15" s="1"/>
  <c r="E154" i="15"/>
  <c r="E28" i="15" s="1"/>
  <c r="L153" i="15"/>
  <c r="L27" i="15" s="1"/>
  <c r="G153" i="15"/>
  <c r="G27" i="15" s="1"/>
  <c r="M152" i="15"/>
  <c r="M26" i="15" s="1"/>
  <c r="H152" i="15"/>
  <c r="H26" i="15" s="1"/>
  <c r="C152" i="15"/>
  <c r="C26" i="15" s="1"/>
  <c r="I151" i="15"/>
  <c r="I25" i="15" s="1"/>
  <c r="D151" i="15"/>
  <c r="D25" i="15" s="1"/>
  <c r="L150" i="15"/>
  <c r="L24" i="15" s="1"/>
  <c r="H150" i="15"/>
  <c r="H24" i="15" s="1"/>
  <c r="D150" i="15"/>
  <c r="D24" i="15" s="1"/>
  <c r="L149" i="15"/>
  <c r="L23" i="15" s="1"/>
  <c r="H149" i="15"/>
  <c r="H23" i="15" s="1"/>
  <c r="D149" i="15"/>
  <c r="D23" i="15" s="1"/>
  <c r="L148" i="15"/>
  <c r="L22" i="15" s="1"/>
  <c r="H148" i="15"/>
  <c r="H22" i="15" s="1"/>
  <c r="D148" i="15"/>
  <c r="D22" i="15" s="1"/>
  <c r="L146" i="15"/>
  <c r="L20" i="15" s="1"/>
  <c r="H146" i="15"/>
  <c r="H20" i="15" s="1"/>
  <c r="D146" i="15"/>
  <c r="D20" i="15" s="1"/>
  <c r="L145" i="15"/>
  <c r="L19" i="15" s="1"/>
  <c r="H145" i="15"/>
  <c r="H19" i="15" s="1"/>
  <c r="D145" i="15"/>
  <c r="D19" i="15" s="1"/>
  <c r="L144" i="15"/>
  <c r="L18" i="15" s="1"/>
  <c r="H144" i="15"/>
  <c r="H18" i="15" s="1"/>
  <c r="D144" i="15"/>
  <c r="D18" i="15" s="1"/>
  <c r="L143" i="15"/>
  <c r="L17" i="15" s="1"/>
  <c r="H143" i="15"/>
  <c r="H17" i="15" s="1"/>
  <c r="D143" i="15"/>
  <c r="D17" i="15" s="1"/>
  <c r="L142" i="15"/>
  <c r="L16" i="15" s="1"/>
  <c r="H142" i="15"/>
  <c r="H16" i="15" s="1"/>
  <c r="D142" i="15"/>
  <c r="D16" i="15" s="1"/>
  <c r="L141" i="15"/>
  <c r="L15" i="15" s="1"/>
  <c r="H141" i="15"/>
  <c r="H15" i="15" s="1"/>
  <c r="D141" i="15"/>
  <c r="D15" i="15" s="1"/>
  <c r="L140" i="15"/>
  <c r="L14" i="15" s="1"/>
  <c r="H140" i="15"/>
  <c r="H14" i="15" s="1"/>
  <c r="D140" i="15"/>
  <c r="D14" i="15" s="1"/>
  <c r="L139" i="15"/>
  <c r="L13" i="15" s="1"/>
  <c r="H139" i="15"/>
  <c r="H13" i="15" s="1"/>
  <c r="D139" i="15"/>
  <c r="D13" i="15" s="1"/>
  <c r="L138" i="15"/>
  <c r="L12" i="15" s="1"/>
  <c r="H138" i="15"/>
  <c r="H12" i="15" s="1"/>
  <c r="D138" i="15"/>
  <c r="D12" i="15" s="1"/>
  <c r="C164" i="14"/>
  <c r="C38" i="14" s="1"/>
  <c r="B131" i="60" s="1"/>
  <c r="C195" i="79" s="1"/>
  <c r="D145" i="78" s="1"/>
  <c r="G161" i="14"/>
  <c r="G35" i="14" s="1"/>
  <c r="K158" i="14"/>
  <c r="K32" i="14" s="1"/>
  <c r="C153" i="14"/>
  <c r="G150" i="14"/>
  <c r="K146" i="14"/>
  <c r="C144" i="14"/>
  <c r="G141" i="14"/>
  <c r="K138" i="14"/>
  <c r="H164" i="15"/>
  <c r="L163" i="15"/>
  <c r="L37" i="15" s="1"/>
  <c r="E163" i="15"/>
  <c r="E37" i="15" s="1"/>
  <c r="K162" i="15"/>
  <c r="K36" i="15" s="1"/>
  <c r="C162" i="15"/>
  <c r="H161" i="15"/>
  <c r="H35" i="15" s="1"/>
  <c r="M160" i="15"/>
  <c r="M34" i="15" s="1"/>
  <c r="E160" i="15"/>
  <c r="E34" i="15" s="1"/>
  <c r="K159" i="15"/>
  <c r="K33" i="15" s="1"/>
  <c r="D159" i="15"/>
  <c r="D33" i="15" s="1"/>
  <c r="H158" i="15"/>
  <c r="H32" i="15" s="1"/>
  <c r="M154" i="15"/>
  <c r="M28" i="15" s="1"/>
  <c r="G154" i="15"/>
  <c r="G28" i="15" s="1"/>
  <c r="K153" i="15"/>
  <c r="K27" i="15" s="1"/>
  <c r="D153" i="15"/>
  <c r="D27" i="15" s="1"/>
  <c r="I152" i="15"/>
  <c r="I26" i="15" s="1"/>
  <c r="M151" i="15"/>
  <c r="M25" i="15" s="1"/>
  <c r="G151" i="15"/>
  <c r="G25" i="15" s="1"/>
  <c r="M150" i="15"/>
  <c r="M24" i="15" s="1"/>
  <c r="G150" i="15"/>
  <c r="G24" i="15" s="1"/>
  <c r="N149" i="15"/>
  <c r="N23" i="15" s="1"/>
  <c r="I149" i="15"/>
  <c r="I23" i="15" s="1"/>
  <c r="C149" i="15"/>
  <c r="C23" i="15" s="1"/>
  <c r="J148" i="15"/>
  <c r="J22" i="15" s="1"/>
  <c r="E148" i="15"/>
  <c r="E22" i="15" s="1"/>
  <c r="K146" i="15"/>
  <c r="K20" i="15" s="1"/>
  <c r="F146" i="15"/>
  <c r="F20" i="15" s="1"/>
  <c r="M145" i="15"/>
  <c r="M19" i="15" s="1"/>
  <c r="G145" i="15"/>
  <c r="G19" i="15" s="1"/>
  <c r="N144" i="15"/>
  <c r="N18" i="15" s="1"/>
  <c r="I144" i="15"/>
  <c r="I18" i="15" s="1"/>
  <c r="C144" i="15"/>
  <c r="C18" i="15" s="1"/>
  <c r="J143" i="15"/>
  <c r="J17" i="15" s="1"/>
  <c r="E143" i="15"/>
  <c r="E17" i="15" s="1"/>
  <c r="K142" i="15"/>
  <c r="K16" i="15" s="1"/>
  <c r="F142" i="15"/>
  <c r="F16" i="15" s="1"/>
  <c r="M141" i="15"/>
  <c r="M15" i="15" s="1"/>
  <c r="G141" i="15"/>
  <c r="G15" i="15" s="1"/>
  <c r="N140" i="15"/>
  <c r="N14" i="15" s="1"/>
  <c r="I140" i="15"/>
  <c r="I14" i="15" s="1"/>
  <c r="C140" i="15"/>
  <c r="C14" i="15" s="1"/>
  <c r="J139" i="15"/>
  <c r="J13" i="15" s="1"/>
  <c r="E139" i="15"/>
  <c r="E13" i="15" s="1"/>
  <c r="K138" i="15"/>
  <c r="K12" i="15" s="1"/>
  <c r="F138" i="15"/>
  <c r="F12" i="15" s="1"/>
  <c r="K163" i="14"/>
  <c r="K37" i="14" s="1"/>
  <c r="J130" i="60" s="1"/>
  <c r="K188" i="79" s="1"/>
  <c r="C161" i="14"/>
  <c r="G158" i="14"/>
  <c r="G32" i="14" s="1"/>
  <c r="K152" i="14"/>
  <c r="C150" i="14"/>
  <c r="G146" i="14"/>
  <c r="K143" i="14"/>
  <c r="C141" i="14"/>
  <c r="G138" i="14"/>
  <c r="M164" i="15"/>
  <c r="E164" i="15"/>
  <c r="E38" i="15" s="1"/>
  <c r="K163" i="15"/>
  <c r="K37" i="15" s="1"/>
  <c r="D163" i="15"/>
  <c r="D37" i="15" s="1"/>
  <c r="H162" i="15"/>
  <c r="H36" i="15" s="1"/>
  <c r="M161" i="15"/>
  <c r="M35" i="15" s="1"/>
  <c r="G161" i="15"/>
  <c r="G35" i="15" s="1"/>
  <c r="K160" i="15"/>
  <c r="K34" i="15" s="1"/>
  <c r="D160" i="15"/>
  <c r="D34" i="15" s="1"/>
  <c r="I159" i="15"/>
  <c r="I33" i="15" s="1"/>
  <c r="M158" i="15"/>
  <c r="M32" i="15" s="1"/>
  <c r="G158" i="15"/>
  <c r="G32" i="15" s="1"/>
  <c r="L154" i="15"/>
  <c r="L28" i="15" s="1"/>
  <c r="D154" i="15"/>
  <c r="D28" i="15" s="1"/>
  <c r="I153" i="15"/>
  <c r="I27" i="15" s="1"/>
  <c r="C153" i="15"/>
  <c r="C27" i="15" s="1"/>
  <c r="G152" i="15"/>
  <c r="G26" i="15" s="1"/>
  <c r="L151" i="15"/>
  <c r="L25" i="15" s="1"/>
  <c r="E151" i="15"/>
  <c r="E25" i="15" s="1"/>
  <c r="K150" i="15"/>
  <c r="K24" i="15" s="1"/>
  <c r="F150" i="15"/>
  <c r="F24" i="15" s="1"/>
  <c r="M149" i="15"/>
  <c r="M23" i="15" s="1"/>
  <c r="G149" i="15"/>
  <c r="G23" i="15" s="1"/>
  <c r="N148" i="15"/>
  <c r="N22" i="15" s="1"/>
  <c r="I148" i="15"/>
  <c r="I22" i="15" s="1"/>
  <c r="C148" i="15"/>
  <c r="C22" i="15" s="1"/>
  <c r="J146" i="15"/>
  <c r="J20" i="15" s="1"/>
  <c r="E146" i="15"/>
  <c r="E20" i="15" s="1"/>
  <c r="K145" i="15"/>
  <c r="K19" i="15" s="1"/>
  <c r="F145" i="15"/>
  <c r="F19" i="15" s="1"/>
  <c r="M144" i="15"/>
  <c r="M18" i="15" s="1"/>
  <c r="G144" i="15"/>
  <c r="G18" i="15" s="1"/>
  <c r="N143" i="15"/>
  <c r="N17" i="15" s="1"/>
  <c r="I143" i="15"/>
  <c r="I17" i="15" s="1"/>
  <c r="C143" i="15"/>
  <c r="C17" i="15" s="1"/>
  <c r="J142" i="15"/>
  <c r="J16" i="15" s="1"/>
  <c r="E142" i="15"/>
  <c r="E16" i="15" s="1"/>
  <c r="K141" i="15"/>
  <c r="K15" i="15" s="1"/>
  <c r="F141" i="15"/>
  <c r="F15" i="15" s="1"/>
  <c r="M140" i="15"/>
  <c r="M14" i="15" s="1"/>
  <c r="G140" i="15"/>
  <c r="G14" i="15" s="1"/>
  <c r="N139" i="15"/>
  <c r="N13" i="15" s="1"/>
  <c r="I139" i="15"/>
  <c r="I13" i="15" s="1"/>
  <c r="C139" i="15"/>
  <c r="C13" i="15" s="1"/>
  <c r="J138" i="15"/>
  <c r="J12" i="15" s="1"/>
  <c r="E138" i="15"/>
  <c r="E12" i="15" s="1"/>
  <c r="K164" i="16"/>
  <c r="K38" i="16" s="1"/>
  <c r="J132" i="50" s="1"/>
  <c r="G164" i="16"/>
  <c r="G38" i="16" s="1"/>
  <c r="F132" i="50" s="1"/>
  <c r="C164" i="16"/>
  <c r="C38" i="16" s="1"/>
  <c r="K163" i="16"/>
  <c r="K37" i="16" s="1"/>
  <c r="G163" i="16"/>
  <c r="G37" i="16" s="1"/>
  <c r="C163" i="16"/>
  <c r="C37" i="16" s="1"/>
  <c r="K162" i="16"/>
  <c r="K36" i="16" s="1"/>
  <c r="G162" i="16"/>
  <c r="C162" i="16"/>
  <c r="K161" i="16"/>
  <c r="K35" i="16" s="1"/>
  <c r="G161" i="16"/>
  <c r="G35" i="16" s="1"/>
  <c r="C161" i="16"/>
  <c r="K160" i="16"/>
  <c r="K34" i="16" s="1"/>
  <c r="G160" i="16"/>
  <c r="G34" i="16" s="1"/>
  <c r="C160" i="16"/>
  <c r="C34" i="16" s="1"/>
  <c r="K159" i="16"/>
  <c r="K33" i="16" s="1"/>
  <c r="G159" i="16"/>
  <c r="G33" i="16" s="1"/>
  <c r="C159" i="16"/>
  <c r="C33" i="16" s="1"/>
  <c r="K158" i="16"/>
  <c r="K32" i="16" s="1"/>
  <c r="G158" i="16"/>
  <c r="G32" i="16" s="1"/>
  <c r="C158" i="16"/>
  <c r="C32" i="16" s="1"/>
  <c r="K154" i="16"/>
  <c r="K28" i="16" s="1"/>
  <c r="G154" i="16"/>
  <c r="G28" i="16" s="1"/>
  <c r="C154" i="16"/>
  <c r="C28" i="16" s="1"/>
  <c r="K153" i="16"/>
  <c r="K27" i="16" s="1"/>
  <c r="G153" i="16"/>
  <c r="G27" i="16" s="1"/>
  <c r="C153" i="16"/>
  <c r="C27" i="16" s="1"/>
  <c r="K152" i="16"/>
  <c r="K26" i="16" s="1"/>
  <c r="G152" i="16"/>
  <c r="G26" i="16" s="1"/>
  <c r="C152" i="16"/>
  <c r="C26" i="16" s="1"/>
  <c r="K151" i="16"/>
  <c r="K25" i="16" s="1"/>
  <c r="G151" i="16"/>
  <c r="G25" i="16" s="1"/>
  <c r="C151" i="16"/>
  <c r="C25" i="16" s="1"/>
  <c r="K150" i="16"/>
  <c r="K24" i="16" s="1"/>
  <c r="G150" i="16"/>
  <c r="G24" i="16" s="1"/>
  <c r="C150" i="16"/>
  <c r="C24" i="16" s="1"/>
  <c r="K149" i="16"/>
  <c r="K23" i="16" s="1"/>
  <c r="G149" i="16"/>
  <c r="G23" i="16" s="1"/>
  <c r="C149" i="16"/>
  <c r="C23" i="16" s="1"/>
  <c r="K148" i="16"/>
  <c r="K22" i="16" s="1"/>
  <c r="G148" i="16"/>
  <c r="G22" i="16" s="1"/>
  <c r="C148" i="16"/>
  <c r="C22" i="16" s="1"/>
  <c r="K146" i="16"/>
  <c r="K20" i="16" s="1"/>
  <c r="G146" i="16"/>
  <c r="G20" i="16" s="1"/>
  <c r="C146" i="16"/>
  <c r="C20" i="16" s="1"/>
  <c r="K145" i="16"/>
  <c r="K19" i="16" s="1"/>
  <c r="G145" i="16"/>
  <c r="G19" i="16" s="1"/>
  <c r="C145" i="16"/>
  <c r="C19" i="16" s="1"/>
  <c r="K144" i="16"/>
  <c r="K18" i="16" s="1"/>
  <c r="G144" i="16"/>
  <c r="G18" i="16" s="1"/>
  <c r="C144" i="16"/>
  <c r="C18" i="16" s="1"/>
  <c r="K143" i="16"/>
  <c r="K17" i="16" s="1"/>
  <c r="G143" i="16"/>
  <c r="G17" i="16" s="1"/>
  <c r="C143" i="16"/>
  <c r="C17" i="16" s="1"/>
  <c r="K142" i="16"/>
  <c r="K16" i="16" s="1"/>
  <c r="G142" i="16"/>
  <c r="G16" i="16" s="1"/>
  <c r="C142" i="16"/>
  <c r="C16" i="16" s="1"/>
  <c r="K141" i="16"/>
  <c r="K15" i="16" s="1"/>
  <c r="G141" i="16"/>
  <c r="G15" i="16" s="1"/>
  <c r="C141" i="16"/>
  <c r="C15" i="16" s="1"/>
  <c r="K140" i="16"/>
  <c r="K14" i="16" s="1"/>
  <c r="K162" i="14"/>
  <c r="K36" i="14" s="1"/>
  <c r="G154" i="14"/>
  <c r="C149" i="14"/>
  <c r="K142" i="14"/>
  <c r="C164" i="15"/>
  <c r="C38" i="15" s="1"/>
  <c r="L162" i="15"/>
  <c r="L36" i="15" s="1"/>
  <c r="I161" i="15"/>
  <c r="I35" i="15" s="1"/>
  <c r="H160" i="15"/>
  <c r="H34" i="15" s="1"/>
  <c r="E159" i="15"/>
  <c r="E33" i="15" s="1"/>
  <c r="C158" i="15"/>
  <c r="C32" i="15" s="1"/>
  <c r="M153" i="15"/>
  <c r="M27" i="15" s="1"/>
  <c r="K152" i="15"/>
  <c r="K26" i="15" s="1"/>
  <c r="H151" i="15"/>
  <c r="H25" i="15" s="1"/>
  <c r="I150" i="15"/>
  <c r="I24" i="15" s="1"/>
  <c r="J149" i="15"/>
  <c r="J23" i="15" s="1"/>
  <c r="K148" i="15"/>
  <c r="K22" i="15" s="1"/>
  <c r="M146" i="15"/>
  <c r="M20" i="15" s="1"/>
  <c r="N145" i="15"/>
  <c r="N19" i="15" s="1"/>
  <c r="C145" i="15"/>
  <c r="C19" i="15" s="1"/>
  <c r="E144" i="15"/>
  <c r="E18" i="15" s="1"/>
  <c r="F143" i="15"/>
  <c r="F17" i="15" s="1"/>
  <c r="G142" i="15"/>
  <c r="G16" i="15" s="1"/>
  <c r="I141" i="15"/>
  <c r="I15" i="15" s="1"/>
  <c r="J140" i="15"/>
  <c r="J14" i="15" s="1"/>
  <c r="K139" i="15"/>
  <c r="K13" i="15" s="1"/>
  <c r="M138" i="15"/>
  <c r="M12" i="15" s="1"/>
  <c r="M164" i="16"/>
  <c r="M38" i="16" s="1"/>
  <c r="L132" i="50" s="1"/>
  <c r="H164" i="16"/>
  <c r="H38" i="16" s="1"/>
  <c r="G132" i="50" s="1"/>
  <c r="N163" i="16"/>
  <c r="N37" i="16" s="1"/>
  <c r="I163" i="16"/>
  <c r="I37" i="16" s="1"/>
  <c r="D163" i="16"/>
  <c r="D37" i="16" s="1"/>
  <c r="J162" i="16"/>
  <c r="J36" i="16" s="1"/>
  <c r="E162" i="16"/>
  <c r="L161" i="16"/>
  <c r="L35" i="16" s="1"/>
  <c r="F161" i="16"/>
  <c r="F35" i="16" s="1"/>
  <c r="M160" i="16"/>
  <c r="M34" i="16" s="1"/>
  <c r="H160" i="16"/>
  <c r="H34" i="16" s="1"/>
  <c r="N159" i="16"/>
  <c r="N33" i="16" s="1"/>
  <c r="I159" i="16"/>
  <c r="I33" i="16" s="1"/>
  <c r="D159" i="16"/>
  <c r="D33" i="16" s="1"/>
  <c r="J158" i="16"/>
  <c r="J32" i="16" s="1"/>
  <c r="E158" i="16"/>
  <c r="E32" i="16" s="1"/>
  <c r="L154" i="16"/>
  <c r="L28" i="16" s="1"/>
  <c r="F154" i="16"/>
  <c r="F28" i="16" s="1"/>
  <c r="M153" i="16"/>
  <c r="M27" i="16" s="1"/>
  <c r="H153" i="16"/>
  <c r="H27" i="16" s="1"/>
  <c r="N152" i="16"/>
  <c r="N26" i="16" s="1"/>
  <c r="I152" i="16"/>
  <c r="I26" i="16" s="1"/>
  <c r="D152" i="16"/>
  <c r="D26" i="16" s="1"/>
  <c r="J151" i="16"/>
  <c r="J25" i="16" s="1"/>
  <c r="E151" i="16"/>
  <c r="E25" i="16" s="1"/>
  <c r="L150" i="16"/>
  <c r="L24" i="16" s="1"/>
  <c r="F150" i="16"/>
  <c r="F24" i="16" s="1"/>
  <c r="M149" i="16"/>
  <c r="M23" i="16" s="1"/>
  <c r="H149" i="16"/>
  <c r="H23" i="16" s="1"/>
  <c r="N148" i="16"/>
  <c r="N22" i="16" s="1"/>
  <c r="I148" i="16"/>
  <c r="I22" i="16" s="1"/>
  <c r="D148" i="16"/>
  <c r="D22" i="16" s="1"/>
  <c r="J146" i="16"/>
  <c r="J20" i="16" s="1"/>
  <c r="E146" i="16"/>
  <c r="E20" i="16" s="1"/>
  <c r="L145" i="16"/>
  <c r="L19" i="16" s="1"/>
  <c r="F145" i="16"/>
  <c r="F19" i="16" s="1"/>
  <c r="M144" i="16"/>
  <c r="M18" i="16" s="1"/>
  <c r="H144" i="16"/>
  <c r="H18" i="16" s="1"/>
  <c r="N143" i="16"/>
  <c r="N17" i="16" s="1"/>
  <c r="I143" i="16"/>
  <c r="I17" i="16" s="1"/>
  <c r="D143" i="16"/>
  <c r="D17" i="16" s="1"/>
  <c r="J142" i="16"/>
  <c r="J16" i="16" s="1"/>
  <c r="E142" i="16"/>
  <c r="E16" i="16" s="1"/>
  <c r="L141" i="16"/>
  <c r="L15" i="16" s="1"/>
  <c r="F141" i="16"/>
  <c r="F15" i="16" s="1"/>
  <c r="M140" i="16"/>
  <c r="M14" i="16" s="1"/>
  <c r="H140" i="16"/>
  <c r="H14" i="16" s="1"/>
  <c r="D140" i="16"/>
  <c r="D14" i="16" s="1"/>
  <c r="L139" i="16"/>
  <c r="L13" i="16" s="1"/>
  <c r="H139" i="16"/>
  <c r="H13" i="16" s="1"/>
  <c r="D139" i="16"/>
  <c r="D13" i="16" s="1"/>
  <c r="L138" i="16"/>
  <c r="L12" i="16" s="1"/>
  <c r="H138" i="16"/>
  <c r="H12" i="16" s="1"/>
  <c r="D138" i="16"/>
  <c r="D12" i="16" s="1"/>
  <c r="G162" i="14"/>
  <c r="C154" i="14"/>
  <c r="K148" i="14"/>
  <c r="G142" i="14"/>
  <c r="K164" i="15"/>
  <c r="I163" i="15"/>
  <c r="I37" i="15" s="1"/>
  <c r="G162" i="15"/>
  <c r="D161" i="15"/>
  <c r="D35" i="15" s="1"/>
  <c r="C160" i="15"/>
  <c r="C34" i="15" s="1"/>
  <c r="L158" i="15"/>
  <c r="L32" i="15" s="1"/>
  <c r="I154" i="15"/>
  <c r="I28" i="15" s="1"/>
  <c r="H153" i="15"/>
  <c r="H27" i="15" s="1"/>
  <c r="E152" i="15"/>
  <c r="E26" i="15" s="1"/>
  <c r="C151" i="15"/>
  <c r="C25" i="15" s="1"/>
  <c r="E150" i="15"/>
  <c r="E24" i="15" s="1"/>
  <c r="F149" i="15"/>
  <c r="F23" i="15" s="1"/>
  <c r="G148" i="15"/>
  <c r="G22" i="15" s="1"/>
  <c r="I146" i="15"/>
  <c r="I20" i="15" s="1"/>
  <c r="J145" i="15"/>
  <c r="J19" i="15" s="1"/>
  <c r="K144" i="15"/>
  <c r="K18" i="15" s="1"/>
  <c r="M143" i="15"/>
  <c r="M17" i="15" s="1"/>
  <c r="N142" i="15"/>
  <c r="N16" i="15" s="1"/>
  <c r="C142" i="15"/>
  <c r="C16" i="15" s="1"/>
  <c r="E141" i="15"/>
  <c r="E15" i="15" s="1"/>
  <c r="F140" i="15"/>
  <c r="F14" i="15" s="1"/>
  <c r="G139" i="15"/>
  <c r="G13" i="15" s="1"/>
  <c r="I138" i="15"/>
  <c r="I12" i="15" s="1"/>
  <c r="L164" i="16"/>
  <c r="L38" i="16" s="1"/>
  <c r="K132" i="50" s="1"/>
  <c r="F164" i="16"/>
  <c r="F38" i="16" s="1"/>
  <c r="E132" i="50" s="1"/>
  <c r="M163" i="16"/>
  <c r="M37" i="16" s="1"/>
  <c r="H163" i="16"/>
  <c r="H37" i="16" s="1"/>
  <c r="N162" i="16"/>
  <c r="N36" i="16" s="1"/>
  <c r="I162" i="16"/>
  <c r="I36" i="16" s="1"/>
  <c r="D162" i="16"/>
  <c r="J161" i="16"/>
  <c r="J35" i="16" s="1"/>
  <c r="E161" i="16"/>
  <c r="E35" i="16" s="1"/>
  <c r="L160" i="16"/>
  <c r="L34" i="16" s="1"/>
  <c r="F160" i="16"/>
  <c r="F34" i="16" s="1"/>
  <c r="M159" i="16"/>
  <c r="M33" i="16" s="1"/>
  <c r="H159" i="16"/>
  <c r="H33" i="16" s="1"/>
  <c r="N158" i="16"/>
  <c r="N32" i="16" s="1"/>
  <c r="I158" i="16"/>
  <c r="I32" i="16" s="1"/>
  <c r="D158" i="16"/>
  <c r="D32" i="16" s="1"/>
  <c r="J154" i="16"/>
  <c r="J28" i="16" s="1"/>
  <c r="E154" i="16"/>
  <c r="E28" i="16" s="1"/>
  <c r="L153" i="16"/>
  <c r="L27" i="16" s="1"/>
  <c r="F153" i="16"/>
  <c r="F27" i="16" s="1"/>
  <c r="M152" i="16"/>
  <c r="M26" i="16" s="1"/>
  <c r="H152" i="16"/>
  <c r="H26" i="16" s="1"/>
  <c r="N151" i="16"/>
  <c r="N25" i="16" s="1"/>
  <c r="I151" i="16"/>
  <c r="I25" i="16" s="1"/>
  <c r="D151" i="16"/>
  <c r="D25" i="16" s="1"/>
  <c r="J150" i="16"/>
  <c r="J24" i="16" s="1"/>
  <c r="E150" i="16"/>
  <c r="E24" i="16" s="1"/>
  <c r="L149" i="16"/>
  <c r="L23" i="16" s="1"/>
  <c r="F149" i="16"/>
  <c r="F23" i="16" s="1"/>
  <c r="M148" i="16"/>
  <c r="M22" i="16" s="1"/>
  <c r="H148" i="16"/>
  <c r="H22" i="16" s="1"/>
  <c r="N146" i="16"/>
  <c r="N20" i="16" s="1"/>
  <c r="I146" i="16"/>
  <c r="I20" i="16" s="1"/>
  <c r="D146" i="16"/>
  <c r="D20" i="16" s="1"/>
  <c r="J145" i="16"/>
  <c r="J19" i="16" s="1"/>
  <c r="E145" i="16"/>
  <c r="E19" i="16" s="1"/>
  <c r="L144" i="16"/>
  <c r="L18" i="16" s="1"/>
  <c r="F144" i="16"/>
  <c r="F18" i="16" s="1"/>
  <c r="M143" i="16"/>
  <c r="M17" i="16" s="1"/>
  <c r="H143" i="16"/>
  <c r="H17" i="16" s="1"/>
  <c r="N142" i="16"/>
  <c r="N16" i="16" s="1"/>
  <c r="I142" i="16"/>
  <c r="I16" i="16" s="1"/>
  <c r="D142" i="16"/>
  <c r="D16" i="16" s="1"/>
  <c r="J141" i="16"/>
  <c r="J15" i="16" s="1"/>
  <c r="E141" i="16"/>
  <c r="E15" i="16" s="1"/>
  <c r="L140" i="16"/>
  <c r="L14" i="16" s="1"/>
  <c r="G140" i="16"/>
  <c r="G14" i="16" s="1"/>
  <c r="C140" i="16"/>
  <c r="C14" i="16" s="1"/>
  <c r="K139" i="16"/>
  <c r="K13" i="16" s="1"/>
  <c r="G139" i="16"/>
  <c r="G13" i="16" s="1"/>
  <c r="C139" i="16"/>
  <c r="C13" i="16" s="1"/>
  <c r="K138" i="16"/>
  <c r="K12" i="16" s="1"/>
  <c r="G138" i="16"/>
  <c r="G12" i="16" s="1"/>
  <c r="C138" i="16"/>
  <c r="C12" i="16" s="1"/>
  <c r="C160" i="14"/>
  <c r="C34" i="14" s="1"/>
  <c r="G145" i="14"/>
  <c r="G163" i="15"/>
  <c r="G37" i="15" s="1"/>
  <c r="C161" i="15"/>
  <c r="K158" i="15"/>
  <c r="K32" i="15" s="1"/>
  <c r="E153" i="15"/>
  <c r="E27" i="15" s="1"/>
  <c r="N150" i="15"/>
  <c r="N24" i="15" s="1"/>
  <c r="E149" i="15"/>
  <c r="E23" i="15" s="1"/>
  <c r="G146" i="15"/>
  <c r="G20" i="15" s="1"/>
  <c r="J144" i="15"/>
  <c r="J18" i="15" s="1"/>
  <c r="M142" i="15"/>
  <c r="M16" i="15" s="1"/>
  <c r="C141" i="15"/>
  <c r="C15" i="15" s="1"/>
  <c r="F139" i="15"/>
  <c r="F13" i="15" s="1"/>
  <c r="I164" i="16"/>
  <c r="I38" i="16" s="1"/>
  <c r="H132" i="50" s="1"/>
  <c r="J163" i="16"/>
  <c r="J37" i="16" s="1"/>
  <c r="L162" i="16"/>
  <c r="L36" i="16" s="1"/>
  <c r="M161" i="16"/>
  <c r="M35" i="16" s="1"/>
  <c r="N160" i="16"/>
  <c r="N34" i="16" s="1"/>
  <c r="D160" i="16"/>
  <c r="D34" i="16" s="1"/>
  <c r="E159" i="16"/>
  <c r="E33" i="16" s="1"/>
  <c r="F158" i="16"/>
  <c r="F32" i="16" s="1"/>
  <c r="H154" i="16"/>
  <c r="H28" i="16" s="1"/>
  <c r="I153" i="16"/>
  <c r="I27" i="16" s="1"/>
  <c r="J152" i="16"/>
  <c r="J26" i="16" s="1"/>
  <c r="L151" i="16"/>
  <c r="L25" i="16" s="1"/>
  <c r="M150" i="16"/>
  <c r="M24" i="16" s="1"/>
  <c r="N149" i="16"/>
  <c r="N23" i="16" s="1"/>
  <c r="D149" i="16"/>
  <c r="D23" i="16" s="1"/>
  <c r="E148" i="16"/>
  <c r="E22" i="16" s="1"/>
  <c r="F146" i="16"/>
  <c r="F20" i="16" s="1"/>
  <c r="H145" i="16"/>
  <c r="H19" i="16" s="1"/>
  <c r="I144" i="16"/>
  <c r="I18" i="16" s="1"/>
  <c r="J143" i="16"/>
  <c r="J17" i="16" s="1"/>
  <c r="L142" i="16"/>
  <c r="L16" i="16" s="1"/>
  <c r="M141" i="16"/>
  <c r="M15" i="16" s="1"/>
  <c r="N140" i="16"/>
  <c r="N14" i="16" s="1"/>
  <c r="E140" i="16"/>
  <c r="E14" i="16" s="1"/>
  <c r="I139" i="16"/>
  <c r="I13" i="16" s="1"/>
  <c r="M138" i="16"/>
  <c r="M12" i="16" s="1"/>
  <c r="E138" i="16"/>
  <c r="E12" i="16" s="1"/>
  <c r="K144" i="10"/>
  <c r="K38" i="10" s="1"/>
  <c r="G144" i="10"/>
  <c r="G38" i="10" s="1"/>
  <c r="C144" i="10"/>
  <c r="K143" i="10"/>
  <c r="K37" i="10" s="1"/>
  <c r="G143" i="10"/>
  <c r="G37" i="10" s="1"/>
  <c r="C143" i="10"/>
  <c r="K142" i="10"/>
  <c r="K36" i="10" s="1"/>
  <c r="G142" i="10"/>
  <c r="G36" i="10" s="1"/>
  <c r="C142" i="10"/>
  <c r="C36" i="10" s="1"/>
  <c r="K141" i="10"/>
  <c r="K35" i="10" s="1"/>
  <c r="G141" i="10"/>
  <c r="G35" i="10" s="1"/>
  <c r="C141" i="10"/>
  <c r="C35" i="10" s="1"/>
  <c r="K140" i="10"/>
  <c r="K34" i="10" s="1"/>
  <c r="G140" i="10"/>
  <c r="G34" i="10" s="1"/>
  <c r="C140" i="10"/>
  <c r="K139" i="10"/>
  <c r="K33" i="10" s="1"/>
  <c r="G139" i="10"/>
  <c r="G33" i="10" s="1"/>
  <c r="C139" i="10"/>
  <c r="K138" i="10"/>
  <c r="K32" i="10" s="1"/>
  <c r="G138" i="10"/>
  <c r="G32" i="10" s="1"/>
  <c r="C138" i="10"/>
  <c r="K134" i="10"/>
  <c r="K28" i="10" s="1"/>
  <c r="G134" i="10"/>
  <c r="G28" i="10" s="1"/>
  <c r="C134" i="10"/>
  <c r="K133" i="10"/>
  <c r="K27" i="10" s="1"/>
  <c r="G133" i="10"/>
  <c r="G27" i="10" s="1"/>
  <c r="C133" i="10"/>
  <c r="K132" i="10"/>
  <c r="K26" i="10" s="1"/>
  <c r="G132" i="10"/>
  <c r="G26" i="10" s="1"/>
  <c r="C132" i="10"/>
  <c r="K131" i="10"/>
  <c r="K25" i="10" s="1"/>
  <c r="G131" i="10"/>
  <c r="G25" i="10" s="1"/>
  <c r="C131" i="10"/>
  <c r="K130" i="10"/>
  <c r="K24" i="10" s="1"/>
  <c r="G130" i="10"/>
  <c r="G24" i="10" s="1"/>
  <c r="C130" i="10"/>
  <c r="K129" i="10"/>
  <c r="K23" i="10" s="1"/>
  <c r="G129" i="10"/>
  <c r="G23" i="10" s="1"/>
  <c r="C129" i="10"/>
  <c r="K128" i="10"/>
  <c r="K22" i="10" s="1"/>
  <c r="G128" i="10"/>
  <c r="G22" i="10" s="1"/>
  <c r="C128" i="10"/>
  <c r="K126" i="10"/>
  <c r="K20" i="10" s="1"/>
  <c r="G126" i="10"/>
  <c r="G20" i="10" s="1"/>
  <c r="C126" i="10"/>
  <c r="K125" i="10"/>
  <c r="K19" i="10" s="1"/>
  <c r="G125" i="10"/>
  <c r="G19" i="10" s="1"/>
  <c r="C125" i="10"/>
  <c r="K124" i="10"/>
  <c r="K18" i="10" s="1"/>
  <c r="G124" i="10"/>
  <c r="G18" i="10" s="1"/>
  <c r="C124" i="10"/>
  <c r="K123" i="10"/>
  <c r="K17" i="10" s="1"/>
  <c r="G123" i="10"/>
  <c r="G17" i="10" s="1"/>
  <c r="C123" i="10"/>
  <c r="K122" i="10"/>
  <c r="K16" i="10" s="1"/>
  <c r="G122" i="10"/>
  <c r="G16" i="10" s="1"/>
  <c r="C122" i="10"/>
  <c r="K121" i="10"/>
  <c r="K15" i="10" s="1"/>
  <c r="G121" i="10"/>
  <c r="G15" i="10" s="1"/>
  <c r="C121" i="10"/>
  <c r="K120" i="10"/>
  <c r="K14" i="10" s="1"/>
  <c r="G120" i="10"/>
  <c r="G14" i="10" s="1"/>
  <c r="C120" i="10"/>
  <c r="K119" i="10"/>
  <c r="K13" i="10" s="1"/>
  <c r="G119" i="10"/>
  <c r="G13" i="10" s="1"/>
  <c r="C119" i="10"/>
  <c r="K118" i="10"/>
  <c r="K12" i="10" s="1"/>
  <c r="G118" i="10"/>
  <c r="G12" i="10" s="1"/>
  <c r="C118" i="10"/>
  <c r="N144" i="11"/>
  <c r="N38" i="11" s="1"/>
  <c r="J144" i="11"/>
  <c r="J38" i="11" s="1"/>
  <c r="F144" i="11"/>
  <c r="F38" i="11" s="1"/>
  <c r="K151" i="14"/>
  <c r="C140" i="14"/>
  <c r="I164" i="15"/>
  <c r="E162" i="15"/>
  <c r="L159" i="15"/>
  <c r="L33" i="15" s="1"/>
  <c r="H154" i="15"/>
  <c r="H28" i="15" s="1"/>
  <c r="D152" i="15"/>
  <c r="D26" i="15" s="1"/>
  <c r="C150" i="15"/>
  <c r="C24" i="15" s="1"/>
  <c r="F148" i="15"/>
  <c r="F22" i="15" s="1"/>
  <c r="I145" i="15"/>
  <c r="I19" i="15" s="1"/>
  <c r="K143" i="15"/>
  <c r="K17" i="15" s="1"/>
  <c r="N141" i="15"/>
  <c r="N15" i="15" s="1"/>
  <c r="E140" i="15"/>
  <c r="E14" i="15" s="1"/>
  <c r="G138" i="15"/>
  <c r="G12" i="15" s="1"/>
  <c r="N164" i="16"/>
  <c r="N38" i="16" s="1"/>
  <c r="M132" i="50" s="1"/>
  <c r="D164" i="16"/>
  <c r="D38" i="16" s="1"/>
  <c r="C132" i="50" s="1"/>
  <c r="E163" i="16"/>
  <c r="E37" i="16" s="1"/>
  <c r="F162" i="16"/>
  <c r="H161" i="16"/>
  <c r="H35" i="16" s="1"/>
  <c r="I160" i="16"/>
  <c r="I34" i="16" s="1"/>
  <c r="J159" i="16"/>
  <c r="J33" i="16" s="1"/>
  <c r="L158" i="16"/>
  <c r="L32" i="16" s="1"/>
  <c r="M154" i="16"/>
  <c r="M28" i="16" s="1"/>
  <c r="N153" i="16"/>
  <c r="N27" i="16" s="1"/>
  <c r="D153" i="16"/>
  <c r="D27" i="16" s="1"/>
  <c r="E152" i="16"/>
  <c r="E26" i="16" s="1"/>
  <c r="F151" i="16"/>
  <c r="F25" i="16" s="1"/>
  <c r="H150" i="16"/>
  <c r="H24" i="16" s="1"/>
  <c r="I149" i="16"/>
  <c r="I23" i="16" s="1"/>
  <c r="J148" i="16"/>
  <c r="J22" i="16" s="1"/>
  <c r="L146" i="16"/>
  <c r="L20" i="16" s="1"/>
  <c r="M145" i="16"/>
  <c r="M19" i="16" s="1"/>
  <c r="N144" i="16"/>
  <c r="N18" i="16" s="1"/>
  <c r="D144" i="16"/>
  <c r="D18" i="16" s="1"/>
  <c r="E143" i="16"/>
  <c r="E17" i="16" s="1"/>
  <c r="F142" i="16"/>
  <c r="F16" i="16" s="1"/>
  <c r="H141" i="16"/>
  <c r="H15" i="16" s="1"/>
  <c r="I140" i="16"/>
  <c r="I14" i="16" s="1"/>
  <c r="M139" i="16"/>
  <c r="M13" i="16" s="1"/>
  <c r="E139" i="16"/>
  <c r="E13" i="16" s="1"/>
  <c r="I138" i="16"/>
  <c r="I12" i="16" s="1"/>
  <c r="M144" i="10"/>
  <c r="M38" i="10" s="1"/>
  <c r="I144" i="10"/>
  <c r="I38" i="10" s="1"/>
  <c r="E144" i="10"/>
  <c r="E38" i="10" s="1"/>
  <c r="M143" i="10"/>
  <c r="M37" i="10" s="1"/>
  <c r="I143" i="10"/>
  <c r="I37" i="10" s="1"/>
  <c r="E143" i="10"/>
  <c r="E37" i="10" s="1"/>
  <c r="M142" i="10"/>
  <c r="M36" i="10" s="1"/>
  <c r="I142" i="10"/>
  <c r="I36" i="10" s="1"/>
  <c r="E142" i="10"/>
  <c r="E36" i="10" s="1"/>
  <c r="M141" i="10"/>
  <c r="M35" i="10" s="1"/>
  <c r="I141" i="10"/>
  <c r="I35" i="10" s="1"/>
  <c r="E141" i="10"/>
  <c r="E35" i="10" s="1"/>
  <c r="M140" i="10"/>
  <c r="M34" i="10" s="1"/>
  <c r="I140" i="10"/>
  <c r="I34" i="10" s="1"/>
  <c r="E140" i="10"/>
  <c r="E34" i="10" s="1"/>
  <c r="M139" i="10"/>
  <c r="M33" i="10" s="1"/>
  <c r="I139" i="10"/>
  <c r="I33" i="10" s="1"/>
  <c r="E139" i="10"/>
  <c r="E33" i="10" s="1"/>
  <c r="M138" i="10"/>
  <c r="M32" i="10" s="1"/>
  <c r="I138" i="10"/>
  <c r="I32" i="10" s="1"/>
  <c r="E138" i="10"/>
  <c r="E32" i="10" s="1"/>
  <c r="M134" i="10"/>
  <c r="M28" i="10" s="1"/>
  <c r="I134" i="10"/>
  <c r="I28" i="10" s="1"/>
  <c r="E134" i="10"/>
  <c r="E28" i="10" s="1"/>
  <c r="M133" i="10"/>
  <c r="M27" i="10" s="1"/>
  <c r="I133" i="10"/>
  <c r="I27" i="10" s="1"/>
  <c r="E133" i="10"/>
  <c r="E27" i="10" s="1"/>
  <c r="M132" i="10"/>
  <c r="M26" i="10" s="1"/>
  <c r="I132" i="10"/>
  <c r="I26" i="10" s="1"/>
  <c r="E132" i="10"/>
  <c r="E26" i="10" s="1"/>
  <c r="M131" i="10"/>
  <c r="M25" i="10" s="1"/>
  <c r="I131" i="10"/>
  <c r="I25" i="10" s="1"/>
  <c r="E131" i="10"/>
  <c r="E25" i="10" s="1"/>
  <c r="M130" i="10"/>
  <c r="M24" i="10" s="1"/>
  <c r="I130" i="10"/>
  <c r="I24" i="10" s="1"/>
  <c r="E130" i="10"/>
  <c r="E24" i="10" s="1"/>
  <c r="M129" i="10"/>
  <c r="M23" i="10" s="1"/>
  <c r="I129" i="10"/>
  <c r="I23" i="10" s="1"/>
  <c r="E129" i="10"/>
  <c r="E23" i="10" s="1"/>
  <c r="M128" i="10"/>
  <c r="M22" i="10" s="1"/>
  <c r="I128" i="10"/>
  <c r="I22" i="10" s="1"/>
  <c r="E128" i="10"/>
  <c r="E22" i="10" s="1"/>
  <c r="M126" i="10"/>
  <c r="M20" i="10" s="1"/>
  <c r="I126" i="10"/>
  <c r="I20" i="10" s="1"/>
  <c r="E126" i="10"/>
  <c r="E20" i="10" s="1"/>
  <c r="M125" i="10"/>
  <c r="M19" i="10" s="1"/>
  <c r="I125" i="10"/>
  <c r="I19" i="10" s="1"/>
  <c r="E125" i="10"/>
  <c r="E19" i="10" s="1"/>
  <c r="M124" i="10"/>
  <c r="M18" i="10" s="1"/>
  <c r="I124" i="10"/>
  <c r="I18" i="10" s="1"/>
  <c r="E124" i="10"/>
  <c r="E18" i="10" s="1"/>
  <c r="M123" i="10"/>
  <c r="M17" i="10" s="1"/>
  <c r="I123" i="10"/>
  <c r="I17" i="10" s="1"/>
  <c r="E123" i="10"/>
  <c r="E17" i="10" s="1"/>
  <c r="M122" i="10"/>
  <c r="M16" i="10" s="1"/>
  <c r="I122" i="10"/>
  <c r="I16" i="10" s="1"/>
  <c r="E122" i="10"/>
  <c r="E16" i="10" s="1"/>
  <c r="M121" i="10"/>
  <c r="M15" i="10" s="1"/>
  <c r="I121" i="10"/>
  <c r="I15" i="10" s="1"/>
  <c r="E121" i="10"/>
  <c r="E15" i="10" s="1"/>
  <c r="M120" i="10"/>
  <c r="M14" i="10" s="1"/>
  <c r="I120" i="10"/>
  <c r="I14" i="10" s="1"/>
  <c r="E120" i="10"/>
  <c r="E14" i="10" s="1"/>
  <c r="M119" i="10"/>
  <c r="M13" i="10" s="1"/>
  <c r="I119" i="10"/>
  <c r="I13" i="10" s="1"/>
  <c r="E119" i="10"/>
  <c r="E13" i="10" s="1"/>
  <c r="M118" i="10"/>
  <c r="M12" i="10" s="1"/>
  <c r="I118" i="10"/>
  <c r="I12" i="10" s="1"/>
  <c r="E118" i="10"/>
  <c r="E12" i="10" s="1"/>
  <c r="K159" i="14"/>
  <c r="K33" i="14" s="1"/>
  <c r="J124" i="60" s="1"/>
  <c r="K146" i="79" s="1"/>
  <c r="L115" i="78" s="1"/>
  <c r="D164" i="15"/>
  <c r="G159" i="15"/>
  <c r="G33" i="15" s="1"/>
  <c r="K151" i="15"/>
  <c r="K25" i="15" s="1"/>
  <c r="N146" i="15"/>
  <c r="N20" i="15" s="1"/>
  <c r="G143" i="15"/>
  <c r="G17" i="15" s="1"/>
  <c r="M139" i="15"/>
  <c r="M13" i="15" s="1"/>
  <c r="L163" i="16"/>
  <c r="L37" i="16" s="1"/>
  <c r="N161" i="16"/>
  <c r="N35" i="16" s="1"/>
  <c r="E160" i="16"/>
  <c r="E34" i="16" s="1"/>
  <c r="H158" i="16"/>
  <c r="H32" i="16" s="1"/>
  <c r="J153" i="16"/>
  <c r="J27" i="16" s="1"/>
  <c r="M151" i="16"/>
  <c r="M25" i="16" s="1"/>
  <c r="D150" i="16"/>
  <c r="D24" i="16" s="1"/>
  <c r="F148" i="16"/>
  <c r="F22" i="16" s="1"/>
  <c r="I145" i="16"/>
  <c r="I19" i="16" s="1"/>
  <c r="L143" i="16"/>
  <c r="L17" i="16" s="1"/>
  <c r="N141" i="16"/>
  <c r="N15" i="16" s="1"/>
  <c r="F140" i="16"/>
  <c r="F14" i="16" s="1"/>
  <c r="N138" i="16"/>
  <c r="N12" i="16" s="1"/>
  <c r="N144" i="10"/>
  <c r="N38" i="10" s="1"/>
  <c r="F144" i="10"/>
  <c r="F38" i="10" s="1"/>
  <c r="J143" i="10"/>
  <c r="J37" i="10" s="1"/>
  <c r="N142" i="10"/>
  <c r="N36" i="10" s="1"/>
  <c r="F142" i="10"/>
  <c r="F36" i="10" s="1"/>
  <c r="J141" i="10"/>
  <c r="J35" i="10" s="1"/>
  <c r="N140" i="10"/>
  <c r="N34" i="10" s="1"/>
  <c r="F140" i="10"/>
  <c r="F34" i="10" s="1"/>
  <c r="J139" i="10"/>
  <c r="J33" i="10" s="1"/>
  <c r="N138" i="10"/>
  <c r="N32" i="10" s="1"/>
  <c r="F138" i="10"/>
  <c r="F32" i="10" s="1"/>
  <c r="J134" i="10"/>
  <c r="J28" i="10" s="1"/>
  <c r="N133" i="10"/>
  <c r="N27" i="10" s="1"/>
  <c r="F133" i="10"/>
  <c r="F27" i="10" s="1"/>
  <c r="J132" i="10"/>
  <c r="J26" i="10" s="1"/>
  <c r="N131" i="10"/>
  <c r="N25" i="10" s="1"/>
  <c r="F131" i="10"/>
  <c r="F25" i="10" s="1"/>
  <c r="J130" i="10"/>
  <c r="J24" i="10" s="1"/>
  <c r="N129" i="10"/>
  <c r="N23" i="10" s="1"/>
  <c r="F129" i="10"/>
  <c r="F23" i="10" s="1"/>
  <c r="J128" i="10"/>
  <c r="J22" i="10" s="1"/>
  <c r="N126" i="10"/>
  <c r="N20" i="10" s="1"/>
  <c r="F126" i="10"/>
  <c r="F20" i="10" s="1"/>
  <c r="J125" i="10"/>
  <c r="J19" i="10" s="1"/>
  <c r="N124" i="10"/>
  <c r="N18" i="10" s="1"/>
  <c r="F124" i="10"/>
  <c r="F18" i="10" s="1"/>
  <c r="J123" i="10"/>
  <c r="J17" i="10" s="1"/>
  <c r="N122" i="10"/>
  <c r="N16" i="10" s="1"/>
  <c r="F122" i="10"/>
  <c r="F16" i="10" s="1"/>
  <c r="J121" i="10"/>
  <c r="J15" i="10" s="1"/>
  <c r="N120" i="10"/>
  <c r="N14" i="10" s="1"/>
  <c r="F120" i="10"/>
  <c r="F14" i="10" s="1"/>
  <c r="J119" i="10"/>
  <c r="J13" i="10" s="1"/>
  <c r="N118" i="10"/>
  <c r="N12" i="10" s="1"/>
  <c r="F118" i="10"/>
  <c r="F12" i="10" s="1"/>
  <c r="I144" i="11"/>
  <c r="I38" i="11" s="1"/>
  <c r="D144" i="11"/>
  <c r="D38" i="11" s="1"/>
  <c r="L143" i="11"/>
  <c r="L37" i="11" s="1"/>
  <c r="H143" i="11"/>
  <c r="H37" i="11" s="1"/>
  <c r="D143" i="11"/>
  <c r="D37" i="11" s="1"/>
  <c r="L142" i="11"/>
  <c r="L36" i="11" s="1"/>
  <c r="H142" i="11"/>
  <c r="H36" i="11" s="1"/>
  <c r="D142" i="11"/>
  <c r="D36" i="11" s="1"/>
  <c r="L141" i="11"/>
  <c r="L35" i="11" s="1"/>
  <c r="H141" i="11"/>
  <c r="H35" i="11" s="1"/>
  <c r="D141" i="11"/>
  <c r="D35" i="11" s="1"/>
  <c r="L140" i="11"/>
  <c r="L34" i="11" s="1"/>
  <c r="H140" i="11"/>
  <c r="H34" i="11" s="1"/>
  <c r="D140" i="11"/>
  <c r="D34" i="11" s="1"/>
  <c r="L139" i="11"/>
  <c r="L33" i="11" s="1"/>
  <c r="H139" i="11"/>
  <c r="H33" i="11" s="1"/>
  <c r="D139" i="11"/>
  <c r="D33" i="11" s="1"/>
  <c r="L138" i="11"/>
  <c r="L32" i="11" s="1"/>
  <c r="H138" i="11"/>
  <c r="H32" i="11" s="1"/>
  <c r="D138" i="11"/>
  <c r="D32" i="11" s="1"/>
  <c r="L134" i="11"/>
  <c r="L28" i="11" s="1"/>
  <c r="H134" i="11"/>
  <c r="H28" i="11" s="1"/>
  <c r="D134" i="11"/>
  <c r="D28" i="11" s="1"/>
  <c r="L133" i="11"/>
  <c r="L27" i="11" s="1"/>
  <c r="H133" i="11"/>
  <c r="H27" i="11" s="1"/>
  <c r="D133" i="11"/>
  <c r="D27" i="11" s="1"/>
  <c r="L132" i="11"/>
  <c r="L26" i="11" s="1"/>
  <c r="H132" i="11"/>
  <c r="H26" i="11" s="1"/>
  <c r="D132" i="11"/>
  <c r="D26" i="11" s="1"/>
  <c r="L131" i="11"/>
  <c r="L25" i="11" s="1"/>
  <c r="H131" i="11"/>
  <c r="H25" i="11" s="1"/>
  <c r="D131" i="11"/>
  <c r="D25" i="11" s="1"/>
  <c r="L130" i="11"/>
  <c r="L24" i="11" s="1"/>
  <c r="H130" i="11"/>
  <c r="H24" i="11" s="1"/>
  <c r="D130" i="11"/>
  <c r="D24" i="11" s="1"/>
  <c r="L129" i="11"/>
  <c r="L23" i="11" s="1"/>
  <c r="H129" i="11"/>
  <c r="H23" i="11" s="1"/>
  <c r="D129" i="11"/>
  <c r="D23" i="11" s="1"/>
  <c r="L128" i="11"/>
  <c r="L22" i="11" s="1"/>
  <c r="H128" i="11"/>
  <c r="H22" i="11" s="1"/>
  <c r="D128" i="11"/>
  <c r="D22" i="11" s="1"/>
  <c r="L126" i="11"/>
  <c r="L20" i="11" s="1"/>
  <c r="H126" i="11"/>
  <c r="H20" i="11" s="1"/>
  <c r="D126" i="11"/>
  <c r="D20" i="11" s="1"/>
  <c r="L125" i="11"/>
  <c r="L19" i="11" s="1"/>
  <c r="H125" i="11"/>
  <c r="H19" i="11" s="1"/>
  <c r="D125" i="11"/>
  <c r="D19" i="11" s="1"/>
  <c r="L124" i="11"/>
  <c r="L18" i="11" s="1"/>
  <c r="H124" i="11"/>
  <c r="H18" i="11" s="1"/>
  <c r="D124" i="11"/>
  <c r="D18" i="11" s="1"/>
  <c r="L123" i="11"/>
  <c r="L17" i="11" s="1"/>
  <c r="H123" i="11"/>
  <c r="H17" i="11" s="1"/>
  <c r="D123" i="11"/>
  <c r="D17" i="11" s="1"/>
  <c r="L122" i="11"/>
  <c r="L16" i="11" s="1"/>
  <c r="H122" i="11"/>
  <c r="H16" i="11" s="1"/>
  <c r="D122" i="11"/>
  <c r="D16" i="11" s="1"/>
  <c r="L121" i="11"/>
  <c r="L15" i="11" s="1"/>
  <c r="H121" i="11"/>
  <c r="H15" i="11" s="1"/>
  <c r="D121" i="11"/>
  <c r="D15" i="11" s="1"/>
  <c r="L120" i="11"/>
  <c r="L14" i="11" s="1"/>
  <c r="H120" i="11"/>
  <c r="H14" i="11" s="1"/>
  <c r="D120" i="11"/>
  <c r="D14" i="11" s="1"/>
  <c r="L119" i="11"/>
  <c r="L13" i="11" s="1"/>
  <c r="H119" i="11"/>
  <c r="H13" i="11" s="1"/>
  <c r="D119" i="11"/>
  <c r="D13" i="11" s="1"/>
  <c r="L118" i="11"/>
  <c r="L12" i="11" s="1"/>
  <c r="H118" i="11"/>
  <c r="H12" i="11" s="1"/>
  <c r="D118" i="11"/>
  <c r="D12" i="11" s="1"/>
  <c r="K150" i="12"/>
  <c r="K37" i="12" s="1"/>
  <c r="G150" i="12"/>
  <c r="G37" i="12" s="1"/>
  <c r="C150" i="12"/>
  <c r="K149" i="12"/>
  <c r="K36" i="12" s="1"/>
  <c r="G149" i="12"/>
  <c r="G36" i="12" s="1"/>
  <c r="C149" i="12"/>
  <c r="K148" i="12"/>
  <c r="K35" i="12" s="1"/>
  <c r="G148" i="12"/>
  <c r="G35" i="12" s="1"/>
  <c r="C148" i="12"/>
  <c r="C35" i="12" s="1"/>
  <c r="K147" i="12"/>
  <c r="K34" i="12" s="1"/>
  <c r="G147" i="12"/>
  <c r="G34" i="12" s="1"/>
  <c r="C147" i="12"/>
  <c r="C34" i="12" s="1"/>
  <c r="K146" i="12"/>
  <c r="K33" i="12" s="1"/>
  <c r="G146" i="12"/>
  <c r="G33" i="12" s="1"/>
  <c r="C146" i="12"/>
  <c r="K145" i="12"/>
  <c r="K32" i="12" s="1"/>
  <c r="G145" i="12"/>
  <c r="G32" i="12" s="1"/>
  <c r="C145" i="12"/>
  <c r="K144" i="12"/>
  <c r="K31" i="12" s="1"/>
  <c r="G144" i="12"/>
  <c r="G31" i="12" s="1"/>
  <c r="C144" i="12"/>
  <c r="K140" i="12"/>
  <c r="G140" i="12"/>
  <c r="C140" i="12"/>
  <c r="K139" i="12"/>
  <c r="G139" i="12"/>
  <c r="C139" i="12"/>
  <c r="K138" i="12"/>
  <c r="G138" i="12"/>
  <c r="C138" i="12"/>
  <c r="K137" i="12"/>
  <c r="G137" i="12"/>
  <c r="C137" i="12"/>
  <c r="K136" i="12"/>
  <c r="G136" i="12"/>
  <c r="C136" i="12"/>
  <c r="K135" i="12"/>
  <c r="G135" i="12"/>
  <c r="C135" i="12"/>
  <c r="K134" i="12"/>
  <c r="G134" i="12"/>
  <c r="C134" i="12"/>
  <c r="K133" i="12"/>
  <c r="G133" i="12"/>
  <c r="C133" i="12"/>
  <c r="K132" i="12"/>
  <c r="G132" i="12"/>
  <c r="C132" i="12"/>
  <c r="K131" i="12"/>
  <c r="G131" i="12"/>
  <c r="C131" i="12"/>
  <c r="K130" i="12"/>
  <c r="G130" i="12"/>
  <c r="C130" i="12"/>
  <c r="K129" i="12"/>
  <c r="G129" i="12"/>
  <c r="C129" i="12"/>
  <c r="K128" i="12"/>
  <c r="G128" i="12"/>
  <c r="C128" i="12"/>
  <c r="K127" i="12"/>
  <c r="G127" i="12"/>
  <c r="C127" i="12"/>
  <c r="K126" i="12"/>
  <c r="G126" i="12"/>
  <c r="C126" i="12"/>
  <c r="K125" i="12"/>
  <c r="G125" i="12"/>
  <c r="C125" i="12"/>
  <c r="K124" i="12"/>
  <c r="G124" i="12"/>
  <c r="C124" i="12"/>
  <c r="C145" i="14"/>
  <c r="L161" i="15"/>
  <c r="L35" i="15" s="1"/>
  <c r="C154" i="15"/>
  <c r="C28" i="15" s="1"/>
  <c r="K149" i="15"/>
  <c r="K23" i="15" s="1"/>
  <c r="E145" i="15"/>
  <c r="E19" i="15" s="1"/>
  <c r="J141" i="15"/>
  <c r="J15" i="15" s="1"/>
  <c r="C138" i="15"/>
  <c r="J164" i="16"/>
  <c r="J38" i="16" s="1"/>
  <c r="I132" i="50" s="1"/>
  <c r="M162" i="16"/>
  <c r="M36" i="16" s="1"/>
  <c r="D161" i="16"/>
  <c r="D35" i="16" s="1"/>
  <c r="F159" i="16"/>
  <c r="F33" i="16" s="1"/>
  <c r="I154" i="16"/>
  <c r="I28" i="16" s="1"/>
  <c r="L152" i="16"/>
  <c r="L26" i="16" s="1"/>
  <c r="N150" i="16"/>
  <c r="N24" i="16" s="1"/>
  <c r="E149" i="16"/>
  <c r="E23" i="16" s="1"/>
  <c r="H146" i="16"/>
  <c r="H20" i="16" s="1"/>
  <c r="J144" i="16"/>
  <c r="J18" i="16" s="1"/>
  <c r="M142" i="16"/>
  <c r="M16" i="16" s="1"/>
  <c r="D141" i="16"/>
  <c r="D15" i="16" s="1"/>
  <c r="J139" i="16"/>
  <c r="J13" i="16" s="1"/>
  <c r="F138" i="16"/>
  <c r="F12" i="16" s="1"/>
  <c r="J144" i="10"/>
  <c r="J38" i="10" s="1"/>
  <c r="N143" i="10"/>
  <c r="N37" i="10" s="1"/>
  <c r="F143" i="10"/>
  <c r="F37" i="10" s="1"/>
  <c r="J142" i="10"/>
  <c r="J36" i="10" s="1"/>
  <c r="N141" i="10"/>
  <c r="N35" i="10" s="1"/>
  <c r="F141" i="10"/>
  <c r="F35" i="10" s="1"/>
  <c r="J140" i="10"/>
  <c r="J34" i="10" s="1"/>
  <c r="N139" i="10"/>
  <c r="N33" i="10" s="1"/>
  <c r="F139" i="10"/>
  <c r="F33" i="10" s="1"/>
  <c r="J138" i="10"/>
  <c r="J32" i="10" s="1"/>
  <c r="N134" i="10"/>
  <c r="N28" i="10" s="1"/>
  <c r="F134" i="10"/>
  <c r="F28" i="10" s="1"/>
  <c r="J133" i="10"/>
  <c r="J27" i="10" s="1"/>
  <c r="N132" i="10"/>
  <c r="N26" i="10" s="1"/>
  <c r="F132" i="10"/>
  <c r="F26" i="10" s="1"/>
  <c r="J131" i="10"/>
  <c r="J25" i="10" s="1"/>
  <c r="N130" i="10"/>
  <c r="N24" i="10" s="1"/>
  <c r="F130" i="10"/>
  <c r="F24" i="10" s="1"/>
  <c r="J129" i="10"/>
  <c r="J23" i="10" s="1"/>
  <c r="N128" i="10"/>
  <c r="N22" i="10" s="1"/>
  <c r="F128" i="10"/>
  <c r="F22" i="10" s="1"/>
  <c r="J126" i="10"/>
  <c r="J20" i="10" s="1"/>
  <c r="N125" i="10"/>
  <c r="N19" i="10" s="1"/>
  <c r="F125" i="10"/>
  <c r="F19" i="10" s="1"/>
  <c r="J124" i="10"/>
  <c r="J18" i="10" s="1"/>
  <c r="N123" i="10"/>
  <c r="N17" i="10" s="1"/>
  <c r="F123" i="10"/>
  <c r="F17" i="10" s="1"/>
  <c r="J122" i="10"/>
  <c r="J16" i="10" s="1"/>
  <c r="N121" i="10"/>
  <c r="N15" i="10" s="1"/>
  <c r="F121" i="10"/>
  <c r="F15" i="10" s="1"/>
  <c r="J120" i="10"/>
  <c r="J14" i="10" s="1"/>
  <c r="N119" i="10"/>
  <c r="N13" i="10" s="1"/>
  <c r="F119" i="10"/>
  <c r="F13" i="10" s="1"/>
  <c r="J118" i="10"/>
  <c r="J12" i="10" s="1"/>
  <c r="L144" i="11"/>
  <c r="L38" i="11" s="1"/>
  <c r="G144" i="11"/>
  <c r="G38" i="11" s="1"/>
  <c r="N143" i="11"/>
  <c r="N37" i="11" s="1"/>
  <c r="J143" i="11"/>
  <c r="J37" i="11" s="1"/>
  <c r="F143" i="11"/>
  <c r="F37" i="11" s="1"/>
  <c r="N142" i="11"/>
  <c r="N36" i="11" s="1"/>
  <c r="J142" i="11"/>
  <c r="J36" i="11" s="1"/>
  <c r="F142" i="11"/>
  <c r="F36" i="11" s="1"/>
  <c r="N141" i="11"/>
  <c r="N35" i="11" s="1"/>
  <c r="J141" i="11"/>
  <c r="J35" i="11" s="1"/>
  <c r="F141" i="11"/>
  <c r="F35" i="11" s="1"/>
  <c r="N140" i="11"/>
  <c r="N34" i="11" s="1"/>
  <c r="J140" i="11"/>
  <c r="J34" i="11" s="1"/>
  <c r="F140" i="11"/>
  <c r="F34" i="11" s="1"/>
  <c r="N139" i="11"/>
  <c r="N33" i="11" s="1"/>
  <c r="J139" i="11"/>
  <c r="J33" i="11" s="1"/>
  <c r="F139" i="11"/>
  <c r="F33" i="11" s="1"/>
  <c r="N138" i="11"/>
  <c r="N32" i="11" s="1"/>
  <c r="J138" i="11"/>
  <c r="J32" i="11" s="1"/>
  <c r="F138" i="11"/>
  <c r="F32" i="11" s="1"/>
  <c r="N134" i="11"/>
  <c r="N28" i="11" s="1"/>
  <c r="N15" i="49" s="1"/>
  <c r="J134" i="11"/>
  <c r="J28" i="11" s="1"/>
  <c r="J15" i="49" s="1"/>
  <c r="F134" i="11"/>
  <c r="F28" i="11" s="1"/>
  <c r="F15" i="49" s="1"/>
  <c r="N133" i="11"/>
  <c r="N27" i="11" s="1"/>
  <c r="N15" i="48" s="1"/>
  <c r="J133" i="11"/>
  <c r="J27" i="11" s="1"/>
  <c r="J15" i="48" s="1"/>
  <c r="F133" i="11"/>
  <c r="F27" i="11" s="1"/>
  <c r="F15" i="48" s="1"/>
  <c r="N132" i="11"/>
  <c r="N26" i="11" s="1"/>
  <c r="N15" i="47" s="1"/>
  <c r="J132" i="11"/>
  <c r="J26" i="11" s="1"/>
  <c r="J15" i="47" s="1"/>
  <c r="F132" i="11"/>
  <c r="F26" i="11" s="1"/>
  <c r="F15" i="47" s="1"/>
  <c r="N131" i="11"/>
  <c r="N25" i="11" s="1"/>
  <c r="N15" i="46" s="1"/>
  <c r="J131" i="11"/>
  <c r="J25" i="11" s="1"/>
  <c r="J15" i="46" s="1"/>
  <c r="F131" i="11"/>
  <c r="F25" i="11" s="1"/>
  <c r="F15" i="46" s="1"/>
  <c r="N130" i="11"/>
  <c r="N24" i="11" s="1"/>
  <c r="N15" i="42" s="1"/>
  <c r="J130" i="11"/>
  <c r="J24" i="11" s="1"/>
  <c r="J15" i="42" s="1"/>
  <c r="F130" i="11"/>
  <c r="F24" i="11" s="1"/>
  <c r="F15" i="42" s="1"/>
  <c r="N129" i="11"/>
  <c r="N23" i="11" s="1"/>
  <c r="N15" i="41" s="1"/>
  <c r="J129" i="11"/>
  <c r="J23" i="11" s="1"/>
  <c r="J15" i="41" s="1"/>
  <c r="F129" i="11"/>
  <c r="F23" i="11" s="1"/>
  <c r="F15" i="41" s="1"/>
  <c r="N128" i="11"/>
  <c r="N22" i="11" s="1"/>
  <c r="N15" i="40" s="1"/>
  <c r="J128" i="11"/>
  <c r="J22" i="11" s="1"/>
  <c r="J15" i="40" s="1"/>
  <c r="F128" i="11"/>
  <c r="F22" i="11" s="1"/>
  <c r="N126" i="11"/>
  <c r="N20" i="11" s="1"/>
  <c r="N15" i="35" s="1"/>
  <c r="J126" i="11"/>
  <c r="J20" i="11" s="1"/>
  <c r="J15" i="35" s="1"/>
  <c r="F126" i="11"/>
  <c r="F20" i="11" s="1"/>
  <c r="F15" i="35" s="1"/>
  <c r="N125" i="11"/>
  <c r="N19" i="11" s="1"/>
  <c r="N15" i="34" s="1"/>
  <c r="J125" i="11"/>
  <c r="J19" i="11" s="1"/>
  <c r="J15" i="34" s="1"/>
  <c r="F125" i="11"/>
  <c r="F19" i="11" s="1"/>
  <c r="N124" i="11"/>
  <c r="N18" i="11" s="1"/>
  <c r="N15" i="33" s="1"/>
  <c r="J124" i="11"/>
  <c r="J18" i="11" s="1"/>
  <c r="F124" i="11"/>
  <c r="F18" i="11" s="1"/>
  <c r="F15" i="33" s="1"/>
  <c r="N123" i="11"/>
  <c r="N17" i="11" s="1"/>
  <c r="N15" i="32" s="1"/>
  <c r="J123" i="11"/>
  <c r="J17" i="11" s="1"/>
  <c r="J15" i="32" s="1"/>
  <c r="F123" i="11"/>
  <c r="F17" i="11" s="1"/>
  <c r="F15" i="32" s="1"/>
  <c r="N122" i="11"/>
  <c r="N16" i="11" s="1"/>
  <c r="N15" i="31" s="1"/>
  <c r="J122" i="11"/>
  <c r="J16" i="11" s="1"/>
  <c r="F122" i="11"/>
  <c r="F16" i="11" s="1"/>
  <c r="F15" i="31" s="1"/>
  <c r="N121" i="11"/>
  <c r="N15" i="11" s="1"/>
  <c r="J121" i="11"/>
  <c r="J15" i="11" s="1"/>
  <c r="J15" i="30" s="1"/>
  <c r="J61" i="30" s="1"/>
  <c r="F121" i="11"/>
  <c r="F15" i="11" s="1"/>
  <c r="F15" i="30" s="1"/>
  <c r="F61" i="30" s="1"/>
  <c r="N120" i="11"/>
  <c r="N14" i="11" s="1"/>
  <c r="N15" i="26" s="1"/>
  <c r="J120" i="11"/>
  <c r="J14" i="11" s="1"/>
  <c r="J15" i="26" s="1"/>
  <c r="F120" i="11"/>
  <c r="F14" i="11" s="1"/>
  <c r="F15" i="26" s="1"/>
  <c r="N119" i="11"/>
  <c r="N13" i="11" s="1"/>
  <c r="J119" i="11"/>
  <c r="J13" i="11" s="1"/>
  <c r="J15" i="25" s="1"/>
  <c r="F119" i="11"/>
  <c r="F13" i="11" s="1"/>
  <c r="N118" i="11"/>
  <c r="N12" i="11" s="1"/>
  <c r="N15" i="23" s="1"/>
  <c r="J118" i="11"/>
  <c r="J12" i="11" s="1"/>
  <c r="J15" i="23" s="1"/>
  <c r="F118" i="11"/>
  <c r="F12" i="11" s="1"/>
  <c r="F15" i="23" s="1"/>
  <c r="M150" i="12"/>
  <c r="M37" i="12" s="1"/>
  <c r="I150" i="12"/>
  <c r="I37" i="12" s="1"/>
  <c r="E150" i="12"/>
  <c r="E37" i="12" s="1"/>
  <c r="M149" i="12"/>
  <c r="M36" i="12" s="1"/>
  <c r="I149" i="12"/>
  <c r="I36" i="12" s="1"/>
  <c r="E149" i="12"/>
  <c r="E36" i="12" s="1"/>
  <c r="M148" i="12"/>
  <c r="M35" i="12" s="1"/>
  <c r="I148" i="12"/>
  <c r="I35" i="12" s="1"/>
  <c r="E148" i="12"/>
  <c r="E35" i="12" s="1"/>
  <c r="M147" i="12"/>
  <c r="M34" i="12" s="1"/>
  <c r="I147" i="12"/>
  <c r="I34" i="12" s="1"/>
  <c r="E147" i="12"/>
  <c r="E34" i="12" s="1"/>
  <c r="M146" i="12"/>
  <c r="M33" i="12" s="1"/>
  <c r="I146" i="12"/>
  <c r="I33" i="12" s="1"/>
  <c r="E146" i="12"/>
  <c r="E33" i="12" s="1"/>
  <c r="M145" i="12"/>
  <c r="M32" i="12" s="1"/>
  <c r="I145" i="12"/>
  <c r="I32" i="12" s="1"/>
  <c r="E145" i="12"/>
  <c r="E32" i="12" s="1"/>
  <c r="M144" i="12"/>
  <c r="M31" i="12" s="1"/>
  <c r="I144" i="12"/>
  <c r="I31" i="12" s="1"/>
  <c r="E144" i="12"/>
  <c r="E31" i="12" s="1"/>
  <c r="M140" i="12"/>
  <c r="I140" i="12"/>
  <c r="E140" i="12"/>
  <c r="M139" i="12"/>
  <c r="I139" i="12"/>
  <c r="E139" i="12"/>
  <c r="M138" i="12"/>
  <c r="I138" i="12"/>
  <c r="E138" i="12"/>
  <c r="M137" i="12"/>
  <c r="I137" i="12"/>
  <c r="E137" i="12"/>
  <c r="M136" i="12"/>
  <c r="I136" i="12"/>
  <c r="E136" i="12"/>
  <c r="M135" i="12"/>
  <c r="I135" i="12"/>
  <c r="E135" i="12"/>
  <c r="M134" i="12"/>
  <c r="I134" i="12"/>
  <c r="E134" i="12"/>
  <c r="M133" i="12"/>
  <c r="I133" i="12"/>
  <c r="E133" i="12"/>
  <c r="M132" i="12"/>
  <c r="I132" i="12"/>
  <c r="E132" i="12"/>
  <c r="M131" i="12"/>
  <c r="I131" i="12"/>
  <c r="E131" i="12"/>
  <c r="M130" i="12"/>
  <c r="I130" i="12"/>
  <c r="E130" i="12"/>
  <c r="M129" i="12"/>
  <c r="I129" i="12"/>
  <c r="E129" i="12"/>
  <c r="M128" i="12"/>
  <c r="I128" i="12"/>
  <c r="E128" i="12"/>
  <c r="M127" i="12"/>
  <c r="I127" i="12"/>
  <c r="E127" i="12"/>
  <c r="M126" i="12"/>
  <c r="I126" i="12"/>
  <c r="E126" i="12"/>
  <c r="M125" i="12"/>
  <c r="I125" i="12"/>
  <c r="E125" i="12"/>
  <c r="M124" i="12"/>
  <c r="I124" i="12"/>
  <c r="E124" i="12"/>
  <c r="K139" i="14"/>
  <c r="I160" i="15"/>
  <c r="I34" i="15" s="1"/>
  <c r="L152" i="15"/>
  <c r="L26" i="15" s="1"/>
  <c r="M148" i="15"/>
  <c r="M22" i="15" s="1"/>
  <c r="F144" i="15"/>
  <c r="F18" i="15" s="1"/>
  <c r="K140" i="15"/>
  <c r="K14" i="15" s="1"/>
  <c r="E164" i="16"/>
  <c r="E38" i="16" s="1"/>
  <c r="D132" i="50" s="1"/>
  <c r="H162" i="16"/>
  <c r="H36" i="16" s="1"/>
  <c r="J160" i="16"/>
  <c r="J34" i="16" s="1"/>
  <c r="M158" i="16"/>
  <c r="M32" i="16" s="1"/>
  <c r="D154" i="16"/>
  <c r="D28" i="16" s="1"/>
  <c r="F152" i="16"/>
  <c r="F26" i="16" s="1"/>
  <c r="I150" i="16"/>
  <c r="I24" i="16" s="1"/>
  <c r="L148" i="16"/>
  <c r="L22" i="16" s="1"/>
  <c r="N145" i="16"/>
  <c r="N19" i="16" s="1"/>
  <c r="E144" i="16"/>
  <c r="E18" i="16" s="1"/>
  <c r="H142" i="16"/>
  <c r="H16" i="16" s="1"/>
  <c r="J140" i="16"/>
  <c r="J14" i="16" s="1"/>
  <c r="F139" i="16"/>
  <c r="F13" i="16" s="1"/>
  <c r="G151" i="14"/>
  <c r="E158" i="15"/>
  <c r="E32" i="15" s="1"/>
  <c r="N138" i="15"/>
  <c r="N12" i="15" s="1"/>
  <c r="I161" i="16"/>
  <c r="I35" i="16" s="1"/>
  <c r="H151" i="16"/>
  <c r="H25" i="16" s="1"/>
  <c r="F143" i="16"/>
  <c r="F17" i="16" s="1"/>
  <c r="L144" i="10"/>
  <c r="L38" i="10" s="1"/>
  <c r="H143" i="10"/>
  <c r="H37" i="10" s="1"/>
  <c r="D142" i="10"/>
  <c r="D36" i="10" s="1"/>
  <c r="L140" i="10"/>
  <c r="L34" i="10" s="1"/>
  <c r="H139" i="10"/>
  <c r="H33" i="10" s="1"/>
  <c r="D138" i="10"/>
  <c r="D32" i="10" s="1"/>
  <c r="L133" i="10"/>
  <c r="L27" i="10" s="1"/>
  <c r="H132" i="10"/>
  <c r="H26" i="10" s="1"/>
  <c r="D131" i="10"/>
  <c r="D25" i="10" s="1"/>
  <c r="L129" i="10"/>
  <c r="L23" i="10" s="1"/>
  <c r="H128" i="10"/>
  <c r="H22" i="10" s="1"/>
  <c r="D126" i="10"/>
  <c r="D20" i="10" s="1"/>
  <c r="L124" i="10"/>
  <c r="L18" i="10" s="1"/>
  <c r="H123" i="10"/>
  <c r="H17" i="10" s="1"/>
  <c r="D122" i="10"/>
  <c r="D16" i="10" s="1"/>
  <c r="L120" i="10"/>
  <c r="L14" i="10" s="1"/>
  <c r="H119" i="10"/>
  <c r="H13" i="10" s="1"/>
  <c r="D118" i="10"/>
  <c r="D12" i="10" s="1"/>
  <c r="M144" i="11"/>
  <c r="M38" i="11" s="1"/>
  <c r="C144" i="11"/>
  <c r="G143" i="11"/>
  <c r="G37" i="11" s="1"/>
  <c r="K142" i="11"/>
  <c r="K36" i="11" s="1"/>
  <c r="C142" i="11"/>
  <c r="C36" i="11" s="1"/>
  <c r="G141" i="11"/>
  <c r="G35" i="11" s="1"/>
  <c r="K140" i="11"/>
  <c r="K34" i="11" s="1"/>
  <c r="C140" i="11"/>
  <c r="G139" i="11"/>
  <c r="G33" i="11" s="1"/>
  <c r="K138" i="11"/>
  <c r="K32" i="11" s="1"/>
  <c r="C138" i="11"/>
  <c r="G134" i="11"/>
  <c r="G28" i="11" s="1"/>
  <c r="G15" i="49" s="1"/>
  <c r="K133" i="11"/>
  <c r="K27" i="11" s="1"/>
  <c r="K15" i="48" s="1"/>
  <c r="C133" i="11"/>
  <c r="G132" i="11"/>
  <c r="G26" i="11" s="1"/>
  <c r="G15" i="47" s="1"/>
  <c r="K131" i="11"/>
  <c r="K25" i="11" s="1"/>
  <c r="K15" i="46" s="1"/>
  <c r="C131" i="11"/>
  <c r="G130" i="11"/>
  <c r="G24" i="11" s="1"/>
  <c r="G15" i="42" s="1"/>
  <c r="K129" i="11"/>
  <c r="K23" i="11" s="1"/>
  <c r="K15" i="41" s="1"/>
  <c r="C129" i="11"/>
  <c r="G128" i="11"/>
  <c r="G22" i="11" s="1"/>
  <c r="G15" i="40" s="1"/>
  <c r="K126" i="11"/>
  <c r="K20" i="11" s="1"/>
  <c r="K15" i="35" s="1"/>
  <c r="C126" i="11"/>
  <c r="G125" i="11"/>
  <c r="G19" i="11" s="1"/>
  <c r="G15" i="34" s="1"/>
  <c r="K124" i="11"/>
  <c r="K18" i="11" s="1"/>
  <c r="K15" i="33" s="1"/>
  <c r="C124" i="11"/>
  <c r="G123" i="11"/>
  <c r="G17" i="11" s="1"/>
  <c r="G15" i="32" s="1"/>
  <c r="K122" i="11"/>
  <c r="K16" i="11" s="1"/>
  <c r="K15" i="31" s="1"/>
  <c r="C122" i="11"/>
  <c r="G121" i="11"/>
  <c r="G15" i="11" s="1"/>
  <c r="G15" i="30" s="1"/>
  <c r="G61" i="30" s="1"/>
  <c r="K120" i="11"/>
  <c r="K14" i="11" s="1"/>
  <c r="K15" i="26" s="1"/>
  <c r="C120" i="11"/>
  <c r="G119" i="11"/>
  <c r="G13" i="11" s="1"/>
  <c r="G15" i="25" s="1"/>
  <c r="K118" i="11"/>
  <c r="K12" i="11" s="1"/>
  <c r="K15" i="23" s="1"/>
  <c r="C118" i="11"/>
  <c r="L150" i="12"/>
  <c r="L37" i="12" s="1"/>
  <c r="D150" i="12"/>
  <c r="D37" i="12" s="1"/>
  <c r="H149" i="12"/>
  <c r="H36" i="12" s="1"/>
  <c r="L148" i="12"/>
  <c r="L35" i="12" s="1"/>
  <c r="D148" i="12"/>
  <c r="D35" i="12" s="1"/>
  <c r="H147" i="12"/>
  <c r="H34" i="12" s="1"/>
  <c r="L146" i="12"/>
  <c r="L33" i="12" s="1"/>
  <c r="D146" i="12"/>
  <c r="D33" i="12" s="1"/>
  <c r="H145" i="12"/>
  <c r="H32" i="12" s="1"/>
  <c r="L144" i="12"/>
  <c r="L31" i="12" s="1"/>
  <c r="D144" i="12"/>
  <c r="D31" i="12" s="1"/>
  <c r="H140" i="12"/>
  <c r="L139" i="12"/>
  <c r="D139" i="12"/>
  <c r="H138" i="12"/>
  <c r="L137" i="12"/>
  <c r="D137" i="12"/>
  <c r="H136" i="12"/>
  <c r="L135" i="12"/>
  <c r="D135" i="12"/>
  <c r="H134" i="12"/>
  <c r="L133" i="12"/>
  <c r="D133" i="12"/>
  <c r="H132" i="12"/>
  <c r="L131" i="12"/>
  <c r="D131" i="12"/>
  <c r="H130" i="12"/>
  <c r="L129" i="12"/>
  <c r="D129" i="12"/>
  <c r="H128" i="12"/>
  <c r="L127" i="12"/>
  <c r="D127" i="12"/>
  <c r="H126" i="12"/>
  <c r="L125" i="12"/>
  <c r="D125" i="12"/>
  <c r="H124" i="12"/>
  <c r="D140" i="10"/>
  <c r="D34" i="10" s="1"/>
  <c r="H134" i="10"/>
  <c r="H28" i="10" s="1"/>
  <c r="L131" i="10"/>
  <c r="L25" i="10" s="1"/>
  <c r="D129" i="10"/>
  <c r="D23" i="10" s="1"/>
  <c r="H125" i="10"/>
  <c r="H19" i="10" s="1"/>
  <c r="L122" i="10"/>
  <c r="L16" i="10" s="1"/>
  <c r="D120" i="10"/>
  <c r="D14" i="10" s="1"/>
  <c r="H144" i="11"/>
  <c r="H38" i="11" s="1"/>
  <c r="K143" i="11"/>
  <c r="K37" i="11" s="1"/>
  <c r="C143" i="11"/>
  <c r="K141" i="11"/>
  <c r="K35" i="11" s="1"/>
  <c r="G140" i="11"/>
  <c r="G34" i="11" s="1"/>
  <c r="C139" i="11"/>
  <c r="C33" i="11" s="1"/>
  <c r="K134" i="11"/>
  <c r="K28" i="11" s="1"/>
  <c r="K15" i="49" s="1"/>
  <c r="G133" i="11"/>
  <c r="G27" i="11" s="1"/>
  <c r="G15" i="48" s="1"/>
  <c r="C132" i="11"/>
  <c r="G131" i="11"/>
  <c r="G25" i="11" s="1"/>
  <c r="G15" i="46" s="1"/>
  <c r="C130" i="11"/>
  <c r="K128" i="11"/>
  <c r="K22" i="11" s="1"/>
  <c r="K15" i="40" s="1"/>
  <c r="G126" i="11"/>
  <c r="G20" i="11" s="1"/>
  <c r="G15" i="35" s="1"/>
  <c r="C125" i="11"/>
  <c r="K123" i="11"/>
  <c r="K17" i="11" s="1"/>
  <c r="K15" i="32" s="1"/>
  <c r="G122" i="11"/>
  <c r="G16" i="11" s="1"/>
  <c r="G15" i="31" s="1"/>
  <c r="C121" i="11"/>
  <c r="K119" i="11"/>
  <c r="K13" i="11" s="1"/>
  <c r="K15" i="25" s="1"/>
  <c r="G118" i="11"/>
  <c r="G12" i="11" s="1"/>
  <c r="G15" i="23" s="1"/>
  <c r="L149" i="12"/>
  <c r="L36" i="12" s="1"/>
  <c r="D149" i="12"/>
  <c r="D36" i="12" s="1"/>
  <c r="L147" i="12"/>
  <c r="L34" i="12" s="1"/>
  <c r="H146" i="12"/>
  <c r="H33" i="12" s="1"/>
  <c r="D145" i="12"/>
  <c r="D32" i="12" s="1"/>
  <c r="L140" i="12"/>
  <c r="H139" i="12"/>
  <c r="D138" i="12"/>
  <c r="L136" i="12"/>
  <c r="H135" i="12"/>
  <c r="D134" i="12"/>
  <c r="L132" i="12"/>
  <c r="H131" i="12"/>
  <c r="D130" i="12"/>
  <c r="L128" i="12"/>
  <c r="H127" i="12"/>
  <c r="D126" i="12"/>
  <c r="L124" i="12"/>
  <c r="I142" i="15"/>
  <c r="I16" i="15" s="1"/>
  <c r="F163" i="16"/>
  <c r="F37" i="16" s="1"/>
  <c r="E153" i="16"/>
  <c r="E27" i="16" s="1"/>
  <c r="D145" i="16"/>
  <c r="D19" i="16" s="1"/>
  <c r="J138" i="16"/>
  <c r="J12" i="16" s="1"/>
  <c r="L143" i="10"/>
  <c r="L37" i="10" s="1"/>
  <c r="H142" i="10"/>
  <c r="H36" i="10" s="1"/>
  <c r="L139" i="10"/>
  <c r="L33" i="10" s="1"/>
  <c r="H138" i="10"/>
  <c r="H32" i="10" s="1"/>
  <c r="L132" i="10"/>
  <c r="L26" i="10" s="1"/>
  <c r="D130" i="10"/>
  <c r="D24" i="10" s="1"/>
  <c r="L128" i="10"/>
  <c r="L22" i="10" s="1"/>
  <c r="D125" i="10"/>
  <c r="D19" i="10" s="1"/>
  <c r="H122" i="10"/>
  <c r="H16" i="10" s="1"/>
  <c r="L119" i="10"/>
  <c r="L13" i="10" s="1"/>
  <c r="I143" i="11"/>
  <c r="I37" i="11" s="1"/>
  <c r="E142" i="11"/>
  <c r="E36" i="11" s="1"/>
  <c r="I141" i="11"/>
  <c r="I35" i="11" s="1"/>
  <c r="E140" i="11"/>
  <c r="E34" i="11" s="1"/>
  <c r="M138" i="11"/>
  <c r="M32" i="11" s="1"/>
  <c r="I134" i="11"/>
  <c r="I28" i="11" s="1"/>
  <c r="I15" i="49" s="1"/>
  <c r="E133" i="11"/>
  <c r="E27" i="11" s="1"/>
  <c r="E15" i="48" s="1"/>
  <c r="M131" i="11"/>
  <c r="M25" i="11" s="1"/>
  <c r="M15" i="46" s="1"/>
  <c r="I130" i="11"/>
  <c r="I24" i="11" s="1"/>
  <c r="I15" i="42" s="1"/>
  <c r="E129" i="11"/>
  <c r="E23" i="11" s="1"/>
  <c r="E15" i="41" s="1"/>
  <c r="M126" i="11"/>
  <c r="M20" i="11" s="1"/>
  <c r="M15" i="35" s="1"/>
  <c r="I125" i="11"/>
  <c r="I19" i="11" s="1"/>
  <c r="I15" i="34" s="1"/>
  <c r="E124" i="11"/>
  <c r="E18" i="11" s="1"/>
  <c r="E15" i="33" s="1"/>
  <c r="M122" i="11"/>
  <c r="M16" i="11" s="1"/>
  <c r="M15" i="31" s="1"/>
  <c r="I121" i="11"/>
  <c r="I15" i="11" s="1"/>
  <c r="I15" i="30" s="1"/>
  <c r="I61" i="30" s="1"/>
  <c r="E120" i="11"/>
  <c r="E14" i="11" s="1"/>
  <c r="E15" i="26" s="1"/>
  <c r="M118" i="11"/>
  <c r="M12" i="11" s="1"/>
  <c r="M15" i="23" s="1"/>
  <c r="N150" i="12"/>
  <c r="N37" i="12" s="1"/>
  <c r="N148" i="12"/>
  <c r="N35" i="12" s="1"/>
  <c r="J147" i="12"/>
  <c r="J34" i="12" s="1"/>
  <c r="F146" i="12"/>
  <c r="F33" i="12" s="1"/>
  <c r="N144" i="12"/>
  <c r="N31" i="12" s="1"/>
  <c r="J140" i="12"/>
  <c r="N139" i="12"/>
  <c r="J138" i="12"/>
  <c r="J136" i="12"/>
  <c r="F135" i="12"/>
  <c r="N133" i="12"/>
  <c r="J132" i="12"/>
  <c r="F131" i="12"/>
  <c r="N129" i="12"/>
  <c r="N127" i="12"/>
  <c r="J126" i="12"/>
  <c r="F125" i="12"/>
  <c r="J150" i="15"/>
  <c r="J24" i="15" s="1"/>
  <c r="L159" i="16"/>
  <c r="L33" i="16" s="1"/>
  <c r="J149" i="16"/>
  <c r="J23" i="16" s="1"/>
  <c r="I141" i="16"/>
  <c r="I15" i="16" s="1"/>
  <c r="H144" i="10"/>
  <c r="H38" i="10" s="1"/>
  <c r="D143" i="10"/>
  <c r="D37" i="10" s="1"/>
  <c r="L141" i="10"/>
  <c r="L35" i="10" s="1"/>
  <c r="H140" i="10"/>
  <c r="H34" i="10" s="1"/>
  <c r="D139" i="10"/>
  <c r="D33" i="10" s="1"/>
  <c r="L134" i="10"/>
  <c r="L28" i="10" s="1"/>
  <c r="H133" i="10"/>
  <c r="H27" i="10" s="1"/>
  <c r="D132" i="10"/>
  <c r="D26" i="10" s="1"/>
  <c r="L130" i="10"/>
  <c r="L24" i="10" s="1"/>
  <c r="H129" i="10"/>
  <c r="H23" i="10" s="1"/>
  <c r="D128" i="10"/>
  <c r="D22" i="10" s="1"/>
  <c r="L125" i="10"/>
  <c r="L19" i="10" s="1"/>
  <c r="H124" i="10"/>
  <c r="H18" i="10" s="1"/>
  <c r="D123" i="10"/>
  <c r="D17" i="10" s="1"/>
  <c r="L121" i="10"/>
  <c r="L15" i="10" s="1"/>
  <c r="H120" i="10"/>
  <c r="H14" i="10" s="1"/>
  <c r="D119" i="10"/>
  <c r="D13" i="10" s="1"/>
  <c r="K144" i="11"/>
  <c r="K38" i="11" s="1"/>
  <c r="M143" i="11"/>
  <c r="M37" i="11" s="1"/>
  <c r="E143" i="11"/>
  <c r="E37" i="11" s="1"/>
  <c r="I142" i="11"/>
  <c r="I36" i="11" s="1"/>
  <c r="M141" i="11"/>
  <c r="M35" i="11" s="1"/>
  <c r="E141" i="11"/>
  <c r="E35" i="11" s="1"/>
  <c r="I140" i="11"/>
  <c r="I34" i="11" s="1"/>
  <c r="M139" i="11"/>
  <c r="M33" i="11" s="1"/>
  <c r="E139" i="11"/>
  <c r="E33" i="11" s="1"/>
  <c r="I138" i="11"/>
  <c r="I32" i="11" s="1"/>
  <c r="M134" i="11"/>
  <c r="M28" i="11" s="1"/>
  <c r="M15" i="49" s="1"/>
  <c r="E134" i="11"/>
  <c r="E28" i="11" s="1"/>
  <c r="E15" i="49" s="1"/>
  <c r="I133" i="11"/>
  <c r="I27" i="11" s="1"/>
  <c r="I15" i="48" s="1"/>
  <c r="M132" i="11"/>
  <c r="M26" i="11" s="1"/>
  <c r="M15" i="47" s="1"/>
  <c r="E132" i="11"/>
  <c r="E26" i="11" s="1"/>
  <c r="E15" i="47" s="1"/>
  <c r="I131" i="11"/>
  <c r="I25" i="11" s="1"/>
  <c r="I15" i="46" s="1"/>
  <c r="M130" i="11"/>
  <c r="M24" i="11" s="1"/>
  <c r="M15" i="42" s="1"/>
  <c r="E130" i="11"/>
  <c r="E24" i="11" s="1"/>
  <c r="E15" i="42" s="1"/>
  <c r="I129" i="11"/>
  <c r="I23" i="11" s="1"/>
  <c r="I15" i="41" s="1"/>
  <c r="M128" i="11"/>
  <c r="M22" i="11" s="1"/>
  <c r="M15" i="40" s="1"/>
  <c r="E128" i="11"/>
  <c r="E22" i="11" s="1"/>
  <c r="E15" i="40" s="1"/>
  <c r="I126" i="11"/>
  <c r="I20" i="11" s="1"/>
  <c r="I15" i="35" s="1"/>
  <c r="M125" i="11"/>
  <c r="M19" i="11" s="1"/>
  <c r="M15" i="34" s="1"/>
  <c r="E125" i="11"/>
  <c r="E19" i="11" s="1"/>
  <c r="E15" i="34" s="1"/>
  <c r="I124" i="11"/>
  <c r="I18" i="11" s="1"/>
  <c r="I15" i="33" s="1"/>
  <c r="M123" i="11"/>
  <c r="M17" i="11" s="1"/>
  <c r="M15" i="32" s="1"/>
  <c r="E123" i="11"/>
  <c r="E17" i="11" s="1"/>
  <c r="E15" i="32" s="1"/>
  <c r="I122" i="11"/>
  <c r="I16" i="11" s="1"/>
  <c r="I15" i="31" s="1"/>
  <c r="M121" i="11"/>
  <c r="M15" i="11" s="1"/>
  <c r="M15" i="30" s="1"/>
  <c r="M61" i="30" s="1"/>
  <c r="E121" i="11"/>
  <c r="E15" i="11" s="1"/>
  <c r="E15" i="30" s="1"/>
  <c r="E61" i="30" s="1"/>
  <c r="I120" i="11"/>
  <c r="I14" i="11" s="1"/>
  <c r="I15" i="26" s="1"/>
  <c r="M119" i="11"/>
  <c r="M13" i="11" s="1"/>
  <c r="M15" i="25" s="1"/>
  <c r="E119" i="11"/>
  <c r="E13" i="11" s="1"/>
  <c r="E15" i="25" s="1"/>
  <c r="I118" i="11"/>
  <c r="I12" i="11" s="1"/>
  <c r="I15" i="23" s="1"/>
  <c r="J150" i="12"/>
  <c r="J37" i="12" s="1"/>
  <c r="N149" i="12"/>
  <c r="N36" i="12" s="1"/>
  <c r="F149" i="12"/>
  <c r="F36" i="12" s="1"/>
  <c r="J148" i="12"/>
  <c r="J35" i="12" s="1"/>
  <c r="N147" i="12"/>
  <c r="N34" i="12" s="1"/>
  <c r="F147" i="12"/>
  <c r="F34" i="12" s="1"/>
  <c r="J146" i="12"/>
  <c r="J33" i="12" s="1"/>
  <c r="N145" i="12"/>
  <c r="N32" i="12" s="1"/>
  <c r="F145" i="12"/>
  <c r="F32" i="12" s="1"/>
  <c r="J144" i="12"/>
  <c r="J31" i="12" s="1"/>
  <c r="N140" i="12"/>
  <c r="F140" i="12"/>
  <c r="J139" i="12"/>
  <c r="N138" i="12"/>
  <c r="F138" i="12"/>
  <c r="J137" i="12"/>
  <c r="N136" i="12"/>
  <c r="F136" i="12"/>
  <c r="J135" i="12"/>
  <c r="N134" i="12"/>
  <c r="F134" i="12"/>
  <c r="J133" i="12"/>
  <c r="N132" i="12"/>
  <c r="F132" i="12"/>
  <c r="J131" i="12"/>
  <c r="N130" i="12"/>
  <c r="F130" i="12"/>
  <c r="J129" i="12"/>
  <c r="N128" i="12"/>
  <c r="F128" i="12"/>
  <c r="J127" i="12"/>
  <c r="N126" i="12"/>
  <c r="F126" i="12"/>
  <c r="J125" i="12"/>
  <c r="N124" i="12"/>
  <c r="F124" i="12"/>
  <c r="C146" i="15"/>
  <c r="C20" i="15" s="1"/>
  <c r="N154" i="16"/>
  <c r="N28" i="16" s="1"/>
  <c r="M146" i="16"/>
  <c r="M20" i="16" s="1"/>
  <c r="N139" i="16"/>
  <c r="N13" i="16" s="1"/>
  <c r="D144" i="10"/>
  <c r="D38" i="10" s="1"/>
  <c r="L142" i="10"/>
  <c r="L36" i="10" s="1"/>
  <c r="H141" i="10"/>
  <c r="H35" i="10" s="1"/>
  <c r="L138" i="10"/>
  <c r="L32" i="10" s="1"/>
  <c r="D133" i="10"/>
  <c r="D27" i="10" s="1"/>
  <c r="H130" i="10"/>
  <c r="H24" i="10" s="1"/>
  <c r="L126" i="10"/>
  <c r="L20" i="10" s="1"/>
  <c r="D124" i="10"/>
  <c r="D18" i="10" s="1"/>
  <c r="H121" i="10"/>
  <c r="H15" i="10" s="1"/>
  <c r="L118" i="10"/>
  <c r="L12" i="10" s="1"/>
  <c r="G142" i="11"/>
  <c r="G36" i="11" s="1"/>
  <c r="C141" i="11"/>
  <c r="C35" i="11" s="1"/>
  <c r="K139" i="11"/>
  <c r="K33" i="11" s="1"/>
  <c r="G138" i="11"/>
  <c r="G32" i="11" s="1"/>
  <c r="C134" i="11"/>
  <c r="K132" i="11"/>
  <c r="K26" i="11" s="1"/>
  <c r="K15" i="47" s="1"/>
  <c r="K130" i="11"/>
  <c r="K24" i="11" s="1"/>
  <c r="K15" i="42" s="1"/>
  <c r="G129" i="11"/>
  <c r="G23" i="11" s="1"/>
  <c r="G15" i="41" s="1"/>
  <c r="C128" i="11"/>
  <c r="K125" i="11"/>
  <c r="K19" i="11" s="1"/>
  <c r="K15" i="34" s="1"/>
  <c r="G124" i="11"/>
  <c r="G18" i="11" s="1"/>
  <c r="G15" i="33" s="1"/>
  <c r="C123" i="11"/>
  <c r="K121" i="11"/>
  <c r="K15" i="11" s="1"/>
  <c r="K15" i="30" s="1"/>
  <c r="K61" i="30" s="1"/>
  <c r="G120" i="11"/>
  <c r="G14" i="11" s="1"/>
  <c r="G15" i="26" s="1"/>
  <c r="C119" i="11"/>
  <c r="H150" i="12"/>
  <c r="H37" i="12" s="1"/>
  <c r="H148" i="12"/>
  <c r="H35" i="12" s="1"/>
  <c r="D147" i="12"/>
  <c r="D34" i="12" s="1"/>
  <c r="L145" i="12"/>
  <c r="L32" i="12" s="1"/>
  <c r="H144" i="12"/>
  <c r="H31" i="12" s="1"/>
  <c r="D140" i="12"/>
  <c r="L138" i="12"/>
  <c r="H137" i="12"/>
  <c r="D136" i="12"/>
  <c r="L134" i="12"/>
  <c r="H133" i="12"/>
  <c r="D132" i="12"/>
  <c r="L130" i="12"/>
  <c r="H129" i="12"/>
  <c r="D128" i="12"/>
  <c r="L126" i="12"/>
  <c r="H125" i="12"/>
  <c r="D124" i="12"/>
  <c r="M162" i="15"/>
  <c r="M36" i="15" s="1"/>
  <c r="D141" i="10"/>
  <c r="D35" i="10" s="1"/>
  <c r="D134" i="10"/>
  <c r="D28" i="10" s="1"/>
  <c r="H131" i="10"/>
  <c r="H25" i="10" s="1"/>
  <c r="H126" i="10"/>
  <c r="H20" i="10" s="1"/>
  <c r="L123" i="10"/>
  <c r="L17" i="10" s="1"/>
  <c r="D121" i="10"/>
  <c r="D15" i="10" s="1"/>
  <c r="H118" i="10"/>
  <c r="H12" i="10" s="1"/>
  <c r="E144" i="11"/>
  <c r="E38" i="11" s="1"/>
  <c r="M142" i="11"/>
  <c r="M36" i="11" s="1"/>
  <c r="M140" i="11"/>
  <c r="M34" i="11" s="1"/>
  <c r="I139" i="11"/>
  <c r="I33" i="11" s="1"/>
  <c r="E138" i="11"/>
  <c r="E32" i="11" s="1"/>
  <c r="M133" i="11"/>
  <c r="M27" i="11" s="1"/>
  <c r="M15" i="48" s="1"/>
  <c r="I132" i="11"/>
  <c r="I26" i="11" s="1"/>
  <c r="I15" i="47" s="1"/>
  <c r="E131" i="11"/>
  <c r="E25" i="11" s="1"/>
  <c r="E15" i="46" s="1"/>
  <c r="M129" i="11"/>
  <c r="M23" i="11" s="1"/>
  <c r="M15" i="41" s="1"/>
  <c r="I128" i="11"/>
  <c r="I22" i="11" s="1"/>
  <c r="I15" i="40" s="1"/>
  <c r="E126" i="11"/>
  <c r="E20" i="11" s="1"/>
  <c r="E15" i="35" s="1"/>
  <c r="M124" i="11"/>
  <c r="M18" i="11" s="1"/>
  <c r="M15" i="33" s="1"/>
  <c r="I123" i="11"/>
  <c r="I17" i="11" s="1"/>
  <c r="I15" i="32" s="1"/>
  <c r="E122" i="11"/>
  <c r="E16" i="11" s="1"/>
  <c r="E15" i="31" s="1"/>
  <c r="M120" i="11"/>
  <c r="M14" i="11" s="1"/>
  <c r="M15" i="26" s="1"/>
  <c r="I119" i="11"/>
  <c r="I13" i="11" s="1"/>
  <c r="I15" i="25" s="1"/>
  <c r="E118" i="11"/>
  <c r="E12" i="11" s="1"/>
  <c r="E15" i="23" s="1"/>
  <c r="F150" i="12"/>
  <c r="F37" i="12" s="1"/>
  <c r="J149" i="12"/>
  <c r="J36" i="12" s="1"/>
  <c r="F148" i="12"/>
  <c r="F35" i="12" s="1"/>
  <c r="N146" i="12"/>
  <c r="N33" i="12" s="1"/>
  <c r="J145" i="12"/>
  <c r="J32" i="12" s="1"/>
  <c r="F144" i="12"/>
  <c r="F31" i="12" s="1"/>
  <c r="F139" i="12"/>
  <c r="N137" i="12"/>
  <c r="F137" i="12"/>
  <c r="N135" i="12"/>
  <c r="J134" i="12"/>
  <c r="F133" i="12"/>
  <c r="N131" i="12"/>
  <c r="J130" i="12"/>
  <c r="F129" i="12"/>
  <c r="J128" i="12"/>
  <c r="F127" i="12"/>
  <c r="N125" i="12"/>
  <c r="J124" i="12"/>
  <c r="N151" i="13"/>
  <c r="N38" i="13" s="1"/>
  <c r="J151" i="13"/>
  <c r="J38" i="13" s="1"/>
  <c r="F151" i="13"/>
  <c r="F38" i="13" s="1"/>
  <c r="N150" i="13"/>
  <c r="N37" i="13" s="1"/>
  <c r="J150" i="13"/>
  <c r="J37" i="13" s="1"/>
  <c r="F150" i="13"/>
  <c r="F37" i="13" s="1"/>
  <c r="N149" i="13"/>
  <c r="N36" i="13" s="1"/>
  <c r="J149" i="13"/>
  <c r="J36" i="13" s="1"/>
  <c r="F149" i="13"/>
  <c r="F36" i="13" s="1"/>
  <c r="N148" i="13"/>
  <c r="N35" i="13" s="1"/>
  <c r="J148" i="13"/>
  <c r="J35" i="13" s="1"/>
  <c r="F148" i="13"/>
  <c r="F35" i="13" s="1"/>
  <c r="N147" i="13"/>
  <c r="N34" i="13" s="1"/>
  <c r="J147" i="13"/>
  <c r="J34" i="13" s="1"/>
  <c r="F147" i="13"/>
  <c r="F34" i="13" s="1"/>
  <c r="N146" i="13"/>
  <c r="N33" i="13" s="1"/>
  <c r="J146" i="13"/>
  <c r="J33" i="13" s="1"/>
  <c r="F146" i="13"/>
  <c r="F33" i="13" s="1"/>
  <c r="N145" i="13"/>
  <c r="N32" i="13" s="1"/>
  <c r="J145" i="13"/>
  <c r="J32" i="13" s="1"/>
  <c r="F145" i="13"/>
  <c r="F32" i="13" s="1"/>
  <c r="M151" i="13"/>
  <c r="M38" i="13" s="1"/>
  <c r="I151" i="13"/>
  <c r="I38" i="13" s="1"/>
  <c r="E151" i="13"/>
  <c r="E38" i="13" s="1"/>
  <c r="M150" i="13"/>
  <c r="M37" i="13" s="1"/>
  <c r="I150" i="13"/>
  <c r="I37" i="13" s="1"/>
  <c r="E150" i="13"/>
  <c r="E37" i="13" s="1"/>
  <c r="M36" i="13"/>
  <c r="I149" i="13"/>
  <c r="I36" i="13" s="1"/>
  <c r="E149" i="13"/>
  <c r="E36" i="13" s="1"/>
  <c r="M148" i="13"/>
  <c r="M35" i="13" s="1"/>
  <c r="I148" i="13"/>
  <c r="I35" i="13" s="1"/>
  <c r="M147" i="13"/>
  <c r="M34" i="13" s="1"/>
  <c r="E147" i="13"/>
  <c r="E34" i="13" s="1"/>
  <c r="I146" i="13"/>
  <c r="I33" i="13" s="1"/>
  <c r="M145" i="13"/>
  <c r="M32" i="13" s="1"/>
  <c r="E145" i="13"/>
  <c r="E32" i="13" s="1"/>
  <c r="L151" i="13"/>
  <c r="L38" i="13" s="1"/>
  <c r="H151" i="13"/>
  <c r="H38" i="13" s="1"/>
  <c r="D151" i="13"/>
  <c r="D38" i="13" s="1"/>
  <c r="L150" i="13"/>
  <c r="L37" i="13" s="1"/>
  <c r="H150" i="13"/>
  <c r="H37" i="13" s="1"/>
  <c r="D150" i="13"/>
  <c r="D37" i="13" s="1"/>
  <c r="L149" i="13"/>
  <c r="L36" i="13" s="1"/>
  <c r="H149" i="13"/>
  <c r="H36" i="13" s="1"/>
  <c r="D149" i="13"/>
  <c r="D36" i="13" s="1"/>
  <c r="L148" i="13"/>
  <c r="L35" i="13" s="1"/>
  <c r="H148" i="13"/>
  <c r="H35" i="13" s="1"/>
  <c r="D148" i="13"/>
  <c r="D35" i="13" s="1"/>
  <c r="L147" i="13"/>
  <c r="L34" i="13" s="1"/>
  <c r="H147" i="13"/>
  <c r="H34" i="13" s="1"/>
  <c r="D147" i="13"/>
  <c r="D34" i="13" s="1"/>
  <c r="L146" i="13"/>
  <c r="L33" i="13" s="1"/>
  <c r="H146" i="13"/>
  <c r="H33" i="13" s="1"/>
  <c r="D146" i="13"/>
  <c r="D33" i="13" s="1"/>
  <c r="L145" i="13"/>
  <c r="L32" i="13" s="1"/>
  <c r="H145" i="13"/>
  <c r="H32" i="13" s="1"/>
  <c r="D145" i="13"/>
  <c r="D32" i="13" s="1"/>
  <c r="K151" i="13"/>
  <c r="K38" i="13" s="1"/>
  <c r="G151" i="13"/>
  <c r="G38" i="13" s="1"/>
  <c r="C151" i="13"/>
  <c r="K150" i="13"/>
  <c r="K37" i="13" s="1"/>
  <c r="G150" i="13"/>
  <c r="G37" i="13" s="1"/>
  <c r="C150" i="13"/>
  <c r="K149" i="13"/>
  <c r="K36" i="13" s="1"/>
  <c r="G149" i="13"/>
  <c r="G36" i="13" s="1"/>
  <c r="C149" i="13"/>
  <c r="C36" i="13" s="1"/>
  <c r="K148" i="13"/>
  <c r="K35" i="13" s="1"/>
  <c r="G148" i="13"/>
  <c r="G35" i="13" s="1"/>
  <c r="C148" i="13"/>
  <c r="C35" i="13" s="1"/>
  <c r="K147" i="13"/>
  <c r="K34" i="13" s="1"/>
  <c r="G147" i="13"/>
  <c r="G34" i="13" s="1"/>
  <c r="C147" i="13"/>
  <c r="K146" i="13"/>
  <c r="K33" i="13" s="1"/>
  <c r="G146" i="13"/>
  <c r="G33" i="13" s="1"/>
  <c r="C146" i="13"/>
  <c r="C33" i="13" s="1"/>
  <c r="K145" i="13"/>
  <c r="K32" i="13" s="1"/>
  <c r="G145" i="13"/>
  <c r="G32" i="13" s="1"/>
  <c r="C145" i="13"/>
  <c r="E148" i="13"/>
  <c r="E35" i="13" s="1"/>
  <c r="I147" i="13"/>
  <c r="I34" i="13" s="1"/>
  <c r="M146" i="13"/>
  <c r="M33" i="13" s="1"/>
  <c r="E146" i="13"/>
  <c r="E33" i="13" s="1"/>
  <c r="I145" i="13"/>
  <c r="I32" i="13" s="1"/>
  <c r="C125" i="13"/>
  <c r="C12" i="13" s="1"/>
  <c r="G125" i="13"/>
  <c r="G12" i="13" s="1"/>
  <c r="G13" i="23" s="1"/>
  <c r="K125" i="13"/>
  <c r="K12" i="13" s="1"/>
  <c r="K13" i="23" s="1"/>
  <c r="N141" i="13"/>
  <c r="N28" i="13" s="1"/>
  <c r="N13" i="49" s="1"/>
  <c r="J141" i="13"/>
  <c r="J28" i="13" s="1"/>
  <c r="J13" i="49" s="1"/>
  <c r="F141" i="13"/>
  <c r="F28" i="13" s="1"/>
  <c r="F13" i="49" s="1"/>
  <c r="N140" i="13"/>
  <c r="N27" i="13" s="1"/>
  <c r="N13" i="48" s="1"/>
  <c r="J140" i="13"/>
  <c r="J27" i="13" s="1"/>
  <c r="J13" i="48" s="1"/>
  <c r="F140" i="13"/>
  <c r="F27" i="13" s="1"/>
  <c r="F13" i="48" s="1"/>
  <c r="N139" i="13"/>
  <c r="N26" i="13" s="1"/>
  <c r="N13" i="47" s="1"/>
  <c r="N49" i="47" s="1"/>
  <c r="N50" i="47" s="1"/>
  <c r="J139" i="13"/>
  <c r="J26" i="13" s="1"/>
  <c r="J13" i="47" s="1"/>
  <c r="J49" i="47" s="1"/>
  <c r="J50" i="47" s="1"/>
  <c r="F139" i="13"/>
  <c r="F26" i="13" s="1"/>
  <c r="F13" i="47" s="1"/>
  <c r="F49" i="47" s="1"/>
  <c r="F50" i="47" s="1"/>
  <c r="N138" i="13"/>
  <c r="N25" i="13" s="1"/>
  <c r="N13" i="46" s="1"/>
  <c r="J138" i="13"/>
  <c r="J25" i="13" s="1"/>
  <c r="J13" i="46" s="1"/>
  <c r="F138" i="13"/>
  <c r="F25" i="13" s="1"/>
  <c r="F13" i="46" s="1"/>
  <c r="N137" i="13"/>
  <c r="N24" i="13" s="1"/>
  <c r="N13" i="42" s="1"/>
  <c r="J137" i="13"/>
  <c r="J24" i="13" s="1"/>
  <c r="J13" i="42" s="1"/>
  <c r="F137" i="13"/>
  <c r="F24" i="13" s="1"/>
  <c r="F13" i="42" s="1"/>
  <c r="N136" i="13"/>
  <c r="N23" i="13" s="1"/>
  <c r="N13" i="41" s="1"/>
  <c r="J136" i="13"/>
  <c r="J23" i="13" s="1"/>
  <c r="J13" i="41" s="1"/>
  <c r="F136" i="13"/>
  <c r="F23" i="13" s="1"/>
  <c r="F13" i="41" s="1"/>
  <c r="N135" i="13"/>
  <c r="N22" i="13" s="1"/>
  <c r="N13" i="40" s="1"/>
  <c r="J135" i="13"/>
  <c r="J22" i="13" s="1"/>
  <c r="F135" i="13"/>
  <c r="F22" i="13" s="1"/>
  <c r="N133" i="13"/>
  <c r="N20" i="13" s="1"/>
  <c r="N13" i="35" s="1"/>
  <c r="J133" i="13"/>
  <c r="J20" i="13" s="1"/>
  <c r="J13" i="35" s="1"/>
  <c r="F133" i="13"/>
  <c r="F20" i="13" s="1"/>
  <c r="F13" i="35" s="1"/>
  <c r="N132" i="13"/>
  <c r="N19" i="13" s="1"/>
  <c r="N13" i="34" s="1"/>
  <c r="J132" i="13"/>
  <c r="J19" i="13" s="1"/>
  <c r="J13" i="34" s="1"/>
  <c r="F132" i="13"/>
  <c r="F19" i="13" s="1"/>
  <c r="F13" i="34" s="1"/>
  <c r="N131" i="13"/>
  <c r="N18" i="13" s="1"/>
  <c r="N13" i="33" s="1"/>
  <c r="J131" i="13"/>
  <c r="J18" i="13" s="1"/>
  <c r="J13" i="33" s="1"/>
  <c r="F131" i="13"/>
  <c r="F18" i="13" s="1"/>
  <c r="F13" i="33" s="1"/>
  <c r="N130" i="13"/>
  <c r="N17" i="13" s="1"/>
  <c r="N13" i="32" s="1"/>
  <c r="J130" i="13"/>
  <c r="J17" i="13" s="1"/>
  <c r="J13" i="32" s="1"/>
  <c r="F130" i="13"/>
  <c r="F17" i="13" s="1"/>
  <c r="F13" i="32" s="1"/>
  <c r="N129" i="13"/>
  <c r="N16" i="13" s="1"/>
  <c r="N13" i="31" s="1"/>
  <c r="J129" i="13"/>
  <c r="J16" i="13" s="1"/>
  <c r="J13" i="31" s="1"/>
  <c r="F129" i="13"/>
  <c r="F16" i="13" s="1"/>
  <c r="F13" i="31" s="1"/>
  <c r="N128" i="13"/>
  <c r="N15" i="13" s="1"/>
  <c r="N13" i="30" s="1"/>
  <c r="J128" i="13"/>
  <c r="J15" i="13" s="1"/>
  <c r="J13" i="30" s="1"/>
  <c r="F128" i="13"/>
  <c r="F15" i="13" s="1"/>
  <c r="F13" i="30" s="1"/>
  <c r="N127" i="13"/>
  <c r="N14" i="13" s="1"/>
  <c r="N13" i="26" s="1"/>
  <c r="J127" i="13"/>
  <c r="J14" i="13" s="1"/>
  <c r="J13" i="26" s="1"/>
  <c r="F127" i="13"/>
  <c r="F14" i="13" s="1"/>
  <c r="F13" i="26" s="1"/>
  <c r="N126" i="13"/>
  <c r="N13" i="13" s="1"/>
  <c r="N13" i="25" s="1"/>
  <c r="J126" i="13"/>
  <c r="J13" i="13" s="1"/>
  <c r="J13" i="25" s="1"/>
  <c r="F126" i="13"/>
  <c r="F13" i="13" s="1"/>
  <c r="F13" i="25" s="1"/>
  <c r="D125" i="13"/>
  <c r="D12" i="13" s="1"/>
  <c r="D13" i="23" s="1"/>
  <c r="H125" i="13"/>
  <c r="H12" i="13" s="1"/>
  <c r="H13" i="23" s="1"/>
  <c r="L125" i="13"/>
  <c r="L12" i="13" s="1"/>
  <c r="L13" i="23" s="1"/>
  <c r="M141" i="13"/>
  <c r="M28" i="13" s="1"/>
  <c r="M13" i="49" s="1"/>
  <c r="I141" i="13"/>
  <c r="I28" i="13" s="1"/>
  <c r="I13" i="49" s="1"/>
  <c r="E141" i="13"/>
  <c r="E28" i="13" s="1"/>
  <c r="E13" i="49" s="1"/>
  <c r="M140" i="13"/>
  <c r="M27" i="13" s="1"/>
  <c r="M13" i="48" s="1"/>
  <c r="I140" i="13"/>
  <c r="I27" i="13" s="1"/>
  <c r="I13" i="48" s="1"/>
  <c r="E140" i="13"/>
  <c r="E27" i="13" s="1"/>
  <c r="E13" i="48" s="1"/>
  <c r="M139" i="13"/>
  <c r="M26" i="13" s="1"/>
  <c r="M13" i="47" s="1"/>
  <c r="M49" i="47" s="1"/>
  <c r="M50" i="47" s="1"/>
  <c r="I139" i="13"/>
  <c r="I26" i="13" s="1"/>
  <c r="I13" i="47" s="1"/>
  <c r="I49" i="47" s="1"/>
  <c r="I50" i="47" s="1"/>
  <c r="E139" i="13"/>
  <c r="E26" i="13" s="1"/>
  <c r="E13" i="47" s="1"/>
  <c r="E49" i="47" s="1"/>
  <c r="E50" i="47" s="1"/>
  <c r="M138" i="13"/>
  <c r="M25" i="13" s="1"/>
  <c r="M13" i="46" s="1"/>
  <c r="I138" i="13"/>
  <c r="I25" i="13" s="1"/>
  <c r="I13" i="46" s="1"/>
  <c r="E138" i="13"/>
  <c r="E25" i="13" s="1"/>
  <c r="E13" i="46" s="1"/>
  <c r="M137" i="13"/>
  <c r="M24" i="13" s="1"/>
  <c r="M13" i="42" s="1"/>
  <c r="I137" i="13"/>
  <c r="I24" i="13" s="1"/>
  <c r="I13" i="42" s="1"/>
  <c r="E137" i="13"/>
  <c r="E24" i="13" s="1"/>
  <c r="E13" i="42" s="1"/>
  <c r="M136" i="13"/>
  <c r="M23" i="13" s="1"/>
  <c r="M13" i="41" s="1"/>
  <c r="I136" i="13"/>
  <c r="I23" i="13" s="1"/>
  <c r="I13" i="41" s="1"/>
  <c r="E136" i="13"/>
  <c r="E23" i="13" s="1"/>
  <c r="E13" i="41" s="1"/>
  <c r="M135" i="13"/>
  <c r="M22" i="13" s="1"/>
  <c r="M13" i="40" s="1"/>
  <c r="I135" i="13"/>
  <c r="I22" i="13" s="1"/>
  <c r="E135" i="13"/>
  <c r="E22" i="13" s="1"/>
  <c r="M133" i="13"/>
  <c r="M20" i="13" s="1"/>
  <c r="M13" i="35" s="1"/>
  <c r="I133" i="13"/>
  <c r="I20" i="13" s="1"/>
  <c r="I13" i="35" s="1"/>
  <c r="E133" i="13"/>
  <c r="E20" i="13" s="1"/>
  <c r="E13" i="35" s="1"/>
  <c r="M132" i="13"/>
  <c r="M19" i="13" s="1"/>
  <c r="M13" i="34" s="1"/>
  <c r="I132" i="13"/>
  <c r="I19" i="13" s="1"/>
  <c r="I13" i="34" s="1"/>
  <c r="E132" i="13"/>
  <c r="E19" i="13" s="1"/>
  <c r="E13" i="34" s="1"/>
  <c r="M131" i="13"/>
  <c r="M18" i="13" s="1"/>
  <c r="M13" i="33" s="1"/>
  <c r="I131" i="13"/>
  <c r="I18" i="13" s="1"/>
  <c r="I13" i="33" s="1"/>
  <c r="E131" i="13"/>
  <c r="E18" i="13" s="1"/>
  <c r="E13" i="33" s="1"/>
  <c r="M130" i="13"/>
  <c r="M17" i="13" s="1"/>
  <c r="M13" i="32" s="1"/>
  <c r="I130" i="13"/>
  <c r="I17" i="13" s="1"/>
  <c r="I13" i="32" s="1"/>
  <c r="E130" i="13"/>
  <c r="E17" i="13" s="1"/>
  <c r="E13" i="32" s="1"/>
  <c r="M129" i="13"/>
  <c r="M16" i="13" s="1"/>
  <c r="M13" i="31" s="1"/>
  <c r="I129" i="13"/>
  <c r="I16" i="13" s="1"/>
  <c r="I13" i="31" s="1"/>
  <c r="E129" i="13"/>
  <c r="E16" i="13" s="1"/>
  <c r="E13" i="31" s="1"/>
  <c r="M128" i="13"/>
  <c r="M15" i="13" s="1"/>
  <c r="M13" i="30" s="1"/>
  <c r="I128" i="13"/>
  <c r="I15" i="13" s="1"/>
  <c r="I13" i="30" s="1"/>
  <c r="E128" i="13"/>
  <c r="E15" i="13" s="1"/>
  <c r="E13" i="30" s="1"/>
  <c r="M127" i="13"/>
  <c r="M14" i="13" s="1"/>
  <c r="M13" i="26" s="1"/>
  <c r="I127" i="13"/>
  <c r="I14" i="13" s="1"/>
  <c r="I13" i="26" s="1"/>
  <c r="E127" i="13"/>
  <c r="E14" i="13" s="1"/>
  <c r="E13" i="26" s="1"/>
  <c r="M126" i="13"/>
  <c r="M13" i="13" s="1"/>
  <c r="M13" i="25" s="1"/>
  <c r="I126" i="13"/>
  <c r="I13" i="13" s="1"/>
  <c r="I13" i="25" s="1"/>
  <c r="E126" i="13"/>
  <c r="E13" i="13" s="1"/>
  <c r="E13" i="25" s="1"/>
  <c r="E125" i="13"/>
  <c r="E12" i="13" s="1"/>
  <c r="E13" i="23" s="1"/>
  <c r="I125" i="13"/>
  <c r="I12" i="13" s="1"/>
  <c r="I13" i="23" s="1"/>
  <c r="M125" i="13"/>
  <c r="M12" i="13" s="1"/>
  <c r="M13" i="23" s="1"/>
  <c r="L141" i="13"/>
  <c r="L28" i="13" s="1"/>
  <c r="L13" i="49" s="1"/>
  <c r="H141" i="13"/>
  <c r="H28" i="13" s="1"/>
  <c r="H13" i="49" s="1"/>
  <c r="D141" i="13"/>
  <c r="D28" i="13" s="1"/>
  <c r="D13" i="49" s="1"/>
  <c r="L140" i="13"/>
  <c r="L27" i="13" s="1"/>
  <c r="L13" i="48" s="1"/>
  <c r="H140" i="13"/>
  <c r="H27" i="13" s="1"/>
  <c r="H13" i="48" s="1"/>
  <c r="D140" i="13"/>
  <c r="D27" i="13" s="1"/>
  <c r="D13" i="48" s="1"/>
  <c r="L139" i="13"/>
  <c r="L26" i="13" s="1"/>
  <c r="L13" i="47" s="1"/>
  <c r="L49" i="47" s="1"/>
  <c r="L50" i="47" s="1"/>
  <c r="H139" i="13"/>
  <c r="H26" i="13" s="1"/>
  <c r="H13" i="47" s="1"/>
  <c r="H49" i="47" s="1"/>
  <c r="H50" i="47" s="1"/>
  <c r="D139" i="13"/>
  <c r="D26" i="13" s="1"/>
  <c r="D13" i="47" s="1"/>
  <c r="D49" i="47" s="1"/>
  <c r="D50" i="47" s="1"/>
  <c r="L138" i="13"/>
  <c r="L25" i="13" s="1"/>
  <c r="L13" i="46" s="1"/>
  <c r="H138" i="13"/>
  <c r="H25" i="13" s="1"/>
  <c r="H13" i="46" s="1"/>
  <c r="D138" i="13"/>
  <c r="D25" i="13" s="1"/>
  <c r="D13" i="46" s="1"/>
  <c r="L137" i="13"/>
  <c r="L24" i="13" s="1"/>
  <c r="L13" i="42" s="1"/>
  <c r="H137" i="13"/>
  <c r="H24" i="13" s="1"/>
  <c r="H13" i="42" s="1"/>
  <c r="D137" i="13"/>
  <c r="D24" i="13" s="1"/>
  <c r="D13" i="42" s="1"/>
  <c r="L136" i="13"/>
  <c r="L23" i="13" s="1"/>
  <c r="L13" i="41" s="1"/>
  <c r="H136" i="13"/>
  <c r="H23" i="13" s="1"/>
  <c r="H13" i="41" s="1"/>
  <c r="D136" i="13"/>
  <c r="D23" i="13" s="1"/>
  <c r="D13" i="41" s="1"/>
  <c r="L135" i="13"/>
  <c r="L22" i="13" s="1"/>
  <c r="H135" i="13"/>
  <c r="H22" i="13" s="1"/>
  <c r="D135" i="13"/>
  <c r="D22" i="13" s="1"/>
  <c r="L133" i="13"/>
  <c r="L20" i="13" s="1"/>
  <c r="L13" i="35" s="1"/>
  <c r="H133" i="13"/>
  <c r="H20" i="13" s="1"/>
  <c r="H13" i="35" s="1"/>
  <c r="D133" i="13"/>
  <c r="D20" i="13" s="1"/>
  <c r="D13" i="35" s="1"/>
  <c r="L132" i="13"/>
  <c r="L19" i="13" s="1"/>
  <c r="L13" i="34" s="1"/>
  <c r="H132" i="13"/>
  <c r="H19" i="13" s="1"/>
  <c r="H13" i="34" s="1"/>
  <c r="D132" i="13"/>
  <c r="D19" i="13" s="1"/>
  <c r="D13" i="34" s="1"/>
  <c r="L131" i="13"/>
  <c r="L18" i="13" s="1"/>
  <c r="L13" i="33" s="1"/>
  <c r="H131" i="13"/>
  <c r="H18" i="13" s="1"/>
  <c r="H13" i="33" s="1"/>
  <c r="D131" i="13"/>
  <c r="D18" i="13" s="1"/>
  <c r="D13" i="33" s="1"/>
  <c r="L130" i="13"/>
  <c r="L17" i="13" s="1"/>
  <c r="L13" i="32" s="1"/>
  <c r="H130" i="13"/>
  <c r="H17" i="13" s="1"/>
  <c r="H13" i="32" s="1"/>
  <c r="D130" i="13"/>
  <c r="D17" i="13" s="1"/>
  <c r="D13" i="32" s="1"/>
  <c r="L129" i="13"/>
  <c r="L16" i="13" s="1"/>
  <c r="L13" i="31" s="1"/>
  <c r="H129" i="13"/>
  <c r="H16" i="13" s="1"/>
  <c r="H13" i="31" s="1"/>
  <c r="D129" i="13"/>
  <c r="D16" i="13" s="1"/>
  <c r="D13" i="31" s="1"/>
  <c r="L128" i="13"/>
  <c r="L15" i="13" s="1"/>
  <c r="L13" i="30" s="1"/>
  <c r="H128" i="13"/>
  <c r="H15" i="13" s="1"/>
  <c r="H13" i="30" s="1"/>
  <c r="D128" i="13"/>
  <c r="D15" i="13" s="1"/>
  <c r="D13" i="30" s="1"/>
  <c r="L127" i="13"/>
  <c r="L14" i="13" s="1"/>
  <c r="L13" i="26" s="1"/>
  <c r="H127" i="13"/>
  <c r="H14" i="13" s="1"/>
  <c r="H13" i="26" s="1"/>
  <c r="D127" i="13"/>
  <c r="D14" i="13" s="1"/>
  <c r="D13" i="26" s="1"/>
  <c r="L126" i="13"/>
  <c r="L13" i="13" s="1"/>
  <c r="L13" i="25" s="1"/>
  <c r="H126" i="13"/>
  <c r="H13" i="13" s="1"/>
  <c r="H13" i="25" s="1"/>
  <c r="D126" i="13"/>
  <c r="D13" i="13" s="1"/>
  <c r="D13" i="25" s="1"/>
  <c r="F125" i="13"/>
  <c r="F12" i="13" s="1"/>
  <c r="F13" i="23" s="1"/>
  <c r="J125" i="13"/>
  <c r="J12" i="13" s="1"/>
  <c r="J13" i="23" s="1"/>
  <c r="N125" i="13"/>
  <c r="N12" i="13" s="1"/>
  <c r="N13" i="23" s="1"/>
  <c r="K141" i="13"/>
  <c r="K28" i="13" s="1"/>
  <c r="K13" i="49" s="1"/>
  <c r="G141" i="13"/>
  <c r="G28" i="13" s="1"/>
  <c r="G13" i="49" s="1"/>
  <c r="C141" i="13"/>
  <c r="C28" i="13" s="1"/>
  <c r="K140" i="13"/>
  <c r="K27" i="13" s="1"/>
  <c r="K13" i="48" s="1"/>
  <c r="G140" i="13"/>
  <c r="G27" i="13" s="1"/>
  <c r="G13" i="48" s="1"/>
  <c r="C140" i="13"/>
  <c r="C27" i="13" s="1"/>
  <c r="K139" i="13"/>
  <c r="K26" i="13" s="1"/>
  <c r="K13" i="47" s="1"/>
  <c r="K49" i="47" s="1"/>
  <c r="K50" i="47" s="1"/>
  <c r="G139" i="13"/>
  <c r="G26" i="13" s="1"/>
  <c r="G13" i="47" s="1"/>
  <c r="G49" i="47" s="1"/>
  <c r="G50" i="47" s="1"/>
  <c r="C139" i="13"/>
  <c r="C26" i="13" s="1"/>
  <c r="K138" i="13"/>
  <c r="K25" i="13" s="1"/>
  <c r="K13" i="46" s="1"/>
  <c r="G138" i="13"/>
  <c r="G25" i="13" s="1"/>
  <c r="G13" i="46" s="1"/>
  <c r="C138" i="13"/>
  <c r="C25" i="13" s="1"/>
  <c r="K137" i="13"/>
  <c r="K24" i="13" s="1"/>
  <c r="K13" i="42" s="1"/>
  <c r="G137" i="13"/>
  <c r="G24" i="13" s="1"/>
  <c r="G13" i="42" s="1"/>
  <c r="C137" i="13"/>
  <c r="C24" i="13" s="1"/>
  <c r="K136" i="13"/>
  <c r="K23" i="13" s="1"/>
  <c r="K13" i="41" s="1"/>
  <c r="G136" i="13"/>
  <c r="G23" i="13" s="1"/>
  <c r="G13" i="41" s="1"/>
  <c r="C136" i="13"/>
  <c r="C23" i="13" s="1"/>
  <c r="K135" i="13"/>
  <c r="K22" i="13" s="1"/>
  <c r="G135" i="13"/>
  <c r="G22" i="13" s="1"/>
  <c r="C135" i="13"/>
  <c r="C22" i="13" s="1"/>
  <c r="K133" i="13"/>
  <c r="K20" i="13" s="1"/>
  <c r="K13" i="35" s="1"/>
  <c r="G133" i="13"/>
  <c r="G20" i="13" s="1"/>
  <c r="G13" i="35" s="1"/>
  <c r="C133" i="13"/>
  <c r="C20" i="13" s="1"/>
  <c r="K132" i="13"/>
  <c r="K19" i="13" s="1"/>
  <c r="K13" i="34" s="1"/>
  <c r="G132" i="13"/>
  <c r="G19" i="13" s="1"/>
  <c r="G13" i="34" s="1"/>
  <c r="C132" i="13"/>
  <c r="C19" i="13" s="1"/>
  <c r="K131" i="13"/>
  <c r="K18" i="13" s="1"/>
  <c r="K13" i="33" s="1"/>
  <c r="G131" i="13"/>
  <c r="G18" i="13" s="1"/>
  <c r="G13" i="33" s="1"/>
  <c r="C131" i="13"/>
  <c r="C18" i="13" s="1"/>
  <c r="K130" i="13"/>
  <c r="K17" i="13" s="1"/>
  <c r="K13" i="32" s="1"/>
  <c r="G130" i="13"/>
  <c r="G17" i="13" s="1"/>
  <c r="G13" i="32" s="1"/>
  <c r="C130" i="13"/>
  <c r="C17" i="13" s="1"/>
  <c r="K129" i="13"/>
  <c r="K16" i="13" s="1"/>
  <c r="K13" i="31" s="1"/>
  <c r="G129" i="13"/>
  <c r="G16" i="13" s="1"/>
  <c r="G13" i="31" s="1"/>
  <c r="C129" i="13"/>
  <c r="C16" i="13" s="1"/>
  <c r="K128" i="13"/>
  <c r="K15" i="13" s="1"/>
  <c r="K13" i="30" s="1"/>
  <c r="G128" i="13"/>
  <c r="G15" i="13" s="1"/>
  <c r="G13" i="30" s="1"/>
  <c r="C128" i="13"/>
  <c r="C15" i="13" s="1"/>
  <c r="K127" i="13"/>
  <c r="K14" i="13" s="1"/>
  <c r="K13" i="26" s="1"/>
  <c r="G127" i="13"/>
  <c r="G14" i="13" s="1"/>
  <c r="G13" i="26" s="1"/>
  <c r="C127" i="13"/>
  <c r="C14" i="13" s="1"/>
  <c r="K126" i="13"/>
  <c r="K13" i="13" s="1"/>
  <c r="K13" i="25" s="1"/>
  <c r="G126" i="13"/>
  <c r="G13" i="13" s="1"/>
  <c r="G13" i="25" s="1"/>
  <c r="M13" i="39" l="1"/>
  <c r="F15" i="39"/>
  <c r="F109" i="69" s="1"/>
  <c r="M15" i="39"/>
  <c r="M109" i="69" s="1"/>
  <c r="K13" i="39"/>
  <c r="D13" i="39"/>
  <c r="F15" i="25"/>
  <c r="N15" i="30"/>
  <c r="N61" i="30" s="1"/>
  <c r="J15" i="33"/>
  <c r="F15" i="40"/>
  <c r="D15" i="23"/>
  <c r="D19" i="69" s="1"/>
  <c r="H15" i="25"/>
  <c r="L15" i="26"/>
  <c r="D15" i="31"/>
  <c r="H15" i="32"/>
  <c r="H69" i="69" s="1"/>
  <c r="L15" i="33"/>
  <c r="D15" i="35"/>
  <c r="H15" i="40"/>
  <c r="L15" i="41"/>
  <c r="L129" i="69" s="1"/>
  <c r="D15" i="46"/>
  <c r="H15" i="47"/>
  <c r="L15" i="48"/>
  <c r="N15" i="39"/>
  <c r="N109" i="69" s="1"/>
  <c r="L13" i="39"/>
  <c r="J15" i="39"/>
  <c r="J109" i="69" s="1"/>
  <c r="I15" i="39"/>
  <c r="I109" i="69" s="1"/>
  <c r="H13" i="39"/>
  <c r="H15" i="23"/>
  <c r="L15" i="25"/>
  <c r="D15" i="30"/>
  <c r="D61" i="30" s="1"/>
  <c r="H15" i="31"/>
  <c r="H59" i="69" s="1"/>
  <c r="L15" i="32"/>
  <c r="D15" i="34"/>
  <c r="H15" i="35"/>
  <c r="L15" i="40"/>
  <c r="L119" i="69" s="1"/>
  <c r="D15" i="42"/>
  <c r="H15" i="46"/>
  <c r="L15" i="47"/>
  <c r="D15" i="49"/>
  <c r="D179" i="69" s="1"/>
  <c r="F158" i="65" s="1"/>
  <c r="AI158" i="65" s="1"/>
  <c r="N13" i="39"/>
  <c r="K15" i="39"/>
  <c r="K109" i="69" s="1"/>
  <c r="J13" i="39"/>
  <c r="I13" i="39"/>
  <c r="G15" i="39"/>
  <c r="G109" i="69" s="1"/>
  <c r="F13" i="39"/>
  <c r="E15" i="39"/>
  <c r="E109" i="69" s="1"/>
  <c r="N15" i="25"/>
  <c r="N29" i="69" s="1"/>
  <c r="J15" i="31"/>
  <c r="F15" i="34"/>
  <c r="L15" i="23"/>
  <c r="D15" i="26"/>
  <c r="D39" i="69" s="1"/>
  <c r="H15" i="30"/>
  <c r="H61" i="30" s="1"/>
  <c r="L15" i="31"/>
  <c r="D15" i="33"/>
  <c r="H15" i="34"/>
  <c r="L15" i="35"/>
  <c r="D15" i="41"/>
  <c r="H15" i="42"/>
  <c r="L15" i="46"/>
  <c r="D15" i="48"/>
  <c r="H15" i="49"/>
  <c r="L15" i="39"/>
  <c r="L109" i="69" s="1"/>
  <c r="H15" i="39"/>
  <c r="H109" i="69" s="1"/>
  <c r="G13" i="39"/>
  <c r="D15" i="39"/>
  <c r="D109" i="69" s="1"/>
  <c r="D15" i="25"/>
  <c r="H15" i="26"/>
  <c r="H39" i="69" s="1"/>
  <c r="L15" i="30"/>
  <c r="L61" i="30" s="1"/>
  <c r="D15" i="32"/>
  <c r="H15" i="33"/>
  <c r="L15" i="34"/>
  <c r="L89" i="69" s="1"/>
  <c r="N168" i="65" s="1"/>
  <c r="AQ168" i="65" s="1"/>
  <c r="D15" i="40"/>
  <c r="H15" i="41"/>
  <c r="L15" i="42"/>
  <c r="D15" i="47"/>
  <c r="D159" i="69" s="1"/>
  <c r="F138" i="65" s="1"/>
  <c r="AI138" i="65" s="1"/>
  <c r="H15" i="48"/>
  <c r="L15" i="49"/>
  <c r="E13" i="39"/>
  <c r="G49" i="30"/>
  <c r="G39" i="30"/>
  <c r="G40" i="30" s="1"/>
  <c r="G49" i="34"/>
  <c r="G39" i="34"/>
  <c r="G40" i="34" s="1"/>
  <c r="G49" i="26"/>
  <c r="G39" i="26"/>
  <c r="G40" i="26" s="1"/>
  <c r="K49" i="30"/>
  <c r="K39" i="30"/>
  <c r="K40" i="30" s="1"/>
  <c r="G49" i="33"/>
  <c r="G39" i="33"/>
  <c r="G40" i="33" s="1"/>
  <c r="K49" i="34"/>
  <c r="K39" i="34"/>
  <c r="K40" i="34" s="1"/>
  <c r="G49" i="41"/>
  <c r="G50" i="41" s="1"/>
  <c r="G39" i="41"/>
  <c r="G40" i="41" s="1"/>
  <c r="K49" i="42"/>
  <c r="K39" i="42"/>
  <c r="K40" i="42" s="1"/>
  <c r="G49" i="48"/>
  <c r="G50" i="48" s="1"/>
  <c r="G39" i="48"/>
  <c r="G40" i="48" s="1"/>
  <c r="K49" i="49"/>
  <c r="K50" i="49" s="1"/>
  <c r="K39" i="49"/>
  <c r="K40" i="49" s="1"/>
  <c r="D49" i="25"/>
  <c r="D50" i="25" s="1"/>
  <c r="D39" i="25"/>
  <c r="D40" i="25" s="1"/>
  <c r="H49" i="26"/>
  <c r="H39" i="26"/>
  <c r="H40" i="26" s="1"/>
  <c r="L49" i="30"/>
  <c r="L39" i="30"/>
  <c r="L40" i="30" s="1"/>
  <c r="D49" i="32"/>
  <c r="D39" i="32"/>
  <c r="D40" i="32" s="1"/>
  <c r="H49" i="33"/>
  <c r="H39" i="33"/>
  <c r="H40" i="33" s="1"/>
  <c r="L49" i="34"/>
  <c r="L39" i="34"/>
  <c r="L40" i="34" s="1"/>
  <c r="H49" i="41"/>
  <c r="H50" i="41" s="1"/>
  <c r="H39" i="41"/>
  <c r="H40" i="41" s="1"/>
  <c r="L49" i="42"/>
  <c r="L39" i="42"/>
  <c r="L40" i="42" s="1"/>
  <c r="H49" i="48"/>
  <c r="H50" i="48" s="1"/>
  <c r="H39" i="48"/>
  <c r="H40" i="48" s="1"/>
  <c r="L49" i="49"/>
  <c r="L50" i="49" s="1"/>
  <c r="L39" i="49"/>
  <c r="L40" i="49" s="1"/>
  <c r="E49" i="25"/>
  <c r="E50" i="25" s="1"/>
  <c r="E39" i="25"/>
  <c r="E40" i="25" s="1"/>
  <c r="I49" i="26"/>
  <c r="I39" i="26"/>
  <c r="I40" i="26" s="1"/>
  <c r="M49" i="30"/>
  <c r="M39" i="30"/>
  <c r="M40" i="30" s="1"/>
  <c r="E49" i="32"/>
  <c r="E39" i="32"/>
  <c r="E40" i="32" s="1"/>
  <c r="I49" i="33"/>
  <c r="I39" i="33"/>
  <c r="I40" i="33" s="1"/>
  <c r="M49" i="34"/>
  <c r="M39" i="34"/>
  <c r="M40" i="34" s="1"/>
  <c r="I49" i="41"/>
  <c r="I50" i="41" s="1"/>
  <c r="I39" i="41"/>
  <c r="I40" i="41" s="1"/>
  <c r="M49" i="42"/>
  <c r="M39" i="42"/>
  <c r="M40" i="42" s="1"/>
  <c r="I49" i="48"/>
  <c r="I50" i="48" s="1"/>
  <c r="I39" i="48"/>
  <c r="I40" i="48" s="1"/>
  <c r="M49" i="49"/>
  <c r="M50" i="49" s="1"/>
  <c r="M39" i="49"/>
  <c r="M40" i="49" s="1"/>
  <c r="F49" i="25"/>
  <c r="F50" i="25" s="1"/>
  <c r="F39" i="25"/>
  <c r="F40" i="25" s="1"/>
  <c r="J49" i="26"/>
  <c r="J39" i="26"/>
  <c r="J40" i="26" s="1"/>
  <c r="N49" i="30"/>
  <c r="N39" i="30"/>
  <c r="N40" i="30" s="1"/>
  <c r="F49" i="32"/>
  <c r="F39" i="32"/>
  <c r="F40" i="32" s="1"/>
  <c r="J49" i="33"/>
  <c r="J39" i="33"/>
  <c r="J40" i="33" s="1"/>
  <c r="N49" i="34"/>
  <c r="N50" i="34" s="1"/>
  <c r="N39" i="34"/>
  <c r="N40" i="34" s="1"/>
  <c r="J49" i="41"/>
  <c r="J50" i="41" s="1"/>
  <c r="J39" i="41"/>
  <c r="J40" i="41" s="1"/>
  <c r="N49" i="42"/>
  <c r="N39" i="42"/>
  <c r="N40" i="42" s="1"/>
  <c r="J49" i="48"/>
  <c r="J50" i="48" s="1"/>
  <c r="J39" i="48"/>
  <c r="J40" i="48" s="1"/>
  <c r="N49" i="49"/>
  <c r="N50" i="49" s="1"/>
  <c r="N39" i="49"/>
  <c r="N40" i="49" s="1"/>
  <c r="L49" i="39"/>
  <c r="L50" i="39" s="1"/>
  <c r="L39" i="39"/>
  <c r="H49" i="39"/>
  <c r="H50" i="39" s="1"/>
  <c r="H39" i="39"/>
  <c r="G49" i="31"/>
  <c r="G50" i="31" s="1"/>
  <c r="G39" i="31"/>
  <c r="G40" i="31" s="1"/>
  <c r="K49" i="31"/>
  <c r="K50" i="31" s="1"/>
  <c r="K39" i="31"/>
  <c r="K40" i="31" s="1"/>
  <c r="G49" i="25"/>
  <c r="G50" i="25" s="1"/>
  <c r="G39" i="25"/>
  <c r="G40" i="25" s="1"/>
  <c r="K49" i="26"/>
  <c r="K39" i="26"/>
  <c r="K40" i="26" s="1"/>
  <c r="G49" i="32"/>
  <c r="G39" i="32"/>
  <c r="G40" i="32" s="1"/>
  <c r="K49" i="33"/>
  <c r="K39" i="33"/>
  <c r="K40" i="33" s="1"/>
  <c r="K49" i="41"/>
  <c r="K50" i="41" s="1"/>
  <c r="K39" i="41"/>
  <c r="K40" i="41" s="1"/>
  <c r="K49" i="48"/>
  <c r="K50" i="48" s="1"/>
  <c r="K39" i="48"/>
  <c r="K40" i="48" s="1"/>
  <c r="N39" i="23"/>
  <c r="N49" i="23"/>
  <c r="N50" i="23" s="1"/>
  <c r="H49" i="25"/>
  <c r="H50" i="25" s="1"/>
  <c r="H39" i="25"/>
  <c r="H40" i="25" s="1"/>
  <c r="L49" i="26"/>
  <c r="L39" i="26"/>
  <c r="L40" i="26" s="1"/>
  <c r="D49" i="31"/>
  <c r="D50" i="31" s="1"/>
  <c r="D39" i="31"/>
  <c r="D40" i="31" s="1"/>
  <c r="H49" i="32"/>
  <c r="H39" i="32"/>
  <c r="H40" i="32" s="1"/>
  <c r="L49" i="33"/>
  <c r="L39" i="33"/>
  <c r="L40" i="33" s="1"/>
  <c r="D49" i="35"/>
  <c r="D50" i="35" s="1"/>
  <c r="D39" i="35"/>
  <c r="D40" i="35" s="1"/>
  <c r="L49" i="41"/>
  <c r="L50" i="41" s="1"/>
  <c r="L39" i="41"/>
  <c r="L40" i="41" s="1"/>
  <c r="D49" i="46"/>
  <c r="D50" i="46" s="1"/>
  <c r="D39" i="46"/>
  <c r="D40" i="46" s="1"/>
  <c r="L49" i="48"/>
  <c r="L50" i="48" s="1"/>
  <c r="L39" i="48"/>
  <c r="L40" i="48" s="1"/>
  <c r="M39" i="23"/>
  <c r="M49" i="23"/>
  <c r="M50" i="23" s="1"/>
  <c r="I49" i="25"/>
  <c r="I50" i="25" s="1"/>
  <c r="I39" i="25"/>
  <c r="I40" i="25" s="1"/>
  <c r="M49" i="26"/>
  <c r="M39" i="26"/>
  <c r="M40" i="26" s="1"/>
  <c r="E49" i="31"/>
  <c r="E50" i="31" s="1"/>
  <c r="E39" i="31"/>
  <c r="E40" i="31" s="1"/>
  <c r="I49" i="32"/>
  <c r="I39" i="32"/>
  <c r="I40" i="32" s="1"/>
  <c r="M49" i="33"/>
  <c r="M39" i="33"/>
  <c r="M40" i="33" s="1"/>
  <c r="E49" i="35"/>
  <c r="E50" i="35" s="1"/>
  <c r="E39" i="35"/>
  <c r="E40" i="35" s="1"/>
  <c r="M49" i="41"/>
  <c r="M50" i="41" s="1"/>
  <c r="M39" i="41"/>
  <c r="M40" i="41" s="1"/>
  <c r="E49" i="46"/>
  <c r="E50" i="46" s="1"/>
  <c r="E39" i="46"/>
  <c r="E40" i="46" s="1"/>
  <c r="M49" i="48"/>
  <c r="M50" i="48" s="1"/>
  <c r="M39" i="48"/>
  <c r="M40" i="48" s="1"/>
  <c r="L39" i="23"/>
  <c r="L49" i="23"/>
  <c r="J49" i="25"/>
  <c r="J50" i="25" s="1"/>
  <c r="J39" i="25"/>
  <c r="J40" i="25" s="1"/>
  <c r="N49" i="26"/>
  <c r="N39" i="26"/>
  <c r="N40" i="26" s="1"/>
  <c r="F49" i="31"/>
  <c r="F50" i="31" s="1"/>
  <c r="F39" i="31"/>
  <c r="F40" i="31" s="1"/>
  <c r="J49" i="32"/>
  <c r="J39" i="32"/>
  <c r="J40" i="32" s="1"/>
  <c r="N49" i="33"/>
  <c r="N39" i="33"/>
  <c r="N40" i="33" s="1"/>
  <c r="F49" i="35"/>
  <c r="F50" i="35" s="1"/>
  <c r="F39" i="35"/>
  <c r="F40" i="35" s="1"/>
  <c r="N49" i="41"/>
  <c r="N50" i="41" s="1"/>
  <c r="N39" i="41"/>
  <c r="N40" i="41" s="1"/>
  <c r="F49" i="46"/>
  <c r="F50" i="46" s="1"/>
  <c r="F39" i="46"/>
  <c r="F40" i="46" s="1"/>
  <c r="N49" i="48"/>
  <c r="N50" i="48" s="1"/>
  <c r="N39" i="48"/>
  <c r="N40" i="48" s="1"/>
  <c r="K39" i="23"/>
  <c r="K49" i="23"/>
  <c r="N49" i="39"/>
  <c r="N50" i="39" s="1"/>
  <c r="N39" i="39"/>
  <c r="J49" i="39"/>
  <c r="J50" i="39" s="1"/>
  <c r="J39" i="39"/>
  <c r="I49" i="39"/>
  <c r="I50" i="39" s="1"/>
  <c r="I39" i="39"/>
  <c r="F49" i="39"/>
  <c r="F50" i="39" s="1"/>
  <c r="F39" i="39"/>
  <c r="K49" i="25"/>
  <c r="K50" i="25" s="1"/>
  <c r="K39" i="25"/>
  <c r="K40" i="25" s="1"/>
  <c r="G49" i="35"/>
  <c r="G50" i="35" s="1"/>
  <c r="G39" i="35"/>
  <c r="G40" i="35" s="1"/>
  <c r="G49" i="46"/>
  <c r="G50" i="46" s="1"/>
  <c r="G39" i="46"/>
  <c r="G40" i="46" s="1"/>
  <c r="J39" i="23"/>
  <c r="J49" i="23"/>
  <c r="L49" i="25"/>
  <c r="L50" i="25" s="1"/>
  <c r="L39" i="25"/>
  <c r="L40" i="25" s="1"/>
  <c r="D49" i="30"/>
  <c r="D39" i="30"/>
  <c r="D40" i="30" s="1"/>
  <c r="H49" i="31"/>
  <c r="H50" i="31" s="1"/>
  <c r="H39" i="31"/>
  <c r="H40" i="31" s="1"/>
  <c r="L49" i="32"/>
  <c r="L39" i="32"/>
  <c r="L40" i="32" s="1"/>
  <c r="D49" i="34"/>
  <c r="D39" i="34"/>
  <c r="D40" i="34" s="1"/>
  <c r="H49" i="35"/>
  <c r="H50" i="35" s="1"/>
  <c r="H39" i="35"/>
  <c r="H40" i="35" s="1"/>
  <c r="D49" i="42"/>
  <c r="D39" i="42"/>
  <c r="D40" i="42" s="1"/>
  <c r="H49" i="46"/>
  <c r="H50" i="46" s="1"/>
  <c r="H39" i="46"/>
  <c r="H40" i="46" s="1"/>
  <c r="D49" i="49"/>
  <c r="D50" i="49" s="1"/>
  <c r="D39" i="49"/>
  <c r="D40" i="49" s="1"/>
  <c r="I39" i="23"/>
  <c r="I49" i="23"/>
  <c r="I50" i="23" s="1"/>
  <c r="M49" i="25"/>
  <c r="M50" i="25" s="1"/>
  <c r="M39" i="25"/>
  <c r="M40" i="25" s="1"/>
  <c r="E49" i="30"/>
  <c r="E50" i="30" s="1"/>
  <c r="E39" i="30"/>
  <c r="E40" i="30" s="1"/>
  <c r="I49" i="31"/>
  <c r="I50" i="31" s="1"/>
  <c r="I39" i="31"/>
  <c r="I40" i="31" s="1"/>
  <c r="M49" i="32"/>
  <c r="M39" i="32"/>
  <c r="M40" i="32" s="1"/>
  <c r="E49" i="34"/>
  <c r="E39" i="34"/>
  <c r="E40" i="34" s="1"/>
  <c r="I49" i="35"/>
  <c r="I50" i="35" s="1"/>
  <c r="I39" i="35"/>
  <c r="I40" i="35" s="1"/>
  <c r="M39" i="40"/>
  <c r="M40" i="40" s="1"/>
  <c r="M49" i="40"/>
  <c r="M50" i="40" s="1"/>
  <c r="E49" i="42"/>
  <c r="E39" i="42"/>
  <c r="E40" i="42" s="1"/>
  <c r="I49" i="46"/>
  <c r="I50" i="46" s="1"/>
  <c r="I39" i="46"/>
  <c r="I40" i="46" s="1"/>
  <c r="E49" i="49"/>
  <c r="E50" i="49" s="1"/>
  <c r="E39" i="49"/>
  <c r="E40" i="49" s="1"/>
  <c r="H39" i="23"/>
  <c r="H49" i="23"/>
  <c r="H50" i="23" s="1"/>
  <c r="N49" i="25"/>
  <c r="N50" i="25" s="1"/>
  <c r="N39" i="25"/>
  <c r="N40" i="25" s="1"/>
  <c r="F49" i="30"/>
  <c r="F50" i="30" s="1"/>
  <c r="F39" i="30"/>
  <c r="F40" i="30" s="1"/>
  <c r="J49" i="31"/>
  <c r="J50" i="31" s="1"/>
  <c r="J39" i="31"/>
  <c r="J40" i="31" s="1"/>
  <c r="N49" i="32"/>
  <c r="N39" i="32"/>
  <c r="N40" i="32" s="1"/>
  <c r="F49" i="34"/>
  <c r="F39" i="34"/>
  <c r="F40" i="34" s="1"/>
  <c r="J49" i="35"/>
  <c r="J50" i="35" s="1"/>
  <c r="J39" i="35"/>
  <c r="J40" i="35" s="1"/>
  <c r="N49" i="40"/>
  <c r="N50" i="40" s="1"/>
  <c r="N39" i="40"/>
  <c r="N40" i="40" s="1"/>
  <c r="F49" i="42"/>
  <c r="F39" i="42"/>
  <c r="F40" i="42" s="1"/>
  <c r="J49" i="46"/>
  <c r="J50" i="46" s="1"/>
  <c r="J39" i="46"/>
  <c r="J40" i="46" s="1"/>
  <c r="F49" i="49"/>
  <c r="F50" i="49" s="1"/>
  <c r="F39" i="49"/>
  <c r="F40" i="49" s="1"/>
  <c r="G49" i="23"/>
  <c r="G50" i="23" s="1"/>
  <c r="G39" i="23"/>
  <c r="G49" i="39"/>
  <c r="G50" i="39" s="1"/>
  <c r="G39" i="39"/>
  <c r="K49" i="32"/>
  <c r="K39" i="32"/>
  <c r="K40" i="32" s="1"/>
  <c r="K49" i="35"/>
  <c r="K50" i="35" s="1"/>
  <c r="K39" i="35"/>
  <c r="K40" i="35" s="1"/>
  <c r="G49" i="42"/>
  <c r="G39" i="42"/>
  <c r="G40" i="42" s="1"/>
  <c r="K49" i="46"/>
  <c r="K50" i="46" s="1"/>
  <c r="K39" i="46"/>
  <c r="K40" i="46" s="1"/>
  <c r="G49" i="49"/>
  <c r="G50" i="49" s="1"/>
  <c r="G39" i="49"/>
  <c r="G40" i="49" s="1"/>
  <c r="F49" i="23"/>
  <c r="F50" i="23" s="1"/>
  <c r="F39" i="23"/>
  <c r="D49" i="26"/>
  <c r="D39" i="26"/>
  <c r="D40" i="26" s="1"/>
  <c r="H49" i="30"/>
  <c r="H39" i="30"/>
  <c r="H40" i="30" s="1"/>
  <c r="L49" i="31"/>
  <c r="L50" i="31" s="1"/>
  <c r="L39" i="31"/>
  <c r="L40" i="31" s="1"/>
  <c r="D49" i="33"/>
  <c r="D39" i="33"/>
  <c r="D40" i="33" s="1"/>
  <c r="H49" i="34"/>
  <c r="H39" i="34"/>
  <c r="H40" i="34" s="1"/>
  <c r="L49" i="35"/>
  <c r="L50" i="35" s="1"/>
  <c r="L39" i="35"/>
  <c r="L40" i="35" s="1"/>
  <c r="D49" i="41"/>
  <c r="D50" i="41" s="1"/>
  <c r="D39" i="41"/>
  <c r="D40" i="41" s="1"/>
  <c r="H49" i="42"/>
  <c r="H39" i="42"/>
  <c r="H40" i="42" s="1"/>
  <c r="L49" i="46"/>
  <c r="L50" i="46" s="1"/>
  <c r="L39" i="46"/>
  <c r="L40" i="46" s="1"/>
  <c r="D49" i="48"/>
  <c r="D50" i="48" s="1"/>
  <c r="D39" i="48"/>
  <c r="D40" i="48" s="1"/>
  <c r="H49" i="49"/>
  <c r="H50" i="49" s="1"/>
  <c r="H39" i="49"/>
  <c r="H40" i="49" s="1"/>
  <c r="E39" i="23"/>
  <c r="E49" i="23"/>
  <c r="E50" i="23" s="1"/>
  <c r="E49" i="26"/>
  <c r="E39" i="26"/>
  <c r="E40" i="26" s="1"/>
  <c r="I49" i="30"/>
  <c r="I39" i="30"/>
  <c r="I40" i="30" s="1"/>
  <c r="M49" i="31"/>
  <c r="M50" i="31" s="1"/>
  <c r="M39" i="31"/>
  <c r="M40" i="31" s="1"/>
  <c r="E49" i="33"/>
  <c r="E39" i="33"/>
  <c r="E40" i="33" s="1"/>
  <c r="I49" i="34"/>
  <c r="I39" i="34"/>
  <c r="I40" i="34" s="1"/>
  <c r="M49" i="35"/>
  <c r="M50" i="35" s="1"/>
  <c r="M39" i="35"/>
  <c r="M40" i="35" s="1"/>
  <c r="E49" i="41"/>
  <c r="E50" i="41" s="1"/>
  <c r="E39" i="41"/>
  <c r="E40" i="41" s="1"/>
  <c r="I49" i="42"/>
  <c r="I39" i="42"/>
  <c r="I40" i="42" s="1"/>
  <c r="M49" i="46"/>
  <c r="M50" i="46" s="1"/>
  <c r="M39" i="46"/>
  <c r="M40" i="46" s="1"/>
  <c r="E49" i="48"/>
  <c r="E50" i="48" s="1"/>
  <c r="E39" i="48"/>
  <c r="E40" i="48" s="1"/>
  <c r="I49" i="49"/>
  <c r="I50" i="49" s="1"/>
  <c r="I39" i="49"/>
  <c r="I40" i="49" s="1"/>
  <c r="D39" i="23"/>
  <c r="D49" i="23"/>
  <c r="D50" i="23" s="1"/>
  <c r="F49" i="26"/>
  <c r="F39" i="26"/>
  <c r="F40" i="26" s="1"/>
  <c r="J49" i="30"/>
  <c r="J39" i="30"/>
  <c r="J40" i="30" s="1"/>
  <c r="N49" i="31"/>
  <c r="N50" i="31" s="1"/>
  <c r="N39" i="31"/>
  <c r="N40" i="31" s="1"/>
  <c r="F49" i="33"/>
  <c r="F39" i="33"/>
  <c r="F40" i="33" s="1"/>
  <c r="J49" i="34"/>
  <c r="J39" i="34"/>
  <c r="J40" i="34" s="1"/>
  <c r="N49" i="35"/>
  <c r="N50" i="35" s="1"/>
  <c r="N39" i="35"/>
  <c r="N40" i="35" s="1"/>
  <c r="F49" i="41"/>
  <c r="F50" i="41" s="1"/>
  <c r="F39" i="41"/>
  <c r="F40" i="41" s="1"/>
  <c r="J49" i="42"/>
  <c r="J39" i="42"/>
  <c r="J40" i="42" s="1"/>
  <c r="N49" i="46"/>
  <c r="N50" i="46" s="1"/>
  <c r="N39" i="46"/>
  <c r="N40" i="46" s="1"/>
  <c r="F49" i="48"/>
  <c r="F50" i="48" s="1"/>
  <c r="F39" i="48"/>
  <c r="F40" i="48" s="1"/>
  <c r="J49" i="49"/>
  <c r="J50" i="49" s="1"/>
  <c r="J39" i="49"/>
  <c r="J40" i="49" s="1"/>
  <c r="M49" i="39"/>
  <c r="M50" i="39" s="1"/>
  <c r="M39" i="39"/>
  <c r="K49" i="39"/>
  <c r="K50" i="39" s="1"/>
  <c r="K39" i="39"/>
  <c r="E49" i="39"/>
  <c r="E50" i="39" s="1"/>
  <c r="E39" i="39"/>
  <c r="D49" i="39"/>
  <c r="D50" i="39" s="1"/>
  <c r="D39" i="39"/>
  <c r="M179" i="69"/>
  <c r="O158" i="65" s="1"/>
  <c r="AR158" i="65" s="1"/>
  <c r="J179" i="69"/>
  <c r="L158" i="65" s="1"/>
  <c r="AO158" i="65" s="1"/>
  <c r="F179" i="69"/>
  <c r="H158" i="65" s="1"/>
  <c r="AK158" i="65" s="1"/>
  <c r="H179" i="69"/>
  <c r="J158" i="65" s="1"/>
  <c r="AM158" i="65" s="1"/>
  <c r="L179" i="69"/>
  <c r="N158" i="65" s="1"/>
  <c r="AQ158" i="65" s="1"/>
  <c r="I179" i="69"/>
  <c r="K158" i="65" s="1"/>
  <c r="AN158" i="65" s="1"/>
  <c r="G179" i="69"/>
  <c r="I158" i="65" s="1"/>
  <c r="AL158" i="65" s="1"/>
  <c r="N179" i="69"/>
  <c r="P158" i="65" s="1"/>
  <c r="AS158" i="65" s="1"/>
  <c r="E179" i="69"/>
  <c r="G158" i="65" s="1"/>
  <c r="AJ158" i="65" s="1"/>
  <c r="K179" i="69"/>
  <c r="M158" i="65" s="1"/>
  <c r="AP158" i="65" s="1"/>
  <c r="I169" i="69"/>
  <c r="K148" i="65" s="1"/>
  <c r="AN148" i="65" s="1"/>
  <c r="K169" i="69"/>
  <c r="M148" i="65" s="1"/>
  <c r="AP148" i="65" s="1"/>
  <c r="J169" i="69"/>
  <c r="L148" i="65" s="1"/>
  <c r="AO148" i="65" s="1"/>
  <c r="F169" i="69"/>
  <c r="H148" i="65" s="1"/>
  <c r="AK148" i="65" s="1"/>
  <c r="E169" i="69"/>
  <c r="G148" i="65" s="1"/>
  <c r="AJ148" i="65" s="1"/>
  <c r="D169" i="69"/>
  <c r="F148" i="65" s="1"/>
  <c r="AI148" i="65" s="1"/>
  <c r="L169" i="69"/>
  <c r="N148" i="65" s="1"/>
  <c r="AQ148" i="65" s="1"/>
  <c r="H169" i="69"/>
  <c r="J148" i="65" s="1"/>
  <c r="AM148" i="65" s="1"/>
  <c r="N169" i="69"/>
  <c r="P148" i="65" s="1"/>
  <c r="AS148" i="65" s="1"/>
  <c r="M169" i="69"/>
  <c r="O148" i="65" s="1"/>
  <c r="AR148" i="65" s="1"/>
  <c r="G169" i="69"/>
  <c r="I148" i="65" s="1"/>
  <c r="AL148" i="65" s="1"/>
  <c r="C12" i="15"/>
  <c r="P134" i="77"/>
  <c r="O134" i="77"/>
  <c r="C28" i="77"/>
  <c r="O126" i="77"/>
  <c r="P126" i="77"/>
  <c r="C20" i="77"/>
  <c r="P119" i="77"/>
  <c r="O119" i="77"/>
  <c r="C13" i="77"/>
  <c r="O139" i="77"/>
  <c r="P139" i="77"/>
  <c r="C33" i="77"/>
  <c r="P129" i="77"/>
  <c r="O129" i="77"/>
  <c r="C23" i="77"/>
  <c r="O134" i="13"/>
  <c r="P134" i="13" s="1"/>
  <c r="D70" i="68" s="1"/>
  <c r="C21" i="13"/>
  <c r="P127" i="11"/>
  <c r="D68" i="68" s="1"/>
  <c r="O127" i="11"/>
  <c r="C21" i="11"/>
  <c r="P121" i="77"/>
  <c r="O121" i="77"/>
  <c r="C15" i="77"/>
  <c r="C35" i="77"/>
  <c r="P141" i="77"/>
  <c r="O141" i="77"/>
  <c r="C25" i="77"/>
  <c r="O131" i="77"/>
  <c r="P131" i="77"/>
  <c r="O123" i="77"/>
  <c r="P123" i="77"/>
  <c r="C17" i="77"/>
  <c r="O143" i="77"/>
  <c r="P143" i="77"/>
  <c r="C37" i="77"/>
  <c r="P133" i="77"/>
  <c r="O133" i="77"/>
  <c r="C27" i="77"/>
  <c r="P125" i="77"/>
  <c r="O125" i="77"/>
  <c r="C19" i="77"/>
  <c r="O118" i="77"/>
  <c r="P118" i="77"/>
  <c r="C12" i="77"/>
  <c r="P138" i="77"/>
  <c r="O138" i="77"/>
  <c r="C32" i="77"/>
  <c r="O128" i="77"/>
  <c r="P128" i="77"/>
  <c r="C22" i="77"/>
  <c r="P120" i="77"/>
  <c r="O120" i="77"/>
  <c r="C14" i="77"/>
  <c r="P140" i="77"/>
  <c r="O140" i="77"/>
  <c r="C34" i="77"/>
  <c r="O34" i="77" s="1"/>
  <c r="O127" i="10"/>
  <c r="C21" i="10"/>
  <c r="O21" i="10" s="1"/>
  <c r="P21" i="10" s="1"/>
  <c r="O130" i="77"/>
  <c r="P130" i="77"/>
  <c r="C24" i="77"/>
  <c r="O122" i="77"/>
  <c r="P122" i="77"/>
  <c r="C16" i="77"/>
  <c r="C36" i="77"/>
  <c r="P142" i="77"/>
  <c r="O142" i="77"/>
  <c r="O132" i="77"/>
  <c r="P132" i="77"/>
  <c r="C26" i="77"/>
  <c r="O124" i="77"/>
  <c r="P124" i="77"/>
  <c r="C18" i="77"/>
  <c r="C38" i="77"/>
  <c r="P144" i="77"/>
  <c r="O144" i="77"/>
  <c r="B179" i="68"/>
  <c r="I172" i="68"/>
  <c r="I129" i="68"/>
  <c r="F29" i="69"/>
  <c r="N89" i="69"/>
  <c r="P168" i="65" s="1"/>
  <c r="AS168" i="65" s="1"/>
  <c r="N139" i="69"/>
  <c r="L69" i="69"/>
  <c r="L99" i="69"/>
  <c r="N178" i="65" s="1"/>
  <c r="AQ178" i="65" s="1"/>
  <c r="M99" i="69"/>
  <c r="O178" i="65" s="1"/>
  <c r="AR178" i="65" s="1"/>
  <c r="F69" i="69"/>
  <c r="I139" i="69"/>
  <c r="J29" i="69"/>
  <c r="H99" i="69"/>
  <c r="J178" i="65" s="1"/>
  <c r="AM178" i="65" s="1"/>
  <c r="F39" i="69"/>
  <c r="F119" i="69"/>
  <c r="I19" i="69"/>
  <c r="H49" i="69"/>
  <c r="N79" i="69"/>
  <c r="I129" i="69"/>
  <c r="E39" i="69"/>
  <c r="J69" i="69"/>
  <c r="E119" i="69"/>
  <c r="L149" i="69"/>
  <c r="N128" i="65" s="1"/>
  <c r="AQ128" i="65" s="1"/>
  <c r="G39" i="69"/>
  <c r="D59" i="69"/>
  <c r="M69" i="69"/>
  <c r="J89" i="69"/>
  <c r="L168" i="65" s="1"/>
  <c r="AO168" i="65" s="1"/>
  <c r="H119" i="69"/>
  <c r="E139" i="69"/>
  <c r="N149" i="69"/>
  <c r="P128" i="65" s="1"/>
  <c r="AS128" i="65" s="1"/>
  <c r="L19" i="69"/>
  <c r="L49" i="69"/>
  <c r="I69" i="69"/>
  <c r="F89" i="69"/>
  <c r="H168" i="65" s="1"/>
  <c r="AK168" i="65" s="1"/>
  <c r="D119" i="69"/>
  <c r="M129" i="69"/>
  <c r="J149" i="69"/>
  <c r="L128" i="65" s="1"/>
  <c r="AO128" i="65" s="1"/>
  <c r="G49" i="69"/>
  <c r="K59" i="69"/>
  <c r="G89" i="69"/>
  <c r="I168" i="65" s="1"/>
  <c r="AL168" i="65" s="1"/>
  <c r="K99" i="69"/>
  <c r="M178" i="65" s="1"/>
  <c r="AP178" i="65" s="1"/>
  <c r="G139" i="69"/>
  <c r="K149" i="69"/>
  <c r="M128" i="65" s="1"/>
  <c r="AP128" i="65" s="1"/>
  <c r="H149" i="69"/>
  <c r="J128" i="65" s="1"/>
  <c r="AM128" i="65" s="1"/>
  <c r="E79" i="69"/>
  <c r="F159" i="69"/>
  <c r="H138" i="65" s="1"/>
  <c r="AK138" i="65" s="1"/>
  <c r="D49" i="69"/>
  <c r="E129" i="69"/>
  <c r="N49" i="69"/>
  <c r="D139" i="69"/>
  <c r="E29" i="69"/>
  <c r="F59" i="69"/>
  <c r="M89" i="69"/>
  <c r="O168" i="65" s="1"/>
  <c r="AR168" i="65" s="1"/>
  <c r="H139" i="69"/>
  <c r="E19" i="69"/>
  <c r="N39" i="69"/>
  <c r="I79" i="69"/>
  <c r="D129" i="69"/>
  <c r="J159" i="69"/>
  <c r="L138" i="65" s="1"/>
  <c r="AO138" i="65" s="1"/>
  <c r="G29" i="69"/>
  <c r="L39" i="69"/>
  <c r="I59" i="69"/>
  <c r="F79" i="69"/>
  <c r="D99" i="69"/>
  <c r="F178" i="65" s="1"/>
  <c r="AI178" i="65" s="1"/>
  <c r="M119" i="69"/>
  <c r="J139" i="69"/>
  <c r="H159" i="69"/>
  <c r="J138" i="65" s="1"/>
  <c r="AM138" i="65" s="1"/>
  <c r="D29" i="69"/>
  <c r="E59" i="69"/>
  <c r="N69" i="69"/>
  <c r="I119" i="69"/>
  <c r="F139" i="69"/>
  <c r="K49" i="69"/>
  <c r="G79" i="69"/>
  <c r="K89" i="69"/>
  <c r="M168" i="65" s="1"/>
  <c r="AP168" i="65" s="1"/>
  <c r="G129" i="69"/>
  <c r="K139" i="69"/>
  <c r="I49" i="69"/>
  <c r="J19" i="69"/>
  <c r="M59" i="69"/>
  <c r="M149" i="69"/>
  <c r="O128" i="65" s="1"/>
  <c r="AR128" i="65" s="1"/>
  <c r="M29" i="69"/>
  <c r="E69" i="69"/>
  <c r="F149" i="69"/>
  <c r="H128" i="65" s="1"/>
  <c r="AK128" i="65" s="1"/>
  <c r="M19" i="69"/>
  <c r="M49" i="69"/>
  <c r="H89" i="69"/>
  <c r="J168" i="65" s="1"/>
  <c r="AM168" i="65" s="1"/>
  <c r="N129" i="69"/>
  <c r="G19" i="69"/>
  <c r="K29" i="69"/>
  <c r="E49" i="69"/>
  <c r="N59" i="69"/>
  <c r="L79" i="69"/>
  <c r="I99" i="69"/>
  <c r="K178" i="65" s="1"/>
  <c r="AN178" i="65" s="1"/>
  <c r="F129" i="69"/>
  <c r="D149" i="69"/>
  <c r="F128" i="65" s="1"/>
  <c r="AI128" i="65" s="1"/>
  <c r="M159" i="69"/>
  <c r="O138" i="65" s="1"/>
  <c r="AR138" i="65" s="1"/>
  <c r="H29" i="69"/>
  <c r="M39" i="69"/>
  <c r="J59" i="69"/>
  <c r="H79" i="69"/>
  <c r="E99" i="69"/>
  <c r="G178" i="65" s="1"/>
  <c r="AJ178" i="65" s="1"/>
  <c r="N119" i="69"/>
  <c r="L139" i="69"/>
  <c r="I159" i="69"/>
  <c r="K138" i="65" s="1"/>
  <c r="AN138" i="65" s="1"/>
  <c r="K39" i="69"/>
  <c r="G69" i="69"/>
  <c r="K79" i="69"/>
  <c r="G119" i="69"/>
  <c r="K129" i="69"/>
  <c r="G159" i="69"/>
  <c r="I138" i="65" s="1"/>
  <c r="AL138" i="65" s="1"/>
  <c r="J129" i="69"/>
  <c r="D89" i="69"/>
  <c r="F168" i="65" s="1"/>
  <c r="AI168" i="65" s="1"/>
  <c r="J39" i="69"/>
  <c r="F19" i="69"/>
  <c r="J79" i="69"/>
  <c r="L159" i="69"/>
  <c r="N138" i="65" s="1"/>
  <c r="AQ138" i="65" s="1"/>
  <c r="N19" i="69"/>
  <c r="I89" i="69"/>
  <c r="K168" i="65" s="1"/>
  <c r="AN168" i="65" s="1"/>
  <c r="I39" i="69"/>
  <c r="D79" i="69"/>
  <c r="J119" i="69"/>
  <c r="E159" i="69"/>
  <c r="G138" i="65" s="1"/>
  <c r="AJ138" i="65" s="1"/>
  <c r="I29" i="69"/>
  <c r="L59" i="69"/>
  <c r="F99" i="69"/>
  <c r="H178" i="65" s="1"/>
  <c r="AK178" i="65" s="1"/>
  <c r="M139" i="69"/>
  <c r="K19" i="69"/>
  <c r="J49" i="69"/>
  <c r="E89" i="69"/>
  <c r="G168" i="65" s="1"/>
  <c r="AJ168" i="65" s="1"/>
  <c r="N99" i="69"/>
  <c r="P178" i="65" s="1"/>
  <c r="AS178" i="65" s="1"/>
  <c r="I149" i="69"/>
  <c r="K128" i="65" s="1"/>
  <c r="AN128" i="65" s="1"/>
  <c r="H19" i="69"/>
  <c r="L29" i="69"/>
  <c r="F49" i="69"/>
  <c r="D69" i="69"/>
  <c r="M79" i="69"/>
  <c r="J99" i="69"/>
  <c r="L178" i="65" s="1"/>
  <c r="AO178" i="65" s="1"/>
  <c r="H129" i="69"/>
  <c r="E149" i="69"/>
  <c r="G128" i="65" s="1"/>
  <c r="AJ128" i="65" s="1"/>
  <c r="N159" i="69"/>
  <c r="P138" i="65" s="1"/>
  <c r="AS138" i="65" s="1"/>
  <c r="G59" i="69"/>
  <c r="K69" i="69"/>
  <c r="G99" i="69"/>
  <c r="I178" i="65" s="1"/>
  <c r="AL178" i="65" s="1"/>
  <c r="K119" i="69"/>
  <c r="G149" i="69"/>
  <c r="I128" i="65" s="1"/>
  <c r="AL128" i="65" s="1"/>
  <c r="K159" i="69"/>
  <c r="M138" i="65" s="1"/>
  <c r="AP138" i="65" s="1"/>
  <c r="C35" i="15"/>
  <c r="I131" i="59"/>
  <c r="I133" i="59" s="1"/>
  <c r="J38" i="15"/>
  <c r="C36" i="15"/>
  <c r="G36" i="15"/>
  <c r="D36" i="15"/>
  <c r="E36" i="15"/>
  <c r="F36" i="15"/>
  <c r="L131" i="59"/>
  <c r="L133" i="59" s="1"/>
  <c r="M38" i="15"/>
  <c r="K131" i="59"/>
  <c r="K133" i="59" s="1"/>
  <c r="L38" i="15"/>
  <c r="M131" i="59"/>
  <c r="M133" i="59" s="1"/>
  <c r="N38" i="15"/>
  <c r="F131" i="59"/>
  <c r="G38" i="15"/>
  <c r="C131" i="59"/>
  <c r="C133" i="59" s="1"/>
  <c r="D38" i="15"/>
  <c r="J131" i="59"/>
  <c r="K194" i="79" s="1"/>
  <c r="L146" i="78" s="1"/>
  <c r="K38" i="15"/>
  <c r="H131" i="59"/>
  <c r="H133" i="59" s="1"/>
  <c r="I38" i="15"/>
  <c r="G131" i="59"/>
  <c r="H194" i="79" s="1"/>
  <c r="I146" i="78" s="1"/>
  <c r="H38" i="15"/>
  <c r="E131" i="59"/>
  <c r="E133" i="59" s="1"/>
  <c r="F38" i="15"/>
  <c r="D193" i="79"/>
  <c r="E147" i="78" s="1"/>
  <c r="N132" i="50"/>
  <c r="N135" i="50" s="1"/>
  <c r="O132" i="50"/>
  <c r="C135" i="50"/>
  <c r="L193" i="79"/>
  <c r="M147" i="78" s="1"/>
  <c r="K135" i="50"/>
  <c r="H193" i="79"/>
  <c r="I147" i="78" s="1"/>
  <c r="G135" i="50"/>
  <c r="K193" i="79"/>
  <c r="L147" i="78" s="1"/>
  <c r="J135" i="50"/>
  <c r="I193" i="79"/>
  <c r="J147" i="78" s="1"/>
  <c r="H135" i="50"/>
  <c r="M193" i="79"/>
  <c r="N147" i="78" s="1"/>
  <c r="L135" i="50"/>
  <c r="F193" i="79"/>
  <c r="G147" i="78" s="1"/>
  <c r="E135" i="50"/>
  <c r="G193" i="79"/>
  <c r="H147" i="78" s="1"/>
  <c r="F135" i="50"/>
  <c r="E193" i="79"/>
  <c r="F147" i="78" s="1"/>
  <c r="D135" i="50"/>
  <c r="N193" i="79"/>
  <c r="O147" i="78" s="1"/>
  <c r="M135" i="50"/>
  <c r="J193" i="79"/>
  <c r="K147" i="78" s="1"/>
  <c r="I135" i="50"/>
  <c r="C27" i="14"/>
  <c r="O35" i="13"/>
  <c r="P35" i="13" s="1"/>
  <c r="N60" i="48"/>
  <c r="E60" i="49"/>
  <c r="M60" i="48"/>
  <c r="G60" i="48"/>
  <c r="K60" i="49"/>
  <c r="N60" i="49"/>
  <c r="F36" i="16"/>
  <c r="E84" i="50" s="1"/>
  <c r="F248" i="69" s="1"/>
  <c r="H235" i="65" s="1"/>
  <c r="D36" i="16"/>
  <c r="C84" i="50" s="1"/>
  <c r="D248" i="69" s="1"/>
  <c r="F235" i="65" s="1"/>
  <c r="G36" i="16"/>
  <c r="F84" i="50" s="1"/>
  <c r="G248" i="69" s="1"/>
  <c r="I235" i="65" s="1"/>
  <c r="E36" i="16"/>
  <c r="D84" i="50" s="1"/>
  <c r="E248" i="69" s="1"/>
  <c r="G235" i="65" s="1"/>
  <c r="C36" i="16"/>
  <c r="B84" i="50" s="1"/>
  <c r="O148" i="13"/>
  <c r="P148" i="13" s="1"/>
  <c r="D144" i="68" s="1"/>
  <c r="P134" i="12"/>
  <c r="D75" i="68" s="1"/>
  <c r="O35" i="10"/>
  <c r="P35" i="10" s="1"/>
  <c r="M60" i="49"/>
  <c r="C34" i="10"/>
  <c r="O34" i="10" s="1"/>
  <c r="P34" i="10" s="1"/>
  <c r="O140" i="10"/>
  <c r="I60" i="48"/>
  <c r="J60" i="49"/>
  <c r="F60" i="49"/>
  <c r="K60" i="48"/>
  <c r="G37" i="14"/>
  <c r="F130" i="60" s="1"/>
  <c r="G188" i="79" s="1"/>
  <c r="F115" i="78"/>
  <c r="E147" i="79"/>
  <c r="H37" i="14"/>
  <c r="G130" i="60" s="1"/>
  <c r="H188" i="79" s="1"/>
  <c r="C34" i="13"/>
  <c r="O34" i="13" s="1"/>
  <c r="P34" i="13" s="1"/>
  <c r="O147" i="13"/>
  <c r="P147" i="13" s="1"/>
  <c r="D138" i="68" s="1"/>
  <c r="P34" i="12"/>
  <c r="J60" i="48"/>
  <c r="H60" i="49"/>
  <c r="F60" i="48"/>
  <c r="L60" i="49"/>
  <c r="D35" i="14"/>
  <c r="C35" i="14" s="1"/>
  <c r="C32" i="13"/>
  <c r="O32" i="13" s="1"/>
  <c r="P32" i="13" s="1"/>
  <c r="O145" i="13"/>
  <c r="P145" i="13" s="1"/>
  <c r="D120" i="68" s="1"/>
  <c r="O35" i="11"/>
  <c r="E60" i="48"/>
  <c r="I60" i="49"/>
  <c r="D60" i="48"/>
  <c r="C32" i="10"/>
  <c r="O32" i="10" s="1"/>
  <c r="P32" i="10" s="1"/>
  <c r="O138" i="10"/>
  <c r="C35" i="16"/>
  <c r="L60" i="48"/>
  <c r="H60" i="48"/>
  <c r="G60" i="49"/>
  <c r="B84" i="59"/>
  <c r="C130" i="60"/>
  <c r="D188" i="79" s="1"/>
  <c r="L37" i="60"/>
  <c r="M167" i="70" s="1"/>
  <c r="N139" i="66" s="1"/>
  <c r="L127" i="60"/>
  <c r="M167" i="79" s="1"/>
  <c r="L84" i="60"/>
  <c r="L39" i="60"/>
  <c r="M181" i="70" s="1"/>
  <c r="N151" i="66" s="1"/>
  <c r="L129" i="60"/>
  <c r="M181" i="79" s="1"/>
  <c r="N139" i="78" s="1"/>
  <c r="C78" i="60"/>
  <c r="C123" i="60"/>
  <c r="D139" i="79" s="1"/>
  <c r="C33" i="60"/>
  <c r="D139" i="70" s="1"/>
  <c r="E115" i="66" s="1"/>
  <c r="M37" i="60"/>
  <c r="N167" i="70" s="1"/>
  <c r="O139" i="66" s="1"/>
  <c r="M127" i="60"/>
  <c r="N167" i="79" s="1"/>
  <c r="F78" i="60"/>
  <c r="F33" i="60"/>
  <c r="G139" i="70" s="1"/>
  <c r="H115" i="66" s="1"/>
  <c r="F123" i="60"/>
  <c r="G139" i="79" s="1"/>
  <c r="J37" i="60"/>
  <c r="K167" i="70" s="1"/>
  <c r="L139" i="66" s="1"/>
  <c r="J127" i="60"/>
  <c r="K167" i="79" s="1"/>
  <c r="H39" i="60"/>
  <c r="I181" i="70" s="1"/>
  <c r="J151" i="66" s="1"/>
  <c r="H84" i="60"/>
  <c r="H129" i="60"/>
  <c r="I181" i="79" s="1"/>
  <c r="J139" i="78" s="1"/>
  <c r="D78" i="60"/>
  <c r="D33" i="60"/>
  <c r="E139" i="70" s="1"/>
  <c r="F115" i="66" s="1"/>
  <c r="D123" i="60"/>
  <c r="E139" i="79" s="1"/>
  <c r="G33" i="60"/>
  <c r="H139" i="70" s="1"/>
  <c r="I115" i="66" s="1"/>
  <c r="G78" i="60"/>
  <c r="G123" i="60"/>
  <c r="H139" i="79" s="1"/>
  <c r="C37" i="60"/>
  <c r="D167" i="70" s="1"/>
  <c r="E139" i="66" s="1"/>
  <c r="C127" i="60"/>
  <c r="D167" i="79" s="1"/>
  <c r="E78" i="60"/>
  <c r="E33" i="60"/>
  <c r="F139" i="70" s="1"/>
  <c r="G115" i="66" s="1"/>
  <c r="E123" i="60"/>
  <c r="F139" i="79" s="1"/>
  <c r="F37" i="60"/>
  <c r="G167" i="70" s="1"/>
  <c r="H139" i="66" s="1"/>
  <c r="F127" i="60"/>
  <c r="G167" i="79" s="1"/>
  <c r="B78" i="60"/>
  <c r="B33" i="60"/>
  <c r="C139" i="70" s="1"/>
  <c r="P67" i="58"/>
  <c r="B126" i="60"/>
  <c r="N126" i="60" s="1"/>
  <c r="O126" i="60" s="1"/>
  <c r="P63" i="74"/>
  <c r="B130" i="60"/>
  <c r="L33" i="60"/>
  <c r="M139" i="70" s="1"/>
  <c r="N115" i="66" s="1"/>
  <c r="L78" i="60"/>
  <c r="L123" i="60"/>
  <c r="M139" i="79" s="1"/>
  <c r="H37" i="60"/>
  <c r="I167" i="70" s="1"/>
  <c r="J139" i="66" s="1"/>
  <c r="H127" i="60"/>
  <c r="I167" i="79" s="1"/>
  <c r="K33" i="60"/>
  <c r="L139" i="70" s="1"/>
  <c r="M115" i="66" s="1"/>
  <c r="K78" i="60"/>
  <c r="K123" i="60"/>
  <c r="L139" i="79" s="1"/>
  <c r="G37" i="60"/>
  <c r="H167" i="70" s="1"/>
  <c r="I139" i="66" s="1"/>
  <c r="G127" i="60"/>
  <c r="H167" i="79" s="1"/>
  <c r="K84" i="60"/>
  <c r="K39" i="60"/>
  <c r="L181" i="70" s="1"/>
  <c r="M151" i="66" s="1"/>
  <c r="K129" i="60"/>
  <c r="L181" i="79" s="1"/>
  <c r="M139" i="78" s="1"/>
  <c r="I78" i="60"/>
  <c r="I33" i="60"/>
  <c r="J139" i="70" s="1"/>
  <c r="K115" i="66" s="1"/>
  <c r="I123" i="60"/>
  <c r="J139" i="79" s="1"/>
  <c r="E37" i="60"/>
  <c r="F167" i="70" s="1"/>
  <c r="G139" i="66" s="1"/>
  <c r="E127" i="60"/>
  <c r="F167" i="79" s="1"/>
  <c r="I84" i="60"/>
  <c r="I39" i="60"/>
  <c r="J181" i="70" s="1"/>
  <c r="K151" i="66" s="1"/>
  <c r="I129" i="60"/>
  <c r="J181" i="79" s="1"/>
  <c r="K139" i="78" s="1"/>
  <c r="J39" i="60"/>
  <c r="K181" i="70" s="1"/>
  <c r="L151" i="66" s="1"/>
  <c r="J84" i="60"/>
  <c r="J129" i="60"/>
  <c r="K181" i="79" s="1"/>
  <c r="L139" i="78" s="1"/>
  <c r="J78" i="60"/>
  <c r="J33" i="60"/>
  <c r="K139" i="70" s="1"/>
  <c r="L115" i="66" s="1"/>
  <c r="J123" i="60"/>
  <c r="K139" i="79" s="1"/>
  <c r="B124" i="60"/>
  <c r="P66" i="55"/>
  <c r="H33" i="60"/>
  <c r="I139" i="70" s="1"/>
  <c r="J115" i="66" s="1"/>
  <c r="H78" i="60"/>
  <c r="H123" i="60"/>
  <c r="I139" i="79" s="1"/>
  <c r="D37" i="60"/>
  <c r="E167" i="70" s="1"/>
  <c r="F139" i="66" s="1"/>
  <c r="D127" i="60"/>
  <c r="E167" i="79" s="1"/>
  <c r="K37" i="60"/>
  <c r="L167" i="70" s="1"/>
  <c r="M139" i="66" s="1"/>
  <c r="K127" i="60"/>
  <c r="L167" i="79" s="1"/>
  <c r="M33" i="60"/>
  <c r="N139" i="70" s="1"/>
  <c r="O115" i="66" s="1"/>
  <c r="M78" i="60"/>
  <c r="M123" i="60"/>
  <c r="N139" i="79" s="1"/>
  <c r="I37" i="60"/>
  <c r="J167" i="70" s="1"/>
  <c r="K139" i="66" s="1"/>
  <c r="I127" i="60"/>
  <c r="J167" i="79" s="1"/>
  <c r="M39" i="60"/>
  <c r="N181" i="70" s="1"/>
  <c r="O151" i="66" s="1"/>
  <c r="M129" i="60"/>
  <c r="N181" i="79" s="1"/>
  <c r="O139" i="78" s="1"/>
  <c r="M84" i="60"/>
  <c r="J195" i="79"/>
  <c r="K145" i="78" s="1"/>
  <c r="K195" i="79"/>
  <c r="L145" i="78" s="1"/>
  <c r="N195" i="79"/>
  <c r="O145" i="78" s="1"/>
  <c r="E195" i="79"/>
  <c r="F145" i="78" s="1"/>
  <c r="D195" i="79"/>
  <c r="E145" i="78" s="1"/>
  <c r="I195" i="79"/>
  <c r="J145" i="78" s="1"/>
  <c r="L195" i="79"/>
  <c r="M145" i="78" s="1"/>
  <c r="G195" i="79"/>
  <c r="H145" i="78" s="1"/>
  <c r="M195" i="79"/>
  <c r="N145" i="78" s="1"/>
  <c r="H195" i="79"/>
  <c r="I145" i="78" s="1"/>
  <c r="F195" i="79"/>
  <c r="G145" i="78" s="1"/>
  <c r="N131" i="60"/>
  <c r="P66" i="75"/>
  <c r="J85" i="60"/>
  <c r="J40" i="60"/>
  <c r="K188" i="70" s="1"/>
  <c r="L157" i="66" s="1"/>
  <c r="F86" i="60"/>
  <c r="F41" i="60"/>
  <c r="G195" i="70" s="1"/>
  <c r="H163" i="66" s="1"/>
  <c r="L40" i="60"/>
  <c r="M188" i="70" s="1"/>
  <c r="N157" i="66" s="1"/>
  <c r="L85" i="60"/>
  <c r="L41" i="60"/>
  <c r="M195" i="70" s="1"/>
  <c r="N163" i="66" s="1"/>
  <c r="L86" i="60"/>
  <c r="C85" i="60"/>
  <c r="C40" i="60"/>
  <c r="D188" i="70" s="1"/>
  <c r="E157" i="66" s="1"/>
  <c r="G86" i="60"/>
  <c r="G41" i="60"/>
  <c r="H195" i="70" s="1"/>
  <c r="I163" i="66" s="1"/>
  <c r="E41" i="60"/>
  <c r="F195" i="70" s="1"/>
  <c r="G163" i="66" s="1"/>
  <c r="E86" i="60"/>
  <c r="F40" i="60"/>
  <c r="G188" i="70" s="1"/>
  <c r="H157" i="66" s="1"/>
  <c r="F85" i="60"/>
  <c r="H41" i="60"/>
  <c r="I195" i="70" s="1"/>
  <c r="J163" i="66" s="1"/>
  <c r="H86" i="60"/>
  <c r="G85" i="60"/>
  <c r="G40" i="60"/>
  <c r="H188" i="70" s="1"/>
  <c r="I157" i="66" s="1"/>
  <c r="K41" i="60"/>
  <c r="L195" i="70" s="1"/>
  <c r="M163" i="66" s="1"/>
  <c r="K86" i="60"/>
  <c r="E40" i="60"/>
  <c r="F188" i="70" s="1"/>
  <c r="G157" i="66" s="1"/>
  <c r="E85" i="60"/>
  <c r="I86" i="60"/>
  <c r="I41" i="60"/>
  <c r="J195" i="70" s="1"/>
  <c r="K163" i="66" s="1"/>
  <c r="J41" i="60"/>
  <c r="K195" i="70" s="1"/>
  <c r="L163" i="66" s="1"/>
  <c r="J86" i="60"/>
  <c r="H40" i="60"/>
  <c r="I188" i="70" s="1"/>
  <c r="J157" i="66" s="1"/>
  <c r="H85" i="60"/>
  <c r="K85" i="60"/>
  <c r="K40" i="60"/>
  <c r="L188" i="70" s="1"/>
  <c r="M157" i="66" s="1"/>
  <c r="I40" i="60"/>
  <c r="J188" i="70" s="1"/>
  <c r="K157" i="66" s="1"/>
  <c r="I85" i="60"/>
  <c r="M41" i="60"/>
  <c r="N195" i="70" s="1"/>
  <c r="O163" i="66" s="1"/>
  <c r="M86" i="60"/>
  <c r="D85" i="60"/>
  <c r="D40" i="60"/>
  <c r="E188" i="70" s="1"/>
  <c r="F157" i="66" s="1"/>
  <c r="D41" i="60"/>
  <c r="E195" i="70" s="1"/>
  <c r="F163" i="66" s="1"/>
  <c r="D86" i="60"/>
  <c r="C41" i="60"/>
  <c r="D195" i="70" s="1"/>
  <c r="E163" i="66" s="1"/>
  <c r="C86" i="60"/>
  <c r="M85" i="60"/>
  <c r="M40" i="60"/>
  <c r="N188" i="70" s="1"/>
  <c r="O157" i="66" s="1"/>
  <c r="E17" i="14"/>
  <c r="E67" i="69" s="1"/>
  <c r="I17" i="14"/>
  <c r="I67" i="69" s="1"/>
  <c r="M17" i="14"/>
  <c r="M67" i="69" s="1"/>
  <c r="C17" i="14"/>
  <c r="G17" i="14"/>
  <c r="G67" i="69" s="1"/>
  <c r="K17" i="14"/>
  <c r="K67" i="69" s="1"/>
  <c r="D17" i="14"/>
  <c r="D67" i="69" s="1"/>
  <c r="H17" i="14"/>
  <c r="H67" i="69" s="1"/>
  <c r="L17" i="14"/>
  <c r="L67" i="69" s="1"/>
  <c r="N17" i="14"/>
  <c r="N67" i="69" s="1"/>
  <c r="F17" i="14"/>
  <c r="F67" i="69" s="1"/>
  <c r="J17" i="14"/>
  <c r="J67" i="69" s="1"/>
  <c r="F22" i="14"/>
  <c r="F13" i="40" s="1"/>
  <c r="J22" i="14"/>
  <c r="J13" i="40" s="1"/>
  <c r="N22" i="14"/>
  <c r="N117" i="69" s="1"/>
  <c r="D22" i="14"/>
  <c r="D13" i="40" s="1"/>
  <c r="C22" i="14"/>
  <c r="H22" i="14"/>
  <c r="H13" i="40" s="1"/>
  <c r="L22" i="14"/>
  <c r="L13" i="40" s="1"/>
  <c r="E22" i="14"/>
  <c r="E13" i="40" s="1"/>
  <c r="I22" i="14"/>
  <c r="I13" i="40" s="1"/>
  <c r="M22" i="14"/>
  <c r="M117" i="69" s="1"/>
  <c r="K22" i="14"/>
  <c r="K13" i="40" s="1"/>
  <c r="G22" i="14"/>
  <c r="G13" i="40" s="1"/>
  <c r="F26" i="14"/>
  <c r="J26" i="14"/>
  <c r="N26" i="14"/>
  <c r="D26" i="14"/>
  <c r="H26" i="14"/>
  <c r="L26" i="14"/>
  <c r="G26" i="14"/>
  <c r="I26" i="14"/>
  <c r="C26" i="14"/>
  <c r="K26" i="14"/>
  <c r="E26" i="14"/>
  <c r="M26" i="14"/>
  <c r="E16" i="14"/>
  <c r="E57" i="69" s="1"/>
  <c r="I16" i="14"/>
  <c r="I57" i="69" s="1"/>
  <c r="M16" i="14"/>
  <c r="M57" i="69" s="1"/>
  <c r="C16" i="14"/>
  <c r="G16" i="14"/>
  <c r="G57" i="69" s="1"/>
  <c r="K16" i="14"/>
  <c r="K57" i="69" s="1"/>
  <c r="D16" i="14"/>
  <c r="D57" i="69" s="1"/>
  <c r="H16" i="14"/>
  <c r="H57" i="69" s="1"/>
  <c r="L16" i="14"/>
  <c r="L57" i="69" s="1"/>
  <c r="J16" i="14"/>
  <c r="J57" i="69" s="1"/>
  <c r="N16" i="14"/>
  <c r="N57" i="69" s="1"/>
  <c r="F16" i="14"/>
  <c r="F57" i="69" s="1"/>
  <c r="E20" i="14"/>
  <c r="E97" i="69" s="1"/>
  <c r="G176" i="65" s="1"/>
  <c r="AJ176" i="65" s="1"/>
  <c r="I20" i="14"/>
  <c r="I97" i="69" s="1"/>
  <c r="K176" i="65" s="1"/>
  <c r="AN176" i="65" s="1"/>
  <c r="M20" i="14"/>
  <c r="M97" i="69" s="1"/>
  <c r="O176" i="65" s="1"/>
  <c r="AR176" i="65" s="1"/>
  <c r="C20" i="14"/>
  <c r="G20" i="14"/>
  <c r="G97" i="69" s="1"/>
  <c r="I176" i="65" s="1"/>
  <c r="AL176" i="65" s="1"/>
  <c r="K20" i="14"/>
  <c r="K97" i="69" s="1"/>
  <c r="M176" i="65" s="1"/>
  <c r="AP176" i="65" s="1"/>
  <c r="D20" i="14"/>
  <c r="D97" i="69" s="1"/>
  <c r="F176" i="65" s="1"/>
  <c r="AI176" i="65" s="1"/>
  <c r="H20" i="14"/>
  <c r="H97" i="69" s="1"/>
  <c r="J176" i="65" s="1"/>
  <c r="AM176" i="65" s="1"/>
  <c r="L20" i="14"/>
  <c r="L97" i="69" s="1"/>
  <c r="N176" i="65" s="1"/>
  <c r="AQ176" i="65" s="1"/>
  <c r="J20" i="14"/>
  <c r="J97" i="69" s="1"/>
  <c r="L176" i="65" s="1"/>
  <c r="AO176" i="65" s="1"/>
  <c r="N20" i="14"/>
  <c r="N97" i="69" s="1"/>
  <c r="P176" i="65" s="1"/>
  <c r="AS176" i="65" s="1"/>
  <c r="F20" i="14"/>
  <c r="F97" i="69" s="1"/>
  <c r="H176" i="65" s="1"/>
  <c r="AK176" i="65" s="1"/>
  <c r="F25" i="14"/>
  <c r="J25" i="14"/>
  <c r="N25" i="14"/>
  <c r="N147" i="69" s="1"/>
  <c r="P126" i="65" s="1"/>
  <c r="AS126" i="65" s="1"/>
  <c r="D25" i="14"/>
  <c r="H25" i="14"/>
  <c r="L25" i="14"/>
  <c r="C25" i="14"/>
  <c r="K25" i="14"/>
  <c r="E25" i="14"/>
  <c r="G25" i="14"/>
  <c r="I25" i="14"/>
  <c r="M25" i="14"/>
  <c r="M147" i="69" s="1"/>
  <c r="O126" i="65" s="1"/>
  <c r="AR126" i="65" s="1"/>
  <c r="E15" i="14"/>
  <c r="E47" i="69" s="1"/>
  <c r="I15" i="14"/>
  <c r="I47" i="69" s="1"/>
  <c r="M15" i="14"/>
  <c r="M47" i="69" s="1"/>
  <c r="F15" i="14"/>
  <c r="F47" i="69" s="1"/>
  <c r="J15" i="14"/>
  <c r="J47" i="69" s="1"/>
  <c r="N15" i="14"/>
  <c r="N47" i="69" s="1"/>
  <c r="C15" i="14"/>
  <c r="G15" i="14"/>
  <c r="G47" i="69" s="1"/>
  <c r="K15" i="14"/>
  <c r="K47" i="69" s="1"/>
  <c r="D15" i="14"/>
  <c r="D47" i="69" s="1"/>
  <c r="H15" i="14"/>
  <c r="H47" i="69" s="1"/>
  <c r="L15" i="14"/>
  <c r="L47" i="69" s="1"/>
  <c r="E19" i="14"/>
  <c r="E87" i="69" s="1"/>
  <c r="G166" i="65" s="1"/>
  <c r="AJ166" i="65" s="1"/>
  <c r="I19" i="14"/>
  <c r="I87" i="69" s="1"/>
  <c r="K166" i="65" s="1"/>
  <c r="AN166" i="65" s="1"/>
  <c r="M19" i="14"/>
  <c r="M87" i="69" s="1"/>
  <c r="O166" i="65" s="1"/>
  <c r="AR166" i="65" s="1"/>
  <c r="C19" i="14"/>
  <c r="G19" i="14"/>
  <c r="G87" i="69" s="1"/>
  <c r="I166" i="65" s="1"/>
  <c r="AL166" i="65" s="1"/>
  <c r="K19" i="14"/>
  <c r="K87" i="69" s="1"/>
  <c r="M166" i="65" s="1"/>
  <c r="AP166" i="65" s="1"/>
  <c r="D19" i="14"/>
  <c r="D87" i="69" s="1"/>
  <c r="F166" i="65" s="1"/>
  <c r="AI166" i="65" s="1"/>
  <c r="H19" i="14"/>
  <c r="H87" i="69" s="1"/>
  <c r="J166" i="65" s="1"/>
  <c r="AM166" i="65" s="1"/>
  <c r="L19" i="14"/>
  <c r="L87" i="69" s="1"/>
  <c r="N166" i="65" s="1"/>
  <c r="AQ166" i="65" s="1"/>
  <c r="F19" i="14"/>
  <c r="F87" i="69" s="1"/>
  <c r="H166" i="65" s="1"/>
  <c r="AK166" i="65" s="1"/>
  <c r="N19" i="14"/>
  <c r="N87" i="69" s="1"/>
  <c r="P166" i="65" s="1"/>
  <c r="AS166" i="65" s="1"/>
  <c r="J19" i="14"/>
  <c r="J87" i="69" s="1"/>
  <c r="L166" i="65" s="1"/>
  <c r="AO166" i="65" s="1"/>
  <c r="F24" i="14"/>
  <c r="F137" i="69" s="1"/>
  <c r="J24" i="14"/>
  <c r="J137" i="69" s="1"/>
  <c r="N24" i="14"/>
  <c r="N137" i="69" s="1"/>
  <c r="D24" i="14"/>
  <c r="D137" i="69" s="1"/>
  <c r="H24" i="14"/>
  <c r="H137" i="69" s="1"/>
  <c r="L24" i="14"/>
  <c r="L137" i="69" s="1"/>
  <c r="G24" i="14"/>
  <c r="G137" i="69" s="1"/>
  <c r="C24" i="14"/>
  <c r="K24" i="14"/>
  <c r="K137" i="69" s="1"/>
  <c r="E24" i="14"/>
  <c r="E137" i="69" s="1"/>
  <c r="M24" i="14"/>
  <c r="M137" i="69" s="1"/>
  <c r="I24" i="14"/>
  <c r="I137" i="69" s="1"/>
  <c r="F28" i="14"/>
  <c r="F177" i="69" s="1"/>
  <c r="H156" i="65" s="1"/>
  <c r="AK156" i="65" s="1"/>
  <c r="J28" i="14"/>
  <c r="J177" i="69" s="1"/>
  <c r="L156" i="65" s="1"/>
  <c r="AO156" i="65" s="1"/>
  <c r="N28" i="14"/>
  <c r="N177" i="69" s="1"/>
  <c r="P156" i="65" s="1"/>
  <c r="AS156" i="65" s="1"/>
  <c r="D28" i="14"/>
  <c r="D177" i="69" s="1"/>
  <c r="F156" i="65" s="1"/>
  <c r="AI156" i="65" s="1"/>
  <c r="H28" i="14"/>
  <c r="H177" i="69" s="1"/>
  <c r="J156" i="65" s="1"/>
  <c r="AM156" i="65" s="1"/>
  <c r="L28" i="14"/>
  <c r="L177" i="69" s="1"/>
  <c r="N156" i="65" s="1"/>
  <c r="AQ156" i="65" s="1"/>
  <c r="G28" i="14"/>
  <c r="G177" i="69" s="1"/>
  <c r="I156" i="65" s="1"/>
  <c r="AL156" i="65" s="1"/>
  <c r="C28" i="14"/>
  <c r="K28" i="14"/>
  <c r="K177" i="69" s="1"/>
  <c r="M156" i="65" s="1"/>
  <c r="AP156" i="65" s="1"/>
  <c r="E28" i="14"/>
  <c r="E177" i="69" s="1"/>
  <c r="G156" i="65" s="1"/>
  <c r="AJ156" i="65" s="1"/>
  <c r="M28" i="14"/>
  <c r="M177" i="69" s="1"/>
  <c r="O156" i="65" s="1"/>
  <c r="AR156" i="65" s="1"/>
  <c r="I28" i="14"/>
  <c r="I177" i="69" s="1"/>
  <c r="K156" i="65" s="1"/>
  <c r="AN156" i="65" s="1"/>
  <c r="E14" i="14"/>
  <c r="E37" i="69" s="1"/>
  <c r="I14" i="14"/>
  <c r="I37" i="69" s="1"/>
  <c r="M14" i="14"/>
  <c r="M37" i="69" s="1"/>
  <c r="F14" i="14"/>
  <c r="F37" i="69" s="1"/>
  <c r="J14" i="14"/>
  <c r="J37" i="69" s="1"/>
  <c r="N14" i="14"/>
  <c r="N37" i="69" s="1"/>
  <c r="C14" i="14"/>
  <c r="G14" i="14"/>
  <c r="G37" i="69" s="1"/>
  <c r="K14" i="14"/>
  <c r="K37" i="69" s="1"/>
  <c r="D14" i="14"/>
  <c r="D37" i="69" s="1"/>
  <c r="H14" i="14"/>
  <c r="H37" i="69" s="1"/>
  <c r="L14" i="14"/>
  <c r="L37" i="69" s="1"/>
  <c r="E18" i="14"/>
  <c r="E77" i="69" s="1"/>
  <c r="I18" i="14"/>
  <c r="I77" i="69" s="1"/>
  <c r="M18" i="14"/>
  <c r="M77" i="69" s="1"/>
  <c r="C18" i="14"/>
  <c r="G18" i="14"/>
  <c r="G77" i="69" s="1"/>
  <c r="K18" i="14"/>
  <c r="K77" i="69" s="1"/>
  <c r="D18" i="14"/>
  <c r="D77" i="69" s="1"/>
  <c r="H18" i="14"/>
  <c r="H77" i="69" s="1"/>
  <c r="L18" i="14"/>
  <c r="L77" i="69" s="1"/>
  <c r="J18" i="14"/>
  <c r="J77" i="69" s="1"/>
  <c r="N18" i="14"/>
  <c r="N77" i="69" s="1"/>
  <c r="F18" i="14"/>
  <c r="F77" i="69" s="1"/>
  <c r="F23" i="14"/>
  <c r="F127" i="69" s="1"/>
  <c r="J23" i="14"/>
  <c r="J127" i="69" s="1"/>
  <c r="N23" i="14"/>
  <c r="N127" i="69" s="1"/>
  <c r="D23" i="14"/>
  <c r="D127" i="69" s="1"/>
  <c r="H23" i="14"/>
  <c r="H127" i="69" s="1"/>
  <c r="L23" i="14"/>
  <c r="L127" i="69" s="1"/>
  <c r="E23" i="14"/>
  <c r="E127" i="69" s="1"/>
  <c r="I23" i="14"/>
  <c r="I127" i="69" s="1"/>
  <c r="M23" i="14"/>
  <c r="M127" i="69" s="1"/>
  <c r="G23" i="14"/>
  <c r="G127" i="69" s="1"/>
  <c r="K23" i="14"/>
  <c r="K127" i="69" s="1"/>
  <c r="C23" i="14"/>
  <c r="F27" i="14"/>
  <c r="F167" i="69" s="1"/>
  <c r="H146" i="65" s="1"/>
  <c r="AK146" i="65" s="1"/>
  <c r="J27" i="14"/>
  <c r="J167" i="69" s="1"/>
  <c r="L146" i="65" s="1"/>
  <c r="AO146" i="65" s="1"/>
  <c r="N27" i="14"/>
  <c r="N167" i="69" s="1"/>
  <c r="P146" i="65" s="1"/>
  <c r="AS146" i="65" s="1"/>
  <c r="D27" i="14"/>
  <c r="D167" i="69" s="1"/>
  <c r="F146" i="65" s="1"/>
  <c r="AI146" i="65" s="1"/>
  <c r="H27" i="14"/>
  <c r="H167" i="69" s="1"/>
  <c r="J146" i="65" s="1"/>
  <c r="AM146" i="65" s="1"/>
  <c r="L27" i="14"/>
  <c r="L167" i="69" s="1"/>
  <c r="N146" i="65" s="1"/>
  <c r="AQ146" i="65" s="1"/>
  <c r="K27" i="14"/>
  <c r="K167" i="69" s="1"/>
  <c r="M146" i="65" s="1"/>
  <c r="AP146" i="65" s="1"/>
  <c r="M27" i="14"/>
  <c r="M167" i="69" s="1"/>
  <c r="O146" i="65" s="1"/>
  <c r="AR146" i="65" s="1"/>
  <c r="G27" i="14"/>
  <c r="G167" i="69" s="1"/>
  <c r="I146" i="65" s="1"/>
  <c r="AL146" i="65" s="1"/>
  <c r="I27" i="14"/>
  <c r="I167" i="69" s="1"/>
  <c r="K146" i="65" s="1"/>
  <c r="AN146" i="65" s="1"/>
  <c r="E27" i="14"/>
  <c r="E167" i="69" s="1"/>
  <c r="G146" i="65" s="1"/>
  <c r="AJ146" i="65" s="1"/>
  <c r="G12" i="14"/>
  <c r="G17" i="69" s="1"/>
  <c r="K12" i="14"/>
  <c r="K17" i="69" s="1"/>
  <c r="C12" i="14"/>
  <c r="E12" i="14"/>
  <c r="E17" i="69" s="1"/>
  <c r="I12" i="14"/>
  <c r="I17" i="69" s="1"/>
  <c r="M12" i="14"/>
  <c r="M17" i="69" s="1"/>
  <c r="D12" i="14"/>
  <c r="D17" i="69" s="1"/>
  <c r="L12" i="14"/>
  <c r="L17" i="69" s="1"/>
  <c r="F12" i="14"/>
  <c r="F17" i="69" s="1"/>
  <c r="H12" i="14"/>
  <c r="H17" i="69" s="1"/>
  <c r="J12" i="14"/>
  <c r="J17" i="69" s="1"/>
  <c r="N12" i="14"/>
  <c r="N17" i="69" s="1"/>
  <c r="E13" i="14"/>
  <c r="E27" i="69" s="1"/>
  <c r="I13" i="14"/>
  <c r="I27" i="69" s="1"/>
  <c r="M13" i="14"/>
  <c r="M27" i="69" s="1"/>
  <c r="F13" i="14"/>
  <c r="F27" i="69" s="1"/>
  <c r="J13" i="14"/>
  <c r="J27" i="69" s="1"/>
  <c r="N13" i="14"/>
  <c r="N27" i="69" s="1"/>
  <c r="C13" i="14"/>
  <c r="G13" i="14"/>
  <c r="G27" i="69" s="1"/>
  <c r="K13" i="14"/>
  <c r="K27" i="69" s="1"/>
  <c r="D13" i="14"/>
  <c r="D27" i="69" s="1"/>
  <c r="H13" i="14"/>
  <c r="H27" i="69" s="1"/>
  <c r="L13" i="14"/>
  <c r="L27" i="69" s="1"/>
  <c r="O33" i="13"/>
  <c r="P33" i="13" s="1"/>
  <c r="O141" i="10"/>
  <c r="O142" i="10"/>
  <c r="P142" i="10" s="1"/>
  <c r="C33" i="12"/>
  <c r="P146" i="12"/>
  <c r="D137" i="68" s="1"/>
  <c r="O146" i="12"/>
  <c r="C37" i="12"/>
  <c r="O150" i="12"/>
  <c r="P150" i="12"/>
  <c r="D167" i="68" s="1"/>
  <c r="O121" i="10"/>
  <c r="C15" i="10"/>
  <c r="O15" i="10" s="1"/>
  <c r="P15" i="10" s="1"/>
  <c r="C19" i="10"/>
  <c r="O19" i="10" s="1"/>
  <c r="P19" i="10" s="1"/>
  <c r="O125" i="10"/>
  <c r="C24" i="10"/>
  <c r="O24" i="10" s="1"/>
  <c r="P24" i="10" s="1"/>
  <c r="O130" i="10"/>
  <c r="C28" i="10"/>
  <c r="O28" i="10" s="1"/>
  <c r="P28" i="10" s="1"/>
  <c r="O134" i="10"/>
  <c r="O149" i="13"/>
  <c r="P149" i="13" s="1"/>
  <c r="P123" i="11"/>
  <c r="D44" i="68" s="1"/>
  <c r="C17" i="11"/>
  <c r="O123" i="11"/>
  <c r="P130" i="11"/>
  <c r="D86" i="68" s="1"/>
  <c r="O130" i="11"/>
  <c r="C24" i="11"/>
  <c r="O143" i="11"/>
  <c r="P143" i="11"/>
  <c r="D160" i="68" s="1"/>
  <c r="C37" i="11"/>
  <c r="P122" i="11"/>
  <c r="D38" i="68" s="1"/>
  <c r="O122" i="11"/>
  <c r="C16" i="11"/>
  <c r="P131" i="11"/>
  <c r="D92" i="68" s="1"/>
  <c r="O131" i="11"/>
  <c r="C25" i="11"/>
  <c r="O142" i="11"/>
  <c r="P142" i="11"/>
  <c r="P119" i="11"/>
  <c r="D20" i="68" s="1"/>
  <c r="C13" i="11"/>
  <c r="O119" i="11"/>
  <c r="P125" i="11"/>
  <c r="D56" i="68" s="1"/>
  <c r="C19" i="11"/>
  <c r="C15" i="34" s="1"/>
  <c r="C89" i="69" s="1"/>
  <c r="E168" i="65" s="1"/>
  <c r="AH168" i="65" s="1"/>
  <c r="O125" i="11"/>
  <c r="O139" i="11"/>
  <c r="P139" i="11"/>
  <c r="D124" i="68" s="1"/>
  <c r="P120" i="11"/>
  <c r="D26" i="68" s="1"/>
  <c r="O120" i="11"/>
  <c r="C14" i="11"/>
  <c r="P129" i="11"/>
  <c r="D80" i="68" s="1"/>
  <c r="O129" i="11"/>
  <c r="C23" i="11"/>
  <c r="C34" i="11"/>
  <c r="O140" i="11"/>
  <c r="P140" i="11"/>
  <c r="D136" i="68" s="1"/>
  <c r="C32" i="12"/>
  <c r="P145" i="12"/>
  <c r="D125" i="68" s="1"/>
  <c r="O145" i="12"/>
  <c r="P149" i="12"/>
  <c r="D161" i="68" s="1"/>
  <c r="C36" i="12"/>
  <c r="O149" i="12"/>
  <c r="C14" i="10"/>
  <c r="O14" i="10" s="1"/>
  <c r="P14" i="10" s="1"/>
  <c r="O120" i="10"/>
  <c r="O124" i="10"/>
  <c r="C18" i="10"/>
  <c r="O18" i="10" s="1"/>
  <c r="P18" i="10" s="1"/>
  <c r="C23" i="10"/>
  <c r="O23" i="10" s="1"/>
  <c r="P23" i="10" s="1"/>
  <c r="O129" i="10"/>
  <c r="O133" i="10"/>
  <c r="C27" i="10"/>
  <c r="O27" i="10" s="1"/>
  <c r="P27" i="10" s="1"/>
  <c r="C38" i="10"/>
  <c r="O38" i="10" s="1"/>
  <c r="P38" i="10" s="1"/>
  <c r="O144" i="10"/>
  <c r="O151" i="13"/>
  <c r="P151" i="13" s="1"/>
  <c r="D168" i="68" s="1"/>
  <c r="C38" i="13"/>
  <c r="O38" i="13" s="1"/>
  <c r="P38" i="13" s="1"/>
  <c r="P141" i="11"/>
  <c r="D142" i="68" s="1"/>
  <c r="O141" i="11"/>
  <c r="P144" i="12"/>
  <c r="D119" i="68" s="1"/>
  <c r="C31" i="12"/>
  <c r="O144" i="12"/>
  <c r="P148" i="12"/>
  <c r="O148" i="12"/>
  <c r="C13" i="10"/>
  <c r="O13" i="10" s="1"/>
  <c r="P13" i="10" s="1"/>
  <c r="O119" i="10"/>
  <c r="O123" i="10"/>
  <c r="C17" i="10"/>
  <c r="O17" i="10" s="1"/>
  <c r="P17" i="10" s="1"/>
  <c r="C22" i="10"/>
  <c r="O22" i="10" s="1"/>
  <c r="P22" i="10" s="1"/>
  <c r="O128" i="10"/>
  <c r="O132" i="10"/>
  <c r="C26" i="10"/>
  <c r="O26" i="10" s="1"/>
  <c r="P26" i="10" s="1"/>
  <c r="C33" i="10"/>
  <c r="O33" i="10" s="1"/>
  <c r="P33" i="10" s="1"/>
  <c r="O139" i="10"/>
  <c r="C37" i="10"/>
  <c r="O37" i="10" s="1"/>
  <c r="P37" i="10" s="1"/>
  <c r="O143" i="10"/>
  <c r="P121" i="11"/>
  <c r="D32" i="68" s="1"/>
  <c r="C15" i="11"/>
  <c r="C15" i="30" s="1"/>
  <c r="C61" i="30" s="1"/>
  <c r="O121" i="11"/>
  <c r="P132" i="11"/>
  <c r="D98" i="68" s="1"/>
  <c r="C26" i="11"/>
  <c r="O132" i="11"/>
  <c r="P118" i="11"/>
  <c r="D14" i="68" s="1"/>
  <c r="O118" i="11"/>
  <c r="C12" i="11"/>
  <c r="P126" i="11"/>
  <c r="D62" i="68" s="1"/>
  <c r="O126" i="11"/>
  <c r="C20" i="11"/>
  <c r="O138" i="11"/>
  <c r="C32" i="11"/>
  <c r="P138" i="11"/>
  <c r="D118" i="68" s="1"/>
  <c r="C37" i="13"/>
  <c r="O37" i="13" s="1"/>
  <c r="P37" i="13" s="1"/>
  <c r="O150" i="13"/>
  <c r="P150" i="13" s="1"/>
  <c r="D162" i="68" s="1"/>
  <c r="P128" i="11"/>
  <c r="D74" i="68" s="1"/>
  <c r="C22" i="11"/>
  <c r="O128" i="11"/>
  <c r="P134" i="11"/>
  <c r="D110" i="68" s="1"/>
  <c r="O134" i="11"/>
  <c r="C28" i="11"/>
  <c r="P124" i="11"/>
  <c r="D50" i="68" s="1"/>
  <c r="O124" i="11"/>
  <c r="C18" i="11"/>
  <c r="P133" i="11"/>
  <c r="D104" i="68" s="1"/>
  <c r="C27" i="11"/>
  <c r="O133" i="11"/>
  <c r="C38" i="11"/>
  <c r="O144" i="11"/>
  <c r="P144" i="11"/>
  <c r="D166" i="68" s="1"/>
  <c r="P147" i="12"/>
  <c r="D143" i="68" s="1"/>
  <c r="O147" i="12"/>
  <c r="C12" i="10"/>
  <c r="O12" i="10" s="1"/>
  <c r="P12" i="10" s="1"/>
  <c r="O118" i="10"/>
  <c r="C16" i="10"/>
  <c r="O16" i="10" s="1"/>
  <c r="P16" i="10" s="1"/>
  <c r="O122" i="10"/>
  <c r="C20" i="10"/>
  <c r="O20" i="10" s="1"/>
  <c r="P20" i="10" s="1"/>
  <c r="O126" i="10"/>
  <c r="C25" i="10"/>
  <c r="O25" i="10" s="1"/>
  <c r="P25" i="10" s="1"/>
  <c r="O131" i="10"/>
  <c r="O125" i="13"/>
  <c r="P125" i="13" s="1"/>
  <c r="D16" i="68" s="1"/>
  <c r="C15" i="47" l="1"/>
  <c r="C159" i="69" s="1"/>
  <c r="E138" i="65" s="1"/>
  <c r="AH138" i="65" s="1"/>
  <c r="C15" i="26"/>
  <c r="C39" i="69" s="1"/>
  <c r="D60" i="49"/>
  <c r="C15" i="32"/>
  <c r="C69" i="69" s="1"/>
  <c r="C15" i="40"/>
  <c r="C119" i="69" s="1"/>
  <c r="C15" i="42"/>
  <c r="C139" i="69" s="1"/>
  <c r="C15" i="33"/>
  <c r="C79" i="69" s="1"/>
  <c r="C13" i="39"/>
  <c r="C39" i="39" s="1"/>
  <c r="C13" i="33"/>
  <c r="C13" i="31"/>
  <c r="C57" i="69" s="1"/>
  <c r="C13" i="46"/>
  <c r="C147" i="69" s="1"/>
  <c r="E126" i="65" s="1"/>
  <c r="AH126" i="65" s="1"/>
  <c r="C13" i="47"/>
  <c r="C49" i="47" s="1"/>
  <c r="C50" i="47" s="1"/>
  <c r="C15" i="23"/>
  <c r="C19" i="69" s="1"/>
  <c r="C15" i="39"/>
  <c r="C60" i="39" s="1"/>
  <c r="C88" i="39" s="1"/>
  <c r="C89" i="39" s="1"/>
  <c r="C13" i="23"/>
  <c r="C13" i="34"/>
  <c r="C87" i="69" s="1"/>
  <c r="E166" i="65" s="1"/>
  <c r="AH166" i="65" s="1"/>
  <c r="C13" i="49"/>
  <c r="C13" i="35"/>
  <c r="C97" i="69" s="1"/>
  <c r="E176" i="65" s="1"/>
  <c r="AH176" i="65" s="1"/>
  <c r="C13" i="40"/>
  <c r="C117" i="69" s="1"/>
  <c r="C15" i="31"/>
  <c r="C59" i="69" s="1"/>
  <c r="C15" i="48"/>
  <c r="C169" i="69" s="1"/>
  <c r="E148" i="65" s="1"/>
  <c r="AH148" i="65" s="1"/>
  <c r="C15" i="35"/>
  <c r="C99" i="69" s="1"/>
  <c r="E178" i="65" s="1"/>
  <c r="AH178" i="65" s="1"/>
  <c r="C15" i="41"/>
  <c r="C129" i="69" s="1"/>
  <c r="C15" i="25"/>
  <c r="C29" i="69" s="1"/>
  <c r="C15" i="46"/>
  <c r="C149" i="69" s="1"/>
  <c r="E128" i="65" s="1"/>
  <c r="AH128" i="65" s="1"/>
  <c r="C77" i="69"/>
  <c r="C13" i="48"/>
  <c r="C167" i="69" s="1"/>
  <c r="E146" i="65" s="1"/>
  <c r="AH146" i="65" s="1"/>
  <c r="C13" i="42"/>
  <c r="C137" i="69" s="1"/>
  <c r="C13" i="32"/>
  <c r="C67" i="69" s="1"/>
  <c r="C13" i="41"/>
  <c r="C127" i="69" s="1"/>
  <c r="C13" i="30"/>
  <c r="C47" i="69" s="1"/>
  <c r="C13" i="25"/>
  <c r="C13" i="26"/>
  <c r="O28" i="11"/>
  <c r="C15" i="49"/>
  <c r="C49" i="69"/>
  <c r="C60" i="23"/>
  <c r="P34" i="77"/>
  <c r="C49" i="39"/>
  <c r="C50" i="39" s="1"/>
  <c r="H58" i="40"/>
  <c r="H49" i="40"/>
  <c r="H50" i="40" s="1"/>
  <c r="H51" i="23" s="1"/>
  <c r="H39" i="40"/>
  <c r="H40" i="40" s="1"/>
  <c r="J58" i="40"/>
  <c r="J49" i="40"/>
  <c r="J50" i="40" s="1"/>
  <c r="J39" i="40"/>
  <c r="J40" i="40" s="1"/>
  <c r="I58" i="40"/>
  <c r="I49" i="40"/>
  <c r="I50" i="40" s="1"/>
  <c r="I51" i="23" s="1"/>
  <c r="I39" i="40"/>
  <c r="I40" i="40" s="1"/>
  <c r="F58" i="40"/>
  <c r="F49" i="40"/>
  <c r="F50" i="40" s="1"/>
  <c r="F51" i="23" s="1"/>
  <c r="F39" i="40"/>
  <c r="F40" i="40" s="1"/>
  <c r="G58" i="40"/>
  <c r="G49" i="40"/>
  <c r="G50" i="40" s="1"/>
  <c r="G51" i="23" s="1"/>
  <c r="G39" i="40"/>
  <c r="G40" i="40" s="1"/>
  <c r="E58" i="40"/>
  <c r="E49" i="40"/>
  <c r="E50" i="40" s="1"/>
  <c r="E51" i="23" s="1"/>
  <c r="E39" i="40"/>
  <c r="E40" i="40" s="1"/>
  <c r="D58" i="40"/>
  <c r="D49" i="40"/>
  <c r="D50" i="40" s="1"/>
  <c r="D51" i="23" s="1"/>
  <c r="D39" i="40"/>
  <c r="D40" i="40" s="1"/>
  <c r="K58" i="40"/>
  <c r="K49" i="40"/>
  <c r="K50" i="40" s="1"/>
  <c r="K39" i="40"/>
  <c r="K40" i="40" s="1"/>
  <c r="L58" i="40"/>
  <c r="L49" i="40"/>
  <c r="L50" i="40" s="1"/>
  <c r="L39" i="40"/>
  <c r="L40" i="40" s="1"/>
  <c r="J194" i="79"/>
  <c r="K146" i="78" s="1"/>
  <c r="N194" i="79"/>
  <c r="O146" i="78" s="1"/>
  <c r="F194" i="79"/>
  <c r="G146" i="78" s="1"/>
  <c r="D194" i="79"/>
  <c r="E146" i="78" s="1"/>
  <c r="M194" i="79"/>
  <c r="N146" i="78" s="1"/>
  <c r="G133" i="59"/>
  <c r="O131" i="59"/>
  <c r="T194" i="79" s="1"/>
  <c r="I194" i="79"/>
  <c r="J146" i="78" s="1"/>
  <c r="J133" i="59"/>
  <c r="L194" i="79"/>
  <c r="M146" i="78" s="1"/>
  <c r="F133" i="59"/>
  <c r="G194" i="79"/>
  <c r="H146" i="78" s="1"/>
  <c r="C88" i="23"/>
  <c r="P38" i="77"/>
  <c r="O38" i="77"/>
  <c r="P26" i="77"/>
  <c r="O26" i="77"/>
  <c r="P32" i="77"/>
  <c r="O32" i="77"/>
  <c r="O17" i="77"/>
  <c r="P17" i="77"/>
  <c r="O35" i="77"/>
  <c r="P35" i="77"/>
  <c r="O21" i="11"/>
  <c r="P21" i="11"/>
  <c r="O33" i="77"/>
  <c r="P33" i="77"/>
  <c r="N131" i="59"/>
  <c r="N133" i="59" s="1"/>
  <c r="P18" i="77"/>
  <c r="O18" i="77"/>
  <c r="P36" i="77"/>
  <c r="O36" i="77"/>
  <c r="P24" i="77"/>
  <c r="O24" i="77"/>
  <c r="P127" i="10"/>
  <c r="D67" i="68"/>
  <c r="O22" i="77"/>
  <c r="P22" i="77"/>
  <c r="O37" i="77"/>
  <c r="P37" i="77"/>
  <c r="P25" i="77"/>
  <c r="O25" i="77"/>
  <c r="P15" i="77"/>
  <c r="O15" i="77"/>
  <c r="O23" i="77"/>
  <c r="P23" i="77"/>
  <c r="P28" i="77"/>
  <c r="O28" i="77"/>
  <c r="P16" i="77"/>
  <c r="O16" i="77"/>
  <c r="P14" i="77"/>
  <c r="O14" i="77"/>
  <c r="P19" i="77"/>
  <c r="O19" i="77"/>
  <c r="P27" i="77"/>
  <c r="O27" i="77"/>
  <c r="P20" i="77"/>
  <c r="O20" i="77"/>
  <c r="C17" i="69"/>
  <c r="O12" i="77"/>
  <c r="P12" i="77"/>
  <c r="M21" i="14"/>
  <c r="D21" i="14"/>
  <c r="F21" i="14"/>
  <c r="K21" i="14"/>
  <c r="C21" i="14"/>
  <c r="H21" i="14"/>
  <c r="J21" i="14"/>
  <c r="I21" i="14"/>
  <c r="E21" i="14"/>
  <c r="G21" i="14"/>
  <c r="L21" i="14"/>
  <c r="N21" i="14"/>
  <c r="P13" i="77"/>
  <c r="O13" i="77"/>
  <c r="D173" i="68"/>
  <c r="D180" i="68" s="1"/>
  <c r="L147" i="69"/>
  <c r="N126" i="65" s="1"/>
  <c r="AQ126" i="65" s="1"/>
  <c r="H117" i="69"/>
  <c r="J117" i="69"/>
  <c r="E147" i="69"/>
  <c r="G126" i="65" s="1"/>
  <c r="AJ126" i="65" s="1"/>
  <c r="H147" i="69"/>
  <c r="J126" i="65" s="1"/>
  <c r="AM126" i="65" s="1"/>
  <c r="F147" i="69"/>
  <c r="H126" i="65" s="1"/>
  <c r="AK126" i="65" s="1"/>
  <c r="I117" i="69"/>
  <c r="F117" i="69"/>
  <c r="I147" i="69"/>
  <c r="K126" i="65" s="1"/>
  <c r="AN126" i="65" s="1"/>
  <c r="K117" i="69"/>
  <c r="L117" i="69"/>
  <c r="G147" i="69"/>
  <c r="I126" i="65" s="1"/>
  <c r="AL126" i="65" s="1"/>
  <c r="J147" i="69"/>
  <c r="L126" i="65" s="1"/>
  <c r="AO126" i="65" s="1"/>
  <c r="K147" i="69"/>
  <c r="M126" i="65" s="1"/>
  <c r="AP126" i="65" s="1"/>
  <c r="G117" i="69"/>
  <c r="E117" i="69"/>
  <c r="D117" i="69"/>
  <c r="P193" i="79"/>
  <c r="G166" i="68" s="1"/>
  <c r="T193" i="79"/>
  <c r="O135" i="50"/>
  <c r="C249" i="69"/>
  <c r="Q249" i="69" s="1"/>
  <c r="N84" i="59"/>
  <c r="O84" i="59"/>
  <c r="T249" i="69" s="1"/>
  <c r="C248" i="69"/>
  <c r="P248" i="69" s="1"/>
  <c r="O84" i="50"/>
  <c r="T248" i="69" s="1"/>
  <c r="N84" i="50"/>
  <c r="O36" i="11"/>
  <c r="O36" i="13"/>
  <c r="P36" i="13" s="1"/>
  <c r="P36" i="11"/>
  <c r="O35" i="12"/>
  <c r="O36" i="10"/>
  <c r="P36" i="10" s="1"/>
  <c r="O34" i="12"/>
  <c r="P35" i="12"/>
  <c r="P35" i="11"/>
  <c r="P130" i="10"/>
  <c r="D85" i="68"/>
  <c r="P141" i="10"/>
  <c r="D141" i="68"/>
  <c r="D117" i="68"/>
  <c r="P138" i="10"/>
  <c r="P126" i="10"/>
  <c r="D61" i="68"/>
  <c r="P143" i="10"/>
  <c r="D159" i="68"/>
  <c r="P133" i="10"/>
  <c r="D103" i="68"/>
  <c r="P124" i="10"/>
  <c r="D49" i="68"/>
  <c r="P121" i="10"/>
  <c r="D31" i="68"/>
  <c r="P140" i="10"/>
  <c r="D135" i="68"/>
  <c r="P132" i="10"/>
  <c r="D97" i="68"/>
  <c r="P123" i="10"/>
  <c r="D43" i="68"/>
  <c r="P144" i="10"/>
  <c r="D165" i="68"/>
  <c r="P129" i="10"/>
  <c r="D79" i="68"/>
  <c r="P120" i="10"/>
  <c r="D25" i="68"/>
  <c r="P134" i="10"/>
  <c r="D109" i="68"/>
  <c r="P125" i="10"/>
  <c r="D55" i="68"/>
  <c r="P131" i="10"/>
  <c r="D91" i="68"/>
  <c r="P122" i="10"/>
  <c r="D37" i="68"/>
  <c r="P139" i="10"/>
  <c r="D123" i="68"/>
  <c r="P128" i="10"/>
  <c r="D73" i="68"/>
  <c r="P119" i="10"/>
  <c r="D19" i="68"/>
  <c r="D115" i="66"/>
  <c r="C140" i="70"/>
  <c r="R139" i="70"/>
  <c r="R195" i="79"/>
  <c r="F133" i="60"/>
  <c r="C133" i="60"/>
  <c r="N130" i="60"/>
  <c r="O130" i="60" s="1"/>
  <c r="T188" i="79" s="1"/>
  <c r="C188" i="79"/>
  <c r="B123" i="60"/>
  <c r="P66" i="56"/>
  <c r="H133" i="60"/>
  <c r="D133" i="60"/>
  <c r="J133" i="60"/>
  <c r="P53" i="56"/>
  <c r="C146" i="79"/>
  <c r="D115" i="78" s="1"/>
  <c r="N124" i="60"/>
  <c r="O124" i="60" s="1"/>
  <c r="P54" i="73"/>
  <c r="C160" i="79"/>
  <c r="D127" i="78" s="1"/>
  <c r="T160" i="79"/>
  <c r="P58" i="56"/>
  <c r="P59" i="73"/>
  <c r="E133" i="60"/>
  <c r="L133" i="60"/>
  <c r="K133" i="60"/>
  <c r="M133" i="60"/>
  <c r="I133" i="60"/>
  <c r="G129" i="60"/>
  <c r="G133" i="60" s="1"/>
  <c r="P67" i="73"/>
  <c r="O131" i="60"/>
  <c r="T195" i="79" s="1"/>
  <c r="P53" i="55"/>
  <c r="P58" i="55"/>
  <c r="D270" i="69"/>
  <c r="F243" i="65" s="1"/>
  <c r="M260" i="69"/>
  <c r="M189" i="79"/>
  <c r="G190" i="69"/>
  <c r="G140" i="79"/>
  <c r="N190" i="69"/>
  <c r="N140" i="79"/>
  <c r="D260" i="69"/>
  <c r="D189" i="79"/>
  <c r="G270" i="69"/>
  <c r="I243" i="65" s="1"/>
  <c r="L250" i="69"/>
  <c r="N233" i="65" s="1"/>
  <c r="L182" i="79"/>
  <c r="E270" i="69"/>
  <c r="G243" i="65" s="1"/>
  <c r="E196" i="79"/>
  <c r="N270" i="69"/>
  <c r="P243" i="65" s="1"/>
  <c r="I260" i="69"/>
  <c r="I189" i="79"/>
  <c r="L270" i="69"/>
  <c r="N243" i="65" s="1"/>
  <c r="I270" i="69"/>
  <c r="K243" i="65" s="1"/>
  <c r="N250" i="69"/>
  <c r="P233" i="65" s="1"/>
  <c r="N182" i="79"/>
  <c r="M270" i="69"/>
  <c r="O243" i="65" s="1"/>
  <c r="K250" i="69"/>
  <c r="M233" i="65" s="1"/>
  <c r="K182" i="79"/>
  <c r="J250" i="69"/>
  <c r="L233" i="65" s="1"/>
  <c r="J182" i="79"/>
  <c r="J260" i="69"/>
  <c r="J189" i="79"/>
  <c r="K270" i="69"/>
  <c r="M243" i="65" s="1"/>
  <c r="K196" i="79"/>
  <c r="F260" i="69"/>
  <c r="F189" i="79"/>
  <c r="M250" i="69"/>
  <c r="O233" i="65" s="1"/>
  <c r="M182" i="79"/>
  <c r="G260" i="69"/>
  <c r="G189" i="79"/>
  <c r="F270" i="69"/>
  <c r="H243" i="65" s="1"/>
  <c r="L190" i="69"/>
  <c r="L140" i="79"/>
  <c r="M190" i="69"/>
  <c r="M140" i="79"/>
  <c r="L260" i="69"/>
  <c r="L189" i="79"/>
  <c r="H190" i="69"/>
  <c r="H140" i="79"/>
  <c r="E190" i="69"/>
  <c r="E140" i="79"/>
  <c r="H260" i="69"/>
  <c r="H189" i="79"/>
  <c r="K260" i="69"/>
  <c r="K189" i="79"/>
  <c r="N260" i="69"/>
  <c r="N189" i="79"/>
  <c r="J190" i="69"/>
  <c r="J140" i="79"/>
  <c r="E260" i="69"/>
  <c r="E189" i="79"/>
  <c r="F190" i="69"/>
  <c r="F140" i="79"/>
  <c r="I250" i="69"/>
  <c r="K233" i="65" s="1"/>
  <c r="I182" i="79"/>
  <c r="J270" i="69"/>
  <c r="L243" i="65" s="1"/>
  <c r="D190" i="69"/>
  <c r="D140" i="79"/>
  <c r="C190" i="69"/>
  <c r="H270" i="69"/>
  <c r="J243" i="65" s="1"/>
  <c r="H196" i="79"/>
  <c r="I190" i="69"/>
  <c r="I140" i="79"/>
  <c r="K190" i="69"/>
  <c r="K140" i="79"/>
  <c r="P53" i="74"/>
  <c r="B40" i="60"/>
  <c r="L189" i="70"/>
  <c r="H189" i="70"/>
  <c r="D189" i="70"/>
  <c r="G196" i="70"/>
  <c r="K189" i="70"/>
  <c r="J182" i="70"/>
  <c r="D196" i="70"/>
  <c r="B85" i="60"/>
  <c r="P58" i="74"/>
  <c r="J189" i="70"/>
  <c r="K196" i="70"/>
  <c r="F189" i="70"/>
  <c r="M182" i="70"/>
  <c r="G189" i="70"/>
  <c r="F196" i="70"/>
  <c r="M189" i="70"/>
  <c r="D147" i="69"/>
  <c r="F126" i="65" s="1"/>
  <c r="AI126" i="65" s="1"/>
  <c r="N189" i="70"/>
  <c r="E189" i="70"/>
  <c r="G84" i="60"/>
  <c r="N84" i="60" s="1"/>
  <c r="O84" i="60" s="1"/>
  <c r="I182" i="70"/>
  <c r="B86" i="60"/>
  <c r="P58" i="75"/>
  <c r="J196" i="70"/>
  <c r="H196" i="70"/>
  <c r="L182" i="70"/>
  <c r="E196" i="70"/>
  <c r="N196" i="70"/>
  <c r="G39" i="60"/>
  <c r="N39" i="60" s="1"/>
  <c r="O39" i="60" s="1"/>
  <c r="I189" i="70"/>
  <c r="B41" i="60"/>
  <c r="P53" i="75"/>
  <c r="L196" i="70"/>
  <c r="I196" i="70"/>
  <c r="N182" i="70"/>
  <c r="M196" i="70"/>
  <c r="K182" i="70"/>
  <c r="P118" i="10"/>
  <c r="D13" i="68"/>
  <c r="O23" i="11"/>
  <c r="P23" i="11"/>
  <c r="O37" i="12"/>
  <c r="P37" i="12"/>
  <c r="P31" i="12"/>
  <c r="O31" i="12"/>
  <c r="O13" i="11"/>
  <c r="P13" i="11"/>
  <c r="P25" i="11"/>
  <c r="O25" i="11"/>
  <c r="O38" i="11"/>
  <c r="P38" i="11"/>
  <c r="O18" i="11"/>
  <c r="P18" i="11"/>
  <c r="O20" i="11"/>
  <c r="P20" i="11"/>
  <c r="P28" i="11"/>
  <c r="P16" i="11"/>
  <c r="O16" i="11"/>
  <c r="P27" i="11"/>
  <c r="O27" i="11"/>
  <c r="O32" i="11"/>
  <c r="P32" i="11"/>
  <c r="P15" i="11"/>
  <c r="O15" i="11"/>
  <c r="P19" i="11"/>
  <c r="O19" i="11"/>
  <c r="P24" i="11"/>
  <c r="O24" i="11"/>
  <c r="O17" i="11"/>
  <c r="P17" i="11"/>
  <c r="P22" i="11"/>
  <c r="O22" i="11"/>
  <c r="O12" i="11"/>
  <c r="P12" i="11"/>
  <c r="P26" i="11"/>
  <c r="O26" i="11"/>
  <c r="P36" i="12"/>
  <c r="O36" i="12"/>
  <c r="O32" i="12"/>
  <c r="P32" i="12"/>
  <c r="P34" i="11"/>
  <c r="O34" i="11"/>
  <c r="O14" i="11"/>
  <c r="P14" i="11"/>
  <c r="P33" i="11"/>
  <c r="O33" i="11"/>
  <c r="O37" i="11"/>
  <c r="P37" i="11"/>
  <c r="O33" i="12"/>
  <c r="P33" i="12"/>
  <c r="O120" i="66"/>
  <c r="N120" i="66"/>
  <c r="M120" i="66"/>
  <c r="L120" i="66"/>
  <c r="K120" i="66"/>
  <c r="J120" i="66"/>
  <c r="I120" i="66"/>
  <c r="H120" i="66"/>
  <c r="G120" i="66"/>
  <c r="F120" i="66"/>
  <c r="E120" i="66"/>
  <c r="D120" i="66"/>
  <c r="P9" i="68"/>
  <c r="M9" i="68"/>
  <c r="L9" i="68"/>
  <c r="K9" i="68"/>
  <c r="J9" i="68"/>
  <c r="C9" i="68"/>
  <c r="I9" i="68"/>
  <c r="B9" i="68"/>
  <c r="F9" i="68"/>
  <c r="E9" i="68"/>
  <c r="D9" i="68"/>
  <c r="B5" i="69"/>
  <c r="B5" i="70"/>
  <c r="O96" i="66"/>
  <c r="N96" i="66"/>
  <c r="M96" i="66"/>
  <c r="L96" i="66"/>
  <c r="K96" i="66"/>
  <c r="J96" i="66"/>
  <c r="I96" i="66"/>
  <c r="H96" i="66"/>
  <c r="G96" i="66"/>
  <c r="F96" i="66"/>
  <c r="E96" i="66"/>
  <c r="D96" i="66"/>
  <c r="O90" i="66"/>
  <c r="N90" i="66"/>
  <c r="M90" i="66"/>
  <c r="L90" i="66"/>
  <c r="K90" i="66"/>
  <c r="J90" i="66"/>
  <c r="I90" i="66"/>
  <c r="H90" i="66"/>
  <c r="G90" i="66"/>
  <c r="F90" i="66"/>
  <c r="E90" i="66"/>
  <c r="D90" i="66"/>
  <c r="O84" i="66"/>
  <c r="N84" i="66"/>
  <c r="M84" i="66"/>
  <c r="L84" i="66"/>
  <c r="K84" i="66"/>
  <c r="J84" i="66"/>
  <c r="I84" i="66"/>
  <c r="H84" i="66"/>
  <c r="G84" i="66"/>
  <c r="F84" i="66"/>
  <c r="E84" i="66"/>
  <c r="D84" i="66"/>
  <c r="O78" i="66"/>
  <c r="N78" i="66"/>
  <c r="M78" i="66"/>
  <c r="L78" i="66"/>
  <c r="K78" i="66"/>
  <c r="J78" i="66"/>
  <c r="I78" i="66"/>
  <c r="H78" i="66"/>
  <c r="G78" i="66"/>
  <c r="F78" i="66"/>
  <c r="E78" i="66"/>
  <c r="D78" i="66"/>
  <c r="O150" i="66"/>
  <c r="N150" i="66"/>
  <c r="M150" i="66"/>
  <c r="L150" i="66"/>
  <c r="K150" i="66"/>
  <c r="J150" i="66"/>
  <c r="I150" i="66"/>
  <c r="H150" i="66"/>
  <c r="G150" i="66"/>
  <c r="F150" i="66"/>
  <c r="E150" i="66"/>
  <c r="D150" i="66"/>
  <c r="O72" i="66"/>
  <c r="N72" i="66"/>
  <c r="M72" i="66"/>
  <c r="L72" i="66"/>
  <c r="K72" i="66"/>
  <c r="J72" i="66"/>
  <c r="I72" i="66"/>
  <c r="H72" i="66"/>
  <c r="G72" i="66"/>
  <c r="F72" i="66"/>
  <c r="E72" i="66"/>
  <c r="D72" i="66"/>
  <c r="O66" i="66"/>
  <c r="N66" i="66"/>
  <c r="M66" i="66"/>
  <c r="L66" i="66"/>
  <c r="K66" i="66"/>
  <c r="J66" i="66"/>
  <c r="I66" i="66"/>
  <c r="H66" i="66"/>
  <c r="G66" i="66"/>
  <c r="F66" i="66"/>
  <c r="E66" i="66"/>
  <c r="D66" i="66"/>
  <c r="O60" i="66"/>
  <c r="N60" i="66"/>
  <c r="M60" i="66"/>
  <c r="L60" i="66"/>
  <c r="K60" i="66"/>
  <c r="J60" i="66"/>
  <c r="I60" i="66"/>
  <c r="H60" i="66"/>
  <c r="G60" i="66"/>
  <c r="F60" i="66"/>
  <c r="E60" i="66"/>
  <c r="D60" i="66"/>
  <c r="O138" i="66"/>
  <c r="N138" i="66"/>
  <c r="M138" i="66"/>
  <c r="L138" i="66"/>
  <c r="K138" i="66"/>
  <c r="J138" i="66"/>
  <c r="I138" i="66"/>
  <c r="H138" i="66"/>
  <c r="G138" i="66"/>
  <c r="F138" i="66"/>
  <c r="E138" i="66"/>
  <c r="D138" i="66"/>
  <c r="O54" i="66"/>
  <c r="N54" i="66"/>
  <c r="M54" i="66"/>
  <c r="L54" i="66"/>
  <c r="K54" i="66"/>
  <c r="J54" i="66"/>
  <c r="I54" i="66"/>
  <c r="H54" i="66"/>
  <c r="G54" i="66"/>
  <c r="F54" i="66"/>
  <c r="E54" i="66"/>
  <c r="D54" i="66"/>
  <c r="O132" i="66"/>
  <c r="N132" i="66"/>
  <c r="M132" i="66"/>
  <c r="L132" i="66"/>
  <c r="K132" i="66"/>
  <c r="J132" i="66"/>
  <c r="I132" i="66"/>
  <c r="H132" i="66"/>
  <c r="G132" i="66"/>
  <c r="F132" i="66"/>
  <c r="E132" i="66"/>
  <c r="D132" i="66"/>
  <c r="O48" i="66"/>
  <c r="N48" i="66"/>
  <c r="M48" i="66"/>
  <c r="L48" i="66"/>
  <c r="K48" i="66"/>
  <c r="J48" i="66"/>
  <c r="I48" i="66"/>
  <c r="H48" i="66"/>
  <c r="G48" i="66"/>
  <c r="F48" i="66"/>
  <c r="E48" i="66"/>
  <c r="D48" i="66"/>
  <c r="O42" i="66"/>
  <c r="N42" i="66"/>
  <c r="M42" i="66"/>
  <c r="L42" i="66"/>
  <c r="K42" i="66"/>
  <c r="J42" i="66"/>
  <c r="I42" i="66"/>
  <c r="H42" i="66"/>
  <c r="G42" i="66"/>
  <c r="F42" i="66"/>
  <c r="E42" i="66"/>
  <c r="D42" i="66"/>
  <c r="O36" i="66"/>
  <c r="N36" i="66"/>
  <c r="M36" i="66"/>
  <c r="L36" i="66"/>
  <c r="K36" i="66"/>
  <c r="J36" i="66"/>
  <c r="I36" i="66"/>
  <c r="H36" i="66"/>
  <c r="G36" i="66"/>
  <c r="F36" i="66"/>
  <c r="E36" i="66"/>
  <c r="D36" i="66"/>
  <c r="O30" i="66"/>
  <c r="N30" i="66"/>
  <c r="M30" i="66"/>
  <c r="L30" i="66"/>
  <c r="K30" i="66"/>
  <c r="J30" i="66"/>
  <c r="I30" i="66"/>
  <c r="H30" i="66"/>
  <c r="G30" i="66"/>
  <c r="F30" i="66"/>
  <c r="E30" i="66"/>
  <c r="D30" i="66"/>
  <c r="O24" i="66"/>
  <c r="N24" i="66"/>
  <c r="M24" i="66"/>
  <c r="L24" i="66"/>
  <c r="K24" i="66"/>
  <c r="J24" i="66"/>
  <c r="I24" i="66"/>
  <c r="H24" i="66"/>
  <c r="G24" i="66"/>
  <c r="F24" i="66"/>
  <c r="E24" i="66"/>
  <c r="D24" i="66"/>
  <c r="O18" i="66"/>
  <c r="N18" i="66"/>
  <c r="M18" i="66"/>
  <c r="L18" i="66"/>
  <c r="K18" i="66"/>
  <c r="J18" i="66"/>
  <c r="I18" i="66"/>
  <c r="H18" i="66"/>
  <c r="G18" i="66"/>
  <c r="F18" i="66"/>
  <c r="E18" i="66"/>
  <c r="D18" i="66"/>
  <c r="O12" i="66"/>
  <c r="N12" i="66"/>
  <c r="M12" i="66"/>
  <c r="L12" i="66"/>
  <c r="K12" i="66"/>
  <c r="J12" i="66"/>
  <c r="I12" i="66"/>
  <c r="H12" i="66"/>
  <c r="G12" i="66"/>
  <c r="F12" i="66"/>
  <c r="E12" i="66"/>
  <c r="D12" i="66"/>
  <c r="O114" i="66"/>
  <c r="N114" i="66"/>
  <c r="M114" i="66"/>
  <c r="L114" i="66"/>
  <c r="K114" i="66"/>
  <c r="J114" i="66"/>
  <c r="I114" i="66"/>
  <c r="H114" i="66"/>
  <c r="G114" i="66"/>
  <c r="F114" i="66"/>
  <c r="E114" i="66"/>
  <c r="D114" i="66"/>
  <c r="P232" i="65"/>
  <c r="O232" i="65"/>
  <c r="N232" i="65"/>
  <c r="M232" i="65"/>
  <c r="L232" i="65"/>
  <c r="K232" i="65"/>
  <c r="J232" i="65"/>
  <c r="I232" i="65"/>
  <c r="H232" i="65"/>
  <c r="G232" i="65"/>
  <c r="F232" i="65"/>
  <c r="E232" i="65"/>
  <c r="P212" i="65"/>
  <c r="O212" i="65"/>
  <c r="N212" i="65"/>
  <c r="M212" i="65"/>
  <c r="L212" i="65"/>
  <c r="K212" i="65"/>
  <c r="J212" i="65"/>
  <c r="I212" i="65"/>
  <c r="H212" i="65"/>
  <c r="G212" i="65"/>
  <c r="F212" i="65"/>
  <c r="E212" i="65"/>
  <c r="P202" i="65"/>
  <c r="O202" i="65"/>
  <c r="N202" i="65"/>
  <c r="M202" i="65"/>
  <c r="L202" i="65"/>
  <c r="K202" i="65"/>
  <c r="J202" i="65"/>
  <c r="I202" i="65"/>
  <c r="H202" i="65"/>
  <c r="G202" i="65"/>
  <c r="F202" i="65"/>
  <c r="M55" i="61"/>
  <c r="L55" i="61"/>
  <c r="K55" i="61"/>
  <c r="J55" i="61"/>
  <c r="I55" i="61"/>
  <c r="H55" i="61"/>
  <c r="G55" i="61"/>
  <c r="F55" i="61"/>
  <c r="E55" i="61"/>
  <c r="D55" i="61"/>
  <c r="C55" i="61"/>
  <c r="B55" i="61"/>
  <c r="F23" i="61"/>
  <c r="G23" i="61"/>
  <c r="H23" i="61"/>
  <c r="I23" i="61"/>
  <c r="J23" i="61"/>
  <c r="K23" i="61"/>
  <c r="L23" i="61"/>
  <c r="M23" i="61"/>
  <c r="E23" i="61"/>
  <c r="N9" i="63"/>
  <c r="N12" i="63"/>
  <c r="E47" i="61"/>
  <c r="F47" i="61"/>
  <c r="G47" i="61"/>
  <c r="H47" i="61"/>
  <c r="H63" i="61" s="1"/>
  <c r="I47" i="61"/>
  <c r="J47" i="61"/>
  <c r="K47" i="61"/>
  <c r="L47" i="61"/>
  <c r="M47" i="61"/>
  <c r="C19" i="63"/>
  <c r="D19" i="63"/>
  <c r="E19" i="63"/>
  <c r="F19" i="63"/>
  <c r="G19" i="63"/>
  <c r="H19" i="63"/>
  <c r="I19" i="63"/>
  <c r="J19" i="63"/>
  <c r="K19" i="63"/>
  <c r="L19" i="63"/>
  <c r="M19" i="63"/>
  <c r="N9" i="62"/>
  <c r="N12" i="62"/>
  <c r="E15" i="61"/>
  <c r="F15" i="61"/>
  <c r="G15" i="61"/>
  <c r="G31" i="61" s="1"/>
  <c r="C15" i="61" s="1"/>
  <c r="C23" i="61" s="1"/>
  <c r="H15" i="61"/>
  <c r="I15" i="61"/>
  <c r="J15" i="61"/>
  <c r="K15" i="61"/>
  <c r="K31" i="61" s="1"/>
  <c r="L15" i="61"/>
  <c r="M15" i="61"/>
  <c r="B47" i="61"/>
  <c r="C47" i="61"/>
  <c r="D47" i="61"/>
  <c r="C19" i="62"/>
  <c r="D19" i="62"/>
  <c r="E19" i="62"/>
  <c r="F19" i="62"/>
  <c r="G19" i="62"/>
  <c r="H19" i="62"/>
  <c r="I19" i="62"/>
  <c r="J19" i="62"/>
  <c r="K19" i="62"/>
  <c r="L19" i="62"/>
  <c r="M19" i="62"/>
  <c r="A37" i="61"/>
  <c r="C52" i="61"/>
  <c r="D52" i="61" s="1"/>
  <c r="E52" i="61" s="1"/>
  <c r="F52" i="61" s="1"/>
  <c r="G52" i="61" s="1"/>
  <c r="H52" i="61" s="1"/>
  <c r="I52" i="61" s="1"/>
  <c r="J52" i="61" s="1"/>
  <c r="K52" i="61" s="1"/>
  <c r="L52" i="61" s="1"/>
  <c r="M52" i="61" s="1"/>
  <c r="O52" i="61" s="1"/>
  <c r="C44" i="61"/>
  <c r="D44" i="61" s="1"/>
  <c r="E44" i="61" s="1"/>
  <c r="F44" i="61" s="1"/>
  <c r="G44" i="61" s="1"/>
  <c r="H44" i="61" s="1"/>
  <c r="I44" i="61" s="1"/>
  <c r="J44" i="61" s="1"/>
  <c r="K44" i="61" s="1"/>
  <c r="L44" i="61" s="1"/>
  <c r="M44" i="61" s="1"/>
  <c r="O44" i="61" s="1"/>
  <c r="C20" i="61"/>
  <c r="C12" i="61"/>
  <c r="D12" i="61" s="1"/>
  <c r="E12" i="61" s="1"/>
  <c r="F12" i="61" s="1"/>
  <c r="G12" i="61" s="1"/>
  <c r="H12" i="61" s="1"/>
  <c r="I12" i="61" s="1"/>
  <c r="J12" i="61" s="1"/>
  <c r="K12" i="61" s="1"/>
  <c r="L12" i="61" s="1"/>
  <c r="M12" i="61" s="1"/>
  <c r="O12" i="61" s="1"/>
  <c r="A5" i="61"/>
  <c r="R78" i="60"/>
  <c r="R33" i="60"/>
  <c r="R43" i="60" s="1"/>
  <c r="R75" i="60"/>
  <c r="A51" i="60"/>
  <c r="R30" i="60"/>
  <c r="A5" i="60"/>
  <c r="R75" i="59"/>
  <c r="R75" i="50"/>
  <c r="R30" i="50"/>
  <c r="R30" i="59"/>
  <c r="R78" i="59"/>
  <c r="R88" i="59" s="1"/>
  <c r="A51" i="59"/>
  <c r="R33" i="59"/>
  <c r="R43" i="59" s="1"/>
  <c r="A5" i="59"/>
  <c r="R78" i="50"/>
  <c r="R89" i="50" s="1"/>
  <c r="R33" i="50"/>
  <c r="R43" i="50" s="1"/>
  <c r="B58" i="58"/>
  <c r="B53" i="58"/>
  <c r="B24" i="58"/>
  <c r="B23" i="58"/>
  <c r="D172" i="68" l="1"/>
  <c r="D179" i="68" s="1"/>
  <c r="C109" i="69"/>
  <c r="C60" i="48"/>
  <c r="P60" i="48" s="1"/>
  <c r="C49" i="26"/>
  <c r="C39" i="26"/>
  <c r="C40" i="26" s="1"/>
  <c r="C49" i="48"/>
  <c r="C50" i="48" s="1"/>
  <c r="C39" i="48"/>
  <c r="C40" i="48" s="1"/>
  <c r="C49" i="35"/>
  <c r="C50" i="35" s="1"/>
  <c r="C39" i="35"/>
  <c r="C40" i="35" s="1"/>
  <c r="C49" i="25"/>
  <c r="C50" i="25" s="1"/>
  <c r="C39" i="25"/>
  <c r="C40" i="25" s="1"/>
  <c r="C49" i="49"/>
  <c r="C50" i="49" s="1"/>
  <c r="C39" i="49"/>
  <c r="C40" i="49" s="1"/>
  <c r="C49" i="46"/>
  <c r="C50" i="46" s="1"/>
  <c r="C39" i="46"/>
  <c r="C40" i="46" s="1"/>
  <c r="C27" i="69"/>
  <c r="C49" i="30"/>
  <c r="C39" i="30"/>
  <c r="C40" i="30" s="1"/>
  <c r="C49" i="32"/>
  <c r="C39" i="32"/>
  <c r="C40" i="32" s="1"/>
  <c r="C177" i="69"/>
  <c r="E156" i="65" s="1"/>
  <c r="AH156" i="65" s="1"/>
  <c r="C49" i="34"/>
  <c r="C39" i="34"/>
  <c r="C40" i="34" s="1"/>
  <c r="C49" i="31"/>
  <c r="C50" i="31" s="1"/>
  <c r="C39" i="31"/>
  <c r="C40" i="31" s="1"/>
  <c r="C49" i="41"/>
  <c r="C50" i="41" s="1"/>
  <c r="C39" i="41"/>
  <c r="C40" i="41" s="1"/>
  <c r="C49" i="42"/>
  <c r="C39" i="42"/>
  <c r="C40" i="42" s="1"/>
  <c r="C49" i="40"/>
  <c r="C50" i="40" s="1"/>
  <c r="C39" i="40"/>
  <c r="C40" i="40" s="1"/>
  <c r="C49" i="23"/>
  <c r="C50" i="23" s="1"/>
  <c r="C39" i="23"/>
  <c r="C49" i="33"/>
  <c r="C39" i="33"/>
  <c r="C40" i="33" s="1"/>
  <c r="C37" i="69"/>
  <c r="C179" i="69"/>
  <c r="E158" i="65" s="1"/>
  <c r="AH158" i="65" s="1"/>
  <c r="C60" i="49"/>
  <c r="P60" i="49" s="1"/>
  <c r="L196" i="79"/>
  <c r="N196" i="79"/>
  <c r="J196" i="79"/>
  <c r="I196" i="79"/>
  <c r="O133" i="59"/>
  <c r="G196" i="79"/>
  <c r="D196" i="79"/>
  <c r="M196" i="79"/>
  <c r="Q194" i="79"/>
  <c r="G167" i="68" s="1"/>
  <c r="F196" i="79"/>
  <c r="L31" i="61"/>
  <c r="C63" i="61"/>
  <c r="G107" i="69"/>
  <c r="H107" i="69"/>
  <c r="D107" i="69"/>
  <c r="E107" i="69"/>
  <c r="C107" i="69"/>
  <c r="M107" i="69"/>
  <c r="N107" i="69"/>
  <c r="I107" i="69"/>
  <c r="K107" i="69"/>
  <c r="L107" i="69"/>
  <c r="J107" i="69"/>
  <c r="F107" i="69"/>
  <c r="U193" i="79"/>
  <c r="E235" i="65"/>
  <c r="C254" i="69"/>
  <c r="E234" i="65"/>
  <c r="F155" i="68"/>
  <c r="F149" i="68"/>
  <c r="T146" i="79"/>
  <c r="T153" i="79"/>
  <c r="U153" i="79" s="1"/>
  <c r="F63" i="61"/>
  <c r="R160" i="79"/>
  <c r="R146" i="79"/>
  <c r="C194" i="69"/>
  <c r="R190" i="69"/>
  <c r="R188" i="79"/>
  <c r="G162" i="68" s="1"/>
  <c r="D58" i="46"/>
  <c r="P66" i="57"/>
  <c r="B127" i="60"/>
  <c r="P58" i="57"/>
  <c r="B82" i="60"/>
  <c r="N129" i="60"/>
  <c r="O129" i="60" s="1"/>
  <c r="T181" i="79" s="1"/>
  <c r="H181" i="79"/>
  <c r="I139" i="78" s="1"/>
  <c r="B37" i="60"/>
  <c r="P53" i="57"/>
  <c r="C139" i="79"/>
  <c r="N123" i="60"/>
  <c r="C189" i="79"/>
  <c r="C196" i="79"/>
  <c r="G168" i="68"/>
  <c r="M63" i="61"/>
  <c r="I63" i="61"/>
  <c r="E63" i="61"/>
  <c r="K63" i="61"/>
  <c r="G63" i="61"/>
  <c r="J31" i="61"/>
  <c r="F31" i="61"/>
  <c r="C270" i="69"/>
  <c r="R270" i="69" s="1"/>
  <c r="N86" i="60"/>
  <c r="O86" i="60" s="1"/>
  <c r="H250" i="69"/>
  <c r="R250" i="69" s="1"/>
  <c r="N40" i="60"/>
  <c r="O40" i="60" s="1"/>
  <c r="T188" i="70" s="1"/>
  <c r="C188" i="70"/>
  <c r="N41" i="60"/>
  <c r="O41" i="60" s="1"/>
  <c r="T195" i="70" s="1"/>
  <c r="C195" i="70"/>
  <c r="H181" i="70"/>
  <c r="T181" i="70"/>
  <c r="C260" i="69"/>
  <c r="R260" i="69" s="1"/>
  <c r="N85" i="60"/>
  <c r="O85" i="60" s="1"/>
  <c r="D63" i="61"/>
  <c r="L63" i="61"/>
  <c r="O55" i="61"/>
  <c r="E31" i="61"/>
  <c r="J63" i="61"/>
  <c r="R91" i="50"/>
  <c r="P67" i="12"/>
  <c r="B119" i="68" s="1"/>
  <c r="P103" i="12"/>
  <c r="C125" i="68" s="1"/>
  <c r="P68" i="12"/>
  <c r="B125" i="68" s="1"/>
  <c r="P104" i="12"/>
  <c r="H31" i="61"/>
  <c r="B63" i="61"/>
  <c r="O47" i="61"/>
  <c r="P69" i="12"/>
  <c r="P102" i="12"/>
  <c r="C119" i="68" s="1"/>
  <c r="M31" i="61"/>
  <c r="I31" i="61"/>
  <c r="D20" i="61"/>
  <c r="R90" i="59"/>
  <c r="R45" i="50"/>
  <c r="R45" i="60"/>
  <c r="R88" i="60"/>
  <c r="R45" i="59"/>
  <c r="U194" i="79" l="1"/>
  <c r="S91" i="50"/>
  <c r="S130" i="50"/>
  <c r="S118" i="50"/>
  <c r="S114" i="50"/>
  <c r="S110" i="50"/>
  <c r="S106" i="50"/>
  <c r="S128" i="50"/>
  <c r="S117" i="50"/>
  <c r="S113" i="50"/>
  <c r="S109" i="50"/>
  <c r="S105" i="50"/>
  <c r="S127" i="50"/>
  <c r="S116" i="50"/>
  <c r="S112" i="50"/>
  <c r="S108" i="50"/>
  <c r="S104" i="50"/>
  <c r="S125" i="50"/>
  <c r="S119" i="50"/>
  <c r="S115" i="50"/>
  <c r="S111" i="50"/>
  <c r="S107" i="50"/>
  <c r="S103" i="50"/>
  <c r="S124" i="50"/>
  <c r="S121" i="50"/>
  <c r="S137" i="50"/>
  <c r="S135" i="50"/>
  <c r="D15" i="61"/>
  <c r="D23" i="61" s="1"/>
  <c r="S126" i="59"/>
  <c r="S124" i="59"/>
  <c r="S129" i="59"/>
  <c r="S127" i="59"/>
  <c r="S123" i="59"/>
  <c r="S135" i="59"/>
  <c r="S133" i="59"/>
  <c r="C167" i="70"/>
  <c r="D139" i="66" s="1"/>
  <c r="N37" i="60"/>
  <c r="O37" i="60" s="1"/>
  <c r="C230" i="69"/>
  <c r="E213" i="65" s="1"/>
  <c r="B133" i="60"/>
  <c r="N127" i="60"/>
  <c r="O127" i="60" s="1"/>
  <c r="T167" i="79" s="1"/>
  <c r="S39" i="50"/>
  <c r="S40" i="50"/>
  <c r="S41" i="50"/>
  <c r="S35" i="50"/>
  <c r="S38" i="50"/>
  <c r="R188" i="70"/>
  <c r="D157" i="66"/>
  <c r="R181" i="70"/>
  <c r="I151" i="66"/>
  <c r="R195" i="70"/>
  <c r="D163" i="66"/>
  <c r="R181" i="79"/>
  <c r="G156" i="68" s="1"/>
  <c r="R139" i="79"/>
  <c r="G120" i="68" s="1"/>
  <c r="C140" i="79"/>
  <c r="H182" i="79"/>
  <c r="C167" i="79"/>
  <c r="O123" i="60"/>
  <c r="T139" i="79" s="1"/>
  <c r="T260" i="69"/>
  <c r="U188" i="79"/>
  <c r="T250" i="69"/>
  <c r="T270" i="69"/>
  <c r="U195" i="79"/>
  <c r="O63" i="61"/>
  <c r="P55" i="61" s="1"/>
  <c r="B15" i="61"/>
  <c r="B23" i="61" s="1"/>
  <c r="O23" i="61" s="1"/>
  <c r="C196" i="70"/>
  <c r="F162" i="68"/>
  <c r="C264" i="69"/>
  <c r="J233" i="65"/>
  <c r="F156" i="68"/>
  <c r="C189" i="70"/>
  <c r="H182" i="70"/>
  <c r="E243" i="65"/>
  <c r="F168" i="68"/>
  <c r="C274" i="69"/>
  <c r="S30" i="59"/>
  <c r="S39" i="59"/>
  <c r="S40" i="59"/>
  <c r="S41" i="59"/>
  <c r="S84" i="50"/>
  <c r="S73" i="50"/>
  <c r="S14" i="50"/>
  <c r="S30" i="60"/>
  <c r="S72" i="50"/>
  <c r="S71" i="50"/>
  <c r="S21" i="50"/>
  <c r="S82" i="50"/>
  <c r="S61" i="50"/>
  <c r="S62" i="50"/>
  <c r="S70" i="50"/>
  <c r="S60" i="50"/>
  <c r="S66" i="50"/>
  <c r="S75" i="50"/>
  <c r="S67" i="50"/>
  <c r="S57" i="50"/>
  <c r="S65" i="50"/>
  <c r="S79" i="50"/>
  <c r="S81" i="50"/>
  <c r="S68" i="50"/>
  <c r="S63" i="50"/>
  <c r="S58" i="50"/>
  <c r="S89" i="50"/>
  <c r="S69" i="50"/>
  <c r="S64" i="50"/>
  <c r="S59" i="50"/>
  <c r="S78" i="50"/>
  <c r="S23" i="50"/>
  <c r="S24" i="50"/>
  <c r="S25" i="50"/>
  <c r="S26" i="50"/>
  <c r="S27" i="50"/>
  <c r="S28" i="50"/>
  <c r="S30" i="50"/>
  <c r="S17" i="50"/>
  <c r="S18" i="50"/>
  <c r="S22" i="50"/>
  <c r="S15" i="50"/>
  <c r="S33" i="50"/>
  <c r="S16" i="50"/>
  <c r="S37" i="50"/>
  <c r="S19" i="50"/>
  <c r="S45" i="50"/>
  <c r="S20" i="50"/>
  <c r="S13" i="50"/>
  <c r="O31" i="61"/>
  <c r="S34" i="50"/>
  <c r="S36" i="50"/>
  <c r="E20" i="61"/>
  <c r="S43" i="50"/>
  <c r="S12" i="50"/>
  <c r="R90" i="60"/>
  <c r="S45" i="60"/>
  <c r="S39" i="60"/>
  <c r="S37" i="60"/>
  <c r="S36" i="60"/>
  <c r="S34" i="60"/>
  <c r="S33" i="60"/>
  <c r="S28" i="60"/>
  <c r="S27" i="60"/>
  <c r="S26" i="60"/>
  <c r="S25" i="60"/>
  <c r="S24" i="60"/>
  <c r="S23" i="60"/>
  <c r="S22" i="60"/>
  <c r="S21" i="60"/>
  <c r="S20" i="60"/>
  <c r="S19" i="60"/>
  <c r="S18" i="60"/>
  <c r="S17" i="60"/>
  <c r="S16" i="60"/>
  <c r="S15" i="60"/>
  <c r="S14" i="60"/>
  <c r="S13" i="60"/>
  <c r="S12" i="60"/>
  <c r="S43" i="60"/>
  <c r="S12" i="59"/>
  <c r="S27" i="59"/>
  <c r="S25" i="59"/>
  <c r="S24" i="59"/>
  <c r="S22" i="59"/>
  <c r="S19" i="59"/>
  <c r="S17" i="59"/>
  <c r="S15" i="59"/>
  <c r="S14" i="59"/>
  <c r="S37" i="59"/>
  <c r="S34" i="59"/>
  <c r="S43" i="59"/>
  <c r="S45" i="59"/>
  <c r="S28" i="59"/>
  <c r="S26" i="59"/>
  <c r="S23" i="59"/>
  <c r="S21" i="59"/>
  <c r="S20" i="59"/>
  <c r="S18" i="59"/>
  <c r="S16" i="59"/>
  <c r="S13" i="59"/>
  <c r="S36" i="59"/>
  <c r="S33" i="59"/>
  <c r="R167" i="70" l="1"/>
  <c r="S126" i="60"/>
  <c r="S125" i="60"/>
  <c r="S127" i="60"/>
  <c r="S129" i="60"/>
  <c r="S124" i="60"/>
  <c r="S133" i="60"/>
  <c r="S123" i="60"/>
  <c r="S135" i="60"/>
  <c r="R167" i="79"/>
  <c r="I130" i="68"/>
  <c r="I148" i="68"/>
  <c r="K130" i="68"/>
  <c r="K148" i="68"/>
  <c r="J130" i="68"/>
  <c r="J148" i="68"/>
  <c r="U181" i="79"/>
  <c r="O133" i="60"/>
  <c r="C168" i="79"/>
  <c r="N133" i="60"/>
  <c r="I160" i="68"/>
  <c r="I124" i="68"/>
  <c r="I166" i="68"/>
  <c r="I142" i="68"/>
  <c r="I136" i="68"/>
  <c r="I154" i="68"/>
  <c r="J166" i="68"/>
  <c r="J142" i="68"/>
  <c r="J136" i="68"/>
  <c r="J124" i="68"/>
  <c r="J160" i="68"/>
  <c r="J154" i="68"/>
  <c r="O15" i="61"/>
  <c r="P15" i="61" s="1"/>
  <c r="P47" i="61"/>
  <c r="P23" i="61"/>
  <c r="E156" i="68"/>
  <c r="U181" i="70"/>
  <c r="U188" i="70"/>
  <c r="E162" i="68"/>
  <c r="E168" i="68"/>
  <c r="U195" i="70"/>
  <c r="K160" i="68"/>
  <c r="K142" i="68"/>
  <c r="K166" i="68"/>
  <c r="K136" i="68"/>
  <c r="K154" i="68"/>
  <c r="K124" i="68"/>
  <c r="F20" i="61"/>
  <c r="S82" i="60"/>
  <c r="S81" i="60"/>
  <c r="S79" i="60"/>
  <c r="S90" i="60"/>
  <c r="S84" i="60"/>
  <c r="S78" i="60"/>
  <c r="S88" i="60"/>
  <c r="S82" i="59"/>
  <c r="S81" i="59"/>
  <c r="S79" i="59"/>
  <c r="S90" i="59"/>
  <c r="S84" i="59"/>
  <c r="S78" i="59"/>
  <c r="S88" i="59"/>
  <c r="G20" i="61" l="1"/>
  <c r="A51" i="50"/>
  <c r="A5" i="50"/>
  <c r="A5" i="52"/>
  <c r="P7" i="53"/>
  <c r="P8" i="53"/>
  <c r="P9" i="53"/>
  <c r="P10" i="53"/>
  <c r="P11" i="53"/>
  <c r="P12" i="53"/>
  <c r="D15" i="53"/>
  <c r="D19" i="53" s="1"/>
  <c r="E15" i="53"/>
  <c r="F15" i="53"/>
  <c r="G15" i="53"/>
  <c r="H15" i="53"/>
  <c r="I15" i="53"/>
  <c r="J15" i="53"/>
  <c r="K15" i="53"/>
  <c r="L15" i="53"/>
  <c r="L19" i="53" s="1"/>
  <c r="M15" i="53"/>
  <c r="N15" i="53"/>
  <c r="O15" i="53"/>
  <c r="P17" i="53"/>
  <c r="E19" i="53"/>
  <c r="H19" i="53"/>
  <c r="I19" i="53"/>
  <c r="M19" i="53"/>
  <c r="P22" i="53"/>
  <c r="P23" i="53"/>
  <c r="P24" i="53"/>
  <c r="P25" i="53"/>
  <c r="P26" i="53"/>
  <c r="P27" i="53"/>
  <c r="D30" i="53"/>
  <c r="E30" i="53"/>
  <c r="F30" i="53"/>
  <c r="F34" i="53" s="1"/>
  <c r="G30" i="53"/>
  <c r="H30" i="53"/>
  <c r="I30" i="53"/>
  <c r="I34" i="53" s="1"/>
  <c r="J30" i="53"/>
  <c r="J34" i="53" s="1"/>
  <c r="K30" i="53"/>
  <c r="L30" i="53"/>
  <c r="M30" i="53"/>
  <c r="M34" i="53" s="1"/>
  <c r="N30" i="53"/>
  <c r="N34" i="53" s="1"/>
  <c r="O30" i="53"/>
  <c r="P32" i="53"/>
  <c r="P47" i="53" s="1"/>
  <c r="D34" i="53"/>
  <c r="G34" i="53"/>
  <c r="H34" i="53"/>
  <c r="K34" i="53"/>
  <c r="L34" i="53"/>
  <c r="O34" i="53"/>
  <c r="D37" i="53"/>
  <c r="E37" i="53"/>
  <c r="F37" i="53"/>
  <c r="G37" i="53"/>
  <c r="H37" i="53"/>
  <c r="I37" i="53"/>
  <c r="J37" i="53"/>
  <c r="K37" i="53"/>
  <c r="L37" i="53"/>
  <c r="M37" i="53"/>
  <c r="N37" i="53"/>
  <c r="O37" i="53"/>
  <c r="D38" i="53"/>
  <c r="E38" i="53"/>
  <c r="F38" i="53"/>
  <c r="G38" i="53"/>
  <c r="H38" i="53"/>
  <c r="I38" i="53"/>
  <c r="J38" i="53"/>
  <c r="K38" i="53"/>
  <c r="L38" i="53"/>
  <c r="M38" i="53"/>
  <c r="N38" i="53"/>
  <c r="O38" i="53"/>
  <c r="D39" i="53"/>
  <c r="E39" i="53"/>
  <c r="F39" i="53"/>
  <c r="G39" i="53"/>
  <c r="H39" i="53"/>
  <c r="I39" i="53"/>
  <c r="J39" i="53"/>
  <c r="K39" i="53"/>
  <c r="L39" i="53"/>
  <c r="M39" i="53"/>
  <c r="N39" i="53"/>
  <c r="O39" i="53"/>
  <c r="P39" i="53"/>
  <c r="D40" i="53"/>
  <c r="E40" i="53"/>
  <c r="F40" i="53"/>
  <c r="G40" i="53"/>
  <c r="H40" i="53"/>
  <c r="I40" i="53"/>
  <c r="J40" i="53"/>
  <c r="K40" i="53"/>
  <c r="L40" i="53"/>
  <c r="M40" i="53"/>
  <c r="N40" i="53"/>
  <c r="O40" i="53"/>
  <c r="P40" i="53"/>
  <c r="D41" i="53"/>
  <c r="E41" i="53"/>
  <c r="F41" i="53"/>
  <c r="G41" i="53"/>
  <c r="H41" i="53"/>
  <c r="I41" i="53"/>
  <c r="J41" i="53"/>
  <c r="K41" i="53"/>
  <c r="L41" i="53"/>
  <c r="M41" i="53"/>
  <c r="N41" i="53"/>
  <c r="O41" i="53"/>
  <c r="D42" i="53"/>
  <c r="E42" i="53"/>
  <c r="F42" i="53"/>
  <c r="G42" i="53"/>
  <c r="H42" i="53"/>
  <c r="I42" i="53"/>
  <c r="J42" i="53"/>
  <c r="K42" i="53"/>
  <c r="L42" i="53"/>
  <c r="M42" i="53"/>
  <c r="N42" i="53"/>
  <c r="O42" i="53"/>
  <c r="D45" i="53"/>
  <c r="E45" i="53"/>
  <c r="H45" i="53"/>
  <c r="I45" i="53"/>
  <c r="L45" i="53"/>
  <c r="M45" i="53"/>
  <c r="D47" i="53"/>
  <c r="E47" i="53"/>
  <c r="F47" i="53"/>
  <c r="G47" i="53"/>
  <c r="H47" i="53"/>
  <c r="I47" i="53"/>
  <c r="J47" i="53"/>
  <c r="K47" i="53"/>
  <c r="L47" i="53"/>
  <c r="M47" i="53"/>
  <c r="N47" i="53"/>
  <c r="O47" i="53"/>
  <c r="Q52" i="53"/>
  <c r="P57" i="53"/>
  <c r="P58" i="53"/>
  <c r="R58" i="53" s="1"/>
  <c r="P59" i="53"/>
  <c r="R59" i="53" s="1"/>
  <c r="P60" i="53"/>
  <c r="R60" i="53" s="1"/>
  <c r="P61" i="53"/>
  <c r="R61" i="53" s="1"/>
  <c r="P62" i="53"/>
  <c r="R62" i="53" s="1"/>
  <c r="D65" i="53"/>
  <c r="E65" i="53"/>
  <c r="F65" i="53"/>
  <c r="F69" i="53" s="1"/>
  <c r="G65" i="53"/>
  <c r="H65" i="53"/>
  <c r="H69" i="53" s="1"/>
  <c r="I65" i="53"/>
  <c r="J65" i="53"/>
  <c r="J69" i="53" s="1"/>
  <c r="K65" i="53"/>
  <c r="L65" i="53"/>
  <c r="M65" i="53"/>
  <c r="N65" i="53"/>
  <c r="N69" i="53" s="1"/>
  <c r="O65" i="53"/>
  <c r="P67" i="53"/>
  <c r="R67" i="53" s="1"/>
  <c r="D69" i="53"/>
  <c r="E69" i="53"/>
  <c r="I69" i="53"/>
  <c r="L69" i="53"/>
  <c r="M69" i="53"/>
  <c r="P72" i="53"/>
  <c r="P73" i="53"/>
  <c r="R73" i="53" s="1"/>
  <c r="P74" i="53"/>
  <c r="P75" i="53"/>
  <c r="R75" i="53"/>
  <c r="P76" i="53"/>
  <c r="P77" i="53"/>
  <c r="R77" i="53" s="1"/>
  <c r="D80" i="53"/>
  <c r="D95" i="53" s="1"/>
  <c r="E80" i="53"/>
  <c r="F80" i="53"/>
  <c r="F84" i="53" s="1"/>
  <c r="G80" i="53"/>
  <c r="H80" i="53"/>
  <c r="H95" i="53" s="1"/>
  <c r="I80" i="53"/>
  <c r="J80" i="53"/>
  <c r="K80" i="53"/>
  <c r="L80" i="53"/>
  <c r="L95" i="53" s="1"/>
  <c r="M80" i="53"/>
  <c r="N80" i="53"/>
  <c r="N84" i="53" s="1"/>
  <c r="O80" i="53"/>
  <c r="P82" i="53"/>
  <c r="R82" i="53" s="1"/>
  <c r="E84" i="53"/>
  <c r="G84" i="53"/>
  <c r="I84" i="53"/>
  <c r="J84" i="53"/>
  <c r="K84" i="53"/>
  <c r="M84" i="53"/>
  <c r="O84" i="53"/>
  <c r="D87" i="53"/>
  <c r="E87" i="53"/>
  <c r="F87" i="53"/>
  <c r="G87" i="53"/>
  <c r="H87" i="53"/>
  <c r="I87" i="53"/>
  <c r="J87" i="53"/>
  <c r="K87" i="53"/>
  <c r="L87" i="53"/>
  <c r="M87" i="53"/>
  <c r="N87" i="53"/>
  <c r="O87" i="53"/>
  <c r="D88" i="53"/>
  <c r="E88" i="53"/>
  <c r="F88" i="53"/>
  <c r="G88" i="53"/>
  <c r="H88" i="53"/>
  <c r="I88" i="53"/>
  <c r="J88" i="53"/>
  <c r="K88" i="53"/>
  <c r="L88" i="53"/>
  <c r="M88" i="53"/>
  <c r="N88" i="53"/>
  <c r="O88" i="53"/>
  <c r="P88" i="53"/>
  <c r="D89" i="53"/>
  <c r="E89" i="53"/>
  <c r="F89" i="53"/>
  <c r="G89" i="53"/>
  <c r="H89" i="53"/>
  <c r="I89" i="53"/>
  <c r="J89" i="53"/>
  <c r="K89" i="53"/>
  <c r="L89" i="53"/>
  <c r="M89" i="53"/>
  <c r="N89" i="53"/>
  <c r="O89" i="53"/>
  <c r="D90" i="53"/>
  <c r="E90" i="53"/>
  <c r="F90" i="53"/>
  <c r="G90" i="53"/>
  <c r="H90" i="53"/>
  <c r="I90" i="53"/>
  <c r="J90" i="53"/>
  <c r="K90" i="53"/>
  <c r="L90" i="53"/>
  <c r="M90" i="53"/>
  <c r="N90" i="53"/>
  <c r="O90" i="53"/>
  <c r="P90" i="53"/>
  <c r="R90" i="53" s="1"/>
  <c r="D91" i="53"/>
  <c r="E91" i="53"/>
  <c r="F91" i="53"/>
  <c r="G91" i="53"/>
  <c r="H91" i="53"/>
  <c r="I91" i="53"/>
  <c r="J91" i="53"/>
  <c r="K91" i="53"/>
  <c r="L91" i="53"/>
  <c r="M91" i="53"/>
  <c r="N91" i="53"/>
  <c r="O91" i="53"/>
  <c r="D92" i="53"/>
  <c r="E92" i="53"/>
  <c r="F92" i="53"/>
  <c r="G92" i="53"/>
  <c r="H92" i="53"/>
  <c r="I92" i="53"/>
  <c r="J92" i="53"/>
  <c r="K92" i="53"/>
  <c r="L92" i="53"/>
  <c r="M92" i="53"/>
  <c r="N92" i="53"/>
  <c r="O92" i="53"/>
  <c r="P92" i="53"/>
  <c r="E95" i="53"/>
  <c r="I95" i="53"/>
  <c r="J95" i="53"/>
  <c r="M95" i="53"/>
  <c r="D97" i="53"/>
  <c r="E97" i="53"/>
  <c r="F97" i="53"/>
  <c r="G97" i="53"/>
  <c r="H97" i="53"/>
  <c r="I97" i="53"/>
  <c r="J97" i="53"/>
  <c r="K97" i="53"/>
  <c r="L97" i="53"/>
  <c r="M97" i="53"/>
  <c r="N97" i="53"/>
  <c r="O97" i="53"/>
  <c r="P97" i="53"/>
  <c r="I99" i="53"/>
  <c r="J99" i="53"/>
  <c r="P107" i="53"/>
  <c r="R107" i="53" s="1"/>
  <c r="P108" i="53"/>
  <c r="P109" i="53"/>
  <c r="P110" i="53"/>
  <c r="R110" i="53" s="1"/>
  <c r="P111" i="53"/>
  <c r="R111" i="53" s="1"/>
  <c r="P112" i="53"/>
  <c r="R112" i="53" s="1"/>
  <c r="D115" i="53"/>
  <c r="E115" i="53"/>
  <c r="F115" i="53"/>
  <c r="G115" i="53"/>
  <c r="H115" i="53"/>
  <c r="I115" i="53"/>
  <c r="J115" i="53"/>
  <c r="K115" i="53"/>
  <c r="L115" i="53"/>
  <c r="M115" i="53"/>
  <c r="N115" i="53"/>
  <c r="O115" i="53"/>
  <c r="O119" i="53" s="1"/>
  <c r="P117" i="53"/>
  <c r="R117" i="53"/>
  <c r="D119" i="53"/>
  <c r="E119" i="53"/>
  <c r="F119" i="53"/>
  <c r="H119" i="53"/>
  <c r="I119" i="53"/>
  <c r="J119" i="53"/>
  <c r="L119" i="53"/>
  <c r="M119" i="53"/>
  <c r="N119" i="53"/>
  <c r="P122" i="53"/>
  <c r="P123" i="53"/>
  <c r="R123" i="53" s="1"/>
  <c r="P124" i="53"/>
  <c r="R124" i="53" s="1"/>
  <c r="P125" i="53"/>
  <c r="R125" i="53" s="1"/>
  <c r="P126" i="53"/>
  <c r="P127" i="53"/>
  <c r="R127" i="53" s="1"/>
  <c r="D130" i="53"/>
  <c r="D134" i="53" s="1"/>
  <c r="E130" i="53"/>
  <c r="F130" i="53"/>
  <c r="G130" i="53"/>
  <c r="G134" i="53" s="1"/>
  <c r="H130" i="53"/>
  <c r="H134" i="53" s="1"/>
  <c r="I130" i="53"/>
  <c r="J130" i="53"/>
  <c r="J134" i="53" s="1"/>
  <c r="J149" i="53" s="1"/>
  <c r="K130" i="53"/>
  <c r="K134" i="53" s="1"/>
  <c r="L130" i="53"/>
  <c r="L134" i="53" s="1"/>
  <c r="M130" i="53"/>
  <c r="N130" i="53"/>
  <c r="O130" i="53"/>
  <c r="O134" i="53" s="1"/>
  <c r="P130" i="53"/>
  <c r="P132" i="53"/>
  <c r="R132" i="53" s="1"/>
  <c r="E134" i="53"/>
  <c r="F134" i="53"/>
  <c r="F149" i="53" s="1"/>
  <c r="I134" i="53"/>
  <c r="I149" i="53" s="1"/>
  <c r="M134" i="53"/>
  <c r="N134" i="53"/>
  <c r="N149" i="53" s="1"/>
  <c r="D137" i="53"/>
  <c r="E137" i="53"/>
  <c r="F137" i="53"/>
  <c r="G137" i="53"/>
  <c r="H137" i="53"/>
  <c r="I137" i="53"/>
  <c r="J137" i="53"/>
  <c r="K137" i="53"/>
  <c r="L137" i="53"/>
  <c r="M137" i="53"/>
  <c r="N137" i="53"/>
  <c r="O137" i="53"/>
  <c r="D138" i="53"/>
  <c r="E138" i="53"/>
  <c r="F138" i="53"/>
  <c r="G138" i="53"/>
  <c r="H138" i="53"/>
  <c r="I138" i="53"/>
  <c r="J138" i="53"/>
  <c r="K138" i="53"/>
  <c r="L138" i="53"/>
  <c r="M138" i="53"/>
  <c r="N138" i="53"/>
  <c r="O138" i="53"/>
  <c r="P138" i="53"/>
  <c r="R138" i="53" s="1"/>
  <c r="D139" i="53"/>
  <c r="E139" i="53"/>
  <c r="F139" i="53"/>
  <c r="G139" i="53"/>
  <c r="H139" i="53"/>
  <c r="I139" i="53"/>
  <c r="J139" i="53"/>
  <c r="K139" i="53"/>
  <c r="L139" i="53"/>
  <c r="M139" i="53"/>
  <c r="N139" i="53"/>
  <c r="O139" i="53"/>
  <c r="D140" i="53"/>
  <c r="E140" i="53"/>
  <c r="F140" i="53"/>
  <c r="G140" i="53"/>
  <c r="H140" i="53"/>
  <c r="I140" i="53"/>
  <c r="J140" i="53"/>
  <c r="K140" i="53"/>
  <c r="L140" i="53"/>
  <c r="M140" i="53"/>
  <c r="N140" i="53"/>
  <c r="O140" i="53"/>
  <c r="P140" i="53"/>
  <c r="D141" i="53"/>
  <c r="E141" i="53"/>
  <c r="F141" i="53"/>
  <c r="G141" i="53"/>
  <c r="H141" i="53"/>
  <c r="I141" i="53"/>
  <c r="J141" i="53"/>
  <c r="K141" i="53"/>
  <c r="L141" i="53"/>
  <c r="M141" i="53"/>
  <c r="N141" i="53"/>
  <c r="O141" i="53"/>
  <c r="P141" i="53"/>
  <c r="D142" i="53"/>
  <c r="E142" i="53"/>
  <c r="F142" i="53"/>
  <c r="G142" i="53"/>
  <c r="H142" i="53"/>
  <c r="I142" i="53"/>
  <c r="J142" i="53"/>
  <c r="K142" i="53"/>
  <c r="L142" i="53"/>
  <c r="M142" i="53"/>
  <c r="N142" i="53"/>
  <c r="O142" i="53"/>
  <c r="P142" i="53"/>
  <c r="E145" i="53"/>
  <c r="F145" i="53"/>
  <c r="I145" i="53"/>
  <c r="J145" i="53"/>
  <c r="M145" i="53"/>
  <c r="N145" i="53"/>
  <c r="O145" i="53"/>
  <c r="D147" i="53"/>
  <c r="E147" i="53"/>
  <c r="F147" i="53"/>
  <c r="G147" i="53"/>
  <c r="H147" i="53"/>
  <c r="I147" i="53"/>
  <c r="J147" i="53"/>
  <c r="K147" i="53"/>
  <c r="L147" i="53"/>
  <c r="M147" i="53"/>
  <c r="N147" i="53"/>
  <c r="O147" i="53"/>
  <c r="P147" i="53"/>
  <c r="E149" i="53"/>
  <c r="H149" i="53"/>
  <c r="M149" i="53"/>
  <c r="Q152" i="53"/>
  <c r="P157" i="53"/>
  <c r="P158" i="53"/>
  <c r="R158" i="53" s="1"/>
  <c r="P159" i="53"/>
  <c r="P160" i="53"/>
  <c r="R160" i="53" s="1"/>
  <c r="P161" i="53"/>
  <c r="R161" i="53" s="1"/>
  <c r="P162" i="53"/>
  <c r="D165" i="53"/>
  <c r="D169" i="53" s="1"/>
  <c r="E165" i="53"/>
  <c r="F165" i="53"/>
  <c r="G165" i="53"/>
  <c r="G169" i="53" s="1"/>
  <c r="H165" i="53"/>
  <c r="I165" i="53"/>
  <c r="J165" i="53"/>
  <c r="K165" i="53"/>
  <c r="K169" i="53" s="1"/>
  <c r="L165" i="53"/>
  <c r="M165" i="53"/>
  <c r="N165" i="53"/>
  <c r="O165" i="53"/>
  <c r="O169" i="53" s="1"/>
  <c r="P167" i="53"/>
  <c r="R167" i="53" s="1"/>
  <c r="E169" i="53"/>
  <c r="F169" i="53"/>
  <c r="H169" i="53"/>
  <c r="I169" i="53"/>
  <c r="J169" i="53"/>
  <c r="L169" i="53"/>
  <c r="M169" i="53"/>
  <c r="N169" i="53"/>
  <c r="P172" i="53"/>
  <c r="P173" i="53"/>
  <c r="R173" i="53" s="1"/>
  <c r="P174" i="53"/>
  <c r="P175" i="53"/>
  <c r="R175" i="53" s="1"/>
  <c r="P176" i="53"/>
  <c r="R176" i="53" s="1"/>
  <c r="P177" i="53"/>
  <c r="R177" i="53" s="1"/>
  <c r="D180" i="53"/>
  <c r="D184" i="53" s="1"/>
  <c r="D199" i="53" s="1"/>
  <c r="E180" i="53"/>
  <c r="F180" i="53"/>
  <c r="F184" i="53" s="1"/>
  <c r="G180" i="53"/>
  <c r="G184" i="53" s="1"/>
  <c r="H180" i="53"/>
  <c r="I180" i="53"/>
  <c r="J180" i="53"/>
  <c r="J184" i="53" s="1"/>
  <c r="K180" i="53"/>
  <c r="K184" i="53" s="1"/>
  <c r="L180" i="53"/>
  <c r="L184" i="53" s="1"/>
  <c r="L199" i="53" s="1"/>
  <c r="M180" i="53"/>
  <c r="N180" i="53"/>
  <c r="N184" i="53" s="1"/>
  <c r="O180" i="53"/>
  <c r="O184" i="53" s="1"/>
  <c r="P182" i="53"/>
  <c r="R182" i="53" s="1"/>
  <c r="E184" i="53"/>
  <c r="E199" i="53" s="1"/>
  <c r="H184" i="53"/>
  <c r="I184" i="53"/>
  <c r="I199" i="53" s="1"/>
  <c r="M184" i="53"/>
  <c r="M199" i="53" s="1"/>
  <c r="D187" i="53"/>
  <c r="E187" i="53"/>
  <c r="F187" i="53"/>
  <c r="G187" i="53"/>
  <c r="H187" i="53"/>
  <c r="I187" i="53"/>
  <c r="J187" i="53"/>
  <c r="K187" i="53"/>
  <c r="L187" i="53"/>
  <c r="M187" i="53"/>
  <c r="N187" i="53"/>
  <c r="O187" i="53"/>
  <c r="P187" i="53"/>
  <c r="D188" i="53"/>
  <c r="E188" i="53"/>
  <c r="F188" i="53"/>
  <c r="G188" i="53"/>
  <c r="H188" i="53"/>
  <c r="I188" i="53"/>
  <c r="J188" i="53"/>
  <c r="K188" i="53"/>
  <c r="L188" i="53"/>
  <c r="M188" i="53"/>
  <c r="N188" i="53"/>
  <c r="O188" i="53"/>
  <c r="D189" i="53"/>
  <c r="E189" i="53"/>
  <c r="F189" i="53"/>
  <c r="G189" i="53"/>
  <c r="H189" i="53"/>
  <c r="I189" i="53"/>
  <c r="J189" i="53"/>
  <c r="K189" i="53"/>
  <c r="L189" i="53"/>
  <c r="M189" i="53"/>
  <c r="N189" i="53"/>
  <c r="O189" i="53"/>
  <c r="P189" i="53"/>
  <c r="D190" i="53"/>
  <c r="E190" i="53"/>
  <c r="F190" i="53"/>
  <c r="G190" i="53"/>
  <c r="H190" i="53"/>
  <c r="I190" i="53"/>
  <c r="J190" i="53"/>
  <c r="K190" i="53"/>
  <c r="L190" i="53"/>
  <c r="M190" i="53"/>
  <c r="N190" i="53"/>
  <c r="O190" i="53"/>
  <c r="P190" i="53"/>
  <c r="R190" i="53" s="1"/>
  <c r="D191" i="53"/>
  <c r="E191" i="53"/>
  <c r="F191" i="53"/>
  <c r="G191" i="53"/>
  <c r="H191" i="53"/>
  <c r="I191" i="53"/>
  <c r="J191" i="53"/>
  <c r="K191" i="53"/>
  <c r="L191" i="53"/>
  <c r="M191" i="53"/>
  <c r="N191" i="53"/>
  <c r="O191" i="53"/>
  <c r="D192" i="53"/>
  <c r="E192" i="53"/>
  <c r="F192" i="53"/>
  <c r="G192" i="53"/>
  <c r="H192" i="53"/>
  <c r="I192" i="53"/>
  <c r="J192" i="53"/>
  <c r="K192" i="53"/>
  <c r="L192" i="53"/>
  <c r="M192" i="53"/>
  <c r="N192" i="53"/>
  <c r="O192" i="53"/>
  <c r="D195" i="53"/>
  <c r="E195" i="53"/>
  <c r="F195" i="53"/>
  <c r="H195" i="53"/>
  <c r="I195" i="53"/>
  <c r="J195" i="53"/>
  <c r="L195" i="53"/>
  <c r="M195" i="53"/>
  <c r="N195" i="53"/>
  <c r="D197" i="53"/>
  <c r="E197" i="53"/>
  <c r="F197" i="53"/>
  <c r="G197" i="53"/>
  <c r="H197" i="53"/>
  <c r="I197" i="53"/>
  <c r="J197" i="53"/>
  <c r="K197" i="53"/>
  <c r="L197" i="53"/>
  <c r="M197" i="53"/>
  <c r="N197" i="53"/>
  <c r="O197" i="53"/>
  <c r="P197" i="53"/>
  <c r="R197" i="53" s="1"/>
  <c r="H199" i="53"/>
  <c r="Q202" i="53"/>
  <c r="P207" i="53"/>
  <c r="R207" i="53" s="1"/>
  <c r="P208" i="53"/>
  <c r="P209" i="53"/>
  <c r="R209" i="53"/>
  <c r="P210" i="53"/>
  <c r="R210" i="53" s="1"/>
  <c r="P211" i="53"/>
  <c r="R211" i="53" s="1"/>
  <c r="P212" i="53"/>
  <c r="D215" i="53"/>
  <c r="E215" i="53"/>
  <c r="E219" i="53" s="1"/>
  <c r="F215" i="53"/>
  <c r="F219" i="53" s="1"/>
  <c r="G215" i="53"/>
  <c r="G219" i="53" s="1"/>
  <c r="H215" i="53"/>
  <c r="H219" i="53" s="1"/>
  <c r="H249" i="53" s="1"/>
  <c r="I215" i="53"/>
  <c r="I219" i="53" s="1"/>
  <c r="J215" i="53"/>
  <c r="J219" i="53" s="1"/>
  <c r="K215" i="53"/>
  <c r="K219" i="53" s="1"/>
  <c r="L215" i="53"/>
  <c r="L219" i="53" s="1"/>
  <c r="M215" i="53"/>
  <c r="M219" i="53" s="1"/>
  <c r="N215" i="53"/>
  <c r="O215" i="53"/>
  <c r="O219" i="53" s="1"/>
  <c r="P217" i="53"/>
  <c r="R217" i="53" s="1"/>
  <c r="D219" i="53"/>
  <c r="P222" i="53"/>
  <c r="P223" i="53"/>
  <c r="P224" i="53"/>
  <c r="R224" i="53" s="1"/>
  <c r="P225" i="53"/>
  <c r="R225" i="53" s="1"/>
  <c r="P226" i="53"/>
  <c r="P227" i="53"/>
  <c r="D230" i="53"/>
  <c r="E230" i="53"/>
  <c r="E234" i="53" s="1"/>
  <c r="F230" i="53"/>
  <c r="F234" i="53" s="1"/>
  <c r="G230" i="53"/>
  <c r="H230" i="53"/>
  <c r="I230" i="53"/>
  <c r="I234" i="53" s="1"/>
  <c r="J230" i="53"/>
  <c r="J234" i="53" s="1"/>
  <c r="K230" i="53"/>
  <c r="L230" i="53"/>
  <c r="M230" i="53"/>
  <c r="M234" i="53" s="1"/>
  <c r="N230" i="53"/>
  <c r="N234" i="53" s="1"/>
  <c r="O230" i="53"/>
  <c r="P232" i="53"/>
  <c r="R232" i="53" s="1"/>
  <c r="D234" i="53"/>
  <c r="D249" i="53" s="1"/>
  <c r="G234" i="53"/>
  <c r="H234" i="53"/>
  <c r="K234" i="53"/>
  <c r="L234" i="53"/>
  <c r="O234" i="53"/>
  <c r="D237" i="53"/>
  <c r="E237" i="53"/>
  <c r="F237" i="53"/>
  <c r="G237" i="53"/>
  <c r="H237" i="53"/>
  <c r="I237" i="53"/>
  <c r="J237" i="53"/>
  <c r="K237" i="53"/>
  <c r="L237" i="53"/>
  <c r="M237" i="53"/>
  <c r="N237" i="53"/>
  <c r="O237" i="53"/>
  <c r="D238" i="53"/>
  <c r="E238" i="53"/>
  <c r="F238" i="53"/>
  <c r="G238" i="53"/>
  <c r="H238" i="53"/>
  <c r="I238" i="53"/>
  <c r="J238" i="53"/>
  <c r="K238" i="53"/>
  <c r="L238" i="53"/>
  <c r="M238" i="53"/>
  <c r="N238" i="53"/>
  <c r="O238" i="53"/>
  <c r="D239" i="53"/>
  <c r="E239" i="53"/>
  <c r="F239" i="53"/>
  <c r="G239" i="53"/>
  <c r="H239" i="53"/>
  <c r="I239" i="53"/>
  <c r="J239" i="53"/>
  <c r="K239" i="53"/>
  <c r="L239" i="53"/>
  <c r="M239" i="53"/>
  <c r="N239" i="53"/>
  <c r="O239" i="53"/>
  <c r="P239" i="53"/>
  <c r="R239" i="53" s="1"/>
  <c r="D240" i="53"/>
  <c r="E240" i="53"/>
  <c r="F240" i="53"/>
  <c r="G240" i="53"/>
  <c r="H240" i="53"/>
  <c r="I240" i="53"/>
  <c r="J240" i="53"/>
  <c r="K240" i="53"/>
  <c r="L240" i="53"/>
  <c r="M240" i="53"/>
  <c r="N240" i="53"/>
  <c r="O240" i="53"/>
  <c r="P240" i="53"/>
  <c r="R240" i="53" s="1"/>
  <c r="D241" i="53"/>
  <c r="E241" i="53"/>
  <c r="F241" i="53"/>
  <c r="G241" i="53"/>
  <c r="H241" i="53"/>
  <c r="I241" i="53"/>
  <c r="J241" i="53"/>
  <c r="K241" i="53"/>
  <c r="L241" i="53"/>
  <c r="M241" i="53"/>
  <c r="N241" i="53"/>
  <c r="O241" i="53"/>
  <c r="D242" i="53"/>
  <c r="E242" i="53"/>
  <c r="F242" i="53"/>
  <c r="G242" i="53"/>
  <c r="H242" i="53"/>
  <c r="I242" i="53"/>
  <c r="J242" i="53"/>
  <c r="K242" i="53"/>
  <c r="L242" i="53"/>
  <c r="M242" i="53"/>
  <c r="N242" i="53"/>
  <c r="O242" i="53"/>
  <c r="D245" i="53"/>
  <c r="G245" i="53"/>
  <c r="H245" i="53"/>
  <c r="K245" i="53"/>
  <c r="L245" i="53"/>
  <c r="O245" i="53"/>
  <c r="D247" i="53"/>
  <c r="E247" i="53"/>
  <c r="F247" i="53"/>
  <c r="G247" i="53"/>
  <c r="H247" i="53"/>
  <c r="I247" i="53"/>
  <c r="J247" i="53"/>
  <c r="K247" i="53"/>
  <c r="L247" i="53"/>
  <c r="M247" i="53"/>
  <c r="N247" i="53"/>
  <c r="O247" i="53"/>
  <c r="Q252" i="53"/>
  <c r="P257" i="53"/>
  <c r="R257" i="53" s="1"/>
  <c r="P258" i="53"/>
  <c r="P259" i="53"/>
  <c r="R259" i="53" s="1"/>
  <c r="P260" i="53"/>
  <c r="R260" i="53"/>
  <c r="P261" i="53"/>
  <c r="R261" i="53" s="1"/>
  <c r="P262" i="53"/>
  <c r="R262" i="53" s="1"/>
  <c r="D265" i="53"/>
  <c r="E265" i="53"/>
  <c r="F265" i="53"/>
  <c r="G265" i="53"/>
  <c r="H265" i="53"/>
  <c r="I265" i="53"/>
  <c r="J265" i="53"/>
  <c r="K265" i="53"/>
  <c r="L265" i="53"/>
  <c r="M265" i="53"/>
  <c r="N265" i="53"/>
  <c r="O265" i="53"/>
  <c r="P267" i="53"/>
  <c r="R267" i="53" s="1"/>
  <c r="E269" i="53"/>
  <c r="F269" i="53"/>
  <c r="G269" i="53"/>
  <c r="I269" i="53"/>
  <c r="J269" i="53"/>
  <c r="K269" i="53"/>
  <c r="M269" i="53"/>
  <c r="N269" i="53"/>
  <c r="O269" i="53"/>
  <c r="P272" i="53"/>
  <c r="R272" i="53" s="1"/>
  <c r="P273" i="53"/>
  <c r="R273" i="53" s="1"/>
  <c r="P274" i="53"/>
  <c r="R274" i="53" s="1"/>
  <c r="P275" i="53"/>
  <c r="P276" i="53"/>
  <c r="R276" i="53" s="1"/>
  <c r="P277" i="53"/>
  <c r="R277" i="53" s="1"/>
  <c r="D280" i="53"/>
  <c r="D284" i="53" s="1"/>
  <c r="E280" i="53"/>
  <c r="F280" i="53"/>
  <c r="F284" i="53" s="1"/>
  <c r="G280" i="53"/>
  <c r="G284" i="53" s="1"/>
  <c r="H280" i="53"/>
  <c r="I280" i="53"/>
  <c r="J280" i="53"/>
  <c r="J284" i="53" s="1"/>
  <c r="K280" i="53"/>
  <c r="K284" i="53" s="1"/>
  <c r="L280" i="53"/>
  <c r="L284" i="53" s="1"/>
  <c r="M280" i="53"/>
  <c r="N280" i="53"/>
  <c r="N284" i="53" s="1"/>
  <c r="O280" i="53"/>
  <c r="O284" i="53" s="1"/>
  <c r="P282" i="53"/>
  <c r="E284" i="53"/>
  <c r="E299" i="53" s="1"/>
  <c r="H284" i="53"/>
  <c r="I284" i="53"/>
  <c r="I299" i="53" s="1"/>
  <c r="M284" i="53"/>
  <c r="M299" i="53" s="1"/>
  <c r="D287" i="53"/>
  <c r="E287" i="53"/>
  <c r="F287" i="53"/>
  <c r="G287" i="53"/>
  <c r="H287" i="53"/>
  <c r="I287" i="53"/>
  <c r="J287" i="53"/>
  <c r="K287" i="53"/>
  <c r="L287" i="53"/>
  <c r="M287" i="53"/>
  <c r="N287" i="53"/>
  <c r="O287" i="53"/>
  <c r="P287" i="53"/>
  <c r="D288" i="53"/>
  <c r="E288" i="53"/>
  <c r="F288" i="53"/>
  <c r="G288" i="53"/>
  <c r="H288" i="53"/>
  <c r="I288" i="53"/>
  <c r="J288" i="53"/>
  <c r="K288" i="53"/>
  <c r="L288" i="53"/>
  <c r="M288" i="53"/>
  <c r="N288" i="53"/>
  <c r="O288" i="53"/>
  <c r="D289" i="53"/>
  <c r="E289" i="53"/>
  <c r="F289" i="53"/>
  <c r="G289" i="53"/>
  <c r="H289" i="53"/>
  <c r="I289" i="53"/>
  <c r="J289" i="53"/>
  <c r="K289" i="53"/>
  <c r="L289" i="53"/>
  <c r="M289" i="53"/>
  <c r="N289" i="53"/>
  <c r="O289" i="53"/>
  <c r="D290" i="53"/>
  <c r="E290" i="53"/>
  <c r="F290" i="53"/>
  <c r="G290" i="53"/>
  <c r="H290" i="53"/>
  <c r="I290" i="53"/>
  <c r="J290" i="53"/>
  <c r="K290" i="53"/>
  <c r="L290" i="53"/>
  <c r="M290" i="53"/>
  <c r="N290" i="53"/>
  <c r="O290" i="53"/>
  <c r="P290" i="53"/>
  <c r="D291" i="53"/>
  <c r="E291" i="53"/>
  <c r="F291" i="53"/>
  <c r="G291" i="53"/>
  <c r="H291" i="53"/>
  <c r="I291" i="53"/>
  <c r="J291" i="53"/>
  <c r="K291" i="53"/>
  <c r="L291" i="53"/>
  <c r="M291" i="53"/>
  <c r="N291" i="53"/>
  <c r="O291" i="53"/>
  <c r="P291" i="53"/>
  <c r="D292" i="53"/>
  <c r="E292" i="53"/>
  <c r="F292" i="53"/>
  <c r="G292" i="53"/>
  <c r="H292" i="53"/>
  <c r="I292" i="53"/>
  <c r="J292" i="53"/>
  <c r="K292" i="53"/>
  <c r="L292" i="53"/>
  <c r="M292" i="53"/>
  <c r="N292" i="53"/>
  <c r="O292" i="53"/>
  <c r="E295" i="53"/>
  <c r="F295" i="53"/>
  <c r="I295" i="53"/>
  <c r="J295" i="53"/>
  <c r="M295" i="53"/>
  <c r="N295" i="53"/>
  <c r="D297" i="53"/>
  <c r="E297" i="53"/>
  <c r="F297" i="53"/>
  <c r="G297" i="53"/>
  <c r="H297" i="53"/>
  <c r="I297" i="53"/>
  <c r="J297" i="53"/>
  <c r="K297" i="53"/>
  <c r="L297" i="53"/>
  <c r="M297" i="53"/>
  <c r="N297" i="53"/>
  <c r="O297" i="53"/>
  <c r="P297" i="53"/>
  <c r="Q302" i="53"/>
  <c r="P307" i="53"/>
  <c r="R307" i="53" s="1"/>
  <c r="P308" i="53"/>
  <c r="R308" i="53" s="1"/>
  <c r="P309" i="53"/>
  <c r="R309" i="53" s="1"/>
  <c r="P310" i="53"/>
  <c r="R310" i="53" s="1"/>
  <c r="P311" i="53"/>
  <c r="R311" i="53" s="1"/>
  <c r="P312" i="53"/>
  <c r="R312" i="53" s="1"/>
  <c r="D315" i="53"/>
  <c r="E315" i="53"/>
  <c r="E319" i="53" s="1"/>
  <c r="F315" i="53"/>
  <c r="G315" i="53"/>
  <c r="H315" i="53"/>
  <c r="I315" i="53"/>
  <c r="I319" i="53" s="1"/>
  <c r="J315" i="53"/>
  <c r="K315" i="53"/>
  <c r="L315" i="53"/>
  <c r="M315" i="53"/>
  <c r="M319" i="53" s="1"/>
  <c r="N315" i="53"/>
  <c r="O315" i="53"/>
  <c r="P317" i="53"/>
  <c r="R317" i="53" s="1"/>
  <c r="D319" i="53"/>
  <c r="F319" i="53"/>
  <c r="G319" i="53"/>
  <c r="H319" i="53"/>
  <c r="J319" i="53"/>
  <c r="K319" i="53"/>
  <c r="L319" i="53"/>
  <c r="N319" i="53"/>
  <c r="P322" i="53"/>
  <c r="R322" i="53" s="1"/>
  <c r="P323" i="53"/>
  <c r="P324" i="53"/>
  <c r="P325" i="53"/>
  <c r="R325" i="53" s="1"/>
  <c r="P326" i="53"/>
  <c r="R326" i="53" s="1"/>
  <c r="P327" i="53"/>
  <c r="D330" i="53"/>
  <c r="D334" i="53" s="1"/>
  <c r="D349" i="53" s="1"/>
  <c r="E330" i="53"/>
  <c r="E334" i="53" s="1"/>
  <c r="F330" i="53"/>
  <c r="F334" i="53" s="1"/>
  <c r="G330" i="53"/>
  <c r="G334" i="53" s="1"/>
  <c r="G349" i="53" s="1"/>
  <c r="H330" i="53"/>
  <c r="I330" i="53"/>
  <c r="I334" i="53" s="1"/>
  <c r="J330" i="53"/>
  <c r="J334" i="53" s="1"/>
  <c r="K330" i="53"/>
  <c r="L330" i="53"/>
  <c r="L334" i="53" s="1"/>
  <c r="L349" i="53" s="1"/>
  <c r="M330" i="53"/>
  <c r="M334" i="53" s="1"/>
  <c r="N330" i="53"/>
  <c r="N334" i="53" s="1"/>
  <c r="O330" i="53"/>
  <c r="O334" i="53" s="1"/>
  <c r="P332" i="53"/>
  <c r="R332" i="53" s="1"/>
  <c r="H334" i="53"/>
  <c r="H349" i="53" s="1"/>
  <c r="K334" i="53"/>
  <c r="D337" i="53"/>
  <c r="E337" i="53"/>
  <c r="F337" i="53"/>
  <c r="G337" i="53"/>
  <c r="H337" i="53"/>
  <c r="I337" i="53"/>
  <c r="J337" i="53"/>
  <c r="K337" i="53"/>
  <c r="L337" i="53"/>
  <c r="M337" i="53"/>
  <c r="N337" i="53"/>
  <c r="O337" i="53"/>
  <c r="D338" i="53"/>
  <c r="E338" i="53"/>
  <c r="F338" i="53"/>
  <c r="G338" i="53"/>
  <c r="H338" i="53"/>
  <c r="I338" i="53"/>
  <c r="J338" i="53"/>
  <c r="K338" i="53"/>
  <c r="L338" i="53"/>
  <c r="M338" i="53"/>
  <c r="N338" i="53"/>
  <c r="O338" i="53"/>
  <c r="D339" i="53"/>
  <c r="E339" i="53"/>
  <c r="F339" i="53"/>
  <c r="G339" i="53"/>
  <c r="H339" i="53"/>
  <c r="I339" i="53"/>
  <c r="J339" i="53"/>
  <c r="K339" i="53"/>
  <c r="L339" i="53"/>
  <c r="M339" i="53"/>
  <c r="N339" i="53"/>
  <c r="O339" i="53"/>
  <c r="P339" i="53"/>
  <c r="D340" i="53"/>
  <c r="E340" i="53"/>
  <c r="F340" i="53"/>
  <c r="G340" i="53"/>
  <c r="H340" i="53"/>
  <c r="I340" i="53"/>
  <c r="J340" i="53"/>
  <c r="K340" i="53"/>
  <c r="L340" i="53"/>
  <c r="M340" i="53"/>
  <c r="N340" i="53"/>
  <c r="O340" i="53"/>
  <c r="P340" i="53"/>
  <c r="R340" i="53" s="1"/>
  <c r="D341" i="53"/>
  <c r="E341" i="53"/>
  <c r="F341" i="53"/>
  <c r="G341" i="53"/>
  <c r="H341" i="53"/>
  <c r="I341" i="53"/>
  <c r="J341" i="53"/>
  <c r="K341" i="53"/>
  <c r="L341" i="53"/>
  <c r="M341" i="53"/>
  <c r="N341" i="53"/>
  <c r="O341" i="53"/>
  <c r="D342" i="53"/>
  <c r="E342" i="53"/>
  <c r="F342" i="53"/>
  <c r="G342" i="53"/>
  <c r="H342" i="53"/>
  <c r="I342" i="53"/>
  <c r="J342" i="53"/>
  <c r="K342" i="53"/>
  <c r="L342" i="53"/>
  <c r="M342" i="53"/>
  <c r="N342" i="53"/>
  <c r="O342" i="53"/>
  <c r="D345" i="53"/>
  <c r="E345" i="53"/>
  <c r="H345" i="53"/>
  <c r="I345" i="53"/>
  <c r="L345" i="53"/>
  <c r="M345" i="53"/>
  <c r="D347" i="53"/>
  <c r="E347" i="53"/>
  <c r="F347" i="53"/>
  <c r="G347" i="53"/>
  <c r="H347" i="53"/>
  <c r="I347" i="53"/>
  <c r="J347" i="53"/>
  <c r="K347" i="53"/>
  <c r="L347" i="53"/>
  <c r="M347" i="53"/>
  <c r="N347" i="53"/>
  <c r="O347" i="53"/>
  <c r="P347" i="53"/>
  <c r="R347" i="53" s="1"/>
  <c r="K349" i="53"/>
  <c r="P356" i="53"/>
  <c r="P357" i="53"/>
  <c r="P358" i="53"/>
  <c r="P359" i="53"/>
  <c r="P360" i="53"/>
  <c r="P361" i="53"/>
  <c r="D364" i="53"/>
  <c r="D368" i="53" s="1"/>
  <c r="E364" i="53"/>
  <c r="F364" i="53"/>
  <c r="G364" i="53"/>
  <c r="G368" i="53" s="1"/>
  <c r="H364" i="53"/>
  <c r="H368" i="53" s="1"/>
  <c r="I364" i="53"/>
  <c r="J364" i="53"/>
  <c r="J368" i="53" s="1"/>
  <c r="K364" i="53"/>
  <c r="K368" i="53" s="1"/>
  <c r="L364" i="53"/>
  <c r="L368" i="53" s="1"/>
  <c r="M364" i="53"/>
  <c r="M368" i="53" s="1"/>
  <c r="N364" i="53"/>
  <c r="O364" i="53"/>
  <c r="O368" i="53" s="1"/>
  <c r="P366" i="53"/>
  <c r="E368" i="53"/>
  <c r="F368" i="53"/>
  <c r="I368" i="53"/>
  <c r="N368" i="53"/>
  <c r="P371" i="53"/>
  <c r="P372" i="53"/>
  <c r="P373" i="53"/>
  <c r="P374" i="53"/>
  <c r="P375" i="53"/>
  <c r="P376" i="53"/>
  <c r="D379" i="53"/>
  <c r="E379" i="53"/>
  <c r="E383" i="53" s="1"/>
  <c r="F379" i="53"/>
  <c r="F383" i="53" s="1"/>
  <c r="G379" i="53"/>
  <c r="G383" i="53" s="1"/>
  <c r="H379" i="53"/>
  <c r="H383" i="53" s="1"/>
  <c r="I379" i="53"/>
  <c r="I383" i="53" s="1"/>
  <c r="J379" i="53"/>
  <c r="J383" i="53" s="1"/>
  <c r="K379" i="53"/>
  <c r="K383" i="53" s="1"/>
  <c r="L379" i="53"/>
  <c r="M379" i="53"/>
  <c r="M383" i="53" s="1"/>
  <c r="N379" i="53"/>
  <c r="N383" i="53" s="1"/>
  <c r="O379" i="53"/>
  <c r="O383" i="53" s="1"/>
  <c r="P381" i="53"/>
  <c r="D383" i="53"/>
  <c r="L383" i="53"/>
  <c r="D386" i="53"/>
  <c r="E386" i="53"/>
  <c r="F386" i="53"/>
  <c r="G386" i="53"/>
  <c r="H386" i="53"/>
  <c r="I386" i="53"/>
  <c r="J386" i="53"/>
  <c r="K386" i="53"/>
  <c r="L386" i="53"/>
  <c r="M386" i="53"/>
  <c r="N386" i="53"/>
  <c r="O386" i="53"/>
  <c r="P386" i="53"/>
  <c r="D387" i="53"/>
  <c r="E387" i="53"/>
  <c r="F387" i="53"/>
  <c r="G387" i="53"/>
  <c r="H387" i="53"/>
  <c r="I387" i="53"/>
  <c r="J387" i="53"/>
  <c r="K387" i="53"/>
  <c r="L387" i="53"/>
  <c r="M387" i="53"/>
  <c r="N387" i="53"/>
  <c r="O387" i="53"/>
  <c r="D388" i="53"/>
  <c r="E388" i="53"/>
  <c r="F388" i="53"/>
  <c r="G388" i="53"/>
  <c r="H388" i="53"/>
  <c r="I388" i="53"/>
  <c r="J388" i="53"/>
  <c r="K388" i="53"/>
  <c r="L388" i="53"/>
  <c r="M388" i="53"/>
  <c r="N388" i="53"/>
  <c r="O388" i="53"/>
  <c r="D389" i="53"/>
  <c r="E389" i="53"/>
  <c r="F389" i="53"/>
  <c r="G389" i="53"/>
  <c r="H389" i="53"/>
  <c r="I389" i="53"/>
  <c r="J389" i="53"/>
  <c r="K389" i="53"/>
  <c r="L389" i="53"/>
  <c r="M389" i="53"/>
  <c r="N389" i="53"/>
  <c r="O389" i="53"/>
  <c r="P389" i="53"/>
  <c r="D390" i="53"/>
  <c r="E390" i="53"/>
  <c r="F390" i="53"/>
  <c r="G390" i="53"/>
  <c r="H390" i="53"/>
  <c r="I390" i="53"/>
  <c r="J390" i="53"/>
  <c r="K390" i="53"/>
  <c r="L390" i="53"/>
  <c r="M390" i="53"/>
  <c r="N390" i="53"/>
  <c r="O390" i="53"/>
  <c r="P390" i="53"/>
  <c r="D391" i="53"/>
  <c r="E391" i="53"/>
  <c r="F391" i="53"/>
  <c r="G391" i="53"/>
  <c r="H391" i="53"/>
  <c r="I391" i="53"/>
  <c r="J391" i="53"/>
  <c r="K391" i="53"/>
  <c r="L391" i="53"/>
  <c r="M391" i="53"/>
  <c r="N391" i="53"/>
  <c r="O391" i="53"/>
  <c r="E394" i="53"/>
  <c r="F394" i="53"/>
  <c r="I394" i="53"/>
  <c r="J394" i="53"/>
  <c r="M394" i="53"/>
  <c r="N394" i="53"/>
  <c r="D396" i="53"/>
  <c r="E396" i="53"/>
  <c r="F396" i="53"/>
  <c r="G396" i="53"/>
  <c r="H396" i="53"/>
  <c r="I396" i="53"/>
  <c r="J396" i="53"/>
  <c r="K396" i="53"/>
  <c r="L396" i="53"/>
  <c r="M396" i="53"/>
  <c r="N396" i="53"/>
  <c r="O396" i="53"/>
  <c r="P396" i="53"/>
  <c r="O398" i="53" l="1"/>
  <c r="K398" i="53"/>
  <c r="G398" i="53"/>
  <c r="P391" i="53"/>
  <c r="P387" i="53"/>
  <c r="F398" i="53"/>
  <c r="O199" i="53"/>
  <c r="K199" i="53"/>
  <c r="G199" i="53"/>
  <c r="N398" i="53"/>
  <c r="P265" i="53"/>
  <c r="N349" i="53"/>
  <c r="J349" i="53"/>
  <c r="F349" i="53"/>
  <c r="O345" i="53"/>
  <c r="K345" i="53"/>
  <c r="G345" i="53"/>
  <c r="O299" i="53"/>
  <c r="K299" i="53"/>
  <c r="G299" i="53"/>
  <c r="R258" i="53"/>
  <c r="N199" i="53"/>
  <c r="J199" i="53"/>
  <c r="F199" i="53"/>
  <c r="M99" i="53"/>
  <c r="E99" i="53"/>
  <c r="N99" i="53"/>
  <c r="F99" i="53"/>
  <c r="P42" i="53"/>
  <c r="P38" i="53"/>
  <c r="M398" i="53"/>
  <c r="E398" i="53"/>
  <c r="N345" i="53"/>
  <c r="J345" i="53"/>
  <c r="F345" i="53"/>
  <c r="L295" i="53"/>
  <c r="H295" i="53"/>
  <c r="D295" i="53"/>
  <c r="O249" i="53"/>
  <c r="G249" i="53"/>
  <c r="P192" i="53"/>
  <c r="L149" i="53"/>
  <c r="R92" i="53"/>
  <c r="M49" i="53"/>
  <c r="O295" i="53"/>
  <c r="K295" i="53"/>
  <c r="G295" i="53"/>
  <c r="L249" i="53"/>
  <c r="N245" i="53"/>
  <c r="J249" i="53"/>
  <c r="F249" i="53"/>
  <c r="O149" i="53"/>
  <c r="K145" i="53"/>
  <c r="G145" i="53"/>
  <c r="L49" i="53"/>
  <c r="D49" i="53"/>
  <c r="P379" i="53"/>
  <c r="P383" i="53" s="1"/>
  <c r="I398" i="53"/>
  <c r="P364" i="53"/>
  <c r="P368" i="53" s="1"/>
  <c r="L398" i="53"/>
  <c r="H398" i="53"/>
  <c r="D398" i="53"/>
  <c r="P388" i="53"/>
  <c r="O319" i="53"/>
  <c r="O349" i="53" s="1"/>
  <c r="L269" i="53"/>
  <c r="L299" i="53" s="1"/>
  <c r="H269" i="53"/>
  <c r="H299" i="53" s="1"/>
  <c r="D269" i="53"/>
  <c r="D299" i="53" s="1"/>
  <c r="P292" i="53"/>
  <c r="K249" i="53"/>
  <c r="M249" i="53"/>
  <c r="I249" i="53"/>
  <c r="E249" i="53"/>
  <c r="D149" i="53"/>
  <c r="R88" i="53"/>
  <c r="I49" i="53"/>
  <c r="M349" i="53"/>
  <c r="I349" i="53"/>
  <c r="E349" i="53"/>
  <c r="N299" i="53"/>
  <c r="J299" i="53"/>
  <c r="F299" i="53"/>
  <c r="P269" i="53"/>
  <c r="J398" i="53"/>
  <c r="P398" i="53"/>
  <c r="R97" i="53"/>
  <c r="R76" i="53"/>
  <c r="P91" i="53"/>
  <c r="R290" i="53"/>
  <c r="J245" i="53"/>
  <c r="F245" i="53"/>
  <c r="R208" i="53"/>
  <c r="P215" i="53"/>
  <c r="R265" i="53" s="1"/>
  <c r="P238" i="53"/>
  <c r="R142" i="53"/>
  <c r="P134" i="53"/>
  <c r="G119" i="53"/>
  <c r="G149" i="53" s="1"/>
  <c r="R109" i="53"/>
  <c r="P139" i="53"/>
  <c r="P80" i="53"/>
  <c r="P394" i="53"/>
  <c r="L394" i="53"/>
  <c r="H394" i="53"/>
  <c r="D394" i="53"/>
  <c r="P342" i="53"/>
  <c r="R342" i="53" s="1"/>
  <c r="P338" i="53"/>
  <c r="P330" i="53"/>
  <c r="R324" i="53"/>
  <c r="P315" i="53"/>
  <c r="P289" i="53"/>
  <c r="R289" i="53" s="1"/>
  <c r="R282" i="53"/>
  <c r="R275" i="53"/>
  <c r="P247" i="53"/>
  <c r="R247" i="53" s="1"/>
  <c r="M245" i="53"/>
  <c r="I245" i="53"/>
  <c r="E245" i="53"/>
  <c r="N219" i="53"/>
  <c r="N249" i="53" s="1"/>
  <c r="P191" i="53"/>
  <c r="R191" i="53" s="1"/>
  <c r="O195" i="53"/>
  <c r="K195" i="53"/>
  <c r="G195" i="53"/>
  <c r="R162" i="53"/>
  <c r="R157" i="53"/>
  <c r="R141" i="53"/>
  <c r="R108" i="53"/>
  <c r="N95" i="53"/>
  <c r="F95" i="53"/>
  <c r="L84" i="53"/>
  <c r="L99" i="53" s="1"/>
  <c r="H84" i="53"/>
  <c r="D84" i="53"/>
  <c r="R72" i="53"/>
  <c r="R57" i="53"/>
  <c r="P65" i="53"/>
  <c r="P87" i="53"/>
  <c r="E34" i="53"/>
  <c r="E49" i="53" s="1"/>
  <c r="P30" i="53"/>
  <c r="P34" i="53" s="1"/>
  <c r="H49" i="53"/>
  <c r="O19" i="53"/>
  <c r="O49" i="53" s="1"/>
  <c r="O45" i="53"/>
  <c r="K19" i="53"/>
  <c r="K49" i="53" s="1"/>
  <c r="K45" i="53"/>
  <c r="G19" i="53"/>
  <c r="G49" i="53" s="1"/>
  <c r="G45" i="53"/>
  <c r="R297" i="53"/>
  <c r="P165" i="53"/>
  <c r="P188" i="53"/>
  <c r="R188" i="53" s="1"/>
  <c r="P137" i="53"/>
  <c r="R137" i="53" s="1"/>
  <c r="K119" i="53"/>
  <c r="K149" i="53" s="1"/>
  <c r="D99" i="53"/>
  <c r="O394" i="53"/>
  <c r="K394" i="53"/>
  <c r="G394" i="53"/>
  <c r="P341" i="53"/>
  <c r="R341" i="53" s="1"/>
  <c r="P337" i="53"/>
  <c r="R337" i="53" s="1"/>
  <c r="R327" i="53"/>
  <c r="R323" i="53"/>
  <c r="P288" i="53"/>
  <c r="P280" i="53"/>
  <c r="R226" i="53"/>
  <c r="P241" i="53"/>
  <c r="R241" i="53" s="1"/>
  <c r="R222" i="53"/>
  <c r="P237" i="53"/>
  <c r="P230" i="53"/>
  <c r="R212" i="53"/>
  <c r="P242" i="53"/>
  <c r="R242" i="53" s="1"/>
  <c r="R172" i="53"/>
  <c r="P180" i="53"/>
  <c r="R192" i="53"/>
  <c r="R159" i="53"/>
  <c r="P115" i="53"/>
  <c r="L145" i="53"/>
  <c r="H145" i="53"/>
  <c r="D145" i="53"/>
  <c r="R74" i="53"/>
  <c r="P89" i="53"/>
  <c r="R89" i="53" s="1"/>
  <c r="H99" i="53"/>
  <c r="O95" i="53"/>
  <c r="O69" i="53"/>
  <c r="O99" i="53" s="1"/>
  <c r="K95" i="53"/>
  <c r="K69" i="53"/>
  <c r="K99" i="53" s="1"/>
  <c r="G95" i="53"/>
  <c r="G69" i="53"/>
  <c r="G99" i="53" s="1"/>
  <c r="N19" i="53"/>
  <c r="N49" i="53" s="1"/>
  <c r="N45" i="53"/>
  <c r="J19" i="53"/>
  <c r="J49" i="53" s="1"/>
  <c r="J45" i="53"/>
  <c r="F19" i="53"/>
  <c r="F49" i="53" s="1"/>
  <c r="F45" i="53"/>
  <c r="P41" i="53"/>
  <c r="P15" i="53"/>
  <c r="P37" i="53"/>
  <c r="R189" i="53"/>
  <c r="R147" i="53"/>
  <c r="R140" i="53"/>
  <c r="R126" i="53"/>
  <c r="R122" i="53"/>
  <c r="R227" i="53"/>
  <c r="R223" i="53"/>
  <c r="R174" i="53"/>
  <c r="F117" i="68"/>
  <c r="E117" i="68"/>
  <c r="H20" i="61"/>
  <c r="N36" i="52"/>
  <c r="T157" i="70" s="1"/>
  <c r="N37" i="52"/>
  <c r="T164" i="70" s="1"/>
  <c r="N83" i="52"/>
  <c r="E89" i="52"/>
  <c r="I89" i="52"/>
  <c r="K89" i="52"/>
  <c r="M89" i="52"/>
  <c r="B89" i="52"/>
  <c r="D89" i="52"/>
  <c r="F89" i="52"/>
  <c r="H89" i="52"/>
  <c r="J89" i="52"/>
  <c r="L89" i="52"/>
  <c r="N79" i="52"/>
  <c r="N82" i="52"/>
  <c r="B62" i="47"/>
  <c r="B57" i="47"/>
  <c r="B28" i="47"/>
  <c r="B27" i="47"/>
  <c r="B19" i="47"/>
  <c r="B18" i="47"/>
  <c r="B62" i="46"/>
  <c r="B57" i="46"/>
  <c r="B62" i="42"/>
  <c r="B57" i="42"/>
  <c r="B28" i="42"/>
  <c r="B27" i="42"/>
  <c r="B19" i="42"/>
  <c r="B18" i="42"/>
  <c r="B62" i="41"/>
  <c r="B57" i="41"/>
  <c r="B28" i="41"/>
  <c r="B27" i="41"/>
  <c r="B19" i="41"/>
  <c r="B18" i="41"/>
  <c r="B62" i="40"/>
  <c r="B57" i="40"/>
  <c r="B28" i="40"/>
  <c r="B27" i="40"/>
  <c r="B19" i="40"/>
  <c r="B18" i="40"/>
  <c r="B62" i="39"/>
  <c r="B57" i="39"/>
  <c r="B28" i="39"/>
  <c r="B27" i="39"/>
  <c r="B19" i="39"/>
  <c r="B18" i="39"/>
  <c r="B62" i="35"/>
  <c r="B57" i="35"/>
  <c r="B28" i="35"/>
  <c r="B27" i="35"/>
  <c r="B19" i="35"/>
  <c r="B18" i="35"/>
  <c r="B62" i="34"/>
  <c r="B57" i="34"/>
  <c r="B28" i="34"/>
  <c r="B27" i="34"/>
  <c r="B19" i="34"/>
  <c r="B18" i="34"/>
  <c r="B62" i="33"/>
  <c r="B57" i="33"/>
  <c r="B63" i="32"/>
  <c r="B58" i="32"/>
  <c r="B63" i="31"/>
  <c r="B58" i="31"/>
  <c r="B63" i="30"/>
  <c r="B58" i="30"/>
  <c r="B62" i="26"/>
  <c r="B57" i="26"/>
  <c r="B62" i="25"/>
  <c r="B57" i="25"/>
  <c r="R291" i="53" l="1"/>
  <c r="T217" i="69"/>
  <c r="T227" i="69"/>
  <c r="T187" i="69"/>
  <c r="U187" i="69" s="1"/>
  <c r="R339" i="53"/>
  <c r="R292" i="53"/>
  <c r="R80" i="53"/>
  <c r="P84" i="53"/>
  <c r="R84" i="53" s="1"/>
  <c r="R130" i="53"/>
  <c r="R115" i="53"/>
  <c r="P145" i="53"/>
  <c r="P119" i="53"/>
  <c r="R237" i="53"/>
  <c r="R287" i="53"/>
  <c r="R280" i="53"/>
  <c r="P284" i="53"/>
  <c r="P295" i="53"/>
  <c r="R330" i="53"/>
  <c r="P334" i="53"/>
  <c r="R187" i="53"/>
  <c r="R91" i="53"/>
  <c r="E141" i="68"/>
  <c r="P45" i="53"/>
  <c r="P19" i="53"/>
  <c r="P49" i="53" s="1"/>
  <c r="R180" i="53"/>
  <c r="P184" i="53"/>
  <c r="R184" i="53" s="1"/>
  <c r="R230" i="53"/>
  <c r="P234" i="53"/>
  <c r="R238" i="53"/>
  <c r="F141" i="68"/>
  <c r="E135" i="68"/>
  <c r="R288" i="53"/>
  <c r="P169" i="53"/>
  <c r="R165" i="53"/>
  <c r="P195" i="53"/>
  <c r="R195" i="53" s="1"/>
  <c r="R87" i="53"/>
  <c r="R338" i="53"/>
  <c r="R139" i="53"/>
  <c r="P219" i="53"/>
  <c r="P245" i="53"/>
  <c r="R215" i="53"/>
  <c r="R65" i="53"/>
  <c r="P95" i="53"/>
  <c r="R95" i="53" s="1"/>
  <c r="P69" i="53"/>
  <c r="P319" i="53"/>
  <c r="R315" i="53"/>
  <c r="P345" i="53"/>
  <c r="R345" i="53" s="1"/>
  <c r="G89" i="52"/>
  <c r="C89" i="52"/>
  <c r="F135" i="68"/>
  <c r="I20" i="61"/>
  <c r="N34" i="52"/>
  <c r="T143" i="70" s="1"/>
  <c r="N33" i="52"/>
  <c r="O23" i="18"/>
  <c r="O22" i="18"/>
  <c r="O13" i="18"/>
  <c r="O12" i="18"/>
  <c r="B62" i="23"/>
  <c r="B57" i="23"/>
  <c r="BZ2" i="24"/>
  <c r="CA2" i="24" s="1"/>
  <c r="CB2" i="24" s="1"/>
  <c r="CC2" i="24" s="1"/>
  <c r="CD2" i="24" s="1"/>
  <c r="BY3" i="24"/>
  <c r="BZ3" i="24"/>
  <c r="CA3" i="24"/>
  <c r="CB3" i="24"/>
  <c r="CC3" i="24"/>
  <c r="CD3" i="24"/>
  <c r="BY4" i="24"/>
  <c r="BY5" i="24" s="1"/>
  <c r="BZ4" i="24"/>
  <c r="CA4" i="24"/>
  <c r="CB4" i="24"/>
  <c r="CC4" i="24"/>
  <c r="CC5" i="24" s="1"/>
  <c r="CD4" i="24"/>
  <c r="E5" i="24"/>
  <c r="F5" i="24"/>
  <c r="G5" i="24"/>
  <c r="H5" i="24"/>
  <c r="I5" i="24"/>
  <c r="J5" i="24"/>
  <c r="K5" i="24"/>
  <c r="L5" i="24"/>
  <c r="M5" i="24"/>
  <c r="N5" i="24"/>
  <c r="O5" i="24"/>
  <c r="P5" i="24"/>
  <c r="Q5" i="24"/>
  <c r="R5" i="24"/>
  <c r="S5" i="24"/>
  <c r="T5" i="24"/>
  <c r="U5" i="24"/>
  <c r="V5" i="24"/>
  <c r="W5" i="24"/>
  <c r="X5" i="24"/>
  <c r="Y5" i="24"/>
  <c r="Z5" i="24"/>
  <c r="AA5" i="24"/>
  <c r="AB5" i="24"/>
  <c r="D12" i="52" s="1"/>
  <c r="E13" i="70" s="1"/>
  <c r="AC5" i="24"/>
  <c r="AD5" i="24"/>
  <c r="F12" i="52" s="1"/>
  <c r="G13" i="70" s="1"/>
  <c r="AE5" i="24"/>
  <c r="AF5" i="24"/>
  <c r="H12" i="52" s="1"/>
  <c r="I13" i="70" s="1"/>
  <c r="AG5" i="24"/>
  <c r="AH5" i="24"/>
  <c r="J12" i="52" s="1"/>
  <c r="K13" i="70" s="1"/>
  <c r="AI5" i="24"/>
  <c r="AJ5" i="24"/>
  <c r="L12" i="52" s="1"/>
  <c r="M13" i="70" s="1"/>
  <c r="AK5" i="24"/>
  <c r="AL5" i="24"/>
  <c r="AM5" i="24"/>
  <c r="AN5" i="24"/>
  <c r="D58" i="52" s="1"/>
  <c r="E13" i="69" s="1"/>
  <c r="G12" i="65" s="1"/>
  <c r="AJ12" i="65" s="1"/>
  <c r="AO5" i="24"/>
  <c r="AP5" i="24"/>
  <c r="F58" i="52" s="1"/>
  <c r="G13" i="69" s="1"/>
  <c r="I12" i="65" s="1"/>
  <c r="AL12" i="65" s="1"/>
  <c r="AQ5" i="24"/>
  <c r="AR5" i="24"/>
  <c r="H58" i="52" s="1"/>
  <c r="I13" i="69" s="1"/>
  <c r="K12" i="65" s="1"/>
  <c r="AN12" i="65" s="1"/>
  <c r="AS5" i="24"/>
  <c r="AT5" i="24"/>
  <c r="J58" i="52" s="1"/>
  <c r="K13" i="69" s="1"/>
  <c r="M12" i="65" s="1"/>
  <c r="AP12" i="65" s="1"/>
  <c r="AU5" i="24"/>
  <c r="AV5" i="24"/>
  <c r="L58" i="52" s="1"/>
  <c r="M13" i="69" s="1"/>
  <c r="O12" i="65" s="1"/>
  <c r="AR12" i="65" s="1"/>
  <c r="AW5" i="24"/>
  <c r="AX5" i="24"/>
  <c r="AY5" i="24"/>
  <c r="AZ5" i="24"/>
  <c r="BA5" i="24"/>
  <c r="BB5" i="24"/>
  <c r="BC5" i="24"/>
  <c r="BD5" i="24"/>
  <c r="BE5" i="24"/>
  <c r="BF5" i="24"/>
  <c r="BG5" i="24"/>
  <c r="BH5" i="24"/>
  <c r="BI5" i="24"/>
  <c r="BJ5" i="24"/>
  <c r="BK5" i="24"/>
  <c r="BL5" i="24"/>
  <c r="BM5" i="24"/>
  <c r="BN5" i="24"/>
  <c r="BO5" i="24"/>
  <c r="BP5" i="24"/>
  <c r="BQ5" i="24"/>
  <c r="BR5" i="24"/>
  <c r="BS5" i="24"/>
  <c r="BT5" i="24"/>
  <c r="BU5" i="24"/>
  <c r="BV5" i="24"/>
  <c r="BW5" i="24"/>
  <c r="BX5" i="24"/>
  <c r="BZ5" i="24"/>
  <c r="CB5" i="24"/>
  <c r="CD5" i="24"/>
  <c r="BZ6" i="24"/>
  <c r="CB6" i="24"/>
  <c r="CD6" i="24"/>
  <c r="BY6" i="24"/>
  <c r="CA6" i="24"/>
  <c r="CC6" i="24"/>
  <c r="CB7" i="24"/>
  <c r="CD7" i="24"/>
  <c r="BY7" i="24"/>
  <c r="BZ7" i="24"/>
  <c r="CA7" i="24"/>
  <c r="CC7" i="24"/>
  <c r="E8" i="24"/>
  <c r="F8" i="24"/>
  <c r="G8" i="24"/>
  <c r="H8" i="24"/>
  <c r="I8" i="24"/>
  <c r="J8" i="24"/>
  <c r="K8" i="24"/>
  <c r="L8" i="24"/>
  <c r="M8" i="24"/>
  <c r="N8" i="24"/>
  <c r="O8" i="24"/>
  <c r="P8" i="24"/>
  <c r="Q8" i="24"/>
  <c r="R8" i="24"/>
  <c r="S8" i="24"/>
  <c r="T8" i="24"/>
  <c r="U8" i="24"/>
  <c r="V8" i="24"/>
  <c r="W8" i="24"/>
  <c r="X8" i="24"/>
  <c r="Y8" i="24"/>
  <c r="Z8" i="24"/>
  <c r="AA8" i="24"/>
  <c r="AB8" i="24"/>
  <c r="D13" i="52" s="1"/>
  <c r="E20" i="70" s="1"/>
  <c r="AC8" i="24"/>
  <c r="AD8" i="24"/>
  <c r="F13" i="52" s="1"/>
  <c r="G20" i="70" s="1"/>
  <c r="AE8" i="24"/>
  <c r="AF8" i="24"/>
  <c r="H13" i="52" s="1"/>
  <c r="I20" i="70" s="1"/>
  <c r="AG8" i="24"/>
  <c r="AH8" i="24"/>
  <c r="J13" i="52" s="1"/>
  <c r="K20" i="70" s="1"/>
  <c r="AI8" i="24"/>
  <c r="AJ8" i="24"/>
  <c r="L13" i="52" s="1"/>
  <c r="M20" i="70" s="1"/>
  <c r="AK8" i="24"/>
  <c r="AL8" i="24"/>
  <c r="AM8" i="24"/>
  <c r="C59" i="52" s="1"/>
  <c r="D23" i="69" s="1"/>
  <c r="F22" i="65" s="1"/>
  <c r="AI22" i="65" s="1"/>
  <c r="AN8" i="24"/>
  <c r="D59" i="52" s="1"/>
  <c r="E23" i="69" s="1"/>
  <c r="G22" i="65" s="1"/>
  <c r="AJ22" i="65" s="1"/>
  <c r="AO8" i="24"/>
  <c r="E59" i="52" s="1"/>
  <c r="F23" i="69" s="1"/>
  <c r="H22" i="65" s="1"/>
  <c r="AK22" i="65" s="1"/>
  <c r="AP8" i="24"/>
  <c r="F59" i="52" s="1"/>
  <c r="G23" i="69" s="1"/>
  <c r="I22" i="65" s="1"/>
  <c r="AL22" i="65" s="1"/>
  <c r="AQ8" i="24"/>
  <c r="G59" i="52" s="1"/>
  <c r="H23" i="69" s="1"/>
  <c r="J22" i="65" s="1"/>
  <c r="AM22" i="65" s="1"/>
  <c r="AR8" i="24"/>
  <c r="H59" i="52" s="1"/>
  <c r="I23" i="69" s="1"/>
  <c r="K22" i="65" s="1"/>
  <c r="AN22" i="65" s="1"/>
  <c r="AS8" i="24"/>
  <c r="I59" i="52" s="1"/>
  <c r="J23" i="69" s="1"/>
  <c r="L22" i="65" s="1"/>
  <c r="AO22" i="65" s="1"/>
  <c r="AT8" i="24"/>
  <c r="J59" i="52" s="1"/>
  <c r="K23" i="69" s="1"/>
  <c r="M22" i="65" s="1"/>
  <c r="AP22" i="65" s="1"/>
  <c r="AU8" i="24"/>
  <c r="K59" i="52" s="1"/>
  <c r="L23" i="69" s="1"/>
  <c r="N22" i="65" s="1"/>
  <c r="AQ22" i="65" s="1"/>
  <c r="AV8" i="24"/>
  <c r="L59" i="52" s="1"/>
  <c r="M23" i="69" s="1"/>
  <c r="O22" i="65" s="1"/>
  <c r="AR22" i="65" s="1"/>
  <c r="AW8" i="24"/>
  <c r="M59" i="52" s="1"/>
  <c r="N23" i="69" s="1"/>
  <c r="P22" i="65" s="1"/>
  <c r="AS22" i="65" s="1"/>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CC8" i="24"/>
  <c r="CB9" i="24"/>
  <c r="CD9" i="24"/>
  <c r="BY9" i="24"/>
  <c r="BZ9" i="24"/>
  <c r="BZ11" i="24" s="1"/>
  <c r="CA9" i="24"/>
  <c r="CC9" i="24"/>
  <c r="CD10" i="24"/>
  <c r="BY10" i="24"/>
  <c r="BZ10" i="24"/>
  <c r="CA10" i="24"/>
  <c r="CB10" i="24"/>
  <c r="CC10" i="24"/>
  <c r="CC11" i="24" s="1"/>
  <c r="E11" i="24"/>
  <c r="F11" i="24"/>
  <c r="G11" i="24"/>
  <c r="H11" i="24"/>
  <c r="I11" i="24"/>
  <c r="J11" i="24"/>
  <c r="K11" i="24"/>
  <c r="L11" i="24"/>
  <c r="M11" i="24"/>
  <c r="N11" i="24"/>
  <c r="O11" i="24"/>
  <c r="P11" i="24"/>
  <c r="Q11" i="24"/>
  <c r="R11" i="24"/>
  <c r="S11" i="24"/>
  <c r="T11" i="24"/>
  <c r="U11" i="24"/>
  <c r="V11" i="24"/>
  <c r="W11" i="24"/>
  <c r="X11" i="24"/>
  <c r="Y11" i="24"/>
  <c r="Z11" i="24"/>
  <c r="AA11" i="24"/>
  <c r="AB11" i="24"/>
  <c r="D14" i="52" s="1"/>
  <c r="E27" i="70" s="1"/>
  <c r="AC11" i="24"/>
  <c r="AD11" i="24"/>
  <c r="F14" i="52" s="1"/>
  <c r="G27" i="70" s="1"/>
  <c r="AE11" i="24"/>
  <c r="AF11" i="24"/>
  <c r="H14" i="52" s="1"/>
  <c r="I27" i="70" s="1"/>
  <c r="AG11" i="24"/>
  <c r="AH11" i="24"/>
  <c r="J14" i="52" s="1"/>
  <c r="K27" i="70" s="1"/>
  <c r="AI11" i="24"/>
  <c r="AJ11" i="24"/>
  <c r="L14" i="52" s="1"/>
  <c r="M27" i="70" s="1"/>
  <c r="AK11" i="24"/>
  <c r="AL11" i="24"/>
  <c r="AM11" i="24"/>
  <c r="C60" i="52" s="1"/>
  <c r="AN11" i="24"/>
  <c r="D60" i="52" s="1"/>
  <c r="AO11" i="24"/>
  <c r="E60" i="52" s="1"/>
  <c r="AP11" i="24"/>
  <c r="F60" i="52" s="1"/>
  <c r="AQ11" i="24"/>
  <c r="G60" i="52" s="1"/>
  <c r="AR11" i="24"/>
  <c r="H60" i="52" s="1"/>
  <c r="AS11" i="24"/>
  <c r="I60" i="52" s="1"/>
  <c r="AT11" i="24"/>
  <c r="J60" i="52" s="1"/>
  <c r="AU11" i="24"/>
  <c r="K60" i="52" s="1"/>
  <c r="AV11" i="24"/>
  <c r="L60" i="52" s="1"/>
  <c r="AW11" i="24"/>
  <c r="M60" i="52" s="1"/>
  <c r="AX11" i="24"/>
  <c r="AY11" i="24"/>
  <c r="AZ11" i="24"/>
  <c r="BA11" i="24"/>
  <c r="BB11" i="24"/>
  <c r="BC11" i="24"/>
  <c r="BD11" i="24"/>
  <c r="BE11" i="24"/>
  <c r="BF11" i="24"/>
  <c r="BG11" i="24"/>
  <c r="BH11" i="24"/>
  <c r="BI11" i="24"/>
  <c r="BJ11" i="24"/>
  <c r="BK11" i="24"/>
  <c r="BL11" i="24"/>
  <c r="BM11" i="24"/>
  <c r="BN11" i="24"/>
  <c r="BO11" i="24"/>
  <c r="BP11" i="24"/>
  <c r="BQ11" i="24"/>
  <c r="BR11" i="24"/>
  <c r="BS11" i="24"/>
  <c r="BT11" i="24"/>
  <c r="BU11" i="24"/>
  <c r="BV11" i="24"/>
  <c r="BW11" i="24"/>
  <c r="BX11" i="24"/>
  <c r="BY12" i="24"/>
  <c r="BZ12" i="24"/>
  <c r="CA12" i="24"/>
  <c r="CB12" i="24"/>
  <c r="CC12" i="24"/>
  <c r="CD12" i="24"/>
  <c r="BY13" i="24"/>
  <c r="BZ13" i="24"/>
  <c r="CA13" i="24"/>
  <c r="CB13" i="24"/>
  <c r="CB16" i="24" s="1"/>
  <c r="CC13" i="24"/>
  <c r="CD13" i="24"/>
  <c r="BY14" i="24"/>
  <c r="BZ14" i="24"/>
  <c r="CA14" i="24"/>
  <c r="CB14" i="24"/>
  <c r="CC14" i="24"/>
  <c r="CD14" i="24"/>
  <c r="BY15" i="24"/>
  <c r="BZ15" i="24"/>
  <c r="CA15" i="24"/>
  <c r="CB15" i="24"/>
  <c r="CC15" i="24"/>
  <c r="CD15" i="24"/>
  <c r="E16" i="24"/>
  <c r="F16" i="24"/>
  <c r="G16" i="24"/>
  <c r="H16" i="24"/>
  <c r="I16" i="24"/>
  <c r="J16" i="24"/>
  <c r="K16" i="24"/>
  <c r="L16" i="24"/>
  <c r="M16" i="24"/>
  <c r="N16" i="24"/>
  <c r="O16" i="24"/>
  <c r="P16" i="24"/>
  <c r="Q16" i="24"/>
  <c r="R16" i="24"/>
  <c r="S16" i="24"/>
  <c r="T16" i="24"/>
  <c r="U16" i="24"/>
  <c r="V16" i="24"/>
  <c r="W16" i="24"/>
  <c r="X16" i="24"/>
  <c r="Y16" i="24"/>
  <c r="Z16" i="24"/>
  <c r="AA16" i="24"/>
  <c r="AB16" i="24"/>
  <c r="AC16" i="24"/>
  <c r="AD16" i="24"/>
  <c r="AE16" i="24"/>
  <c r="AF16"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BT16" i="24"/>
  <c r="BU16" i="24"/>
  <c r="BV16" i="24"/>
  <c r="BW16" i="24"/>
  <c r="BX16" i="24"/>
  <c r="BY16" i="24"/>
  <c r="BZ16" i="24"/>
  <c r="CA16" i="24"/>
  <c r="CC16" i="24"/>
  <c r="CD16" i="24"/>
  <c r="BY17" i="24"/>
  <c r="BZ17" i="24"/>
  <c r="CA17" i="24"/>
  <c r="CB17" i="24"/>
  <c r="CC17" i="24"/>
  <c r="CD17" i="24"/>
  <c r="BY18" i="24"/>
  <c r="BZ18" i="24"/>
  <c r="BZ21" i="24" s="1"/>
  <c r="CA18" i="24"/>
  <c r="CB18" i="24"/>
  <c r="CC18" i="24"/>
  <c r="CD18" i="24"/>
  <c r="CD21" i="24" s="1"/>
  <c r="BY19" i="24"/>
  <c r="BZ19" i="24"/>
  <c r="CA19" i="24"/>
  <c r="CB19" i="24"/>
  <c r="CC19" i="24"/>
  <c r="CD19" i="24"/>
  <c r="BY20" i="24"/>
  <c r="BZ20" i="24"/>
  <c r="CA20" i="24"/>
  <c r="CB20" i="24"/>
  <c r="CC20" i="24"/>
  <c r="CD20" i="24"/>
  <c r="E21" i="24"/>
  <c r="F21" i="24"/>
  <c r="G21" i="24"/>
  <c r="H21" i="24"/>
  <c r="I21" i="24"/>
  <c r="J21" i="24"/>
  <c r="K21" i="24"/>
  <c r="L21" i="24"/>
  <c r="M21" i="24"/>
  <c r="N21" i="24"/>
  <c r="O21" i="24"/>
  <c r="P21" i="24"/>
  <c r="Q21" i="24"/>
  <c r="R21" i="24"/>
  <c r="S21" i="24"/>
  <c r="T21" i="24"/>
  <c r="U21" i="24"/>
  <c r="V21" i="24"/>
  <c r="W21" i="24"/>
  <c r="X21" i="24"/>
  <c r="Y21" i="24"/>
  <c r="Z21" i="24"/>
  <c r="AA21" i="24"/>
  <c r="AB21" i="24"/>
  <c r="AC21" i="24"/>
  <c r="AD21" i="24"/>
  <c r="AE21" i="24"/>
  <c r="AF21"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BT21" i="24"/>
  <c r="BU21" i="24"/>
  <c r="BV21" i="24"/>
  <c r="BW21" i="24"/>
  <c r="BX21" i="24"/>
  <c r="BY21" i="24"/>
  <c r="CA21" i="24"/>
  <c r="CB21" i="24"/>
  <c r="CC21" i="24"/>
  <c r="BY22" i="24"/>
  <c r="BZ22" i="24"/>
  <c r="BZ23" i="24" s="1"/>
  <c r="CA22" i="24"/>
  <c r="CB22" i="24"/>
  <c r="CC22" i="24"/>
  <c r="CD22" i="24"/>
  <c r="CD23" i="24" s="1"/>
  <c r="E23" i="24"/>
  <c r="F23" i="24"/>
  <c r="G23" i="24"/>
  <c r="H23" i="24"/>
  <c r="I23" i="24"/>
  <c r="J23" i="24"/>
  <c r="K23" i="24"/>
  <c r="L23" i="24"/>
  <c r="M23" i="24"/>
  <c r="N23" i="24"/>
  <c r="O23" i="24"/>
  <c r="P23" i="24"/>
  <c r="Q23" i="24"/>
  <c r="R23" i="24"/>
  <c r="S23" i="24"/>
  <c r="T23" i="24"/>
  <c r="U23" i="24"/>
  <c r="V23" i="24"/>
  <c r="W23" i="24"/>
  <c r="X23" i="24"/>
  <c r="Y23" i="24"/>
  <c r="Z23" i="24"/>
  <c r="AA23" i="24"/>
  <c r="AB23" i="24"/>
  <c r="AC23" i="24"/>
  <c r="AD23" i="24"/>
  <c r="AE23" i="24"/>
  <c r="AF23"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BT23" i="24"/>
  <c r="BU23" i="24"/>
  <c r="BV23" i="24"/>
  <c r="BW23" i="24"/>
  <c r="BX23" i="24"/>
  <c r="BY23" i="24"/>
  <c r="CA23" i="24"/>
  <c r="CB23" i="24"/>
  <c r="CC23" i="24"/>
  <c r="BY24" i="24"/>
  <c r="BZ24" i="24"/>
  <c r="BZ29" i="24" s="1"/>
  <c r="CA24" i="24"/>
  <c r="CB24" i="24"/>
  <c r="CC24" i="24"/>
  <c r="CD24" i="24"/>
  <c r="CD29" i="24" s="1"/>
  <c r="BY25" i="24"/>
  <c r="BZ25" i="24"/>
  <c r="CA25" i="24"/>
  <c r="CB25" i="24"/>
  <c r="CC25" i="24"/>
  <c r="CD25" i="24"/>
  <c r="BY26" i="24"/>
  <c r="BZ26" i="24"/>
  <c r="CA26" i="24"/>
  <c r="CB26" i="24"/>
  <c r="CC26" i="24"/>
  <c r="CD26" i="24"/>
  <c r="BY27" i="24"/>
  <c r="BZ27" i="24"/>
  <c r="CA27" i="24"/>
  <c r="CB27" i="24"/>
  <c r="CC27" i="24"/>
  <c r="CD27" i="24"/>
  <c r="BY28" i="24"/>
  <c r="BZ28" i="24"/>
  <c r="CA28" i="24"/>
  <c r="CB28" i="24"/>
  <c r="CC28" i="24"/>
  <c r="CD28" i="24"/>
  <c r="E29" i="24"/>
  <c r="F29" i="24"/>
  <c r="G29" i="24"/>
  <c r="H29" i="24"/>
  <c r="I29" i="24"/>
  <c r="J29" i="24"/>
  <c r="K29" i="24"/>
  <c r="L29" i="24"/>
  <c r="M29" i="24"/>
  <c r="N29" i="24"/>
  <c r="O29" i="24"/>
  <c r="P29" i="24"/>
  <c r="Q29" i="24"/>
  <c r="R29" i="24"/>
  <c r="S29" i="24"/>
  <c r="T29" i="24"/>
  <c r="U29" i="24"/>
  <c r="V29" i="24"/>
  <c r="W29" i="24"/>
  <c r="X29" i="24"/>
  <c r="Y29" i="24"/>
  <c r="Z29" i="24"/>
  <c r="AA29" i="24"/>
  <c r="AB29" i="24"/>
  <c r="AC29" i="24"/>
  <c r="AD29" i="24"/>
  <c r="AE29" i="24"/>
  <c r="AF29" i="24"/>
  <c r="AG29" i="24"/>
  <c r="AH29" i="24"/>
  <c r="AI29" i="24"/>
  <c r="AJ29" i="24"/>
  <c r="AK29" i="24"/>
  <c r="AL29" i="24"/>
  <c r="AM29" i="24"/>
  <c r="C61" i="52" s="1"/>
  <c r="AN29" i="24"/>
  <c r="D61" i="52" s="1"/>
  <c r="AO29" i="24"/>
  <c r="E61" i="52" s="1"/>
  <c r="AP29" i="24"/>
  <c r="F61" i="52" s="1"/>
  <c r="AQ29" i="24"/>
  <c r="G61" i="52" s="1"/>
  <c r="AR29" i="24"/>
  <c r="H61" i="52" s="1"/>
  <c r="AS29" i="24"/>
  <c r="I61" i="52" s="1"/>
  <c r="AT29" i="24"/>
  <c r="J61" i="52" s="1"/>
  <c r="AU29" i="24"/>
  <c r="K61" i="52" s="1"/>
  <c r="AV29" i="24"/>
  <c r="L61" i="52" s="1"/>
  <c r="AW29" i="24"/>
  <c r="M61" i="52" s="1"/>
  <c r="AX29" i="24"/>
  <c r="AY29" i="24"/>
  <c r="AZ29" i="24"/>
  <c r="BA29" i="24"/>
  <c r="BB29" i="24"/>
  <c r="BC29" i="24"/>
  <c r="BD29" i="24"/>
  <c r="BE29" i="24"/>
  <c r="BF29" i="24"/>
  <c r="BG29" i="24"/>
  <c r="BH29" i="24"/>
  <c r="BI29" i="24"/>
  <c r="BJ29" i="24"/>
  <c r="BK29" i="24"/>
  <c r="BL29" i="24"/>
  <c r="BM29" i="24"/>
  <c r="BN29" i="24"/>
  <c r="BO29" i="24"/>
  <c r="BP29" i="24"/>
  <c r="BQ29" i="24"/>
  <c r="BR29" i="24"/>
  <c r="BS29" i="24"/>
  <c r="BT29" i="24"/>
  <c r="BU29" i="24"/>
  <c r="BV29" i="24"/>
  <c r="BW29" i="24"/>
  <c r="BX29" i="24"/>
  <c r="BY29" i="24"/>
  <c r="CA29" i="24"/>
  <c r="CB29" i="24"/>
  <c r="CC29" i="24"/>
  <c r="BY30" i="24"/>
  <c r="BZ30" i="24"/>
  <c r="CA30" i="24"/>
  <c r="CB30" i="24"/>
  <c r="CC30" i="24"/>
  <c r="CD30" i="24"/>
  <c r="BY31" i="24"/>
  <c r="BZ31" i="24"/>
  <c r="CA31" i="24"/>
  <c r="CB31" i="24"/>
  <c r="CB32" i="24" s="1"/>
  <c r="CC31" i="24"/>
  <c r="CD31" i="24"/>
  <c r="E32" i="24"/>
  <c r="F32" i="24"/>
  <c r="G32" i="24"/>
  <c r="H32" i="24"/>
  <c r="I32" i="24"/>
  <c r="J32" i="24"/>
  <c r="K32" i="24"/>
  <c r="L32" i="24"/>
  <c r="M32" i="24"/>
  <c r="N32" i="24"/>
  <c r="O32" i="24"/>
  <c r="P32" i="24"/>
  <c r="Q32" i="24"/>
  <c r="R32" i="24"/>
  <c r="S32" i="24"/>
  <c r="T32" i="24"/>
  <c r="U32" i="24"/>
  <c r="V32" i="24"/>
  <c r="W32" i="24"/>
  <c r="X32" i="24"/>
  <c r="Y32" i="24"/>
  <c r="Z32" i="24"/>
  <c r="AA32" i="24"/>
  <c r="AB32" i="24"/>
  <c r="AC32" i="24"/>
  <c r="AD32" i="24"/>
  <c r="AE32" i="24"/>
  <c r="AF32" i="24"/>
  <c r="AG32" i="24"/>
  <c r="AH32" i="24"/>
  <c r="AI32" i="24"/>
  <c r="AJ32" i="24"/>
  <c r="AK32" i="24"/>
  <c r="AL32" i="24"/>
  <c r="AM32" i="24"/>
  <c r="C62" i="52" s="1"/>
  <c r="AN32" i="24"/>
  <c r="D62" i="52" s="1"/>
  <c r="AO32" i="24"/>
  <c r="E62" i="52" s="1"/>
  <c r="AP32" i="24"/>
  <c r="F62" i="52" s="1"/>
  <c r="AQ32" i="24"/>
  <c r="G62" i="52" s="1"/>
  <c r="AR32" i="24"/>
  <c r="H62" i="52" s="1"/>
  <c r="AS32" i="24"/>
  <c r="I62" i="52" s="1"/>
  <c r="AT32" i="24"/>
  <c r="J62" i="52" s="1"/>
  <c r="AU32" i="24"/>
  <c r="K62" i="52" s="1"/>
  <c r="AV32" i="24"/>
  <c r="L62" i="52" s="1"/>
  <c r="AW32" i="24"/>
  <c r="M62" i="52" s="1"/>
  <c r="AX32" i="24"/>
  <c r="AY32" i="24"/>
  <c r="AZ32" i="24"/>
  <c r="BA32" i="24"/>
  <c r="BB32" i="24"/>
  <c r="BC32" i="24"/>
  <c r="BD32" i="24"/>
  <c r="BE32" i="24"/>
  <c r="BF32" i="24"/>
  <c r="BG32" i="24"/>
  <c r="BH32" i="24"/>
  <c r="BI32" i="24"/>
  <c r="BJ32" i="24"/>
  <c r="BK32" i="24"/>
  <c r="BL32" i="24"/>
  <c r="BM32" i="24"/>
  <c r="BN32" i="24"/>
  <c r="BO32" i="24"/>
  <c r="BP32" i="24"/>
  <c r="BQ32" i="24"/>
  <c r="BR32" i="24"/>
  <c r="BS32" i="24"/>
  <c r="BT32" i="24"/>
  <c r="BU32" i="24"/>
  <c r="BV32" i="24"/>
  <c r="BW32" i="24"/>
  <c r="BX32" i="24"/>
  <c r="BY32" i="24"/>
  <c r="BZ32" i="24"/>
  <c r="CA32" i="24"/>
  <c r="CC32" i="24"/>
  <c r="CD32" i="24"/>
  <c r="BY33" i="24"/>
  <c r="BZ33" i="24"/>
  <c r="CA33" i="24"/>
  <c r="CB33" i="24"/>
  <c r="CC33" i="24"/>
  <c r="CD33" i="24"/>
  <c r="BY34" i="24"/>
  <c r="BZ34" i="24"/>
  <c r="BZ37" i="24" s="1"/>
  <c r="CA34" i="24"/>
  <c r="CB34" i="24"/>
  <c r="CC34" i="24"/>
  <c r="CD34" i="24"/>
  <c r="CD37" i="24" s="1"/>
  <c r="BY35" i="24"/>
  <c r="BZ35" i="24"/>
  <c r="CA35" i="24"/>
  <c r="CB35" i="24"/>
  <c r="CC35" i="24"/>
  <c r="CD35" i="24"/>
  <c r="BY36" i="24"/>
  <c r="BZ36" i="24"/>
  <c r="CA36" i="24"/>
  <c r="CB36" i="24"/>
  <c r="CC36" i="24"/>
  <c r="CD36" i="24"/>
  <c r="E37" i="24"/>
  <c r="F37" i="24"/>
  <c r="G37" i="24"/>
  <c r="H37" i="24"/>
  <c r="I37" i="24"/>
  <c r="J37" i="24"/>
  <c r="K37" i="24"/>
  <c r="L37" i="24"/>
  <c r="M37" i="24"/>
  <c r="N37" i="24"/>
  <c r="O37" i="24"/>
  <c r="P37" i="24"/>
  <c r="Q37" i="24"/>
  <c r="R37" i="24"/>
  <c r="S37" i="24"/>
  <c r="T37" i="24"/>
  <c r="U37" i="24"/>
  <c r="V37" i="24"/>
  <c r="W37" i="24"/>
  <c r="X37" i="24"/>
  <c r="Y37" i="24"/>
  <c r="Z37" i="24"/>
  <c r="AA37" i="24"/>
  <c r="AB37" i="24"/>
  <c r="AC37" i="24"/>
  <c r="AD37" i="24"/>
  <c r="AE37" i="24"/>
  <c r="AF37" i="24"/>
  <c r="AG37" i="24"/>
  <c r="AH37" i="24"/>
  <c r="AI37" i="24"/>
  <c r="AJ37" i="24"/>
  <c r="AK37" i="24"/>
  <c r="AL37" i="24"/>
  <c r="AM37" i="24"/>
  <c r="C63" i="52" s="1"/>
  <c r="AN37" i="24"/>
  <c r="D63" i="52" s="1"/>
  <c r="AO37" i="24"/>
  <c r="E63" i="52" s="1"/>
  <c r="AP37" i="24"/>
  <c r="F63" i="52" s="1"/>
  <c r="AQ37" i="24"/>
  <c r="G63" i="52" s="1"/>
  <c r="AR37" i="24"/>
  <c r="H63" i="52" s="1"/>
  <c r="AS37" i="24"/>
  <c r="I63" i="52" s="1"/>
  <c r="AT37" i="24"/>
  <c r="J63" i="52" s="1"/>
  <c r="AU37" i="24"/>
  <c r="K63" i="52" s="1"/>
  <c r="AV37" i="24"/>
  <c r="L63" i="52" s="1"/>
  <c r="AW37" i="24"/>
  <c r="M63" i="52" s="1"/>
  <c r="AX37" i="24"/>
  <c r="AY37" i="24"/>
  <c r="AZ37" i="24"/>
  <c r="BA37" i="24"/>
  <c r="BB37" i="24"/>
  <c r="BC37" i="24"/>
  <c r="BD37" i="24"/>
  <c r="BE37" i="24"/>
  <c r="BF37" i="24"/>
  <c r="BG37" i="24"/>
  <c r="BH37" i="24"/>
  <c r="BI37" i="24"/>
  <c r="BJ37" i="24"/>
  <c r="BK37" i="24"/>
  <c r="BL37" i="24"/>
  <c r="BM37" i="24"/>
  <c r="BN37" i="24"/>
  <c r="BO37" i="24"/>
  <c r="BP37" i="24"/>
  <c r="BQ37" i="24"/>
  <c r="BR37" i="24"/>
  <c r="BS37" i="24"/>
  <c r="BT37" i="24"/>
  <c r="BU37" i="24"/>
  <c r="BV37" i="24"/>
  <c r="BW37" i="24"/>
  <c r="BX37" i="24"/>
  <c r="BY37" i="24"/>
  <c r="CA37" i="24"/>
  <c r="CB37" i="24"/>
  <c r="CC37" i="24"/>
  <c r="BY38" i="24"/>
  <c r="BZ38" i="24"/>
  <c r="CA38" i="24"/>
  <c r="CB38" i="24"/>
  <c r="CC38" i="24"/>
  <c r="CD38" i="24"/>
  <c r="BY39" i="24"/>
  <c r="BZ39" i="24"/>
  <c r="CA39" i="24"/>
  <c r="CB39" i="24"/>
  <c r="CB42" i="24" s="1"/>
  <c r="CC39" i="24"/>
  <c r="CD39" i="24"/>
  <c r="BY40" i="24"/>
  <c r="BZ40" i="24"/>
  <c r="CA40" i="24"/>
  <c r="CB40" i="24"/>
  <c r="CC40" i="24"/>
  <c r="CD40" i="24"/>
  <c r="BY41" i="24"/>
  <c r="BZ41" i="24"/>
  <c r="CA41" i="24"/>
  <c r="CB41" i="24"/>
  <c r="CC41" i="24"/>
  <c r="CD41" i="24"/>
  <c r="E42" i="24"/>
  <c r="F42" i="24"/>
  <c r="G42" i="24"/>
  <c r="H42" i="24"/>
  <c r="I42" i="24"/>
  <c r="J42" i="24"/>
  <c r="K42" i="24"/>
  <c r="L42" i="24"/>
  <c r="M42" i="24"/>
  <c r="N42" i="24"/>
  <c r="O42" i="24"/>
  <c r="P42" i="24"/>
  <c r="Q42" i="24"/>
  <c r="R42" i="24"/>
  <c r="S42" i="24"/>
  <c r="T42" i="24"/>
  <c r="U42" i="24"/>
  <c r="V42" i="24"/>
  <c r="W42" i="24"/>
  <c r="X42" i="24"/>
  <c r="Y42" i="24"/>
  <c r="Z42" i="24"/>
  <c r="AA42" i="24"/>
  <c r="AB42" i="24"/>
  <c r="AC42" i="24"/>
  <c r="AD42" i="24"/>
  <c r="AE42" i="24"/>
  <c r="AF42" i="24"/>
  <c r="AG42" i="24"/>
  <c r="AH42" i="24"/>
  <c r="AI42" i="24"/>
  <c r="AJ42" i="24"/>
  <c r="AK42" i="24"/>
  <c r="AL42" i="24"/>
  <c r="AM42" i="24"/>
  <c r="C64" i="52" s="1"/>
  <c r="AN42" i="24"/>
  <c r="D64" i="52" s="1"/>
  <c r="AO42" i="24"/>
  <c r="E64" i="52" s="1"/>
  <c r="AP42" i="24"/>
  <c r="F64" i="52" s="1"/>
  <c r="AQ42" i="24"/>
  <c r="G64" i="52" s="1"/>
  <c r="AR42" i="24"/>
  <c r="H64" i="52" s="1"/>
  <c r="AS42" i="24"/>
  <c r="I64" i="52" s="1"/>
  <c r="AT42" i="24"/>
  <c r="J64" i="52" s="1"/>
  <c r="AU42" i="24"/>
  <c r="K64" i="52" s="1"/>
  <c r="AV42" i="24"/>
  <c r="L64" i="52" s="1"/>
  <c r="AW42" i="24"/>
  <c r="M64" i="52" s="1"/>
  <c r="AX42" i="24"/>
  <c r="AY42" i="24"/>
  <c r="AZ42" i="24"/>
  <c r="BA42" i="24"/>
  <c r="BB42" i="24"/>
  <c r="BC42" i="24"/>
  <c r="BD42" i="24"/>
  <c r="BE42" i="24"/>
  <c r="BF42" i="24"/>
  <c r="BG42" i="24"/>
  <c r="BH42" i="24"/>
  <c r="BI42" i="24"/>
  <c r="BJ42" i="24"/>
  <c r="BK42" i="24"/>
  <c r="BL42" i="24"/>
  <c r="BM42" i="24"/>
  <c r="BN42" i="24"/>
  <c r="BO42" i="24"/>
  <c r="BP42" i="24"/>
  <c r="BQ42" i="24"/>
  <c r="BR42" i="24"/>
  <c r="BS42" i="24"/>
  <c r="BT42" i="24"/>
  <c r="BU42" i="24"/>
  <c r="BV42" i="24"/>
  <c r="BW42" i="24"/>
  <c r="BX42" i="24"/>
  <c r="BY42" i="24"/>
  <c r="BZ42" i="24"/>
  <c r="CA42" i="24"/>
  <c r="CC42" i="24"/>
  <c r="CD42" i="24"/>
  <c r="BY43" i="24"/>
  <c r="BZ43" i="24"/>
  <c r="CA43" i="24"/>
  <c r="CB43" i="24"/>
  <c r="CC43" i="24"/>
  <c r="CD43" i="24"/>
  <c r="BY44" i="24"/>
  <c r="BZ44" i="24"/>
  <c r="BZ47" i="24" s="1"/>
  <c r="CA44" i="24"/>
  <c r="CB44" i="24"/>
  <c r="CC44" i="24"/>
  <c r="CD44" i="24"/>
  <c r="CD47" i="24" s="1"/>
  <c r="BY45" i="24"/>
  <c r="BZ45" i="24"/>
  <c r="CA45" i="24"/>
  <c r="CB45" i="24"/>
  <c r="CC45" i="24"/>
  <c r="CD45" i="24"/>
  <c r="BY46" i="24"/>
  <c r="BZ46" i="24"/>
  <c r="CA46" i="24"/>
  <c r="CB46" i="24"/>
  <c r="CC46" i="24"/>
  <c r="CD46" i="24"/>
  <c r="E47" i="24"/>
  <c r="F47" i="24"/>
  <c r="G47" i="24"/>
  <c r="H47" i="24"/>
  <c r="I47" i="24"/>
  <c r="J47" i="24"/>
  <c r="K47" i="24"/>
  <c r="L47" i="24"/>
  <c r="M47" i="24"/>
  <c r="N47" i="24"/>
  <c r="O47" i="24"/>
  <c r="P47" i="24"/>
  <c r="Q47" i="24"/>
  <c r="R47" i="24"/>
  <c r="S47" i="24"/>
  <c r="T47" i="24"/>
  <c r="U47" i="24"/>
  <c r="V47" i="24"/>
  <c r="W47" i="24"/>
  <c r="X47" i="24"/>
  <c r="Y47" i="24"/>
  <c r="Z47" i="24"/>
  <c r="AA47" i="24"/>
  <c r="AB47" i="24"/>
  <c r="AC47" i="24"/>
  <c r="AD47" i="24"/>
  <c r="AE47" i="24"/>
  <c r="AF47" i="24"/>
  <c r="AG47" i="24"/>
  <c r="AH47" i="24"/>
  <c r="AI47" i="24"/>
  <c r="AJ47" i="24"/>
  <c r="AK47" i="24"/>
  <c r="AL47" i="24"/>
  <c r="AM47" i="24"/>
  <c r="C65" i="52" s="1"/>
  <c r="AN47" i="24"/>
  <c r="D65" i="52" s="1"/>
  <c r="AO47" i="24"/>
  <c r="E65" i="52" s="1"/>
  <c r="AP47" i="24"/>
  <c r="F65" i="52" s="1"/>
  <c r="AQ47" i="24"/>
  <c r="G65" i="52" s="1"/>
  <c r="AR47" i="24"/>
  <c r="H65" i="52" s="1"/>
  <c r="AS47" i="24"/>
  <c r="I65" i="52" s="1"/>
  <c r="AT47" i="24"/>
  <c r="J65" i="52" s="1"/>
  <c r="AU47" i="24"/>
  <c r="K65" i="52" s="1"/>
  <c r="AV47" i="24"/>
  <c r="L65" i="52" s="1"/>
  <c r="AW47" i="24"/>
  <c r="M65" i="52" s="1"/>
  <c r="AX47" i="24"/>
  <c r="AY47" i="24"/>
  <c r="AZ47" i="24"/>
  <c r="BA47" i="24"/>
  <c r="BB47" i="24"/>
  <c r="BC47" i="24"/>
  <c r="BD47" i="24"/>
  <c r="BE47" i="24"/>
  <c r="BF47" i="24"/>
  <c r="BG47" i="24"/>
  <c r="BH47" i="24"/>
  <c r="BI47" i="24"/>
  <c r="BJ47" i="24"/>
  <c r="BK47" i="24"/>
  <c r="BL47" i="24"/>
  <c r="BM47" i="24"/>
  <c r="BN47" i="24"/>
  <c r="BO47" i="24"/>
  <c r="BP47" i="24"/>
  <c r="BQ47" i="24"/>
  <c r="BR47" i="24"/>
  <c r="BS47" i="24"/>
  <c r="BT47" i="24"/>
  <c r="BU47" i="24"/>
  <c r="BV47" i="24"/>
  <c r="BW47" i="24"/>
  <c r="BX47" i="24"/>
  <c r="BY47" i="24"/>
  <c r="CA47" i="24"/>
  <c r="CB47" i="24"/>
  <c r="CC47" i="24"/>
  <c r="BY48" i="24"/>
  <c r="BZ48" i="24"/>
  <c r="BZ53" i="24" s="1"/>
  <c r="CA48" i="24"/>
  <c r="CB48" i="24"/>
  <c r="CC48" i="24"/>
  <c r="CD48" i="24"/>
  <c r="CD53" i="24" s="1"/>
  <c r="BY49" i="24"/>
  <c r="BZ49" i="24"/>
  <c r="CA49" i="24"/>
  <c r="CB49" i="24"/>
  <c r="CC49" i="24"/>
  <c r="CD49" i="24"/>
  <c r="BY50" i="24"/>
  <c r="BZ50" i="24"/>
  <c r="CA50" i="24"/>
  <c r="CB50" i="24"/>
  <c r="CC50" i="24"/>
  <c r="CD50" i="24"/>
  <c r="BY51" i="24"/>
  <c r="BZ51" i="24"/>
  <c r="CA51" i="24"/>
  <c r="CB51" i="24"/>
  <c r="CC51" i="24"/>
  <c r="CD51" i="24"/>
  <c r="BY52" i="24"/>
  <c r="BZ52" i="24"/>
  <c r="CA52" i="24"/>
  <c r="CB52" i="24"/>
  <c r="CC52" i="24"/>
  <c r="CD52" i="24"/>
  <c r="E53" i="24"/>
  <c r="F53"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C66" i="52" s="1"/>
  <c r="AN53" i="24"/>
  <c r="D66" i="52" s="1"/>
  <c r="AO53" i="24"/>
  <c r="E66" i="52" s="1"/>
  <c r="AP53" i="24"/>
  <c r="F66" i="52" s="1"/>
  <c r="AQ53" i="24"/>
  <c r="G66" i="52" s="1"/>
  <c r="AR53" i="24"/>
  <c r="H66" i="52" s="1"/>
  <c r="AS53" i="24"/>
  <c r="I66" i="52" s="1"/>
  <c r="AT53" i="24"/>
  <c r="J66" i="52" s="1"/>
  <c r="AU53" i="24"/>
  <c r="K66" i="52" s="1"/>
  <c r="AV53" i="24"/>
  <c r="L66" i="52" s="1"/>
  <c r="AW53" i="24"/>
  <c r="M66" i="52" s="1"/>
  <c r="AX53" i="24"/>
  <c r="AY53" i="24"/>
  <c r="AZ53" i="24"/>
  <c r="BA53" i="24"/>
  <c r="BB53" i="24"/>
  <c r="BC53" i="24"/>
  <c r="BD53" i="24"/>
  <c r="BE53" i="24"/>
  <c r="BF53" i="24"/>
  <c r="BG53" i="24"/>
  <c r="BH53" i="24"/>
  <c r="BI53" i="24"/>
  <c r="BJ53" i="24"/>
  <c r="BK53" i="24"/>
  <c r="BL53" i="24"/>
  <c r="BM53" i="24"/>
  <c r="BN53" i="24"/>
  <c r="BO53" i="24"/>
  <c r="BP53" i="24"/>
  <c r="BQ53" i="24"/>
  <c r="BR53" i="24"/>
  <c r="BS53" i="24"/>
  <c r="BT53" i="24"/>
  <c r="BU53" i="24"/>
  <c r="BV53" i="24"/>
  <c r="BW53" i="24"/>
  <c r="BX53" i="24"/>
  <c r="BY53" i="24"/>
  <c r="CA53" i="24"/>
  <c r="CB53" i="24"/>
  <c r="CC53" i="24"/>
  <c r="BY54" i="24"/>
  <c r="BZ54" i="24"/>
  <c r="CA54" i="24"/>
  <c r="CB54" i="24"/>
  <c r="CC54" i="24"/>
  <c r="CD54" i="24"/>
  <c r="BY55" i="24"/>
  <c r="BZ55" i="24"/>
  <c r="CA55" i="24"/>
  <c r="CB55" i="24"/>
  <c r="CB56" i="24" s="1"/>
  <c r="CC55" i="24"/>
  <c r="CD55" i="24"/>
  <c r="E56" i="24"/>
  <c r="F56" i="24"/>
  <c r="G56" i="24"/>
  <c r="H56" i="24"/>
  <c r="I56" i="24"/>
  <c r="J56" i="24"/>
  <c r="K56" i="24"/>
  <c r="L56" i="24"/>
  <c r="M56" i="24"/>
  <c r="N56" i="24"/>
  <c r="O56" i="24"/>
  <c r="P56" i="24"/>
  <c r="Q56" i="24"/>
  <c r="R56" i="24"/>
  <c r="S56" i="24"/>
  <c r="T56" i="24"/>
  <c r="U56" i="24"/>
  <c r="V56" i="24"/>
  <c r="W56" i="24"/>
  <c r="X56" i="24"/>
  <c r="Y56" i="24"/>
  <c r="Z56" i="24"/>
  <c r="AA56" i="24"/>
  <c r="AB56" i="24"/>
  <c r="AC56" i="24"/>
  <c r="AD56" i="24"/>
  <c r="AE56" i="24"/>
  <c r="AF56"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BG56" i="24"/>
  <c r="BH56" i="24"/>
  <c r="BI56" i="24"/>
  <c r="BJ56" i="24"/>
  <c r="BK56" i="24"/>
  <c r="BL56" i="24"/>
  <c r="BM56" i="24"/>
  <c r="BN56" i="24"/>
  <c r="BO56" i="24"/>
  <c r="BP56" i="24"/>
  <c r="BQ56" i="24"/>
  <c r="BR56" i="24"/>
  <c r="BS56" i="24"/>
  <c r="BT56" i="24"/>
  <c r="BU56" i="24"/>
  <c r="BV56" i="24"/>
  <c r="BW56" i="24"/>
  <c r="BX56" i="24"/>
  <c r="BY56" i="24"/>
  <c r="BZ56" i="24"/>
  <c r="CA56" i="24"/>
  <c r="CC56" i="24"/>
  <c r="CD56" i="24"/>
  <c r="BY57" i="24"/>
  <c r="BZ57" i="24"/>
  <c r="CA57" i="24"/>
  <c r="CB57" i="24"/>
  <c r="CC57" i="24"/>
  <c r="CD57" i="24"/>
  <c r="BY58" i="24"/>
  <c r="BZ58" i="24"/>
  <c r="BZ59" i="24" s="1"/>
  <c r="CA58" i="24"/>
  <c r="CB58" i="24"/>
  <c r="CC58" i="24"/>
  <c r="CD58" i="24"/>
  <c r="CD59" i="24" s="1"/>
  <c r="E59" i="24"/>
  <c r="F59" i="24"/>
  <c r="G59" i="24"/>
  <c r="H59" i="24"/>
  <c r="I59" i="24"/>
  <c r="J59" i="24"/>
  <c r="K59" i="24"/>
  <c r="L59" i="24"/>
  <c r="M59" i="24"/>
  <c r="N59" i="24"/>
  <c r="O59" i="24"/>
  <c r="P59" i="24"/>
  <c r="Q59" i="24"/>
  <c r="R59" i="24"/>
  <c r="S59" i="24"/>
  <c r="T59" i="24"/>
  <c r="U59" i="24"/>
  <c r="V59" i="24"/>
  <c r="W59" i="24"/>
  <c r="X59" i="24"/>
  <c r="Y59" i="24"/>
  <c r="Z59" i="24"/>
  <c r="AA59" i="24"/>
  <c r="AB59" i="24"/>
  <c r="AC59" i="24"/>
  <c r="AD59" i="24"/>
  <c r="AE59" i="24"/>
  <c r="AF59"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BT59" i="24"/>
  <c r="BU59" i="24"/>
  <c r="BV59" i="24"/>
  <c r="BW59" i="24"/>
  <c r="BX59" i="24"/>
  <c r="BY59" i="24"/>
  <c r="CA59" i="24"/>
  <c r="CB59" i="24"/>
  <c r="CC59" i="24"/>
  <c r="BY60" i="24"/>
  <c r="BZ60" i="24"/>
  <c r="CA60" i="24"/>
  <c r="CB60" i="24"/>
  <c r="CC60" i="24"/>
  <c r="CD60" i="24"/>
  <c r="BY61" i="24"/>
  <c r="BZ61" i="24"/>
  <c r="CA61" i="24"/>
  <c r="CB61" i="24"/>
  <c r="CB62" i="24" s="1"/>
  <c r="CC61" i="24"/>
  <c r="CD61" i="24"/>
  <c r="E62" i="24"/>
  <c r="F62" i="24"/>
  <c r="G62" i="24"/>
  <c r="H62" i="24"/>
  <c r="I62" i="24"/>
  <c r="J62" i="24"/>
  <c r="K62" i="24"/>
  <c r="L62" i="24"/>
  <c r="M62" i="24"/>
  <c r="N62" i="24"/>
  <c r="O62" i="24"/>
  <c r="P62" i="24"/>
  <c r="Q62" i="24"/>
  <c r="R62" i="24"/>
  <c r="S62" i="24"/>
  <c r="T62" i="24"/>
  <c r="U62" i="24"/>
  <c r="V62" i="24"/>
  <c r="W62" i="24"/>
  <c r="X62" i="24"/>
  <c r="Y62" i="24"/>
  <c r="Z62" i="24"/>
  <c r="AA62" i="24"/>
  <c r="AB62" i="24"/>
  <c r="AC62" i="24"/>
  <c r="AD62" i="24"/>
  <c r="AE62" i="24"/>
  <c r="AF62"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BG62" i="24"/>
  <c r="BH62" i="24"/>
  <c r="BI62" i="24"/>
  <c r="BJ62" i="24"/>
  <c r="BK62" i="24"/>
  <c r="BL62" i="24"/>
  <c r="BM62" i="24"/>
  <c r="BN62" i="24"/>
  <c r="BO62" i="24"/>
  <c r="BP62" i="24"/>
  <c r="BQ62" i="24"/>
  <c r="BR62" i="24"/>
  <c r="BS62" i="24"/>
  <c r="BT62" i="24"/>
  <c r="BU62" i="24"/>
  <c r="BV62" i="24"/>
  <c r="BW62" i="24"/>
  <c r="BX62" i="24"/>
  <c r="BY62" i="24"/>
  <c r="BZ62" i="24"/>
  <c r="CA62" i="24"/>
  <c r="CC62" i="24"/>
  <c r="CD62" i="24"/>
  <c r="BY63" i="24"/>
  <c r="BZ63" i="24"/>
  <c r="CA63" i="24"/>
  <c r="CB63" i="24"/>
  <c r="CB64" i="24" s="1"/>
  <c r="CC63" i="24"/>
  <c r="CD63" i="24"/>
  <c r="E64" i="24"/>
  <c r="F64" i="24"/>
  <c r="G64" i="24"/>
  <c r="H64" i="24"/>
  <c r="I64" i="24"/>
  <c r="J64" i="24"/>
  <c r="K64" i="24"/>
  <c r="L64" i="24"/>
  <c r="M64" i="24"/>
  <c r="N64" i="24"/>
  <c r="O64" i="24"/>
  <c r="P64" i="24"/>
  <c r="Q64" i="24"/>
  <c r="R64" i="24"/>
  <c r="S64" i="24"/>
  <c r="T64" i="24"/>
  <c r="U64" i="24"/>
  <c r="V64" i="24"/>
  <c r="W64" i="24"/>
  <c r="X64" i="24"/>
  <c r="Y64" i="24"/>
  <c r="Z64" i="24"/>
  <c r="AA64" i="24"/>
  <c r="AB64" i="24"/>
  <c r="AC64" i="24"/>
  <c r="AD64" i="24"/>
  <c r="AE64" i="24"/>
  <c r="AF64" i="24"/>
  <c r="AG64" i="24"/>
  <c r="AH64" i="24"/>
  <c r="AI64" i="24"/>
  <c r="AJ64" i="24"/>
  <c r="AK64" i="24"/>
  <c r="AL64" i="24"/>
  <c r="AM64" i="24"/>
  <c r="C67" i="52" s="1"/>
  <c r="AN64" i="24"/>
  <c r="D67" i="52" s="1"/>
  <c r="AO64" i="24"/>
  <c r="E67" i="52" s="1"/>
  <c r="AP64" i="24"/>
  <c r="F67" i="52" s="1"/>
  <c r="AQ64" i="24"/>
  <c r="G67" i="52" s="1"/>
  <c r="AR64" i="24"/>
  <c r="H67" i="52" s="1"/>
  <c r="AS64" i="24"/>
  <c r="I67" i="52" s="1"/>
  <c r="AT64" i="24"/>
  <c r="J67" i="52" s="1"/>
  <c r="AU64" i="24"/>
  <c r="K67" i="52" s="1"/>
  <c r="AV64" i="24"/>
  <c r="L67" i="52" s="1"/>
  <c r="AW64" i="24"/>
  <c r="M67" i="52" s="1"/>
  <c r="AX64" i="24"/>
  <c r="AY64" i="24"/>
  <c r="AZ64" i="24"/>
  <c r="BA64" i="24"/>
  <c r="BB64" i="24"/>
  <c r="BC64" i="24"/>
  <c r="BD64" i="24"/>
  <c r="BE64" i="24"/>
  <c r="BF64" i="24"/>
  <c r="BG64" i="24"/>
  <c r="BH64" i="24"/>
  <c r="BI64" i="24"/>
  <c r="BJ64" i="24"/>
  <c r="BK64" i="24"/>
  <c r="BL64" i="24"/>
  <c r="BM64" i="24"/>
  <c r="BN64" i="24"/>
  <c r="BO64" i="24"/>
  <c r="BP64" i="24"/>
  <c r="BQ64" i="24"/>
  <c r="BR64" i="24"/>
  <c r="BS64" i="24"/>
  <c r="BT64" i="24"/>
  <c r="BU64" i="24"/>
  <c r="BV64" i="24"/>
  <c r="BW64" i="24"/>
  <c r="BX64" i="24"/>
  <c r="BY64" i="24"/>
  <c r="BZ64" i="24"/>
  <c r="CA64" i="24"/>
  <c r="CC64" i="24"/>
  <c r="CD64" i="24"/>
  <c r="BY65" i="24"/>
  <c r="BZ65" i="24"/>
  <c r="CA65" i="24"/>
  <c r="CB65" i="24"/>
  <c r="CB68" i="24" s="1"/>
  <c r="CC65" i="24"/>
  <c r="CD65" i="24"/>
  <c r="BY66" i="24"/>
  <c r="BZ66" i="24"/>
  <c r="CA66" i="24"/>
  <c r="CB66" i="24"/>
  <c r="CC66" i="24"/>
  <c r="CD66" i="24"/>
  <c r="BY67" i="24"/>
  <c r="BZ67" i="24"/>
  <c r="CA67" i="24"/>
  <c r="CB67" i="24"/>
  <c r="CC67" i="24"/>
  <c r="CD67" i="24"/>
  <c r="E68" i="24"/>
  <c r="F68"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C68" i="52" s="1"/>
  <c r="AN68" i="24"/>
  <c r="D68" i="52" s="1"/>
  <c r="AO68" i="24"/>
  <c r="E68" i="52" s="1"/>
  <c r="AP68" i="24"/>
  <c r="F68" i="52" s="1"/>
  <c r="AQ68" i="24"/>
  <c r="G68" i="52" s="1"/>
  <c r="AR68" i="24"/>
  <c r="H68" i="52" s="1"/>
  <c r="AS68" i="24"/>
  <c r="I68" i="52" s="1"/>
  <c r="AT68" i="24"/>
  <c r="J68" i="52" s="1"/>
  <c r="AU68" i="24"/>
  <c r="K68" i="52" s="1"/>
  <c r="AV68" i="24"/>
  <c r="L68" i="52" s="1"/>
  <c r="AW68" i="24"/>
  <c r="M68" i="52" s="1"/>
  <c r="AX68" i="24"/>
  <c r="AY68" i="24"/>
  <c r="AZ68" i="24"/>
  <c r="BA68" i="24"/>
  <c r="BB68" i="24"/>
  <c r="BC68" i="24"/>
  <c r="BD68" i="24"/>
  <c r="BE68" i="24"/>
  <c r="BF68" i="24"/>
  <c r="BG68" i="24"/>
  <c r="BH68" i="24"/>
  <c r="BI68" i="24"/>
  <c r="BJ68" i="24"/>
  <c r="BK68" i="24"/>
  <c r="BL68" i="24"/>
  <c r="BM68" i="24"/>
  <c r="BN68" i="24"/>
  <c r="BO68" i="24"/>
  <c r="BP68" i="24"/>
  <c r="BQ68" i="24"/>
  <c r="BR68" i="24"/>
  <c r="BS68" i="24"/>
  <c r="BT68" i="24"/>
  <c r="BU68" i="24"/>
  <c r="BV68" i="24"/>
  <c r="BW68" i="24"/>
  <c r="BX68" i="24"/>
  <c r="BY68" i="24"/>
  <c r="BZ68" i="24"/>
  <c r="CA68" i="24"/>
  <c r="CC68" i="24"/>
  <c r="CD68" i="24"/>
  <c r="BY69" i="24"/>
  <c r="BZ69" i="24"/>
  <c r="CA69" i="24"/>
  <c r="CB69" i="24"/>
  <c r="CB70" i="24" s="1"/>
  <c r="CC69" i="24"/>
  <c r="CD69"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AG70" i="24"/>
  <c r="AH70" i="24"/>
  <c r="AI70" i="24"/>
  <c r="AJ70" i="24"/>
  <c r="AK70" i="24"/>
  <c r="AL70" i="24"/>
  <c r="AM70" i="24"/>
  <c r="C69" i="52" s="1"/>
  <c r="AN70" i="24"/>
  <c r="D69" i="52" s="1"/>
  <c r="AO70" i="24"/>
  <c r="E69" i="52" s="1"/>
  <c r="AP70" i="24"/>
  <c r="F69" i="52" s="1"/>
  <c r="AQ70" i="24"/>
  <c r="G69" i="52" s="1"/>
  <c r="AR70" i="24"/>
  <c r="H69" i="52" s="1"/>
  <c r="AS70" i="24"/>
  <c r="I69" i="52" s="1"/>
  <c r="AT70" i="24"/>
  <c r="J69" i="52" s="1"/>
  <c r="AU70" i="24"/>
  <c r="K69" i="52" s="1"/>
  <c r="AV70" i="24"/>
  <c r="L69" i="52" s="1"/>
  <c r="AW70" i="24"/>
  <c r="M69" i="52" s="1"/>
  <c r="AX70" i="24"/>
  <c r="AY70" i="24"/>
  <c r="AZ70" i="24"/>
  <c r="BA70" i="24"/>
  <c r="BB70" i="24"/>
  <c r="BC70" i="24"/>
  <c r="BD70" i="24"/>
  <c r="BE70" i="24"/>
  <c r="BF70" i="24"/>
  <c r="BG70" i="24"/>
  <c r="BH70" i="24"/>
  <c r="BI70" i="24"/>
  <c r="BJ70" i="24"/>
  <c r="BK70" i="24"/>
  <c r="BL70" i="24"/>
  <c r="BM70" i="24"/>
  <c r="BN70" i="24"/>
  <c r="BO70" i="24"/>
  <c r="BP70" i="24"/>
  <c r="BQ70" i="24"/>
  <c r="BR70" i="24"/>
  <c r="BS70" i="24"/>
  <c r="BT70" i="24"/>
  <c r="BU70" i="24"/>
  <c r="BV70" i="24"/>
  <c r="BW70" i="24"/>
  <c r="BX70" i="24"/>
  <c r="BY70" i="24"/>
  <c r="BZ70" i="24"/>
  <c r="CA70" i="24"/>
  <c r="CC70" i="24"/>
  <c r="CD70" i="24"/>
  <c r="BY71" i="24"/>
  <c r="BZ71" i="24"/>
  <c r="CA71" i="24"/>
  <c r="CB71" i="24"/>
  <c r="CC71" i="24"/>
  <c r="CD71" i="24"/>
  <c r="BY72" i="24"/>
  <c r="BZ72" i="24"/>
  <c r="BZ73" i="24" s="1"/>
  <c r="CA72" i="24"/>
  <c r="CB72" i="24"/>
  <c r="CC72" i="24"/>
  <c r="CD72" i="24"/>
  <c r="CD73" i="24" s="1"/>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AG73" i="24"/>
  <c r="AH73" i="24"/>
  <c r="AI73" i="24"/>
  <c r="AJ73" i="24"/>
  <c r="AK73" i="24"/>
  <c r="AL73" i="24"/>
  <c r="AM73" i="24"/>
  <c r="C70" i="52" s="1"/>
  <c r="AN73" i="24"/>
  <c r="D70" i="52" s="1"/>
  <c r="AO73" i="24"/>
  <c r="E70" i="52" s="1"/>
  <c r="AP73" i="24"/>
  <c r="F70" i="52" s="1"/>
  <c r="AQ73" i="24"/>
  <c r="G70" i="52" s="1"/>
  <c r="AR73" i="24"/>
  <c r="H70" i="52" s="1"/>
  <c r="AS73" i="24"/>
  <c r="I70" i="52" s="1"/>
  <c r="AT73" i="24"/>
  <c r="J70" i="52" s="1"/>
  <c r="AU73" i="24"/>
  <c r="K70" i="52" s="1"/>
  <c r="AV73" i="24"/>
  <c r="L70" i="52" s="1"/>
  <c r="AW73" i="24"/>
  <c r="M70" i="52" s="1"/>
  <c r="AX73" i="24"/>
  <c r="AY73" i="24"/>
  <c r="AZ73" i="24"/>
  <c r="BA73" i="24"/>
  <c r="BB73" i="24"/>
  <c r="BC73" i="24"/>
  <c r="BD73" i="24"/>
  <c r="BE73" i="24"/>
  <c r="BF73" i="24"/>
  <c r="BG73" i="24"/>
  <c r="BH73" i="24"/>
  <c r="BI73" i="24"/>
  <c r="BJ73" i="24"/>
  <c r="BK73" i="24"/>
  <c r="BL73" i="24"/>
  <c r="BM73" i="24"/>
  <c r="BN73" i="24"/>
  <c r="BO73" i="24"/>
  <c r="BP73" i="24"/>
  <c r="BQ73" i="24"/>
  <c r="BR73" i="24"/>
  <c r="BS73" i="24"/>
  <c r="BT73" i="24"/>
  <c r="BU73" i="24"/>
  <c r="BV73" i="24"/>
  <c r="BW73" i="24"/>
  <c r="BX73" i="24"/>
  <c r="BY73" i="24"/>
  <c r="CA73" i="24"/>
  <c r="CB73" i="24"/>
  <c r="CC73" i="24"/>
  <c r="BY74" i="24"/>
  <c r="BZ74" i="24"/>
  <c r="CA74" i="24"/>
  <c r="CB74" i="24"/>
  <c r="CC74" i="24"/>
  <c r="CD74" i="24"/>
  <c r="BY75" i="24"/>
  <c r="BZ75" i="24"/>
  <c r="CA75" i="24"/>
  <c r="CB75" i="24"/>
  <c r="CB78" i="24" s="1"/>
  <c r="CC75" i="24"/>
  <c r="CD75" i="24"/>
  <c r="BY76" i="24"/>
  <c r="BZ76" i="24"/>
  <c r="CA76" i="24"/>
  <c r="CB76" i="24"/>
  <c r="CC76" i="24"/>
  <c r="CD76" i="24"/>
  <c r="BY77" i="24"/>
  <c r="BZ77" i="24"/>
  <c r="CA77" i="24"/>
  <c r="CB77" i="24"/>
  <c r="CC77" i="24"/>
  <c r="CD77" i="24"/>
  <c r="E78" i="24"/>
  <c r="F78" i="24"/>
  <c r="G78" i="24"/>
  <c r="H78" i="24"/>
  <c r="I78" i="24"/>
  <c r="J78" i="24"/>
  <c r="K78" i="24"/>
  <c r="L78" i="24"/>
  <c r="M78" i="24"/>
  <c r="N78" i="24"/>
  <c r="O78" i="24"/>
  <c r="P78" i="24"/>
  <c r="Q78" i="24"/>
  <c r="R78" i="24"/>
  <c r="S78" i="24"/>
  <c r="T78" i="24"/>
  <c r="U78" i="24"/>
  <c r="V78" i="24"/>
  <c r="W78" i="24"/>
  <c r="X78" i="24"/>
  <c r="Y78" i="24"/>
  <c r="Z78" i="24"/>
  <c r="AA78" i="24"/>
  <c r="AB78" i="24"/>
  <c r="AC78" i="24"/>
  <c r="AD78" i="24"/>
  <c r="AE78" i="24"/>
  <c r="AF78"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BG78" i="24"/>
  <c r="BH78" i="24"/>
  <c r="BI78" i="24"/>
  <c r="BJ78" i="24"/>
  <c r="BK78" i="24"/>
  <c r="BL78" i="24"/>
  <c r="BM78" i="24"/>
  <c r="BN78" i="24"/>
  <c r="BO78" i="24"/>
  <c r="BP78" i="24"/>
  <c r="BQ78" i="24"/>
  <c r="BR78" i="24"/>
  <c r="BS78" i="24"/>
  <c r="BT78" i="24"/>
  <c r="BU78" i="24"/>
  <c r="BV78" i="24"/>
  <c r="BW78" i="24"/>
  <c r="BX78" i="24"/>
  <c r="BY78" i="24"/>
  <c r="BZ78" i="24"/>
  <c r="CA78" i="24"/>
  <c r="CC78" i="24"/>
  <c r="CD78" i="24"/>
  <c r="BY79" i="24"/>
  <c r="BZ79" i="24"/>
  <c r="CA79" i="24"/>
  <c r="CB79" i="24"/>
  <c r="CC79" i="24"/>
  <c r="CD79" i="24"/>
  <c r="BY80" i="24"/>
  <c r="BZ80" i="24"/>
  <c r="BZ83" i="24" s="1"/>
  <c r="CA80" i="24"/>
  <c r="CB80" i="24"/>
  <c r="CC80" i="24"/>
  <c r="CD80" i="24"/>
  <c r="CD83" i="24" s="1"/>
  <c r="BY81" i="24"/>
  <c r="BZ81" i="24"/>
  <c r="CA81" i="24"/>
  <c r="CB81" i="24"/>
  <c r="CC81" i="24"/>
  <c r="CD81" i="24"/>
  <c r="BY82" i="24"/>
  <c r="BZ82" i="24"/>
  <c r="CA82" i="24"/>
  <c r="CB82" i="24"/>
  <c r="CC82" i="24"/>
  <c r="CD82" i="24"/>
  <c r="E83" i="24"/>
  <c r="F83" i="24"/>
  <c r="G83" i="24"/>
  <c r="H83" i="24"/>
  <c r="I83" i="24"/>
  <c r="J83" i="24"/>
  <c r="K83" i="24"/>
  <c r="L83" i="24"/>
  <c r="M83" i="24"/>
  <c r="N83" i="24"/>
  <c r="O83" i="24"/>
  <c r="P83" i="24"/>
  <c r="Q83" i="24"/>
  <c r="R83" i="24"/>
  <c r="S83" i="24"/>
  <c r="T83" i="24"/>
  <c r="U83" i="24"/>
  <c r="V83" i="24"/>
  <c r="W83" i="24"/>
  <c r="X83" i="24"/>
  <c r="Y83" i="24"/>
  <c r="Z83" i="24"/>
  <c r="AA83" i="24"/>
  <c r="AB83" i="24"/>
  <c r="AC83" i="24"/>
  <c r="AD83" i="24"/>
  <c r="AE83" i="24"/>
  <c r="AF83"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BG83" i="24"/>
  <c r="BH83" i="24"/>
  <c r="BI83" i="24"/>
  <c r="BJ83" i="24"/>
  <c r="BK83" i="24"/>
  <c r="BL83" i="24"/>
  <c r="BM83" i="24"/>
  <c r="BN83" i="24"/>
  <c r="BO83" i="24"/>
  <c r="BP83" i="24"/>
  <c r="BQ83" i="24"/>
  <c r="BR83" i="24"/>
  <c r="BS83" i="24"/>
  <c r="BT83" i="24"/>
  <c r="BU83" i="24"/>
  <c r="BV83" i="24"/>
  <c r="BW83" i="24"/>
  <c r="BX83" i="24"/>
  <c r="BY83" i="24"/>
  <c r="CA83" i="24"/>
  <c r="CB83" i="24"/>
  <c r="CC83" i="24"/>
  <c r="BY84" i="24"/>
  <c r="BZ84" i="24"/>
  <c r="CA84" i="24"/>
  <c r="CB84" i="24"/>
  <c r="CC84" i="24"/>
  <c r="CD84" i="24"/>
  <c r="BY85" i="24"/>
  <c r="BZ85" i="24"/>
  <c r="CA85" i="24"/>
  <c r="CB85" i="24"/>
  <c r="CB88" i="24" s="1"/>
  <c r="CC85" i="24"/>
  <c r="CD85" i="24"/>
  <c r="BY86" i="24"/>
  <c r="BZ86" i="24"/>
  <c r="CA86" i="24"/>
  <c r="CB86" i="24"/>
  <c r="CC86" i="24"/>
  <c r="CD86" i="24"/>
  <c r="BY87" i="24"/>
  <c r="BZ87" i="24"/>
  <c r="CA87" i="24"/>
  <c r="CB87" i="24"/>
  <c r="CC87" i="24"/>
  <c r="CD87" i="24"/>
  <c r="E88" i="24"/>
  <c r="F88" i="24"/>
  <c r="G88" i="24"/>
  <c r="H88" i="24"/>
  <c r="I88" i="24"/>
  <c r="J88" i="24"/>
  <c r="K88" i="24"/>
  <c r="L88" i="24"/>
  <c r="M88" i="24"/>
  <c r="N88" i="24"/>
  <c r="O88" i="24"/>
  <c r="P88" i="24"/>
  <c r="Q88" i="24"/>
  <c r="R88" i="24"/>
  <c r="S88" i="24"/>
  <c r="T88" i="24"/>
  <c r="U88" i="24"/>
  <c r="V88" i="24"/>
  <c r="W88" i="24"/>
  <c r="X88" i="24"/>
  <c r="Y88" i="24"/>
  <c r="Z88" i="24"/>
  <c r="AA88" i="24"/>
  <c r="AB88" i="24"/>
  <c r="AC88" i="24"/>
  <c r="AD88" i="24"/>
  <c r="AE88" i="24"/>
  <c r="AF88"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BG88" i="24"/>
  <c r="BH88" i="24"/>
  <c r="BI88" i="24"/>
  <c r="BJ88" i="24"/>
  <c r="BK88" i="24"/>
  <c r="BL88" i="24"/>
  <c r="BM88" i="24"/>
  <c r="BN88" i="24"/>
  <c r="BO88" i="24"/>
  <c r="BP88" i="24"/>
  <c r="BQ88" i="24"/>
  <c r="BR88" i="24"/>
  <c r="BS88" i="24"/>
  <c r="BT88" i="24"/>
  <c r="BU88" i="24"/>
  <c r="BV88" i="24"/>
  <c r="BW88" i="24"/>
  <c r="BX88" i="24"/>
  <c r="BY88" i="24"/>
  <c r="BZ88" i="24"/>
  <c r="CA88" i="24"/>
  <c r="CC88" i="24"/>
  <c r="CD88" i="24"/>
  <c r="BY89" i="24"/>
  <c r="BZ89" i="24"/>
  <c r="CA89" i="24"/>
  <c r="CB89" i="24"/>
  <c r="CB91" i="24" s="1"/>
  <c r="CC89" i="24"/>
  <c r="CD89" i="24"/>
  <c r="BY90" i="24"/>
  <c r="BZ90" i="24"/>
  <c r="BZ91" i="24" s="1"/>
  <c r="CA90" i="24"/>
  <c r="CB90" i="24"/>
  <c r="CC90" i="24"/>
  <c r="CD90" i="24"/>
  <c r="CD91" i="24" s="1"/>
  <c r="E91" i="24"/>
  <c r="F91" i="24"/>
  <c r="G91" i="24"/>
  <c r="H91" i="24"/>
  <c r="I91" i="24"/>
  <c r="J91" i="24"/>
  <c r="K91" i="24"/>
  <c r="L91" i="24"/>
  <c r="M91" i="24"/>
  <c r="N91" i="24"/>
  <c r="O91" i="24"/>
  <c r="P91" i="24"/>
  <c r="Q91" i="24"/>
  <c r="R91" i="24"/>
  <c r="S91" i="24"/>
  <c r="T91" i="24"/>
  <c r="U91" i="24"/>
  <c r="V91" i="24"/>
  <c r="W91" i="24"/>
  <c r="X91" i="24"/>
  <c r="Y91" i="24"/>
  <c r="Z91" i="24"/>
  <c r="AA91" i="24"/>
  <c r="AB91" i="24"/>
  <c r="AC91" i="24"/>
  <c r="AD91" i="24"/>
  <c r="AE91" i="24"/>
  <c r="AF91" i="24"/>
  <c r="AG91" i="24"/>
  <c r="AH91" i="24"/>
  <c r="AI91" i="24"/>
  <c r="AJ91" i="24"/>
  <c r="AK91" i="24"/>
  <c r="AL91" i="24"/>
  <c r="AM91" i="24"/>
  <c r="C71" i="52" s="1"/>
  <c r="AN91" i="24"/>
  <c r="D71" i="52" s="1"/>
  <c r="AO91" i="24"/>
  <c r="E71" i="52" s="1"/>
  <c r="AP91" i="24"/>
  <c r="F71" i="52" s="1"/>
  <c r="AQ91" i="24"/>
  <c r="G71" i="52" s="1"/>
  <c r="AR91" i="24"/>
  <c r="H71" i="52" s="1"/>
  <c r="AS91" i="24"/>
  <c r="I71" i="52" s="1"/>
  <c r="AT91" i="24"/>
  <c r="J71" i="52" s="1"/>
  <c r="AU91" i="24"/>
  <c r="K71" i="52" s="1"/>
  <c r="AV91" i="24"/>
  <c r="L71" i="52" s="1"/>
  <c r="AW91" i="24"/>
  <c r="M71" i="52" s="1"/>
  <c r="AX91" i="24"/>
  <c r="AY91" i="24"/>
  <c r="AZ91" i="24"/>
  <c r="BA91" i="24"/>
  <c r="BB91" i="24"/>
  <c r="BC91" i="24"/>
  <c r="BD91" i="24"/>
  <c r="BE91" i="24"/>
  <c r="BF91" i="24"/>
  <c r="BG91" i="24"/>
  <c r="BH91" i="24"/>
  <c r="BI91" i="24"/>
  <c r="BJ91" i="24"/>
  <c r="BK91" i="24"/>
  <c r="BL91" i="24"/>
  <c r="BM91" i="24"/>
  <c r="BN91" i="24"/>
  <c r="BO91" i="24"/>
  <c r="BP91" i="24"/>
  <c r="BQ91" i="24"/>
  <c r="BR91" i="24"/>
  <c r="BS91" i="24"/>
  <c r="BT91" i="24"/>
  <c r="BU91" i="24"/>
  <c r="BV91" i="24"/>
  <c r="BW91" i="24"/>
  <c r="BX91" i="24"/>
  <c r="BY91" i="24"/>
  <c r="CA91" i="24"/>
  <c r="CC91" i="24"/>
  <c r="BY92" i="24"/>
  <c r="BZ92" i="24"/>
  <c r="CA92" i="24"/>
  <c r="CB92" i="24"/>
  <c r="CC92" i="24"/>
  <c r="CD92" i="24"/>
  <c r="BY93" i="24"/>
  <c r="BZ93" i="24"/>
  <c r="BZ94" i="24" s="1"/>
  <c r="CA93" i="24"/>
  <c r="CB93" i="24"/>
  <c r="CC93" i="24"/>
  <c r="CD93" i="24"/>
  <c r="CD94" i="24" s="1"/>
  <c r="E94" i="24"/>
  <c r="F94" i="24"/>
  <c r="G94" i="24"/>
  <c r="H94" i="24"/>
  <c r="I94" i="24"/>
  <c r="J94" i="24"/>
  <c r="K94" i="24"/>
  <c r="L94" i="24"/>
  <c r="M94" i="24"/>
  <c r="N94" i="24"/>
  <c r="O94" i="24"/>
  <c r="P94" i="24"/>
  <c r="Q94" i="24"/>
  <c r="R94" i="24"/>
  <c r="S94" i="24"/>
  <c r="T94" i="24"/>
  <c r="U94" i="24"/>
  <c r="V94" i="24"/>
  <c r="W94" i="24"/>
  <c r="X94" i="24"/>
  <c r="Y94" i="24"/>
  <c r="Z94" i="24"/>
  <c r="AA94" i="24"/>
  <c r="AB94" i="24"/>
  <c r="AC94" i="24"/>
  <c r="AD94" i="24"/>
  <c r="AE94" i="24"/>
  <c r="AF94" i="24"/>
  <c r="AG94" i="24"/>
  <c r="AH94" i="24"/>
  <c r="AI94" i="24"/>
  <c r="AJ94" i="24"/>
  <c r="AK94" i="24"/>
  <c r="AL94" i="24"/>
  <c r="AM94" i="24"/>
  <c r="C72" i="52" s="1"/>
  <c r="AN94" i="24"/>
  <c r="D72" i="52" s="1"/>
  <c r="AO94" i="24"/>
  <c r="E72" i="52" s="1"/>
  <c r="AP94" i="24"/>
  <c r="F72" i="52" s="1"/>
  <c r="AQ94" i="24"/>
  <c r="G72" i="52" s="1"/>
  <c r="AR94" i="24"/>
  <c r="H72" i="52" s="1"/>
  <c r="AS94" i="24"/>
  <c r="I72" i="52" s="1"/>
  <c r="AT94" i="24"/>
  <c r="J72" i="52" s="1"/>
  <c r="AU94" i="24"/>
  <c r="K72" i="52" s="1"/>
  <c r="AV94" i="24"/>
  <c r="L72" i="52" s="1"/>
  <c r="AW94" i="24"/>
  <c r="M72" i="52" s="1"/>
  <c r="AX94" i="24"/>
  <c r="AY94" i="24"/>
  <c r="AZ94" i="24"/>
  <c r="BA94" i="24"/>
  <c r="BB94" i="24"/>
  <c r="BC94" i="24"/>
  <c r="BD94" i="24"/>
  <c r="BE94" i="24"/>
  <c r="BF94" i="24"/>
  <c r="BG94" i="24"/>
  <c r="BH94" i="24"/>
  <c r="BI94" i="24"/>
  <c r="BJ94" i="24"/>
  <c r="BK94" i="24"/>
  <c r="BL94" i="24"/>
  <c r="BM94" i="24"/>
  <c r="BN94" i="24"/>
  <c r="BO94" i="24"/>
  <c r="BP94" i="24"/>
  <c r="BQ94" i="24"/>
  <c r="BR94" i="24"/>
  <c r="BS94" i="24"/>
  <c r="BT94" i="24"/>
  <c r="BU94" i="24"/>
  <c r="BV94" i="24"/>
  <c r="BW94" i="24"/>
  <c r="BX94" i="24"/>
  <c r="BY94" i="24"/>
  <c r="CA94" i="24"/>
  <c r="CC94" i="24"/>
  <c r="BY95" i="24"/>
  <c r="BZ95" i="24"/>
  <c r="CA95" i="24"/>
  <c r="CA100" i="24" s="1"/>
  <c r="CB95" i="24"/>
  <c r="CC95" i="24"/>
  <c r="CD95" i="24"/>
  <c r="BY96" i="24"/>
  <c r="BZ96" i="24"/>
  <c r="CA96" i="24"/>
  <c r="CB96" i="24"/>
  <c r="CC96" i="24"/>
  <c r="CC100" i="24" s="1"/>
  <c r="CD96" i="24"/>
  <c r="BY97" i="24"/>
  <c r="BZ97" i="24"/>
  <c r="CA97" i="24"/>
  <c r="CB97" i="24"/>
  <c r="CC97" i="24"/>
  <c r="CD97" i="24"/>
  <c r="BY98" i="24"/>
  <c r="BZ98" i="24"/>
  <c r="CA98" i="24"/>
  <c r="CB98" i="24"/>
  <c r="CC98" i="24"/>
  <c r="CD98" i="24"/>
  <c r="BY99" i="24"/>
  <c r="BZ99" i="24"/>
  <c r="CA99" i="24"/>
  <c r="CB99" i="24"/>
  <c r="CB100" i="24" s="1"/>
  <c r="CC99" i="24"/>
  <c r="CD99" i="24"/>
  <c r="E100" i="24"/>
  <c r="F100" i="24"/>
  <c r="G100" i="24"/>
  <c r="H100" i="24"/>
  <c r="I100" i="24"/>
  <c r="J100" i="24"/>
  <c r="K100" i="24"/>
  <c r="L100" i="24"/>
  <c r="M100" i="24"/>
  <c r="N100" i="24"/>
  <c r="O100" i="24"/>
  <c r="P100" i="24"/>
  <c r="Q100" i="24"/>
  <c r="R100" i="24"/>
  <c r="S100" i="24"/>
  <c r="T100" i="24"/>
  <c r="U100" i="24"/>
  <c r="V100" i="24"/>
  <c r="W100" i="24"/>
  <c r="X100" i="24"/>
  <c r="Y100" i="24"/>
  <c r="Z100" i="24"/>
  <c r="AA100" i="24"/>
  <c r="AB100" i="24"/>
  <c r="AC100" i="24"/>
  <c r="AD100" i="24"/>
  <c r="AE100" i="24"/>
  <c r="AF100" i="24"/>
  <c r="AG100" i="24"/>
  <c r="AH100" i="24"/>
  <c r="AI100" i="24"/>
  <c r="AJ100" i="24"/>
  <c r="AK100" i="24"/>
  <c r="AL100" i="24"/>
  <c r="AM100" i="24"/>
  <c r="C73" i="52" s="1"/>
  <c r="AN100" i="24"/>
  <c r="D73" i="52" s="1"/>
  <c r="AO100" i="24"/>
  <c r="E73" i="52" s="1"/>
  <c r="AP100" i="24"/>
  <c r="F73" i="52" s="1"/>
  <c r="AQ100" i="24"/>
  <c r="G73" i="52" s="1"/>
  <c r="AR100" i="24"/>
  <c r="H73" i="52" s="1"/>
  <c r="AS100" i="24"/>
  <c r="I73" i="52" s="1"/>
  <c r="AT100" i="24"/>
  <c r="J73" i="52" s="1"/>
  <c r="AU100" i="24"/>
  <c r="K73" i="52" s="1"/>
  <c r="AV100" i="24"/>
  <c r="L73" i="52" s="1"/>
  <c r="AW100" i="24"/>
  <c r="M73" i="52" s="1"/>
  <c r="AX100" i="24"/>
  <c r="AY100" i="24"/>
  <c r="AZ100" i="24"/>
  <c r="BA100" i="24"/>
  <c r="BB100" i="24"/>
  <c r="BC100" i="24"/>
  <c r="BD100" i="24"/>
  <c r="BE100" i="24"/>
  <c r="BF100" i="24"/>
  <c r="BG100" i="24"/>
  <c r="BH100" i="24"/>
  <c r="BI100" i="24"/>
  <c r="BJ100" i="24"/>
  <c r="BK100" i="24"/>
  <c r="BL100" i="24"/>
  <c r="BM100" i="24"/>
  <c r="BN100" i="24"/>
  <c r="BO100" i="24"/>
  <c r="BP100" i="24"/>
  <c r="BQ100" i="24"/>
  <c r="BR100" i="24"/>
  <c r="BS100" i="24"/>
  <c r="BT100" i="24"/>
  <c r="BU100" i="24"/>
  <c r="BV100" i="24"/>
  <c r="BW100" i="24"/>
  <c r="BX100" i="24"/>
  <c r="BY100" i="24"/>
  <c r="BZ100" i="24"/>
  <c r="CD100" i="24"/>
  <c r="BY101" i="24"/>
  <c r="BZ101" i="24"/>
  <c r="CA101" i="24"/>
  <c r="CB101" i="24"/>
  <c r="CB103" i="24" s="1"/>
  <c r="CC101" i="24"/>
  <c r="CD101" i="24"/>
  <c r="BY102" i="24"/>
  <c r="BZ102" i="24"/>
  <c r="BZ103" i="24" s="1"/>
  <c r="CA102" i="24"/>
  <c r="CB102" i="24"/>
  <c r="CC102" i="24"/>
  <c r="CD102" i="24"/>
  <c r="CD103" i="24" s="1"/>
  <c r="E103" i="24"/>
  <c r="F103" i="24"/>
  <c r="G103" i="24"/>
  <c r="H103" i="24"/>
  <c r="I103" i="24"/>
  <c r="J103" i="24"/>
  <c r="K103" i="24"/>
  <c r="L103" i="24"/>
  <c r="M103" i="24"/>
  <c r="N103" i="24"/>
  <c r="O103" i="24"/>
  <c r="P103" i="24"/>
  <c r="Q103" i="24"/>
  <c r="R103" i="24"/>
  <c r="S103" i="24"/>
  <c r="T103" i="24"/>
  <c r="U103" i="24"/>
  <c r="V103" i="24"/>
  <c r="W103" i="24"/>
  <c r="X103" i="24"/>
  <c r="Y103" i="24"/>
  <c r="Z103" i="24"/>
  <c r="AA103" i="24"/>
  <c r="AB103" i="24"/>
  <c r="AC103" i="24"/>
  <c r="AD103" i="24"/>
  <c r="AE103" i="24"/>
  <c r="AF103" i="24"/>
  <c r="AG103" i="24"/>
  <c r="AH103" i="24"/>
  <c r="AI103" i="24"/>
  <c r="AJ103" i="24"/>
  <c r="AK103" i="24"/>
  <c r="AL103" i="24"/>
  <c r="AM103" i="24"/>
  <c r="C74" i="52" s="1"/>
  <c r="AN103" i="24"/>
  <c r="D74" i="52" s="1"/>
  <c r="AO103" i="24"/>
  <c r="E74" i="52" s="1"/>
  <c r="AP103" i="24"/>
  <c r="F74" i="52" s="1"/>
  <c r="AQ103" i="24"/>
  <c r="G74" i="52" s="1"/>
  <c r="AR103" i="24"/>
  <c r="H74" i="52" s="1"/>
  <c r="AS103" i="24"/>
  <c r="I74" i="52" s="1"/>
  <c r="AT103" i="24"/>
  <c r="J74" i="52" s="1"/>
  <c r="AU103" i="24"/>
  <c r="K74" i="52" s="1"/>
  <c r="AV103" i="24"/>
  <c r="L74" i="52" s="1"/>
  <c r="AW103" i="24"/>
  <c r="M74" i="52" s="1"/>
  <c r="AX103" i="24"/>
  <c r="AY103" i="24"/>
  <c r="AZ103" i="24"/>
  <c r="BA103" i="24"/>
  <c r="BB103" i="24"/>
  <c r="BC103" i="24"/>
  <c r="BD103" i="24"/>
  <c r="BE103" i="24"/>
  <c r="BF103" i="24"/>
  <c r="BG103" i="24"/>
  <c r="BH103" i="24"/>
  <c r="BI103" i="24"/>
  <c r="BJ103" i="24"/>
  <c r="BK103" i="24"/>
  <c r="BL103" i="24"/>
  <c r="BM103" i="24"/>
  <c r="BN103" i="24"/>
  <c r="BO103" i="24"/>
  <c r="BP103" i="24"/>
  <c r="BQ103" i="24"/>
  <c r="BR103" i="24"/>
  <c r="BS103" i="24"/>
  <c r="BT103" i="24"/>
  <c r="BU103" i="24"/>
  <c r="BV103" i="24"/>
  <c r="BW103" i="24"/>
  <c r="BX103" i="24"/>
  <c r="BY103" i="24"/>
  <c r="CA103" i="24"/>
  <c r="CC103" i="24"/>
  <c r="F104" i="24"/>
  <c r="F107" i="24" s="1"/>
  <c r="H104" i="24"/>
  <c r="H107" i="24" s="1"/>
  <c r="J104" i="24"/>
  <c r="J107" i="24" s="1"/>
  <c r="L104" i="24"/>
  <c r="L107" i="24" s="1"/>
  <c r="N104" i="24"/>
  <c r="N107" i="24" s="1"/>
  <c r="P104" i="24"/>
  <c r="P107" i="24" s="1"/>
  <c r="R104" i="24"/>
  <c r="R107" i="24" s="1"/>
  <c r="T104" i="24"/>
  <c r="T107" i="24" s="1"/>
  <c r="V104" i="24"/>
  <c r="V107" i="24" s="1"/>
  <c r="X104" i="24"/>
  <c r="X107" i="24" s="1"/>
  <c r="Z104" i="24"/>
  <c r="Z107" i="24" s="1"/>
  <c r="AB104" i="24"/>
  <c r="AB107" i="24" s="1"/>
  <c r="AD104" i="24"/>
  <c r="AD107" i="24" s="1"/>
  <c r="AF104" i="24"/>
  <c r="AF107" i="24" s="1"/>
  <c r="AH104" i="24"/>
  <c r="AH107" i="24" s="1"/>
  <c r="AJ104" i="24"/>
  <c r="AJ107" i="24" s="1"/>
  <c r="AL104" i="24"/>
  <c r="AL107" i="24" s="1"/>
  <c r="AN104" i="24"/>
  <c r="AN107" i="24" s="1"/>
  <c r="AP104" i="24"/>
  <c r="AP107" i="24" s="1"/>
  <c r="AR104" i="24"/>
  <c r="AR107" i="24" s="1"/>
  <c r="AT104" i="24"/>
  <c r="AT107" i="24" s="1"/>
  <c r="AV104" i="24"/>
  <c r="AV107" i="24" s="1"/>
  <c r="AX104" i="24"/>
  <c r="AX107" i="24" s="1"/>
  <c r="AZ104" i="24"/>
  <c r="AZ107" i="24" s="1"/>
  <c r="BB104" i="24"/>
  <c r="BB107" i="24" s="1"/>
  <c r="BD104" i="24"/>
  <c r="BD107" i="24" s="1"/>
  <c r="BF104" i="24"/>
  <c r="BH104" i="24"/>
  <c r="BH107" i="24" s="1"/>
  <c r="BJ104" i="24"/>
  <c r="BJ107" i="24" s="1"/>
  <c r="BL104" i="24"/>
  <c r="BL107" i="24" s="1"/>
  <c r="BN104" i="24"/>
  <c r="BN107" i="24" s="1"/>
  <c r="BP104" i="24"/>
  <c r="BP107" i="24" s="1"/>
  <c r="BR104" i="24"/>
  <c r="BT104" i="24"/>
  <c r="BV104" i="24"/>
  <c r="BV107" i="24" s="1"/>
  <c r="BX104" i="24"/>
  <c r="BX107" i="24" s="1"/>
  <c r="BF107" i="24"/>
  <c r="BR107" i="24"/>
  <c r="BT107" i="24"/>
  <c r="O85" i="18"/>
  <c r="O84" i="18"/>
  <c r="O83" i="18"/>
  <c r="O82" i="18"/>
  <c r="O81" i="18"/>
  <c r="O80" i="18"/>
  <c r="O71" i="18"/>
  <c r="O72" i="18"/>
  <c r="O73" i="18"/>
  <c r="O74" i="18"/>
  <c r="O75" i="18"/>
  <c r="O70" i="18"/>
  <c r="O77" i="18" s="1"/>
  <c r="M87" i="18"/>
  <c r="L87" i="18"/>
  <c r="K87" i="18"/>
  <c r="J87" i="18"/>
  <c r="I87" i="18"/>
  <c r="H87" i="18"/>
  <c r="G87" i="18"/>
  <c r="F87" i="18"/>
  <c r="E87" i="18"/>
  <c r="D87" i="18"/>
  <c r="C87" i="18"/>
  <c r="B87" i="18"/>
  <c r="C77" i="18"/>
  <c r="D77" i="18"/>
  <c r="E77" i="18"/>
  <c r="F77" i="18"/>
  <c r="G77" i="18"/>
  <c r="H77" i="18"/>
  <c r="I77" i="18"/>
  <c r="J77" i="18"/>
  <c r="K77" i="18"/>
  <c r="L77" i="18"/>
  <c r="M77" i="18"/>
  <c r="B77" i="18"/>
  <c r="CA11" i="24" l="1"/>
  <c r="CA5" i="24"/>
  <c r="T136" i="70"/>
  <c r="U136" i="70" s="1"/>
  <c r="N89" i="52"/>
  <c r="T197" i="69"/>
  <c r="F173" i="69"/>
  <c r="H152" i="65" s="1"/>
  <c r="AK152" i="65" s="1"/>
  <c r="I173" i="69"/>
  <c r="K152" i="65" s="1"/>
  <c r="AN152" i="65" s="1"/>
  <c r="L173" i="69"/>
  <c r="N152" i="65" s="1"/>
  <c r="AQ152" i="65" s="1"/>
  <c r="H173" i="69"/>
  <c r="J152" i="65" s="1"/>
  <c r="AM152" i="65" s="1"/>
  <c r="D173" i="69"/>
  <c r="F152" i="65" s="1"/>
  <c r="AI152" i="65" s="1"/>
  <c r="N173" i="69"/>
  <c r="P152" i="65" s="1"/>
  <c r="AS152" i="65" s="1"/>
  <c r="J173" i="69"/>
  <c r="L152" i="65" s="1"/>
  <c r="AO152" i="65" s="1"/>
  <c r="M173" i="69"/>
  <c r="O152" i="65" s="1"/>
  <c r="AR152" i="65" s="1"/>
  <c r="E173" i="69"/>
  <c r="G152" i="65" s="1"/>
  <c r="AJ152" i="65" s="1"/>
  <c r="K173" i="69"/>
  <c r="M152" i="65" s="1"/>
  <c r="AP152" i="65" s="1"/>
  <c r="G173" i="69"/>
  <c r="I152" i="65" s="1"/>
  <c r="AL152" i="65" s="1"/>
  <c r="K163" i="69"/>
  <c r="M142" i="65" s="1"/>
  <c r="AP142" i="65" s="1"/>
  <c r="G163" i="69"/>
  <c r="I142" i="65" s="1"/>
  <c r="AL142" i="65" s="1"/>
  <c r="N163" i="69"/>
  <c r="P142" i="65" s="1"/>
  <c r="AS142" i="65" s="1"/>
  <c r="J163" i="69"/>
  <c r="L142" i="65" s="1"/>
  <c r="AO142" i="65" s="1"/>
  <c r="F163" i="69"/>
  <c r="H142" i="65" s="1"/>
  <c r="AK142" i="65" s="1"/>
  <c r="M163" i="69"/>
  <c r="O142" i="65" s="1"/>
  <c r="AR142" i="65" s="1"/>
  <c r="I163" i="69"/>
  <c r="K142" i="65" s="1"/>
  <c r="AN142" i="65" s="1"/>
  <c r="E163" i="69"/>
  <c r="G142" i="65" s="1"/>
  <c r="AJ142" i="65" s="1"/>
  <c r="L163" i="69"/>
  <c r="N142" i="65" s="1"/>
  <c r="AQ142" i="65" s="1"/>
  <c r="H163" i="69"/>
  <c r="J142" i="65" s="1"/>
  <c r="AM142" i="65" s="1"/>
  <c r="D163" i="69"/>
  <c r="F142" i="65" s="1"/>
  <c r="AI142" i="65" s="1"/>
  <c r="I153" i="69"/>
  <c r="K132" i="65" s="1"/>
  <c r="AN132" i="65" s="1"/>
  <c r="N153" i="69"/>
  <c r="P132" i="65" s="1"/>
  <c r="AS132" i="65" s="1"/>
  <c r="J153" i="69"/>
  <c r="L132" i="65" s="1"/>
  <c r="AO132" i="65" s="1"/>
  <c r="F153" i="69"/>
  <c r="H132" i="65" s="1"/>
  <c r="AK132" i="65" s="1"/>
  <c r="M153" i="69"/>
  <c r="O132" i="65" s="1"/>
  <c r="AR132" i="65" s="1"/>
  <c r="L153" i="69"/>
  <c r="N132" i="65" s="1"/>
  <c r="AQ132" i="65" s="1"/>
  <c r="H153" i="69"/>
  <c r="J132" i="65" s="1"/>
  <c r="AM132" i="65" s="1"/>
  <c r="D153" i="69"/>
  <c r="F132" i="65" s="1"/>
  <c r="AI132" i="65" s="1"/>
  <c r="E153" i="69"/>
  <c r="G132" i="65" s="1"/>
  <c r="AJ132" i="65" s="1"/>
  <c r="K153" i="69"/>
  <c r="M132" i="65" s="1"/>
  <c r="AP132" i="65" s="1"/>
  <c r="G153" i="69"/>
  <c r="I132" i="65" s="1"/>
  <c r="AL132" i="65" s="1"/>
  <c r="N143" i="69"/>
  <c r="P122" i="65" s="1"/>
  <c r="AS122" i="65" s="1"/>
  <c r="J143" i="69"/>
  <c r="L122" i="65" s="1"/>
  <c r="AO122" i="65" s="1"/>
  <c r="M143" i="69"/>
  <c r="O122" i="65" s="1"/>
  <c r="AR122" i="65" s="1"/>
  <c r="I143" i="69"/>
  <c r="K122" i="65" s="1"/>
  <c r="AN122" i="65" s="1"/>
  <c r="L143" i="69"/>
  <c r="N122" i="65" s="1"/>
  <c r="AQ122" i="65" s="1"/>
  <c r="H143" i="69"/>
  <c r="J122" i="65" s="1"/>
  <c r="AM122" i="65" s="1"/>
  <c r="D143" i="69"/>
  <c r="F122" i="65" s="1"/>
  <c r="AI122" i="65" s="1"/>
  <c r="F143" i="69"/>
  <c r="H122" i="65" s="1"/>
  <c r="AK122" i="65" s="1"/>
  <c r="E143" i="69"/>
  <c r="G122" i="65" s="1"/>
  <c r="AJ122" i="65" s="1"/>
  <c r="K143" i="69"/>
  <c r="M122" i="65" s="1"/>
  <c r="AP122" i="65" s="1"/>
  <c r="G143" i="69"/>
  <c r="I122" i="65" s="1"/>
  <c r="AL122" i="65" s="1"/>
  <c r="K133" i="69"/>
  <c r="M112" i="65" s="1"/>
  <c r="AP112" i="65" s="1"/>
  <c r="G133" i="69"/>
  <c r="I112" i="65" s="1"/>
  <c r="AL112" i="65" s="1"/>
  <c r="N133" i="69"/>
  <c r="P112" i="65" s="1"/>
  <c r="AS112" i="65" s="1"/>
  <c r="J133" i="69"/>
  <c r="L112" i="65" s="1"/>
  <c r="AO112" i="65" s="1"/>
  <c r="F133" i="69"/>
  <c r="H112" i="65" s="1"/>
  <c r="AK112" i="65" s="1"/>
  <c r="M133" i="69"/>
  <c r="O112" i="65" s="1"/>
  <c r="AR112" i="65" s="1"/>
  <c r="I133" i="69"/>
  <c r="K112" i="65" s="1"/>
  <c r="AN112" i="65" s="1"/>
  <c r="E133" i="69"/>
  <c r="G112" i="65" s="1"/>
  <c r="AJ112" i="65" s="1"/>
  <c r="L133" i="69"/>
  <c r="N112" i="65" s="1"/>
  <c r="AQ112" i="65" s="1"/>
  <c r="H133" i="69"/>
  <c r="J112" i="65" s="1"/>
  <c r="AM112" i="65" s="1"/>
  <c r="D133" i="69"/>
  <c r="F112" i="65" s="1"/>
  <c r="AI112" i="65" s="1"/>
  <c r="G123" i="69"/>
  <c r="I102" i="65" s="1"/>
  <c r="AL102" i="65" s="1"/>
  <c r="J123" i="69"/>
  <c r="L102" i="65" s="1"/>
  <c r="AO102" i="65" s="1"/>
  <c r="L123" i="69"/>
  <c r="N102" i="65" s="1"/>
  <c r="AQ102" i="65" s="1"/>
  <c r="H123" i="69"/>
  <c r="J102" i="65" s="1"/>
  <c r="AM102" i="65" s="1"/>
  <c r="D123" i="69"/>
  <c r="F102" i="65" s="1"/>
  <c r="AI102" i="65" s="1"/>
  <c r="K123" i="69"/>
  <c r="M102" i="65" s="1"/>
  <c r="AP102" i="65" s="1"/>
  <c r="N123" i="69"/>
  <c r="P102" i="65" s="1"/>
  <c r="AS102" i="65" s="1"/>
  <c r="F123" i="69"/>
  <c r="H102" i="65" s="1"/>
  <c r="AK102" i="65" s="1"/>
  <c r="M123" i="69"/>
  <c r="O102" i="65" s="1"/>
  <c r="AR102" i="65" s="1"/>
  <c r="I123" i="69"/>
  <c r="K102" i="65" s="1"/>
  <c r="AN102" i="65" s="1"/>
  <c r="E123" i="69"/>
  <c r="G102" i="65" s="1"/>
  <c r="AJ102" i="65" s="1"/>
  <c r="K113" i="69"/>
  <c r="M92" i="65" s="1"/>
  <c r="AP92" i="65" s="1"/>
  <c r="L113" i="69"/>
  <c r="N92" i="65" s="1"/>
  <c r="AQ92" i="65" s="1"/>
  <c r="H113" i="69"/>
  <c r="J92" i="65" s="1"/>
  <c r="AM92" i="65" s="1"/>
  <c r="D113" i="69"/>
  <c r="F92" i="65" s="1"/>
  <c r="AI92" i="65" s="1"/>
  <c r="N113" i="69"/>
  <c r="P92" i="65" s="1"/>
  <c r="AS92" i="65" s="1"/>
  <c r="J113" i="69"/>
  <c r="L92" i="65" s="1"/>
  <c r="AO92" i="65" s="1"/>
  <c r="F113" i="69"/>
  <c r="H92" i="65" s="1"/>
  <c r="AK92" i="65" s="1"/>
  <c r="G113" i="69"/>
  <c r="I92" i="65" s="1"/>
  <c r="AL92" i="65" s="1"/>
  <c r="M113" i="69"/>
  <c r="O92" i="65" s="1"/>
  <c r="AR92" i="65" s="1"/>
  <c r="I113" i="69"/>
  <c r="K92" i="65" s="1"/>
  <c r="AN92" i="65" s="1"/>
  <c r="E113" i="69"/>
  <c r="G92" i="65" s="1"/>
  <c r="AJ92" i="65" s="1"/>
  <c r="D103" i="69"/>
  <c r="F82" i="65" s="1"/>
  <c r="AI82" i="65" s="1"/>
  <c r="K103" i="69"/>
  <c r="M82" i="65" s="1"/>
  <c r="AP82" i="65" s="1"/>
  <c r="N103" i="69"/>
  <c r="P82" i="65" s="1"/>
  <c r="AS82" i="65" s="1"/>
  <c r="J103" i="69"/>
  <c r="L82" i="65" s="1"/>
  <c r="AO82" i="65" s="1"/>
  <c r="F103" i="69"/>
  <c r="H82" i="65" s="1"/>
  <c r="AK82" i="65" s="1"/>
  <c r="L103" i="69"/>
  <c r="N82" i="65" s="1"/>
  <c r="AQ82" i="65" s="1"/>
  <c r="H103" i="69"/>
  <c r="J82" i="65" s="1"/>
  <c r="AM82" i="65" s="1"/>
  <c r="G103" i="69"/>
  <c r="I82" i="65" s="1"/>
  <c r="AL82" i="65" s="1"/>
  <c r="M103" i="69"/>
  <c r="O82" i="65" s="1"/>
  <c r="AR82" i="65" s="1"/>
  <c r="I103" i="69"/>
  <c r="K82" i="65" s="1"/>
  <c r="AN82" i="65" s="1"/>
  <c r="E103" i="69"/>
  <c r="G82" i="65" s="1"/>
  <c r="AJ82" i="65" s="1"/>
  <c r="E93" i="69"/>
  <c r="G172" i="65" s="1"/>
  <c r="AJ172" i="65" s="1"/>
  <c r="N93" i="69"/>
  <c r="P172" i="65" s="1"/>
  <c r="AS172" i="65" s="1"/>
  <c r="J93" i="69"/>
  <c r="L172" i="65" s="1"/>
  <c r="AO172" i="65" s="1"/>
  <c r="F93" i="69"/>
  <c r="H172" i="65" s="1"/>
  <c r="AK172" i="65" s="1"/>
  <c r="M93" i="69"/>
  <c r="O172" i="65" s="1"/>
  <c r="AR172" i="65" s="1"/>
  <c r="L93" i="69"/>
  <c r="N172" i="65" s="1"/>
  <c r="AQ172" i="65" s="1"/>
  <c r="H93" i="69"/>
  <c r="J172" i="65" s="1"/>
  <c r="AM172" i="65" s="1"/>
  <c r="D93" i="69"/>
  <c r="F172" i="65" s="1"/>
  <c r="AI172" i="65" s="1"/>
  <c r="I93" i="69"/>
  <c r="K172" i="65" s="1"/>
  <c r="AN172" i="65" s="1"/>
  <c r="K93" i="69"/>
  <c r="M172" i="65" s="1"/>
  <c r="AP172" i="65" s="1"/>
  <c r="G93" i="69"/>
  <c r="I172" i="65" s="1"/>
  <c r="AL172" i="65" s="1"/>
  <c r="M83" i="69"/>
  <c r="O162" i="65" s="1"/>
  <c r="AR162" i="65" s="1"/>
  <c r="E83" i="69"/>
  <c r="G162" i="65" s="1"/>
  <c r="AJ162" i="65" s="1"/>
  <c r="L83" i="69"/>
  <c r="N162" i="65" s="1"/>
  <c r="AQ162" i="65" s="1"/>
  <c r="D83" i="69"/>
  <c r="F162" i="65" s="1"/>
  <c r="AI162" i="65" s="1"/>
  <c r="N83" i="69"/>
  <c r="P162" i="65" s="1"/>
  <c r="AS162" i="65" s="1"/>
  <c r="J83" i="69"/>
  <c r="L162" i="65" s="1"/>
  <c r="AO162" i="65" s="1"/>
  <c r="F83" i="69"/>
  <c r="H162" i="65" s="1"/>
  <c r="AK162" i="65" s="1"/>
  <c r="I83" i="69"/>
  <c r="K162" i="65" s="1"/>
  <c r="AN162" i="65" s="1"/>
  <c r="H83" i="69"/>
  <c r="J162" i="65" s="1"/>
  <c r="AM162" i="65" s="1"/>
  <c r="K83" i="69"/>
  <c r="M162" i="65" s="1"/>
  <c r="AP162" i="65" s="1"/>
  <c r="G83" i="69"/>
  <c r="I162" i="65" s="1"/>
  <c r="AL162" i="65" s="1"/>
  <c r="H73" i="69"/>
  <c r="J72" i="65" s="1"/>
  <c r="AM72" i="65" s="1"/>
  <c r="K73" i="69"/>
  <c r="M72" i="65" s="1"/>
  <c r="AP72" i="65" s="1"/>
  <c r="G73" i="69"/>
  <c r="I72" i="65" s="1"/>
  <c r="AL72" i="65" s="1"/>
  <c r="L73" i="69"/>
  <c r="N72" i="65" s="1"/>
  <c r="AQ72" i="65" s="1"/>
  <c r="N73" i="69"/>
  <c r="P72" i="65" s="1"/>
  <c r="AS72" i="65" s="1"/>
  <c r="J73" i="69"/>
  <c r="L72" i="65" s="1"/>
  <c r="AO72" i="65" s="1"/>
  <c r="F73" i="69"/>
  <c r="H72" i="65" s="1"/>
  <c r="AK72" i="65" s="1"/>
  <c r="D73" i="69"/>
  <c r="F72" i="65" s="1"/>
  <c r="AI72" i="65" s="1"/>
  <c r="M73" i="69"/>
  <c r="O72" i="65" s="1"/>
  <c r="AR72" i="65" s="1"/>
  <c r="I73" i="69"/>
  <c r="K72" i="65" s="1"/>
  <c r="AN72" i="65" s="1"/>
  <c r="E73" i="69"/>
  <c r="G72" i="65" s="1"/>
  <c r="AJ72" i="65" s="1"/>
  <c r="G63" i="69"/>
  <c r="I62" i="65" s="1"/>
  <c r="AL62" i="65" s="1"/>
  <c r="N63" i="69"/>
  <c r="P62" i="65" s="1"/>
  <c r="AS62" i="65" s="1"/>
  <c r="J63" i="69"/>
  <c r="L62" i="65" s="1"/>
  <c r="AO62" i="65" s="1"/>
  <c r="F63" i="69"/>
  <c r="H62" i="65" s="1"/>
  <c r="AK62" i="65" s="1"/>
  <c r="M63" i="69"/>
  <c r="O62" i="65" s="1"/>
  <c r="AR62" i="65" s="1"/>
  <c r="I63" i="69"/>
  <c r="K62" i="65" s="1"/>
  <c r="AN62" i="65" s="1"/>
  <c r="E63" i="69"/>
  <c r="G62" i="65" s="1"/>
  <c r="AJ62" i="65" s="1"/>
  <c r="L63" i="69"/>
  <c r="N62" i="65" s="1"/>
  <c r="AQ62" i="65" s="1"/>
  <c r="H63" i="69"/>
  <c r="J62" i="65" s="1"/>
  <c r="AM62" i="65" s="1"/>
  <c r="D63" i="69"/>
  <c r="F62" i="65" s="1"/>
  <c r="AI62" i="65" s="1"/>
  <c r="K63" i="69"/>
  <c r="M62" i="65" s="1"/>
  <c r="AP62" i="65" s="1"/>
  <c r="D53" i="69"/>
  <c r="F52" i="65" s="1"/>
  <c r="AI52" i="65" s="1"/>
  <c r="K53" i="69"/>
  <c r="M52" i="65" s="1"/>
  <c r="AP52" i="65" s="1"/>
  <c r="G53" i="69"/>
  <c r="I52" i="65" s="1"/>
  <c r="AL52" i="65" s="1"/>
  <c r="L53" i="69"/>
  <c r="N52" i="65" s="1"/>
  <c r="AQ52" i="65" s="1"/>
  <c r="H53" i="69"/>
  <c r="J52" i="65" s="1"/>
  <c r="AM52" i="65" s="1"/>
  <c r="N53" i="69"/>
  <c r="P52" i="65" s="1"/>
  <c r="AS52" i="65" s="1"/>
  <c r="J53" i="69"/>
  <c r="L52" i="65" s="1"/>
  <c r="AO52" i="65" s="1"/>
  <c r="F53" i="69"/>
  <c r="H52" i="65" s="1"/>
  <c r="AK52" i="65" s="1"/>
  <c r="M53" i="69"/>
  <c r="O52" i="65" s="1"/>
  <c r="AR52" i="65" s="1"/>
  <c r="I53" i="69"/>
  <c r="K52" i="65" s="1"/>
  <c r="AN52" i="65" s="1"/>
  <c r="E53" i="69"/>
  <c r="G52" i="65" s="1"/>
  <c r="AJ52" i="65" s="1"/>
  <c r="M43" i="69"/>
  <c r="O42" i="65" s="1"/>
  <c r="AR42" i="65" s="1"/>
  <c r="N43" i="69"/>
  <c r="P42" i="65" s="1"/>
  <c r="AS42" i="65" s="1"/>
  <c r="J43" i="69"/>
  <c r="L42" i="65" s="1"/>
  <c r="AO42" i="65" s="1"/>
  <c r="F43" i="69"/>
  <c r="H42" i="65" s="1"/>
  <c r="AK42" i="65" s="1"/>
  <c r="I43" i="69"/>
  <c r="K42" i="65" s="1"/>
  <c r="AN42" i="65" s="1"/>
  <c r="L43" i="69"/>
  <c r="N42" i="65" s="1"/>
  <c r="AQ42" i="65" s="1"/>
  <c r="H43" i="69"/>
  <c r="J42" i="65" s="1"/>
  <c r="AM42" i="65" s="1"/>
  <c r="D43" i="69"/>
  <c r="F42" i="65" s="1"/>
  <c r="AI42" i="65" s="1"/>
  <c r="E43" i="69"/>
  <c r="G42" i="65" s="1"/>
  <c r="AJ42" i="65" s="1"/>
  <c r="K43" i="69"/>
  <c r="M42" i="65" s="1"/>
  <c r="AP42" i="65" s="1"/>
  <c r="G43" i="69"/>
  <c r="I42" i="65" s="1"/>
  <c r="AL42" i="65" s="1"/>
  <c r="N33" i="69"/>
  <c r="P32" i="65" s="1"/>
  <c r="AS32" i="65" s="1"/>
  <c r="J33" i="69"/>
  <c r="L32" i="65" s="1"/>
  <c r="AO32" i="65" s="1"/>
  <c r="F33" i="69"/>
  <c r="H32" i="65" s="1"/>
  <c r="AK32" i="65" s="1"/>
  <c r="M33" i="69"/>
  <c r="O32" i="65" s="1"/>
  <c r="AR32" i="65" s="1"/>
  <c r="I33" i="69"/>
  <c r="K32" i="65" s="1"/>
  <c r="AN32" i="65" s="1"/>
  <c r="L33" i="69"/>
  <c r="N32" i="65" s="1"/>
  <c r="AQ32" i="65" s="1"/>
  <c r="H33" i="69"/>
  <c r="J32" i="65" s="1"/>
  <c r="AM32" i="65" s="1"/>
  <c r="D33" i="69"/>
  <c r="F32" i="65" s="1"/>
  <c r="AI32" i="65" s="1"/>
  <c r="E33" i="69"/>
  <c r="G32" i="65" s="1"/>
  <c r="AJ32" i="65" s="1"/>
  <c r="K33" i="69"/>
  <c r="M32" i="65" s="1"/>
  <c r="AP32" i="65" s="1"/>
  <c r="G33" i="69"/>
  <c r="I32" i="65" s="1"/>
  <c r="AL32" i="65" s="1"/>
  <c r="U157" i="70"/>
  <c r="CB11" i="24"/>
  <c r="BY11" i="24"/>
  <c r="R134" i="53"/>
  <c r="CB94" i="24"/>
  <c r="BU104" i="24"/>
  <c r="BU107" i="24" s="1"/>
  <c r="BQ104" i="24"/>
  <c r="BQ107" i="24" s="1"/>
  <c r="BM104" i="24"/>
  <c r="BM107" i="24" s="1"/>
  <c r="BI104" i="24"/>
  <c r="BI107" i="24" s="1"/>
  <c r="BE104" i="24"/>
  <c r="BE107" i="24" s="1"/>
  <c r="BA104" i="24"/>
  <c r="BA107" i="24" s="1"/>
  <c r="Y104" i="24"/>
  <c r="Y107" i="24" s="1"/>
  <c r="U104" i="24"/>
  <c r="U107" i="24" s="1"/>
  <c r="Q104" i="24"/>
  <c r="Q107" i="24" s="1"/>
  <c r="M104" i="24"/>
  <c r="M107" i="24" s="1"/>
  <c r="I104" i="24"/>
  <c r="I107" i="24" s="1"/>
  <c r="E104" i="24"/>
  <c r="E107" i="24" s="1"/>
  <c r="U227" i="69"/>
  <c r="R234" i="53"/>
  <c r="M58" i="52"/>
  <c r="N13" i="69" s="1"/>
  <c r="P12" i="65" s="1"/>
  <c r="AS12" i="65" s="1"/>
  <c r="AW104" i="24"/>
  <c r="AW107" i="24" s="1"/>
  <c r="I58" i="52"/>
  <c r="J13" i="69" s="1"/>
  <c r="L12" i="65" s="1"/>
  <c r="AO12" i="65" s="1"/>
  <c r="AS104" i="24"/>
  <c r="AS107" i="24" s="1"/>
  <c r="E58" i="52"/>
  <c r="F13" i="69" s="1"/>
  <c r="H12" i="65" s="1"/>
  <c r="AK12" i="65" s="1"/>
  <c r="AO104" i="24"/>
  <c r="AO107" i="24" s="1"/>
  <c r="M12" i="52"/>
  <c r="N13" i="70" s="1"/>
  <c r="AK104" i="24"/>
  <c r="AK107" i="24" s="1"/>
  <c r="I12" i="52"/>
  <c r="J13" i="70" s="1"/>
  <c r="AG104" i="24"/>
  <c r="AG107" i="24" s="1"/>
  <c r="E12" i="52"/>
  <c r="F13" i="70" s="1"/>
  <c r="AC104" i="24"/>
  <c r="AC107" i="24" s="1"/>
  <c r="CC104" i="24"/>
  <c r="CC107" i="24" s="1"/>
  <c r="BY104" i="24"/>
  <c r="BY107" i="24" s="1"/>
  <c r="E18" i="47"/>
  <c r="I18" i="47"/>
  <c r="M18" i="47"/>
  <c r="E19" i="47"/>
  <c r="E39" i="47" s="1"/>
  <c r="E40" i="47" s="1"/>
  <c r="I19" i="47"/>
  <c r="I39" i="47" s="1"/>
  <c r="I40" i="47" s="1"/>
  <c r="M19" i="47"/>
  <c r="M39" i="47" s="1"/>
  <c r="M40" i="47" s="1"/>
  <c r="B73" i="52"/>
  <c r="CG100" i="24"/>
  <c r="CF100" i="24"/>
  <c r="B72" i="52"/>
  <c r="CG94" i="24"/>
  <c r="CF94" i="24"/>
  <c r="CG88" i="24"/>
  <c r="CF88" i="24"/>
  <c r="CG78" i="24"/>
  <c r="CF78" i="24"/>
  <c r="B69" i="52"/>
  <c r="CG70" i="24"/>
  <c r="CF70" i="24"/>
  <c r="B68" i="52"/>
  <c r="CG68" i="24"/>
  <c r="CF68" i="24"/>
  <c r="B67" i="52"/>
  <c r="CG64" i="24"/>
  <c r="CF64" i="24"/>
  <c r="CG62" i="24"/>
  <c r="CF62" i="24"/>
  <c r="CG56" i="24"/>
  <c r="CF56" i="24"/>
  <c r="B64" i="52"/>
  <c r="CG42" i="24"/>
  <c r="CF42" i="24"/>
  <c r="B62" i="52"/>
  <c r="CG32" i="24"/>
  <c r="CF32" i="24"/>
  <c r="CG16" i="24"/>
  <c r="CF16" i="24"/>
  <c r="U169" i="53"/>
  <c r="R169" i="53"/>
  <c r="P199" i="53"/>
  <c r="O87" i="18"/>
  <c r="CA8" i="24"/>
  <c r="CA104" i="24" s="1"/>
  <c r="CA107" i="24" s="1"/>
  <c r="BW104" i="24"/>
  <c r="BW107" i="24" s="1"/>
  <c r="BS104" i="24"/>
  <c r="BS107" i="24" s="1"/>
  <c r="BO104" i="24"/>
  <c r="BO107" i="24" s="1"/>
  <c r="BK104" i="24"/>
  <c r="BK107" i="24" s="1"/>
  <c r="BG104" i="24"/>
  <c r="BG107" i="24" s="1"/>
  <c r="BC104" i="24"/>
  <c r="BC107" i="24" s="1"/>
  <c r="AY104" i="24"/>
  <c r="AY107" i="24" s="1"/>
  <c r="K58" i="52"/>
  <c r="AU104" i="24"/>
  <c r="AU107" i="24" s="1"/>
  <c r="G58" i="52"/>
  <c r="AQ104" i="24"/>
  <c r="AQ107" i="24" s="1"/>
  <c r="C58" i="52"/>
  <c r="AM104" i="24"/>
  <c r="AM107" i="24" s="1"/>
  <c r="K12" i="52"/>
  <c r="L13" i="70" s="1"/>
  <c r="AI104" i="24"/>
  <c r="AI107" i="24" s="1"/>
  <c r="G12" i="52"/>
  <c r="H13" i="70" s="1"/>
  <c r="AE104" i="24"/>
  <c r="AE107" i="24" s="1"/>
  <c r="C12" i="52"/>
  <c r="D13" i="70" s="1"/>
  <c r="AA104" i="24"/>
  <c r="AA107" i="24" s="1"/>
  <c r="W104" i="24"/>
  <c r="W107" i="24" s="1"/>
  <c r="S104" i="24"/>
  <c r="S107" i="24" s="1"/>
  <c r="O104" i="24"/>
  <c r="O107" i="24" s="1"/>
  <c r="K104" i="24"/>
  <c r="K107" i="24" s="1"/>
  <c r="G104" i="24"/>
  <c r="G107" i="24" s="1"/>
  <c r="N17" i="17"/>
  <c r="N18" i="17"/>
  <c r="B27" i="50"/>
  <c r="C119" i="70" s="1"/>
  <c r="C18" i="47"/>
  <c r="G18" i="47"/>
  <c r="K18" i="47"/>
  <c r="N19" i="17"/>
  <c r="C19" i="47"/>
  <c r="C39" i="47" s="1"/>
  <c r="C40" i="47" s="1"/>
  <c r="G19" i="47"/>
  <c r="G39" i="47" s="1"/>
  <c r="G40" i="47" s="1"/>
  <c r="K19" i="47"/>
  <c r="K39" i="47" s="1"/>
  <c r="K40" i="47" s="1"/>
  <c r="R69" i="53"/>
  <c r="P99" i="53"/>
  <c r="R99" i="53" s="1"/>
  <c r="R284" i="53"/>
  <c r="R119" i="53"/>
  <c r="P149" i="53"/>
  <c r="R149" i="53" s="1"/>
  <c r="B74" i="52"/>
  <c r="CG103" i="24"/>
  <c r="CF103" i="24"/>
  <c r="B71" i="52"/>
  <c r="CG91" i="24"/>
  <c r="CF91" i="24"/>
  <c r="CG83" i="24"/>
  <c r="CF83" i="24"/>
  <c r="B70" i="52"/>
  <c r="CG73" i="24"/>
  <c r="CF73" i="24"/>
  <c r="CG59" i="24"/>
  <c r="CF59" i="24"/>
  <c r="B66" i="52"/>
  <c r="CG53" i="24"/>
  <c r="CF53" i="24"/>
  <c r="B65" i="52"/>
  <c r="CG47" i="24"/>
  <c r="CF47" i="24"/>
  <c r="B63" i="52"/>
  <c r="CG37" i="24"/>
  <c r="CF37" i="24"/>
  <c r="B61" i="52"/>
  <c r="CG29" i="24"/>
  <c r="CF29" i="24"/>
  <c r="CG23" i="24"/>
  <c r="CF23" i="24"/>
  <c r="CG21" i="24"/>
  <c r="CF21" i="24"/>
  <c r="B60" i="52"/>
  <c r="CG11" i="24"/>
  <c r="B14" i="52"/>
  <c r="C27" i="70" s="1"/>
  <c r="CF11" i="24"/>
  <c r="U164" i="70"/>
  <c r="P249" i="53"/>
  <c r="R219" i="53"/>
  <c r="U219" i="53"/>
  <c r="R269" i="53"/>
  <c r="P299" i="53"/>
  <c r="R299" i="53" s="1"/>
  <c r="B58" i="52"/>
  <c r="CG5" i="24"/>
  <c r="B12" i="52"/>
  <c r="C13" i="70" s="1"/>
  <c r="CF5" i="24"/>
  <c r="D18" i="47"/>
  <c r="H18" i="47"/>
  <c r="L18" i="47"/>
  <c r="D19" i="47"/>
  <c r="D39" i="47" s="1"/>
  <c r="D40" i="47" s="1"/>
  <c r="H19" i="47"/>
  <c r="H39" i="47" s="1"/>
  <c r="H40" i="47" s="1"/>
  <c r="L19" i="47"/>
  <c r="L39" i="47" s="1"/>
  <c r="L40" i="47" s="1"/>
  <c r="P349" i="53"/>
  <c r="R349" i="53" s="1"/>
  <c r="R319" i="53"/>
  <c r="R295" i="53"/>
  <c r="B59" i="52"/>
  <c r="C23" i="69" s="1"/>
  <c r="CG8" i="24"/>
  <c r="B13" i="52"/>
  <c r="C20" i="70" s="1"/>
  <c r="CF8" i="24"/>
  <c r="F18" i="47"/>
  <c r="J18" i="47"/>
  <c r="N18" i="47"/>
  <c r="F19" i="47"/>
  <c r="F39" i="47" s="1"/>
  <c r="F40" i="47" s="1"/>
  <c r="J19" i="47"/>
  <c r="J39" i="47" s="1"/>
  <c r="J40" i="47" s="1"/>
  <c r="N19" i="47"/>
  <c r="N39" i="47" s="1"/>
  <c r="N40" i="47" s="1"/>
  <c r="R245" i="53"/>
  <c r="R334" i="53"/>
  <c r="R145" i="53"/>
  <c r="J76" i="52"/>
  <c r="J91" i="52" s="1"/>
  <c r="F76" i="52"/>
  <c r="F91" i="52" s="1"/>
  <c r="U217" i="69"/>
  <c r="L76" i="52"/>
  <c r="L91" i="52" s="1"/>
  <c r="H76" i="52"/>
  <c r="H91" i="52" s="1"/>
  <c r="D76" i="52"/>
  <c r="D91" i="52" s="1"/>
  <c r="N43" i="52"/>
  <c r="F123" i="68"/>
  <c r="J20" i="61"/>
  <c r="L30" i="52"/>
  <c r="L45" i="52" s="1"/>
  <c r="J30" i="52"/>
  <c r="J45" i="52" s="1"/>
  <c r="H30" i="52"/>
  <c r="H45" i="52" s="1"/>
  <c r="F30" i="52"/>
  <c r="F45" i="52" s="1"/>
  <c r="D30" i="52"/>
  <c r="D45" i="52" s="1"/>
  <c r="CD8" i="24"/>
  <c r="CB8" i="24"/>
  <c r="CB104" i="24" s="1"/>
  <c r="CB107" i="24" s="1"/>
  <c r="BZ8" i="24"/>
  <c r="BZ104" i="24" s="1"/>
  <c r="BZ107" i="24" s="1"/>
  <c r="CD11" i="24"/>
  <c r="M14" i="52"/>
  <c r="N27" i="70" s="1"/>
  <c r="K14" i="52"/>
  <c r="L27" i="70" s="1"/>
  <c r="I14" i="52"/>
  <c r="J27" i="70" s="1"/>
  <c r="G14" i="52"/>
  <c r="H27" i="70" s="1"/>
  <c r="E14" i="52"/>
  <c r="F27" i="70" s="1"/>
  <c r="C14" i="52"/>
  <c r="D27" i="70" s="1"/>
  <c r="M13" i="52"/>
  <c r="N20" i="70" s="1"/>
  <c r="K13" i="52"/>
  <c r="L20" i="70" s="1"/>
  <c r="I13" i="52"/>
  <c r="J20" i="70" s="1"/>
  <c r="G13" i="52"/>
  <c r="H20" i="70" s="1"/>
  <c r="E13" i="52"/>
  <c r="F20" i="70" s="1"/>
  <c r="C13" i="52"/>
  <c r="D20" i="70" s="1"/>
  <c r="O45" i="18"/>
  <c r="O44" i="18"/>
  <c r="O43" i="18"/>
  <c r="O42" i="18"/>
  <c r="O41" i="18"/>
  <c r="O40" i="18"/>
  <c r="O55" i="18"/>
  <c r="O54" i="18"/>
  <c r="O53" i="18"/>
  <c r="O52" i="18"/>
  <c r="O51" i="18"/>
  <c r="M47" i="18"/>
  <c r="L47" i="18"/>
  <c r="K47" i="18"/>
  <c r="J47" i="18"/>
  <c r="I47" i="18"/>
  <c r="H47" i="18"/>
  <c r="G47" i="18"/>
  <c r="F47" i="18"/>
  <c r="E47" i="18"/>
  <c r="D47" i="18"/>
  <c r="C47" i="18"/>
  <c r="B47" i="18"/>
  <c r="O50" i="18"/>
  <c r="M57" i="18"/>
  <c r="L57" i="18"/>
  <c r="K57" i="18"/>
  <c r="J57" i="18"/>
  <c r="I57" i="18"/>
  <c r="H57" i="18"/>
  <c r="G57" i="18"/>
  <c r="F57" i="18"/>
  <c r="E57" i="18"/>
  <c r="D57" i="18"/>
  <c r="C57" i="18"/>
  <c r="B57" i="18"/>
  <c r="O10" i="18"/>
  <c r="O11" i="18"/>
  <c r="O14" i="18"/>
  <c r="O15" i="18"/>
  <c r="O25" i="18"/>
  <c r="O24" i="18"/>
  <c r="O21" i="18"/>
  <c r="O20" i="18"/>
  <c r="M27" i="18"/>
  <c r="L27" i="18"/>
  <c r="K27" i="18"/>
  <c r="J27" i="18"/>
  <c r="I27" i="18"/>
  <c r="H27" i="18"/>
  <c r="G27" i="18"/>
  <c r="F27" i="18"/>
  <c r="E27" i="18"/>
  <c r="D27" i="18"/>
  <c r="C27" i="18"/>
  <c r="B27" i="18"/>
  <c r="M17" i="18"/>
  <c r="L17" i="18"/>
  <c r="K17" i="18"/>
  <c r="J17" i="18"/>
  <c r="H17" i="18"/>
  <c r="G17" i="18"/>
  <c r="F17" i="18"/>
  <c r="E17" i="18"/>
  <c r="D17" i="18"/>
  <c r="C17" i="18"/>
  <c r="B17" i="18"/>
  <c r="I17" i="18"/>
  <c r="B118" i="13"/>
  <c r="O146" i="13"/>
  <c r="P146" i="13" s="1"/>
  <c r="D126" i="68" s="1"/>
  <c r="B76" i="13"/>
  <c r="O105" i="13"/>
  <c r="P105" i="13" s="1"/>
  <c r="O104" i="13"/>
  <c r="P104" i="13" s="1"/>
  <c r="C126" i="68" s="1"/>
  <c r="O103" i="13"/>
  <c r="P103" i="13" s="1"/>
  <c r="C120" i="68" s="1"/>
  <c r="B41" i="13"/>
  <c r="B117" i="12"/>
  <c r="O103" i="12"/>
  <c r="B75" i="12"/>
  <c r="O104" i="12"/>
  <c r="O102" i="12"/>
  <c r="B40" i="12"/>
  <c r="O69" i="12"/>
  <c r="O70" i="13"/>
  <c r="P70" i="13" s="1"/>
  <c r="N51" i="23" l="1"/>
  <c r="K51" i="23"/>
  <c r="J51" i="23"/>
  <c r="L51" i="23"/>
  <c r="C51" i="23"/>
  <c r="C52" i="23" s="1"/>
  <c r="M51" i="23"/>
  <c r="O23" i="69"/>
  <c r="E22" i="65"/>
  <c r="AH22" i="65" s="1"/>
  <c r="N58" i="52"/>
  <c r="J129" i="68"/>
  <c r="J147" i="68"/>
  <c r="O27" i="70"/>
  <c r="O20" i="70"/>
  <c r="D93" i="66"/>
  <c r="C173" i="69"/>
  <c r="N73" i="52"/>
  <c r="N72" i="52"/>
  <c r="C143" i="69"/>
  <c r="C133" i="69"/>
  <c r="C123" i="69"/>
  <c r="N68" i="52"/>
  <c r="C103" i="69"/>
  <c r="C93" i="69"/>
  <c r="C83" i="69"/>
  <c r="N64" i="52"/>
  <c r="C63" i="69"/>
  <c r="N62" i="52"/>
  <c r="C43" i="69"/>
  <c r="C33" i="69"/>
  <c r="J165" i="68"/>
  <c r="J153" i="68"/>
  <c r="J159" i="68"/>
  <c r="J135" i="68"/>
  <c r="J123" i="68"/>
  <c r="J141" i="68"/>
  <c r="C76" i="52"/>
  <c r="C91" i="52" s="1"/>
  <c r="D13" i="69"/>
  <c r="F12" i="65" s="1"/>
  <c r="AI12" i="65" s="1"/>
  <c r="K76" i="52"/>
  <c r="K91" i="52" s="1"/>
  <c r="L13" i="69"/>
  <c r="N12" i="65" s="1"/>
  <c r="AQ12" i="65" s="1"/>
  <c r="G76" i="52"/>
  <c r="G91" i="52" s="1"/>
  <c r="H13" i="69"/>
  <c r="J12" i="65" s="1"/>
  <c r="AM12" i="65" s="1"/>
  <c r="B30" i="52"/>
  <c r="B45" i="52" s="1"/>
  <c r="C53" i="69"/>
  <c r="N61" i="52"/>
  <c r="N65" i="52"/>
  <c r="N74" i="52"/>
  <c r="J12" i="12"/>
  <c r="J14" i="25" s="1"/>
  <c r="J28" i="69" s="1"/>
  <c r="N22" i="12"/>
  <c r="N14" i="41" s="1"/>
  <c r="N128" i="69" s="1"/>
  <c r="N12" i="12"/>
  <c r="N14" i="25" s="1"/>
  <c r="N28" i="69" s="1"/>
  <c r="N17" i="12"/>
  <c r="N14" i="33" s="1"/>
  <c r="N78" i="69" s="1"/>
  <c r="I12" i="12"/>
  <c r="I14" i="25" s="1"/>
  <c r="I28" i="69" s="1"/>
  <c r="F14" i="12"/>
  <c r="F14" i="30" s="1"/>
  <c r="F12" i="12"/>
  <c r="F14" i="25" s="1"/>
  <c r="F28" i="69" s="1"/>
  <c r="D21" i="12"/>
  <c r="D14" i="40" s="1"/>
  <c r="D118" i="69" s="1"/>
  <c r="L18" i="12"/>
  <c r="L14" i="34" s="1"/>
  <c r="L88" i="69" s="1"/>
  <c r="N167" i="65" s="1"/>
  <c r="AQ167" i="65" s="1"/>
  <c r="I11" i="12"/>
  <c r="I14" i="23" s="1"/>
  <c r="I18" i="69" s="1"/>
  <c r="M16" i="12"/>
  <c r="M14" i="32" s="1"/>
  <c r="M68" i="69" s="1"/>
  <c r="E22" i="12"/>
  <c r="E14" i="41" s="1"/>
  <c r="E128" i="69" s="1"/>
  <c r="I27" i="12"/>
  <c r="I14" i="49" s="1"/>
  <c r="K15" i="12"/>
  <c r="K14" i="31" s="1"/>
  <c r="K58" i="69" s="1"/>
  <c r="C21" i="12"/>
  <c r="C14" i="40" s="1"/>
  <c r="C118" i="69" s="1"/>
  <c r="G26" i="12"/>
  <c r="G14" i="48" s="1"/>
  <c r="D26" i="12"/>
  <c r="D14" i="48" s="1"/>
  <c r="K12" i="12"/>
  <c r="K14" i="25" s="1"/>
  <c r="K28" i="69" s="1"/>
  <c r="G23" i="12"/>
  <c r="G14" i="42" s="1"/>
  <c r="G138" i="69" s="1"/>
  <c r="F13" i="12"/>
  <c r="F14" i="26" s="1"/>
  <c r="F38" i="69" s="1"/>
  <c r="F19" i="12"/>
  <c r="F14" i="35" s="1"/>
  <c r="F98" i="69" s="1"/>
  <c r="H177" i="65" s="1"/>
  <c r="AK177" i="65" s="1"/>
  <c r="L11" i="12"/>
  <c r="L14" i="23" s="1"/>
  <c r="L18" i="69" s="1"/>
  <c r="D14" i="12"/>
  <c r="D14" i="30" s="1"/>
  <c r="L24" i="12"/>
  <c r="L14" i="46" s="1"/>
  <c r="L148" i="69" s="1"/>
  <c r="N127" i="65" s="1"/>
  <c r="AQ127" i="65" s="1"/>
  <c r="I14" i="12"/>
  <c r="I14" i="30" s="1"/>
  <c r="M19" i="12"/>
  <c r="M14" i="35" s="1"/>
  <c r="M98" i="69" s="1"/>
  <c r="O177" i="65" s="1"/>
  <c r="AR177" i="65" s="1"/>
  <c r="E25" i="12"/>
  <c r="E14" i="47" s="1"/>
  <c r="G13" i="12"/>
  <c r="G14" i="26" s="1"/>
  <c r="G38" i="69" s="1"/>
  <c r="K18" i="12"/>
  <c r="K14" i="34" s="1"/>
  <c r="K88" i="69" s="1"/>
  <c r="M167" i="65" s="1"/>
  <c r="AP167" i="65" s="1"/>
  <c r="C24" i="12"/>
  <c r="C14" i="46" s="1"/>
  <c r="C148" i="69" s="1"/>
  <c r="E127" i="65" s="1"/>
  <c r="AH127" i="65" s="1"/>
  <c r="F22" i="12"/>
  <c r="F14" i="41" s="1"/>
  <c r="F128" i="69" s="1"/>
  <c r="E11" i="12"/>
  <c r="E14" i="23" s="1"/>
  <c r="E18" i="69" s="1"/>
  <c r="M21" i="12"/>
  <c r="M14" i="40" s="1"/>
  <c r="M118" i="69" s="1"/>
  <c r="C14" i="12"/>
  <c r="C14" i="30" s="1"/>
  <c r="K24" i="12"/>
  <c r="K14" i="46" s="1"/>
  <c r="K148" i="69" s="1"/>
  <c r="M127" i="65" s="1"/>
  <c r="AP127" i="65" s="1"/>
  <c r="N23" i="12"/>
  <c r="N14" i="42" s="1"/>
  <c r="N138" i="69" s="1"/>
  <c r="H20" i="12"/>
  <c r="H14" i="39" s="1"/>
  <c r="H108" i="69" s="1"/>
  <c r="N21" i="12"/>
  <c r="N14" i="40" s="1"/>
  <c r="N118" i="69" s="1"/>
  <c r="J11" i="12"/>
  <c r="J14" i="23" s="1"/>
  <c r="J18" i="69" s="1"/>
  <c r="D11" i="12"/>
  <c r="D14" i="23" s="1"/>
  <c r="D18" i="69" s="1"/>
  <c r="N11" i="12"/>
  <c r="N14" i="23" s="1"/>
  <c r="N18" i="69" s="1"/>
  <c r="J22" i="12"/>
  <c r="J14" i="41" s="1"/>
  <c r="J128" i="69" s="1"/>
  <c r="N20" i="12"/>
  <c r="N14" i="39" s="1"/>
  <c r="N108" i="69" s="1"/>
  <c r="L23" i="12"/>
  <c r="L14" i="42" s="1"/>
  <c r="L138" i="69" s="1"/>
  <c r="D20" i="12"/>
  <c r="D14" i="39" s="1"/>
  <c r="D108" i="69" s="1"/>
  <c r="I13" i="12"/>
  <c r="I14" i="26" s="1"/>
  <c r="I38" i="69" s="1"/>
  <c r="M18" i="12"/>
  <c r="M14" i="34" s="1"/>
  <c r="M88" i="69" s="1"/>
  <c r="O167" i="65" s="1"/>
  <c r="AR167" i="65" s="1"/>
  <c r="E24" i="12"/>
  <c r="E14" i="46" s="1"/>
  <c r="E148" i="69" s="1"/>
  <c r="G127" i="65" s="1"/>
  <c r="AJ127" i="65" s="1"/>
  <c r="G12" i="12"/>
  <c r="G14" i="25" s="1"/>
  <c r="G28" i="69" s="1"/>
  <c r="K17" i="12"/>
  <c r="K14" i="33" s="1"/>
  <c r="K78" i="69" s="1"/>
  <c r="C23" i="12"/>
  <c r="C14" i="42" s="1"/>
  <c r="C138" i="69" s="1"/>
  <c r="I20" i="12"/>
  <c r="I14" i="39" s="1"/>
  <c r="I108" i="69" s="1"/>
  <c r="M24" i="12"/>
  <c r="M14" i="46" s="1"/>
  <c r="M148" i="69" s="1"/>
  <c r="O127" i="65" s="1"/>
  <c r="AR127" i="65" s="1"/>
  <c r="K23" i="12"/>
  <c r="K14" i="42" s="1"/>
  <c r="K138" i="69" s="1"/>
  <c r="E23" i="12"/>
  <c r="E14" i="42" s="1"/>
  <c r="E138" i="69" s="1"/>
  <c r="N18" i="12"/>
  <c r="N14" i="34" s="1"/>
  <c r="N88" i="69" s="1"/>
  <c r="P167" i="65" s="1"/>
  <c r="AS167" i="65" s="1"/>
  <c r="J13" i="12"/>
  <c r="J14" i="26" s="1"/>
  <c r="J38" i="69" s="1"/>
  <c r="H19" i="12"/>
  <c r="H14" i="35" s="1"/>
  <c r="H98" i="69" s="1"/>
  <c r="J177" i="65" s="1"/>
  <c r="AM177" i="65" s="1"/>
  <c r="I22" i="12"/>
  <c r="I14" i="41" s="1"/>
  <c r="I128" i="69" s="1"/>
  <c r="M27" i="12"/>
  <c r="M14" i="49" s="1"/>
  <c r="K26" i="12"/>
  <c r="K14" i="48" s="1"/>
  <c r="H15" i="12"/>
  <c r="H14" i="31" s="1"/>
  <c r="H58" i="69" s="1"/>
  <c r="G19" i="12"/>
  <c r="G14" i="35" s="1"/>
  <c r="G98" i="69" s="1"/>
  <c r="I177" i="65" s="1"/>
  <c r="AL177" i="65" s="1"/>
  <c r="N13" i="12"/>
  <c r="N14" i="26" s="1"/>
  <c r="N38" i="69" s="1"/>
  <c r="J19" i="12"/>
  <c r="J14" i="35" s="1"/>
  <c r="J98" i="69" s="1"/>
  <c r="L177" i="65" s="1"/>
  <c r="AO177" i="65" s="1"/>
  <c r="F17" i="12"/>
  <c r="F14" i="33" s="1"/>
  <c r="F78" i="69" s="1"/>
  <c r="N27" i="12"/>
  <c r="N14" i="49" s="1"/>
  <c r="H25" i="12"/>
  <c r="H14" i="47" s="1"/>
  <c r="E16" i="12"/>
  <c r="E14" i="32" s="1"/>
  <c r="E68" i="69" s="1"/>
  <c r="C15" i="12"/>
  <c r="C14" i="31" s="1"/>
  <c r="C58" i="69" s="1"/>
  <c r="G20" i="12"/>
  <c r="G14" i="39" s="1"/>
  <c r="G108" i="69" s="1"/>
  <c r="J20" i="12"/>
  <c r="J14" i="39" s="1"/>
  <c r="J108" i="69" s="1"/>
  <c r="D23" i="12"/>
  <c r="D14" i="42" s="1"/>
  <c r="D138" i="69" s="1"/>
  <c r="J17" i="12"/>
  <c r="J14" i="33" s="1"/>
  <c r="J78" i="69" s="1"/>
  <c r="D25" i="12"/>
  <c r="D14" i="47" s="1"/>
  <c r="I16" i="12"/>
  <c r="I14" i="32" s="1"/>
  <c r="I68" i="69" s="1"/>
  <c r="L13" i="12"/>
  <c r="L14" i="26" s="1"/>
  <c r="L38" i="69" s="1"/>
  <c r="F18" i="12"/>
  <c r="F14" i="34" s="1"/>
  <c r="F88" i="69" s="1"/>
  <c r="H167" i="65" s="1"/>
  <c r="AK167" i="65" s="1"/>
  <c r="H26" i="12"/>
  <c r="H14" i="48" s="1"/>
  <c r="H21" i="12"/>
  <c r="H14" i="40" s="1"/>
  <c r="H118" i="69" s="1"/>
  <c r="M12" i="12"/>
  <c r="M14" i="25" s="1"/>
  <c r="M28" i="69" s="1"/>
  <c r="E18" i="12"/>
  <c r="E14" i="34" s="1"/>
  <c r="E88" i="69" s="1"/>
  <c r="G167" i="65" s="1"/>
  <c r="AJ167" i="65" s="1"/>
  <c r="I23" i="12"/>
  <c r="I14" i="42" s="1"/>
  <c r="I138" i="69" s="1"/>
  <c r="K11" i="12"/>
  <c r="K14" i="23" s="1"/>
  <c r="K18" i="69" s="1"/>
  <c r="C17" i="12"/>
  <c r="C14" i="33" s="1"/>
  <c r="C78" i="69" s="1"/>
  <c r="G22" i="12"/>
  <c r="G14" i="41" s="1"/>
  <c r="G128" i="69" s="1"/>
  <c r="K27" i="12"/>
  <c r="K14" i="49" s="1"/>
  <c r="E19" i="12"/>
  <c r="E14" i="35" s="1"/>
  <c r="E98" i="69" s="1"/>
  <c r="G177" i="65" s="1"/>
  <c r="AJ177" i="65" s="1"/>
  <c r="G15" i="12"/>
  <c r="G14" i="31" s="1"/>
  <c r="G58" i="69" s="1"/>
  <c r="C26" i="12"/>
  <c r="C14" i="48" s="1"/>
  <c r="J26" i="12"/>
  <c r="J14" i="48" s="1"/>
  <c r="F27" i="12"/>
  <c r="F14" i="49" s="1"/>
  <c r="H22" i="12"/>
  <c r="H14" i="41" s="1"/>
  <c r="H128" i="69" s="1"/>
  <c r="L16" i="12"/>
  <c r="L14" i="32" s="1"/>
  <c r="L68" i="69" s="1"/>
  <c r="H27" i="12"/>
  <c r="H14" i="49" s="1"/>
  <c r="M15" i="12"/>
  <c r="M14" i="31" s="1"/>
  <c r="M58" i="69" s="1"/>
  <c r="E21" i="12"/>
  <c r="E14" i="40" s="1"/>
  <c r="E118" i="69" s="1"/>
  <c r="I26" i="12"/>
  <c r="I14" i="48" s="1"/>
  <c r="K14" i="12"/>
  <c r="K14" i="30" s="1"/>
  <c r="C20" i="12"/>
  <c r="C14" i="39" s="1"/>
  <c r="C108" i="69" s="1"/>
  <c r="G25" i="12"/>
  <c r="G14" i="47" s="1"/>
  <c r="L19" i="12"/>
  <c r="L14" i="35" s="1"/>
  <c r="L98" i="69" s="1"/>
  <c r="N177" i="65" s="1"/>
  <c r="AQ177" i="65" s="1"/>
  <c r="M13" i="12"/>
  <c r="M14" i="26" s="1"/>
  <c r="M38" i="69" s="1"/>
  <c r="I24" i="12"/>
  <c r="I14" i="46" s="1"/>
  <c r="I148" i="69" s="1"/>
  <c r="K127" i="65" s="1"/>
  <c r="AN127" i="65" s="1"/>
  <c r="K16" i="12"/>
  <c r="K14" i="32" s="1"/>
  <c r="K68" i="69" s="1"/>
  <c r="F24" i="12"/>
  <c r="F14" i="46" s="1"/>
  <c r="F148" i="69" s="1"/>
  <c r="H127" i="65" s="1"/>
  <c r="AK127" i="65" s="1"/>
  <c r="J15" i="12"/>
  <c r="J14" i="31" s="1"/>
  <c r="J58" i="69" s="1"/>
  <c r="F11" i="12"/>
  <c r="F14" i="23" s="1"/>
  <c r="F18" i="69" s="1"/>
  <c r="J24" i="12"/>
  <c r="J14" i="46" s="1"/>
  <c r="J148" i="69" s="1"/>
  <c r="L127" i="65" s="1"/>
  <c r="AO127" i="65" s="1"/>
  <c r="F16" i="12"/>
  <c r="F14" i="32" s="1"/>
  <c r="F68" i="69" s="1"/>
  <c r="H16" i="12"/>
  <c r="H14" i="32" s="1"/>
  <c r="H68" i="69" s="1"/>
  <c r="J14" i="12"/>
  <c r="J14" i="30" s="1"/>
  <c r="F25" i="12"/>
  <c r="F14" i="47" s="1"/>
  <c r="N26" i="12"/>
  <c r="N14" i="48" s="1"/>
  <c r="D12" i="12"/>
  <c r="D14" i="25" s="1"/>
  <c r="D28" i="69" s="1"/>
  <c r="L22" i="12"/>
  <c r="L14" i="41" s="1"/>
  <c r="L128" i="69" s="1"/>
  <c r="M14" i="12"/>
  <c r="M14" i="30" s="1"/>
  <c r="E20" i="12"/>
  <c r="E14" i="39" s="1"/>
  <c r="E108" i="69" s="1"/>
  <c r="I25" i="12"/>
  <c r="I14" i="47" s="1"/>
  <c r="K13" i="12"/>
  <c r="K14" i="26" s="1"/>
  <c r="K38" i="69" s="1"/>
  <c r="C19" i="12"/>
  <c r="C14" i="35" s="1"/>
  <c r="C98" i="69" s="1"/>
  <c r="E177" i="65" s="1"/>
  <c r="AH177" i="65" s="1"/>
  <c r="G24" i="12"/>
  <c r="G14" i="46" s="1"/>
  <c r="G148" i="69" s="1"/>
  <c r="I127" i="65" s="1"/>
  <c r="AL127" i="65" s="1"/>
  <c r="N25" i="12"/>
  <c r="N14" i="47" s="1"/>
  <c r="H12" i="12"/>
  <c r="H14" i="25" s="1"/>
  <c r="H28" i="69" s="1"/>
  <c r="N15" i="12"/>
  <c r="N14" i="31" s="1"/>
  <c r="N58" i="69" s="1"/>
  <c r="H13" i="12"/>
  <c r="H14" i="26" s="1"/>
  <c r="H38" i="69" s="1"/>
  <c r="E14" i="12"/>
  <c r="E14" i="30" s="1"/>
  <c r="C13" i="12"/>
  <c r="C14" i="26" s="1"/>
  <c r="C38" i="69" s="1"/>
  <c r="H14" i="12"/>
  <c r="H14" i="30" s="1"/>
  <c r="N24" i="12"/>
  <c r="N14" i="46" s="1"/>
  <c r="N148" i="69" s="1"/>
  <c r="P127" i="65" s="1"/>
  <c r="AS127" i="65" s="1"/>
  <c r="M11" i="12"/>
  <c r="M14" i="23" s="1"/>
  <c r="M18" i="69" s="1"/>
  <c r="C16" i="12"/>
  <c r="C14" i="32" s="1"/>
  <c r="C68" i="69" s="1"/>
  <c r="E15" i="12"/>
  <c r="E14" i="31" s="1"/>
  <c r="E58" i="69" s="1"/>
  <c r="F20" i="12"/>
  <c r="F14" i="39" s="1"/>
  <c r="F108" i="69" s="1"/>
  <c r="J21" i="12"/>
  <c r="J14" i="40" s="1"/>
  <c r="J118" i="69" s="1"/>
  <c r="D13" i="12"/>
  <c r="D14" i="26" s="1"/>
  <c r="D38" i="69" s="1"/>
  <c r="M26" i="12"/>
  <c r="M14" i="48" s="1"/>
  <c r="J27" i="12"/>
  <c r="J14" i="49" s="1"/>
  <c r="F23" i="12"/>
  <c r="F14" i="42" s="1"/>
  <c r="F138" i="69" s="1"/>
  <c r="L17" i="12"/>
  <c r="L14" i="33" s="1"/>
  <c r="L78" i="69" s="1"/>
  <c r="H23" i="12"/>
  <c r="H14" i="42" s="1"/>
  <c r="H138" i="69" s="1"/>
  <c r="G27" i="12"/>
  <c r="G14" i="49" s="1"/>
  <c r="F21" i="12"/>
  <c r="F14" i="40" s="1"/>
  <c r="F118" i="69" s="1"/>
  <c r="L15" i="12"/>
  <c r="L14" i="31" s="1"/>
  <c r="L58" i="69" s="1"/>
  <c r="D16" i="12"/>
  <c r="D14" i="32" s="1"/>
  <c r="D68" i="69" s="1"/>
  <c r="L26" i="12"/>
  <c r="L14" i="48" s="1"/>
  <c r="I15" i="12"/>
  <c r="I14" i="31" s="1"/>
  <c r="I58" i="69" s="1"/>
  <c r="M20" i="12"/>
  <c r="M14" i="39" s="1"/>
  <c r="M108" i="69" s="1"/>
  <c r="E26" i="12"/>
  <c r="E14" i="48" s="1"/>
  <c r="G14" i="12"/>
  <c r="G14" i="30" s="1"/>
  <c r="K19" i="12"/>
  <c r="K14" i="35" s="1"/>
  <c r="K98" i="69" s="1"/>
  <c r="M177" i="65" s="1"/>
  <c r="AP177" i="65" s="1"/>
  <c r="C25" i="12"/>
  <c r="C14" i="47" s="1"/>
  <c r="D18" i="12"/>
  <c r="D14" i="34" s="1"/>
  <c r="D88" i="69" s="1"/>
  <c r="F167" i="65" s="1"/>
  <c r="AI167" i="65" s="1"/>
  <c r="M25" i="12"/>
  <c r="M14" i="47" s="1"/>
  <c r="K20" i="12"/>
  <c r="K14" i="39" s="1"/>
  <c r="K108" i="69" s="1"/>
  <c r="H24" i="12"/>
  <c r="H14" i="46" s="1"/>
  <c r="H148" i="69" s="1"/>
  <c r="J127" i="65" s="1"/>
  <c r="AM127" i="65" s="1"/>
  <c r="L25" i="12"/>
  <c r="L14" i="47" s="1"/>
  <c r="J25" i="12"/>
  <c r="J14" i="47" s="1"/>
  <c r="H11" i="12"/>
  <c r="H14" i="23" s="1"/>
  <c r="H18" i="69" s="1"/>
  <c r="D22" i="12"/>
  <c r="D14" i="41" s="1"/>
  <c r="D128" i="69" s="1"/>
  <c r="E13" i="12"/>
  <c r="E14" i="26" s="1"/>
  <c r="E38" i="69" s="1"/>
  <c r="I18" i="12"/>
  <c r="I14" i="34" s="1"/>
  <c r="I88" i="69" s="1"/>
  <c r="K167" i="65" s="1"/>
  <c r="AN167" i="65" s="1"/>
  <c r="M23" i="12"/>
  <c r="M14" i="42" s="1"/>
  <c r="M138" i="69" s="1"/>
  <c r="C12" i="12"/>
  <c r="C14" i="25" s="1"/>
  <c r="C28" i="69" s="1"/>
  <c r="G17" i="12"/>
  <c r="G14" i="33" s="1"/>
  <c r="G78" i="69" s="1"/>
  <c r="K22" i="12"/>
  <c r="K14" i="41" s="1"/>
  <c r="K128" i="69" s="1"/>
  <c r="N16" i="12"/>
  <c r="N14" i="32" s="1"/>
  <c r="N68" i="69" s="1"/>
  <c r="L20" i="12"/>
  <c r="L14" i="39" s="1"/>
  <c r="L108" i="69" s="1"/>
  <c r="M17" i="12"/>
  <c r="M14" i="33" s="1"/>
  <c r="M78" i="69" s="1"/>
  <c r="G11" i="12"/>
  <c r="G14" i="23" s="1"/>
  <c r="G18" i="69" s="1"/>
  <c r="C22" i="12"/>
  <c r="C14" i="41" s="1"/>
  <c r="C128" i="69" s="1"/>
  <c r="J18" i="12"/>
  <c r="J14" i="34" s="1"/>
  <c r="J88" i="69" s="1"/>
  <c r="L167" i="65" s="1"/>
  <c r="AO167" i="65" s="1"/>
  <c r="D15" i="12"/>
  <c r="D14" i="31" s="1"/>
  <c r="D58" i="69" s="1"/>
  <c r="J16" i="12"/>
  <c r="J14" i="32" s="1"/>
  <c r="J68" i="69" s="1"/>
  <c r="D17" i="12"/>
  <c r="D14" i="33" s="1"/>
  <c r="D78" i="69" s="1"/>
  <c r="F26" i="12"/>
  <c r="F14" i="48" s="1"/>
  <c r="D27" i="12"/>
  <c r="D14" i="49" s="1"/>
  <c r="N19" i="12"/>
  <c r="N14" i="35" s="1"/>
  <c r="N98" i="69" s="1"/>
  <c r="P177" i="65" s="1"/>
  <c r="AS177" i="65" s="1"/>
  <c r="N14" i="12"/>
  <c r="N14" i="30" s="1"/>
  <c r="H18" i="12"/>
  <c r="H14" i="34" s="1"/>
  <c r="H88" i="69" s="1"/>
  <c r="J167" i="65" s="1"/>
  <c r="AM167" i="65" s="1"/>
  <c r="H17" i="12"/>
  <c r="H14" i="33" s="1"/>
  <c r="H78" i="69" s="1"/>
  <c r="E12" i="12"/>
  <c r="E14" i="25" s="1"/>
  <c r="E28" i="69" s="1"/>
  <c r="I17" i="12"/>
  <c r="I14" i="33" s="1"/>
  <c r="I78" i="69" s="1"/>
  <c r="M22" i="12"/>
  <c r="M14" i="41" s="1"/>
  <c r="M128" i="69" s="1"/>
  <c r="C11" i="12"/>
  <c r="C14" i="23" s="1"/>
  <c r="G16" i="12"/>
  <c r="G14" i="32" s="1"/>
  <c r="G68" i="69" s="1"/>
  <c r="K21" i="12"/>
  <c r="K14" i="40" s="1"/>
  <c r="K118" i="69" s="1"/>
  <c r="C27" i="12"/>
  <c r="C14" i="49" s="1"/>
  <c r="F15" i="12"/>
  <c r="F14" i="31" s="1"/>
  <c r="F58" i="69" s="1"/>
  <c r="L12" i="12"/>
  <c r="L14" i="25" s="1"/>
  <c r="L28" i="69" s="1"/>
  <c r="J23" i="12"/>
  <c r="J14" i="42" s="1"/>
  <c r="J138" i="69" s="1"/>
  <c r="D24" i="12"/>
  <c r="D14" i="46" s="1"/>
  <c r="D148" i="69" s="1"/>
  <c r="F127" i="65" s="1"/>
  <c r="AI127" i="65" s="1"/>
  <c r="I19" i="12"/>
  <c r="I14" i="35" s="1"/>
  <c r="I98" i="69" s="1"/>
  <c r="K177" i="65" s="1"/>
  <c r="AN177" i="65" s="1"/>
  <c r="G18" i="12"/>
  <c r="G14" i="34" s="1"/>
  <c r="G88" i="69" s="1"/>
  <c r="I167" i="65" s="1"/>
  <c r="AL167" i="65" s="1"/>
  <c r="C18" i="12"/>
  <c r="C14" i="34" s="1"/>
  <c r="C88" i="69" s="1"/>
  <c r="E167" i="65" s="1"/>
  <c r="AH167" i="65" s="1"/>
  <c r="L27" i="12"/>
  <c r="L14" i="49" s="1"/>
  <c r="E17" i="12"/>
  <c r="E14" i="33" s="1"/>
  <c r="E78" i="69" s="1"/>
  <c r="G21" i="12"/>
  <c r="G14" i="40" s="1"/>
  <c r="G118" i="69" s="1"/>
  <c r="E27" i="12"/>
  <c r="E14" i="49" s="1"/>
  <c r="D19" i="12"/>
  <c r="D14" i="35" s="1"/>
  <c r="D98" i="69" s="1"/>
  <c r="F177" i="65" s="1"/>
  <c r="AI177" i="65" s="1"/>
  <c r="L21" i="12"/>
  <c r="L14" i="40" s="1"/>
  <c r="L118" i="69" s="1"/>
  <c r="L14" i="12"/>
  <c r="L14" i="30" s="1"/>
  <c r="I21" i="12"/>
  <c r="I14" i="40" s="1"/>
  <c r="I118" i="69" s="1"/>
  <c r="K25" i="12"/>
  <c r="K14" i="47" s="1"/>
  <c r="N59" i="52"/>
  <c r="E76" i="52"/>
  <c r="E91" i="52" s="1"/>
  <c r="N63" i="52"/>
  <c r="N66" i="52"/>
  <c r="N70" i="52"/>
  <c r="N71" i="52"/>
  <c r="N60" i="52"/>
  <c r="M76" i="52"/>
  <c r="M91" i="52" s="1"/>
  <c r="O92" i="12"/>
  <c r="O17" i="18"/>
  <c r="O50" i="12"/>
  <c r="O58" i="12"/>
  <c r="O85" i="13"/>
  <c r="P85" i="13" s="1"/>
  <c r="C28" i="68" s="1"/>
  <c r="O93" i="13"/>
  <c r="P93" i="13" s="1"/>
  <c r="C76" i="68" s="1"/>
  <c r="O97" i="13"/>
  <c r="P97" i="13" s="1"/>
  <c r="C100" i="68" s="1"/>
  <c r="O96" i="13"/>
  <c r="P96" i="13" s="1"/>
  <c r="C94" i="68" s="1"/>
  <c r="O88" i="13"/>
  <c r="P88" i="13" s="1"/>
  <c r="C46" i="68" s="1"/>
  <c r="O132" i="13"/>
  <c r="P132" i="13" s="1"/>
  <c r="D58" i="68" s="1"/>
  <c r="O51" i="13"/>
  <c r="P51" i="13" s="1"/>
  <c r="B34" i="68" s="1"/>
  <c r="O55" i="13"/>
  <c r="P55" i="13" s="1"/>
  <c r="B58" i="68" s="1"/>
  <c r="O59" i="13"/>
  <c r="P59" i="13" s="1"/>
  <c r="B82" i="68" s="1"/>
  <c r="O57" i="13"/>
  <c r="P57" i="13" s="1"/>
  <c r="B70" i="68" s="1"/>
  <c r="O52" i="13"/>
  <c r="P52" i="13" s="1"/>
  <c r="B40" i="68" s="1"/>
  <c r="O50" i="13"/>
  <c r="P50" i="13" s="1"/>
  <c r="B28" i="68" s="1"/>
  <c r="O89" i="13"/>
  <c r="P89" i="13" s="1"/>
  <c r="C52" i="68" s="1"/>
  <c r="O58" i="13"/>
  <c r="P58" i="13" s="1"/>
  <c r="B76" i="68" s="1"/>
  <c r="O54" i="13"/>
  <c r="P54" i="13" s="1"/>
  <c r="B52" i="68" s="1"/>
  <c r="O48" i="13"/>
  <c r="P48" i="13" s="1"/>
  <c r="B16" i="68" s="1"/>
  <c r="O92" i="13"/>
  <c r="P92" i="13" s="1"/>
  <c r="C70" i="68" s="1"/>
  <c r="O140" i="13"/>
  <c r="P140" i="13" s="1"/>
  <c r="D106" i="68" s="1"/>
  <c r="O84" i="13"/>
  <c r="P84" i="13" s="1"/>
  <c r="C22" i="68" s="1"/>
  <c r="O124" i="12"/>
  <c r="O140" i="12"/>
  <c r="O127" i="13"/>
  <c r="P127" i="13" s="1"/>
  <c r="D28" i="68" s="1"/>
  <c r="O130" i="13"/>
  <c r="P130" i="13" s="1"/>
  <c r="D46" i="68" s="1"/>
  <c r="O137" i="13"/>
  <c r="P137" i="13" s="1"/>
  <c r="D88" i="68" s="1"/>
  <c r="O128" i="13"/>
  <c r="P128" i="13" s="1"/>
  <c r="D34" i="68" s="1"/>
  <c r="K81" i="50"/>
  <c r="L81" i="50"/>
  <c r="I76" i="52"/>
  <c r="I91" i="52" s="1"/>
  <c r="C113" i="69"/>
  <c r="C73" i="69"/>
  <c r="C163" i="69"/>
  <c r="O132" i="12"/>
  <c r="O130" i="12"/>
  <c r="O83" i="13"/>
  <c r="P83" i="13" s="1"/>
  <c r="C16" i="68" s="1"/>
  <c r="O87" i="13"/>
  <c r="P87" i="13" s="1"/>
  <c r="C40" i="68" s="1"/>
  <c r="O91" i="13"/>
  <c r="P91" i="13" s="1"/>
  <c r="C64" i="68" s="1"/>
  <c r="O95" i="13"/>
  <c r="P95" i="13" s="1"/>
  <c r="C88" i="68" s="1"/>
  <c r="O139" i="13"/>
  <c r="P139" i="13" s="1"/>
  <c r="D100" i="68" s="1"/>
  <c r="O129" i="13"/>
  <c r="P129" i="13" s="1"/>
  <c r="D40" i="68" s="1"/>
  <c r="N67" i="52"/>
  <c r="I81" i="50"/>
  <c r="C13" i="69"/>
  <c r="E12" i="65" s="1"/>
  <c r="AH12" i="65" s="1"/>
  <c r="B76" i="52"/>
  <c r="B91" i="52" s="1"/>
  <c r="O138" i="12"/>
  <c r="O136" i="12"/>
  <c r="O128" i="12"/>
  <c r="O48" i="12"/>
  <c r="O56" i="12"/>
  <c r="P83" i="12"/>
  <c r="C21" i="68" s="1"/>
  <c r="P87" i="12"/>
  <c r="C45" i="68" s="1"/>
  <c r="P91" i="12"/>
  <c r="C69" i="68" s="1"/>
  <c r="P95" i="12"/>
  <c r="C93" i="68" s="1"/>
  <c r="O98" i="12"/>
  <c r="O96" i="12"/>
  <c r="O90" i="12"/>
  <c r="O88" i="12"/>
  <c r="O84" i="12"/>
  <c r="O82" i="12"/>
  <c r="O138" i="13"/>
  <c r="P138" i="13" s="1"/>
  <c r="D94" i="68" s="1"/>
  <c r="O133" i="13"/>
  <c r="P133" i="13" s="1"/>
  <c r="D64" i="68" s="1"/>
  <c r="N12" i="52"/>
  <c r="C153" i="69"/>
  <c r="N69" i="52"/>
  <c r="O56" i="13"/>
  <c r="P56" i="13" s="1"/>
  <c r="B64" i="68" s="1"/>
  <c r="O126" i="13"/>
  <c r="P126" i="13" s="1"/>
  <c r="D22" i="68" s="1"/>
  <c r="O131" i="13"/>
  <c r="P131" i="13" s="1"/>
  <c r="D52" i="68" s="1"/>
  <c r="O136" i="13"/>
  <c r="P136" i="13" s="1"/>
  <c r="D82" i="68" s="1"/>
  <c r="O141" i="13"/>
  <c r="P141" i="13" s="1"/>
  <c r="D112" i="68" s="1"/>
  <c r="N23" i="52"/>
  <c r="M81" i="50"/>
  <c r="G81" i="50"/>
  <c r="CF106" i="24"/>
  <c r="R249" i="53"/>
  <c r="J81" i="50"/>
  <c r="H81" i="50"/>
  <c r="O63" i="12"/>
  <c r="O86" i="13"/>
  <c r="P86" i="13" s="1"/>
  <c r="C34" i="68" s="1"/>
  <c r="O90" i="13"/>
  <c r="P90" i="13" s="1"/>
  <c r="C58" i="68" s="1"/>
  <c r="O94" i="13"/>
  <c r="P94" i="13" s="1"/>
  <c r="C82" i="68" s="1"/>
  <c r="O98" i="13"/>
  <c r="P98" i="13" s="1"/>
  <c r="C106" i="68" s="1"/>
  <c r="O47" i="18"/>
  <c r="U41" i="70"/>
  <c r="E49" i="68"/>
  <c r="E61" i="68"/>
  <c r="U76" i="70"/>
  <c r="U90" i="70"/>
  <c r="U111" i="70"/>
  <c r="E109" i="68"/>
  <c r="CD104" i="24"/>
  <c r="CD107" i="24" s="1"/>
  <c r="E81" i="50"/>
  <c r="CG106" i="24"/>
  <c r="B81" i="50"/>
  <c r="F81" i="50"/>
  <c r="D36" i="50"/>
  <c r="E158" i="70" s="1"/>
  <c r="F135" i="66" s="1"/>
  <c r="R199" i="53"/>
  <c r="P52" i="12"/>
  <c r="B45" i="68" s="1"/>
  <c r="P47" i="12"/>
  <c r="B15" i="68" s="1"/>
  <c r="P51" i="12"/>
  <c r="B39" i="68" s="1"/>
  <c r="P55" i="12"/>
  <c r="B63" i="68" s="1"/>
  <c r="P59" i="12"/>
  <c r="B87" i="68" s="1"/>
  <c r="C30" i="52"/>
  <c r="C45" i="52" s="1"/>
  <c r="K30" i="52"/>
  <c r="K45" i="52" s="1"/>
  <c r="N17" i="52"/>
  <c r="U197" i="69"/>
  <c r="P82" i="12"/>
  <c r="C15" i="68" s="1"/>
  <c r="P86" i="12"/>
  <c r="C39" i="68" s="1"/>
  <c r="P90" i="12"/>
  <c r="C63" i="68" s="1"/>
  <c r="P94" i="12"/>
  <c r="C87" i="68" s="1"/>
  <c r="P98" i="12"/>
  <c r="C111" i="68" s="1"/>
  <c r="P126" i="12"/>
  <c r="D27" i="68" s="1"/>
  <c r="P130" i="12"/>
  <c r="D51" i="68" s="1"/>
  <c r="P138" i="12"/>
  <c r="D99" i="68" s="1"/>
  <c r="O99" i="13"/>
  <c r="P99" i="13" s="1"/>
  <c r="C112" i="68" s="1"/>
  <c r="P48" i="12"/>
  <c r="B21" i="68" s="1"/>
  <c r="P50" i="12"/>
  <c r="B33" i="68" s="1"/>
  <c r="P54" i="12"/>
  <c r="B57" i="68" s="1"/>
  <c r="P58" i="12"/>
  <c r="B81" i="68" s="1"/>
  <c r="P62" i="12"/>
  <c r="B105" i="68" s="1"/>
  <c r="O125" i="12"/>
  <c r="P125" i="12"/>
  <c r="D21" i="68" s="1"/>
  <c r="O129" i="12"/>
  <c r="P129" i="12"/>
  <c r="D45" i="68" s="1"/>
  <c r="O133" i="12"/>
  <c r="P133" i="12"/>
  <c r="D69" i="68" s="1"/>
  <c r="O137" i="12"/>
  <c r="P137" i="12"/>
  <c r="D93" i="68" s="1"/>
  <c r="I30" i="52"/>
  <c r="I45" i="52" s="1"/>
  <c r="O54" i="12"/>
  <c r="P85" i="12"/>
  <c r="C33" i="68" s="1"/>
  <c r="P89" i="12"/>
  <c r="C57" i="68" s="1"/>
  <c r="P93" i="12"/>
  <c r="C81" i="68" s="1"/>
  <c r="P97" i="12"/>
  <c r="C105" i="68" s="1"/>
  <c r="O97" i="12"/>
  <c r="O93" i="12"/>
  <c r="O89" i="12"/>
  <c r="O85" i="12"/>
  <c r="N21" i="52"/>
  <c r="P60" i="12"/>
  <c r="B93" i="68" s="1"/>
  <c r="P63" i="12"/>
  <c r="B111" i="68" s="1"/>
  <c r="P49" i="12"/>
  <c r="B27" i="68" s="1"/>
  <c r="P53" i="12"/>
  <c r="B51" i="68" s="1"/>
  <c r="P57" i="12"/>
  <c r="B75" i="68" s="1"/>
  <c r="P61" i="12"/>
  <c r="B99" i="68" s="1"/>
  <c r="G30" i="52"/>
  <c r="G45" i="52" s="1"/>
  <c r="N14" i="52"/>
  <c r="E25" i="68"/>
  <c r="N16" i="52"/>
  <c r="N18" i="52"/>
  <c r="N20" i="52"/>
  <c r="N22" i="52"/>
  <c r="N24" i="52"/>
  <c r="N26" i="52"/>
  <c r="N28" i="52"/>
  <c r="O49" i="13"/>
  <c r="P49" i="13" s="1"/>
  <c r="B22" i="68" s="1"/>
  <c r="O53" i="13"/>
  <c r="P53" i="13" s="1"/>
  <c r="B46" i="68" s="1"/>
  <c r="O52" i="12"/>
  <c r="O60" i="12"/>
  <c r="O86" i="12"/>
  <c r="O94" i="12"/>
  <c r="P84" i="12"/>
  <c r="C27" i="68" s="1"/>
  <c r="P88" i="12"/>
  <c r="C51" i="68" s="1"/>
  <c r="P92" i="12"/>
  <c r="C75" i="68" s="1"/>
  <c r="P96" i="12"/>
  <c r="C99" i="68" s="1"/>
  <c r="O126" i="12"/>
  <c r="O134" i="12"/>
  <c r="P124" i="12"/>
  <c r="D15" i="68" s="1"/>
  <c r="P128" i="12"/>
  <c r="D39" i="68" s="1"/>
  <c r="P132" i="12"/>
  <c r="D63" i="68" s="1"/>
  <c r="P136" i="12"/>
  <c r="D87" i="68" s="1"/>
  <c r="P140" i="12"/>
  <c r="D111" i="68" s="1"/>
  <c r="O135" i="13"/>
  <c r="P135" i="13" s="1"/>
  <c r="D76" i="68" s="1"/>
  <c r="N19" i="52"/>
  <c r="N27" i="52"/>
  <c r="P56" i="12"/>
  <c r="B69" i="68" s="1"/>
  <c r="O127" i="12"/>
  <c r="P127" i="12"/>
  <c r="D33" i="68" s="1"/>
  <c r="O131" i="12"/>
  <c r="P131" i="12"/>
  <c r="D57" i="68" s="1"/>
  <c r="O135" i="12"/>
  <c r="P135" i="12"/>
  <c r="D81" i="68" s="1"/>
  <c r="O139" i="12"/>
  <c r="P139" i="12"/>
  <c r="D105" i="68" s="1"/>
  <c r="E30" i="52"/>
  <c r="E45" i="52" s="1"/>
  <c r="M30" i="52"/>
  <c r="M45" i="52" s="1"/>
  <c r="E123" i="68"/>
  <c r="U143" i="70"/>
  <c r="O95" i="12"/>
  <c r="O91" i="12"/>
  <c r="O87" i="12"/>
  <c r="O83" i="12"/>
  <c r="N15" i="52"/>
  <c r="N25" i="52"/>
  <c r="K20" i="61"/>
  <c r="N13" i="52"/>
  <c r="O57" i="18"/>
  <c r="O27" i="18"/>
  <c r="O68" i="12"/>
  <c r="O62" i="12"/>
  <c r="O47" i="12"/>
  <c r="O49" i="12"/>
  <c r="O51" i="12"/>
  <c r="O53" i="12"/>
  <c r="O55" i="12"/>
  <c r="O57" i="12"/>
  <c r="O59" i="12"/>
  <c r="O61" i="12"/>
  <c r="O67" i="12"/>
  <c r="O60" i="13"/>
  <c r="P60" i="13" s="1"/>
  <c r="B88" i="68" s="1"/>
  <c r="O61" i="13"/>
  <c r="P61" i="13" s="1"/>
  <c r="B94" i="68" s="1"/>
  <c r="O62" i="13"/>
  <c r="P62" i="13" s="1"/>
  <c r="B100" i="68" s="1"/>
  <c r="O63" i="13"/>
  <c r="P63" i="13" s="1"/>
  <c r="B106" i="68" s="1"/>
  <c r="O64" i="13"/>
  <c r="P64" i="13" s="1"/>
  <c r="B112" i="68" s="1"/>
  <c r="O68" i="13"/>
  <c r="P68" i="13" s="1"/>
  <c r="B120" i="68" s="1"/>
  <c r="O69" i="13"/>
  <c r="P69" i="13" s="1"/>
  <c r="B126" i="68" s="1"/>
  <c r="L60" i="30" l="1"/>
  <c r="L59" i="30" s="1"/>
  <c r="L48" i="69"/>
  <c r="G60" i="30"/>
  <c r="G59" i="30" s="1"/>
  <c r="G48" i="69"/>
  <c r="L168" i="69"/>
  <c r="N147" i="65" s="1"/>
  <c r="AQ147" i="65" s="1"/>
  <c r="L59" i="48"/>
  <c r="L58" i="48" s="1"/>
  <c r="G178" i="69"/>
  <c r="I157" i="65" s="1"/>
  <c r="AL157" i="65" s="1"/>
  <c r="G59" i="49"/>
  <c r="G58" i="49" s="1"/>
  <c r="J178" i="69"/>
  <c r="L157" i="65" s="1"/>
  <c r="AO157" i="65" s="1"/>
  <c r="J59" i="49"/>
  <c r="J58" i="49" s="1"/>
  <c r="N168" i="69"/>
  <c r="P147" i="65" s="1"/>
  <c r="AS147" i="65" s="1"/>
  <c r="N59" i="48"/>
  <c r="N58" i="48" s="1"/>
  <c r="I168" i="69"/>
  <c r="K147" i="65" s="1"/>
  <c r="AN147" i="65" s="1"/>
  <c r="I59" i="48"/>
  <c r="I58" i="48" s="1"/>
  <c r="C168" i="69"/>
  <c r="E147" i="65" s="1"/>
  <c r="AH147" i="65" s="1"/>
  <c r="C59" i="48"/>
  <c r="C60" i="30"/>
  <c r="C59" i="30" s="1"/>
  <c r="C48" i="69"/>
  <c r="F60" i="30"/>
  <c r="F59" i="30" s="1"/>
  <c r="F48" i="69"/>
  <c r="C18" i="69"/>
  <c r="C59" i="23"/>
  <c r="C58" i="23" s="1"/>
  <c r="D178" i="69"/>
  <c r="F157" i="65" s="1"/>
  <c r="AI157" i="65" s="1"/>
  <c r="D59" i="49"/>
  <c r="D58" i="49" s="1"/>
  <c r="E168" i="69"/>
  <c r="G147" i="65" s="1"/>
  <c r="AJ147" i="65" s="1"/>
  <c r="E59" i="48"/>
  <c r="E58" i="48" s="1"/>
  <c r="M168" i="69"/>
  <c r="O147" i="65" s="1"/>
  <c r="AR147" i="65" s="1"/>
  <c r="M59" i="48"/>
  <c r="M58" i="48" s="1"/>
  <c r="H60" i="30"/>
  <c r="H59" i="30" s="1"/>
  <c r="H48" i="69"/>
  <c r="M60" i="30"/>
  <c r="M59" i="30" s="1"/>
  <c r="M48" i="69"/>
  <c r="K168" i="69"/>
  <c r="M147" i="65" s="1"/>
  <c r="AP147" i="65" s="1"/>
  <c r="K59" i="48"/>
  <c r="K58" i="48" s="1"/>
  <c r="I60" i="30"/>
  <c r="I59" i="30" s="1"/>
  <c r="I48" i="69"/>
  <c r="D168" i="69"/>
  <c r="F147" i="65" s="1"/>
  <c r="AI147" i="65" s="1"/>
  <c r="D59" i="48"/>
  <c r="D58" i="48" s="1"/>
  <c r="I178" i="69"/>
  <c r="K157" i="65" s="1"/>
  <c r="AN157" i="65" s="1"/>
  <c r="I59" i="49"/>
  <c r="I58" i="49" s="1"/>
  <c r="L178" i="69"/>
  <c r="N157" i="65" s="1"/>
  <c r="AQ157" i="65" s="1"/>
  <c r="L59" i="49"/>
  <c r="L58" i="49" s="1"/>
  <c r="C178" i="69"/>
  <c r="E157" i="65" s="1"/>
  <c r="AH157" i="65" s="1"/>
  <c r="C59" i="49"/>
  <c r="F168" i="69"/>
  <c r="H147" i="65" s="1"/>
  <c r="AK147" i="65" s="1"/>
  <c r="F59" i="48"/>
  <c r="F58" i="48" s="1"/>
  <c r="J60" i="30"/>
  <c r="J59" i="30" s="1"/>
  <c r="J48" i="69"/>
  <c r="F178" i="69"/>
  <c r="H157" i="65" s="1"/>
  <c r="AK157" i="65" s="1"/>
  <c r="F59" i="49"/>
  <c r="F58" i="49" s="1"/>
  <c r="M178" i="69"/>
  <c r="O157" i="65" s="1"/>
  <c r="AR157" i="65" s="1"/>
  <c r="M59" i="49"/>
  <c r="M58" i="49" s="1"/>
  <c r="G168" i="69"/>
  <c r="I147" i="65" s="1"/>
  <c r="AL147" i="65" s="1"/>
  <c r="G59" i="48"/>
  <c r="G58" i="48" s="1"/>
  <c r="E178" i="69"/>
  <c r="G157" i="65" s="1"/>
  <c r="AJ157" i="65" s="1"/>
  <c r="E59" i="49"/>
  <c r="E58" i="49" s="1"/>
  <c r="N60" i="30"/>
  <c r="N59" i="30" s="1"/>
  <c r="N48" i="69"/>
  <c r="E60" i="30"/>
  <c r="E59" i="30" s="1"/>
  <c r="E48" i="69"/>
  <c r="K60" i="30"/>
  <c r="K59" i="30" s="1"/>
  <c r="K48" i="69"/>
  <c r="H178" i="69"/>
  <c r="J157" i="65" s="1"/>
  <c r="AM157" i="65" s="1"/>
  <c r="H59" i="49"/>
  <c r="H58" i="49" s="1"/>
  <c r="J168" i="69"/>
  <c r="L147" i="65" s="1"/>
  <c r="AO147" i="65" s="1"/>
  <c r="J59" i="48"/>
  <c r="J58" i="48" s="1"/>
  <c r="K178" i="69"/>
  <c r="M157" i="65" s="1"/>
  <c r="AP157" i="65" s="1"/>
  <c r="K59" i="49"/>
  <c r="K58" i="49" s="1"/>
  <c r="H168" i="69"/>
  <c r="J147" i="65" s="1"/>
  <c r="AM147" i="65" s="1"/>
  <c r="H59" i="48"/>
  <c r="H58" i="48" s="1"/>
  <c r="N178" i="69"/>
  <c r="P157" i="65" s="1"/>
  <c r="AS157" i="65" s="1"/>
  <c r="N59" i="49"/>
  <c r="N58" i="49" s="1"/>
  <c r="D60" i="30"/>
  <c r="D59" i="30" s="1"/>
  <c r="D48" i="69"/>
  <c r="G52" i="49"/>
  <c r="G51" i="49"/>
  <c r="C52" i="49"/>
  <c r="C51" i="49"/>
  <c r="K52" i="49"/>
  <c r="K51" i="49"/>
  <c r="N52" i="49"/>
  <c r="N51" i="49"/>
  <c r="E52" i="49"/>
  <c r="E51" i="49"/>
  <c r="L52" i="49"/>
  <c r="L51" i="49"/>
  <c r="I52" i="49"/>
  <c r="I51" i="49"/>
  <c r="D52" i="49"/>
  <c r="D51" i="49"/>
  <c r="M52" i="49"/>
  <c r="M51" i="49"/>
  <c r="J52" i="49"/>
  <c r="J51" i="49"/>
  <c r="F52" i="49"/>
  <c r="F51" i="49"/>
  <c r="H52" i="49"/>
  <c r="H51" i="49"/>
  <c r="L52" i="48"/>
  <c r="L51" i="48"/>
  <c r="I52" i="48"/>
  <c r="I51" i="48"/>
  <c r="D52" i="48"/>
  <c r="D51" i="48"/>
  <c r="J52" i="48"/>
  <c r="J51" i="48"/>
  <c r="F52" i="48"/>
  <c r="F51" i="48"/>
  <c r="H52" i="48"/>
  <c r="H51" i="48"/>
  <c r="M52" i="48"/>
  <c r="M51" i="48"/>
  <c r="E52" i="48"/>
  <c r="E51" i="48"/>
  <c r="G52" i="48"/>
  <c r="G51" i="48"/>
  <c r="C52" i="48"/>
  <c r="C51" i="48"/>
  <c r="K52" i="48"/>
  <c r="K51" i="48"/>
  <c r="N52" i="48"/>
  <c r="N51" i="48"/>
  <c r="J52" i="47"/>
  <c r="J51" i="47"/>
  <c r="F52" i="47"/>
  <c r="F51" i="47"/>
  <c r="H52" i="47"/>
  <c r="H51" i="47"/>
  <c r="M52" i="47"/>
  <c r="M51" i="47"/>
  <c r="E52" i="47"/>
  <c r="E51" i="47"/>
  <c r="G52" i="47"/>
  <c r="G51" i="47"/>
  <c r="C52" i="47"/>
  <c r="C51" i="47"/>
  <c r="K52" i="47"/>
  <c r="K51" i="47"/>
  <c r="N52" i="47"/>
  <c r="N51" i="47"/>
  <c r="L52" i="47"/>
  <c r="L51" i="47"/>
  <c r="I52" i="47"/>
  <c r="I51" i="47"/>
  <c r="D52" i="47"/>
  <c r="D51" i="47"/>
  <c r="E52" i="46"/>
  <c r="E51" i="46"/>
  <c r="G51" i="46"/>
  <c r="G52" i="46"/>
  <c r="C52" i="46"/>
  <c r="C51" i="46"/>
  <c r="K52" i="46"/>
  <c r="K51" i="46"/>
  <c r="N52" i="46"/>
  <c r="N51" i="46"/>
  <c r="J52" i="46"/>
  <c r="J51" i="46"/>
  <c r="F52" i="46"/>
  <c r="F51" i="46"/>
  <c r="H52" i="46"/>
  <c r="H51" i="46"/>
  <c r="M52" i="46"/>
  <c r="M51" i="46"/>
  <c r="L51" i="46"/>
  <c r="L52" i="46"/>
  <c r="I52" i="46"/>
  <c r="I51" i="46"/>
  <c r="D52" i="46"/>
  <c r="D51" i="46"/>
  <c r="F52" i="42"/>
  <c r="F51" i="42"/>
  <c r="M52" i="42"/>
  <c r="M51" i="42"/>
  <c r="E52" i="42"/>
  <c r="E51" i="42"/>
  <c r="G52" i="42"/>
  <c r="G51" i="42"/>
  <c r="C52" i="42"/>
  <c r="C51" i="42"/>
  <c r="K52" i="42"/>
  <c r="K51" i="42"/>
  <c r="N52" i="42"/>
  <c r="N51" i="42"/>
  <c r="J52" i="42"/>
  <c r="J51" i="42"/>
  <c r="H52" i="42"/>
  <c r="H51" i="42"/>
  <c r="L52" i="42"/>
  <c r="L51" i="42"/>
  <c r="I52" i="42"/>
  <c r="I51" i="42"/>
  <c r="D52" i="42"/>
  <c r="D51" i="42"/>
  <c r="E52" i="41"/>
  <c r="E51" i="41"/>
  <c r="C52" i="41"/>
  <c r="C51" i="41"/>
  <c r="K52" i="41"/>
  <c r="K51" i="41"/>
  <c r="J52" i="41"/>
  <c r="J51" i="41"/>
  <c r="F52" i="41"/>
  <c r="F51" i="41"/>
  <c r="H52" i="41"/>
  <c r="H51" i="41"/>
  <c r="M52" i="41"/>
  <c r="M51" i="41"/>
  <c r="G52" i="41"/>
  <c r="G51" i="41"/>
  <c r="N52" i="41"/>
  <c r="N51" i="41"/>
  <c r="L52" i="41"/>
  <c r="L51" i="41"/>
  <c r="I52" i="41"/>
  <c r="I51" i="41"/>
  <c r="D52" i="41"/>
  <c r="D51" i="41"/>
  <c r="J52" i="40"/>
  <c r="J51" i="40"/>
  <c r="F52" i="40"/>
  <c r="F51" i="40"/>
  <c r="H52" i="40"/>
  <c r="H51" i="40"/>
  <c r="M52" i="40"/>
  <c r="M51" i="40"/>
  <c r="G52" i="40"/>
  <c r="G51" i="40"/>
  <c r="C52" i="40"/>
  <c r="C51" i="40"/>
  <c r="K52" i="40"/>
  <c r="K51" i="40"/>
  <c r="N52" i="40"/>
  <c r="N51" i="40"/>
  <c r="E52" i="40"/>
  <c r="E51" i="40"/>
  <c r="L52" i="40"/>
  <c r="L51" i="40"/>
  <c r="I52" i="40"/>
  <c r="I51" i="40"/>
  <c r="D52" i="40"/>
  <c r="D51" i="40"/>
  <c r="J52" i="39"/>
  <c r="J51" i="39"/>
  <c r="F52" i="39"/>
  <c r="F51" i="39"/>
  <c r="H52" i="39"/>
  <c r="H51" i="39"/>
  <c r="G52" i="39"/>
  <c r="G51" i="39"/>
  <c r="C52" i="39"/>
  <c r="C51" i="39"/>
  <c r="K52" i="39"/>
  <c r="K51" i="39"/>
  <c r="N52" i="39"/>
  <c r="N51" i="39"/>
  <c r="M52" i="39"/>
  <c r="M51" i="39"/>
  <c r="E52" i="39"/>
  <c r="E51" i="39"/>
  <c r="L52" i="39"/>
  <c r="L51" i="39"/>
  <c r="I52" i="39"/>
  <c r="I51" i="39"/>
  <c r="D52" i="39"/>
  <c r="D51" i="39"/>
  <c r="M52" i="35"/>
  <c r="M51" i="35"/>
  <c r="E52" i="35"/>
  <c r="E51" i="35"/>
  <c r="G52" i="35"/>
  <c r="G51" i="35"/>
  <c r="J52" i="35"/>
  <c r="J51" i="35"/>
  <c r="C52" i="35"/>
  <c r="C51" i="35"/>
  <c r="K52" i="35"/>
  <c r="K51" i="35"/>
  <c r="N52" i="35"/>
  <c r="N51" i="35"/>
  <c r="F52" i="35"/>
  <c r="F51" i="35"/>
  <c r="H52" i="35"/>
  <c r="H51" i="35"/>
  <c r="L52" i="35"/>
  <c r="L51" i="35"/>
  <c r="I52" i="35"/>
  <c r="I51" i="35"/>
  <c r="D52" i="35"/>
  <c r="D51" i="35"/>
  <c r="J52" i="34"/>
  <c r="J51" i="34"/>
  <c r="F52" i="34"/>
  <c r="F51" i="34"/>
  <c r="H52" i="34"/>
  <c r="H51" i="34"/>
  <c r="M52" i="34"/>
  <c r="M51" i="34"/>
  <c r="E52" i="34"/>
  <c r="E51" i="34"/>
  <c r="G52" i="34"/>
  <c r="G51" i="34"/>
  <c r="C52" i="34"/>
  <c r="C51" i="34"/>
  <c r="K52" i="34"/>
  <c r="K51" i="34"/>
  <c r="N52" i="34"/>
  <c r="N51" i="34"/>
  <c r="L52" i="34"/>
  <c r="L51" i="34"/>
  <c r="I52" i="34"/>
  <c r="I51" i="34"/>
  <c r="D52" i="34"/>
  <c r="D51" i="34"/>
  <c r="M52" i="33"/>
  <c r="M51" i="33"/>
  <c r="E52" i="33"/>
  <c r="E51" i="33"/>
  <c r="G52" i="33"/>
  <c r="G51" i="33"/>
  <c r="J52" i="33"/>
  <c r="J51" i="33"/>
  <c r="C52" i="33"/>
  <c r="C51" i="33"/>
  <c r="K52" i="33"/>
  <c r="K51" i="33"/>
  <c r="N52" i="33"/>
  <c r="N51" i="33"/>
  <c r="F52" i="33"/>
  <c r="F51" i="33"/>
  <c r="H52" i="33"/>
  <c r="H51" i="33"/>
  <c r="L52" i="33"/>
  <c r="L51" i="33"/>
  <c r="I52" i="33"/>
  <c r="I51" i="33"/>
  <c r="D52" i="33"/>
  <c r="D51" i="33"/>
  <c r="J52" i="32"/>
  <c r="J51" i="32"/>
  <c r="F52" i="32"/>
  <c r="F51" i="32"/>
  <c r="H52" i="32"/>
  <c r="H51" i="32"/>
  <c r="M52" i="32"/>
  <c r="M51" i="32"/>
  <c r="E52" i="32"/>
  <c r="E51" i="32"/>
  <c r="G52" i="32"/>
  <c r="G51" i="32"/>
  <c r="C52" i="32"/>
  <c r="C51" i="32"/>
  <c r="K52" i="32"/>
  <c r="K51" i="32"/>
  <c r="N52" i="32"/>
  <c r="N51" i="32"/>
  <c r="L52" i="32"/>
  <c r="L51" i="32"/>
  <c r="I52" i="32"/>
  <c r="I51" i="32"/>
  <c r="D52" i="32"/>
  <c r="D51" i="32"/>
  <c r="M52" i="31"/>
  <c r="M51" i="31"/>
  <c r="E52" i="31"/>
  <c r="E51" i="31"/>
  <c r="G52" i="31"/>
  <c r="G51" i="31"/>
  <c r="J52" i="31"/>
  <c r="J51" i="31"/>
  <c r="C52" i="31"/>
  <c r="C51" i="31"/>
  <c r="K51" i="31"/>
  <c r="K52" i="31"/>
  <c r="N52" i="31"/>
  <c r="N51" i="31"/>
  <c r="F52" i="31"/>
  <c r="F51" i="31"/>
  <c r="H52" i="31"/>
  <c r="H51" i="31"/>
  <c r="L52" i="31"/>
  <c r="L51" i="31"/>
  <c r="I52" i="31"/>
  <c r="I51" i="31"/>
  <c r="D52" i="31"/>
  <c r="D51" i="31"/>
  <c r="J52" i="30"/>
  <c r="J51" i="30"/>
  <c r="F52" i="30"/>
  <c r="F51" i="30"/>
  <c r="H52" i="30"/>
  <c r="H51" i="30"/>
  <c r="M52" i="30"/>
  <c r="M51" i="30"/>
  <c r="E52" i="30"/>
  <c r="E51" i="30"/>
  <c r="G52" i="30"/>
  <c r="G51" i="30"/>
  <c r="C52" i="30"/>
  <c r="C51" i="30"/>
  <c r="K52" i="30"/>
  <c r="K51" i="30"/>
  <c r="N52" i="30"/>
  <c r="N51" i="30"/>
  <c r="L52" i="30"/>
  <c r="L51" i="30"/>
  <c r="I52" i="30"/>
  <c r="I51" i="30"/>
  <c r="D52" i="30"/>
  <c r="D51" i="30"/>
  <c r="L51" i="26"/>
  <c r="L52" i="26"/>
  <c r="L52" i="25"/>
  <c r="I52" i="26"/>
  <c r="I51" i="26"/>
  <c r="I52" i="25"/>
  <c r="D51" i="26"/>
  <c r="D52" i="25"/>
  <c r="D52" i="26"/>
  <c r="J52" i="26"/>
  <c r="J51" i="26"/>
  <c r="J52" i="25"/>
  <c r="F52" i="26"/>
  <c r="F51" i="26"/>
  <c r="F52" i="25"/>
  <c r="H52" i="26"/>
  <c r="H51" i="26"/>
  <c r="H52" i="25"/>
  <c r="M52" i="26"/>
  <c r="M51" i="26"/>
  <c r="M52" i="25"/>
  <c r="E52" i="26"/>
  <c r="E51" i="26"/>
  <c r="E52" i="25"/>
  <c r="G52" i="26"/>
  <c r="G51" i="26"/>
  <c r="G52" i="25"/>
  <c r="C51" i="26"/>
  <c r="C52" i="25"/>
  <c r="C52" i="26"/>
  <c r="K51" i="26"/>
  <c r="K52" i="25"/>
  <c r="K52" i="26"/>
  <c r="N52" i="26"/>
  <c r="N51" i="26"/>
  <c r="N52" i="25"/>
  <c r="L52" i="23"/>
  <c r="L51" i="25"/>
  <c r="I51" i="25"/>
  <c r="I52" i="23"/>
  <c r="M52" i="23"/>
  <c r="M51" i="25"/>
  <c r="J52" i="23"/>
  <c r="J51" i="25"/>
  <c r="H51" i="25"/>
  <c r="H52" i="23"/>
  <c r="E51" i="25"/>
  <c r="E52" i="23"/>
  <c r="D52" i="23"/>
  <c r="D51" i="25"/>
  <c r="G52" i="23"/>
  <c r="G51" i="25"/>
  <c r="C53" i="23"/>
  <c r="C54" i="23" s="1"/>
  <c r="C71" i="23" s="1"/>
  <c r="C74" i="23" s="1"/>
  <c r="C51" i="25"/>
  <c r="K52" i="23"/>
  <c r="K51" i="25"/>
  <c r="F51" i="25"/>
  <c r="F52" i="23"/>
  <c r="N52" i="23"/>
  <c r="N51" i="25"/>
  <c r="L157" i="69"/>
  <c r="N136" i="65" s="1"/>
  <c r="AQ136" i="65" s="1"/>
  <c r="I157" i="69"/>
  <c r="K136" i="65" s="1"/>
  <c r="AN136" i="65" s="1"/>
  <c r="D157" i="69"/>
  <c r="F136" i="65" s="1"/>
  <c r="AI136" i="65" s="1"/>
  <c r="M157" i="69"/>
  <c r="O136" i="65" s="1"/>
  <c r="AR136" i="65" s="1"/>
  <c r="E158" i="69"/>
  <c r="G137" i="65" s="1"/>
  <c r="AJ137" i="65" s="1"/>
  <c r="G157" i="69"/>
  <c r="I136" i="65" s="1"/>
  <c r="AL136" i="65" s="1"/>
  <c r="C158" i="69"/>
  <c r="E137" i="65" s="1"/>
  <c r="AH137" i="65" s="1"/>
  <c r="J157" i="69"/>
  <c r="L136" i="65" s="1"/>
  <c r="AO136" i="65" s="1"/>
  <c r="K158" i="69"/>
  <c r="M137" i="65" s="1"/>
  <c r="AP137" i="65" s="1"/>
  <c r="F158" i="69"/>
  <c r="H137" i="65" s="1"/>
  <c r="AK137" i="65" s="1"/>
  <c r="N158" i="69"/>
  <c r="P137" i="65" s="1"/>
  <c r="AS137" i="65" s="1"/>
  <c r="H157" i="69"/>
  <c r="J136" i="65" s="1"/>
  <c r="AM136" i="65" s="1"/>
  <c r="M158" i="69"/>
  <c r="O137" i="65" s="1"/>
  <c r="AR137" i="65" s="1"/>
  <c r="E157" i="69"/>
  <c r="G136" i="65" s="1"/>
  <c r="AJ136" i="65" s="1"/>
  <c r="G158" i="69"/>
  <c r="I137" i="65" s="1"/>
  <c r="AL137" i="65" s="1"/>
  <c r="L158" i="69"/>
  <c r="N137" i="65" s="1"/>
  <c r="AQ137" i="65" s="1"/>
  <c r="I158" i="69"/>
  <c r="K137" i="65" s="1"/>
  <c r="AN137" i="65" s="1"/>
  <c r="D158" i="69"/>
  <c r="F137" i="65" s="1"/>
  <c r="AI137" i="65" s="1"/>
  <c r="C157" i="69"/>
  <c r="E136" i="65" s="1"/>
  <c r="AH136" i="65" s="1"/>
  <c r="J158" i="69"/>
  <c r="L137" i="65" s="1"/>
  <c r="AO137" i="65" s="1"/>
  <c r="K157" i="69"/>
  <c r="M136" i="65" s="1"/>
  <c r="AP136" i="65" s="1"/>
  <c r="F157" i="69"/>
  <c r="H136" i="65" s="1"/>
  <c r="AK136" i="65" s="1"/>
  <c r="N157" i="69"/>
  <c r="P136" i="65" s="1"/>
  <c r="AS136" i="65" s="1"/>
  <c r="H158" i="69"/>
  <c r="J137" i="65" s="1"/>
  <c r="AM137" i="65" s="1"/>
  <c r="O113" i="69"/>
  <c r="F73" i="68" s="1"/>
  <c r="E92" i="65"/>
  <c r="AH92" i="65" s="1"/>
  <c r="O63" i="69"/>
  <c r="F43" i="68" s="1"/>
  <c r="E62" i="65"/>
  <c r="AH62" i="65" s="1"/>
  <c r="O103" i="69"/>
  <c r="F67" i="68" s="1"/>
  <c r="E82" i="65"/>
  <c r="AH82" i="65" s="1"/>
  <c r="O143" i="69"/>
  <c r="F91" i="68" s="1"/>
  <c r="E122" i="65"/>
  <c r="AH122" i="65" s="1"/>
  <c r="O163" i="69"/>
  <c r="F103" i="68" s="1"/>
  <c r="E142" i="65"/>
  <c r="AH142" i="65" s="1"/>
  <c r="O33" i="69"/>
  <c r="E32" i="65"/>
  <c r="AH32" i="65" s="1"/>
  <c r="O153" i="69"/>
  <c r="F97" i="68" s="1"/>
  <c r="E132" i="65"/>
  <c r="AH132" i="65" s="1"/>
  <c r="O73" i="69"/>
  <c r="F49" i="68" s="1"/>
  <c r="E72" i="65"/>
  <c r="AH72" i="65" s="1"/>
  <c r="O43" i="69"/>
  <c r="F31" i="68" s="1"/>
  <c r="E42" i="65"/>
  <c r="AH42" i="65" s="1"/>
  <c r="O83" i="69"/>
  <c r="F55" i="68" s="1"/>
  <c r="E162" i="65"/>
  <c r="AH162" i="65" s="1"/>
  <c r="O123" i="69"/>
  <c r="F79" i="68" s="1"/>
  <c r="E102" i="65"/>
  <c r="AH102" i="65" s="1"/>
  <c r="O53" i="69"/>
  <c r="F37" i="68" s="1"/>
  <c r="E52" i="65"/>
  <c r="AH52" i="65" s="1"/>
  <c r="O93" i="69"/>
  <c r="F61" i="68" s="1"/>
  <c r="E172" i="65"/>
  <c r="AH172" i="65" s="1"/>
  <c r="O133" i="69"/>
  <c r="F85" i="68" s="1"/>
  <c r="E112" i="65"/>
  <c r="AH112" i="65" s="1"/>
  <c r="O173" i="69"/>
  <c r="F109" i="68" s="1"/>
  <c r="E152" i="65"/>
  <c r="AH152" i="65" s="1"/>
  <c r="C174" i="68"/>
  <c r="B174" i="68"/>
  <c r="D174" i="68"/>
  <c r="D181" i="68" s="1"/>
  <c r="C175" i="68"/>
  <c r="C182" i="68" s="1"/>
  <c r="D175" i="68"/>
  <c r="D182" i="68" s="1"/>
  <c r="B175" i="68"/>
  <c r="B182" i="68" s="1"/>
  <c r="U23" i="69"/>
  <c r="O13" i="69"/>
  <c r="K129" i="68"/>
  <c r="K147" i="68"/>
  <c r="I147" i="68"/>
  <c r="U125" i="79"/>
  <c r="U118" i="79"/>
  <c r="U111" i="79"/>
  <c r="U104" i="79"/>
  <c r="U97" i="79"/>
  <c r="U90" i="79"/>
  <c r="U83" i="79"/>
  <c r="U76" i="79"/>
  <c r="U69" i="79"/>
  <c r="U62" i="79"/>
  <c r="U55" i="79"/>
  <c r="U48" i="79"/>
  <c r="U41" i="79"/>
  <c r="U34" i="79"/>
  <c r="H218" i="69"/>
  <c r="J205" i="65" s="1"/>
  <c r="J218" i="69"/>
  <c r="L205" i="65" s="1"/>
  <c r="C218" i="69"/>
  <c r="F218" i="69"/>
  <c r="H205" i="65" s="1"/>
  <c r="K218" i="69"/>
  <c r="M205" i="65" s="1"/>
  <c r="L218" i="69"/>
  <c r="N205" i="65" s="1"/>
  <c r="M218" i="69"/>
  <c r="O205" i="65" s="1"/>
  <c r="G218" i="69"/>
  <c r="I205" i="65" s="1"/>
  <c r="I218" i="69"/>
  <c r="K205" i="65" s="1"/>
  <c r="N218" i="69"/>
  <c r="P205" i="65" s="1"/>
  <c r="J144" i="68"/>
  <c r="J138" i="68"/>
  <c r="J156" i="68"/>
  <c r="J162" i="68"/>
  <c r="I165" i="68"/>
  <c r="I141" i="68"/>
  <c r="I135" i="68"/>
  <c r="I153" i="68"/>
  <c r="I123" i="68"/>
  <c r="I159" i="68"/>
  <c r="F19" i="68"/>
  <c r="K144" i="68"/>
  <c r="K159" i="68"/>
  <c r="K141" i="68"/>
  <c r="K165" i="68"/>
  <c r="K135" i="68"/>
  <c r="K123" i="68"/>
  <c r="K153" i="68"/>
  <c r="E97" i="68"/>
  <c r="C36" i="50"/>
  <c r="D158" i="70" s="1"/>
  <c r="E135" i="66" s="1"/>
  <c r="G36" i="50"/>
  <c r="H158" i="70" s="1"/>
  <c r="I135" i="66" s="1"/>
  <c r="K36" i="50"/>
  <c r="L158" i="70" s="1"/>
  <c r="M135" i="66" s="1"/>
  <c r="E36" i="50"/>
  <c r="F158" i="70" s="1"/>
  <c r="G135" i="66" s="1"/>
  <c r="L36" i="50"/>
  <c r="M158" i="70" s="1"/>
  <c r="N135" i="66" s="1"/>
  <c r="M36" i="50"/>
  <c r="N158" i="70" s="1"/>
  <c r="O135" i="66" s="1"/>
  <c r="J36" i="50"/>
  <c r="K158" i="70" s="1"/>
  <c r="L135" i="66" s="1"/>
  <c r="H36" i="50"/>
  <c r="I158" i="70" s="1"/>
  <c r="J135" i="66" s="1"/>
  <c r="I36" i="50"/>
  <c r="J158" i="70" s="1"/>
  <c r="K135" i="66" s="1"/>
  <c r="F254" i="69"/>
  <c r="F264" i="69"/>
  <c r="F274" i="69"/>
  <c r="K264" i="69"/>
  <c r="K274" i="69"/>
  <c r="K254" i="69"/>
  <c r="J264" i="69"/>
  <c r="J274" i="69"/>
  <c r="J254" i="69"/>
  <c r="N274" i="69"/>
  <c r="N254" i="69"/>
  <c r="N264" i="69"/>
  <c r="L274" i="69"/>
  <c r="L254" i="69"/>
  <c r="L264" i="69"/>
  <c r="M274" i="69"/>
  <c r="M254" i="69"/>
  <c r="M264" i="69"/>
  <c r="I274" i="69"/>
  <c r="I254" i="69"/>
  <c r="I264" i="69"/>
  <c r="H274" i="69"/>
  <c r="H254" i="69"/>
  <c r="H264" i="69"/>
  <c r="O13" i="70"/>
  <c r="U13" i="70" s="1"/>
  <c r="E37" i="68"/>
  <c r="E79" i="68"/>
  <c r="U125" i="70"/>
  <c r="U55" i="70"/>
  <c r="E67" i="68"/>
  <c r="N13" i="17"/>
  <c r="J15" i="17"/>
  <c r="P15" i="12"/>
  <c r="I81" i="59"/>
  <c r="K81" i="59"/>
  <c r="G81" i="59"/>
  <c r="M81" i="59"/>
  <c r="N76" i="52"/>
  <c r="N91" i="52" s="1"/>
  <c r="N14" i="17"/>
  <c r="O11" i="12"/>
  <c r="L81" i="59"/>
  <c r="D81" i="50"/>
  <c r="O13" i="13"/>
  <c r="P13" i="13" s="1"/>
  <c r="O17" i="13"/>
  <c r="P17" i="13" s="1"/>
  <c r="O22" i="13"/>
  <c r="P22" i="13" s="1"/>
  <c r="O21" i="12"/>
  <c r="O23" i="12"/>
  <c r="O26" i="13"/>
  <c r="P26" i="13" s="1"/>
  <c r="O16" i="12"/>
  <c r="O19" i="12"/>
  <c r="O12" i="13"/>
  <c r="P12" i="13" s="1"/>
  <c r="O14" i="13"/>
  <c r="P14" i="13" s="1"/>
  <c r="O21" i="13"/>
  <c r="P21" i="13" s="1"/>
  <c r="O23" i="13"/>
  <c r="P23" i="13" s="1"/>
  <c r="O16" i="13"/>
  <c r="P16" i="13" s="1"/>
  <c r="O15" i="13"/>
  <c r="P15" i="13" s="1"/>
  <c r="O22" i="12"/>
  <c r="O14" i="12"/>
  <c r="O25" i="13"/>
  <c r="P25" i="13" s="1"/>
  <c r="O15" i="12"/>
  <c r="O19" i="13"/>
  <c r="P19" i="13" s="1"/>
  <c r="O18" i="13"/>
  <c r="P18" i="13" s="1"/>
  <c r="O18" i="12"/>
  <c r="O27" i="12"/>
  <c r="O25" i="12"/>
  <c r="O17" i="12"/>
  <c r="O24" i="12"/>
  <c r="O27" i="13"/>
  <c r="P27" i="13" s="1"/>
  <c r="O12" i="12"/>
  <c r="O13" i="12"/>
  <c r="O24" i="13"/>
  <c r="P24" i="13" s="1"/>
  <c r="B81" i="59"/>
  <c r="F81" i="59"/>
  <c r="L175" i="16"/>
  <c r="L174" i="16"/>
  <c r="L176" i="16"/>
  <c r="E175" i="16"/>
  <c r="E174" i="16"/>
  <c r="E176" i="16"/>
  <c r="H174" i="16"/>
  <c r="H176" i="16"/>
  <c r="H175" i="16"/>
  <c r="O26" i="12"/>
  <c r="N30" i="52"/>
  <c r="N45" i="52" s="1"/>
  <c r="E81" i="59"/>
  <c r="C81" i="50"/>
  <c r="N81" i="50" s="1"/>
  <c r="J174" i="16"/>
  <c r="J175" i="16"/>
  <c r="J176" i="16"/>
  <c r="I175" i="16"/>
  <c r="I174" i="16"/>
  <c r="I176" i="16"/>
  <c r="C175" i="16"/>
  <c r="C174" i="16"/>
  <c r="C176" i="16"/>
  <c r="O20" i="13"/>
  <c r="P20" i="13" s="1"/>
  <c r="U69" i="70"/>
  <c r="K36" i="59"/>
  <c r="L159" i="70" s="1"/>
  <c r="M134" i="66" s="1"/>
  <c r="M36" i="59"/>
  <c r="N159" i="70" s="1"/>
  <c r="O134" i="66" s="1"/>
  <c r="J81" i="59"/>
  <c r="J36" i="59"/>
  <c r="K159" i="70" s="1"/>
  <c r="L134" i="66" s="1"/>
  <c r="H36" i="59"/>
  <c r="I159" i="70" s="1"/>
  <c r="J134" i="66" s="1"/>
  <c r="I36" i="59"/>
  <c r="J159" i="70" s="1"/>
  <c r="K134" i="66" s="1"/>
  <c r="K175" i="16"/>
  <c r="K176" i="16"/>
  <c r="K174" i="16"/>
  <c r="D176" i="16"/>
  <c r="D175" i="16"/>
  <c r="D174" i="16"/>
  <c r="G176" i="16"/>
  <c r="G174" i="16"/>
  <c r="G175" i="16"/>
  <c r="L36" i="59"/>
  <c r="M159" i="70" s="1"/>
  <c r="N134" i="66" s="1"/>
  <c r="M174" i="16"/>
  <c r="M176" i="16"/>
  <c r="M175" i="16"/>
  <c r="B174" i="16"/>
  <c r="B175" i="16"/>
  <c r="B176" i="16"/>
  <c r="F175" i="16"/>
  <c r="F176" i="16"/>
  <c r="F174" i="16"/>
  <c r="O28" i="13"/>
  <c r="P28" i="13" s="1"/>
  <c r="P20" i="12"/>
  <c r="H81" i="59"/>
  <c r="P25" i="12"/>
  <c r="P17" i="12"/>
  <c r="P24" i="12"/>
  <c r="P22" i="12"/>
  <c r="P14" i="12"/>
  <c r="P23" i="12"/>
  <c r="P16" i="12"/>
  <c r="E91" i="68"/>
  <c r="U104" i="70"/>
  <c r="E85" i="68"/>
  <c r="U97" i="70"/>
  <c r="U62" i="70"/>
  <c r="E55" i="68"/>
  <c r="U34" i="70"/>
  <c r="E31" i="68"/>
  <c r="U27" i="70"/>
  <c r="P21" i="12"/>
  <c r="P13" i="12"/>
  <c r="P27" i="12"/>
  <c r="P26" i="12"/>
  <c r="P18" i="12"/>
  <c r="P12" i="12"/>
  <c r="P19" i="12"/>
  <c r="P11" i="12"/>
  <c r="E103" i="68"/>
  <c r="U118" i="70"/>
  <c r="E73" i="68"/>
  <c r="U83" i="70"/>
  <c r="U48" i="70"/>
  <c r="E43" i="68"/>
  <c r="O20" i="12"/>
  <c r="L20" i="61"/>
  <c r="J170" i="16"/>
  <c r="J169" i="16"/>
  <c r="J168" i="16"/>
  <c r="J167" i="16"/>
  <c r="J166" i="16"/>
  <c r="J165" i="16"/>
  <c r="L170" i="16"/>
  <c r="L169" i="16"/>
  <c r="L168" i="16"/>
  <c r="L167" i="16"/>
  <c r="L166" i="16"/>
  <c r="L165" i="16"/>
  <c r="I170" i="16"/>
  <c r="I169" i="16"/>
  <c r="I168" i="16"/>
  <c r="I167" i="16"/>
  <c r="I166" i="16"/>
  <c r="I165" i="16"/>
  <c r="C170" i="16"/>
  <c r="C169" i="16"/>
  <c r="C168" i="16"/>
  <c r="C167" i="16"/>
  <c r="C166" i="16"/>
  <c r="C165" i="16"/>
  <c r="E170" i="16"/>
  <c r="E169" i="16"/>
  <c r="E168" i="16"/>
  <c r="E167" i="16"/>
  <c r="E166" i="16"/>
  <c r="E165" i="16"/>
  <c r="H170" i="16"/>
  <c r="H169" i="16"/>
  <c r="H168" i="16"/>
  <c r="H167" i="16"/>
  <c r="H166" i="16"/>
  <c r="H165" i="16"/>
  <c r="K15" i="17"/>
  <c r="K170" i="16"/>
  <c r="K169" i="16"/>
  <c r="K168" i="16"/>
  <c r="K167" i="16"/>
  <c r="K166" i="16"/>
  <c r="K165" i="16"/>
  <c r="M170" i="16"/>
  <c r="M169" i="16"/>
  <c r="M168" i="16"/>
  <c r="M167" i="16"/>
  <c r="M166" i="16"/>
  <c r="M165" i="16"/>
  <c r="D170" i="16"/>
  <c r="D169" i="16"/>
  <c r="D168" i="16"/>
  <c r="D167" i="16"/>
  <c r="D166" i="16"/>
  <c r="D165" i="16"/>
  <c r="B170" i="16"/>
  <c r="B169" i="16"/>
  <c r="B168" i="16"/>
  <c r="B167" i="16"/>
  <c r="B166" i="16"/>
  <c r="B165" i="16"/>
  <c r="F170" i="16"/>
  <c r="F169" i="16"/>
  <c r="F168" i="16"/>
  <c r="F167" i="16"/>
  <c r="F166" i="16"/>
  <c r="F165" i="16"/>
  <c r="G170" i="16"/>
  <c r="G169" i="16"/>
  <c r="G168" i="16"/>
  <c r="G167" i="16"/>
  <c r="G166" i="16"/>
  <c r="G165" i="16"/>
  <c r="H15" i="17"/>
  <c r="L15" i="17"/>
  <c r="I15" i="17"/>
  <c r="C15" i="17"/>
  <c r="E15" i="17"/>
  <c r="D15" i="17"/>
  <c r="F15" i="17"/>
  <c r="M15" i="17"/>
  <c r="B15" i="17"/>
  <c r="N12" i="17"/>
  <c r="K138" i="68" l="1"/>
  <c r="K156" i="68"/>
  <c r="C58" i="49"/>
  <c r="P58" i="49" s="1"/>
  <c r="P59" i="49"/>
  <c r="P59" i="48"/>
  <c r="C58" i="48"/>
  <c r="P58" i="48" s="1"/>
  <c r="J126" i="68"/>
  <c r="J168" i="68"/>
  <c r="L53" i="46"/>
  <c r="L54" i="46" s="1"/>
  <c r="L71" i="46" s="1"/>
  <c r="L74" i="46" s="1"/>
  <c r="G53" i="46"/>
  <c r="G54" i="46" s="1"/>
  <c r="G71" i="46" s="1"/>
  <c r="G74" i="46" s="1"/>
  <c r="I53" i="42"/>
  <c r="I54" i="42" s="1"/>
  <c r="I71" i="42" s="1"/>
  <c r="I74" i="42" s="1"/>
  <c r="C72" i="23"/>
  <c r="C75" i="23" s="1"/>
  <c r="F53" i="49"/>
  <c r="F54" i="49" s="1"/>
  <c r="F71" i="49" s="1"/>
  <c r="M53" i="49"/>
  <c r="M54" i="49" s="1"/>
  <c r="M71" i="49" s="1"/>
  <c r="M74" i="49" s="1"/>
  <c r="I53" i="49"/>
  <c r="I54" i="49" s="1"/>
  <c r="I71" i="49" s="1"/>
  <c r="I74" i="49" s="1"/>
  <c r="E53" i="49"/>
  <c r="E54" i="49" s="1"/>
  <c r="E71" i="49" s="1"/>
  <c r="E74" i="49" s="1"/>
  <c r="K53" i="49"/>
  <c r="K54" i="49" s="1"/>
  <c r="K71" i="49" s="1"/>
  <c r="K74" i="49" s="1"/>
  <c r="G53" i="49"/>
  <c r="G54" i="49" s="1"/>
  <c r="G71" i="49" s="1"/>
  <c r="G74" i="49" s="1"/>
  <c r="H53" i="49"/>
  <c r="H54" i="49" s="1"/>
  <c r="H71" i="49" s="1"/>
  <c r="H74" i="49" s="1"/>
  <c r="J53" i="49"/>
  <c r="J54" i="49" s="1"/>
  <c r="J71" i="49" s="1"/>
  <c r="J74" i="49" s="1"/>
  <c r="D53" i="49"/>
  <c r="D54" i="49" s="1"/>
  <c r="D71" i="49" s="1"/>
  <c r="D74" i="49" s="1"/>
  <c r="L53" i="49"/>
  <c r="L54" i="49" s="1"/>
  <c r="L71" i="49" s="1"/>
  <c r="L74" i="49" s="1"/>
  <c r="N53" i="49"/>
  <c r="N54" i="49" s="1"/>
  <c r="N71" i="49" s="1"/>
  <c r="N74" i="49" s="1"/>
  <c r="C53" i="49"/>
  <c r="C54" i="49" s="1"/>
  <c r="C71" i="49" s="1"/>
  <c r="C74" i="49" s="1"/>
  <c r="N53" i="48"/>
  <c r="N54" i="48" s="1"/>
  <c r="N71" i="48" s="1"/>
  <c r="N74" i="48" s="1"/>
  <c r="C53" i="48"/>
  <c r="C54" i="48" s="1"/>
  <c r="C71" i="48" s="1"/>
  <c r="C74" i="48" s="1"/>
  <c r="E53" i="48"/>
  <c r="E54" i="48" s="1"/>
  <c r="E71" i="48" s="1"/>
  <c r="E74" i="48" s="1"/>
  <c r="H53" i="48"/>
  <c r="H54" i="48" s="1"/>
  <c r="H71" i="48" s="1"/>
  <c r="H74" i="48" s="1"/>
  <c r="J53" i="48"/>
  <c r="J54" i="48" s="1"/>
  <c r="J71" i="48" s="1"/>
  <c r="J74" i="48" s="1"/>
  <c r="I53" i="48"/>
  <c r="I54" i="48" s="1"/>
  <c r="I71" i="48" s="1"/>
  <c r="I74" i="48" s="1"/>
  <c r="K53" i="48"/>
  <c r="K54" i="48" s="1"/>
  <c r="K71" i="48" s="1"/>
  <c r="K74" i="48" s="1"/>
  <c r="G53" i="48"/>
  <c r="G54" i="48" s="1"/>
  <c r="G71" i="48" s="1"/>
  <c r="G74" i="48" s="1"/>
  <c r="M53" i="48"/>
  <c r="M54" i="48" s="1"/>
  <c r="M71" i="48" s="1"/>
  <c r="M74" i="48" s="1"/>
  <c r="F53" i="48"/>
  <c r="F54" i="48" s="1"/>
  <c r="F71" i="48" s="1"/>
  <c r="F74" i="48" s="1"/>
  <c r="D53" i="48"/>
  <c r="D54" i="48" s="1"/>
  <c r="D71" i="48" s="1"/>
  <c r="D74" i="48" s="1"/>
  <c r="L53" i="48"/>
  <c r="L54" i="48" s="1"/>
  <c r="L71" i="48" s="1"/>
  <c r="L74" i="48" s="1"/>
  <c r="L72" i="46"/>
  <c r="L75" i="46" s="1"/>
  <c r="G72" i="46"/>
  <c r="G75" i="46" s="1"/>
  <c r="D53" i="47"/>
  <c r="D54" i="47" s="1"/>
  <c r="D71" i="47" s="1"/>
  <c r="D74" i="47" s="1"/>
  <c r="L53" i="47"/>
  <c r="L54" i="47" s="1"/>
  <c r="L71" i="47" s="1"/>
  <c r="L74" i="47" s="1"/>
  <c r="K53" i="47"/>
  <c r="K54" i="47" s="1"/>
  <c r="K71" i="47" s="1"/>
  <c r="G53" i="47"/>
  <c r="G54" i="47" s="1"/>
  <c r="G71" i="47" s="1"/>
  <c r="G74" i="47" s="1"/>
  <c r="M53" i="47"/>
  <c r="M54" i="47" s="1"/>
  <c r="M71" i="47" s="1"/>
  <c r="M74" i="47" s="1"/>
  <c r="F53" i="47"/>
  <c r="F54" i="47" s="1"/>
  <c r="F71" i="47" s="1"/>
  <c r="F74" i="47" s="1"/>
  <c r="H53" i="42"/>
  <c r="H54" i="42" s="1"/>
  <c r="H71" i="42" s="1"/>
  <c r="H74" i="42" s="1"/>
  <c r="N53" i="42"/>
  <c r="N54" i="42" s="1"/>
  <c r="N71" i="42" s="1"/>
  <c r="N74" i="42" s="1"/>
  <c r="C53" i="42"/>
  <c r="C54" i="42" s="1"/>
  <c r="C71" i="42" s="1"/>
  <c r="C74" i="42" s="1"/>
  <c r="E53" i="42"/>
  <c r="E54" i="42" s="1"/>
  <c r="E71" i="42" s="1"/>
  <c r="E74" i="42" s="1"/>
  <c r="F53" i="42"/>
  <c r="F54" i="42" s="1"/>
  <c r="F71" i="42" s="1"/>
  <c r="F74" i="42" s="1"/>
  <c r="I53" i="46"/>
  <c r="I54" i="46" s="1"/>
  <c r="I71" i="46" s="1"/>
  <c r="I74" i="46" s="1"/>
  <c r="M53" i="46"/>
  <c r="M54" i="46" s="1"/>
  <c r="M71" i="46" s="1"/>
  <c r="M74" i="46" s="1"/>
  <c r="F53" i="46"/>
  <c r="F54" i="46" s="1"/>
  <c r="F71" i="46" s="1"/>
  <c r="F74" i="46" s="1"/>
  <c r="N53" i="46"/>
  <c r="N54" i="46" s="1"/>
  <c r="N71" i="46" s="1"/>
  <c r="N74" i="46" s="1"/>
  <c r="C53" i="46"/>
  <c r="C54" i="46" s="1"/>
  <c r="C71" i="46" s="1"/>
  <c r="C74" i="46" s="1"/>
  <c r="E53" i="46"/>
  <c r="E54" i="46" s="1"/>
  <c r="E71" i="46" s="1"/>
  <c r="E74" i="46" s="1"/>
  <c r="I53" i="47"/>
  <c r="I54" i="47" s="1"/>
  <c r="I71" i="47" s="1"/>
  <c r="I74" i="47" s="1"/>
  <c r="N53" i="47"/>
  <c r="N54" i="47" s="1"/>
  <c r="N71" i="47" s="1"/>
  <c r="N74" i="47" s="1"/>
  <c r="C53" i="47"/>
  <c r="C54" i="47" s="1"/>
  <c r="C71" i="47" s="1"/>
  <c r="C74" i="47" s="1"/>
  <c r="E53" i="47"/>
  <c r="E54" i="47" s="1"/>
  <c r="E71" i="47" s="1"/>
  <c r="E74" i="47" s="1"/>
  <c r="H53" i="47"/>
  <c r="H54" i="47" s="1"/>
  <c r="H71" i="47" s="1"/>
  <c r="H74" i="47" s="1"/>
  <c r="J53" i="47"/>
  <c r="J54" i="47" s="1"/>
  <c r="D53" i="46"/>
  <c r="D54" i="46" s="1"/>
  <c r="D71" i="46" s="1"/>
  <c r="D74" i="46" s="1"/>
  <c r="H53" i="46"/>
  <c r="H54" i="46" s="1"/>
  <c r="H71" i="46" s="1"/>
  <c r="H74" i="46" s="1"/>
  <c r="J53" i="46"/>
  <c r="J54" i="46" s="1"/>
  <c r="J71" i="46" s="1"/>
  <c r="J74" i="46" s="1"/>
  <c r="K53" i="46"/>
  <c r="K54" i="46" s="1"/>
  <c r="K71" i="46" s="1"/>
  <c r="K74" i="46" s="1"/>
  <c r="N72" i="42"/>
  <c r="N75" i="42" s="1"/>
  <c r="D53" i="41"/>
  <c r="D54" i="41" s="1"/>
  <c r="D71" i="41" s="1"/>
  <c r="D74" i="41" s="1"/>
  <c r="L53" i="41"/>
  <c r="L54" i="41" s="1"/>
  <c r="L71" i="41" s="1"/>
  <c r="L74" i="41" s="1"/>
  <c r="G53" i="41"/>
  <c r="G54" i="41" s="1"/>
  <c r="G71" i="41" s="1"/>
  <c r="G74" i="41" s="1"/>
  <c r="H53" i="41"/>
  <c r="H54" i="41" s="1"/>
  <c r="H71" i="41" s="1"/>
  <c r="H74" i="41" s="1"/>
  <c r="J53" i="41"/>
  <c r="J54" i="41" s="1"/>
  <c r="J71" i="41" s="1"/>
  <c r="J74" i="41" s="1"/>
  <c r="C53" i="41"/>
  <c r="C54" i="41" s="1"/>
  <c r="C71" i="41" s="1"/>
  <c r="C74" i="41" s="1"/>
  <c r="D53" i="42"/>
  <c r="D54" i="42" s="1"/>
  <c r="D71" i="42" s="1"/>
  <c r="D74" i="42" s="1"/>
  <c r="L53" i="42"/>
  <c r="L54" i="42" s="1"/>
  <c r="L71" i="42" s="1"/>
  <c r="L74" i="42" s="1"/>
  <c r="J53" i="42"/>
  <c r="J54" i="42" s="1"/>
  <c r="J71" i="42" s="1"/>
  <c r="J74" i="42" s="1"/>
  <c r="K53" i="42"/>
  <c r="K54" i="42" s="1"/>
  <c r="K71" i="42" s="1"/>
  <c r="K74" i="42" s="1"/>
  <c r="G53" i="42"/>
  <c r="G54" i="42" s="1"/>
  <c r="G71" i="42" s="1"/>
  <c r="G74" i="42" s="1"/>
  <c r="M53" i="42"/>
  <c r="M54" i="42" s="1"/>
  <c r="M71" i="42" s="1"/>
  <c r="M74" i="42" s="1"/>
  <c r="I53" i="41"/>
  <c r="I54" i="41" s="1"/>
  <c r="I71" i="41" s="1"/>
  <c r="I74" i="41" s="1"/>
  <c r="N53" i="41"/>
  <c r="N54" i="41" s="1"/>
  <c r="N71" i="41" s="1"/>
  <c r="N74" i="41" s="1"/>
  <c r="M53" i="41"/>
  <c r="M54" i="41" s="1"/>
  <c r="M71" i="41" s="1"/>
  <c r="M74" i="41" s="1"/>
  <c r="F53" i="41"/>
  <c r="F54" i="41" s="1"/>
  <c r="F71" i="41" s="1"/>
  <c r="F74" i="41" s="1"/>
  <c r="K53" i="41"/>
  <c r="K54" i="41" s="1"/>
  <c r="K71" i="41" s="1"/>
  <c r="K74" i="41" s="1"/>
  <c r="E53" i="41"/>
  <c r="E54" i="41" s="1"/>
  <c r="E71" i="41" s="1"/>
  <c r="E74" i="41" s="1"/>
  <c r="D53" i="40"/>
  <c r="D54" i="40" s="1"/>
  <c r="D71" i="40" s="1"/>
  <c r="D74" i="40" s="1"/>
  <c r="L53" i="40"/>
  <c r="L54" i="40" s="1"/>
  <c r="L71" i="40" s="1"/>
  <c r="L74" i="40" s="1"/>
  <c r="N53" i="40"/>
  <c r="N54" i="40" s="1"/>
  <c r="N71" i="40" s="1"/>
  <c r="N74" i="40" s="1"/>
  <c r="C53" i="40"/>
  <c r="C54" i="40" s="1"/>
  <c r="C71" i="40" s="1"/>
  <c r="C74" i="40" s="1"/>
  <c r="M53" i="40"/>
  <c r="M54" i="40" s="1"/>
  <c r="M71" i="40" s="1"/>
  <c r="M74" i="40" s="1"/>
  <c r="F53" i="40"/>
  <c r="F54" i="40" s="1"/>
  <c r="F71" i="40" s="1"/>
  <c r="F74" i="40" s="1"/>
  <c r="I53" i="40"/>
  <c r="I54" i="40" s="1"/>
  <c r="I71" i="40" s="1"/>
  <c r="I74" i="40" s="1"/>
  <c r="E53" i="40"/>
  <c r="E54" i="40" s="1"/>
  <c r="E71" i="40" s="1"/>
  <c r="E74" i="40" s="1"/>
  <c r="K53" i="40"/>
  <c r="K54" i="40" s="1"/>
  <c r="K71" i="40" s="1"/>
  <c r="K74" i="40" s="1"/>
  <c r="G53" i="40"/>
  <c r="G54" i="40" s="1"/>
  <c r="G71" i="40" s="1"/>
  <c r="G74" i="40" s="1"/>
  <c r="H53" i="40"/>
  <c r="H54" i="40" s="1"/>
  <c r="H71" i="40" s="1"/>
  <c r="H74" i="40" s="1"/>
  <c r="J53" i="40"/>
  <c r="J54" i="40" s="1"/>
  <c r="J71" i="40" s="1"/>
  <c r="J74" i="40" s="1"/>
  <c r="I53" i="35"/>
  <c r="I54" i="35" s="1"/>
  <c r="I71" i="35" s="1"/>
  <c r="I74" i="35" s="1"/>
  <c r="H53" i="35"/>
  <c r="H54" i="35" s="1"/>
  <c r="H71" i="35" s="1"/>
  <c r="H74" i="35" s="1"/>
  <c r="N53" i="35"/>
  <c r="N54" i="35" s="1"/>
  <c r="N71" i="35" s="1"/>
  <c r="C53" i="35"/>
  <c r="C54" i="35" s="1"/>
  <c r="C71" i="35" s="1"/>
  <c r="C74" i="35" s="1"/>
  <c r="G53" i="35"/>
  <c r="G54" i="35" s="1"/>
  <c r="G71" i="35" s="1"/>
  <c r="M53" i="35"/>
  <c r="M54" i="35" s="1"/>
  <c r="M71" i="35" s="1"/>
  <c r="M74" i="35" s="1"/>
  <c r="I53" i="39"/>
  <c r="I54" i="39" s="1"/>
  <c r="I71" i="39" s="1"/>
  <c r="I74" i="39" s="1"/>
  <c r="E53" i="39"/>
  <c r="E54" i="39" s="1"/>
  <c r="E71" i="39" s="1"/>
  <c r="E74" i="39" s="1"/>
  <c r="N53" i="39"/>
  <c r="N54" i="39" s="1"/>
  <c r="N71" i="39" s="1"/>
  <c r="N74" i="39" s="1"/>
  <c r="C53" i="39"/>
  <c r="C54" i="39" s="1"/>
  <c r="C71" i="39" s="1"/>
  <c r="C74" i="39" s="1"/>
  <c r="H53" i="39"/>
  <c r="H54" i="39" s="1"/>
  <c r="H71" i="39" s="1"/>
  <c r="H74" i="39" s="1"/>
  <c r="J53" i="39"/>
  <c r="J54" i="39" s="1"/>
  <c r="J71" i="39" s="1"/>
  <c r="J74" i="39" s="1"/>
  <c r="D53" i="39"/>
  <c r="D54" i="39" s="1"/>
  <c r="D71" i="39" s="1"/>
  <c r="D74" i="39" s="1"/>
  <c r="L53" i="39"/>
  <c r="L54" i="39" s="1"/>
  <c r="L71" i="39" s="1"/>
  <c r="L74" i="39" s="1"/>
  <c r="M53" i="39"/>
  <c r="M54" i="39" s="1"/>
  <c r="M71" i="39" s="1"/>
  <c r="M74" i="39" s="1"/>
  <c r="K53" i="39"/>
  <c r="K54" i="39" s="1"/>
  <c r="K71" i="39" s="1"/>
  <c r="K74" i="39" s="1"/>
  <c r="G53" i="39"/>
  <c r="G54" i="39" s="1"/>
  <c r="G71" i="39" s="1"/>
  <c r="G74" i="39" s="1"/>
  <c r="F53" i="39"/>
  <c r="F54" i="39" s="1"/>
  <c r="F71" i="39" s="1"/>
  <c r="F74" i="39" s="1"/>
  <c r="D53" i="35"/>
  <c r="D54" i="35" s="1"/>
  <c r="D71" i="35" s="1"/>
  <c r="D74" i="35" s="1"/>
  <c r="L53" i="35"/>
  <c r="L54" i="35" s="1"/>
  <c r="L71" i="35" s="1"/>
  <c r="L74" i="35" s="1"/>
  <c r="F53" i="35"/>
  <c r="F54" i="35" s="1"/>
  <c r="F71" i="35" s="1"/>
  <c r="F74" i="35" s="1"/>
  <c r="K53" i="35"/>
  <c r="K54" i="35" s="1"/>
  <c r="K71" i="35" s="1"/>
  <c r="K74" i="35" s="1"/>
  <c r="J53" i="35"/>
  <c r="J54" i="35" s="1"/>
  <c r="J71" i="35" s="1"/>
  <c r="J74" i="35" s="1"/>
  <c r="E53" i="35"/>
  <c r="E54" i="35" s="1"/>
  <c r="E71" i="35" s="1"/>
  <c r="E74" i="35" s="1"/>
  <c r="H53" i="26"/>
  <c r="H54" i="26" s="1"/>
  <c r="H71" i="26" s="1"/>
  <c r="H72" i="26" s="1"/>
  <c r="I53" i="26"/>
  <c r="I54" i="26" s="1"/>
  <c r="I71" i="26" s="1"/>
  <c r="I72" i="26" s="1"/>
  <c r="K53" i="31"/>
  <c r="K54" i="31" s="1"/>
  <c r="K72" i="31" s="1"/>
  <c r="D53" i="34"/>
  <c r="D54" i="34" s="1"/>
  <c r="D71" i="34" s="1"/>
  <c r="D74" i="34" s="1"/>
  <c r="L53" i="34"/>
  <c r="L54" i="34" s="1"/>
  <c r="L71" i="34" s="1"/>
  <c r="L74" i="34" s="1"/>
  <c r="K53" i="34"/>
  <c r="K54" i="34" s="1"/>
  <c r="K71" i="34" s="1"/>
  <c r="K74" i="34" s="1"/>
  <c r="G53" i="34"/>
  <c r="G54" i="34" s="1"/>
  <c r="G71" i="34" s="1"/>
  <c r="G74" i="34" s="1"/>
  <c r="M53" i="34"/>
  <c r="M54" i="34" s="1"/>
  <c r="M71" i="34" s="1"/>
  <c r="M74" i="34" s="1"/>
  <c r="F53" i="34"/>
  <c r="F54" i="34" s="1"/>
  <c r="F71" i="34" s="1"/>
  <c r="F74" i="34" s="1"/>
  <c r="I53" i="33"/>
  <c r="I54" i="33" s="1"/>
  <c r="I71" i="33" s="1"/>
  <c r="I74" i="33" s="1"/>
  <c r="H53" i="33"/>
  <c r="H54" i="33" s="1"/>
  <c r="H71" i="33" s="1"/>
  <c r="H74" i="33" s="1"/>
  <c r="N53" i="33"/>
  <c r="N54" i="33" s="1"/>
  <c r="N71" i="33" s="1"/>
  <c r="N74" i="33" s="1"/>
  <c r="C53" i="33"/>
  <c r="C54" i="33" s="1"/>
  <c r="C71" i="33" s="1"/>
  <c r="C74" i="33" s="1"/>
  <c r="G53" i="33"/>
  <c r="G54" i="33" s="1"/>
  <c r="G71" i="33" s="1"/>
  <c r="G74" i="33" s="1"/>
  <c r="M53" i="33"/>
  <c r="M54" i="33" s="1"/>
  <c r="M71" i="33" s="1"/>
  <c r="M74" i="33" s="1"/>
  <c r="I53" i="34"/>
  <c r="I54" i="34" s="1"/>
  <c r="I71" i="34" s="1"/>
  <c r="I74" i="34" s="1"/>
  <c r="N53" i="34"/>
  <c r="N54" i="34" s="1"/>
  <c r="N71" i="34" s="1"/>
  <c r="N74" i="34" s="1"/>
  <c r="C53" i="34"/>
  <c r="C54" i="34" s="1"/>
  <c r="C71" i="34" s="1"/>
  <c r="E53" i="34"/>
  <c r="E54" i="34" s="1"/>
  <c r="E71" i="34" s="1"/>
  <c r="E74" i="34" s="1"/>
  <c r="H53" i="34"/>
  <c r="H54" i="34" s="1"/>
  <c r="H71" i="34" s="1"/>
  <c r="H74" i="34" s="1"/>
  <c r="J53" i="34"/>
  <c r="J54" i="34" s="1"/>
  <c r="J71" i="34" s="1"/>
  <c r="J74" i="34" s="1"/>
  <c r="D53" i="33"/>
  <c r="D54" i="33" s="1"/>
  <c r="D71" i="33" s="1"/>
  <c r="D74" i="33" s="1"/>
  <c r="L53" i="33"/>
  <c r="L54" i="33" s="1"/>
  <c r="L71" i="33" s="1"/>
  <c r="L74" i="33" s="1"/>
  <c r="F53" i="33"/>
  <c r="F54" i="33" s="1"/>
  <c r="F71" i="33" s="1"/>
  <c r="F74" i="33" s="1"/>
  <c r="K53" i="33"/>
  <c r="K54" i="33" s="1"/>
  <c r="K71" i="33" s="1"/>
  <c r="K74" i="33" s="1"/>
  <c r="J53" i="33"/>
  <c r="J54" i="33" s="1"/>
  <c r="J71" i="33" s="1"/>
  <c r="J74" i="33" s="1"/>
  <c r="E53" i="33"/>
  <c r="E54" i="33" s="1"/>
  <c r="E71" i="33" s="1"/>
  <c r="E74" i="33" s="1"/>
  <c r="I53" i="32"/>
  <c r="I54" i="32" s="1"/>
  <c r="I72" i="32" s="1"/>
  <c r="N53" i="32"/>
  <c r="N54" i="32" s="1"/>
  <c r="N72" i="32" s="1"/>
  <c r="C53" i="32"/>
  <c r="C54" i="32" s="1"/>
  <c r="C72" i="32" s="1"/>
  <c r="E53" i="32"/>
  <c r="E54" i="32" s="1"/>
  <c r="E72" i="32" s="1"/>
  <c r="H53" i="32"/>
  <c r="H54" i="32" s="1"/>
  <c r="H72" i="32" s="1"/>
  <c r="J53" i="32"/>
  <c r="J54" i="32" s="1"/>
  <c r="J72" i="32" s="1"/>
  <c r="D53" i="32"/>
  <c r="D54" i="32" s="1"/>
  <c r="D72" i="32" s="1"/>
  <c r="L53" i="32"/>
  <c r="L54" i="32" s="1"/>
  <c r="L72" i="32" s="1"/>
  <c r="K53" i="32"/>
  <c r="K54" i="32" s="1"/>
  <c r="K72" i="32" s="1"/>
  <c r="G53" i="32"/>
  <c r="G54" i="32" s="1"/>
  <c r="G72" i="32" s="1"/>
  <c r="M53" i="32"/>
  <c r="M54" i="32" s="1"/>
  <c r="M72" i="32" s="1"/>
  <c r="F53" i="32"/>
  <c r="F54" i="32" s="1"/>
  <c r="F72" i="32" s="1"/>
  <c r="F75" i="32" s="1"/>
  <c r="I53" i="31"/>
  <c r="I54" i="31" s="1"/>
  <c r="I72" i="31" s="1"/>
  <c r="H53" i="31"/>
  <c r="H54" i="31" s="1"/>
  <c r="H72" i="31" s="1"/>
  <c r="H75" i="31" s="1"/>
  <c r="N53" i="31"/>
  <c r="N54" i="31" s="1"/>
  <c r="N72" i="31" s="1"/>
  <c r="C53" i="31"/>
  <c r="C54" i="31" s="1"/>
  <c r="C72" i="31" s="1"/>
  <c r="C75" i="31" s="1"/>
  <c r="G53" i="31"/>
  <c r="G54" i="31" s="1"/>
  <c r="G72" i="31" s="1"/>
  <c r="G75" i="31" s="1"/>
  <c r="M53" i="31"/>
  <c r="M54" i="31" s="1"/>
  <c r="M72" i="31" s="1"/>
  <c r="M75" i="31" s="1"/>
  <c r="D53" i="31"/>
  <c r="D54" i="31" s="1"/>
  <c r="D72" i="31" s="1"/>
  <c r="D75" i="31" s="1"/>
  <c r="L53" i="31"/>
  <c r="L54" i="31" s="1"/>
  <c r="L72" i="31" s="1"/>
  <c r="L75" i="31" s="1"/>
  <c r="F53" i="31"/>
  <c r="F54" i="31" s="1"/>
  <c r="F72" i="31" s="1"/>
  <c r="F75" i="31" s="1"/>
  <c r="J53" i="31"/>
  <c r="J54" i="31" s="1"/>
  <c r="J72" i="31" s="1"/>
  <c r="J75" i="31" s="1"/>
  <c r="E53" i="31"/>
  <c r="E54" i="31" s="1"/>
  <c r="E72" i="31" s="1"/>
  <c r="E75" i="31" s="1"/>
  <c r="N53" i="26"/>
  <c r="N54" i="26" s="1"/>
  <c r="N71" i="26" s="1"/>
  <c r="E53" i="26"/>
  <c r="E54" i="26" s="1"/>
  <c r="E71" i="26" s="1"/>
  <c r="E72" i="26" s="1"/>
  <c r="J53" i="26"/>
  <c r="J54" i="26" s="1"/>
  <c r="J71" i="26" s="1"/>
  <c r="L53" i="26"/>
  <c r="L54" i="26" s="1"/>
  <c r="L71" i="26" s="1"/>
  <c r="E53" i="25"/>
  <c r="E54" i="25" s="1"/>
  <c r="E71" i="25" s="1"/>
  <c r="D53" i="30"/>
  <c r="D54" i="30" s="1"/>
  <c r="D72" i="30" s="1"/>
  <c r="I53" i="30"/>
  <c r="I54" i="30" s="1"/>
  <c r="I72" i="30" s="1"/>
  <c r="L53" i="30"/>
  <c r="L54" i="30" s="1"/>
  <c r="L72" i="30" s="1"/>
  <c r="N53" i="30"/>
  <c r="N54" i="30" s="1"/>
  <c r="N72" i="30" s="1"/>
  <c r="K53" i="30"/>
  <c r="K54" i="30" s="1"/>
  <c r="K72" i="30" s="1"/>
  <c r="C53" i="30"/>
  <c r="C54" i="30" s="1"/>
  <c r="C72" i="30" s="1"/>
  <c r="C75" i="30" s="1"/>
  <c r="G53" i="30"/>
  <c r="G54" i="30" s="1"/>
  <c r="G72" i="30" s="1"/>
  <c r="E53" i="30"/>
  <c r="E54" i="30" s="1"/>
  <c r="E72" i="30" s="1"/>
  <c r="M53" i="30"/>
  <c r="M54" i="30" s="1"/>
  <c r="M72" i="30" s="1"/>
  <c r="H53" i="30"/>
  <c r="H54" i="30" s="1"/>
  <c r="H72" i="30" s="1"/>
  <c r="F53" i="30"/>
  <c r="F54" i="30" s="1"/>
  <c r="F72" i="30" s="1"/>
  <c r="J53" i="30"/>
  <c r="J54" i="30" s="1"/>
  <c r="J72" i="30" s="1"/>
  <c r="C53" i="26"/>
  <c r="C54" i="26" s="1"/>
  <c r="C71" i="26" s="1"/>
  <c r="H53" i="25"/>
  <c r="H54" i="25" s="1"/>
  <c r="H71" i="25" s="1"/>
  <c r="K53" i="26"/>
  <c r="K54" i="26" s="1"/>
  <c r="K71" i="26" s="1"/>
  <c r="K72" i="26" s="1"/>
  <c r="D53" i="25"/>
  <c r="D54" i="25" s="1"/>
  <c r="D71" i="25" s="1"/>
  <c r="N53" i="25"/>
  <c r="N54" i="25" s="1"/>
  <c r="N71" i="25" s="1"/>
  <c r="K53" i="25"/>
  <c r="K54" i="25" s="1"/>
  <c r="K71" i="25" s="1"/>
  <c r="J53" i="25"/>
  <c r="J54" i="25" s="1"/>
  <c r="J71" i="25" s="1"/>
  <c r="G53" i="25"/>
  <c r="G54" i="25" s="1"/>
  <c r="G71" i="25" s="1"/>
  <c r="M53" i="26"/>
  <c r="M54" i="26" s="1"/>
  <c r="M71" i="26" s="1"/>
  <c r="M72" i="26" s="1"/>
  <c r="F53" i="25"/>
  <c r="F54" i="25" s="1"/>
  <c r="F71" i="25" s="1"/>
  <c r="L53" i="25"/>
  <c r="L54" i="25" s="1"/>
  <c r="L71" i="25" s="1"/>
  <c r="I53" i="25"/>
  <c r="I54" i="25" s="1"/>
  <c r="I71" i="25" s="1"/>
  <c r="C53" i="25"/>
  <c r="C54" i="25" s="1"/>
  <c r="C71" i="25" s="1"/>
  <c r="C74" i="25" s="1"/>
  <c r="G53" i="26"/>
  <c r="G54" i="26" s="1"/>
  <c r="G71" i="26" s="1"/>
  <c r="G72" i="26" s="1"/>
  <c r="M53" i="25"/>
  <c r="M54" i="25" s="1"/>
  <c r="M71" i="25" s="1"/>
  <c r="F53" i="26"/>
  <c r="F54" i="26" s="1"/>
  <c r="F71" i="26" s="1"/>
  <c r="F72" i="26" s="1"/>
  <c r="D53" i="26"/>
  <c r="D54" i="26" s="1"/>
  <c r="D71" i="26" s="1"/>
  <c r="D72" i="26" s="1"/>
  <c r="U163" i="69"/>
  <c r="U153" i="69"/>
  <c r="U143" i="69"/>
  <c r="U133" i="69"/>
  <c r="U113" i="69"/>
  <c r="U73" i="69"/>
  <c r="U83" i="69"/>
  <c r="O183" i="69"/>
  <c r="O279" i="69" s="1"/>
  <c r="U53" i="69"/>
  <c r="J132" i="68"/>
  <c r="K150" i="68"/>
  <c r="B181" i="68"/>
  <c r="I167" i="68"/>
  <c r="I125" i="68"/>
  <c r="I131" i="68"/>
  <c r="I155" i="68"/>
  <c r="I161" i="68"/>
  <c r="I149" i="68"/>
  <c r="I143" i="68"/>
  <c r="I137" i="68"/>
  <c r="C181" i="68"/>
  <c r="J161" i="68"/>
  <c r="J155" i="68"/>
  <c r="J137" i="68"/>
  <c r="J131" i="68"/>
  <c r="J125" i="68"/>
  <c r="J143" i="68"/>
  <c r="J149" i="68"/>
  <c r="J167" i="68"/>
  <c r="J150" i="68"/>
  <c r="O58" i="52"/>
  <c r="O91" i="52"/>
  <c r="O76" i="52"/>
  <c r="O59" i="52"/>
  <c r="O84" i="52"/>
  <c r="O79" i="52"/>
  <c r="O89" i="52"/>
  <c r="O38" i="52"/>
  <c r="O26" i="52"/>
  <c r="O30" i="52"/>
  <c r="O35" i="52"/>
  <c r="O43" i="52"/>
  <c r="O81" i="50"/>
  <c r="K168" i="68"/>
  <c r="K126" i="68"/>
  <c r="K162" i="68"/>
  <c r="K132" i="68"/>
  <c r="K149" i="68"/>
  <c r="K125" i="68"/>
  <c r="K155" i="68"/>
  <c r="K137" i="68"/>
  <c r="K131" i="68"/>
  <c r="K161" i="68"/>
  <c r="K143" i="68"/>
  <c r="K167" i="68"/>
  <c r="O33" i="52"/>
  <c r="O69" i="52"/>
  <c r="O81" i="52"/>
  <c r="O73" i="52"/>
  <c r="O61" i="52"/>
  <c r="O72" i="52"/>
  <c r="O60" i="52"/>
  <c r="O65" i="52"/>
  <c r="O67" i="52"/>
  <c r="O63" i="52"/>
  <c r="O68" i="52"/>
  <c r="O70" i="52"/>
  <c r="O74" i="52"/>
  <c r="O71" i="52"/>
  <c r="O85" i="52"/>
  <c r="O87" i="52"/>
  <c r="O86" i="52"/>
  <c r="O82" i="52"/>
  <c r="O83" i="52"/>
  <c r="O80" i="52"/>
  <c r="O64" i="52"/>
  <c r="O21" i="52"/>
  <c r="O66" i="52"/>
  <c r="O62" i="52"/>
  <c r="O27" i="52"/>
  <c r="O132" i="70"/>
  <c r="O201" i="70" s="1"/>
  <c r="I132" i="68"/>
  <c r="I150" i="68"/>
  <c r="E205" i="65"/>
  <c r="U173" i="69"/>
  <c r="U123" i="69"/>
  <c r="U103" i="69"/>
  <c r="U93" i="69"/>
  <c r="U63" i="69"/>
  <c r="U43" i="69"/>
  <c r="G219" i="69"/>
  <c r="I204" i="65" s="1"/>
  <c r="H219" i="69"/>
  <c r="J204" i="65" s="1"/>
  <c r="C219" i="69"/>
  <c r="I219" i="69"/>
  <c r="K204" i="65" s="1"/>
  <c r="D218" i="69"/>
  <c r="F205" i="65" s="1"/>
  <c r="M219" i="69"/>
  <c r="O204" i="65" s="1"/>
  <c r="L219" i="69"/>
  <c r="N204" i="65" s="1"/>
  <c r="U27" i="79"/>
  <c r="E218" i="69"/>
  <c r="G205" i="65" s="1"/>
  <c r="K219" i="69"/>
  <c r="M204" i="65" s="1"/>
  <c r="F219" i="69"/>
  <c r="H204" i="65" s="1"/>
  <c r="N219" i="69"/>
  <c r="P204" i="65" s="1"/>
  <c r="J219" i="69"/>
  <c r="L204" i="65" s="1"/>
  <c r="F25" i="68"/>
  <c r="U33" i="69"/>
  <c r="I156" i="68"/>
  <c r="I144" i="68"/>
  <c r="I162" i="68"/>
  <c r="I138" i="68"/>
  <c r="I168" i="68"/>
  <c r="I126" i="68"/>
  <c r="I74" i="68"/>
  <c r="I26" i="68"/>
  <c r="I27" i="68"/>
  <c r="I22" i="68"/>
  <c r="I28" i="68"/>
  <c r="K75" i="68"/>
  <c r="K27" i="68"/>
  <c r="J68" i="68"/>
  <c r="J26" i="68"/>
  <c r="K26" i="68"/>
  <c r="J28" i="68"/>
  <c r="J27" i="68"/>
  <c r="K28" i="68"/>
  <c r="B36" i="60"/>
  <c r="B36" i="50"/>
  <c r="F36" i="50"/>
  <c r="G158" i="70" s="1"/>
  <c r="H135" i="66" s="1"/>
  <c r="G264" i="69"/>
  <c r="G274" i="69"/>
  <c r="G254" i="69"/>
  <c r="E274" i="69"/>
  <c r="E254" i="69"/>
  <c r="E264" i="69"/>
  <c r="E13" i="68"/>
  <c r="E36" i="59"/>
  <c r="F159" i="70" s="1"/>
  <c r="G134" i="66" s="1"/>
  <c r="C36" i="59"/>
  <c r="D159" i="70" s="1"/>
  <c r="E134" i="66" s="1"/>
  <c r="G36" i="59"/>
  <c r="H159" i="70" s="1"/>
  <c r="I134" i="66" s="1"/>
  <c r="D36" i="59"/>
  <c r="E159" i="70" s="1"/>
  <c r="F134" i="66" s="1"/>
  <c r="B81" i="60"/>
  <c r="O39" i="52"/>
  <c r="O40" i="52"/>
  <c r="O41" i="52"/>
  <c r="O20" i="52"/>
  <c r="O28" i="52"/>
  <c r="O15" i="52"/>
  <c r="O12" i="52"/>
  <c r="O23" i="52"/>
  <c r="O36" i="52"/>
  <c r="O37" i="52"/>
  <c r="O14" i="52"/>
  <c r="O22" i="52"/>
  <c r="O17" i="52"/>
  <c r="O25" i="52"/>
  <c r="U13" i="69"/>
  <c r="O16" i="52"/>
  <c r="O24" i="52"/>
  <c r="O45" i="52"/>
  <c r="O19" i="52"/>
  <c r="O34" i="52"/>
  <c r="O18" i="52"/>
  <c r="O13" i="52"/>
  <c r="G81" i="60"/>
  <c r="M81" i="60"/>
  <c r="F13" i="68"/>
  <c r="F172" i="68" s="1"/>
  <c r="F179" i="68" s="1"/>
  <c r="P56" i="58"/>
  <c r="K81" i="60"/>
  <c r="I81" i="60"/>
  <c r="L81" i="60"/>
  <c r="J86" i="68"/>
  <c r="J38" i="68"/>
  <c r="D81" i="59"/>
  <c r="K111" i="68"/>
  <c r="I99" i="68"/>
  <c r="K93" i="68"/>
  <c r="K57" i="68"/>
  <c r="I62" i="68"/>
  <c r="I50" i="68"/>
  <c r="I87" i="68"/>
  <c r="I56" i="68"/>
  <c r="I110" i="68"/>
  <c r="I80" i="68"/>
  <c r="J44" i="68"/>
  <c r="J32" i="68"/>
  <c r="J98" i="68"/>
  <c r="J56" i="68"/>
  <c r="J74" i="68"/>
  <c r="J104" i="68"/>
  <c r="J92" i="68"/>
  <c r="I104" i="68"/>
  <c r="I20" i="68"/>
  <c r="I14" i="68"/>
  <c r="I112" i="68"/>
  <c r="I82" i="68"/>
  <c r="K58" i="68"/>
  <c r="J70" i="68"/>
  <c r="K88" i="68"/>
  <c r="K52" i="68"/>
  <c r="K70" i="68"/>
  <c r="K34" i="68"/>
  <c r="K175" i="68"/>
  <c r="I76" i="68"/>
  <c r="J22" i="68"/>
  <c r="J34" i="68"/>
  <c r="I70" i="68"/>
  <c r="J100" i="68"/>
  <c r="K68" i="68"/>
  <c r="K64" i="68"/>
  <c r="K120" i="68"/>
  <c r="K22" i="68"/>
  <c r="K112" i="68"/>
  <c r="K94" i="68"/>
  <c r="K62" i="68"/>
  <c r="K76" i="68"/>
  <c r="K100" i="68"/>
  <c r="K82" i="68"/>
  <c r="K106" i="68"/>
  <c r="K46" i="68"/>
  <c r="K40" i="68"/>
  <c r="K16" i="68"/>
  <c r="K63" i="68"/>
  <c r="K87" i="68"/>
  <c r="K33" i="68"/>
  <c r="K51" i="68"/>
  <c r="E60" i="40"/>
  <c r="J99" i="68"/>
  <c r="J106" i="68"/>
  <c r="J46" i="68"/>
  <c r="C81" i="59"/>
  <c r="P61" i="58"/>
  <c r="L60" i="41"/>
  <c r="C60" i="40"/>
  <c r="C59" i="40" s="1"/>
  <c r="E60" i="33"/>
  <c r="E61" i="31"/>
  <c r="D16" i="50" s="1"/>
  <c r="M60" i="23"/>
  <c r="M60" i="42"/>
  <c r="M60" i="46"/>
  <c r="L25" i="50" s="1"/>
  <c r="M105" i="70" s="1"/>
  <c r="N81" i="66" s="1"/>
  <c r="J60" i="40"/>
  <c r="J60" i="33"/>
  <c r="M60" i="34"/>
  <c r="I111" i="68"/>
  <c r="I39" i="68"/>
  <c r="I68" i="68"/>
  <c r="K45" i="68"/>
  <c r="I100" i="68"/>
  <c r="I92" i="68"/>
  <c r="I44" i="68"/>
  <c r="J62" i="68"/>
  <c r="J112" i="68"/>
  <c r="J88" i="68"/>
  <c r="J120" i="68"/>
  <c r="J16" i="68"/>
  <c r="J175" i="68"/>
  <c r="J81" i="60"/>
  <c r="J60" i="42"/>
  <c r="J76" i="68"/>
  <c r="J64" i="68"/>
  <c r="J40" i="68"/>
  <c r="H81" i="60"/>
  <c r="C60" i="42"/>
  <c r="C60" i="47"/>
  <c r="C60" i="25"/>
  <c r="E60" i="41"/>
  <c r="H60" i="25"/>
  <c r="I15" i="50"/>
  <c r="J60" i="39"/>
  <c r="J60" i="47"/>
  <c r="J60" i="46"/>
  <c r="J61" i="32"/>
  <c r="J60" i="32" s="1"/>
  <c r="M60" i="47"/>
  <c r="I86" i="68"/>
  <c r="I32" i="68"/>
  <c r="K105" i="68"/>
  <c r="J75" i="68"/>
  <c r="J57" i="68"/>
  <c r="J94" i="68"/>
  <c r="J52" i="68"/>
  <c r="J82" i="68"/>
  <c r="J58" i="68"/>
  <c r="F81" i="60"/>
  <c r="E81" i="60"/>
  <c r="I175" i="68"/>
  <c r="I46" i="68"/>
  <c r="I16" i="68"/>
  <c r="I64" i="68"/>
  <c r="I58" i="68"/>
  <c r="I52" i="68"/>
  <c r="I34" i="68"/>
  <c r="I40" i="68"/>
  <c r="I173" i="68"/>
  <c r="I118" i="68"/>
  <c r="I45" i="68"/>
  <c r="I21" i="68"/>
  <c r="I57" i="68"/>
  <c r="K56" i="68"/>
  <c r="I106" i="68"/>
  <c r="J15" i="68"/>
  <c r="I63" i="68"/>
  <c r="K81" i="68"/>
  <c r="J69" i="68"/>
  <c r="J33" i="68"/>
  <c r="K15" i="68"/>
  <c r="K74" i="68"/>
  <c r="K39" i="68"/>
  <c r="I120" i="68"/>
  <c r="E19" i="68"/>
  <c r="U20" i="70"/>
  <c r="I119" i="68"/>
  <c r="I174" i="68"/>
  <c r="K118" i="68"/>
  <c r="K173" i="68"/>
  <c r="K20" i="68"/>
  <c r="K80" i="68"/>
  <c r="K110" i="68"/>
  <c r="K50" i="68"/>
  <c r="I81" i="68"/>
  <c r="I33" i="68"/>
  <c r="K92" i="68"/>
  <c r="J87" i="68"/>
  <c r="I94" i="68"/>
  <c r="J118" i="68"/>
  <c r="J173" i="68"/>
  <c r="J50" i="68"/>
  <c r="J20" i="68"/>
  <c r="J80" i="68"/>
  <c r="J110" i="68"/>
  <c r="I69" i="68"/>
  <c r="J39" i="68"/>
  <c r="I75" i="68"/>
  <c r="I15" i="68"/>
  <c r="K14" i="68"/>
  <c r="K38" i="68"/>
  <c r="K21" i="68"/>
  <c r="K104" i="68"/>
  <c r="K32" i="68"/>
  <c r="J105" i="68"/>
  <c r="J63" i="68"/>
  <c r="I98" i="68"/>
  <c r="I88" i="68"/>
  <c r="J174" i="68"/>
  <c r="J119" i="68"/>
  <c r="J21" i="68"/>
  <c r="J81" i="68"/>
  <c r="J51" i="68"/>
  <c r="J111" i="68"/>
  <c r="K174" i="68"/>
  <c r="K119" i="68"/>
  <c r="K99" i="68"/>
  <c r="I51" i="68"/>
  <c r="I105" i="68"/>
  <c r="I93" i="68"/>
  <c r="J93" i="68"/>
  <c r="J45" i="68"/>
  <c r="K98" i="68"/>
  <c r="K44" i="68"/>
  <c r="K86" i="68"/>
  <c r="I38" i="68"/>
  <c r="K69" i="68"/>
  <c r="J14" i="68"/>
  <c r="M20" i="61"/>
  <c r="L60" i="46"/>
  <c r="L60" i="42"/>
  <c r="L60" i="34"/>
  <c r="F61" i="31"/>
  <c r="E16" i="50" s="1"/>
  <c r="F60" i="41"/>
  <c r="F60" i="23"/>
  <c r="F59" i="23" s="1"/>
  <c r="F58" i="23" s="1"/>
  <c r="F60" i="26"/>
  <c r="E15" i="50"/>
  <c r="F60" i="33"/>
  <c r="F59" i="33" s="1"/>
  <c r="F60" i="46"/>
  <c r="F60" i="42"/>
  <c r="F60" i="34"/>
  <c r="G60" i="23"/>
  <c r="G59" i="23" s="1"/>
  <c r="G58" i="23" s="1"/>
  <c r="G60" i="35"/>
  <c r="G59" i="35" s="1"/>
  <c r="G60" i="39"/>
  <c r="G59" i="39" s="1"/>
  <c r="G60" i="47"/>
  <c r="G61" i="31"/>
  <c r="F16" i="50" s="1"/>
  <c r="G60" i="46"/>
  <c r="G60" i="42"/>
  <c r="G60" i="34"/>
  <c r="G59" i="34" s="1"/>
  <c r="G61" i="32"/>
  <c r="G60" i="32" s="1"/>
  <c r="H60" i="23"/>
  <c r="M60" i="26"/>
  <c r="N61" i="31"/>
  <c r="M16" i="50" s="1"/>
  <c r="N60" i="42"/>
  <c r="N60" i="46"/>
  <c r="N60" i="23"/>
  <c r="N59" i="23" s="1"/>
  <c r="N58" i="23" s="1"/>
  <c r="N60" i="26"/>
  <c r="M15" i="50"/>
  <c r="M60" i="40"/>
  <c r="M61" i="32"/>
  <c r="M60" i="32" s="1"/>
  <c r="I60" i="42"/>
  <c r="N60" i="41"/>
  <c r="N60" i="34"/>
  <c r="D60" i="26"/>
  <c r="C15" i="50"/>
  <c r="D60" i="41"/>
  <c r="D60" i="42"/>
  <c r="D60" i="34"/>
  <c r="J15" i="50"/>
  <c r="K60" i="41"/>
  <c r="K60" i="35"/>
  <c r="K59" i="35" s="1"/>
  <c r="K61" i="31"/>
  <c r="J16" i="50" s="1"/>
  <c r="K60" i="42"/>
  <c r="K60" i="33"/>
  <c r="K59" i="33" s="1"/>
  <c r="C60" i="41"/>
  <c r="B23" i="50" s="1"/>
  <c r="C91" i="70" s="1"/>
  <c r="C60" i="33"/>
  <c r="K60" i="26"/>
  <c r="L60" i="47"/>
  <c r="L60" i="39"/>
  <c r="L59" i="39" s="1"/>
  <c r="L60" i="35"/>
  <c r="L59" i="35" s="1"/>
  <c r="C60" i="46"/>
  <c r="B25" i="50" s="1"/>
  <c r="C105" i="70" s="1"/>
  <c r="C60" i="35"/>
  <c r="C61" i="31"/>
  <c r="C61" i="32"/>
  <c r="D60" i="25"/>
  <c r="D61" i="31"/>
  <c r="C16" i="50" s="1"/>
  <c r="E60" i="35"/>
  <c r="F60" i="25"/>
  <c r="F60" i="35"/>
  <c r="F59" i="35" s="1"/>
  <c r="F60" i="39"/>
  <c r="F59" i="39" s="1"/>
  <c r="F60" i="47"/>
  <c r="E60" i="25"/>
  <c r="E60" i="42"/>
  <c r="F60" i="40"/>
  <c r="F61" i="32"/>
  <c r="G60" i="26"/>
  <c r="F15" i="50"/>
  <c r="G60" i="41"/>
  <c r="G60" i="25"/>
  <c r="G60" i="40"/>
  <c r="G60" i="33"/>
  <c r="G59" i="33" s="1"/>
  <c r="H60" i="35"/>
  <c r="H60" i="40"/>
  <c r="N60" i="25"/>
  <c r="J61" i="31"/>
  <c r="I16" i="50" s="1"/>
  <c r="N60" i="40"/>
  <c r="I60" i="25"/>
  <c r="I61" i="31"/>
  <c r="H16" i="50" s="1"/>
  <c r="M60" i="35"/>
  <c r="I60" i="34"/>
  <c r="N61" i="32"/>
  <c r="D60" i="23"/>
  <c r="D60" i="35"/>
  <c r="D59" i="35" s="1"/>
  <c r="D60" i="39"/>
  <c r="D59" i="39" s="1"/>
  <c r="D60" i="47"/>
  <c r="D60" i="46"/>
  <c r="D61" i="32"/>
  <c r="K60" i="23"/>
  <c r="K60" i="39"/>
  <c r="K59" i="39" s="1"/>
  <c r="K60" i="47"/>
  <c r="K60" i="40"/>
  <c r="K60" i="34"/>
  <c r="K59" i="34" s="1"/>
  <c r="K61" i="32"/>
  <c r="K60" i="46"/>
  <c r="N15" i="17"/>
  <c r="M22" i="50" l="1"/>
  <c r="N59" i="40"/>
  <c r="N58" i="40" s="1"/>
  <c r="E22" i="50"/>
  <c r="F59" i="40"/>
  <c r="D22" i="50"/>
  <c r="E59" i="40"/>
  <c r="J22" i="50"/>
  <c r="K59" i="40"/>
  <c r="F22" i="50"/>
  <c r="G59" i="40"/>
  <c r="G22" i="50"/>
  <c r="H59" i="40"/>
  <c r="L22" i="50"/>
  <c r="M59" i="40"/>
  <c r="M58" i="40" s="1"/>
  <c r="I22" i="50"/>
  <c r="J59" i="40"/>
  <c r="J116" i="60"/>
  <c r="K114" i="79" s="1"/>
  <c r="L85" i="78" s="1"/>
  <c r="K74" i="47"/>
  <c r="F72" i="49"/>
  <c r="F75" i="49" s="1"/>
  <c r="F74" i="49"/>
  <c r="I73" i="31"/>
  <c r="I76" i="31" s="1"/>
  <c r="I75" i="31"/>
  <c r="K73" i="31"/>
  <c r="K76" i="31" s="1"/>
  <c r="K75" i="31"/>
  <c r="N72" i="35"/>
  <c r="N75" i="35" s="1"/>
  <c r="N74" i="35"/>
  <c r="G72" i="35"/>
  <c r="G75" i="35" s="1"/>
  <c r="G74" i="35"/>
  <c r="N73" i="31"/>
  <c r="N76" i="31" s="1"/>
  <c r="N75" i="31"/>
  <c r="C72" i="34"/>
  <c r="C75" i="34" s="1"/>
  <c r="C74" i="34"/>
  <c r="G74" i="25"/>
  <c r="G72" i="25"/>
  <c r="D74" i="25"/>
  <c r="D72" i="25"/>
  <c r="D73" i="25" s="1"/>
  <c r="E74" i="25"/>
  <c r="E72" i="25"/>
  <c r="N74" i="26"/>
  <c r="N72" i="26"/>
  <c r="N73" i="26" s="1"/>
  <c r="M74" i="25"/>
  <c r="M72" i="25"/>
  <c r="L74" i="25"/>
  <c r="L72" i="25"/>
  <c r="L73" i="25" s="1"/>
  <c r="J74" i="25"/>
  <c r="J72" i="25"/>
  <c r="L74" i="26"/>
  <c r="L72" i="26"/>
  <c r="L75" i="26" s="1"/>
  <c r="F74" i="25"/>
  <c r="F72" i="25"/>
  <c r="K74" i="25"/>
  <c r="K72" i="25"/>
  <c r="K73" i="25" s="1"/>
  <c r="H74" i="25"/>
  <c r="H72" i="25"/>
  <c r="J74" i="26"/>
  <c r="J72" i="26"/>
  <c r="C72" i="25"/>
  <c r="N74" i="25"/>
  <c r="N72" i="25"/>
  <c r="N73" i="25" s="1"/>
  <c r="C74" i="26"/>
  <c r="C72" i="26"/>
  <c r="O81" i="59"/>
  <c r="I74" i="25"/>
  <c r="I72" i="25"/>
  <c r="I73" i="25" s="1"/>
  <c r="K72" i="49"/>
  <c r="K75" i="49" s="1"/>
  <c r="I72" i="49"/>
  <c r="I75" i="49" s="1"/>
  <c r="E72" i="49"/>
  <c r="I72" i="42"/>
  <c r="G72" i="49"/>
  <c r="M72" i="49"/>
  <c r="E72" i="42"/>
  <c r="D72" i="49"/>
  <c r="D75" i="49" s="1"/>
  <c r="J72" i="49"/>
  <c r="J75" i="49" s="1"/>
  <c r="N72" i="49"/>
  <c r="N75" i="49" s="1"/>
  <c r="H72" i="49"/>
  <c r="H75" i="49" s="1"/>
  <c r="L72" i="49"/>
  <c r="L75" i="49" s="1"/>
  <c r="C72" i="49"/>
  <c r="C75" i="49" s="1"/>
  <c r="C72" i="48"/>
  <c r="C75" i="48" s="1"/>
  <c r="C72" i="42"/>
  <c r="C75" i="42" s="1"/>
  <c r="M72" i="48"/>
  <c r="M75" i="48" s="1"/>
  <c r="J72" i="48"/>
  <c r="J75" i="48" s="1"/>
  <c r="N72" i="48"/>
  <c r="N75" i="48" s="1"/>
  <c r="I72" i="48"/>
  <c r="I75" i="48" s="1"/>
  <c r="L72" i="48"/>
  <c r="L75" i="48" s="1"/>
  <c r="G72" i="48"/>
  <c r="G75" i="48" s="1"/>
  <c r="H72" i="48"/>
  <c r="H75" i="48" s="1"/>
  <c r="F72" i="48"/>
  <c r="F75" i="48" s="1"/>
  <c r="D72" i="48"/>
  <c r="D75" i="48" s="1"/>
  <c r="K72" i="48"/>
  <c r="K75" i="48" s="1"/>
  <c r="E72" i="48"/>
  <c r="E75" i="48" s="1"/>
  <c r="J71" i="47"/>
  <c r="N72" i="47"/>
  <c r="N75" i="47" s="1"/>
  <c r="G72" i="47"/>
  <c r="G75" i="47" s="1"/>
  <c r="H72" i="42"/>
  <c r="H72" i="47"/>
  <c r="H75" i="47" s="1"/>
  <c r="I72" i="47"/>
  <c r="I75" i="47" s="1"/>
  <c r="K72" i="47"/>
  <c r="K75" i="47" s="1"/>
  <c r="E72" i="47"/>
  <c r="E75" i="47" s="1"/>
  <c r="F72" i="47"/>
  <c r="F75" i="47" s="1"/>
  <c r="L72" i="47"/>
  <c r="L75" i="47" s="1"/>
  <c r="F72" i="42"/>
  <c r="F75" i="42" s="1"/>
  <c r="C72" i="47"/>
  <c r="C75" i="47" s="1"/>
  <c r="M72" i="47"/>
  <c r="M75" i="47" s="1"/>
  <c r="D72" i="47"/>
  <c r="D75" i="47" s="1"/>
  <c r="K72" i="46"/>
  <c r="K75" i="46" s="1"/>
  <c r="N72" i="46"/>
  <c r="N75" i="46" s="1"/>
  <c r="G73" i="46"/>
  <c r="G76" i="46" s="1"/>
  <c r="J72" i="46"/>
  <c r="J75" i="46" s="1"/>
  <c r="F72" i="46"/>
  <c r="F75" i="46" s="1"/>
  <c r="H72" i="46"/>
  <c r="H75" i="46" s="1"/>
  <c r="E72" i="46"/>
  <c r="E75" i="46" s="1"/>
  <c r="M72" i="46"/>
  <c r="M75" i="46" s="1"/>
  <c r="L73" i="46"/>
  <c r="L76" i="46" s="1"/>
  <c r="C72" i="35"/>
  <c r="C75" i="35" s="1"/>
  <c r="D72" i="46"/>
  <c r="D75" i="46" s="1"/>
  <c r="C72" i="46"/>
  <c r="C75" i="46" s="1"/>
  <c r="I72" i="46"/>
  <c r="I75" i="46" s="1"/>
  <c r="M72" i="42"/>
  <c r="M75" i="42" s="1"/>
  <c r="L72" i="42"/>
  <c r="L75" i="42" s="1"/>
  <c r="G72" i="42"/>
  <c r="G75" i="42" s="1"/>
  <c r="D72" i="42"/>
  <c r="D75" i="42" s="1"/>
  <c r="K72" i="42"/>
  <c r="K75" i="42" s="1"/>
  <c r="N73" i="42"/>
  <c r="N76" i="42" s="1"/>
  <c r="J72" i="42"/>
  <c r="J75" i="42" s="1"/>
  <c r="F72" i="41"/>
  <c r="F75" i="41" s="1"/>
  <c r="H72" i="41"/>
  <c r="H75" i="41" s="1"/>
  <c r="M72" i="41"/>
  <c r="M75" i="41" s="1"/>
  <c r="G72" i="41"/>
  <c r="G75" i="41" s="1"/>
  <c r="E72" i="41"/>
  <c r="E75" i="41" s="1"/>
  <c r="N72" i="41"/>
  <c r="N75" i="41" s="1"/>
  <c r="C72" i="41"/>
  <c r="C75" i="41" s="1"/>
  <c r="L72" i="41"/>
  <c r="L75" i="41" s="1"/>
  <c r="K72" i="41"/>
  <c r="K75" i="41" s="1"/>
  <c r="I72" i="41"/>
  <c r="I75" i="41" s="1"/>
  <c r="J72" i="41"/>
  <c r="J75" i="41" s="1"/>
  <c r="D72" i="41"/>
  <c r="D75" i="41" s="1"/>
  <c r="K72" i="40"/>
  <c r="K75" i="40" s="1"/>
  <c r="E72" i="40"/>
  <c r="E75" i="40" s="1"/>
  <c r="G72" i="40"/>
  <c r="G75" i="40" s="1"/>
  <c r="F72" i="40"/>
  <c r="F75" i="40" s="1"/>
  <c r="L72" i="40"/>
  <c r="L75" i="40" s="1"/>
  <c r="M72" i="40"/>
  <c r="M75" i="40" s="1"/>
  <c r="D72" i="40"/>
  <c r="D75" i="40" s="1"/>
  <c r="J72" i="40"/>
  <c r="J75" i="40" s="1"/>
  <c r="C72" i="40"/>
  <c r="C75" i="40" s="1"/>
  <c r="I72" i="35"/>
  <c r="H72" i="40"/>
  <c r="H75" i="40" s="1"/>
  <c r="I72" i="40"/>
  <c r="I75" i="40" s="1"/>
  <c r="N72" i="40"/>
  <c r="N75" i="40" s="1"/>
  <c r="H72" i="35"/>
  <c r="H75" i="35" s="1"/>
  <c r="M72" i="35"/>
  <c r="M75" i="35" s="1"/>
  <c r="H74" i="26"/>
  <c r="K72" i="39"/>
  <c r="K75" i="39" s="1"/>
  <c r="C72" i="39"/>
  <c r="C75" i="39" s="1"/>
  <c r="I74" i="26"/>
  <c r="M72" i="39"/>
  <c r="M75" i="39" s="1"/>
  <c r="N72" i="39"/>
  <c r="N75" i="39" s="1"/>
  <c r="F72" i="39"/>
  <c r="F75" i="39" s="1"/>
  <c r="L72" i="39"/>
  <c r="L75" i="39" s="1"/>
  <c r="J72" i="39"/>
  <c r="J75" i="39" s="1"/>
  <c r="E72" i="39"/>
  <c r="E75" i="39" s="1"/>
  <c r="G72" i="39"/>
  <c r="G75" i="39" s="1"/>
  <c r="D72" i="39"/>
  <c r="D75" i="39" s="1"/>
  <c r="H72" i="39"/>
  <c r="H75" i="39" s="1"/>
  <c r="I72" i="39"/>
  <c r="I75" i="39" s="1"/>
  <c r="E72" i="35"/>
  <c r="E75" i="35" s="1"/>
  <c r="L72" i="35"/>
  <c r="L75" i="35" s="1"/>
  <c r="J72" i="35"/>
  <c r="J75" i="35" s="1"/>
  <c r="D72" i="35"/>
  <c r="D75" i="35" s="1"/>
  <c r="K72" i="35"/>
  <c r="K75" i="35" s="1"/>
  <c r="F72" i="35"/>
  <c r="F75" i="35" s="1"/>
  <c r="H73" i="31"/>
  <c r="J72" i="34"/>
  <c r="J75" i="34" s="1"/>
  <c r="F72" i="34"/>
  <c r="F75" i="34" s="1"/>
  <c r="H72" i="34"/>
  <c r="H75" i="34" s="1"/>
  <c r="I72" i="34"/>
  <c r="I75" i="34" s="1"/>
  <c r="M72" i="34"/>
  <c r="M75" i="34" s="1"/>
  <c r="D72" i="34"/>
  <c r="D75" i="34" s="1"/>
  <c r="E72" i="34"/>
  <c r="E75" i="34" s="1"/>
  <c r="G72" i="34"/>
  <c r="G75" i="34" s="1"/>
  <c r="N72" i="34"/>
  <c r="N75" i="34" s="1"/>
  <c r="L72" i="34"/>
  <c r="L75" i="34" s="1"/>
  <c r="K72" i="34"/>
  <c r="K75" i="34" s="1"/>
  <c r="E72" i="33"/>
  <c r="E75" i="33" s="1"/>
  <c r="L72" i="33"/>
  <c r="L75" i="33" s="1"/>
  <c r="M72" i="33"/>
  <c r="M75" i="33" s="1"/>
  <c r="H72" i="33"/>
  <c r="H75" i="33" s="1"/>
  <c r="J72" i="33"/>
  <c r="J75" i="33" s="1"/>
  <c r="D72" i="33"/>
  <c r="D75" i="33" s="1"/>
  <c r="G72" i="33"/>
  <c r="G75" i="33" s="1"/>
  <c r="I72" i="33"/>
  <c r="I75" i="33" s="1"/>
  <c r="K72" i="33"/>
  <c r="K75" i="33" s="1"/>
  <c r="C72" i="33"/>
  <c r="C75" i="33" s="1"/>
  <c r="F72" i="33"/>
  <c r="F75" i="33" s="1"/>
  <c r="N72" i="33"/>
  <c r="N75" i="33" s="1"/>
  <c r="G75" i="32"/>
  <c r="G73" i="32"/>
  <c r="F107" i="60"/>
  <c r="G51" i="79" s="1"/>
  <c r="H43" i="78" s="1"/>
  <c r="M73" i="31"/>
  <c r="M76" i="31" s="1"/>
  <c r="K75" i="32"/>
  <c r="K73" i="32"/>
  <c r="J107" i="60"/>
  <c r="K51" i="79" s="1"/>
  <c r="L43" i="78" s="1"/>
  <c r="J75" i="32"/>
  <c r="J73" i="32"/>
  <c r="I107" i="60"/>
  <c r="J51" i="79" s="1"/>
  <c r="K43" i="78" s="1"/>
  <c r="N75" i="32"/>
  <c r="N73" i="32"/>
  <c r="M107" i="60"/>
  <c r="N51" i="79" s="1"/>
  <c r="O43" i="78" s="1"/>
  <c r="C75" i="32"/>
  <c r="C73" i="32"/>
  <c r="B107" i="60"/>
  <c r="C51" i="79" s="1"/>
  <c r="P72" i="32"/>
  <c r="G73" i="31"/>
  <c r="F73" i="32"/>
  <c r="E107" i="60"/>
  <c r="F51" i="79" s="1"/>
  <c r="G43" i="78" s="1"/>
  <c r="L75" i="32"/>
  <c r="L73" i="32"/>
  <c r="K107" i="60"/>
  <c r="L51" i="79" s="1"/>
  <c r="M43" i="78" s="1"/>
  <c r="H73" i="32"/>
  <c r="H75" i="32"/>
  <c r="G107" i="60"/>
  <c r="H51" i="79" s="1"/>
  <c r="I43" i="78" s="1"/>
  <c r="I75" i="32"/>
  <c r="I73" i="32"/>
  <c r="H107" i="60"/>
  <c r="I51" i="79" s="1"/>
  <c r="J43" i="78" s="1"/>
  <c r="M75" i="32"/>
  <c r="M73" i="32"/>
  <c r="L107" i="60"/>
  <c r="M51" i="79" s="1"/>
  <c r="N43" i="78" s="1"/>
  <c r="D75" i="32"/>
  <c r="D73" i="32"/>
  <c r="C107" i="60"/>
  <c r="D51" i="79" s="1"/>
  <c r="E43" i="78" s="1"/>
  <c r="E75" i="32"/>
  <c r="E73" i="32"/>
  <c r="D107" i="60"/>
  <c r="E51" i="79" s="1"/>
  <c r="F43" i="78" s="1"/>
  <c r="E74" i="26"/>
  <c r="C73" i="31"/>
  <c r="C76" i="31" s="1"/>
  <c r="J73" i="31"/>
  <c r="J76" i="31" s="1"/>
  <c r="E75" i="26"/>
  <c r="E73" i="26"/>
  <c r="F73" i="31"/>
  <c r="F76" i="31" s="1"/>
  <c r="I75" i="26"/>
  <c r="I73" i="26"/>
  <c r="H75" i="26"/>
  <c r="H73" i="26"/>
  <c r="L73" i="31"/>
  <c r="L76" i="31" s="1"/>
  <c r="I74" i="31"/>
  <c r="I77" i="31" s="1"/>
  <c r="K75" i="26"/>
  <c r="K73" i="26"/>
  <c r="E73" i="31"/>
  <c r="E76" i="31" s="1"/>
  <c r="D73" i="31"/>
  <c r="D76" i="31" s="1"/>
  <c r="N74" i="31"/>
  <c r="N77" i="31" s="1"/>
  <c r="K74" i="26"/>
  <c r="J73" i="30"/>
  <c r="J74" i="30" s="1"/>
  <c r="J77" i="30" s="1"/>
  <c r="J75" i="30"/>
  <c r="E73" i="30"/>
  <c r="E74" i="30" s="1"/>
  <c r="E77" i="30" s="1"/>
  <c r="E75" i="30"/>
  <c r="N73" i="30"/>
  <c r="N74" i="30" s="1"/>
  <c r="N77" i="30" s="1"/>
  <c r="N75" i="30"/>
  <c r="F73" i="30"/>
  <c r="F74" i="30" s="1"/>
  <c r="F77" i="30" s="1"/>
  <c r="F75" i="30"/>
  <c r="G73" i="30"/>
  <c r="G74" i="30" s="1"/>
  <c r="G77" i="30" s="1"/>
  <c r="G75" i="30"/>
  <c r="L73" i="30"/>
  <c r="L74" i="30" s="1"/>
  <c r="L77" i="30" s="1"/>
  <c r="L75" i="30"/>
  <c r="H73" i="30"/>
  <c r="H74" i="30" s="1"/>
  <c r="H77" i="30" s="1"/>
  <c r="H75" i="30"/>
  <c r="C73" i="30"/>
  <c r="I73" i="30"/>
  <c r="I74" i="30" s="1"/>
  <c r="I77" i="30" s="1"/>
  <c r="I75" i="30"/>
  <c r="M73" i="30"/>
  <c r="M74" i="30" s="1"/>
  <c r="M77" i="30" s="1"/>
  <c r="M75" i="30"/>
  <c r="K73" i="30"/>
  <c r="K74" i="30" s="1"/>
  <c r="K77" i="30" s="1"/>
  <c r="K75" i="30"/>
  <c r="D73" i="30"/>
  <c r="D74" i="30" s="1"/>
  <c r="D77" i="30" s="1"/>
  <c r="D75" i="30"/>
  <c r="F74" i="26"/>
  <c r="G74" i="26"/>
  <c r="H105" i="60"/>
  <c r="I37" i="79" s="1"/>
  <c r="J31" i="78" s="1"/>
  <c r="D74" i="26"/>
  <c r="M74" i="26"/>
  <c r="F105" i="60"/>
  <c r="G37" i="79" s="1"/>
  <c r="H31" i="78" s="1"/>
  <c r="C116" i="60"/>
  <c r="D114" i="79" s="1"/>
  <c r="E85" i="78" s="1"/>
  <c r="D116" i="60"/>
  <c r="E114" i="79" s="1"/>
  <c r="F85" i="78" s="1"/>
  <c r="M116" i="60"/>
  <c r="N114" i="79" s="1"/>
  <c r="O85" i="78" s="1"/>
  <c r="B116" i="60"/>
  <c r="C114" i="79" s="1"/>
  <c r="D85" i="78" s="1"/>
  <c r="H116" i="60"/>
  <c r="I114" i="79" s="1"/>
  <c r="J85" i="78" s="1"/>
  <c r="C103" i="60"/>
  <c r="D23" i="79" s="1"/>
  <c r="E19" i="78" s="1"/>
  <c r="C113" i="60"/>
  <c r="D93" i="79" s="1"/>
  <c r="E67" i="78" s="1"/>
  <c r="J109" i="60"/>
  <c r="K65" i="79" s="1"/>
  <c r="L103" i="78" s="1"/>
  <c r="M112" i="60"/>
  <c r="N86" i="79" s="1"/>
  <c r="O61" i="78" s="1"/>
  <c r="M111" i="60"/>
  <c r="N79" i="79" s="1"/>
  <c r="O55" i="78" s="1"/>
  <c r="P71" i="33"/>
  <c r="G108" i="60"/>
  <c r="H58" i="79" s="1"/>
  <c r="I49" i="78" s="1"/>
  <c r="G103" i="60"/>
  <c r="H23" i="79" s="1"/>
  <c r="I19" i="78" s="1"/>
  <c r="H73" i="25"/>
  <c r="G117" i="60"/>
  <c r="H121" i="79" s="1"/>
  <c r="I91" i="78" s="1"/>
  <c r="H110" i="60"/>
  <c r="I72" i="79" s="1"/>
  <c r="J109" i="78" s="1"/>
  <c r="L104" i="60"/>
  <c r="M30" i="79" s="1"/>
  <c r="N25" i="78" s="1"/>
  <c r="L112" i="60"/>
  <c r="M86" i="79" s="1"/>
  <c r="N61" i="78" s="1"/>
  <c r="I114" i="60"/>
  <c r="J100" i="79" s="1"/>
  <c r="K73" i="78" s="1"/>
  <c r="F108" i="60"/>
  <c r="G58" i="79" s="1"/>
  <c r="H49" i="78" s="1"/>
  <c r="B104" i="60"/>
  <c r="C30" i="79" s="1"/>
  <c r="P71" i="26"/>
  <c r="K108" i="60"/>
  <c r="L58" i="79" s="1"/>
  <c r="M49" i="78" s="1"/>
  <c r="K109" i="60"/>
  <c r="L65" i="79" s="1"/>
  <c r="M103" i="78" s="1"/>
  <c r="K118" i="60"/>
  <c r="L128" i="79" s="1"/>
  <c r="M97" i="78" s="1"/>
  <c r="D114" i="60"/>
  <c r="E100" i="79" s="1"/>
  <c r="F73" i="78" s="1"/>
  <c r="P71" i="35"/>
  <c r="E110" i="60"/>
  <c r="F72" i="79" s="1"/>
  <c r="G109" i="78" s="1"/>
  <c r="E113" i="60"/>
  <c r="F93" i="79" s="1"/>
  <c r="G67" i="78" s="1"/>
  <c r="C115" i="60"/>
  <c r="D107" i="79" s="1"/>
  <c r="E79" i="78" s="1"/>
  <c r="J115" i="60"/>
  <c r="K107" i="79" s="1"/>
  <c r="L79" i="78" s="1"/>
  <c r="J110" i="60"/>
  <c r="K72" i="79" s="1"/>
  <c r="L109" i="78" s="1"/>
  <c r="M109" i="60"/>
  <c r="N65" i="79" s="1"/>
  <c r="O103" i="78" s="1"/>
  <c r="M117" i="60"/>
  <c r="N121" i="79" s="1"/>
  <c r="O91" i="78" s="1"/>
  <c r="G118" i="60"/>
  <c r="H128" i="79" s="1"/>
  <c r="I97" i="78" s="1"/>
  <c r="H112" i="60"/>
  <c r="I86" i="79" s="1"/>
  <c r="J61" i="78" s="1"/>
  <c r="H111" i="60"/>
  <c r="I79" i="79" s="1"/>
  <c r="J55" i="78" s="1"/>
  <c r="L117" i="60"/>
  <c r="M121" i="79" s="1"/>
  <c r="N91" i="78" s="1"/>
  <c r="J73" i="25"/>
  <c r="I103" i="60"/>
  <c r="J23" i="79" s="1"/>
  <c r="K19" i="78" s="1"/>
  <c r="I108" i="60"/>
  <c r="J58" i="79" s="1"/>
  <c r="K49" i="78" s="1"/>
  <c r="F112" i="60"/>
  <c r="G86" i="79" s="1"/>
  <c r="H61" i="78" s="1"/>
  <c r="F117" i="60"/>
  <c r="G121" i="79" s="1"/>
  <c r="H91" i="78" s="1"/>
  <c r="B113" i="60"/>
  <c r="C93" i="79" s="1"/>
  <c r="P71" i="41"/>
  <c r="K115" i="60"/>
  <c r="L107" i="79" s="1"/>
  <c r="M79" i="78" s="1"/>
  <c r="K104" i="60"/>
  <c r="L30" i="79" s="1"/>
  <c r="M25" i="78" s="1"/>
  <c r="D115" i="60"/>
  <c r="E107" i="79" s="1"/>
  <c r="F79" i="78" s="1"/>
  <c r="E111" i="60"/>
  <c r="F79" i="79" s="1"/>
  <c r="G55" i="78" s="1"/>
  <c r="G116" i="60"/>
  <c r="H114" i="79" s="1"/>
  <c r="I85" i="78" s="1"/>
  <c r="K116" i="60"/>
  <c r="L114" i="79" s="1"/>
  <c r="M85" i="78" s="1"/>
  <c r="F116" i="60"/>
  <c r="G114" i="79" s="1"/>
  <c r="H85" i="78" s="1"/>
  <c r="C108" i="60"/>
  <c r="D58" i="79" s="1"/>
  <c r="E49" i="78" s="1"/>
  <c r="C114" i="60"/>
  <c r="D100" i="79" s="1"/>
  <c r="E73" i="78" s="1"/>
  <c r="J117" i="60"/>
  <c r="K121" i="79" s="1"/>
  <c r="L91" i="78" s="1"/>
  <c r="J113" i="60"/>
  <c r="K93" i="79" s="1"/>
  <c r="L67" i="78" s="1"/>
  <c r="M103" i="60"/>
  <c r="N23" i="79" s="1"/>
  <c r="O19" i="78" s="1"/>
  <c r="M114" i="60"/>
  <c r="N100" i="79" s="1"/>
  <c r="O73" i="78" s="1"/>
  <c r="M104" i="60"/>
  <c r="N30" i="79" s="1"/>
  <c r="O25" i="78" s="1"/>
  <c r="G104" i="60"/>
  <c r="H30" i="79" s="1"/>
  <c r="I25" i="78" s="1"/>
  <c r="G111" i="60"/>
  <c r="H79" i="79" s="1"/>
  <c r="I55" i="78" s="1"/>
  <c r="G112" i="60"/>
  <c r="H86" i="79" s="1"/>
  <c r="I61" i="78" s="1"/>
  <c r="H118" i="60"/>
  <c r="I128" i="79" s="1"/>
  <c r="J97" i="78" s="1"/>
  <c r="H113" i="60"/>
  <c r="I93" i="79" s="1"/>
  <c r="J67" i="78" s="1"/>
  <c r="H103" i="60"/>
  <c r="I23" i="79" s="1"/>
  <c r="J19" i="78" s="1"/>
  <c r="L113" i="60"/>
  <c r="M93" i="79" s="1"/>
  <c r="N67" i="78" s="1"/>
  <c r="L111" i="60"/>
  <c r="M79" i="79" s="1"/>
  <c r="N55" i="78" s="1"/>
  <c r="L115" i="60"/>
  <c r="M107" i="79" s="1"/>
  <c r="N79" i="78" s="1"/>
  <c r="I115" i="60"/>
  <c r="J107" i="79" s="1"/>
  <c r="K79" i="78" s="1"/>
  <c r="I117" i="60"/>
  <c r="J121" i="79" s="1"/>
  <c r="K91" i="78" s="1"/>
  <c r="I118" i="60"/>
  <c r="J128" i="79" s="1"/>
  <c r="K97" i="78" s="1"/>
  <c r="F118" i="60"/>
  <c r="G128" i="79" s="1"/>
  <c r="H97" i="78" s="1"/>
  <c r="F115" i="60"/>
  <c r="G107" i="79" s="1"/>
  <c r="H79" i="78" s="1"/>
  <c r="F109" i="60"/>
  <c r="G65" i="79" s="1"/>
  <c r="H103" i="78" s="1"/>
  <c r="F111" i="60"/>
  <c r="G79" i="79" s="1"/>
  <c r="H55" i="78" s="1"/>
  <c r="B109" i="60"/>
  <c r="C65" i="79" s="1"/>
  <c r="P71" i="34"/>
  <c r="B108" i="60"/>
  <c r="C58" i="79" s="1"/>
  <c r="B115" i="60"/>
  <c r="C107" i="79" s="1"/>
  <c r="P71" i="46"/>
  <c r="K103" i="60"/>
  <c r="L23" i="79" s="1"/>
  <c r="M19" i="78" s="1"/>
  <c r="K117" i="60"/>
  <c r="L121" i="79" s="1"/>
  <c r="M91" i="78" s="1"/>
  <c r="K111" i="60"/>
  <c r="L79" i="79" s="1"/>
  <c r="M55" i="78" s="1"/>
  <c r="D109" i="60"/>
  <c r="E65" i="79" s="1"/>
  <c r="F103" i="78" s="1"/>
  <c r="D104" i="60"/>
  <c r="E30" i="79" s="1"/>
  <c r="F25" i="78" s="1"/>
  <c r="E104" i="60"/>
  <c r="F30" i="79" s="1"/>
  <c r="G25" i="78" s="1"/>
  <c r="E108" i="60"/>
  <c r="F58" i="79" s="1"/>
  <c r="G49" i="78" s="1"/>
  <c r="E112" i="60"/>
  <c r="F86" i="79" s="1"/>
  <c r="G61" i="78" s="1"/>
  <c r="C109" i="60"/>
  <c r="D65" i="79" s="1"/>
  <c r="E103" i="78" s="1"/>
  <c r="J104" i="60"/>
  <c r="K30" i="79" s="1"/>
  <c r="L25" i="78" s="1"/>
  <c r="J114" i="60"/>
  <c r="K100" i="79" s="1"/>
  <c r="L73" i="78" s="1"/>
  <c r="M115" i="60"/>
  <c r="N107" i="79" s="1"/>
  <c r="O79" i="78" s="1"/>
  <c r="G110" i="60"/>
  <c r="H72" i="79" s="1"/>
  <c r="I109" i="78" s="1"/>
  <c r="H108" i="60"/>
  <c r="I58" i="79" s="1"/>
  <c r="J49" i="78" s="1"/>
  <c r="L108" i="60"/>
  <c r="M58" i="79" s="1"/>
  <c r="N49" i="78" s="1"/>
  <c r="I110" i="60"/>
  <c r="J72" i="79" s="1"/>
  <c r="K109" i="78" s="1"/>
  <c r="I109" i="60"/>
  <c r="J65" i="79" s="1"/>
  <c r="K103" i="78" s="1"/>
  <c r="G73" i="25"/>
  <c r="F103" i="60"/>
  <c r="G23" i="79" s="1"/>
  <c r="H19" i="78" s="1"/>
  <c r="F110" i="60"/>
  <c r="G72" i="79" s="1"/>
  <c r="H109" i="78" s="1"/>
  <c r="B112" i="60"/>
  <c r="C86" i="79" s="1"/>
  <c r="P71" i="40"/>
  <c r="B111" i="60"/>
  <c r="C79" i="79" s="1"/>
  <c r="P71" i="39"/>
  <c r="P71" i="25"/>
  <c r="D103" i="60"/>
  <c r="E23" i="79" s="1"/>
  <c r="F19" i="78" s="1"/>
  <c r="E73" i="25"/>
  <c r="D112" i="60"/>
  <c r="E86" i="79" s="1"/>
  <c r="F61" i="78" s="1"/>
  <c r="E118" i="60"/>
  <c r="F128" i="79" s="1"/>
  <c r="G97" i="78" s="1"/>
  <c r="C117" i="60"/>
  <c r="D121" i="79" s="1"/>
  <c r="E91" i="78" s="1"/>
  <c r="C111" i="60"/>
  <c r="D79" i="79" s="1"/>
  <c r="E55" i="78" s="1"/>
  <c r="J111" i="60"/>
  <c r="K79" i="79" s="1"/>
  <c r="L55" i="78" s="1"/>
  <c r="J108" i="60"/>
  <c r="K58" i="79" s="1"/>
  <c r="L49" i="78" s="1"/>
  <c r="M113" i="60"/>
  <c r="N93" i="79" s="1"/>
  <c r="O67" i="78" s="1"/>
  <c r="H115" i="60"/>
  <c r="I107" i="79" s="1"/>
  <c r="J79" i="78" s="1"/>
  <c r="H109" i="60"/>
  <c r="I65" i="79" s="1"/>
  <c r="J103" i="78" s="1"/>
  <c r="L109" i="60"/>
  <c r="M65" i="79" s="1"/>
  <c r="N103" i="78" s="1"/>
  <c r="M73" i="25"/>
  <c r="L103" i="60"/>
  <c r="M23" i="79" s="1"/>
  <c r="N19" i="78" s="1"/>
  <c r="I111" i="60"/>
  <c r="J79" i="79" s="1"/>
  <c r="K55" i="78" s="1"/>
  <c r="I104" i="60"/>
  <c r="J30" i="79" s="1"/>
  <c r="K25" i="78" s="1"/>
  <c r="B114" i="60"/>
  <c r="C100" i="79" s="1"/>
  <c r="P71" i="42"/>
  <c r="C73" i="23"/>
  <c r="C76" i="23" s="1"/>
  <c r="B102" i="60"/>
  <c r="C16" i="79" s="1"/>
  <c r="D13" i="78" s="1"/>
  <c r="K113" i="60"/>
  <c r="L93" i="79" s="1"/>
  <c r="M67" i="78" s="1"/>
  <c r="K110" i="60"/>
  <c r="L72" i="79" s="1"/>
  <c r="M109" i="78" s="1"/>
  <c r="D111" i="60"/>
  <c r="E79" i="79" s="1"/>
  <c r="F55" i="78" s="1"/>
  <c r="D118" i="60"/>
  <c r="E128" i="79" s="1"/>
  <c r="F97" i="78" s="1"/>
  <c r="E114" i="60"/>
  <c r="F100" i="79" s="1"/>
  <c r="G73" i="78" s="1"/>
  <c r="E115" i="60"/>
  <c r="F107" i="79" s="1"/>
  <c r="G79" i="78" s="1"/>
  <c r="E117" i="60"/>
  <c r="F121" i="79" s="1"/>
  <c r="G91" i="78" s="1"/>
  <c r="L116" i="60"/>
  <c r="M114" i="79" s="1"/>
  <c r="N85" i="78" s="1"/>
  <c r="C104" i="60"/>
  <c r="D30" i="79" s="1"/>
  <c r="E25" i="78" s="1"/>
  <c r="C112" i="60"/>
  <c r="D86" i="79" s="1"/>
  <c r="E61" i="78" s="1"/>
  <c r="C110" i="60"/>
  <c r="D72" i="79" s="1"/>
  <c r="E109" i="78" s="1"/>
  <c r="C118" i="60"/>
  <c r="D128" i="79" s="1"/>
  <c r="E97" i="78" s="1"/>
  <c r="J118" i="60"/>
  <c r="K128" i="79" s="1"/>
  <c r="L97" i="78" s="1"/>
  <c r="J112" i="60"/>
  <c r="K86" i="79" s="1"/>
  <c r="L61" i="78" s="1"/>
  <c r="J103" i="60"/>
  <c r="K23" i="79" s="1"/>
  <c r="L19" i="78" s="1"/>
  <c r="M110" i="60"/>
  <c r="N72" i="79" s="1"/>
  <c r="O109" i="78" s="1"/>
  <c r="M118" i="60"/>
  <c r="N128" i="79" s="1"/>
  <c r="O97" i="78" s="1"/>
  <c r="M108" i="60"/>
  <c r="N58" i="79" s="1"/>
  <c r="O49" i="78" s="1"/>
  <c r="G114" i="60"/>
  <c r="H100" i="79" s="1"/>
  <c r="I73" i="78" s="1"/>
  <c r="G113" i="60"/>
  <c r="H93" i="79" s="1"/>
  <c r="I67" i="78" s="1"/>
  <c r="G115" i="60"/>
  <c r="H107" i="79" s="1"/>
  <c r="I79" i="78" s="1"/>
  <c r="G109" i="60"/>
  <c r="H65" i="79" s="1"/>
  <c r="I103" i="78" s="1"/>
  <c r="H117" i="60"/>
  <c r="I121" i="79" s="1"/>
  <c r="J91" i="78" s="1"/>
  <c r="H104" i="60"/>
  <c r="I30" i="79" s="1"/>
  <c r="J25" i="78" s="1"/>
  <c r="H114" i="60"/>
  <c r="I100" i="79" s="1"/>
  <c r="J73" i="78" s="1"/>
  <c r="L110" i="60"/>
  <c r="M72" i="79" s="1"/>
  <c r="N109" i="78" s="1"/>
  <c r="L114" i="60"/>
  <c r="M100" i="79" s="1"/>
  <c r="N73" i="78" s="1"/>
  <c r="L118" i="60"/>
  <c r="M128" i="79" s="1"/>
  <c r="N97" i="78" s="1"/>
  <c r="I112" i="60"/>
  <c r="J86" i="79" s="1"/>
  <c r="K61" i="78" s="1"/>
  <c r="I113" i="60"/>
  <c r="J93" i="79" s="1"/>
  <c r="K67" i="78" s="1"/>
  <c r="F113" i="60"/>
  <c r="G93" i="79" s="1"/>
  <c r="H67" i="78" s="1"/>
  <c r="F104" i="60"/>
  <c r="G30" i="79" s="1"/>
  <c r="H25" i="78" s="1"/>
  <c r="F114" i="60"/>
  <c r="G100" i="79" s="1"/>
  <c r="H73" i="78" s="1"/>
  <c r="B103" i="60"/>
  <c r="C23" i="79" s="1"/>
  <c r="B110" i="60"/>
  <c r="C72" i="79" s="1"/>
  <c r="B117" i="60"/>
  <c r="C121" i="79" s="1"/>
  <c r="P71" i="48"/>
  <c r="B118" i="60"/>
  <c r="C128" i="79" s="1"/>
  <c r="P71" i="49"/>
  <c r="K112" i="60"/>
  <c r="L86" i="79" s="1"/>
  <c r="M61" i="78" s="1"/>
  <c r="K114" i="60"/>
  <c r="L100" i="79" s="1"/>
  <c r="M73" i="78" s="1"/>
  <c r="D113" i="60"/>
  <c r="E93" i="79" s="1"/>
  <c r="F67" i="78" s="1"/>
  <c r="D117" i="60"/>
  <c r="E121" i="79" s="1"/>
  <c r="F91" i="78" s="1"/>
  <c r="D110" i="60"/>
  <c r="E72" i="79" s="1"/>
  <c r="F109" i="78" s="1"/>
  <c r="D108" i="60"/>
  <c r="E58" i="79" s="1"/>
  <c r="F49" i="78" s="1"/>
  <c r="F73" i="25"/>
  <c r="E103" i="60"/>
  <c r="F23" i="79" s="1"/>
  <c r="G19" i="78" s="1"/>
  <c r="E116" i="60"/>
  <c r="F114" i="79" s="1"/>
  <c r="G85" i="78" s="1"/>
  <c r="E109" i="60"/>
  <c r="F65" i="79" s="1"/>
  <c r="G103" i="78" s="1"/>
  <c r="G59" i="26"/>
  <c r="F14" i="59" s="1"/>
  <c r="F59" i="26"/>
  <c r="E14" i="59" s="1"/>
  <c r="F29" i="70" s="1"/>
  <c r="G26" i="66" s="1"/>
  <c r="N59" i="26"/>
  <c r="M14" i="59" s="1"/>
  <c r="G59" i="25"/>
  <c r="N81" i="59"/>
  <c r="E172" i="68"/>
  <c r="L147" i="68" s="1"/>
  <c r="C160" i="70"/>
  <c r="D133" i="66" s="1"/>
  <c r="D81" i="66"/>
  <c r="D69" i="66"/>
  <c r="E204" i="65"/>
  <c r="P218" i="69"/>
  <c r="G136" i="68"/>
  <c r="E219" i="69"/>
  <c r="G204" i="65" s="1"/>
  <c r="M220" i="69"/>
  <c r="O203" i="65" s="1"/>
  <c r="M161" i="79"/>
  <c r="L220" i="69"/>
  <c r="N203" i="65" s="1"/>
  <c r="L161" i="79"/>
  <c r="N220" i="69"/>
  <c r="P203" i="65" s="1"/>
  <c r="N161" i="79"/>
  <c r="K220" i="69"/>
  <c r="M203" i="65" s="1"/>
  <c r="K161" i="79"/>
  <c r="D219" i="69"/>
  <c r="F204" i="65" s="1"/>
  <c r="H220" i="69"/>
  <c r="J203" i="65" s="1"/>
  <c r="H161" i="79"/>
  <c r="C220" i="69"/>
  <c r="G220" i="69"/>
  <c r="I203" i="65" s="1"/>
  <c r="G161" i="79"/>
  <c r="I220" i="69"/>
  <c r="K203" i="65" s="1"/>
  <c r="I161" i="79"/>
  <c r="T228" i="69"/>
  <c r="U165" i="79"/>
  <c r="M147" i="68"/>
  <c r="F220" i="69"/>
  <c r="H203" i="65" s="1"/>
  <c r="F161" i="79"/>
  <c r="J220" i="69"/>
  <c r="L203" i="65" s="1"/>
  <c r="J161" i="79"/>
  <c r="C88" i="35"/>
  <c r="C89" i="35" s="1"/>
  <c r="B36" i="59"/>
  <c r="N29" i="70"/>
  <c r="O26" i="66" s="1"/>
  <c r="J35" i="70"/>
  <c r="K33" i="66" s="1"/>
  <c r="G35" i="70"/>
  <c r="H33" i="66" s="1"/>
  <c r="K35" i="70"/>
  <c r="L33" i="66" s="1"/>
  <c r="D35" i="70"/>
  <c r="E33" i="66" s="1"/>
  <c r="N35" i="70"/>
  <c r="O33" i="66" s="1"/>
  <c r="F35" i="70"/>
  <c r="G33" i="66" s="1"/>
  <c r="G42" i="70"/>
  <c r="H39" i="66" s="1"/>
  <c r="E42" i="70"/>
  <c r="F39" i="66" s="1"/>
  <c r="I42" i="70"/>
  <c r="J39" i="66" s="1"/>
  <c r="J42" i="70"/>
  <c r="K39" i="66" s="1"/>
  <c r="K42" i="70"/>
  <c r="L39" i="66" s="1"/>
  <c r="N42" i="70"/>
  <c r="O39" i="66" s="1"/>
  <c r="D42" i="70"/>
  <c r="E39" i="66" s="1"/>
  <c r="F42" i="70"/>
  <c r="G39" i="66" s="1"/>
  <c r="E84" i="70"/>
  <c r="F63" i="66" s="1"/>
  <c r="K84" i="70"/>
  <c r="L63" i="66" s="1"/>
  <c r="H84" i="70"/>
  <c r="I63" i="66" s="1"/>
  <c r="F84" i="70"/>
  <c r="G63" i="66" s="1"/>
  <c r="M84" i="70"/>
  <c r="N63" i="66" s="1"/>
  <c r="N84" i="70"/>
  <c r="O63" i="66" s="1"/>
  <c r="G84" i="70"/>
  <c r="H63" i="66" s="1"/>
  <c r="J84" i="70"/>
  <c r="K63" i="66" s="1"/>
  <c r="N36" i="50"/>
  <c r="C158" i="70"/>
  <c r="K109" i="68"/>
  <c r="K25" i="68"/>
  <c r="J25" i="68"/>
  <c r="I19" i="68"/>
  <c r="I25" i="68"/>
  <c r="M168" i="70"/>
  <c r="L36" i="60"/>
  <c r="M160" i="70" s="1"/>
  <c r="N133" i="66" s="1"/>
  <c r="K168" i="70"/>
  <c r="J36" i="60"/>
  <c r="K160" i="70" s="1"/>
  <c r="L133" i="66" s="1"/>
  <c r="K36" i="60"/>
  <c r="L160" i="70" s="1"/>
  <c r="M133" i="66" s="1"/>
  <c r="E36" i="60"/>
  <c r="F160" i="70" s="1"/>
  <c r="G133" i="66" s="1"/>
  <c r="J168" i="70"/>
  <c r="I36" i="60"/>
  <c r="J160" i="70" s="1"/>
  <c r="K133" i="66" s="1"/>
  <c r="N168" i="70"/>
  <c r="M36" i="60"/>
  <c r="N160" i="70" s="1"/>
  <c r="O133" i="66" s="1"/>
  <c r="G36" i="60"/>
  <c r="H160" i="70" s="1"/>
  <c r="I133" i="66" s="1"/>
  <c r="D36" i="60"/>
  <c r="E160" i="70" s="1"/>
  <c r="F133" i="66" s="1"/>
  <c r="C36" i="60"/>
  <c r="D160" i="70" s="1"/>
  <c r="E133" i="66" s="1"/>
  <c r="H36" i="60"/>
  <c r="I160" i="70" s="1"/>
  <c r="J133" i="66" s="1"/>
  <c r="F154" i="68"/>
  <c r="D254" i="69"/>
  <c r="F166" i="68"/>
  <c r="D274" i="69"/>
  <c r="F160" i="68"/>
  <c r="D264" i="69"/>
  <c r="P55" i="58"/>
  <c r="F36" i="59"/>
  <c r="G159" i="70" s="1"/>
  <c r="H134" i="66" s="1"/>
  <c r="M27" i="50"/>
  <c r="L27" i="50"/>
  <c r="F27" i="50"/>
  <c r="J27" i="50"/>
  <c r="E27" i="50"/>
  <c r="G27" i="50"/>
  <c r="J26" i="50"/>
  <c r="E26" i="50"/>
  <c r="K26" i="50"/>
  <c r="F26" i="50"/>
  <c r="I26" i="50"/>
  <c r="C26" i="50"/>
  <c r="L26" i="50"/>
  <c r="C59" i="47"/>
  <c r="B26" i="50"/>
  <c r="C112" i="70" s="1"/>
  <c r="C25" i="50"/>
  <c r="E25" i="50"/>
  <c r="K25" i="50"/>
  <c r="I25" i="50"/>
  <c r="M25" i="50"/>
  <c r="F25" i="50"/>
  <c r="J25" i="50"/>
  <c r="M24" i="50"/>
  <c r="L24" i="50"/>
  <c r="D24" i="50"/>
  <c r="C59" i="42"/>
  <c r="B24" i="50"/>
  <c r="C98" i="70" s="1"/>
  <c r="I24" i="50"/>
  <c r="J24" i="50"/>
  <c r="C24" i="50"/>
  <c r="H24" i="50"/>
  <c r="F24" i="50"/>
  <c r="E24" i="50"/>
  <c r="K24" i="50"/>
  <c r="M23" i="50"/>
  <c r="J23" i="50"/>
  <c r="K23" i="50"/>
  <c r="D23" i="50"/>
  <c r="F23" i="50"/>
  <c r="C23" i="50"/>
  <c r="E23" i="50"/>
  <c r="F91" i="70" s="1"/>
  <c r="G69" i="66" s="1"/>
  <c r="F60" i="31"/>
  <c r="F59" i="31" s="1"/>
  <c r="E16" i="60" s="1"/>
  <c r="F44" i="70" s="1"/>
  <c r="G37" i="66" s="1"/>
  <c r="J31" i="68"/>
  <c r="J117" i="68"/>
  <c r="J73" i="68"/>
  <c r="P60" i="58"/>
  <c r="J43" i="68"/>
  <c r="D81" i="60"/>
  <c r="N37" i="50"/>
  <c r="O37" i="50"/>
  <c r="T165" i="70" s="1"/>
  <c r="K117" i="68"/>
  <c r="K19" i="68"/>
  <c r="K103" i="68"/>
  <c r="K13" i="68"/>
  <c r="J19" i="68"/>
  <c r="J97" i="68"/>
  <c r="J67" i="68"/>
  <c r="J172" i="68"/>
  <c r="J13" i="68"/>
  <c r="J49" i="68"/>
  <c r="J37" i="68"/>
  <c r="J91" i="68"/>
  <c r="J85" i="68"/>
  <c r="J109" i="68"/>
  <c r="J103" i="68"/>
  <c r="J61" i="68"/>
  <c r="M60" i="41"/>
  <c r="M61" i="31"/>
  <c r="L16" i="50" s="1"/>
  <c r="J60" i="34"/>
  <c r="J59" i="34" s="1"/>
  <c r="H60" i="42"/>
  <c r="K59" i="42"/>
  <c r="M60" i="25"/>
  <c r="J60" i="35"/>
  <c r="J59" i="35" s="1"/>
  <c r="M60" i="33"/>
  <c r="M59" i="33" s="1"/>
  <c r="I97" i="68"/>
  <c r="I79" i="68"/>
  <c r="I85" i="68"/>
  <c r="D59" i="26"/>
  <c r="C14" i="59" s="1"/>
  <c r="I67" i="68"/>
  <c r="I103" i="68"/>
  <c r="F59" i="41"/>
  <c r="D59" i="23"/>
  <c r="K60" i="31"/>
  <c r="J16" i="59" s="1"/>
  <c r="L59" i="47"/>
  <c r="E60" i="26"/>
  <c r="I13" i="68"/>
  <c r="I91" i="68"/>
  <c r="I55" i="68"/>
  <c r="I37" i="68"/>
  <c r="I61" i="68"/>
  <c r="I73" i="68"/>
  <c r="I109" i="68"/>
  <c r="I49" i="68"/>
  <c r="I31" i="68"/>
  <c r="I117" i="68"/>
  <c r="I43" i="68"/>
  <c r="J79" i="68"/>
  <c r="J55" i="68"/>
  <c r="G59" i="46"/>
  <c r="G59" i="41"/>
  <c r="C60" i="26"/>
  <c r="M60" i="39"/>
  <c r="M59" i="39" s="1"/>
  <c r="J60" i="26"/>
  <c r="E60" i="46"/>
  <c r="C60" i="34"/>
  <c r="C88" i="34" s="1"/>
  <c r="C89" i="34" s="1"/>
  <c r="L60" i="40"/>
  <c r="J60" i="25"/>
  <c r="E61" i="32"/>
  <c r="E60" i="32" s="1"/>
  <c r="B22" i="59"/>
  <c r="C85" i="70" s="1"/>
  <c r="C58" i="40"/>
  <c r="B22" i="60" s="1"/>
  <c r="I59" i="42"/>
  <c r="I60" i="31"/>
  <c r="I59" i="31" s="1"/>
  <c r="H16" i="60" s="1"/>
  <c r="I44" i="70" s="1"/>
  <c r="J37" i="66" s="1"/>
  <c r="C59" i="41"/>
  <c r="J59" i="33"/>
  <c r="F59" i="47"/>
  <c r="E60" i="34"/>
  <c r="E59" i="34" s="1"/>
  <c r="E60" i="23"/>
  <c r="E59" i="23" s="1"/>
  <c r="M59" i="26"/>
  <c r="M58" i="26" s="1"/>
  <c r="L14" i="60" s="1"/>
  <c r="M30" i="70" s="1"/>
  <c r="N25" i="66" s="1"/>
  <c r="K55" i="68"/>
  <c r="J60" i="41"/>
  <c r="J60" i="23"/>
  <c r="J88" i="23" s="1"/>
  <c r="J89" i="23" s="1"/>
  <c r="J60" i="31"/>
  <c r="I16" i="59" s="1"/>
  <c r="L59" i="46"/>
  <c r="C59" i="39"/>
  <c r="K67" i="68"/>
  <c r="K59" i="26"/>
  <c r="J14" i="59" s="1"/>
  <c r="H59" i="23"/>
  <c r="H60" i="34"/>
  <c r="H88" i="34" s="1"/>
  <c r="H89" i="34" s="1"/>
  <c r="C60" i="31"/>
  <c r="B16" i="59" s="1"/>
  <c r="C43" i="70" s="1"/>
  <c r="C89" i="23"/>
  <c r="K61" i="68"/>
  <c r="K31" i="68"/>
  <c r="K85" i="68"/>
  <c r="K43" i="68"/>
  <c r="K37" i="68"/>
  <c r="E59" i="33"/>
  <c r="K59" i="41"/>
  <c r="M59" i="34"/>
  <c r="I59" i="25"/>
  <c r="E59" i="35"/>
  <c r="E58" i="35" s="1"/>
  <c r="D20" i="60" s="1"/>
  <c r="E72" i="70" s="1"/>
  <c r="F109" i="66" s="1"/>
  <c r="K172" i="68"/>
  <c r="K73" i="68"/>
  <c r="K91" i="68"/>
  <c r="K49" i="68"/>
  <c r="K79" i="68"/>
  <c r="M59" i="42"/>
  <c r="M59" i="23"/>
  <c r="L59" i="34"/>
  <c r="K97" i="68"/>
  <c r="M59" i="46"/>
  <c r="F142" i="68"/>
  <c r="N59" i="41"/>
  <c r="L61" i="32"/>
  <c r="L60" i="32" s="1"/>
  <c r="I59" i="34"/>
  <c r="G60" i="31"/>
  <c r="F16" i="59" s="1"/>
  <c r="N58" i="26"/>
  <c r="M14" i="60" s="1"/>
  <c r="J59" i="42"/>
  <c r="N59" i="46"/>
  <c r="E60" i="47"/>
  <c r="D26" i="50" s="1"/>
  <c r="E112" i="70" s="1"/>
  <c r="F87" i="66" s="1"/>
  <c r="E60" i="39"/>
  <c r="E59" i="39" s="1"/>
  <c r="L60" i="33"/>
  <c r="L88" i="33" s="1"/>
  <c r="L89" i="33" s="1"/>
  <c r="G59" i="47"/>
  <c r="N60" i="31"/>
  <c r="N59" i="31" s="1"/>
  <c r="M16" i="60" s="1"/>
  <c r="N44" i="70" s="1"/>
  <c r="O37" i="66" s="1"/>
  <c r="H60" i="33"/>
  <c r="H59" i="33" s="1"/>
  <c r="C81" i="60"/>
  <c r="F59" i="42"/>
  <c r="L59" i="42"/>
  <c r="L27" i="60"/>
  <c r="M121" i="70" s="1"/>
  <c r="N91" i="66" s="1"/>
  <c r="G59" i="42"/>
  <c r="E142" i="68"/>
  <c r="D58" i="35"/>
  <c r="C20" i="60" s="1"/>
  <c r="D72" i="70" s="1"/>
  <c r="E109" i="66" s="1"/>
  <c r="C20" i="59"/>
  <c r="K58" i="39"/>
  <c r="J21" i="60" s="1"/>
  <c r="K79" i="70" s="1"/>
  <c r="L55" i="66" s="1"/>
  <c r="J21" i="59"/>
  <c r="J59" i="32"/>
  <c r="I17" i="60" s="1"/>
  <c r="J51" i="70" s="1"/>
  <c r="K43" i="66" s="1"/>
  <c r="I17" i="59"/>
  <c r="G58" i="26"/>
  <c r="F14" i="60" s="1"/>
  <c r="G30" i="70" s="1"/>
  <c r="H25" i="66" s="1"/>
  <c r="J19" i="50"/>
  <c r="K88" i="34"/>
  <c r="K89" i="34" s="1"/>
  <c r="M17" i="50"/>
  <c r="N89" i="32"/>
  <c r="N90" i="32" s="1"/>
  <c r="H13" i="50"/>
  <c r="I88" i="25"/>
  <c r="I89" i="25" s="1"/>
  <c r="F58" i="33"/>
  <c r="E18" i="60" s="1"/>
  <c r="F58" i="70" s="1"/>
  <c r="G49" i="66" s="1"/>
  <c r="E18" i="59"/>
  <c r="E20" i="50"/>
  <c r="F88" i="35"/>
  <c r="F89" i="35" s="1"/>
  <c r="E13" i="50"/>
  <c r="F88" i="25"/>
  <c r="F89" i="25" s="1"/>
  <c r="D20" i="50"/>
  <c r="E88" i="35"/>
  <c r="E89" i="35" s="1"/>
  <c r="C60" i="32"/>
  <c r="C89" i="32"/>
  <c r="C90" i="32" s="1"/>
  <c r="K20" i="50"/>
  <c r="L88" i="35"/>
  <c r="L89" i="35" s="1"/>
  <c r="K21" i="50"/>
  <c r="L88" i="39"/>
  <c r="L89" i="39" s="1"/>
  <c r="J18" i="50"/>
  <c r="K88" i="33"/>
  <c r="K89" i="33" s="1"/>
  <c r="J20" i="50"/>
  <c r="K88" i="35"/>
  <c r="K89" i="35" s="1"/>
  <c r="L14" i="50"/>
  <c r="M88" i="26"/>
  <c r="M89" i="26" s="1"/>
  <c r="K19" i="50"/>
  <c r="L88" i="34"/>
  <c r="L89" i="34" s="1"/>
  <c r="K58" i="33"/>
  <c r="J18" i="60" s="1"/>
  <c r="K58" i="70" s="1"/>
  <c r="L49" i="66" s="1"/>
  <c r="J18" i="59"/>
  <c r="C21" i="50"/>
  <c r="D88" i="39"/>
  <c r="D89" i="39" s="1"/>
  <c r="L20" i="50"/>
  <c r="M88" i="35"/>
  <c r="M89" i="35" s="1"/>
  <c r="I17" i="50"/>
  <c r="J89" i="32"/>
  <c r="J90" i="32" s="1"/>
  <c r="I21" i="50"/>
  <c r="J88" i="39"/>
  <c r="J89" i="39" s="1"/>
  <c r="M13" i="50"/>
  <c r="N88" i="25"/>
  <c r="N89" i="25" s="1"/>
  <c r="G13" i="50"/>
  <c r="H88" i="25"/>
  <c r="H89" i="25" s="1"/>
  <c r="D13" i="50"/>
  <c r="E88" i="25"/>
  <c r="E89" i="25" s="1"/>
  <c r="E21" i="50"/>
  <c r="F88" i="39"/>
  <c r="F89" i="39" s="1"/>
  <c r="D18" i="50"/>
  <c r="E88" i="33"/>
  <c r="E89" i="33" s="1"/>
  <c r="C59" i="33"/>
  <c r="C88" i="33"/>
  <c r="C89" i="33" s="1"/>
  <c r="C59" i="25"/>
  <c r="C88" i="25"/>
  <c r="C89" i="25" s="1"/>
  <c r="M59" i="32"/>
  <c r="L17" i="60" s="1"/>
  <c r="M51" i="70" s="1"/>
  <c r="N43" i="66" s="1"/>
  <c r="L17" i="59"/>
  <c r="G58" i="34"/>
  <c r="F19" i="60" s="1"/>
  <c r="G65" i="70" s="1"/>
  <c r="H103" i="66" s="1"/>
  <c r="F19" i="59"/>
  <c r="G58" i="35"/>
  <c r="F20" i="60" s="1"/>
  <c r="G72" i="70" s="1"/>
  <c r="H109" i="66" s="1"/>
  <c r="F20" i="59"/>
  <c r="C19" i="50"/>
  <c r="D88" i="34"/>
  <c r="D89" i="34" s="1"/>
  <c r="I18" i="50"/>
  <c r="J88" i="33"/>
  <c r="J89" i="33" s="1"/>
  <c r="F17" i="50"/>
  <c r="G89" i="32"/>
  <c r="G90" i="32" s="1"/>
  <c r="F20" i="50"/>
  <c r="G88" i="35"/>
  <c r="G89" i="35" s="1"/>
  <c r="E14" i="50"/>
  <c r="F88" i="26"/>
  <c r="F89" i="26" s="1"/>
  <c r="J17" i="50"/>
  <c r="K89" i="32"/>
  <c r="K90" i="32" s="1"/>
  <c r="C17" i="50"/>
  <c r="D89" i="32"/>
  <c r="D90" i="32" s="1"/>
  <c r="F58" i="35"/>
  <c r="E20" i="60" s="1"/>
  <c r="F72" i="70" s="1"/>
  <c r="G109" i="66" s="1"/>
  <c r="E20" i="59"/>
  <c r="C13" i="50"/>
  <c r="D88" i="25"/>
  <c r="D89" i="25" s="1"/>
  <c r="G59" i="32"/>
  <c r="F17" i="60" s="1"/>
  <c r="G51" i="70" s="1"/>
  <c r="H43" i="66" s="1"/>
  <c r="F17" i="59"/>
  <c r="G58" i="39"/>
  <c r="F21" i="60" s="1"/>
  <c r="G79" i="70" s="1"/>
  <c r="H55" i="66" s="1"/>
  <c r="F21" i="59"/>
  <c r="C14" i="50"/>
  <c r="D88" i="26"/>
  <c r="D89" i="26" s="1"/>
  <c r="M19" i="50"/>
  <c r="N88" i="34"/>
  <c r="N89" i="34" s="1"/>
  <c r="L19" i="50"/>
  <c r="M88" i="34"/>
  <c r="M89" i="34" s="1"/>
  <c r="M59" i="35"/>
  <c r="K58" i="34"/>
  <c r="J19" i="60" s="1"/>
  <c r="K65" i="70" s="1"/>
  <c r="L103" i="66" s="1"/>
  <c r="J19" i="59"/>
  <c r="G58" i="33"/>
  <c r="F18" i="60" s="1"/>
  <c r="G58" i="70" s="1"/>
  <c r="H49" i="66" s="1"/>
  <c r="F18" i="59"/>
  <c r="J21" i="50"/>
  <c r="K88" i="39"/>
  <c r="K89" i="39" s="1"/>
  <c r="D58" i="39"/>
  <c r="C21" i="60" s="1"/>
  <c r="D79" i="70" s="1"/>
  <c r="E55" i="66" s="1"/>
  <c r="C21" i="59"/>
  <c r="C20" i="50"/>
  <c r="D88" i="35"/>
  <c r="D89" i="35" s="1"/>
  <c r="H19" i="50"/>
  <c r="I88" i="34"/>
  <c r="I89" i="34" s="1"/>
  <c r="G20" i="50"/>
  <c r="H88" i="35"/>
  <c r="H89" i="35" s="1"/>
  <c r="F18" i="50"/>
  <c r="G88" i="33"/>
  <c r="G89" i="33" s="1"/>
  <c r="F13" i="50"/>
  <c r="G88" i="25"/>
  <c r="G89" i="25" s="1"/>
  <c r="F14" i="50"/>
  <c r="G88" i="26"/>
  <c r="G89" i="26" s="1"/>
  <c r="E17" i="50"/>
  <c r="F89" i="32"/>
  <c r="F90" i="32" s="1"/>
  <c r="F58" i="39"/>
  <c r="E21" i="60" s="1"/>
  <c r="F79" i="70" s="1"/>
  <c r="G55" i="66" s="1"/>
  <c r="E21" i="59"/>
  <c r="L58" i="35"/>
  <c r="K20" i="60" s="1"/>
  <c r="L72" i="70" s="1"/>
  <c r="M109" i="66" s="1"/>
  <c r="K20" i="59"/>
  <c r="L58" i="39"/>
  <c r="K21" i="60" s="1"/>
  <c r="L79" i="70" s="1"/>
  <c r="M55" i="66" s="1"/>
  <c r="K21" i="59"/>
  <c r="J14" i="50"/>
  <c r="K88" i="26"/>
  <c r="K89" i="26" s="1"/>
  <c r="K58" i="35"/>
  <c r="J20" i="60" s="1"/>
  <c r="K72" i="70" s="1"/>
  <c r="L109" i="66" s="1"/>
  <c r="J20" i="59"/>
  <c r="L17" i="50"/>
  <c r="M89" i="32"/>
  <c r="M90" i="32" s="1"/>
  <c r="M14" i="50"/>
  <c r="N88" i="26"/>
  <c r="N89" i="26" s="1"/>
  <c r="F19" i="50"/>
  <c r="G88" i="34"/>
  <c r="G89" i="34" s="1"/>
  <c r="F21" i="50"/>
  <c r="G88" i="39"/>
  <c r="G89" i="39" s="1"/>
  <c r="E19" i="50"/>
  <c r="F88" i="34"/>
  <c r="F89" i="34" s="1"/>
  <c r="E18" i="50"/>
  <c r="F88" i="33"/>
  <c r="F89" i="33" s="1"/>
  <c r="M12" i="60"/>
  <c r="N16" i="70" s="1"/>
  <c r="O13" i="66" s="1"/>
  <c r="M12" i="59"/>
  <c r="N15" i="70" s="1"/>
  <c r="O14" i="66" s="1"/>
  <c r="M12" i="50"/>
  <c r="N14" i="70" s="1"/>
  <c r="O15" i="66" s="1"/>
  <c r="N88" i="23"/>
  <c r="N89" i="23" s="1"/>
  <c r="F12" i="50"/>
  <c r="G14" i="70" s="1"/>
  <c r="H15" i="66" s="1"/>
  <c r="G88" i="23"/>
  <c r="G89" i="23" s="1"/>
  <c r="E12" i="50"/>
  <c r="F14" i="70" s="1"/>
  <c r="G15" i="66" s="1"/>
  <c r="F88" i="23"/>
  <c r="F89" i="23" s="1"/>
  <c r="E12" i="60"/>
  <c r="F16" i="70" s="1"/>
  <c r="G13" i="66" s="1"/>
  <c r="E12" i="59"/>
  <c r="F15" i="70" s="1"/>
  <c r="G14" i="66" s="1"/>
  <c r="J12" i="50"/>
  <c r="K14" i="70" s="1"/>
  <c r="L15" i="66" s="1"/>
  <c r="K88" i="23"/>
  <c r="K89" i="23" s="1"/>
  <c r="C12" i="50"/>
  <c r="D14" i="70" s="1"/>
  <c r="E15" i="66" s="1"/>
  <c r="D88" i="23"/>
  <c r="D89" i="23" s="1"/>
  <c r="L12" i="50"/>
  <c r="M14" i="70" s="1"/>
  <c r="N15" i="66" s="1"/>
  <c r="M88" i="23"/>
  <c r="M89" i="23" s="1"/>
  <c r="F12" i="60"/>
  <c r="G16" i="70" s="1"/>
  <c r="H13" i="66" s="1"/>
  <c r="F12" i="59"/>
  <c r="G15" i="70" s="1"/>
  <c r="H14" i="66" s="1"/>
  <c r="G12" i="50"/>
  <c r="H14" i="70" s="1"/>
  <c r="I15" i="66" s="1"/>
  <c r="H88" i="23"/>
  <c r="H89" i="23" s="1"/>
  <c r="O20" i="61"/>
  <c r="D59" i="46"/>
  <c r="D59" i="42"/>
  <c r="D60" i="33"/>
  <c r="D88" i="33" s="1"/>
  <c r="D89" i="33" s="1"/>
  <c r="D60" i="40"/>
  <c r="D59" i="40" s="1"/>
  <c r="D59" i="34"/>
  <c r="I60" i="33"/>
  <c r="I60" i="40"/>
  <c r="I59" i="40" s="1"/>
  <c r="H27" i="50"/>
  <c r="I119" i="70" s="1"/>
  <c r="J93" i="66" s="1"/>
  <c r="I60" i="41"/>
  <c r="I60" i="26"/>
  <c r="H60" i="41"/>
  <c r="H60" i="26"/>
  <c r="H60" i="47"/>
  <c r="H61" i="31"/>
  <c r="H59" i="35"/>
  <c r="H59" i="25"/>
  <c r="L61" i="31"/>
  <c r="K16" i="50" s="1"/>
  <c r="L60" i="23"/>
  <c r="L88" i="23" s="1"/>
  <c r="L89" i="23" s="1"/>
  <c r="N59" i="25"/>
  <c r="N60" i="33"/>
  <c r="N88" i="33" s="1"/>
  <c r="N89" i="33" s="1"/>
  <c r="N60" i="32"/>
  <c r="N60" i="39"/>
  <c r="N60" i="47"/>
  <c r="M26" i="50" s="1"/>
  <c r="N112" i="70" s="1"/>
  <c r="O87" i="66" s="1"/>
  <c r="I61" i="32"/>
  <c r="I89" i="32" s="1"/>
  <c r="I90" i="32" s="1"/>
  <c r="I60" i="46"/>
  <c r="K40" i="23"/>
  <c r="I79" i="50"/>
  <c r="I34" i="50"/>
  <c r="J40" i="23"/>
  <c r="F34" i="50"/>
  <c r="F79" i="50"/>
  <c r="K79" i="50"/>
  <c r="K34" i="50"/>
  <c r="H40" i="23"/>
  <c r="E40" i="23"/>
  <c r="B21" i="50"/>
  <c r="C77" i="70" s="1"/>
  <c r="B22" i="50"/>
  <c r="C84" i="70" s="1"/>
  <c r="L59" i="41"/>
  <c r="K60" i="32"/>
  <c r="K59" i="47"/>
  <c r="M59" i="47"/>
  <c r="E59" i="42"/>
  <c r="E60" i="31"/>
  <c r="D59" i="47"/>
  <c r="D59" i="25"/>
  <c r="D59" i="41"/>
  <c r="J59" i="46"/>
  <c r="N59" i="42"/>
  <c r="J59" i="39"/>
  <c r="F59" i="34"/>
  <c r="F59" i="46"/>
  <c r="E59" i="41"/>
  <c r="K60" i="25"/>
  <c r="D60" i="32"/>
  <c r="I60" i="47"/>
  <c r="H26" i="50" s="1"/>
  <c r="I112" i="70" s="1"/>
  <c r="J87" i="66" s="1"/>
  <c r="I60" i="39"/>
  <c r="I88" i="39" s="1"/>
  <c r="I89" i="39" s="1"/>
  <c r="I60" i="35"/>
  <c r="I88" i="35" s="1"/>
  <c r="I89" i="35" s="1"/>
  <c r="I60" i="23"/>
  <c r="I88" i="23" s="1"/>
  <c r="I89" i="23" s="1"/>
  <c r="H61" i="32"/>
  <c r="H89" i="32" s="1"/>
  <c r="H90" i="32" s="1"/>
  <c r="H60" i="46"/>
  <c r="G25" i="50" s="1"/>
  <c r="H105" i="70" s="1"/>
  <c r="I81" i="66" s="1"/>
  <c r="G15" i="50"/>
  <c r="H60" i="39"/>
  <c r="K15" i="50"/>
  <c r="L60" i="25"/>
  <c r="L60" i="26"/>
  <c r="N59" i="34"/>
  <c r="N60" i="35"/>
  <c r="D40" i="23"/>
  <c r="F28" i="50"/>
  <c r="G126" i="70" s="1"/>
  <c r="H99" i="66" s="1"/>
  <c r="B15" i="50"/>
  <c r="C35" i="70" s="1"/>
  <c r="B17" i="50"/>
  <c r="C49" i="70" s="1"/>
  <c r="B16" i="50"/>
  <c r="C42" i="70" s="1"/>
  <c r="B20" i="50"/>
  <c r="C70" i="70" s="1"/>
  <c r="B18" i="50"/>
  <c r="C56" i="70" s="1"/>
  <c r="B13" i="50"/>
  <c r="C21" i="70" s="1"/>
  <c r="J34" i="50"/>
  <c r="J79" i="50"/>
  <c r="C79" i="50"/>
  <c r="C34" i="50"/>
  <c r="L34" i="50"/>
  <c r="L79" i="50"/>
  <c r="N40" i="23"/>
  <c r="G40" i="23"/>
  <c r="F40" i="23"/>
  <c r="E79" i="50"/>
  <c r="E34" i="50"/>
  <c r="D34" i="50"/>
  <c r="D79" i="50"/>
  <c r="B79" i="50"/>
  <c r="J59" i="47"/>
  <c r="F60" i="32"/>
  <c r="F59" i="25"/>
  <c r="D60" i="31"/>
  <c r="C59" i="35"/>
  <c r="B20" i="59" s="1"/>
  <c r="C71" i="70" s="1"/>
  <c r="C59" i="46"/>
  <c r="K59" i="23"/>
  <c r="K58" i="23" s="1"/>
  <c r="E59" i="25"/>
  <c r="K59" i="46"/>
  <c r="N73" i="35" l="1"/>
  <c r="N76" i="35" s="1"/>
  <c r="F73" i="42"/>
  <c r="F76" i="42" s="1"/>
  <c r="F73" i="49"/>
  <c r="F76" i="49" s="1"/>
  <c r="K22" i="50"/>
  <c r="L59" i="40"/>
  <c r="H73" i="42"/>
  <c r="H76" i="42" s="1"/>
  <c r="H75" i="42"/>
  <c r="K73" i="49"/>
  <c r="K76" i="49" s="1"/>
  <c r="I73" i="42"/>
  <c r="I76" i="42" s="1"/>
  <c r="I75" i="42"/>
  <c r="E73" i="42"/>
  <c r="E76" i="42" s="1"/>
  <c r="E75" i="42"/>
  <c r="E73" i="49"/>
  <c r="E76" i="49" s="1"/>
  <c r="E75" i="49"/>
  <c r="M73" i="49"/>
  <c r="M76" i="49" s="1"/>
  <c r="M75" i="49"/>
  <c r="P71" i="47"/>
  <c r="J74" i="47"/>
  <c r="G73" i="49"/>
  <c r="G76" i="49" s="1"/>
  <c r="G75" i="49"/>
  <c r="K74" i="31"/>
  <c r="K77" i="31" s="1"/>
  <c r="G73" i="35"/>
  <c r="G76" i="35" s="1"/>
  <c r="I73" i="35"/>
  <c r="I76" i="35" s="1"/>
  <c r="I75" i="35"/>
  <c r="H74" i="31"/>
  <c r="H77" i="31" s="1"/>
  <c r="H76" i="31"/>
  <c r="G74" i="31"/>
  <c r="G77" i="31" s="1"/>
  <c r="G76" i="31"/>
  <c r="C74" i="30"/>
  <c r="C77" i="30" s="1"/>
  <c r="C76" i="30"/>
  <c r="C73" i="25"/>
  <c r="C76" i="25" s="1"/>
  <c r="C75" i="25"/>
  <c r="N75" i="26"/>
  <c r="N81" i="60"/>
  <c r="O81" i="60" s="1"/>
  <c r="I73" i="49"/>
  <c r="H106" i="50"/>
  <c r="C73" i="42"/>
  <c r="C76" i="42" s="1"/>
  <c r="C73" i="35"/>
  <c r="C76" i="35" s="1"/>
  <c r="N73" i="49"/>
  <c r="N76" i="49" s="1"/>
  <c r="H73" i="35"/>
  <c r="L73" i="49"/>
  <c r="L76" i="49" s="1"/>
  <c r="H73" i="49"/>
  <c r="H76" i="49" s="1"/>
  <c r="J73" i="49"/>
  <c r="J76" i="49" s="1"/>
  <c r="D73" i="49"/>
  <c r="D76" i="49" s="1"/>
  <c r="C73" i="49"/>
  <c r="C76" i="49" s="1"/>
  <c r="G73" i="48"/>
  <c r="G76" i="48" s="1"/>
  <c r="I73" i="48"/>
  <c r="I76" i="48" s="1"/>
  <c r="J73" i="48"/>
  <c r="J76" i="48" s="1"/>
  <c r="K73" i="48"/>
  <c r="K76" i="48" s="1"/>
  <c r="F73" i="48"/>
  <c r="F76" i="48" s="1"/>
  <c r="E73" i="48"/>
  <c r="E76" i="48" s="1"/>
  <c r="D73" i="48"/>
  <c r="D76" i="48" s="1"/>
  <c r="H73" i="48"/>
  <c r="H76" i="48" s="1"/>
  <c r="L73" i="48"/>
  <c r="L76" i="48" s="1"/>
  <c r="C73" i="48"/>
  <c r="C76" i="48" s="1"/>
  <c r="N73" i="48"/>
  <c r="N76" i="48" s="1"/>
  <c r="M73" i="48"/>
  <c r="M76" i="48" s="1"/>
  <c r="M73" i="47"/>
  <c r="M76" i="47" s="1"/>
  <c r="K73" i="47"/>
  <c r="K76" i="47" s="1"/>
  <c r="N73" i="47"/>
  <c r="N76" i="47" s="1"/>
  <c r="E73" i="47"/>
  <c r="E76" i="47" s="1"/>
  <c r="I73" i="47"/>
  <c r="I76" i="47" s="1"/>
  <c r="D73" i="47"/>
  <c r="D76" i="47" s="1"/>
  <c r="C73" i="47"/>
  <c r="C76" i="47" s="1"/>
  <c r="L73" i="47"/>
  <c r="L76" i="47" s="1"/>
  <c r="J72" i="47"/>
  <c r="J75" i="47" s="1"/>
  <c r="F73" i="47"/>
  <c r="F76" i="47" s="1"/>
  <c r="H73" i="47"/>
  <c r="H76" i="47" s="1"/>
  <c r="G73" i="47"/>
  <c r="G76" i="47" s="1"/>
  <c r="I116" i="60"/>
  <c r="J114" i="79" s="1"/>
  <c r="K85" i="78" s="1"/>
  <c r="M73" i="46"/>
  <c r="M76" i="46" s="1"/>
  <c r="H73" i="46"/>
  <c r="H76" i="46" s="1"/>
  <c r="J73" i="46"/>
  <c r="J76" i="46" s="1"/>
  <c r="N73" i="46"/>
  <c r="N76" i="46" s="1"/>
  <c r="C73" i="46"/>
  <c r="C76" i="46" s="1"/>
  <c r="K116" i="50"/>
  <c r="L105" i="79" s="1"/>
  <c r="M81" i="78" s="1"/>
  <c r="E73" i="46"/>
  <c r="E76" i="46" s="1"/>
  <c r="F73" i="46"/>
  <c r="F76" i="46" s="1"/>
  <c r="F116" i="50"/>
  <c r="G105" i="79" s="1"/>
  <c r="H81" i="78" s="1"/>
  <c r="K73" i="46"/>
  <c r="K76" i="46" s="1"/>
  <c r="I73" i="46"/>
  <c r="I76" i="46" s="1"/>
  <c r="D73" i="46"/>
  <c r="D76" i="46" s="1"/>
  <c r="K73" i="42"/>
  <c r="K76" i="42" s="1"/>
  <c r="M115" i="50"/>
  <c r="N98" i="79" s="1"/>
  <c r="O75" i="78" s="1"/>
  <c r="J73" i="42"/>
  <c r="J76" i="42" s="1"/>
  <c r="G73" i="42"/>
  <c r="G76" i="42" s="1"/>
  <c r="D73" i="42"/>
  <c r="D76" i="42" s="1"/>
  <c r="M73" i="42"/>
  <c r="M76" i="42" s="1"/>
  <c r="L73" i="42"/>
  <c r="L76" i="42" s="1"/>
  <c r="D115" i="50"/>
  <c r="E98" i="79" s="1"/>
  <c r="F75" i="78" s="1"/>
  <c r="D73" i="41"/>
  <c r="D76" i="41" s="1"/>
  <c r="I73" i="41"/>
  <c r="I76" i="41" s="1"/>
  <c r="L73" i="41"/>
  <c r="L76" i="41" s="1"/>
  <c r="H73" i="41"/>
  <c r="H76" i="41" s="1"/>
  <c r="N73" i="41"/>
  <c r="N76" i="41" s="1"/>
  <c r="J73" i="41"/>
  <c r="J76" i="41" s="1"/>
  <c r="K73" i="41"/>
  <c r="K76" i="41" s="1"/>
  <c r="C73" i="41"/>
  <c r="C76" i="41" s="1"/>
  <c r="E73" i="41"/>
  <c r="E76" i="41" s="1"/>
  <c r="M73" i="41"/>
  <c r="M76" i="41" s="1"/>
  <c r="F73" i="41"/>
  <c r="F76" i="41" s="1"/>
  <c r="G73" i="41"/>
  <c r="G76" i="41" s="1"/>
  <c r="I73" i="40"/>
  <c r="I76" i="40" s="1"/>
  <c r="D73" i="40"/>
  <c r="D76" i="40" s="1"/>
  <c r="L73" i="40"/>
  <c r="L76" i="40" s="1"/>
  <c r="G73" i="40"/>
  <c r="G76" i="40" s="1"/>
  <c r="M73" i="35"/>
  <c r="J73" i="40"/>
  <c r="J76" i="40" s="1"/>
  <c r="M73" i="40"/>
  <c r="M76" i="40" s="1"/>
  <c r="F73" i="40"/>
  <c r="F76" i="40" s="1"/>
  <c r="E73" i="40"/>
  <c r="E76" i="40" s="1"/>
  <c r="C73" i="40"/>
  <c r="C76" i="40" s="1"/>
  <c r="K73" i="40"/>
  <c r="K76" i="40" s="1"/>
  <c r="N73" i="40"/>
  <c r="N76" i="40" s="1"/>
  <c r="H73" i="40"/>
  <c r="H76" i="40" s="1"/>
  <c r="C73" i="39"/>
  <c r="C76" i="39" s="1"/>
  <c r="G73" i="39"/>
  <c r="G76" i="39" s="1"/>
  <c r="J73" i="39"/>
  <c r="J76" i="39" s="1"/>
  <c r="F73" i="39"/>
  <c r="F76" i="39" s="1"/>
  <c r="M73" i="39"/>
  <c r="M76" i="39" s="1"/>
  <c r="K73" i="39"/>
  <c r="K76" i="39" s="1"/>
  <c r="H73" i="39"/>
  <c r="H76" i="39" s="1"/>
  <c r="I73" i="39"/>
  <c r="I76" i="39" s="1"/>
  <c r="D73" i="39"/>
  <c r="D76" i="39" s="1"/>
  <c r="E73" i="39"/>
  <c r="E76" i="39" s="1"/>
  <c r="L73" i="39"/>
  <c r="L76" i="39" s="1"/>
  <c r="N73" i="39"/>
  <c r="N76" i="39" s="1"/>
  <c r="K73" i="35"/>
  <c r="K76" i="35" s="1"/>
  <c r="M111" i="50"/>
  <c r="N70" i="79" s="1"/>
  <c r="O111" i="78" s="1"/>
  <c r="L73" i="35"/>
  <c r="L76" i="35" s="1"/>
  <c r="M74" i="31"/>
  <c r="M77" i="31" s="1"/>
  <c r="D73" i="35"/>
  <c r="D76" i="35" s="1"/>
  <c r="H111" i="50"/>
  <c r="I70" i="79" s="1"/>
  <c r="J111" i="78" s="1"/>
  <c r="E73" i="35"/>
  <c r="E76" i="35" s="1"/>
  <c r="F73" i="35"/>
  <c r="F76" i="35" s="1"/>
  <c r="J73" i="35"/>
  <c r="J76" i="35" s="1"/>
  <c r="D73" i="34"/>
  <c r="D76" i="34" s="1"/>
  <c r="I73" i="34"/>
  <c r="I76" i="34" s="1"/>
  <c r="C73" i="34"/>
  <c r="C76" i="34" s="1"/>
  <c r="N73" i="34"/>
  <c r="N76" i="34" s="1"/>
  <c r="E73" i="34"/>
  <c r="E76" i="34" s="1"/>
  <c r="M73" i="34"/>
  <c r="M76" i="34" s="1"/>
  <c r="H73" i="34"/>
  <c r="H76" i="34" s="1"/>
  <c r="J73" i="34"/>
  <c r="J76" i="34" s="1"/>
  <c r="K73" i="34"/>
  <c r="K76" i="34" s="1"/>
  <c r="L73" i="34"/>
  <c r="L76" i="34" s="1"/>
  <c r="G73" i="34"/>
  <c r="G76" i="34" s="1"/>
  <c r="F73" i="34"/>
  <c r="F76" i="34" s="1"/>
  <c r="I73" i="33"/>
  <c r="I76" i="33" s="1"/>
  <c r="D73" i="33"/>
  <c r="D76" i="33" s="1"/>
  <c r="L73" i="33"/>
  <c r="L76" i="33" s="1"/>
  <c r="C74" i="31"/>
  <c r="C77" i="31" s="1"/>
  <c r="N73" i="33"/>
  <c r="N76" i="33" s="1"/>
  <c r="C73" i="33"/>
  <c r="C76" i="33" s="1"/>
  <c r="H73" i="33"/>
  <c r="H76" i="33" s="1"/>
  <c r="K73" i="33"/>
  <c r="K76" i="33" s="1"/>
  <c r="G73" i="33"/>
  <c r="G76" i="33" s="1"/>
  <c r="F73" i="33"/>
  <c r="F76" i="33" s="1"/>
  <c r="J73" i="33"/>
  <c r="J76" i="33" s="1"/>
  <c r="M73" i="33"/>
  <c r="M76" i="33" s="1"/>
  <c r="E73" i="33"/>
  <c r="E76" i="33" s="1"/>
  <c r="D74" i="32"/>
  <c r="D76" i="32"/>
  <c r="C107" i="59"/>
  <c r="D50" i="79" s="1"/>
  <c r="E44" i="78" s="1"/>
  <c r="L76" i="32"/>
  <c r="L74" i="32"/>
  <c r="K107" i="59"/>
  <c r="L50" i="79" s="1"/>
  <c r="M44" i="78" s="1"/>
  <c r="C74" i="32"/>
  <c r="C76" i="32"/>
  <c r="B107" i="59"/>
  <c r="P73" i="32"/>
  <c r="L73" i="26"/>
  <c r="L76" i="26" s="1"/>
  <c r="E76" i="32"/>
  <c r="E74" i="32"/>
  <c r="D107" i="59"/>
  <c r="E50" i="79" s="1"/>
  <c r="F44" i="78" s="1"/>
  <c r="K76" i="32"/>
  <c r="K74" i="32"/>
  <c r="J107" i="59"/>
  <c r="K50" i="79" s="1"/>
  <c r="L44" i="78" s="1"/>
  <c r="I76" i="32"/>
  <c r="I74" i="32"/>
  <c r="H107" i="59"/>
  <c r="I50" i="79" s="1"/>
  <c r="J44" i="78" s="1"/>
  <c r="H76" i="32"/>
  <c r="H74" i="32"/>
  <c r="G107" i="59"/>
  <c r="H50" i="79" s="1"/>
  <c r="I44" i="78" s="1"/>
  <c r="J76" i="32"/>
  <c r="J74" i="32"/>
  <c r="I107" i="59"/>
  <c r="J50" i="79" s="1"/>
  <c r="K44" i="78" s="1"/>
  <c r="G76" i="32"/>
  <c r="G74" i="32"/>
  <c r="F107" i="59"/>
  <c r="G50" i="79" s="1"/>
  <c r="H44" i="78" s="1"/>
  <c r="M76" i="32"/>
  <c r="M74" i="32"/>
  <c r="L107" i="59"/>
  <c r="M50" i="79" s="1"/>
  <c r="N44" i="78" s="1"/>
  <c r="F76" i="32"/>
  <c r="F74" i="32"/>
  <c r="E107" i="59"/>
  <c r="F50" i="79" s="1"/>
  <c r="G44" i="78" s="1"/>
  <c r="D43" i="78"/>
  <c r="R51" i="79"/>
  <c r="N76" i="32"/>
  <c r="N74" i="32"/>
  <c r="M107" i="59"/>
  <c r="N50" i="79" s="1"/>
  <c r="O44" i="78" s="1"/>
  <c r="D75" i="26"/>
  <c r="D73" i="26"/>
  <c r="H76" i="26"/>
  <c r="G105" i="50"/>
  <c r="H28" i="79" s="1"/>
  <c r="I27" i="78" s="1"/>
  <c r="G76" i="25"/>
  <c r="F104" i="50"/>
  <c r="G21" i="79" s="1"/>
  <c r="H21" i="78" s="1"/>
  <c r="I76" i="25"/>
  <c r="H104" i="50"/>
  <c r="I21" i="79" s="1"/>
  <c r="J21" i="78" s="1"/>
  <c r="H76" i="25"/>
  <c r="G104" i="50"/>
  <c r="H21" i="79" s="1"/>
  <c r="I21" i="78" s="1"/>
  <c r="G75" i="26"/>
  <c r="G73" i="26"/>
  <c r="M107" i="50"/>
  <c r="N42" i="79" s="1"/>
  <c r="O39" i="78" s="1"/>
  <c r="E74" i="31"/>
  <c r="E77" i="31" s="1"/>
  <c r="F74" i="31"/>
  <c r="F77" i="31" s="1"/>
  <c r="J74" i="31"/>
  <c r="J77" i="31" s="1"/>
  <c r="B103" i="50"/>
  <c r="M76" i="25"/>
  <c r="L104" i="50"/>
  <c r="M21" i="79" s="1"/>
  <c r="N21" i="78" s="1"/>
  <c r="E76" i="25"/>
  <c r="D104" i="50"/>
  <c r="E21" i="79" s="1"/>
  <c r="F21" i="78" s="1"/>
  <c r="N76" i="25"/>
  <c r="M104" i="50"/>
  <c r="N21" i="79" s="1"/>
  <c r="O21" i="78" s="1"/>
  <c r="J76" i="25"/>
  <c r="I104" i="50"/>
  <c r="J21" i="79" s="1"/>
  <c r="K21" i="78" s="1"/>
  <c r="D76" i="25"/>
  <c r="C104" i="50"/>
  <c r="D21" i="79" s="1"/>
  <c r="E21" i="78" s="1"/>
  <c r="M75" i="26"/>
  <c r="M73" i="26"/>
  <c r="C75" i="26"/>
  <c r="C73" i="26"/>
  <c r="D74" i="31"/>
  <c r="D77" i="31" s="1"/>
  <c r="K76" i="26"/>
  <c r="J105" i="50"/>
  <c r="K28" i="79" s="1"/>
  <c r="L27" i="78" s="1"/>
  <c r="L74" i="31"/>
  <c r="L77" i="31" s="1"/>
  <c r="I76" i="26"/>
  <c r="H105" i="50"/>
  <c r="I28" i="79" s="1"/>
  <c r="J27" i="78" s="1"/>
  <c r="E76" i="26"/>
  <c r="D105" i="50"/>
  <c r="E28" i="79" s="1"/>
  <c r="F27" i="78" s="1"/>
  <c r="N76" i="26"/>
  <c r="M105" i="50"/>
  <c r="N28" i="79" s="1"/>
  <c r="O27" i="78" s="1"/>
  <c r="F76" i="25"/>
  <c r="E104" i="50"/>
  <c r="F21" i="79" s="1"/>
  <c r="G21" i="78" s="1"/>
  <c r="K76" i="25"/>
  <c r="J104" i="50"/>
  <c r="K21" i="79" s="1"/>
  <c r="L21" i="78" s="1"/>
  <c r="L76" i="25"/>
  <c r="K104" i="50"/>
  <c r="L21" i="79" s="1"/>
  <c r="M21" i="78" s="1"/>
  <c r="F106" i="50"/>
  <c r="G35" i="79" s="1"/>
  <c r="H33" i="78" s="1"/>
  <c r="F75" i="26"/>
  <c r="F73" i="26"/>
  <c r="J75" i="26"/>
  <c r="J73" i="26"/>
  <c r="I76" i="30"/>
  <c r="H105" i="59"/>
  <c r="I36" i="79" s="1"/>
  <c r="J32" i="78" s="1"/>
  <c r="G76" i="30"/>
  <c r="F105" i="59"/>
  <c r="G36" i="79" s="1"/>
  <c r="H32" i="78" s="1"/>
  <c r="J76" i="30"/>
  <c r="I105" i="59"/>
  <c r="J36" i="79" s="1"/>
  <c r="K32" i="78" s="1"/>
  <c r="D76" i="30"/>
  <c r="C105" i="59"/>
  <c r="D36" i="79" s="1"/>
  <c r="E32" i="78" s="1"/>
  <c r="M76" i="30"/>
  <c r="L105" i="59"/>
  <c r="M36" i="79" s="1"/>
  <c r="N32" i="78" s="1"/>
  <c r="B105" i="59"/>
  <c r="P73" i="30"/>
  <c r="L76" i="30"/>
  <c r="K105" i="59"/>
  <c r="L36" i="79" s="1"/>
  <c r="M32" i="78" s="1"/>
  <c r="F76" i="30"/>
  <c r="E105" i="59"/>
  <c r="F36" i="79" s="1"/>
  <c r="G32" i="78" s="1"/>
  <c r="E76" i="30"/>
  <c r="D105" i="59"/>
  <c r="E36" i="79" s="1"/>
  <c r="F32" i="78" s="1"/>
  <c r="K76" i="30"/>
  <c r="J105" i="59"/>
  <c r="K36" i="79" s="1"/>
  <c r="L32" i="78" s="1"/>
  <c r="H76" i="30"/>
  <c r="G105" i="59"/>
  <c r="H36" i="79" s="1"/>
  <c r="I32" i="78" s="1"/>
  <c r="N76" i="30"/>
  <c r="M105" i="59"/>
  <c r="N36" i="79" s="1"/>
  <c r="O32" i="78" s="1"/>
  <c r="H112" i="59"/>
  <c r="I85" i="79" s="1"/>
  <c r="J62" i="78" s="1"/>
  <c r="K105" i="60"/>
  <c r="L37" i="79" s="1"/>
  <c r="M31" i="78" s="1"/>
  <c r="J105" i="60"/>
  <c r="K37" i="79" s="1"/>
  <c r="L31" i="78" s="1"/>
  <c r="M105" i="60"/>
  <c r="N37" i="79" s="1"/>
  <c r="O31" i="78" s="1"/>
  <c r="I35" i="79"/>
  <c r="J33" i="78" s="1"/>
  <c r="I105" i="60"/>
  <c r="J37" i="79" s="1"/>
  <c r="K31" i="78" s="1"/>
  <c r="K106" i="50"/>
  <c r="J106" i="50"/>
  <c r="M106" i="50"/>
  <c r="I106" i="50"/>
  <c r="E105" i="60"/>
  <c r="F37" i="79" s="1"/>
  <c r="G31" i="78" s="1"/>
  <c r="L105" i="60"/>
  <c r="M37" i="79" s="1"/>
  <c r="N31" i="78" s="1"/>
  <c r="C105" i="60"/>
  <c r="D37" i="79" s="1"/>
  <c r="E31" i="78" s="1"/>
  <c r="D105" i="60"/>
  <c r="E37" i="79" s="1"/>
  <c r="F31" i="78" s="1"/>
  <c r="G105" i="60"/>
  <c r="H37" i="79" s="1"/>
  <c r="I31" i="78" s="1"/>
  <c r="B105" i="60"/>
  <c r="C37" i="79" s="1"/>
  <c r="P72" i="30"/>
  <c r="E106" i="50"/>
  <c r="L106" i="50"/>
  <c r="C106" i="50"/>
  <c r="D106" i="50"/>
  <c r="G106" i="50"/>
  <c r="B106" i="50"/>
  <c r="P74" i="30"/>
  <c r="C112" i="59"/>
  <c r="D85" i="79" s="1"/>
  <c r="E62" i="78" s="1"/>
  <c r="L112" i="59"/>
  <c r="M85" i="79" s="1"/>
  <c r="N62" i="78" s="1"/>
  <c r="G112" i="59"/>
  <c r="H85" i="79" s="1"/>
  <c r="I62" i="78" s="1"/>
  <c r="E112" i="59"/>
  <c r="F85" i="79" s="1"/>
  <c r="G62" i="78" s="1"/>
  <c r="J112" i="59"/>
  <c r="K85" i="79" s="1"/>
  <c r="L62" i="78" s="1"/>
  <c r="M112" i="59"/>
  <c r="N85" i="79" s="1"/>
  <c r="O62" i="78" s="1"/>
  <c r="K112" i="59"/>
  <c r="L85" i="79" s="1"/>
  <c r="M62" i="78" s="1"/>
  <c r="I112" i="59"/>
  <c r="J85" i="79" s="1"/>
  <c r="K62" i="78" s="1"/>
  <c r="H104" i="59"/>
  <c r="I29" i="79" s="1"/>
  <c r="J26" i="78" s="1"/>
  <c r="G115" i="59"/>
  <c r="H106" i="79" s="1"/>
  <c r="I80" i="78" s="1"/>
  <c r="G114" i="59"/>
  <c r="H99" i="79" s="1"/>
  <c r="I74" i="78" s="1"/>
  <c r="M118" i="59"/>
  <c r="N127" i="79" s="1"/>
  <c r="O98" i="78" s="1"/>
  <c r="J103" i="59"/>
  <c r="K22" i="79" s="1"/>
  <c r="L20" i="78" s="1"/>
  <c r="K75" i="25"/>
  <c r="J118" i="59"/>
  <c r="K127" i="79" s="1"/>
  <c r="L98" i="78" s="1"/>
  <c r="K110" i="59"/>
  <c r="L71" i="79" s="1"/>
  <c r="M110" i="78" s="1"/>
  <c r="H115" i="59"/>
  <c r="I106" i="79" s="1"/>
  <c r="J80" i="78" s="1"/>
  <c r="I109" i="59"/>
  <c r="J64" i="79" s="1"/>
  <c r="K104" i="78" s="1"/>
  <c r="L108" i="59"/>
  <c r="M57" i="79" s="1"/>
  <c r="N50" i="78" s="1"/>
  <c r="G110" i="59"/>
  <c r="H71" i="79" s="1"/>
  <c r="I110" i="78" s="1"/>
  <c r="K111" i="59"/>
  <c r="L78" i="79" s="1"/>
  <c r="M56" i="78" s="1"/>
  <c r="K103" i="59"/>
  <c r="L22" i="79" s="1"/>
  <c r="M20" i="78" s="1"/>
  <c r="L75" i="25"/>
  <c r="I117" i="59"/>
  <c r="J120" i="79" s="1"/>
  <c r="K92" i="78" s="1"/>
  <c r="L115" i="59"/>
  <c r="M106" i="79" s="1"/>
  <c r="N80" i="78" s="1"/>
  <c r="L113" i="59"/>
  <c r="M92" i="79" s="1"/>
  <c r="N68" i="78" s="1"/>
  <c r="G104" i="59"/>
  <c r="H29" i="79" s="1"/>
  <c r="I26" i="78" s="1"/>
  <c r="M114" i="59"/>
  <c r="N99" i="79" s="1"/>
  <c r="O74" i="78" s="1"/>
  <c r="J113" i="59"/>
  <c r="K92" i="79" s="1"/>
  <c r="L68" i="78" s="1"/>
  <c r="K109" i="59"/>
  <c r="L64" i="79" s="1"/>
  <c r="M104" i="78" s="1"/>
  <c r="I114" i="59"/>
  <c r="J99" i="79" s="1"/>
  <c r="K74" i="78" s="1"/>
  <c r="G108" i="59"/>
  <c r="H57" i="79" s="1"/>
  <c r="I50" i="78" s="1"/>
  <c r="M111" i="59"/>
  <c r="N78" i="79" s="1"/>
  <c r="O56" i="78" s="1"/>
  <c r="J109" i="59"/>
  <c r="K64" i="79" s="1"/>
  <c r="L104" i="78" s="1"/>
  <c r="K114" i="59"/>
  <c r="L99" i="79" s="1"/>
  <c r="M74" i="78" s="1"/>
  <c r="I113" i="59"/>
  <c r="J92" i="79" s="1"/>
  <c r="K68" i="78" s="1"/>
  <c r="L118" i="59"/>
  <c r="M127" i="79" s="1"/>
  <c r="N98" i="78" s="1"/>
  <c r="L110" i="59"/>
  <c r="M71" i="79" s="1"/>
  <c r="N110" i="78" s="1"/>
  <c r="I111" i="59"/>
  <c r="J78" i="79" s="1"/>
  <c r="K56" i="78" s="1"/>
  <c r="L109" i="59"/>
  <c r="M64" i="79" s="1"/>
  <c r="N104" i="78" s="1"/>
  <c r="J108" i="59"/>
  <c r="K57" i="79" s="1"/>
  <c r="L50" i="78" s="1"/>
  <c r="K117" i="59"/>
  <c r="L120" i="79" s="1"/>
  <c r="M92" i="78" s="1"/>
  <c r="I115" i="59"/>
  <c r="J106" i="79" s="1"/>
  <c r="K80" i="78" s="1"/>
  <c r="G111" i="59"/>
  <c r="H78" i="79" s="1"/>
  <c r="I56" i="78" s="1"/>
  <c r="K115" i="59"/>
  <c r="L106" i="79" s="1"/>
  <c r="M80" i="78" s="1"/>
  <c r="I108" i="59"/>
  <c r="J57" i="79" s="1"/>
  <c r="K50" i="78" s="1"/>
  <c r="L117" i="59"/>
  <c r="M120" i="79" s="1"/>
  <c r="N92" i="78" s="1"/>
  <c r="M117" i="59"/>
  <c r="N120" i="79" s="1"/>
  <c r="O92" i="78" s="1"/>
  <c r="J110" i="59"/>
  <c r="K71" i="79" s="1"/>
  <c r="L110" i="78" s="1"/>
  <c r="L104" i="59"/>
  <c r="M29" i="79" s="1"/>
  <c r="N26" i="78" s="1"/>
  <c r="G117" i="59"/>
  <c r="H120" i="79" s="1"/>
  <c r="I92" i="78" s="1"/>
  <c r="J116" i="59"/>
  <c r="K113" i="79" s="1"/>
  <c r="L86" i="78" s="1"/>
  <c r="L116" i="59"/>
  <c r="M113" i="79" s="1"/>
  <c r="N86" i="78" s="1"/>
  <c r="G116" i="59"/>
  <c r="H113" i="79" s="1"/>
  <c r="I86" i="78" s="1"/>
  <c r="G109" i="59"/>
  <c r="H64" i="79" s="1"/>
  <c r="I104" i="78" s="1"/>
  <c r="G113" i="59"/>
  <c r="H92" i="79" s="1"/>
  <c r="I68" i="78" s="1"/>
  <c r="M108" i="59"/>
  <c r="N57" i="79" s="1"/>
  <c r="O50" i="78" s="1"/>
  <c r="M110" i="59"/>
  <c r="N71" i="79" s="1"/>
  <c r="O110" i="78" s="1"/>
  <c r="K113" i="59"/>
  <c r="L92" i="79" s="1"/>
  <c r="M68" i="78" s="1"/>
  <c r="I104" i="59"/>
  <c r="J29" i="79" s="1"/>
  <c r="K26" i="78" s="1"/>
  <c r="H109" i="59"/>
  <c r="I64" i="79" s="1"/>
  <c r="J104" i="78" s="1"/>
  <c r="I110" i="59"/>
  <c r="J71" i="79" s="1"/>
  <c r="K110" i="78" s="1"/>
  <c r="H108" i="59"/>
  <c r="I57" i="79" s="1"/>
  <c r="J50" i="78" s="1"/>
  <c r="M115" i="59"/>
  <c r="N106" i="79" s="1"/>
  <c r="O80" i="78" s="1"/>
  <c r="J104" i="59"/>
  <c r="K29" i="79" s="1"/>
  <c r="L26" i="78" s="1"/>
  <c r="I118" i="59"/>
  <c r="J127" i="79" s="1"/>
  <c r="K98" i="78" s="1"/>
  <c r="L111" i="59"/>
  <c r="M78" i="79" s="1"/>
  <c r="N56" i="78" s="1"/>
  <c r="H103" i="59"/>
  <c r="I22" i="79" s="1"/>
  <c r="J20" i="78" s="1"/>
  <c r="I75" i="25"/>
  <c r="H118" i="59"/>
  <c r="I127" i="79" s="1"/>
  <c r="J98" i="78" s="1"/>
  <c r="M104" i="59"/>
  <c r="N29" i="79" s="1"/>
  <c r="O26" i="78" s="1"/>
  <c r="M103" i="59"/>
  <c r="N22" i="79" s="1"/>
  <c r="O20" i="78" s="1"/>
  <c r="N75" i="25"/>
  <c r="J117" i="59"/>
  <c r="K120" i="79" s="1"/>
  <c r="L92" i="78" s="1"/>
  <c r="J115" i="59"/>
  <c r="K106" i="79" s="1"/>
  <c r="L80" i="78" s="1"/>
  <c r="K118" i="59"/>
  <c r="L127" i="79" s="1"/>
  <c r="M98" i="78" s="1"/>
  <c r="K108" i="59"/>
  <c r="L57" i="79" s="1"/>
  <c r="M50" i="78" s="1"/>
  <c r="H110" i="59"/>
  <c r="I71" i="79" s="1"/>
  <c r="J110" i="78" s="1"/>
  <c r="G103" i="59"/>
  <c r="H22" i="79" s="1"/>
  <c r="I20" i="78" s="1"/>
  <c r="H75" i="25"/>
  <c r="L114" i="59"/>
  <c r="M99" i="79" s="1"/>
  <c r="N74" i="78" s="1"/>
  <c r="H114" i="59"/>
  <c r="I99" i="79" s="1"/>
  <c r="J74" i="78" s="1"/>
  <c r="H117" i="59"/>
  <c r="I120" i="79" s="1"/>
  <c r="J92" i="78" s="1"/>
  <c r="L103" i="59"/>
  <c r="M22" i="79" s="1"/>
  <c r="N20" i="78" s="1"/>
  <c r="M75" i="25"/>
  <c r="M113" i="59"/>
  <c r="N92" i="79" s="1"/>
  <c r="O68" i="78" s="1"/>
  <c r="J111" i="59"/>
  <c r="K78" i="79" s="1"/>
  <c r="L56" i="78" s="1"/>
  <c r="J114" i="59"/>
  <c r="K99" i="79" s="1"/>
  <c r="L74" i="78" s="1"/>
  <c r="H113" i="59"/>
  <c r="I92" i="79" s="1"/>
  <c r="J68" i="78" s="1"/>
  <c r="K104" i="59"/>
  <c r="L29" i="79" s="1"/>
  <c r="M26" i="78" s="1"/>
  <c r="I103" i="59"/>
  <c r="J22" i="79" s="1"/>
  <c r="K20" i="78" s="1"/>
  <c r="J75" i="25"/>
  <c r="H111" i="59"/>
  <c r="I78" i="79" s="1"/>
  <c r="J56" i="78" s="1"/>
  <c r="G118" i="59"/>
  <c r="H127" i="79" s="1"/>
  <c r="I98" i="78" s="1"/>
  <c r="M109" i="59"/>
  <c r="N64" i="79" s="1"/>
  <c r="O104" i="78" s="1"/>
  <c r="K116" i="59"/>
  <c r="L113" i="79" s="1"/>
  <c r="M86" i="78" s="1"/>
  <c r="M116" i="59"/>
  <c r="N113" i="79" s="1"/>
  <c r="O86" i="78" s="1"/>
  <c r="H116" i="59"/>
  <c r="I113" i="79" s="1"/>
  <c r="J86" i="78" s="1"/>
  <c r="D113" i="59"/>
  <c r="E92" i="79" s="1"/>
  <c r="F68" i="78" s="1"/>
  <c r="C118" i="59"/>
  <c r="D127" i="79" s="1"/>
  <c r="E98" i="78" s="1"/>
  <c r="E117" i="59"/>
  <c r="F120" i="79" s="1"/>
  <c r="G92" i="78" s="1"/>
  <c r="E114" i="59"/>
  <c r="F99" i="79" s="1"/>
  <c r="G74" i="78" s="1"/>
  <c r="F111" i="59"/>
  <c r="G78" i="79" s="1"/>
  <c r="H56" i="78" s="1"/>
  <c r="D115" i="59"/>
  <c r="E106" i="79" s="1"/>
  <c r="F80" i="78" s="1"/>
  <c r="E110" i="59"/>
  <c r="F71" i="79" s="1"/>
  <c r="G110" i="78" s="1"/>
  <c r="D114" i="59"/>
  <c r="E99" i="79" s="1"/>
  <c r="F74" i="78" s="1"/>
  <c r="C103" i="59"/>
  <c r="D22" i="79" s="1"/>
  <c r="E20" i="78" s="1"/>
  <c r="D75" i="25"/>
  <c r="E109" i="59"/>
  <c r="F64" i="79" s="1"/>
  <c r="G104" i="78" s="1"/>
  <c r="E103" i="59"/>
  <c r="F22" i="79" s="1"/>
  <c r="G20" i="78" s="1"/>
  <c r="F75" i="25"/>
  <c r="D110" i="59"/>
  <c r="E71" i="79" s="1"/>
  <c r="F110" i="78" s="1"/>
  <c r="F114" i="59"/>
  <c r="G99" i="79" s="1"/>
  <c r="H74" i="78" s="1"/>
  <c r="F113" i="59"/>
  <c r="G92" i="79" s="1"/>
  <c r="H68" i="78" s="1"/>
  <c r="D111" i="59"/>
  <c r="E78" i="79" s="1"/>
  <c r="F56" i="78" s="1"/>
  <c r="C117" i="59"/>
  <c r="D120" i="79" s="1"/>
  <c r="E92" i="78" s="1"/>
  <c r="D112" i="59"/>
  <c r="E85" i="79" s="1"/>
  <c r="F62" i="78" s="1"/>
  <c r="F103" i="59"/>
  <c r="G22" i="79" s="1"/>
  <c r="H20" i="78" s="1"/>
  <c r="G75" i="25"/>
  <c r="E104" i="59"/>
  <c r="F29" i="79" s="1"/>
  <c r="G26" i="78" s="1"/>
  <c r="D109" i="59"/>
  <c r="E64" i="79" s="1"/>
  <c r="F104" i="78" s="1"/>
  <c r="F115" i="59"/>
  <c r="G106" i="79" s="1"/>
  <c r="H80" i="78" s="1"/>
  <c r="C108" i="59"/>
  <c r="D57" i="79" s="1"/>
  <c r="E50" i="78" s="1"/>
  <c r="F117" i="59"/>
  <c r="G120" i="79" s="1"/>
  <c r="H92" i="78" s="1"/>
  <c r="C115" i="59"/>
  <c r="D106" i="79" s="1"/>
  <c r="E80" i="78" s="1"/>
  <c r="F116" i="59"/>
  <c r="G113" i="79" s="1"/>
  <c r="H86" i="78" s="1"/>
  <c r="C110" i="59"/>
  <c r="D71" i="79" s="1"/>
  <c r="E110" i="78" s="1"/>
  <c r="C104" i="59"/>
  <c r="D29" i="79" s="1"/>
  <c r="E26" i="78" s="1"/>
  <c r="D118" i="59"/>
  <c r="E127" i="79" s="1"/>
  <c r="F98" i="78" s="1"/>
  <c r="D103" i="59"/>
  <c r="E22" i="79" s="1"/>
  <c r="F20" i="78" s="1"/>
  <c r="E75" i="25"/>
  <c r="F110" i="59"/>
  <c r="G71" i="79" s="1"/>
  <c r="H110" i="78" s="1"/>
  <c r="E111" i="59"/>
  <c r="F78" i="79" s="1"/>
  <c r="G56" i="78" s="1"/>
  <c r="E113" i="59"/>
  <c r="F92" i="79" s="1"/>
  <c r="G68" i="78" s="1"/>
  <c r="C113" i="59"/>
  <c r="D92" i="79" s="1"/>
  <c r="E68" i="78" s="1"/>
  <c r="D108" i="59"/>
  <c r="E57" i="79" s="1"/>
  <c r="F50" i="78" s="1"/>
  <c r="D117" i="59"/>
  <c r="E120" i="79" s="1"/>
  <c r="F92" i="78" s="1"/>
  <c r="F104" i="59"/>
  <c r="G29" i="79" s="1"/>
  <c r="H26" i="78" s="1"/>
  <c r="E115" i="59"/>
  <c r="F106" i="79" s="1"/>
  <c r="G80" i="78" s="1"/>
  <c r="C111" i="59"/>
  <c r="D78" i="79" s="1"/>
  <c r="E56" i="78" s="1"/>
  <c r="E118" i="59"/>
  <c r="F127" i="79" s="1"/>
  <c r="G98" i="78" s="1"/>
  <c r="C109" i="59"/>
  <c r="D64" i="79" s="1"/>
  <c r="E104" i="78" s="1"/>
  <c r="E108" i="59"/>
  <c r="F57" i="79" s="1"/>
  <c r="G50" i="78" s="1"/>
  <c r="D104" i="59"/>
  <c r="E29" i="79" s="1"/>
  <c r="F26" i="78" s="1"/>
  <c r="F109" i="59"/>
  <c r="G64" i="79" s="1"/>
  <c r="H104" i="78" s="1"/>
  <c r="F118" i="59"/>
  <c r="G127" i="79" s="1"/>
  <c r="H98" i="78" s="1"/>
  <c r="C114" i="59"/>
  <c r="D99" i="79" s="1"/>
  <c r="E74" i="78" s="1"/>
  <c r="F112" i="59"/>
  <c r="G85" i="79" s="1"/>
  <c r="H62" i="78" s="1"/>
  <c r="F108" i="59"/>
  <c r="G57" i="79" s="1"/>
  <c r="H50" i="78" s="1"/>
  <c r="C116" i="59"/>
  <c r="D113" i="79" s="1"/>
  <c r="E86" i="78" s="1"/>
  <c r="D116" i="59"/>
  <c r="E113" i="79" s="1"/>
  <c r="F86" i="78" s="1"/>
  <c r="B116" i="59"/>
  <c r="C113" i="79" s="1"/>
  <c r="D86" i="78" s="1"/>
  <c r="D55" i="78"/>
  <c r="R79" i="79"/>
  <c r="D79" i="78"/>
  <c r="R107" i="79"/>
  <c r="B104" i="59"/>
  <c r="P72" i="26"/>
  <c r="D109" i="78"/>
  <c r="R72" i="79"/>
  <c r="B114" i="59"/>
  <c r="P72" i="42"/>
  <c r="B115" i="59"/>
  <c r="P72" i="46"/>
  <c r="D67" i="78"/>
  <c r="R93" i="79"/>
  <c r="B110" i="59"/>
  <c r="P72" i="35"/>
  <c r="B102" i="59"/>
  <c r="C15" i="79" s="1"/>
  <c r="D14" i="78" s="1"/>
  <c r="D49" i="78"/>
  <c r="R58" i="79"/>
  <c r="B109" i="59"/>
  <c r="P72" i="34"/>
  <c r="B113" i="59"/>
  <c r="P72" i="41"/>
  <c r="E116" i="59"/>
  <c r="D97" i="78"/>
  <c r="R128" i="79"/>
  <c r="B117" i="59"/>
  <c r="P72" i="48"/>
  <c r="B103" i="59"/>
  <c r="P72" i="25"/>
  <c r="D73" i="78"/>
  <c r="R100" i="79"/>
  <c r="B112" i="59"/>
  <c r="P72" i="40"/>
  <c r="B118" i="59"/>
  <c r="P72" i="49"/>
  <c r="B111" i="59"/>
  <c r="P72" i="39"/>
  <c r="D103" i="78"/>
  <c r="R65" i="79"/>
  <c r="D91" i="78"/>
  <c r="R121" i="79"/>
  <c r="D19" i="78"/>
  <c r="R23" i="79"/>
  <c r="D61" i="78"/>
  <c r="R86" i="79"/>
  <c r="B108" i="59"/>
  <c r="P72" i="33"/>
  <c r="D25" i="78"/>
  <c r="R30" i="79"/>
  <c r="F58" i="26"/>
  <c r="E14" i="60" s="1"/>
  <c r="F13" i="59"/>
  <c r="G22" i="70" s="1"/>
  <c r="H20" i="66" s="1"/>
  <c r="I58" i="25"/>
  <c r="H13" i="60" s="1"/>
  <c r="I23" i="70" s="1"/>
  <c r="J19" i="66" s="1"/>
  <c r="G58" i="25"/>
  <c r="F13" i="60" s="1"/>
  <c r="G23" i="70" s="1"/>
  <c r="H19" i="66" s="1"/>
  <c r="F58" i="47"/>
  <c r="E26" i="60" s="1"/>
  <c r="F114" i="70" s="1"/>
  <c r="G85" i="66" s="1"/>
  <c r="F26" i="59"/>
  <c r="G113" i="70" s="1"/>
  <c r="H86" i="66" s="1"/>
  <c r="B26" i="59"/>
  <c r="C113" i="70" s="1"/>
  <c r="D86" i="66" s="1"/>
  <c r="L58" i="47"/>
  <c r="K26" i="60" s="1"/>
  <c r="L114" i="70" s="1"/>
  <c r="M85" i="66" s="1"/>
  <c r="L25" i="59"/>
  <c r="M106" i="70" s="1"/>
  <c r="N80" i="66" s="1"/>
  <c r="F25" i="59"/>
  <c r="G106" i="70" s="1"/>
  <c r="H80" i="66" s="1"/>
  <c r="J58" i="42"/>
  <c r="I24" i="60" s="1"/>
  <c r="J100" i="70" s="1"/>
  <c r="K73" i="66" s="1"/>
  <c r="I58" i="42"/>
  <c r="H24" i="60" s="1"/>
  <c r="I100" i="70" s="1"/>
  <c r="J73" i="66" s="1"/>
  <c r="E24" i="59"/>
  <c r="F99" i="70" s="1"/>
  <c r="G74" i="66" s="1"/>
  <c r="F24" i="59"/>
  <c r="G99" i="70" s="1"/>
  <c r="H74" i="66" s="1"/>
  <c r="M58" i="42"/>
  <c r="L24" i="60" s="1"/>
  <c r="M100" i="70" s="1"/>
  <c r="N73" i="66" s="1"/>
  <c r="B24" i="59"/>
  <c r="C99" i="70" s="1"/>
  <c r="D74" i="66" s="1"/>
  <c r="K24" i="59"/>
  <c r="L99" i="70" s="1"/>
  <c r="M74" i="66" s="1"/>
  <c r="J24" i="59"/>
  <c r="K99" i="70" s="1"/>
  <c r="L74" i="66" s="1"/>
  <c r="G58" i="41"/>
  <c r="F23" i="60" s="1"/>
  <c r="G93" i="70" s="1"/>
  <c r="H67" i="66" s="1"/>
  <c r="N58" i="41"/>
  <c r="M23" i="60" s="1"/>
  <c r="N93" i="70" s="1"/>
  <c r="O67" i="66" s="1"/>
  <c r="J23" i="59"/>
  <c r="K92" i="70" s="1"/>
  <c r="L68" i="66" s="1"/>
  <c r="E23" i="59"/>
  <c r="F92" i="70" s="1"/>
  <c r="G68" i="66" s="1"/>
  <c r="C58" i="41"/>
  <c r="B23" i="60" s="1"/>
  <c r="C93" i="70" s="1"/>
  <c r="D67" i="66" s="1"/>
  <c r="F22" i="60"/>
  <c r="G86" i="70" s="1"/>
  <c r="H61" i="66" s="1"/>
  <c r="D22" i="59"/>
  <c r="E85" i="70" s="1"/>
  <c r="F62" i="66" s="1"/>
  <c r="L21" i="59"/>
  <c r="M78" i="70" s="1"/>
  <c r="N56" i="66" s="1"/>
  <c r="B21" i="59"/>
  <c r="C78" i="70" s="1"/>
  <c r="D56" i="66" s="1"/>
  <c r="E58" i="39"/>
  <c r="D21" i="60" s="1"/>
  <c r="E79" i="70" s="1"/>
  <c r="F55" i="66" s="1"/>
  <c r="L19" i="59"/>
  <c r="M64" i="70" s="1"/>
  <c r="N104" i="66" s="1"/>
  <c r="H19" i="59"/>
  <c r="I64" i="70" s="1"/>
  <c r="J104" i="66" s="1"/>
  <c r="L58" i="34"/>
  <c r="K19" i="60" s="1"/>
  <c r="L65" i="70" s="1"/>
  <c r="M103" i="66" s="1"/>
  <c r="D19" i="59"/>
  <c r="E64" i="70" s="1"/>
  <c r="F104" i="66" s="1"/>
  <c r="I19" i="59"/>
  <c r="J64" i="70" s="1"/>
  <c r="K104" i="66" s="1"/>
  <c r="D53" i="23"/>
  <c r="D54" i="23" s="1"/>
  <c r="D71" i="23" s="1"/>
  <c r="B18" i="59"/>
  <c r="C57" i="70" s="1"/>
  <c r="D50" i="66" s="1"/>
  <c r="G18" i="59"/>
  <c r="H57" i="70" s="1"/>
  <c r="I50" i="66" s="1"/>
  <c r="I18" i="59"/>
  <c r="J57" i="70" s="1"/>
  <c r="K50" i="66" s="1"/>
  <c r="L18" i="59"/>
  <c r="M57" i="70" s="1"/>
  <c r="N50" i="66" s="1"/>
  <c r="E58" i="33"/>
  <c r="D18" i="60" s="1"/>
  <c r="E58" i="70" s="1"/>
  <c r="F49" i="66" s="1"/>
  <c r="N53" i="23"/>
  <c r="N54" i="23" s="1"/>
  <c r="N71" i="23" s="1"/>
  <c r="C15" i="59"/>
  <c r="D36" i="70" s="1"/>
  <c r="E32" i="66" s="1"/>
  <c r="F15" i="59"/>
  <c r="G36" i="70" s="1"/>
  <c r="H32" i="66" s="1"/>
  <c r="B15" i="59"/>
  <c r="C36" i="70" s="1"/>
  <c r="D32" i="66" s="1"/>
  <c r="J15" i="60"/>
  <c r="K37" i="70" s="1"/>
  <c r="L31" i="66" s="1"/>
  <c r="E15" i="59"/>
  <c r="F36" i="70" s="1"/>
  <c r="G32" i="66" s="1"/>
  <c r="F53" i="23"/>
  <c r="F54" i="23" s="1"/>
  <c r="F71" i="23" s="1"/>
  <c r="E59" i="26"/>
  <c r="E58" i="26" s="1"/>
  <c r="D14" i="60" s="1"/>
  <c r="E30" i="70" s="1"/>
  <c r="F25" i="66" s="1"/>
  <c r="L88" i="26"/>
  <c r="L89" i="26" s="1"/>
  <c r="J88" i="26"/>
  <c r="J89" i="26" s="1"/>
  <c r="G53" i="23"/>
  <c r="G54" i="23" s="1"/>
  <c r="G71" i="23" s="1"/>
  <c r="I59" i="26"/>
  <c r="H14" i="59" s="1"/>
  <c r="K53" i="23"/>
  <c r="K54" i="23" s="1"/>
  <c r="K71" i="23" s="1"/>
  <c r="H59" i="26"/>
  <c r="H58" i="26" s="1"/>
  <c r="G14" i="60" s="1"/>
  <c r="H30" i="70" s="1"/>
  <c r="I25" i="66" s="1"/>
  <c r="C88" i="26"/>
  <c r="C89" i="26" s="1"/>
  <c r="L88" i="25"/>
  <c r="L89" i="25" s="1"/>
  <c r="L13" i="50"/>
  <c r="M21" i="70" s="1"/>
  <c r="N21" i="66" s="1"/>
  <c r="I13" i="50"/>
  <c r="J21" i="70" s="1"/>
  <c r="K21" i="66" s="1"/>
  <c r="M58" i="23"/>
  <c r="L12" i="60" s="1"/>
  <c r="M16" i="70" s="1"/>
  <c r="N13" i="66" s="1"/>
  <c r="C12" i="59"/>
  <c r="D15" i="70" s="1"/>
  <c r="E14" i="66" s="1"/>
  <c r="D58" i="23"/>
  <c r="G12" i="59"/>
  <c r="H15" i="70" s="1"/>
  <c r="I14" i="66" s="1"/>
  <c r="H58" i="23"/>
  <c r="G12" i="60" s="1"/>
  <c r="H16" i="70" s="1"/>
  <c r="I13" i="66" s="1"/>
  <c r="D12" i="59"/>
  <c r="E15" i="70" s="1"/>
  <c r="F14" i="66" s="1"/>
  <c r="E58" i="23"/>
  <c r="D12" i="60" s="1"/>
  <c r="E16" i="70" s="1"/>
  <c r="F13" i="66" s="1"/>
  <c r="E179" i="68"/>
  <c r="L129" i="68"/>
  <c r="C159" i="70"/>
  <c r="D134" i="66" s="1"/>
  <c r="N36" i="59"/>
  <c r="O36" i="59"/>
  <c r="P147" i="68"/>
  <c r="P158" i="70"/>
  <c r="D135" i="66"/>
  <c r="M153" i="68"/>
  <c r="M129" i="68"/>
  <c r="L159" i="68"/>
  <c r="D110" i="66"/>
  <c r="D33" i="66"/>
  <c r="D21" i="66"/>
  <c r="D111" i="66"/>
  <c r="Q219" i="69"/>
  <c r="D51" i="66"/>
  <c r="D62" i="66"/>
  <c r="D87" i="66"/>
  <c r="D63" i="66"/>
  <c r="D39" i="66"/>
  <c r="D75" i="66"/>
  <c r="D45" i="66"/>
  <c r="D57" i="66"/>
  <c r="D38" i="66"/>
  <c r="E203" i="65"/>
  <c r="M49" i="68"/>
  <c r="M141" i="68"/>
  <c r="G137" i="68"/>
  <c r="M67" i="68"/>
  <c r="M37" i="68"/>
  <c r="M19" i="68"/>
  <c r="M79" i="68"/>
  <c r="M55" i="68"/>
  <c r="M165" i="68"/>
  <c r="M31" i="68"/>
  <c r="M61" i="68"/>
  <c r="M25" i="68"/>
  <c r="M159" i="68"/>
  <c r="F198" i="69"/>
  <c r="H185" i="65" s="1"/>
  <c r="D220" i="69"/>
  <c r="F203" i="65" s="1"/>
  <c r="D161" i="79"/>
  <c r="E220" i="69"/>
  <c r="G203" i="65" s="1"/>
  <c r="E161" i="79"/>
  <c r="C161" i="79"/>
  <c r="E198" i="69"/>
  <c r="G185" i="65" s="1"/>
  <c r="M198" i="69"/>
  <c r="O185" i="65" s="1"/>
  <c r="K198" i="69"/>
  <c r="M185" i="65" s="1"/>
  <c r="G198" i="69"/>
  <c r="I185" i="65" s="1"/>
  <c r="J198" i="69"/>
  <c r="L185" i="65" s="1"/>
  <c r="D198" i="69"/>
  <c r="F185" i="65" s="1"/>
  <c r="M73" i="68"/>
  <c r="M97" i="68"/>
  <c r="M109" i="68"/>
  <c r="M13" i="68"/>
  <c r="M91" i="68"/>
  <c r="M123" i="68"/>
  <c r="C198" i="69"/>
  <c r="L198" i="69"/>
  <c r="N185" i="65" s="1"/>
  <c r="M103" i="68"/>
  <c r="M172" i="68"/>
  <c r="M117" i="68"/>
  <c r="M85" i="68"/>
  <c r="M43" i="68"/>
  <c r="M135" i="68"/>
  <c r="B13" i="59"/>
  <c r="C22" i="70" s="1"/>
  <c r="C58" i="25"/>
  <c r="B13" i="60" s="1"/>
  <c r="C23" i="70" s="1"/>
  <c r="D21" i="70"/>
  <c r="E21" i="66" s="1"/>
  <c r="F21" i="70"/>
  <c r="G21" i="66" s="1"/>
  <c r="I21" i="70"/>
  <c r="J21" i="66" s="1"/>
  <c r="G21" i="70"/>
  <c r="H21" i="66" s="1"/>
  <c r="E21" i="70"/>
  <c r="F21" i="66" s="1"/>
  <c r="H21" i="70"/>
  <c r="I21" i="66" s="1"/>
  <c r="N21" i="70"/>
  <c r="O21" i="66" s="1"/>
  <c r="G29" i="70"/>
  <c r="H26" i="66" s="1"/>
  <c r="N28" i="70"/>
  <c r="O27" i="66" s="1"/>
  <c r="D28" i="70"/>
  <c r="E27" i="66" s="1"/>
  <c r="M28" i="70"/>
  <c r="N27" i="66" s="1"/>
  <c r="F28" i="70"/>
  <c r="G27" i="66" s="1"/>
  <c r="F30" i="70"/>
  <c r="G25" i="66" s="1"/>
  <c r="D29" i="70"/>
  <c r="E26" i="66" s="1"/>
  <c r="L165" i="68"/>
  <c r="K28" i="70"/>
  <c r="L27" i="66" s="1"/>
  <c r="N30" i="70"/>
  <c r="O25" i="66" s="1"/>
  <c r="G28" i="70"/>
  <c r="H27" i="66" s="1"/>
  <c r="K29" i="70"/>
  <c r="L26" i="66" s="1"/>
  <c r="L35" i="70"/>
  <c r="M33" i="66" s="1"/>
  <c r="H35" i="70"/>
  <c r="I33" i="66" s="1"/>
  <c r="C15" i="60"/>
  <c r="D37" i="70" s="1"/>
  <c r="E31" i="66" s="1"/>
  <c r="L42" i="70"/>
  <c r="M39" i="66" s="1"/>
  <c r="G43" i="70"/>
  <c r="H38" i="66" s="1"/>
  <c r="K43" i="70"/>
  <c r="L38" i="66" s="1"/>
  <c r="M42" i="70"/>
  <c r="N39" i="66" s="1"/>
  <c r="J43" i="70"/>
  <c r="K38" i="66" s="1"/>
  <c r="N49" i="70"/>
  <c r="O45" i="66" s="1"/>
  <c r="M49" i="70"/>
  <c r="N45" i="66" s="1"/>
  <c r="J49" i="70"/>
  <c r="K45" i="66" s="1"/>
  <c r="G50" i="70"/>
  <c r="H44" i="66" s="1"/>
  <c r="G49" i="70"/>
  <c r="H45" i="66" s="1"/>
  <c r="M50" i="70"/>
  <c r="N44" i="66" s="1"/>
  <c r="K49" i="70"/>
  <c r="L45" i="66" s="1"/>
  <c r="F49" i="70"/>
  <c r="G45" i="66" s="1"/>
  <c r="D49" i="70"/>
  <c r="E45" i="66" s="1"/>
  <c r="J50" i="70"/>
  <c r="K44" i="66" s="1"/>
  <c r="E56" i="70"/>
  <c r="F51" i="66" s="1"/>
  <c r="G57" i="70"/>
  <c r="H50" i="66" s="1"/>
  <c r="J56" i="70"/>
  <c r="K51" i="66" s="1"/>
  <c r="K56" i="70"/>
  <c r="L51" i="66" s="1"/>
  <c r="K57" i="70"/>
  <c r="L50" i="66" s="1"/>
  <c r="G56" i="70"/>
  <c r="H51" i="66" s="1"/>
  <c r="F57" i="70"/>
  <c r="G50" i="66" s="1"/>
  <c r="F56" i="70"/>
  <c r="G51" i="66" s="1"/>
  <c r="K64" i="70"/>
  <c r="L104" i="66" s="1"/>
  <c r="G64" i="70"/>
  <c r="H104" i="66" s="1"/>
  <c r="L63" i="70"/>
  <c r="M105" i="66" s="1"/>
  <c r="F63" i="70"/>
  <c r="G105" i="66" s="1"/>
  <c r="G63" i="70"/>
  <c r="H105" i="66" s="1"/>
  <c r="I63" i="70"/>
  <c r="J105" i="66" s="1"/>
  <c r="N63" i="70"/>
  <c r="O105" i="66" s="1"/>
  <c r="D63" i="70"/>
  <c r="E105" i="66" s="1"/>
  <c r="K63" i="70"/>
  <c r="L105" i="66" s="1"/>
  <c r="M63" i="70"/>
  <c r="N105" i="66" s="1"/>
  <c r="D71" i="70"/>
  <c r="E110" i="66" s="1"/>
  <c r="G71" i="70"/>
  <c r="H110" i="66" s="1"/>
  <c r="H70" i="70"/>
  <c r="I111" i="66" s="1"/>
  <c r="M70" i="70"/>
  <c r="N111" i="66" s="1"/>
  <c r="L135" i="68"/>
  <c r="D70" i="70"/>
  <c r="E111" i="66" s="1"/>
  <c r="L71" i="70"/>
  <c r="M110" i="66" s="1"/>
  <c r="K71" i="70"/>
  <c r="L110" i="66" s="1"/>
  <c r="F71" i="70"/>
  <c r="G110" i="66" s="1"/>
  <c r="G70" i="70"/>
  <c r="H111" i="66" s="1"/>
  <c r="K70" i="70"/>
  <c r="L111" i="66" s="1"/>
  <c r="L70" i="70"/>
  <c r="M111" i="66" s="1"/>
  <c r="E70" i="70"/>
  <c r="F111" i="66" s="1"/>
  <c r="F70" i="70"/>
  <c r="G111" i="66" s="1"/>
  <c r="K77" i="70"/>
  <c r="L57" i="66" s="1"/>
  <c r="D77" i="70"/>
  <c r="E57" i="66" s="1"/>
  <c r="K78" i="70"/>
  <c r="L56" i="66" s="1"/>
  <c r="D78" i="70"/>
  <c r="E56" i="66" s="1"/>
  <c r="L77" i="70"/>
  <c r="M57" i="66" s="1"/>
  <c r="G77" i="70"/>
  <c r="H57" i="66" s="1"/>
  <c r="F77" i="70"/>
  <c r="G57" i="66" s="1"/>
  <c r="J77" i="70"/>
  <c r="K57" i="66" s="1"/>
  <c r="L78" i="70"/>
  <c r="M56" i="66" s="1"/>
  <c r="F78" i="70"/>
  <c r="G56" i="66" s="1"/>
  <c r="G78" i="70"/>
  <c r="H56" i="66" s="1"/>
  <c r="L141" i="68"/>
  <c r="C86" i="70"/>
  <c r="L84" i="70"/>
  <c r="M63" i="66" s="1"/>
  <c r="E91" i="70"/>
  <c r="F69" i="66" s="1"/>
  <c r="L91" i="70"/>
  <c r="M69" i="66" s="1"/>
  <c r="D91" i="70"/>
  <c r="K91" i="70"/>
  <c r="L69" i="66" s="1"/>
  <c r="G91" i="70"/>
  <c r="H69" i="66" s="1"/>
  <c r="N91" i="70"/>
  <c r="O69" i="66" s="1"/>
  <c r="G98" i="70"/>
  <c r="H75" i="66" s="1"/>
  <c r="M98" i="70"/>
  <c r="N75" i="66" s="1"/>
  <c r="I98" i="70"/>
  <c r="J75" i="66" s="1"/>
  <c r="N98" i="70"/>
  <c r="O75" i="66" s="1"/>
  <c r="L117" i="68"/>
  <c r="F98" i="70"/>
  <c r="G75" i="66" s="1"/>
  <c r="K98" i="70"/>
  <c r="L75" i="66" s="1"/>
  <c r="E98" i="70"/>
  <c r="F75" i="66" s="1"/>
  <c r="J98" i="70"/>
  <c r="K75" i="66" s="1"/>
  <c r="L98" i="70"/>
  <c r="M75" i="66" s="1"/>
  <c r="D98" i="70"/>
  <c r="E75" i="66" s="1"/>
  <c r="N105" i="70"/>
  <c r="O81" i="66" s="1"/>
  <c r="J105" i="70"/>
  <c r="K81" i="66" s="1"/>
  <c r="K105" i="70"/>
  <c r="L81" i="66" s="1"/>
  <c r="L105" i="70"/>
  <c r="M81" i="66" s="1"/>
  <c r="L153" i="68"/>
  <c r="D105" i="70"/>
  <c r="G105" i="70"/>
  <c r="H81" i="66" s="1"/>
  <c r="F105" i="70"/>
  <c r="G81" i="66" s="1"/>
  <c r="G112" i="70"/>
  <c r="H87" i="66" s="1"/>
  <c r="M112" i="70"/>
  <c r="N87" i="66" s="1"/>
  <c r="L112" i="70"/>
  <c r="M87" i="66" s="1"/>
  <c r="L123" i="68"/>
  <c r="D112" i="70"/>
  <c r="E87" i="66" s="1"/>
  <c r="F112" i="70"/>
  <c r="G87" i="66" s="1"/>
  <c r="J112" i="70"/>
  <c r="K87" i="66" s="1"/>
  <c r="K112" i="70"/>
  <c r="L87" i="66" s="1"/>
  <c r="E144" i="70"/>
  <c r="M144" i="70"/>
  <c r="G144" i="70"/>
  <c r="K144" i="70"/>
  <c r="F144" i="70"/>
  <c r="L144" i="70"/>
  <c r="D144" i="70"/>
  <c r="J144" i="70"/>
  <c r="G119" i="70"/>
  <c r="H93" i="66" s="1"/>
  <c r="F119" i="70"/>
  <c r="G93" i="66" s="1"/>
  <c r="N119" i="70"/>
  <c r="O93" i="66" s="1"/>
  <c r="K119" i="70"/>
  <c r="L93" i="66" s="1"/>
  <c r="U258" i="69"/>
  <c r="H119" i="70"/>
  <c r="I93" i="66" s="1"/>
  <c r="M119" i="70"/>
  <c r="N93" i="66" s="1"/>
  <c r="U268" i="69"/>
  <c r="L19" i="68"/>
  <c r="L25" i="68"/>
  <c r="L168" i="70"/>
  <c r="H168" i="70"/>
  <c r="D168" i="70"/>
  <c r="I168" i="70"/>
  <c r="F168" i="70"/>
  <c r="E168" i="70"/>
  <c r="G168" i="70"/>
  <c r="F36" i="60"/>
  <c r="G160" i="70" s="1"/>
  <c r="H133" i="66" s="1"/>
  <c r="B34" i="50"/>
  <c r="C144" i="70" s="1"/>
  <c r="U248" i="69"/>
  <c r="C58" i="42"/>
  <c r="B24" i="60" s="1"/>
  <c r="C100" i="70" s="1"/>
  <c r="C58" i="47"/>
  <c r="B26" i="60" s="1"/>
  <c r="D28" i="50"/>
  <c r="C28" i="50"/>
  <c r="I28" i="50"/>
  <c r="B28" i="60"/>
  <c r="C128" i="70" s="1"/>
  <c r="B28" i="50"/>
  <c r="C126" i="70" s="1"/>
  <c r="L28" i="50"/>
  <c r="J28" i="50"/>
  <c r="K28" i="50"/>
  <c r="E28" i="50"/>
  <c r="K27" i="50"/>
  <c r="I27" i="50"/>
  <c r="C27" i="50"/>
  <c r="D27" i="50"/>
  <c r="G26" i="50"/>
  <c r="H25" i="50"/>
  <c r="D25" i="50"/>
  <c r="G24" i="50"/>
  <c r="H98" i="70" s="1"/>
  <c r="I75" i="66" s="1"/>
  <c r="G58" i="42"/>
  <c r="F24" i="60" s="1"/>
  <c r="L23" i="50"/>
  <c r="G23" i="50"/>
  <c r="H91" i="70" s="1"/>
  <c r="I69" i="66" s="1"/>
  <c r="I23" i="50"/>
  <c r="M59" i="41"/>
  <c r="H23" i="50"/>
  <c r="I91" i="70" s="1"/>
  <c r="J69" i="66" s="1"/>
  <c r="P61" i="32"/>
  <c r="B17" i="59"/>
  <c r="C50" i="70" s="1"/>
  <c r="E16" i="59"/>
  <c r="K58" i="42"/>
  <c r="J24" i="60" s="1"/>
  <c r="H59" i="47"/>
  <c r="T167" i="70"/>
  <c r="P54" i="58"/>
  <c r="J58" i="34"/>
  <c r="I19" i="60" s="1"/>
  <c r="T166" i="70"/>
  <c r="M58" i="46"/>
  <c r="L25" i="60" s="1"/>
  <c r="M59" i="25"/>
  <c r="G58" i="46"/>
  <c r="F25" i="60" s="1"/>
  <c r="I25" i="59"/>
  <c r="J58" i="46"/>
  <c r="I25" i="60" s="1"/>
  <c r="K25" i="59"/>
  <c r="L58" i="46"/>
  <c r="K25" i="60" s="1"/>
  <c r="F58" i="41"/>
  <c r="E23" i="60" s="1"/>
  <c r="M25" i="59"/>
  <c r="N58" i="46"/>
  <c r="M25" i="60" s="1"/>
  <c r="M60" i="31"/>
  <c r="M59" i="31" s="1"/>
  <c r="L16" i="60" s="1"/>
  <c r="E89" i="32"/>
  <c r="E90" i="32" s="1"/>
  <c r="D19" i="50"/>
  <c r="M88" i="39"/>
  <c r="M89" i="39" s="1"/>
  <c r="J88" i="35"/>
  <c r="J89" i="35" s="1"/>
  <c r="I20" i="50"/>
  <c r="M58" i="39"/>
  <c r="L21" i="60" s="1"/>
  <c r="I19" i="50"/>
  <c r="D17" i="50"/>
  <c r="K59" i="31"/>
  <c r="J16" i="60" s="1"/>
  <c r="M88" i="25"/>
  <c r="M89" i="25" s="1"/>
  <c r="J88" i="34"/>
  <c r="J89" i="34" s="1"/>
  <c r="L18" i="50"/>
  <c r="E15" i="60"/>
  <c r="C58" i="33"/>
  <c r="B18" i="60" s="1"/>
  <c r="C58" i="70" s="1"/>
  <c r="I24" i="59"/>
  <c r="C59" i="32"/>
  <c r="B15" i="60"/>
  <c r="C37" i="70" s="1"/>
  <c r="D22" i="60"/>
  <c r="M58" i="33"/>
  <c r="L18" i="60" s="1"/>
  <c r="P61" i="31"/>
  <c r="P60" i="42"/>
  <c r="I59" i="46"/>
  <c r="H59" i="42"/>
  <c r="M88" i="33"/>
  <c r="M89" i="33" s="1"/>
  <c r="D12" i="50"/>
  <c r="E14" i="70" s="1"/>
  <c r="F15" i="66" s="1"/>
  <c r="L14" i="59"/>
  <c r="G18" i="50"/>
  <c r="D58" i="26"/>
  <c r="C14" i="60" s="1"/>
  <c r="D14" i="50"/>
  <c r="J59" i="31"/>
  <c r="I16" i="60" s="1"/>
  <c r="D20" i="59"/>
  <c r="K26" i="59"/>
  <c r="B23" i="59"/>
  <c r="B14" i="50"/>
  <c r="L60" i="31"/>
  <c r="L59" i="31" s="1"/>
  <c r="K16" i="60" s="1"/>
  <c r="L44" i="70" s="1"/>
  <c r="M37" i="66" s="1"/>
  <c r="I14" i="50"/>
  <c r="E88" i="26"/>
  <c r="E89" i="26" s="1"/>
  <c r="M58" i="34"/>
  <c r="L19" i="60" s="1"/>
  <c r="C59" i="26"/>
  <c r="B14" i="59" s="1"/>
  <c r="C29" i="70" s="1"/>
  <c r="B19" i="50"/>
  <c r="K27" i="59"/>
  <c r="J59" i="26"/>
  <c r="J58" i="26" s="1"/>
  <c r="I14" i="60" s="1"/>
  <c r="J30" i="70" s="1"/>
  <c r="K25" i="66" s="1"/>
  <c r="F22" i="59"/>
  <c r="H24" i="59"/>
  <c r="C59" i="34"/>
  <c r="G19" i="50"/>
  <c r="E88" i="34"/>
  <c r="E89" i="34" s="1"/>
  <c r="M16" i="59"/>
  <c r="I58" i="34"/>
  <c r="H19" i="60" s="1"/>
  <c r="L89" i="32"/>
  <c r="L90" i="32" s="1"/>
  <c r="M22" i="59"/>
  <c r="M22" i="60"/>
  <c r="K19" i="59"/>
  <c r="F15" i="60"/>
  <c r="F23" i="59"/>
  <c r="H13" i="59"/>
  <c r="H16" i="59"/>
  <c r="J22" i="59"/>
  <c r="J22" i="60"/>
  <c r="K86" i="70" s="1"/>
  <c r="L61" i="66" s="1"/>
  <c r="D27" i="59"/>
  <c r="I22" i="59"/>
  <c r="I22" i="60"/>
  <c r="L22" i="59"/>
  <c r="L22" i="60"/>
  <c r="M86" i="70" s="1"/>
  <c r="N61" i="66" s="1"/>
  <c r="P60" i="46"/>
  <c r="E59" i="46"/>
  <c r="P60" i="34"/>
  <c r="G22" i="59"/>
  <c r="G22" i="60"/>
  <c r="J59" i="41"/>
  <c r="K58" i="26"/>
  <c r="J14" i="60" s="1"/>
  <c r="L12" i="59"/>
  <c r="M15" i="70" s="1"/>
  <c r="N14" i="66" s="1"/>
  <c r="L27" i="59"/>
  <c r="E59" i="32"/>
  <c r="D17" i="60" s="1"/>
  <c r="D17" i="59"/>
  <c r="J59" i="25"/>
  <c r="L21" i="50"/>
  <c r="J88" i="25"/>
  <c r="J89" i="25" s="1"/>
  <c r="E26" i="59"/>
  <c r="I27" i="59"/>
  <c r="B25" i="59"/>
  <c r="C106" i="70" s="1"/>
  <c r="C58" i="46"/>
  <c r="B25" i="60" s="1"/>
  <c r="L28" i="59"/>
  <c r="J58" i="33"/>
  <c r="I18" i="60" s="1"/>
  <c r="F28" i="59"/>
  <c r="H59" i="41"/>
  <c r="D18" i="59"/>
  <c r="J15" i="59"/>
  <c r="C59" i="31"/>
  <c r="B16" i="60" s="1"/>
  <c r="C44" i="70" s="1"/>
  <c r="B12" i="50"/>
  <c r="C14" i="70" s="1"/>
  <c r="D15" i="66" s="1"/>
  <c r="I12" i="50"/>
  <c r="J14" i="70" s="1"/>
  <c r="K15" i="66" s="1"/>
  <c r="E88" i="23"/>
  <c r="E89" i="23" s="1"/>
  <c r="E58" i="34"/>
  <c r="D19" i="60" s="1"/>
  <c r="K17" i="50"/>
  <c r="L24" i="59"/>
  <c r="J59" i="23"/>
  <c r="J58" i="23" s="1"/>
  <c r="L15" i="50"/>
  <c r="H59" i="34"/>
  <c r="K18" i="50"/>
  <c r="K58" i="41"/>
  <c r="J23" i="60" s="1"/>
  <c r="J82" i="60"/>
  <c r="C58" i="39"/>
  <c r="B21" i="60" s="1"/>
  <c r="C79" i="70" s="1"/>
  <c r="P60" i="35"/>
  <c r="P60" i="26"/>
  <c r="P60" i="33"/>
  <c r="P60" i="40"/>
  <c r="D21" i="59"/>
  <c r="G59" i="31"/>
  <c r="F16" i="60" s="1"/>
  <c r="F58" i="42"/>
  <c r="E24" i="60" s="1"/>
  <c r="L59" i="32"/>
  <c r="K17" i="60" s="1"/>
  <c r="K17" i="59"/>
  <c r="I59" i="33"/>
  <c r="E88" i="39"/>
  <c r="E89" i="39" s="1"/>
  <c r="M23" i="59"/>
  <c r="G58" i="47"/>
  <c r="F26" i="60" s="1"/>
  <c r="C234" i="69"/>
  <c r="F143" i="68"/>
  <c r="U165" i="70"/>
  <c r="E143" i="68"/>
  <c r="D15" i="50"/>
  <c r="M82" i="60"/>
  <c r="L59" i="33"/>
  <c r="C168" i="70"/>
  <c r="E59" i="47"/>
  <c r="H58" i="33"/>
  <c r="G18" i="60" s="1"/>
  <c r="P61" i="30"/>
  <c r="C28" i="59"/>
  <c r="D21" i="50"/>
  <c r="H88" i="33"/>
  <c r="H89" i="33" s="1"/>
  <c r="P59" i="58"/>
  <c r="L58" i="42"/>
  <c r="K24" i="60" s="1"/>
  <c r="L100" i="70" s="1"/>
  <c r="M73" i="66" s="1"/>
  <c r="B27" i="59"/>
  <c r="B27" i="60"/>
  <c r="U228" i="69"/>
  <c r="F30" i="50"/>
  <c r="D58" i="47"/>
  <c r="C26" i="60" s="1"/>
  <c r="D114" i="70" s="1"/>
  <c r="E85" i="66" s="1"/>
  <c r="C26" i="59"/>
  <c r="D113" i="70" s="1"/>
  <c r="E86" i="66" s="1"/>
  <c r="E58" i="42"/>
  <c r="D24" i="60" s="1"/>
  <c r="E100" i="70" s="1"/>
  <c r="F73" i="66" s="1"/>
  <c r="D24" i="59"/>
  <c r="G27" i="60"/>
  <c r="H121" i="70" s="1"/>
  <c r="I91" i="66" s="1"/>
  <c r="G27" i="59"/>
  <c r="K58" i="46"/>
  <c r="J25" i="60" s="1"/>
  <c r="K107" i="70" s="1"/>
  <c r="L79" i="66" s="1"/>
  <c r="J25" i="59"/>
  <c r="E58" i="41"/>
  <c r="D23" i="60" s="1"/>
  <c r="E93" i="70" s="1"/>
  <c r="F67" i="66" s="1"/>
  <c r="D23" i="59"/>
  <c r="N58" i="34"/>
  <c r="M19" i="60" s="1"/>
  <c r="N65" i="70" s="1"/>
  <c r="O103" i="66" s="1"/>
  <c r="M19" i="59"/>
  <c r="F58" i="46"/>
  <c r="E25" i="60" s="1"/>
  <c r="F107" i="70" s="1"/>
  <c r="G79" i="66" s="1"/>
  <c r="E25" i="59"/>
  <c r="F59" i="32"/>
  <c r="E17" i="60" s="1"/>
  <c r="F51" i="70" s="1"/>
  <c r="G43" i="66" s="1"/>
  <c r="E17" i="59"/>
  <c r="D59" i="32"/>
  <c r="C17" i="60" s="1"/>
  <c r="D51" i="70" s="1"/>
  <c r="E43" i="66" s="1"/>
  <c r="C17" i="59"/>
  <c r="N58" i="42"/>
  <c r="M24" i="60" s="1"/>
  <c r="N100" i="70" s="1"/>
  <c r="O73" i="66" s="1"/>
  <c r="M24" i="59"/>
  <c r="D58" i="25"/>
  <c r="C13" i="60" s="1"/>
  <c r="D23" i="70" s="1"/>
  <c r="E19" i="66" s="1"/>
  <c r="C13" i="59"/>
  <c r="E59" i="31"/>
  <c r="D16" i="60" s="1"/>
  <c r="E44" i="70" s="1"/>
  <c r="F37" i="66" s="1"/>
  <c r="D16" i="59"/>
  <c r="I15" i="60"/>
  <c r="J37" i="70" s="1"/>
  <c r="K31" i="66" s="1"/>
  <c r="I15" i="59"/>
  <c r="N59" i="32"/>
  <c r="M17" i="60" s="1"/>
  <c r="N51" i="70" s="1"/>
  <c r="O43" i="66" s="1"/>
  <c r="M17" i="59"/>
  <c r="N58" i="25"/>
  <c r="M13" i="60" s="1"/>
  <c r="N23" i="70" s="1"/>
  <c r="O19" i="66" s="1"/>
  <c r="M13" i="59"/>
  <c r="H58" i="35"/>
  <c r="G20" i="60" s="1"/>
  <c r="H72" i="70" s="1"/>
  <c r="I109" i="66" s="1"/>
  <c r="G20" i="59"/>
  <c r="H14" i="50"/>
  <c r="I88" i="26"/>
  <c r="I89" i="26" s="1"/>
  <c r="C27" i="60"/>
  <c r="D121" i="70" s="1"/>
  <c r="E91" i="66" s="1"/>
  <c r="C27" i="59"/>
  <c r="D120" i="70" s="1"/>
  <c r="E92" i="66" s="1"/>
  <c r="C25" i="60"/>
  <c r="D107" i="70" s="1"/>
  <c r="E79" i="66" s="1"/>
  <c r="C25" i="59"/>
  <c r="M58" i="35"/>
  <c r="L20" i="60" s="1"/>
  <c r="M72" i="70" s="1"/>
  <c r="N109" i="66" s="1"/>
  <c r="L20" i="59"/>
  <c r="L172" i="68"/>
  <c r="L49" i="68"/>
  <c r="L13" i="68"/>
  <c r="L67" i="68"/>
  <c r="L79" i="68"/>
  <c r="L97" i="68"/>
  <c r="L37" i="68"/>
  <c r="L109" i="68"/>
  <c r="L61" i="68"/>
  <c r="L85" i="68"/>
  <c r="L91" i="68"/>
  <c r="L103" i="68"/>
  <c r="L55" i="68"/>
  <c r="L73" i="68"/>
  <c r="L31" i="68"/>
  <c r="L43" i="68"/>
  <c r="P60" i="47"/>
  <c r="P60" i="41"/>
  <c r="F27" i="60"/>
  <c r="G121" i="70" s="1"/>
  <c r="H91" i="66" s="1"/>
  <c r="F27" i="59"/>
  <c r="F58" i="25"/>
  <c r="E13" i="60" s="1"/>
  <c r="F23" i="70" s="1"/>
  <c r="G19" i="66" s="1"/>
  <c r="E13" i="59"/>
  <c r="J13" i="50"/>
  <c r="K21" i="70" s="1"/>
  <c r="L21" i="66" s="1"/>
  <c r="K88" i="25"/>
  <c r="K89" i="25" s="1"/>
  <c r="D59" i="31"/>
  <c r="C16" i="60" s="1"/>
  <c r="D44" i="70" s="1"/>
  <c r="E37" i="66" s="1"/>
  <c r="C16" i="59"/>
  <c r="D43" i="70" s="1"/>
  <c r="E38" i="66" s="1"/>
  <c r="F58" i="34"/>
  <c r="E19" i="60" s="1"/>
  <c r="F65" i="70" s="1"/>
  <c r="G103" i="66" s="1"/>
  <c r="E19" i="59"/>
  <c r="L58" i="41"/>
  <c r="K23" i="60" s="1"/>
  <c r="L93" i="70" s="1"/>
  <c r="M67" i="66" s="1"/>
  <c r="K23" i="59"/>
  <c r="J58" i="35"/>
  <c r="I20" i="60" s="1"/>
  <c r="J72" i="70" s="1"/>
  <c r="K109" i="66" s="1"/>
  <c r="I20" i="59"/>
  <c r="E58" i="25"/>
  <c r="D13" i="60" s="1"/>
  <c r="E23" i="70" s="1"/>
  <c r="F19" i="66" s="1"/>
  <c r="D13" i="59"/>
  <c r="E27" i="60"/>
  <c r="F121" i="70" s="1"/>
  <c r="G91" i="66" s="1"/>
  <c r="E27" i="59"/>
  <c r="J58" i="47"/>
  <c r="I26" i="60" s="1"/>
  <c r="J114" i="70" s="1"/>
  <c r="K85" i="66" s="1"/>
  <c r="I26" i="59"/>
  <c r="M20" i="50"/>
  <c r="N88" i="35"/>
  <c r="N89" i="35" s="1"/>
  <c r="P60" i="39"/>
  <c r="H88" i="39"/>
  <c r="H89" i="39" s="1"/>
  <c r="M15" i="60"/>
  <c r="N37" i="70" s="1"/>
  <c r="O31" i="66" s="1"/>
  <c r="M15" i="59"/>
  <c r="K58" i="47"/>
  <c r="J26" i="60" s="1"/>
  <c r="K114" i="70" s="1"/>
  <c r="L85" i="66" s="1"/>
  <c r="J26" i="59"/>
  <c r="K59" i="32"/>
  <c r="J17" i="60" s="1"/>
  <c r="K51" i="70" s="1"/>
  <c r="L43" i="66" s="1"/>
  <c r="J17" i="59"/>
  <c r="I43" i="50"/>
  <c r="G14" i="50"/>
  <c r="H88" i="26"/>
  <c r="H89" i="26" s="1"/>
  <c r="M27" i="60"/>
  <c r="N121" i="70" s="1"/>
  <c r="O91" i="66" s="1"/>
  <c r="M27" i="59"/>
  <c r="P60" i="25"/>
  <c r="J58" i="39"/>
  <c r="I21" i="60" s="1"/>
  <c r="J79" i="70" s="1"/>
  <c r="K55" i="66" s="1"/>
  <c r="I21" i="59"/>
  <c r="D58" i="41"/>
  <c r="C23" i="60" s="1"/>
  <c r="D93" i="70" s="1"/>
  <c r="E67" i="66" s="1"/>
  <c r="C23" i="59"/>
  <c r="D92" i="70" s="1"/>
  <c r="E68" i="66" s="1"/>
  <c r="M58" i="47"/>
  <c r="L26" i="60" s="1"/>
  <c r="M114" i="70" s="1"/>
  <c r="N85" i="66" s="1"/>
  <c r="L26" i="59"/>
  <c r="J27" i="60"/>
  <c r="K121" i="70" s="1"/>
  <c r="L91" i="66" s="1"/>
  <c r="J27" i="59"/>
  <c r="E22" i="60"/>
  <c r="F86" i="70" s="1"/>
  <c r="G61" i="66" s="1"/>
  <c r="E22" i="59"/>
  <c r="M21" i="50"/>
  <c r="N88" i="39"/>
  <c r="N89" i="39" s="1"/>
  <c r="H58" i="25"/>
  <c r="G13" i="60" s="1"/>
  <c r="H23" i="70" s="1"/>
  <c r="I19" i="66" s="1"/>
  <c r="G13" i="59"/>
  <c r="H18" i="50"/>
  <c r="I88" i="33"/>
  <c r="I89" i="33" s="1"/>
  <c r="D58" i="34"/>
  <c r="C19" i="60" s="1"/>
  <c r="D65" i="70" s="1"/>
  <c r="E103" i="66" s="1"/>
  <c r="C19" i="59"/>
  <c r="D64" i="70" s="1"/>
  <c r="E104" i="66" s="1"/>
  <c r="D58" i="42"/>
  <c r="C24" i="60" s="1"/>
  <c r="D100" i="70" s="1"/>
  <c r="E73" i="66" s="1"/>
  <c r="C24" i="59"/>
  <c r="D99" i="70" s="1"/>
  <c r="E74" i="66" s="1"/>
  <c r="J12" i="60"/>
  <c r="K16" i="70" s="1"/>
  <c r="L13" i="66" s="1"/>
  <c r="J12" i="59"/>
  <c r="K15" i="70" s="1"/>
  <c r="L14" i="66" s="1"/>
  <c r="I34" i="59"/>
  <c r="J145" i="70" s="1"/>
  <c r="B79" i="59"/>
  <c r="D79" i="59"/>
  <c r="D34" i="59"/>
  <c r="E145" i="70" s="1"/>
  <c r="E79" i="59"/>
  <c r="L34" i="59"/>
  <c r="M145" i="70" s="1"/>
  <c r="C79" i="59"/>
  <c r="J34" i="59"/>
  <c r="K145" i="70" s="1"/>
  <c r="K34" i="59"/>
  <c r="L145" i="70" s="1"/>
  <c r="F34" i="59"/>
  <c r="G145" i="70" s="1"/>
  <c r="E34" i="59"/>
  <c r="F145" i="70" s="1"/>
  <c r="L79" i="59"/>
  <c r="C34" i="59"/>
  <c r="D145" i="70" s="1"/>
  <c r="J79" i="59"/>
  <c r="K79" i="59"/>
  <c r="F79" i="59"/>
  <c r="I79" i="59"/>
  <c r="C58" i="35"/>
  <c r="B20" i="60" s="1"/>
  <c r="C72" i="70" s="1"/>
  <c r="M79" i="50"/>
  <c r="M34" i="50"/>
  <c r="G79" i="50"/>
  <c r="G34" i="50"/>
  <c r="H12" i="50"/>
  <c r="I14" i="70" s="1"/>
  <c r="J15" i="66" s="1"/>
  <c r="I59" i="23"/>
  <c r="I58" i="23" s="1"/>
  <c r="H20" i="50"/>
  <c r="I70" i="70" s="1"/>
  <c r="J111" i="66" s="1"/>
  <c r="I59" i="35"/>
  <c r="H21" i="50"/>
  <c r="I59" i="39"/>
  <c r="H17" i="50"/>
  <c r="I60" i="32"/>
  <c r="N59" i="47"/>
  <c r="M18" i="50"/>
  <c r="N59" i="33"/>
  <c r="L40" i="23"/>
  <c r="G16" i="50"/>
  <c r="H42" i="70" s="1"/>
  <c r="I39" i="66" s="1"/>
  <c r="H60" i="31"/>
  <c r="G16" i="59" s="1"/>
  <c r="H28" i="50"/>
  <c r="I126" i="70" s="1"/>
  <c r="J99" i="66" s="1"/>
  <c r="H22" i="50"/>
  <c r="C22" i="50"/>
  <c r="C18" i="50"/>
  <c r="D56" i="70" s="1"/>
  <c r="E51" i="66" s="1"/>
  <c r="D59" i="33"/>
  <c r="K59" i="25"/>
  <c r="P60" i="23"/>
  <c r="N59" i="39"/>
  <c r="I59" i="41"/>
  <c r="K14" i="50"/>
  <c r="L28" i="70" s="1"/>
  <c r="M27" i="66" s="1"/>
  <c r="L59" i="26"/>
  <c r="K13" i="50"/>
  <c r="L21" i="70" s="1"/>
  <c r="M21" i="66" s="1"/>
  <c r="L59" i="25"/>
  <c r="G21" i="50"/>
  <c r="H77" i="70" s="1"/>
  <c r="I57" i="66" s="1"/>
  <c r="H59" i="39"/>
  <c r="G28" i="50"/>
  <c r="H126" i="70" s="1"/>
  <c r="I99" i="66" s="1"/>
  <c r="H59" i="46"/>
  <c r="G17" i="50"/>
  <c r="H49" i="70" s="1"/>
  <c r="I45" i="66" s="1"/>
  <c r="H60" i="32"/>
  <c r="I40" i="23"/>
  <c r="I59" i="47"/>
  <c r="K12" i="50"/>
  <c r="L14" i="70" s="1"/>
  <c r="M15" i="66" s="1"/>
  <c r="L59" i="23"/>
  <c r="L58" i="23" s="1"/>
  <c r="H15" i="50"/>
  <c r="I35" i="70" s="1"/>
  <c r="J33" i="66" s="1"/>
  <c r="H34" i="50"/>
  <c r="H79" i="50"/>
  <c r="N59" i="35"/>
  <c r="H115" i="50" l="1"/>
  <c r="I98" i="79" s="1"/>
  <c r="J75" i="78" s="1"/>
  <c r="F111" i="50"/>
  <c r="G70" i="79" s="1"/>
  <c r="H111" i="78" s="1"/>
  <c r="E115" i="50"/>
  <c r="F98" i="79" s="1"/>
  <c r="G75" i="78" s="1"/>
  <c r="G115" i="50"/>
  <c r="H98" i="79" s="1"/>
  <c r="I75" i="78" s="1"/>
  <c r="L119" i="50"/>
  <c r="M126" i="79" s="1"/>
  <c r="N99" i="78" s="1"/>
  <c r="E119" i="50"/>
  <c r="F126" i="79" s="1"/>
  <c r="G99" i="78" s="1"/>
  <c r="J119" i="50"/>
  <c r="K126" i="79" s="1"/>
  <c r="L99" i="78" s="1"/>
  <c r="D119" i="50"/>
  <c r="E126" i="79" s="1"/>
  <c r="F99" i="78" s="1"/>
  <c r="F119" i="50"/>
  <c r="G126" i="79" s="1"/>
  <c r="H99" i="78" s="1"/>
  <c r="C12" i="60"/>
  <c r="D16" i="70" s="1"/>
  <c r="E13" i="66" s="1"/>
  <c r="P58" i="23"/>
  <c r="H119" i="50"/>
  <c r="I126" i="79" s="1"/>
  <c r="J99" i="78" s="1"/>
  <c r="I76" i="49"/>
  <c r="L111" i="50"/>
  <c r="M70" i="79" s="1"/>
  <c r="N111" i="78" s="1"/>
  <c r="M76" i="35"/>
  <c r="G111" i="50"/>
  <c r="H70" i="79" s="1"/>
  <c r="I111" i="78" s="1"/>
  <c r="H76" i="35"/>
  <c r="K105" i="50"/>
  <c r="L28" i="79" s="1"/>
  <c r="M27" i="78" s="1"/>
  <c r="G74" i="23"/>
  <c r="G72" i="23"/>
  <c r="D74" i="23"/>
  <c r="D72" i="23"/>
  <c r="K74" i="23"/>
  <c r="K72" i="23"/>
  <c r="K73" i="23" s="1"/>
  <c r="N74" i="23"/>
  <c r="N72" i="23"/>
  <c r="B115" i="50"/>
  <c r="C98" i="79" s="1"/>
  <c r="F74" i="23"/>
  <c r="F72" i="23"/>
  <c r="B111" i="50"/>
  <c r="C70" i="79" s="1"/>
  <c r="G119" i="50"/>
  <c r="H126" i="79" s="1"/>
  <c r="I99" i="78" s="1"/>
  <c r="K119" i="50"/>
  <c r="L126" i="79" s="1"/>
  <c r="M99" i="78" s="1"/>
  <c r="C119" i="50"/>
  <c r="D126" i="79" s="1"/>
  <c r="E99" i="78" s="1"/>
  <c r="I119" i="50"/>
  <c r="J126" i="79" s="1"/>
  <c r="K99" i="78" s="1"/>
  <c r="M119" i="50"/>
  <c r="N126" i="79" s="1"/>
  <c r="O99" i="78" s="1"/>
  <c r="R114" i="79"/>
  <c r="P73" i="49"/>
  <c r="B119" i="50"/>
  <c r="B118" i="50"/>
  <c r="P73" i="48"/>
  <c r="H118" i="50"/>
  <c r="I119" i="79" s="1"/>
  <c r="J93" i="78" s="1"/>
  <c r="L118" i="50"/>
  <c r="M119" i="79" s="1"/>
  <c r="N93" i="78" s="1"/>
  <c r="G118" i="50"/>
  <c r="H119" i="79" s="1"/>
  <c r="I93" i="78" s="1"/>
  <c r="J118" i="50"/>
  <c r="K119" i="79" s="1"/>
  <c r="L93" i="78" s="1"/>
  <c r="M118" i="50"/>
  <c r="N119" i="79" s="1"/>
  <c r="O93" i="78" s="1"/>
  <c r="K118" i="50"/>
  <c r="L119" i="79" s="1"/>
  <c r="M93" i="78" s="1"/>
  <c r="C118" i="50"/>
  <c r="D119" i="79" s="1"/>
  <c r="E93" i="78" s="1"/>
  <c r="E118" i="50"/>
  <c r="F119" i="79" s="1"/>
  <c r="G93" i="78" s="1"/>
  <c r="I118" i="50"/>
  <c r="J119" i="79" s="1"/>
  <c r="K93" i="78" s="1"/>
  <c r="F118" i="50"/>
  <c r="G119" i="79" s="1"/>
  <c r="H93" i="78" s="1"/>
  <c r="D118" i="50"/>
  <c r="E119" i="79" s="1"/>
  <c r="F93" i="78" s="1"/>
  <c r="E117" i="50"/>
  <c r="F112" i="79" s="1"/>
  <c r="G87" i="78" s="1"/>
  <c r="K117" i="50"/>
  <c r="L112" i="79" s="1"/>
  <c r="M87" i="78" s="1"/>
  <c r="C117" i="50"/>
  <c r="D112" i="79" s="1"/>
  <c r="E87" i="78" s="1"/>
  <c r="D117" i="50"/>
  <c r="E112" i="79" s="1"/>
  <c r="F87" i="78" s="1"/>
  <c r="J117" i="50"/>
  <c r="K112" i="79" s="1"/>
  <c r="L87" i="78" s="1"/>
  <c r="F117" i="50"/>
  <c r="G112" i="79" s="1"/>
  <c r="H87" i="78" s="1"/>
  <c r="J73" i="47"/>
  <c r="B117" i="50"/>
  <c r="H117" i="50"/>
  <c r="I112" i="79" s="1"/>
  <c r="J87" i="78" s="1"/>
  <c r="M117" i="50"/>
  <c r="N112" i="79" s="1"/>
  <c r="O87" i="78" s="1"/>
  <c r="P72" i="47"/>
  <c r="I116" i="59"/>
  <c r="J113" i="79" s="1"/>
  <c r="K86" i="78" s="1"/>
  <c r="G117" i="50"/>
  <c r="H112" i="79" s="1"/>
  <c r="I87" i="78" s="1"/>
  <c r="L117" i="50"/>
  <c r="M112" i="79" s="1"/>
  <c r="N87" i="78" s="1"/>
  <c r="C116" i="50"/>
  <c r="D105" i="79" s="1"/>
  <c r="E81" i="78" s="1"/>
  <c r="J116" i="50"/>
  <c r="K105" i="79" s="1"/>
  <c r="L81" i="78" s="1"/>
  <c r="E116" i="50"/>
  <c r="F105" i="79" s="1"/>
  <c r="G81" i="78" s="1"/>
  <c r="M116" i="50"/>
  <c r="N105" i="79" s="1"/>
  <c r="O81" i="78" s="1"/>
  <c r="G116" i="50"/>
  <c r="H105" i="79" s="1"/>
  <c r="I81" i="78" s="1"/>
  <c r="H116" i="50"/>
  <c r="I105" i="79" s="1"/>
  <c r="J81" i="78" s="1"/>
  <c r="D116" i="50"/>
  <c r="E105" i="79" s="1"/>
  <c r="F81" i="78" s="1"/>
  <c r="B116" i="50"/>
  <c r="P73" i="46"/>
  <c r="I116" i="50"/>
  <c r="J105" i="79" s="1"/>
  <c r="K81" i="78" s="1"/>
  <c r="L116" i="50"/>
  <c r="M105" i="79" s="1"/>
  <c r="N81" i="78" s="1"/>
  <c r="I115" i="50"/>
  <c r="J98" i="79" s="1"/>
  <c r="K75" i="78" s="1"/>
  <c r="L115" i="50"/>
  <c r="M98" i="79" s="1"/>
  <c r="N75" i="78" s="1"/>
  <c r="C115" i="50"/>
  <c r="D98" i="79" s="1"/>
  <c r="E75" i="78" s="1"/>
  <c r="F115" i="50"/>
  <c r="G98" i="79" s="1"/>
  <c r="H75" i="78" s="1"/>
  <c r="J115" i="50"/>
  <c r="K98" i="79" s="1"/>
  <c r="L75" i="78" s="1"/>
  <c r="P73" i="35"/>
  <c r="K115" i="50"/>
  <c r="L98" i="79" s="1"/>
  <c r="M75" i="78" s="1"/>
  <c r="P73" i="42"/>
  <c r="I114" i="50"/>
  <c r="J91" i="79" s="1"/>
  <c r="K69" i="78" s="1"/>
  <c r="G114" i="50"/>
  <c r="H91" i="79" s="1"/>
  <c r="I69" i="78" s="1"/>
  <c r="F114" i="50"/>
  <c r="G91" i="79" s="1"/>
  <c r="H69" i="78" s="1"/>
  <c r="L114" i="50"/>
  <c r="M91" i="79" s="1"/>
  <c r="N69" i="78" s="1"/>
  <c r="B114" i="50"/>
  <c r="P73" i="41"/>
  <c r="H114" i="50"/>
  <c r="I91" i="79" s="1"/>
  <c r="J69" i="78" s="1"/>
  <c r="E114" i="50"/>
  <c r="F91" i="79" s="1"/>
  <c r="G69" i="78" s="1"/>
  <c r="D114" i="50"/>
  <c r="E91" i="79" s="1"/>
  <c r="F69" i="78" s="1"/>
  <c r="K114" i="50"/>
  <c r="L91" i="79" s="1"/>
  <c r="M69" i="78" s="1"/>
  <c r="C114" i="50"/>
  <c r="D91" i="79" s="1"/>
  <c r="E69" i="78" s="1"/>
  <c r="J114" i="50"/>
  <c r="K91" i="79" s="1"/>
  <c r="L69" i="78" s="1"/>
  <c r="M114" i="50"/>
  <c r="N91" i="79" s="1"/>
  <c r="O69" i="78" s="1"/>
  <c r="J113" i="50"/>
  <c r="K84" i="79" s="1"/>
  <c r="L63" i="78" s="1"/>
  <c r="M113" i="50"/>
  <c r="N84" i="79" s="1"/>
  <c r="O63" i="78" s="1"/>
  <c r="E113" i="50"/>
  <c r="F84" i="79" s="1"/>
  <c r="G63" i="78" s="1"/>
  <c r="I113" i="50"/>
  <c r="J84" i="79" s="1"/>
  <c r="K63" i="78" s="1"/>
  <c r="F113" i="50"/>
  <c r="G84" i="79" s="1"/>
  <c r="H63" i="78" s="1"/>
  <c r="C113" i="50"/>
  <c r="D84" i="79" s="1"/>
  <c r="E63" i="78" s="1"/>
  <c r="B113" i="50"/>
  <c r="P73" i="40"/>
  <c r="K113" i="50"/>
  <c r="L84" i="79" s="1"/>
  <c r="M63" i="78" s="1"/>
  <c r="H113" i="50"/>
  <c r="I84" i="79" s="1"/>
  <c r="J63" i="78" s="1"/>
  <c r="G113" i="50"/>
  <c r="H84" i="79" s="1"/>
  <c r="I63" i="78" s="1"/>
  <c r="D113" i="50"/>
  <c r="E84" i="79" s="1"/>
  <c r="F63" i="78" s="1"/>
  <c r="L113" i="50"/>
  <c r="M84" i="79" s="1"/>
  <c r="N63" i="78" s="1"/>
  <c r="M112" i="50"/>
  <c r="N77" i="79" s="1"/>
  <c r="O57" i="78" s="1"/>
  <c r="D112" i="50"/>
  <c r="E77" i="79" s="1"/>
  <c r="F57" i="78" s="1"/>
  <c r="H112" i="50"/>
  <c r="I77" i="79" s="1"/>
  <c r="J57" i="78" s="1"/>
  <c r="E112" i="50"/>
  <c r="F77" i="79" s="1"/>
  <c r="G57" i="78" s="1"/>
  <c r="F112" i="50"/>
  <c r="G77" i="79" s="1"/>
  <c r="H57" i="78" s="1"/>
  <c r="J112" i="50"/>
  <c r="K77" i="79" s="1"/>
  <c r="L57" i="78" s="1"/>
  <c r="K112" i="50"/>
  <c r="L77" i="79" s="1"/>
  <c r="M57" i="78" s="1"/>
  <c r="C112" i="50"/>
  <c r="D77" i="79" s="1"/>
  <c r="E57" i="78" s="1"/>
  <c r="G112" i="50"/>
  <c r="H77" i="79" s="1"/>
  <c r="I57" i="78" s="1"/>
  <c r="L112" i="50"/>
  <c r="M77" i="79" s="1"/>
  <c r="N57" i="78" s="1"/>
  <c r="I112" i="50"/>
  <c r="J77" i="79" s="1"/>
  <c r="K57" i="78" s="1"/>
  <c r="B112" i="50"/>
  <c r="P73" i="39"/>
  <c r="D111" i="50"/>
  <c r="E70" i="79" s="1"/>
  <c r="F111" i="78" s="1"/>
  <c r="I111" i="50"/>
  <c r="J70" i="79" s="1"/>
  <c r="K111" i="78" s="1"/>
  <c r="K111" i="50"/>
  <c r="L70" i="79" s="1"/>
  <c r="M111" i="78" s="1"/>
  <c r="E111" i="50"/>
  <c r="F70" i="79" s="1"/>
  <c r="G111" i="78" s="1"/>
  <c r="C111" i="50"/>
  <c r="D70" i="79" s="1"/>
  <c r="E111" i="78" s="1"/>
  <c r="J111" i="50"/>
  <c r="K70" i="79" s="1"/>
  <c r="L111" i="78" s="1"/>
  <c r="I110" i="50"/>
  <c r="J63" i="79" s="1"/>
  <c r="K105" i="78" s="1"/>
  <c r="L110" i="50"/>
  <c r="M63" i="79" s="1"/>
  <c r="N105" i="78" s="1"/>
  <c r="K110" i="50"/>
  <c r="L63" i="79" s="1"/>
  <c r="M105" i="78" s="1"/>
  <c r="H110" i="50"/>
  <c r="I63" i="79" s="1"/>
  <c r="J105" i="78" s="1"/>
  <c r="E110" i="50"/>
  <c r="F63" i="79" s="1"/>
  <c r="G105" i="78" s="1"/>
  <c r="M110" i="50"/>
  <c r="N63" i="79" s="1"/>
  <c r="O105" i="78" s="1"/>
  <c r="F110" i="50"/>
  <c r="G63" i="79" s="1"/>
  <c r="H105" i="78" s="1"/>
  <c r="J110" i="50"/>
  <c r="K63" i="79" s="1"/>
  <c r="L105" i="78" s="1"/>
  <c r="D110" i="50"/>
  <c r="E63" i="79" s="1"/>
  <c r="F105" i="78" s="1"/>
  <c r="G110" i="50"/>
  <c r="H63" i="79" s="1"/>
  <c r="I105" i="78" s="1"/>
  <c r="B110" i="50"/>
  <c r="P73" i="34"/>
  <c r="C110" i="50"/>
  <c r="D63" i="79" s="1"/>
  <c r="E105" i="78" s="1"/>
  <c r="D109" i="50"/>
  <c r="E56" i="79" s="1"/>
  <c r="F51" i="78" s="1"/>
  <c r="I109" i="50"/>
  <c r="J56" i="79" s="1"/>
  <c r="K51" i="78" s="1"/>
  <c r="F109" i="50"/>
  <c r="G56" i="79" s="1"/>
  <c r="H51" i="78" s="1"/>
  <c r="M109" i="50"/>
  <c r="N56" i="79" s="1"/>
  <c r="O51" i="78" s="1"/>
  <c r="C109" i="50"/>
  <c r="D56" i="79" s="1"/>
  <c r="E51" i="78" s="1"/>
  <c r="L109" i="50"/>
  <c r="M56" i="79" s="1"/>
  <c r="N51" i="78" s="1"/>
  <c r="J109" i="50"/>
  <c r="K56" i="79" s="1"/>
  <c r="L51" i="78" s="1"/>
  <c r="E109" i="50"/>
  <c r="F56" i="79" s="1"/>
  <c r="G51" i="78" s="1"/>
  <c r="B109" i="50"/>
  <c r="P73" i="33"/>
  <c r="K109" i="50"/>
  <c r="L56" i="79" s="1"/>
  <c r="M51" i="78" s="1"/>
  <c r="G109" i="50"/>
  <c r="H56" i="79" s="1"/>
  <c r="I51" i="78" s="1"/>
  <c r="H109" i="50"/>
  <c r="I56" i="79" s="1"/>
  <c r="J51" i="78" s="1"/>
  <c r="G77" i="32"/>
  <c r="F108" i="50"/>
  <c r="G49" i="79" s="1"/>
  <c r="H45" i="78" s="1"/>
  <c r="K77" i="32"/>
  <c r="J108" i="50"/>
  <c r="K49" i="79" s="1"/>
  <c r="L45" i="78" s="1"/>
  <c r="N77" i="32"/>
  <c r="M108" i="50"/>
  <c r="N49" i="79" s="1"/>
  <c r="O45" i="78" s="1"/>
  <c r="M77" i="32"/>
  <c r="L108" i="50"/>
  <c r="M49" i="79" s="1"/>
  <c r="N45" i="78" s="1"/>
  <c r="I77" i="32"/>
  <c r="H108" i="50"/>
  <c r="I49" i="79" s="1"/>
  <c r="J45" i="78" s="1"/>
  <c r="C77" i="32"/>
  <c r="B108" i="50"/>
  <c r="P74" i="32"/>
  <c r="F77" i="32"/>
  <c r="E108" i="50"/>
  <c r="F49" i="79" s="1"/>
  <c r="G45" i="78" s="1"/>
  <c r="H77" i="32"/>
  <c r="G108" i="50"/>
  <c r="H49" i="79" s="1"/>
  <c r="I45" i="78" s="1"/>
  <c r="J77" i="32"/>
  <c r="I108" i="50"/>
  <c r="J49" i="79" s="1"/>
  <c r="K45" i="78" s="1"/>
  <c r="E77" i="32"/>
  <c r="D108" i="50"/>
  <c r="E49" i="79" s="1"/>
  <c r="F45" i="78" s="1"/>
  <c r="N107" i="59"/>
  <c r="C50" i="79"/>
  <c r="O107" i="59"/>
  <c r="T50" i="79" s="1"/>
  <c r="L77" i="32"/>
  <c r="K108" i="50"/>
  <c r="L49" i="79" s="1"/>
  <c r="M45" i="78" s="1"/>
  <c r="D77" i="32"/>
  <c r="C108" i="50"/>
  <c r="D49" i="79" s="1"/>
  <c r="E45" i="78" s="1"/>
  <c r="J76" i="26"/>
  <c r="I105" i="50"/>
  <c r="J28" i="79" s="1"/>
  <c r="K27" i="78" s="1"/>
  <c r="M76" i="26"/>
  <c r="L105" i="50"/>
  <c r="M28" i="79" s="1"/>
  <c r="N27" i="78" s="1"/>
  <c r="C14" i="79"/>
  <c r="F76" i="26"/>
  <c r="E105" i="50"/>
  <c r="F28" i="79" s="1"/>
  <c r="G27" i="78" s="1"/>
  <c r="P73" i="25"/>
  <c r="B104" i="50"/>
  <c r="G76" i="26"/>
  <c r="F105" i="50"/>
  <c r="G28" i="79" s="1"/>
  <c r="H27" i="78" s="1"/>
  <c r="D76" i="26"/>
  <c r="C105" i="50"/>
  <c r="D28" i="79" s="1"/>
  <c r="E27" i="78" s="1"/>
  <c r="C76" i="26"/>
  <c r="P73" i="26"/>
  <c r="B105" i="50"/>
  <c r="C36" i="79"/>
  <c r="N105" i="59"/>
  <c r="O105" i="59"/>
  <c r="T36" i="79" s="1"/>
  <c r="D31" i="78"/>
  <c r="R37" i="79"/>
  <c r="H35" i="79"/>
  <c r="I33" i="78" s="1"/>
  <c r="D35" i="79"/>
  <c r="E33" i="78" s="1"/>
  <c r="F35" i="79"/>
  <c r="G33" i="78" s="1"/>
  <c r="N35" i="79"/>
  <c r="O33" i="78" s="1"/>
  <c r="L35" i="79"/>
  <c r="M33" i="78" s="1"/>
  <c r="J35" i="79"/>
  <c r="K33" i="78" s="1"/>
  <c r="K35" i="79"/>
  <c r="L33" i="78" s="1"/>
  <c r="O106" i="50"/>
  <c r="C35" i="79"/>
  <c r="N106" i="50"/>
  <c r="E35" i="79"/>
  <c r="F33" i="78" s="1"/>
  <c r="M35" i="79"/>
  <c r="N33" i="78" s="1"/>
  <c r="G14" i="59"/>
  <c r="C78" i="79"/>
  <c r="O111" i="59"/>
  <c r="N111" i="59"/>
  <c r="C85" i="79"/>
  <c r="N112" i="59"/>
  <c r="O112" i="59"/>
  <c r="T85" i="79" s="1"/>
  <c r="C22" i="79"/>
  <c r="N103" i="59"/>
  <c r="O103" i="59"/>
  <c r="T22" i="79" s="1"/>
  <c r="C92" i="79"/>
  <c r="O113" i="59"/>
  <c r="T92" i="79" s="1"/>
  <c r="N113" i="59"/>
  <c r="C71" i="79"/>
  <c r="O110" i="59"/>
  <c r="T71" i="79" s="1"/>
  <c r="N110" i="59"/>
  <c r="C57" i="79"/>
  <c r="O108" i="59"/>
  <c r="T57" i="79" s="1"/>
  <c r="N108" i="59"/>
  <c r="C106" i="79"/>
  <c r="N115" i="59"/>
  <c r="O115" i="59"/>
  <c r="T106" i="79" s="1"/>
  <c r="C127" i="79"/>
  <c r="N118" i="59"/>
  <c r="O118" i="59"/>
  <c r="T127" i="79" s="1"/>
  <c r="C120" i="79"/>
  <c r="N117" i="59"/>
  <c r="O117" i="59"/>
  <c r="T120" i="79" s="1"/>
  <c r="F113" i="79"/>
  <c r="C64" i="79"/>
  <c r="N109" i="59"/>
  <c r="O109" i="59"/>
  <c r="T64" i="79" s="1"/>
  <c r="C99" i="79"/>
  <c r="O114" i="59"/>
  <c r="T99" i="79" s="1"/>
  <c r="N114" i="59"/>
  <c r="C29" i="79"/>
  <c r="N104" i="59"/>
  <c r="O104" i="59"/>
  <c r="T29" i="79" s="1"/>
  <c r="I58" i="26"/>
  <c r="H14" i="60" s="1"/>
  <c r="I30" i="70" s="1"/>
  <c r="J25" i="66" s="1"/>
  <c r="D14" i="59"/>
  <c r="E29" i="70" s="1"/>
  <c r="F26" i="66" s="1"/>
  <c r="J102" i="60"/>
  <c r="K16" i="79" s="1"/>
  <c r="L13" i="78" s="1"/>
  <c r="M102" i="60"/>
  <c r="N16" i="79" s="1"/>
  <c r="O13" i="78" s="1"/>
  <c r="F102" i="60"/>
  <c r="G16" i="79" s="1"/>
  <c r="H13" i="78" s="1"/>
  <c r="F73" i="23"/>
  <c r="E102" i="60"/>
  <c r="F16" i="79" s="1"/>
  <c r="G13" i="78" s="1"/>
  <c r="C102" i="60"/>
  <c r="D16" i="79" s="1"/>
  <c r="L13" i="59"/>
  <c r="M22" i="70" s="1"/>
  <c r="N20" i="66" s="1"/>
  <c r="J58" i="25"/>
  <c r="I13" i="60" s="1"/>
  <c r="J23" i="70" s="1"/>
  <c r="K19" i="66" s="1"/>
  <c r="H26" i="59"/>
  <c r="I113" i="70" s="1"/>
  <c r="J86" i="66" s="1"/>
  <c r="G26" i="59"/>
  <c r="H113" i="70" s="1"/>
  <c r="I86" i="66" s="1"/>
  <c r="H58" i="46"/>
  <c r="G25" i="60" s="1"/>
  <c r="D25" i="59"/>
  <c r="E106" i="70" s="1"/>
  <c r="F80" i="66" s="1"/>
  <c r="H25" i="59"/>
  <c r="I106" i="70" s="1"/>
  <c r="J80" i="66" s="1"/>
  <c r="G24" i="59"/>
  <c r="H99" i="70" s="1"/>
  <c r="I74" i="66" s="1"/>
  <c r="M58" i="41"/>
  <c r="L23" i="60" s="1"/>
  <c r="M93" i="70" s="1"/>
  <c r="N67" i="66" s="1"/>
  <c r="G23" i="59"/>
  <c r="H92" i="70" s="1"/>
  <c r="I68" i="66" s="1"/>
  <c r="J58" i="41"/>
  <c r="I23" i="60" s="1"/>
  <c r="J93" i="70" s="1"/>
  <c r="K67" i="66" s="1"/>
  <c r="C22" i="59"/>
  <c r="D85" i="70" s="1"/>
  <c r="E62" i="66" s="1"/>
  <c r="G21" i="59"/>
  <c r="H78" i="70" s="1"/>
  <c r="I56" i="66" s="1"/>
  <c r="G19" i="59"/>
  <c r="H64" i="70" s="1"/>
  <c r="I104" i="66" s="1"/>
  <c r="L58" i="33"/>
  <c r="K18" i="60" s="1"/>
  <c r="L58" i="70" s="1"/>
  <c r="M49" i="66" s="1"/>
  <c r="C18" i="59"/>
  <c r="D57" i="70" s="1"/>
  <c r="I58" i="33"/>
  <c r="H18" i="60" s="1"/>
  <c r="I58" i="70" s="1"/>
  <c r="J49" i="66" s="1"/>
  <c r="G15" i="59"/>
  <c r="K15" i="60"/>
  <c r="L37" i="70" s="1"/>
  <c r="M31" i="66" s="1"/>
  <c r="I53" i="23"/>
  <c r="I54" i="23" s="1"/>
  <c r="I71" i="23" s="1"/>
  <c r="H53" i="23"/>
  <c r="H54" i="23" s="1"/>
  <c r="H71" i="23" s="1"/>
  <c r="M53" i="23"/>
  <c r="M54" i="23" s="1"/>
  <c r="M71" i="23" s="1"/>
  <c r="J53" i="23"/>
  <c r="J54" i="23" s="1"/>
  <c r="J71" i="23" s="1"/>
  <c r="L53" i="23"/>
  <c r="L54" i="23" s="1"/>
  <c r="L71" i="23" s="1"/>
  <c r="E53" i="23"/>
  <c r="E54" i="23" s="1"/>
  <c r="E71" i="23" s="1"/>
  <c r="M40" i="23"/>
  <c r="Q159" i="70"/>
  <c r="N36" i="60"/>
  <c r="O36" i="60" s="1"/>
  <c r="P129" i="68"/>
  <c r="G123" i="66"/>
  <c r="G129" i="66"/>
  <c r="F123" i="66"/>
  <c r="F129" i="66"/>
  <c r="H122" i="66"/>
  <c r="H128" i="66"/>
  <c r="K123" i="66"/>
  <c r="K129" i="66"/>
  <c r="L123" i="66"/>
  <c r="L129" i="66"/>
  <c r="N122" i="66"/>
  <c r="N128" i="66"/>
  <c r="E122" i="66"/>
  <c r="E128" i="66"/>
  <c r="D123" i="66"/>
  <c r="D129" i="66"/>
  <c r="E123" i="66"/>
  <c r="E129" i="66"/>
  <c r="H123" i="66"/>
  <c r="H129" i="66"/>
  <c r="G122" i="66"/>
  <c r="G128" i="66"/>
  <c r="M122" i="66"/>
  <c r="M128" i="66"/>
  <c r="K122" i="66"/>
  <c r="K128" i="66"/>
  <c r="L122" i="66"/>
  <c r="L128" i="66"/>
  <c r="F122" i="66"/>
  <c r="F128" i="66"/>
  <c r="M123" i="66"/>
  <c r="M129" i="66"/>
  <c r="N123" i="66"/>
  <c r="N129" i="66"/>
  <c r="D44" i="66"/>
  <c r="D109" i="66"/>
  <c r="D55" i="66"/>
  <c r="D19" i="66"/>
  <c r="R220" i="69"/>
  <c r="P42" i="70"/>
  <c r="P21" i="70"/>
  <c r="E81" i="66"/>
  <c r="D20" i="66"/>
  <c r="D37" i="66"/>
  <c r="D49" i="66"/>
  <c r="D99" i="66"/>
  <c r="E69" i="66"/>
  <c r="P98" i="70"/>
  <c r="E86" i="68" s="1"/>
  <c r="R160" i="70"/>
  <c r="D80" i="66"/>
  <c r="D26" i="66"/>
  <c r="D31" i="66"/>
  <c r="D97" i="66"/>
  <c r="E185" i="65"/>
  <c r="P19" i="68"/>
  <c r="P37" i="68"/>
  <c r="P13" i="68"/>
  <c r="P67" i="68"/>
  <c r="P61" i="68"/>
  <c r="P79" i="68"/>
  <c r="P49" i="68"/>
  <c r="P31" i="68"/>
  <c r="P141" i="68"/>
  <c r="P55" i="68"/>
  <c r="P25" i="68"/>
  <c r="P73" i="68"/>
  <c r="P85" i="68"/>
  <c r="P97" i="68"/>
  <c r="P123" i="68"/>
  <c r="P135" i="68"/>
  <c r="G138" i="68"/>
  <c r="P43" i="68"/>
  <c r="P103" i="68"/>
  <c r="P109" i="68"/>
  <c r="G199" i="69"/>
  <c r="I184" i="65" s="1"/>
  <c r="T229" i="69"/>
  <c r="U229" i="69" s="1"/>
  <c r="U166" i="79"/>
  <c r="N31" i="79"/>
  <c r="L199" i="69"/>
  <c r="N184" i="65" s="1"/>
  <c r="D199" i="69"/>
  <c r="F184" i="65" s="1"/>
  <c r="E199" i="69"/>
  <c r="G184" i="65" s="1"/>
  <c r="K230" i="69"/>
  <c r="M213" i="65" s="1"/>
  <c r="K168" i="79"/>
  <c r="P117" i="68"/>
  <c r="J199" i="69"/>
  <c r="L184" i="65" s="1"/>
  <c r="F199" i="69"/>
  <c r="H184" i="65" s="1"/>
  <c r="M199" i="69"/>
  <c r="O184" i="65" s="1"/>
  <c r="N230" i="69"/>
  <c r="P213" i="65" s="1"/>
  <c r="N168" i="79"/>
  <c r="I198" i="69"/>
  <c r="K185" i="65" s="1"/>
  <c r="H198" i="69"/>
  <c r="J185" i="65" s="1"/>
  <c r="N198" i="69"/>
  <c r="P185" i="65" s="1"/>
  <c r="K199" i="69"/>
  <c r="M184" i="65" s="1"/>
  <c r="C199" i="69"/>
  <c r="P91" i="68"/>
  <c r="N79" i="50"/>
  <c r="F31" i="70"/>
  <c r="C101" i="70"/>
  <c r="D73" i="66"/>
  <c r="C87" i="70"/>
  <c r="D61" i="66"/>
  <c r="G24" i="70"/>
  <c r="L73" i="70"/>
  <c r="N31" i="70"/>
  <c r="E22" i="70"/>
  <c r="F20" i="66" s="1"/>
  <c r="N22" i="70"/>
  <c r="O20" i="66" s="1"/>
  <c r="I22" i="70"/>
  <c r="J20" i="66" s="1"/>
  <c r="D22" i="70"/>
  <c r="E20" i="66" s="1"/>
  <c r="H22" i="70"/>
  <c r="I20" i="66" s="1"/>
  <c r="F22" i="70"/>
  <c r="G20" i="66" s="1"/>
  <c r="D38" i="70"/>
  <c r="H28" i="70"/>
  <c r="I27" i="66" s="1"/>
  <c r="C28" i="70"/>
  <c r="D30" i="70"/>
  <c r="K30" i="70"/>
  <c r="E28" i="70"/>
  <c r="F27" i="66" s="1"/>
  <c r="I29" i="70"/>
  <c r="J26" i="66" s="1"/>
  <c r="H29" i="70"/>
  <c r="I26" i="66" s="1"/>
  <c r="G31" i="70"/>
  <c r="I28" i="70"/>
  <c r="J27" i="66" s="1"/>
  <c r="J28" i="70"/>
  <c r="K27" i="66" s="1"/>
  <c r="M29" i="70"/>
  <c r="N26" i="66" s="1"/>
  <c r="K36" i="70"/>
  <c r="L32" i="66" s="1"/>
  <c r="G37" i="70"/>
  <c r="H31" i="66" s="1"/>
  <c r="N36" i="70"/>
  <c r="O32" i="66" s="1"/>
  <c r="E35" i="70"/>
  <c r="M35" i="70"/>
  <c r="N33" i="66" s="1"/>
  <c r="F37" i="70"/>
  <c r="G31" i="66" s="1"/>
  <c r="J52" i="70"/>
  <c r="J36" i="70"/>
  <c r="K32" i="66" s="1"/>
  <c r="H36" i="70"/>
  <c r="I32" i="66" s="1"/>
  <c r="H43" i="70"/>
  <c r="I38" i="66" s="1"/>
  <c r="K80" i="70"/>
  <c r="G59" i="70"/>
  <c r="M44" i="70"/>
  <c r="N37" i="66" s="1"/>
  <c r="G44" i="70"/>
  <c r="K44" i="70"/>
  <c r="L37" i="66" s="1"/>
  <c r="F43" i="70"/>
  <c r="D73" i="70"/>
  <c r="J44" i="70"/>
  <c r="K37" i="66" s="1"/>
  <c r="E43" i="70"/>
  <c r="F38" i="66" s="1"/>
  <c r="I43" i="70"/>
  <c r="J38" i="66" s="1"/>
  <c r="N43" i="70"/>
  <c r="O38" i="66" s="1"/>
  <c r="D50" i="70"/>
  <c r="E44" i="66" s="1"/>
  <c r="L51" i="70"/>
  <c r="M43" i="66" s="1"/>
  <c r="I49" i="70"/>
  <c r="J45" i="66" s="1"/>
  <c r="M52" i="70"/>
  <c r="L49" i="70"/>
  <c r="M45" i="66" s="1"/>
  <c r="F59" i="70"/>
  <c r="G52" i="70"/>
  <c r="F50" i="70"/>
  <c r="E49" i="70"/>
  <c r="F45" i="66" s="1"/>
  <c r="K50" i="70"/>
  <c r="L44" i="66" s="1"/>
  <c r="E51" i="70"/>
  <c r="F43" i="66" s="1"/>
  <c r="N50" i="70"/>
  <c r="L50" i="70"/>
  <c r="M44" i="66" s="1"/>
  <c r="E50" i="70"/>
  <c r="N56" i="70"/>
  <c r="O51" i="66" s="1"/>
  <c r="L56" i="70"/>
  <c r="M51" i="66" s="1"/>
  <c r="K59" i="70"/>
  <c r="J58" i="70"/>
  <c r="K49" i="66" s="1"/>
  <c r="H56" i="70"/>
  <c r="I51" i="66" s="1"/>
  <c r="M58" i="70"/>
  <c r="N49" i="66" s="1"/>
  <c r="M56" i="70"/>
  <c r="N51" i="66" s="1"/>
  <c r="I56" i="70"/>
  <c r="J51" i="66" s="1"/>
  <c r="F80" i="70"/>
  <c r="H58" i="70"/>
  <c r="I49" i="66" s="1"/>
  <c r="E57" i="70"/>
  <c r="F50" i="66" s="1"/>
  <c r="F73" i="70"/>
  <c r="K66" i="70"/>
  <c r="G66" i="70"/>
  <c r="N64" i="70"/>
  <c r="O104" i="66" s="1"/>
  <c r="E65" i="70"/>
  <c r="F103" i="66" s="1"/>
  <c r="L64" i="70"/>
  <c r="M104" i="66" s="1"/>
  <c r="M65" i="70"/>
  <c r="E63" i="70"/>
  <c r="F105" i="66" s="1"/>
  <c r="H63" i="70"/>
  <c r="I105" i="66" s="1"/>
  <c r="J65" i="70"/>
  <c r="K103" i="66" s="1"/>
  <c r="K73" i="70"/>
  <c r="F64" i="70"/>
  <c r="G104" i="66" s="1"/>
  <c r="I65" i="70"/>
  <c r="J103" i="66" s="1"/>
  <c r="C63" i="70"/>
  <c r="J63" i="70"/>
  <c r="K105" i="66" s="1"/>
  <c r="N70" i="70"/>
  <c r="O111" i="66" s="1"/>
  <c r="H71" i="70"/>
  <c r="M71" i="70"/>
  <c r="G73" i="70"/>
  <c r="L80" i="70"/>
  <c r="J71" i="70"/>
  <c r="K110" i="66" s="1"/>
  <c r="E71" i="70"/>
  <c r="F110" i="66" s="1"/>
  <c r="J70" i="70"/>
  <c r="K111" i="66" s="1"/>
  <c r="I77" i="70"/>
  <c r="J57" i="66" s="1"/>
  <c r="G80" i="70"/>
  <c r="D80" i="70"/>
  <c r="N77" i="70"/>
  <c r="O57" i="66" s="1"/>
  <c r="M77" i="70"/>
  <c r="N57" i="66" s="1"/>
  <c r="M79" i="70"/>
  <c r="N55" i="66" s="1"/>
  <c r="J78" i="70"/>
  <c r="K56" i="66" s="1"/>
  <c r="E77" i="70"/>
  <c r="F57" i="66" s="1"/>
  <c r="E78" i="70"/>
  <c r="F56" i="66" s="1"/>
  <c r="I84" i="70"/>
  <c r="J63" i="66" s="1"/>
  <c r="F85" i="70"/>
  <c r="H86" i="70"/>
  <c r="I61" i="66" s="1"/>
  <c r="M85" i="70"/>
  <c r="N62" i="66" s="1"/>
  <c r="N86" i="70"/>
  <c r="O61" i="66" s="1"/>
  <c r="D84" i="70"/>
  <c r="H85" i="70"/>
  <c r="I62" i="66" s="1"/>
  <c r="J86" i="70"/>
  <c r="K61" i="66" s="1"/>
  <c r="K85" i="70"/>
  <c r="L62" i="66" s="1"/>
  <c r="N85" i="70"/>
  <c r="O62" i="66" s="1"/>
  <c r="G85" i="70"/>
  <c r="H62" i="66" s="1"/>
  <c r="E86" i="70"/>
  <c r="J85" i="70"/>
  <c r="K62" i="66" s="1"/>
  <c r="E92" i="70"/>
  <c r="F68" i="66" s="1"/>
  <c r="K93" i="70"/>
  <c r="L67" i="66" s="1"/>
  <c r="L92" i="70"/>
  <c r="M68" i="66" s="1"/>
  <c r="L23" i="59"/>
  <c r="J91" i="70"/>
  <c r="K69" i="66" s="1"/>
  <c r="N92" i="70"/>
  <c r="O68" i="66" s="1"/>
  <c r="G92" i="70"/>
  <c r="H68" i="66" s="1"/>
  <c r="F93" i="70"/>
  <c r="G67" i="66" s="1"/>
  <c r="C92" i="70"/>
  <c r="M91" i="70"/>
  <c r="N69" i="66" s="1"/>
  <c r="I99" i="70"/>
  <c r="J74" i="66" s="1"/>
  <c r="G100" i="70"/>
  <c r="J99" i="70"/>
  <c r="N99" i="70"/>
  <c r="O74" i="66" s="1"/>
  <c r="F100" i="70"/>
  <c r="G73" i="66" s="1"/>
  <c r="E99" i="70"/>
  <c r="F74" i="66" s="1"/>
  <c r="M99" i="70"/>
  <c r="N74" i="66" s="1"/>
  <c r="K100" i="70"/>
  <c r="L73" i="66" s="1"/>
  <c r="D106" i="70"/>
  <c r="E80" i="66" s="1"/>
  <c r="C107" i="70"/>
  <c r="N106" i="70"/>
  <c r="O80" i="66" s="1"/>
  <c r="J106" i="70"/>
  <c r="K80" i="66" s="1"/>
  <c r="F106" i="70"/>
  <c r="G80" i="66" s="1"/>
  <c r="G107" i="70"/>
  <c r="E105" i="70"/>
  <c r="F81" i="66" s="1"/>
  <c r="H107" i="70"/>
  <c r="I79" i="66" s="1"/>
  <c r="K106" i="70"/>
  <c r="L80" i="66" s="1"/>
  <c r="L106" i="70"/>
  <c r="M80" i="66" s="1"/>
  <c r="I105" i="70"/>
  <c r="J81" i="66" s="1"/>
  <c r="L107" i="70"/>
  <c r="M79" i="66" s="1"/>
  <c r="N107" i="70"/>
  <c r="O79" i="66" s="1"/>
  <c r="J107" i="70"/>
  <c r="K79" i="66" s="1"/>
  <c r="M107" i="70"/>
  <c r="K113" i="70"/>
  <c r="L86" i="66" s="1"/>
  <c r="F113" i="70"/>
  <c r="G86" i="66" s="1"/>
  <c r="J113" i="70"/>
  <c r="K86" i="66" s="1"/>
  <c r="C114" i="70"/>
  <c r="M113" i="70"/>
  <c r="L113" i="70"/>
  <c r="M86" i="66" s="1"/>
  <c r="G114" i="70"/>
  <c r="H85" i="66" s="1"/>
  <c r="H112" i="70"/>
  <c r="I87" i="66" s="1"/>
  <c r="N144" i="70"/>
  <c r="O79" i="50"/>
  <c r="B43" i="50"/>
  <c r="I144" i="70"/>
  <c r="H144" i="70"/>
  <c r="M127" i="70"/>
  <c r="N98" i="66" s="1"/>
  <c r="K126" i="70"/>
  <c r="L99" i="66" s="1"/>
  <c r="J126" i="70"/>
  <c r="K99" i="66" s="1"/>
  <c r="F126" i="70"/>
  <c r="G99" i="66" s="1"/>
  <c r="E126" i="70"/>
  <c r="F99" i="66" s="1"/>
  <c r="L126" i="70"/>
  <c r="M99" i="66" s="1"/>
  <c r="D127" i="70"/>
  <c r="E98" i="66" s="1"/>
  <c r="G127" i="70"/>
  <c r="H98" i="66" s="1"/>
  <c r="M126" i="70"/>
  <c r="N99" i="66" s="1"/>
  <c r="D126" i="70"/>
  <c r="E99" i="66" s="1"/>
  <c r="K120" i="70"/>
  <c r="L92" i="66" s="1"/>
  <c r="N120" i="70"/>
  <c r="E119" i="70"/>
  <c r="F93" i="66" s="1"/>
  <c r="G120" i="70"/>
  <c r="H92" i="66" s="1"/>
  <c r="C121" i="70"/>
  <c r="E120" i="70"/>
  <c r="F92" i="66" s="1"/>
  <c r="D119" i="70"/>
  <c r="H120" i="70"/>
  <c r="I92" i="66" s="1"/>
  <c r="C120" i="70"/>
  <c r="J120" i="70"/>
  <c r="K92" i="66" s="1"/>
  <c r="J119" i="70"/>
  <c r="K93" i="66" s="1"/>
  <c r="F120" i="70"/>
  <c r="G92" i="66" s="1"/>
  <c r="M120" i="70"/>
  <c r="N92" i="66" s="1"/>
  <c r="L120" i="70"/>
  <c r="M92" i="66" s="1"/>
  <c r="L119" i="70"/>
  <c r="M93" i="66" s="1"/>
  <c r="P153" i="68"/>
  <c r="P165" i="68"/>
  <c r="P159" i="68"/>
  <c r="E144" i="68"/>
  <c r="N34" i="50"/>
  <c r="O34" i="50"/>
  <c r="T144" i="70" s="1"/>
  <c r="U269" i="69"/>
  <c r="U249" i="69"/>
  <c r="U259" i="69"/>
  <c r="B88" i="59"/>
  <c r="B34" i="59"/>
  <c r="B34" i="60"/>
  <c r="C146" i="70" s="1"/>
  <c r="E30" i="50"/>
  <c r="N23" i="50"/>
  <c r="N24" i="50"/>
  <c r="O24" i="50"/>
  <c r="T98" i="70" s="1"/>
  <c r="O23" i="50"/>
  <c r="T91" i="70" s="1"/>
  <c r="O25" i="50"/>
  <c r="T105" i="70" s="1"/>
  <c r="O26" i="50"/>
  <c r="T112" i="70" s="1"/>
  <c r="B28" i="59"/>
  <c r="C127" i="70" s="1"/>
  <c r="M28" i="50"/>
  <c r="N27" i="50"/>
  <c r="O27" i="50"/>
  <c r="T119" i="70" s="1"/>
  <c r="N26" i="50"/>
  <c r="N25" i="50"/>
  <c r="P60" i="32"/>
  <c r="B17" i="60"/>
  <c r="P59" i="42"/>
  <c r="H58" i="42"/>
  <c r="G24" i="60" s="1"/>
  <c r="H58" i="47"/>
  <c r="G26" i="60" s="1"/>
  <c r="M58" i="25"/>
  <c r="L13" i="60" s="1"/>
  <c r="K27" i="60"/>
  <c r="D27" i="60"/>
  <c r="L28" i="60"/>
  <c r="E58" i="46"/>
  <c r="D25" i="60" s="1"/>
  <c r="I58" i="46"/>
  <c r="H25" i="60" s="1"/>
  <c r="L16" i="59"/>
  <c r="I23" i="59"/>
  <c r="P59" i="34"/>
  <c r="C58" i="26"/>
  <c r="B14" i="60" s="1"/>
  <c r="N19" i="50"/>
  <c r="K16" i="59"/>
  <c r="J161" i="70"/>
  <c r="I14" i="59"/>
  <c r="I13" i="59"/>
  <c r="O19" i="50"/>
  <c r="T63" i="70" s="1"/>
  <c r="H58" i="34"/>
  <c r="G19" i="60" s="1"/>
  <c r="B19" i="59"/>
  <c r="C58" i="34"/>
  <c r="B19" i="60" s="1"/>
  <c r="C65" i="70" s="1"/>
  <c r="F28" i="60"/>
  <c r="H58" i="41"/>
  <c r="G23" i="60" s="1"/>
  <c r="I30" i="50"/>
  <c r="I45" i="50" s="1"/>
  <c r="K22" i="59"/>
  <c r="K22" i="60"/>
  <c r="L86" i="70" s="1"/>
  <c r="M61" i="66" s="1"/>
  <c r="H22" i="59"/>
  <c r="H22" i="60"/>
  <c r="K161" i="70"/>
  <c r="I27" i="60"/>
  <c r="K18" i="59"/>
  <c r="G15" i="60"/>
  <c r="B30" i="50"/>
  <c r="I12" i="59"/>
  <c r="J15" i="70" s="1"/>
  <c r="K14" i="66" s="1"/>
  <c r="I12" i="60"/>
  <c r="J16" i="70" s="1"/>
  <c r="K13" i="66" s="1"/>
  <c r="C28" i="60"/>
  <c r="H18" i="59"/>
  <c r="K15" i="59"/>
  <c r="K224" i="69"/>
  <c r="L30" i="50"/>
  <c r="N22" i="50"/>
  <c r="I161" i="70"/>
  <c r="K82" i="60"/>
  <c r="L15" i="60"/>
  <c r="M37" i="70" s="1"/>
  <c r="N31" i="66" s="1"/>
  <c r="L15" i="59"/>
  <c r="D26" i="59"/>
  <c r="E58" i="47"/>
  <c r="D26" i="60" s="1"/>
  <c r="E114" i="70" s="1"/>
  <c r="F85" i="66" s="1"/>
  <c r="N224" i="69"/>
  <c r="U166" i="70"/>
  <c r="E82" i="60"/>
  <c r="O36" i="50"/>
  <c r="T158" i="70" s="1"/>
  <c r="D15" i="60"/>
  <c r="E37" i="70" s="1"/>
  <c r="F31" i="66" s="1"/>
  <c r="D15" i="59"/>
  <c r="C82" i="60"/>
  <c r="L101" i="70"/>
  <c r="D30" i="50"/>
  <c r="L82" i="60"/>
  <c r="D82" i="60"/>
  <c r="E28" i="60"/>
  <c r="F128" i="70" s="1"/>
  <c r="G97" i="66" s="1"/>
  <c r="E28" i="59"/>
  <c r="F127" i="70" s="1"/>
  <c r="G98" i="66" s="1"/>
  <c r="H27" i="59"/>
  <c r="N58" i="35"/>
  <c r="M20" i="60" s="1"/>
  <c r="N72" i="70" s="1"/>
  <c r="O109" i="66" s="1"/>
  <c r="M20" i="59"/>
  <c r="H59" i="32"/>
  <c r="G17" i="59"/>
  <c r="I89" i="50"/>
  <c r="C43" i="50"/>
  <c r="K43" i="50"/>
  <c r="C89" i="50"/>
  <c r="E89" i="50"/>
  <c r="N17" i="70"/>
  <c r="M17" i="70"/>
  <c r="D101" i="70"/>
  <c r="C38" i="70"/>
  <c r="C59" i="70"/>
  <c r="F30" i="59"/>
  <c r="K30" i="50"/>
  <c r="L58" i="26"/>
  <c r="K14" i="59"/>
  <c r="L29" i="70" s="1"/>
  <c r="M26" i="66" s="1"/>
  <c r="O15" i="50"/>
  <c r="T35" i="70" s="1"/>
  <c r="O13" i="50"/>
  <c r="T21" i="70" s="1"/>
  <c r="I58" i="41"/>
  <c r="H23" i="59"/>
  <c r="I28" i="59"/>
  <c r="I28" i="60"/>
  <c r="J128" i="70" s="1"/>
  <c r="K97" i="66" s="1"/>
  <c r="J28" i="60"/>
  <c r="K128" i="70" s="1"/>
  <c r="L97" i="66" s="1"/>
  <c r="J28" i="59"/>
  <c r="D45" i="70"/>
  <c r="H17" i="70"/>
  <c r="N17" i="50"/>
  <c r="N18" i="50"/>
  <c r="K89" i="50"/>
  <c r="E43" i="50"/>
  <c r="N21" i="50"/>
  <c r="N58" i="39"/>
  <c r="M21" i="60" s="1"/>
  <c r="N79" i="70" s="1"/>
  <c r="O55" i="66" s="1"/>
  <c r="M21" i="59"/>
  <c r="K58" i="25"/>
  <c r="J13" i="59"/>
  <c r="K22" i="70" s="1"/>
  <c r="L20" i="66" s="1"/>
  <c r="N58" i="47"/>
  <c r="M26" i="60" s="1"/>
  <c r="N114" i="70" s="1"/>
  <c r="O85" i="66" s="1"/>
  <c r="M26" i="59"/>
  <c r="I58" i="39"/>
  <c r="H21" i="60" s="1"/>
  <c r="I79" i="70" s="1"/>
  <c r="J55" i="66" s="1"/>
  <c r="H21" i="59"/>
  <c r="I78" i="70" s="1"/>
  <c r="J56" i="66" s="1"/>
  <c r="M89" i="50"/>
  <c r="K28" i="60"/>
  <c r="L128" i="70" s="1"/>
  <c r="M97" i="66" s="1"/>
  <c r="K28" i="59"/>
  <c r="H15" i="59"/>
  <c r="I36" i="70" s="1"/>
  <c r="J32" i="66" s="1"/>
  <c r="P59" i="46"/>
  <c r="G25" i="59"/>
  <c r="L58" i="25"/>
  <c r="K13" i="60" s="1"/>
  <c r="L23" i="70" s="1"/>
  <c r="M19" i="66" s="1"/>
  <c r="K13" i="59"/>
  <c r="N16" i="50"/>
  <c r="O20" i="50"/>
  <c r="T70" i="70" s="1"/>
  <c r="F89" i="50"/>
  <c r="J89" i="50"/>
  <c r="L89" i="50"/>
  <c r="F43" i="50"/>
  <c r="F45" i="50" s="1"/>
  <c r="J43" i="50"/>
  <c r="L43" i="50"/>
  <c r="D43" i="50"/>
  <c r="D17" i="70"/>
  <c r="G17" i="70"/>
  <c r="D66" i="70"/>
  <c r="J30" i="50"/>
  <c r="C45" i="70"/>
  <c r="C24" i="70"/>
  <c r="O22" i="50"/>
  <c r="T84" i="70" s="1"/>
  <c r="B79" i="60"/>
  <c r="O14" i="50"/>
  <c r="T28" i="70" s="1"/>
  <c r="N58" i="33"/>
  <c r="M18" i="60" s="1"/>
  <c r="N58" i="70" s="1"/>
  <c r="O49" i="66" s="1"/>
  <c r="M18" i="59"/>
  <c r="I59" i="32"/>
  <c r="H17" i="60" s="1"/>
  <c r="I51" i="70" s="1"/>
  <c r="J43" i="66" s="1"/>
  <c r="H17" i="59"/>
  <c r="I58" i="35"/>
  <c r="H20" i="60" s="1"/>
  <c r="I72" i="70" s="1"/>
  <c r="J109" i="66" s="1"/>
  <c r="H20" i="59"/>
  <c r="I71" i="70" s="1"/>
  <c r="J110" i="66" s="1"/>
  <c r="D89" i="50"/>
  <c r="D28" i="60"/>
  <c r="E128" i="70" s="1"/>
  <c r="F97" i="66" s="1"/>
  <c r="D28" i="59"/>
  <c r="E17" i="70"/>
  <c r="F17" i="70"/>
  <c r="C80" i="70"/>
  <c r="K12" i="60"/>
  <c r="L16" i="70" s="1"/>
  <c r="M13" i="66" s="1"/>
  <c r="K12" i="59"/>
  <c r="L15" i="70" s="1"/>
  <c r="M14" i="66" s="1"/>
  <c r="H12" i="60"/>
  <c r="I16" i="70" s="1"/>
  <c r="J13" i="66" s="1"/>
  <c r="H12" i="59"/>
  <c r="I15" i="70" s="1"/>
  <c r="J14" i="66" s="1"/>
  <c r="I34" i="60"/>
  <c r="D79" i="60"/>
  <c r="I79" i="60"/>
  <c r="F79" i="60"/>
  <c r="K79" i="60"/>
  <c r="J79" i="60"/>
  <c r="C34" i="60"/>
  <c r="L79" i="60"/>
  <c r="E34" i="60"/>
  <c r="F34" i="60"/>
  <c r="K34" i="60"/>
  <c r="J34" i="60"/>
  <c r="C79" i="60"/>
  <c r="L34" i="60"/>
  <c r="E79" i="60"/>
  <c r="D34" i="60"/>
  <c r="O21" i="50"/>
  <c r="T77" i="70" s="1"/>
  <c r="N12" i="50"/>
  <c r="O12" i="50"/>
  <c r="T14" i="70" s="1"/>
  <c r="N14" i="50"/>
  <c r="O17" i="50"/>
  <c r="T49" i="70" s="1"/>
  <c r="O16" i="50"/>
  <c r="T42" i="70" s="1"/>
  <c r="N13" i="50"/>
  <c r="N15" i="50"/>
  <c r="N20" i="50"/>
  <c r="H34" i="59"/>
  <c r="I145" i="70" s="1"/>
  <c r="G79" i="59"/>
  <c r="M34" i="59"/>
  <c r="N145" i="70" s="1"/>
  <c r="H79" i="59"/>
  <c r="B89" i="50"/>
  <c r="I58" i="47"/>
  <c r="P59" i="47"/>
  <c r="G28" i="59"/>
  <c r="H58" i="39"/>
  <c r="P59" i="39"/>
  <c r="D58" i="33"/>
  <c r="P59" i="33"/>
  <c r="P59" i="40"/>
  <c r="H59" i="31"/>
  <c r="P60" i="31"/>
  <c r="P59" i="26"/>
  <c r="P59" i="25"/>
  <c r="P59" i="35"/>
  <c r="P60" i="30"/>
  <c r="P59" i="41"/>
  <c r="C30" i="50"/>
  <c r="O18" i="50"/>
  <c r="T56" i="70" s="1"/>
  <c r="P73" i="47" l="1"/>
  <c r="J76" i="47"/>
  <c r="G73" i="23"/>
  <c r="G76" i="23" s="1"/>
  <c r="N73" i="23"/>
  <c r="I72" i="23"/>
  <c r="L74" i="23"/>
  <c r="L72" i="23"/>
  <c r="L73" i="23" s="1"/>
  <c r="I74" i="23"/>
  <c r="E74" i="23"/>
  <c r="E72" i="23"/>
  <c r="J74" i="23"/>
  <c r="J72" i="23"/>
  <c r="H74" i="23"/>
  <c r="H72" i="23"/>
  <c r="M74" i="23"/>
  <c r="M72" i="23"/>
  <c r="J122" i="79"/>
  <c r="O119" i="50"/>
  <c r="T126" i="79" s="1"/>
  <c r="N119" i="50"/>
  <c r="C126" i="79"/>
  <c r="C129" i="79" s="1"/>
  <c r="O116" i="59"/>
  <c r="T113" i="79" s="1"/>
  <c r="N116" i="59"/>
  <c r="C119" i="79"/>
  <c r="C122" i="79" s="1"/>
  <c r="O118" i="50"/>
  <c r="T119" i="79" s="1"/>
  <c r="N118" i="50"/>
  <c r="I117" i="50"/>
  <c r="J112" i="79" s="1"/>
  <c r="K87" i="78" s="1"/>
  <c r="C112" i="79"/>
  <c r="C105" i="79"/>
  <c r="C108" i="79" s="1"/>
  <c r="O116" i="50"/>
  <c r="T105" i="79" s="1"/>
  <c r="N116" i="50"/>
  <c r="N94" i="79"/>
  <c r="O115" i="50"/>
  <c r="T98" i="79" s="1"/>
  <c r="D75" i="78"/>
  <c r="P98" i="79"/>
  <c r="G86" i="68" s="1"/>
  <c r="N115" i="50"/>
  <c r="O114" i="50"/>
  <c r="T91" i="79" s="1"/>
  <c r="C91" i="79"/>
  <c r="C94" i="79" s="1"/>
  <c r="N114" i="50"/>
  <c r="O113" i="50"/>
  <c r="T84" i="79" s="1"/>
  <c r="N113" i="50"/>
  <c r="C84" i="79"/>
  <c r="F73" i="79"/>
  <c r="L80" i="79"/>
  <c r="L73" i="79"/>
  <c r="D73" i="79"/>
  <c r="N112" i="50"/>
  <c r="O112" i="50"/>
  <c r="T77" i="79" s="1"/>
  <c r="C77" i="79"/>
  <c r="C80" i="79" s="1"/>
  <c r="N111" i="50"/>
  <c r="D111" i="78"/>
  <c r="P70" i="79"/>
  <c r="G62" i="68" s="1"/>
  <c r="O111" i="50"/>
  <c r="T70" i="79" s="1"/>
  <c r="C63" i="79"/>
  <c r="C66" i="79" s="1"/>
  <c r="O110" i="50"/>
  <c r="T63" i="79" s="1"/>
  <c r="N110" i="50"/>
  <c r="H59" i="79"/>
  <c r="F59" i="79"/>
  <c r="J52" i="79"/>
  <c r="N109" i="50"/>
  <c r="O109" i="50"/>
  <c r="T56" i="79" s="1"/>
  <c r="C56" i="79"/>
  <c r="C59" i="79" s="1"/>
  <c r="D44" i="78"/>
  <c r="Q50" i="79"/>
  <c r="N108" i="50"/>
  <c r="C49" i="79"/>
  <c r="O108" i="50"/>
  <c r="T49" i="79" s="1"/>
  <c r="F31" i="79"/>
  <c r="D75" i="23"/>
  <c r="D73" i="23"/>
  <c r="F103" i="50"/>
  <c r="G14" i="79" s="1"/>
  <c r="H15" i="78" s="1"/>
  <c r="K76" i="23"/>
  <c r="J103" i="50"/>
  <c r="K14" i="79" s="1"/>
  <c r="L15" i="78" s="1"/>
  <c r="N104" i="50"/>
  <c r="C21" i="79"/>
  <c r="O104" i="50"/>
  <c r="T21" i="79" s="1"/>
  <c r="N105" i="50"/>
  <c r="O105" i="50"/>
  <c r="T28" i="79" s="1"/>
  <c r="C28" i="79"/>
  <c r="F76" i="23"/>
  <c r="E103" i="50"/>
  <c r="F14" i="79" s="1"/>
  <c r="G15" i="78" s="1"/>
  <c r="N76" i="23"/>
  <c r="M103" i="50"/>
  <c r="D15" i="78"/>
  <c r="D32" i="78"/>
  <c r="Q36" i="79"/>
  <c r="P35" i="79"/>
  <c r="G32" i="68" s="1"/>
  <c r="D33" i="78"/>
  <c r="T35" i="79"/>
  <c r="N24" i="59"/>
  <c r="G86" i="78"/>
  <c r="Q113" i="79"/>
  <c r="D50" i="78"/>
  <c r="Q57" i="79"/>
  <c r="D62" i="78"/>
  <c r="Q85" i="79"/>
  <c r="G75" i="68" s="1"/>
  <c r="D74" i="78"/>
  <c r="Q99" i="79"/>
  <c r="D104" i="78"/>
  <c r="Q64" i="79"/>
  <c r="G57" i="68" s="1"/>
  <c r="D80" i="78"/>
  <c r="Q106" i="79"/>
  <c r="D20" i="78"/>
  <c r="Q22" i="79"/>
  <c r="G21" i="68" s="1"/>
  <c r="D26" i="78"/>
  <c r="Q29" i="79"/>
  <c r="D98" i="78"/>
  <c r="Q127" i="79"/>
  <c r="D68" i="78"/>
  <c r="Q92" i="79"/>
  <c r="D92" i="78"/>
  <c r="Q120" i="79"/>
  <c r="G105" i="68" s="1"/>
  <c r="D110" i="78"/>
  <c r="Q71" i="79"/>
  <c r="D56" i="78"/>
  <c r="Q78" i="79"/>
  <c r="O24" i="59"/>
  <c r="T99" i="70" s="1"/>
  <c r="E102" i="59"/>
  <c r="F15" i="79" s="1"/>
  <c r="G14" i="78" s="1"/>
  <c r="F75" i="23"/>
  <c r="M102" i="59"/>
  <c r="N15" i="79" s="1"/>
  <c r="O14" i="78" s="1"/>
  <c r="N75" i="23"/>
  <c r="F102" i="59"/>
  <c r="G15" i="79" s="1"/>
  <c r="H14" i="78" s="1"/>
  <c r="G75" i="23"/>
  <c r="J102" i="59"/>
  <c r="K15" i="79" s="1"/>
  <c r="L14" i="78" s="1"/>
  <c r="K75" i="23"/>
  <c r="H102" i="60"/>
  <c r="I16" i="79" s="1"/>
  <c r="J13" i="78" s="1"/>
  <c r="P71" i="23"/>
  <c r="L102" i="60"/>
  <c r="M16" i="79" s="1"/>
  <c r="N13" i="78" s="1"/>
  <c r="E13" i="78"/>
  <c r="K102" i="60"/>
  <c r="L16" i="79" s="1"/>
  <c r="M13" i="78" s="1"/>
  <c r="I102" i="60"/>
  <c r="J16" i="79" s="1"/>
  <c r="K13" i="78" s="1"/>
  <c r="E73" i="23"/>
  <c r="D102" i="60"/>
  <c r="E16" i="79" s="1"/>
  <c r="F13" i="78" s="1"/>
  <c r="G102" i="60"/>
  <c r="H16" i="79" s="1"/>
  <c r="I13" i="78" s="1"/>
  <c r="C102" i="59"/>
  <c r="C30" i="59"/>
  <c r="O122" i="66"/>
  <c r="O128" i="66"/>
  <c r="J122" i="66"/>
  <c r="J128" i="66"/>
  <c r="D121" i="66"/>
  <c r="D127" i="66"/>
  <c r="O123" i="66"/>
  <c r="O129" i="66"/>
  <c r="J123" i="66"/>
  <c r="J129" i="66"/>
  <c r="I123" i="66"/>
  <c r="I129" i="66"/>
  <c r="P105" i="70"/>
  <c r="D79" i="66"/>
  <c r="E50" i="66"/>
  <c r="D103" i="66"/>
  <c r="D98" i="66"/>
  <c r="D92" i="66"/>
  <c r="D91" i="66"/>
  <c r="D105" i="66"/>
  <c r="P63" i="70"/>
  <c r="E56" i="68" s="1"/>
  <c r="D27" i="66"/>
  <c r="P28" i="70"/>
  <c r="E26" i="68" s="1"/>
  <c r="Q99" i="70"/>
  <c r="P70" i="70"/>
  <c r="P144" i="70"/>
  <c r="P199" i="70" s="1"/>
  <c r="P198" i="69"/>
  <c r="F124" i="68" s="1"/>
  <c r="E93" i="66"/>
  <c r="P119" i="70"/>
  <c r="F33" i="66"/>
  <c r="P35" i="70"/>
  <c r="E184" i="65"/>
  <c r="P56" i="70"/>
  <c r="R72" i="70"/>
  <c r="E63" i="66"/>
  <c r="P84" i="70"/>
  <c r="E74" i="68" s="1"/>
  <c r="G62" i="66"/>
  <c r="P112" i="70"/>
  <c r="P77" i="70"/>
  <c r="P91" i="70"/>
  <c r="E80" i="68" s="1"/>
  <c r="P49" i="70"/>
  <c r="N117" i="60"/>
  <c r="O117" i="60" s="1"/>
  <c r="T121" i="79" s="1"/>
  <c r="L52" i="79"/>
  <c r="N108" i="79"/>
  <c r="M101" i="79"/>
  <c r="E122" i="79"/>
  <c r="I101" i="79"/>
  <c r="F101" i="79"/>
  <c r="J24" i="79"/>
  <c r="N101" i="79"/>
  <c r="G122" i="79"/>
  <c r="L108" i="79"/>
  <c r="G115" i="79"/>
  <c r="K108" i="79"/>
  <c r="N114" i="60"/>
  <c r="O114" i="60" s="1"/>
  <c r="T100" i="79" s="1"/>
  <c r="L101" i="79"/>
  <c r="K94" i="79"/>
  <c r="G101" i="79"/>
  <c r="H101" i="79"/>
  <c r="E101" i="79"/>
  <c r="I24" i="79"/>
  <c r="G94" i="79"/>
  <c r="H122" i="79"/>
  <c r="F115" i="79"/>
  <c r="G108" i="79"/>
  <c r="F122" i="79"/>
  <c r="M24" i="79"/>
  <c r="N24" i="79"/>
  <c r="K101" i="79"/>
  <c r="E115" i="79"/>
  <c r="G24" i="79"/>
  <c r="L122" i="79"/>
  <c r="E108" i="79"/>
  <c r="K115" i="79"/>
  <c r="J94" i="79"/>
  <c r="J101" i="79"/>
  <c r="F108" i="79"/>
  <c r="N122" i="79"/>
  <c r="M94" i="79"/>
  <c r="D108" i="79"/>
  <c r="M122" i="79"/>
  <c r="F94" i="79"/>
  <c r="D24" i="79"/>
  <c r="F24" i="79"/>
  <c r="H115" i="79"/>
  <c r="J108" i="79"/>
  <c r="K122" i="79"/>
  <c r="L115" i="79"/>
  <c r="C17" i="79"/>
  <c r="N87" i="79"/>
  <c r="K87" i="79"/>
  <c r="F87" i="79"/>
  <c r="L87" i="79"/>
  <c r="M87" i="79"/>
  <c r="G87" i="79"/>
  <c r="H87" i="79"/>
  <c r="F80" i="79"/>
  <c r="M80" i="79"/>
  <c r="D80" i="79"/>
  <c r="G80" i="79"/>
  <c r="K80" i="79"/>
  <c r="K73" i="79"/>
  <c r="E73" i="79"/>
  <c r="H73" i="79"/>
  <c r="J73" i="79"/>
  <c r="C73" i="79"/>
  <c r="G73" i="79"/>
  <c r="M73" i="79"/>
  <c r="J66" i="79"/>
  <c r="H66" i="79"/>
  <c r="G66" i="79"/>
  <c r="F66" i="79"/>
  <c r="I66" i="79"/>
  <c r="D66" i="79"/>
  <c r="N109" i="60"/>
  <c r="O109" i="60" s="1"/>
  <c r="T65" i="79" s="1"/>
  <c r="K66" i="79"/>
  <c r="N66" i="79"/>
  <c r="L66" i="79"/>
  <c r="L59" i="79"/>
  <c r="M59" i="79"/>
  <c r="G59" i="79"/>
  <c r="K59" i="79"/>
  <c r="M52" i="79"/>
  <c r="N52" i="79"/>
  <c r="G52" i="79"/>
  <c r="E52" i="79"/>
  <c r="F52" i="79"/>
  <c r="D52" i="79"/>
  <c r="K52" i="79"/>
  <c r="N234" i="69"/>
  <c r="E38" i="79"/>
  <c r="C38" i="79"/>
  <c r="N38" i="79"/>
  <c r="G38" i="79"/>
  <c r="M38" i="79"/>
  <c r="L38" i="79"/>
  <c r="N105" i="60"/>
  <c r="O105" i="60" s="1"/>
  <c r="T37" i="79" s="1"/>
  <c r="K38" i="79"/>
  <c r="F38" i="79"/>
  <c r="D38" i="79"/>
  <c r="H199" i="69"/>
  <c r="J184" i="65" s="1"/>
  <c r="K200" i="69"/>
  <c r="M183" i="65" s="1"/>
  <c r="K147" i="79"/>
  <c r="E230" i="69"/>
  <c r="G213" i="65" s="1"/>
  <c r="E168" i="79"/>
  <c r="T218" i="69"/>
  <c r="U158" i="79"/>
  <c r="L200" i="69"/>
  <c r="N183" i="65" s="1"/>
  <c r="L147" i="79"/>
  <c r="G31" i="79"/>
  <c r="I199" i="69"/>
  <c r="K184" i="65" s="1"/>
  <c r="M200" i="69"/>
  <c r="O183" i="65" s="1"/>
  <c r="M147" i="79"/>
  <c r="G200" i="69"/>
  <c r="I183" i="65" s="1"/>
  <c r="G147" i="79"/>
  <c r="M230" i="69"/>
  <c r="O213" i="65" s="1"/>
  <c r="M168" i="79"/>
  <c r="D230" i="69"/>
  <c r="K234" i="69"/>
  <c r="H31" i="79"/>
  <c r="E200" i="69"/>
  <c r="G183" i="65" s="1"/>
  <c r="T198" i="69"/>
  <c r="D200" i="69"/>
  <c r="F183" i="65" s="1"/>
  <c r="D147" i="79"/>
  <c r="J31" i="79"/>
  <c r="F200" i="69"/>
  <c r="H183" i="65" s="1"/>
  <c r="F147" i="79"/>
  <c r="J200" i="69"/>
  <c r="L183" i="65" s="1"/>
  <c r="J147" i="79"/>
  <c r="C147" i="79"/>
  <c r="F230" i="69"/>
  <c r="H213" i="65" s="1"/>
  <c r="F168" i="79"/>
  <c r="L230" i="69"/>
  <c r="N213" i="65" s="1"/>
  <c r="L168" i="79"/>
  <c r="D31" i="79"/>
  <c r="K31" i="79"/>
  <c r="M31" i="79"/>
  <c r="H87" i="70"/>
  <c r="J38" i="70"/>
  <c r="F101" i="70"/>
  <c r="D24" i="70"/>
  <c r="J59" i="70"/>
  <c r="N24" i="70"/>
  <c r="H24" i="70"/>
  <c r="M73" i="70"/>
  <c r="N110" i="66"/>
  <c r="N122" i="70"/>
  <c r="O92" i="66"/>
  <c r="C94" i="70"/>
  <c r="D68" i="66"/>
  <c r="H73" i="70"/>
  <c r="I110" i="66"/>
  <c r="N52" i="70"/>
  <c r="O44" i="66"/>
  <c r="F52" i="70"/>
  <c r="G44" i="66"/>
  <c r="E52" i="70"/>
  <c r="F44" i="66"/>
  <c r="G94" i="70"/>
  <c r="M115" i="70"/>
  <c r="N86" i="66"/>
  <c r="J101" i="70"/>
  <c r="K74" i="66"/>
  <c r="F24" i="70"/>
  <c r="F45" i="70"/>
  <c r="G38" i="66"/>
  <c r="D31" i="70"/>
  <c r="E25" i="66"/>
  <c r="M66" i="70"/>
  <c r="N103" i="66"/>
  <c r="G45" i="70"/>
  <c r="H37" i="66"/>
  <c r="C115" i="70"/>
  <c r="D85" i="66"/>
  <c r="G108" i="70"/>
  <c r="H79" i="66"/>
  <c r="E87" i="70"/>
  <c r="F61" i="66"/>
  <c r="M108" i="70"/>
  <c r="N79" i="66"/>
  <c r="G101" i="70"/>
  <c r="H73" i="66"/>
  <c r="K31" i="70"/>
  <c r="L25" i="66"/>
  <c r="E31" i="70"/>
  <c r="I24" i="70"/>
  <c r="F38" i="70"/>
  <c r="L22" i="70"/>
  <c r="M20" i="66" s="1"/>
  <c r="J22" i="70"/>
  <c r="K20" i="66" s="1"/>
  <c r="M23" i="70"/>
  <c r="E24" i="70"/>
  <c r="G38" i="70"/>
  <c r="H31" i="70"/>
  <c r="I31" i="70"/>
  <c r="K52" i="70"/>
  <c r="J80" i="70"/>
  <c r="M31" i="70"/>
  <c r="N45" i="70"/>
  <c r="K38" i="70"/>
  <c r="C30" i="70"/>
  <c r="J29" i="70"/>
  <c r="K26" i="66" s="1"/>
  <c r="M36" i="70"/>
  <c r="N32" i="66" s="1"/>
  <c r="H37" i="70"/>
  <c r="E45" i="70"/>
  <c r="N38" i="70"/>
  <c r="E36" i="70"/>
  <c r="L36" i="70"/>
  <c r="M32" i="66" s="1"/>
  <c r="I66" i="70"/>
  <c r="I45" i="70"/>
  <c r="J45" i="70"/>
  <c r="F66" i="70"/>
  <c r="L43" i="70"/>
  <c r="M38" i="66" s="1"/>
  <c r="M59" i="70"/>
  <c r="M43" i="70"/>
  <c r="N38" i="66" s="1"/>
  <c r="K45" i="70"/>
  <c r="H59" i="70"/>
  <c r="M101" i="70"/>
  <c r="F108" i="70"/>
  <c r="H50" i="70"/>
  <c r="I44" i="66" s="1"/>
  <c r="L52" i="70"/>
  <c r="N108" i="70"/>
  <c r="C51" i="70"/>
  <c r="D52" i="70"/>
  <c r="I50" i="70"/>
  <c r="J44" i="66" s="1"/>
  <c r="I57" i="70"/>
  <c r="J50" i="66" s="1"/>
  <c r="K115" i="70"/>
  <c r="N94" i="70"/>
  <c r="M87" i="70"/>
  <c r="L66" i="70"/>
  <c r="L57" i="70"/>
  <c r="M50" i="66" s="1"/>
  <c r="N57" i="70"/>
  <c r="O50" i="66" s="1"/>
  <c r="N66" i="70"/>
  <c r="E66" i="70"/>
  <c r="E59" i="70"/>
  <c r="E94" i="70"/>
  <c r="E80" i="70"/>
  <c r="C64" i="70"/>
  <c r="J66" i="70"/>
  <c r="H65" i="70"/>
  <c r="R65" i="70" s="1"/>
  <c r="J73" i="70"/>
  <c r="E101" i="70"/>
  <c r="M80" i="70"/>
  <c r="F94" i="70"/>
  <c r="N87" i="70"/>
  <c r="F87" i="70"/>
  <c r="E73" i="70"/>
  <c r="N71" i="70"/>
  <c r="Q71" i="70" s="1"/>
  <c r="N78" i="70"/>
  <c r="O56" i="66" s="1"/>
  <c r="G87" i="70"/>
  <c r="J87" i="70"/>
  <c r="K87" i="70"/>
  <c r="I86" i="70"/>
  <c r="J61" i="66" s="1"/>
  <c r="L85" i="70"/>
  <c r="I85" i="70"/>
  <c r="J62" i="66" s="1"/>
  <c r="G115" i="70"/>
  <c r="I92" i="70"/>
  <c r="J68" i="66" s="1"/>
  <c r="L94" i="70"/>
  <c r="K101" i="70"/>
  <c r="K94" i="70"/>
  <c r="H93" i="70"/>
  <c r="I67" i="66" s="1"/>
  <c r="J92" i="70"/>
  <c r="M92" i="70"/>
  <c r="H100" i="70"/>
  <c r="R100" i="70" s="1"/>
  <c r="K108" i="70"/>
  <c r="I101" i="70"/>
  <c r="N101" i="70"/>
  <c r="N25" i="59"/>
  <c r="H106" i="70"/>
  <c r="L108" i="70"/>
  <c r="C108" i="70"/>
  <c r="J108" i="70"/>
  <c r="E107" i="70"/>
  <c r="F79" i="66" s="1"/>
  <c r="F115" i="70"/>
  <c r="I107" i="70"/>
  <c r="J79" i="66" s="1"/>
  <c r="H114" i="70"/>
  <c r="I85" i="66" s="1"/>
  <c r="J115" i="70"/>
  <c r="E113" i="70"/>
  <c r="L115" i="70"/>
  <c r="N113" i="70"/>
  <c r="M122" i="70"/>
  <c r="H82" i="60"/>
  <c r="J224" i="69"/>
  <c r="I82" i="60"/>
  <c r="G82" i="60"/>
  <c r="G224" i="69"/>
  <c r="F82" i="60"/>
  <c r="M146" i="70"/>
  <c r="G146" i="70"/>
  <c r="C200" i="69"/>
  <c r="F146" i="70"/>
  <c r="J146" i="70"/>
  <c r="B45" i="50"/>
  <c r="B43" i="59"/>
  <c r="C145" i="70"/>
  <c r="E146" i="70"/>
  <c r="K146" i="70"/>
  <c r="M79" i="59"/>
  <c r="O79" i="59" s="1"/>
  <c r="L146" i="70"/>
  <c r="D146" i="70"/>
  <c r="G128" i="70"/>
  <c r="H97" i="66" s="1"/>
  <c r="J127" i="70"/>
  <c r="H122" i="70"/>
  <c r="G122" i="70"/>
  <c r="H127" i="70"/>
  <c r="I98" i="66" s="1"/>
  <c r="K127" i="70"/>
  <c r="L98" i="66" s="1"/>
  <c r="D128" i="70"/>
  <c r="N126" i="70"/>
  <c r="O99" i="66" s="1"/>
  <c r="E127" i="70"/>
  <c r="L127" i="70"/>
  <c r="M98" i="66" s="1"/>
  <c r="M128" i="70"/>
  <c r="I120" i="70"/>
  <c r="J92" i="66" s="1"/>
  <c r="K122" i="70"/>
  <c r="F122" i="70"/>
  <c r="E121" i="70"/>
  <c r="F91" i="66" s="1"/>
  <c r="L121" i="70"/>
  <c r="J121" i="70"/>
  <c r="C122" i="70"/>
  <c r="U167" i="70"/>
  <c r="U270" i="69"/>
  <c r="U260" i="69"/>
  <c r="U250" i="69"/>
  <c r="E45" i="50"/>
  <c r="U98" i="70"/>
  <c r="G34" i="59"/>
  <c r="H145" i="70" s="1"/>
  <c r="M30" i="50"/>
  <c r="O28" i="50"/>
  <c r="N28" i="50"/>
  <c r="N30" i="50" s="1"/>
  <c r="F30" i="60"/>
  <c r="F11" i="61" s="1"/>
  <c r="F13" i="61" s="1"/>
  <c r="P58" i="46"/>
  <c r="P59" i="32"/>
  <c r="N24" i="60"/>
  <c r="O24" i="60" s="1"/>
  <c r="T100" i="70" s="1"/>
  <c r="P58" i="42"/>
  <c r="N25" i="60"/>
  <c r="O25" i="60" s="1"/>
  <c r="T107" i="70" s="1"/>
  <c r="N16" i="59"/>
  <c r="H224" i="69"/>
  <c r="O19" i="59"/>
  <c r="T64" i="70" s="1"/>
  <c r="N14" i="59"/>
  <c r="N19" i="59"/>
  <c r="O16" i="59"/>
  <c r="T43" i="70" s="1"/>
  <c r="N19" i="60"/>
  <c r="O19" i="60" s="1"/>
  <c r="T65" i="70" s="1"/>
  <c r="P58" i="34"/>
  <c r="N22" i="59"/>
  <c r="C45" i="50"/>
  <c r="O22" i="59"/>
  <c r="T85" i="70" s="1"/>
  <c r="J17" i="70"/>
  <c r="I224" i="69"/>
  <c r="N18" i="59"/>
  <c r="D45" i="50"/>
  <c r="L30" i="60"/>
  <c r="L11" i="61" s="1"/>
  <c r="L13" i="61" s="1"/>
  <c r="O27" i="59"/>
  <c r="T120" i="70" s="1"/>
  <c r="I30" i="59"/>
  <c r="N27" i="59"/>
  <c r="O13" i="59"/>
  <c r="T22" i="70" s="1"/>
  <c r="J30" i="59"/>
  <c r="P58" i="35"/>
  <c r="L30" i="59"/>
  <c r="L224" i="69"/>
  <c r="L45" i="50"/>
  <c r="K45" i="50"/>
  <c r="C43" i="60"/>
  <c r="C19" i="61" s="1"/>
  <c r="L161" i="70"/>
  <c r="E161" i="70"/>
  <c r="D224" i="69"/>
  <c r="F224" i="69"/>
  <c r="F161" i="70"/>
  <c r="D30" i="59"/>
  <c r="E30" i="60"/>
  <c r="E11" i="61" s="1"/>
  <c r="E13" i="61" s="1"/>
  <c r="T159" i="70"/>
  <c r="E224" i="69"/>
  <c r="N161" i="70"/>
  <c r="C161" i="70"/>
  <c r="M224" i="69"/>
  <c r="F137" i="68"/>
  <c r="P14" i="70"/>
  <c r="E14" i="68" s="1"/>
  <c r="N20" i="60"/>
  <c r="O20" i="60" s="1"/>
  <c r="T72" i="70" s="1"/>
  <c r="F136" i="68"/>
  <c r="M161" i="70"/>
  <c r="G161" i="70"/>
  <c r="H161" i="70"/>
  <c r="P58" i="47"/>
  <c r="H26" i="60"/>
  <c r="I114" i="70" s="1"/>
  <c r="J85" i="66" s="1"/>
  <c r="G89" i="50"/>
  <c r="D43" i="60"/>
  <c r="J43" i="60"/>
  <c r="J19" i="61" s="1"/>
  <c r="L88" i="60"/>
  <c r="L51" i="61" s="1"/>
  <c r="H28" i="60"/>
  <c r="I128" i="70" s="1"/>
  <c r="J97" i="66" s="1"/>
  <c r="H28" i="59"/>
  <c r="M43" i="50"/>
  <c r="H43" i="50"/>
  <c r="E88" i="60"/>
  <c r="E51" i="61" s="1"/>
  <c r="C88" i="60"/>
  <c r="C51" i="61" s="1"/>
  <c r="K43" i="60"/>
  <c r="K19" i="61" s="1"/>
  <c r="E43" i="60"/>
  <c r="K88" i="60"/>
  <c r="K51" i="61" s="1"/>
  <c r="I43" i="60"/>
  <c r="I19" i="61" s="1"/>
  <c r="K30" i="59"/>
  <c r="I73" i="70"/>
  <c r="O20" i="59"/>
  <c r="T71" i="70" s="1"/>
  <c r="N20" i="59"/>
  <c r="O25" i="59"/>
  <c r="T106" i="70" s="1"/>
  <c r="I80" i="70"/>
  <c r="O21" i="59"/>
  <c r="T78" i="70" s="1"/>
  <c r="O14" i="59"/>
  <c r="T29" i="70" s="1"/>
  <c r="H27" i="60"/>
  <c r="I121" i="70" s="1"/>
  <c r="J91" i="66" s="1"/>
  <c r="D30" i="60"/>
  <c r="D11" i="61" s="1"/>
  <c r="D13" i="61" s="1"/>
  <c r="J45" i="50"/>
  <c r="N26" i="59"/>
  <c r="I30" i="60"/>
  <c r="I11" i="61" s="1"/>
  <c r="I13" i="61" s="1"/>
  <c r="P58" i="40"/>
  <c r="C22" i="60"/>
  <c r="D86" i="70" s="1"/>
  <c r="E88" i="59"/>
  <c r="C88" i="59"/>
  <c r="K43" i="59"/>
  <c r="E43" i="59"/>
  <c r="C43" i="59"/>
  <c r="K88" i="59"/>
  <c r="I88" i="59"/>
  <c r="C73" i="70"/>
  <c r="D122" i="70"/>
  <c r="C129" i="70"/>
  <c r="H15" i="60"/>
  <c r="I37" i="70" s="1"/>
  <c r="J31" i="66" s="1"/>
  <c r="P59" i="30"/>
  <c r="J13" i="60"/>
  <c r="K23" i="70" s="1"/>
  <c r="P58" i="25"/>
  <c r="E30" i="59"/>
  <c r="O17" i="59"/>
  <c r="T50" i="70" s="1"/>
  <c r="N17" i="59"/>
  <c r="J88" i="60"/>
  <c r="J51" i="61" s="1"/>
  <c r="M28" i="60"/>
  <c r="N128" i="70" s="1"/>
  <c r="O97" i="66" s="1"/>
  <c r="M28" i="59"/>
  <c r="N15" i="59"/>
  <c r="O15" i="59"/>
  <c r="T36" i="70" s="1"/>
  <c r="N13" i="59"/>
  <c r="D115" i="70"/>
  <c r="D108" i="70"/>
  <c r="G17" i="60"/>
  <c r="H51" i="70" s="1"/>
  <c r="I43" i="66" s="1"/>
  <c r="N23" i="59"/>
  <c r="O18" i="59"/>
  <c r="T57" i="70" s="1"/>
  <c r="P59" i="31"/>
  <c r="G16" i="60"/>
  <c r="H44" i="70" s="1"/>
  <c r="P58" i="39"/>
  <c r="G21" i="60"/>
  <c r="H79" i="70" s="1"/>
  <c r="H89" i="50"/>
  <c r="L43" i="60"/>
  <c r="F43" i="60"/>
  <c r="F19" i="61" s="1"/>
  <c r="D88" i="60"/>
  <c r="D51" i="61" s="1"/>
  <c r="H30" i="50"/>
  <c r="P58" i="33"/>
  <c r="C18" i="60"/>
  <c r="D58" i="70" s="1"/>
  <c r="G30" i="50"/>
  <c r="D43" i="59"/>
  <c r="L43" i="59"/>
  <c r="J43" i="59"/>
  <c r="F43" i="59"/>
  <c r="F45" i="59" s="1"/>
  <c r="L88" i="59"/>
  <c r="J88" i="59"/>
  <c r="F88" i="59"/>
  <c r="D88" i="59"/>
  <c r="I43" i="59"/>
  <c r="K17" i="70"/>
  <c r="H23" i="60"/>
  <c r="I93" i="70" s="1"/>
  <c r="J67" i="66" s="1"/>
  <c r="P58" i="41"/>
  <c r="P58" i="26"/>
  <c r="K14" i="60"/>
  <c r="D94" i="70"/>
  <c r="B88" i="60"/>
  <c r="N21" i="59"/>
  <c r="G30" i="59"/>
  <c r="O26" i="59"/>
  <c r="T113" i="70" s="1"/>
  <c r="O23" i="59"/>
  <c r="T92" i="70" s="1"/>
  <c r="G34" i="60"/>
  <c r="H79" i="60"/>
  <c r="M34" i="60"/>
  <c r="G79" i="60"/>
  <c r="H34" i="60"/>
  <c r="O78" i="50"/>
  <c r="N78" i="50"/>
  <c r="N89" i="50" s="1"/>
  <c r="G43" i="50"/>
  <c r="O33" i="50"/>
  <c r="T137" i="70" s="1"/>
  <c r="N33" i="50"/>
  <c r="N43" i="50" s="1"/>
  <c r="H73" i="23" l="1"/>
  <c r="G103" i="50" s="1"/>
  <c r="H14" i="79" s="1"/>
  <c r="I15" i="78" s="1"/>
  <c r="M73" i="23"/>
  <c r="M76" i="23" s="1"/>
  <c r="J73" i="23"/>
  <c r="J76" i="23" s="1"/>
  <c r="I73" i="23"/>
  <c r="I76" i="23" s="1"/>
  <c r="D99" i="78"/>
  <c r="P126" i="79"/>
  <c r="P119" i="79"/>
  <c r="G104" i="68" s="1"/>
  <c r="D93" i="78"/>
  <c r="O117" i="50"/>
  <c r="T112" i="79" s="1"/>
  <c r="N117" i="50"/>
  <c r="P112" i="79"/>
  <c r="G98" i="68" s="1"/>
  <c r="D87" i="78"/>
  <c r="D81" i="78"/>
  <c r="P105" i="79"/>
  <c r="G92" i="68" s="1"/>
  <c r="U98" i="79"/>
  <c r="P91" i="79"/>
  <c r="D69" i="78"/>
  <c r="P84" i="79"/>
  <c r="G74" i="68" s="1"/>
  <c r="D63" i="78"/>
  <c r="D57" i="78"/>
  <c r="P77" i="79"/>
  <c r="G68" i="68" s="1"/>
  <c r="P63" i="79"/>
  <c r="G56" i="68" s="1"/>
  <c r="D105" i="78"/>
  <c r="P56" i="79"/>
  <c r="G50" i="68" s="1"/>
  <c r="D51" i="78"/>
  <c r="D45" i="78"/>
  <c r="P49" i="79"/>
  <c r="G44" i="68" s="1"/>
  <c r="N14" i="79"/>
  <c r="O15" i="78" s="1"/>
  <c r="M121" i="50"/>
  <c r="M137" i="50" s="1"/>
  <c r="D27" i="78"/>
  <c r="P28" i="79"/>
  <c r="G26" i="68" s="1"/>
  <c r="D21" i="78"/>
  <c r="P21" i="79"/>
  <c r="G20" i="68" s="1"/>
  <c r="E76" i="23"/>
  <c r="D103" i="50"/>
  <c r="E14" i="79" s="1"/>
  <c r="F15" i="78" s="1"/>
  <c r="L76" i="23"/>
  <c r="K103" i="50"/>
  <c r="L14" i="79" s="1"/>
  <c r="M15" i="78" s="1"/>
  <c r="C31" i="79"/>
  <c r="D76" i="23"/>
  <c r="C103" i="50"/>
  <c r="H76" i="23"/>
  <c r="F17" i="79"/>
  <c r="G17" i="79"/>
  <c r="K17" i="79"/>
  <c r="L102" i="59"/>
  <c r="M15" i="79" s="1"/>
  <c r="N14" i="78" s="1"/>
  <c r="M75" i="23"/>
  <c r="D102" i="59"/>
  <c r="E15" i="79" s="1"/>
  <c r="F14" i="78" s="1"/>
  <c r="E75" i="23"/>
  <c r="K102" i="59"/>
  <c r="L15" i="79" s="1"/>
  <c r="M14" i="78" s="1"/>
  <c r="L75" i="23"/>
  <c r="G102" i="59"/>
  <c r="H15" i="79" s="1"/>
  <c r="I14" i="78" s="1"/>
  <c r="H75" i="23"/>
  <c r="I102" i="59"/>
  <c r="J15" i="79" s="1"/>
  <c r="K14" i="78" s="1"/>
  <c r="J75" i="23"/>
  <c r="H102" i="59"/>
  <c r="I15" i="79" s="1"/>
  <c r="J14" i="78" s="1"/>
  <c r="I75" i="23"/>
  <c r="P72" i="23"/>
  <c r="R16" i="79"/>
  <c r="N102" i="60"/>
  <c r="O102" i="60" s="1"/>
  <c r="T16" i="79" s="1"/>
  <c r="D15" i="79"/>
  <c r="C45" i="59"/>
  <c r="N82" i="60"/>
  <c r="O82" i="60" s="1"/>
  <c r="N79" i="59"/>
  <c r="O34" i="59"/>
  <c r="T145" i="70" s="1"/>
  <c r="N34" i="59"/>
  <c r="L121" i="66"/>
  <c r="L127" i="66"/>
  <c r="E121" i="66"/>
  <c r="E127" i="66"/>
  <c r="F121" i="66"/>
  <c r="F127" i="66"/>
  <c r="K121" i="66"/>
  <c r="K127" i="66"/>
  <c r="N121" i="66"/>
  <c r="N127" i="66"/>
  <c r="I122" i="66"/>
  <c r="I128" i="66"/>
  <c r="M121" i="66"/>
  <c r="M127" i="66"/>
  <c r="D122" i="66"/>
  <c r="D128" i="66"/>
  <c r="G121" i="66"/>
  <c r="G127" i="66"/>
  <c r="H121" i="66"/>
  <c r="H127" i="66"/>
  <c r="Q120" i="70"/>
  <c r="U120" i="70" s="1"/>
  <c r="E124" i="68"/>
  <c r="Q113" i="70"/>
  <c r="U113" i="70" s="1"/>
  <c r="P126" i="70"/>
  <c r="P132" i="70" s="1"/>
  <c r="Q92" i="70"/>
  <c r="U92" i="70" s="1"/>
  <c r="E97" i="66"/>
  <c r="E49" i="66"/>
  <c r="R58" i="70"/>
  <c r="I37" i="66"/>
  <c r="R44" i="70"/>
  <c r="D104" i="66"/>
  <c r="Q64" i="70"/>
  <c r="E57" i="68" s="1"/>
  <c r="F213" i="65"/>
  <c r="Q22" i="70"/>
  <c r="Q29" i="70"/>
  <c r="E27" i="68" s="1"/>
  <c r="Q43" i="70"/>
  <c r="E39" i="68" s="1"/>
  <c r="I55" i="66"/>
  <c r="R79" i="70"/>
  <c r="Q145" i="70"/>
  <c r="Q199" i="70" s="1"/>
  <c r="I31" i="66"/>
  <c r="R37" i="70"/>
  <c r="Q85" i="70"/>
  <c r="U85" i="70" s="1"/>
  <c r="R114" i="70"/>
  <c r="R93" i="70"/>
  <c r="R107" i="70"/>
  <c r="U107" i="70" s="1"/>
  <c r="E61" i="66"/>
  <c r="R86" i="70"/>
  <c r="E183" i="65"/>
  <c r="L19" i="66"/>
  <c r="R23" i="70"/>
  <c r="I80" i="66"/>
  <c r="Q106" i="70"/>
  <c r="R51" i="70"/>
  <c r="F32" i="66"/>
  <c r="Q36" i="70"/>
  <c r="Q78" i="70"/>
  <c r="Q50" i="70"/>
  <c r="E45" i="68" s="1"/>
  <c r="R121" i="70"/>
  <c r="Q57" i="70"/>
  <c r="E51" i="68" s="1"/>
  <c r="U22" i="79"/>
  <c r="P199" i="79"/>
  <c r="G124" i="68"/>
  <c r="G111" i="68"/>
  <c r="U120" i="79"/>
  <c r="G99" i="68"/>
  <c r="I115" i="79"/>
  <c r="H108" i="79"/>
  <c r="G93" i="68"/>
  <c r="N115" i="60"/>
  <c r="O115" i="60" s="1"/>
  <c r="T107" i="79" s="1"/>
  <c r="G87" i="68"/>
  <c r="G81" i="68"/>
  <c r="I94" i="79"/>
  <c r="N112" i="60"/>
  <c r="O112" i="60" s="1"/>
  <c r="T86" i="79" s="1"/>
  <c r="N113" i="60"/>
  <c r="O113" i="60" s="1"/>
  <c r="T93" i="79" s="1"/>
  <c r="N116" i="60"/>
  <c r="O116" i="60" s="1"/>
  <c r="T114" i="79" s="1"/>
  <c r="C101" i="79"/>
  <c r="E129" i="79"/>
  <c r="C115" i="79"/>
  <c r="M115" i="79"/>
  <c r="E24" i="79"/>
  <c r="M108" i="79"/>
  <c r="H24" i="79"/>
  <c r="K129" i="79"/>
  <c r="J129" i="79"/>
  <c r="G129" i="79"/>
  <c r="C24" i="79"/>
  <c r="L129" i="79"/>
  <c r="M129" i="79"/>
  <c r="J115" i="79"/>
  <c r="K24" i="79"/>
  <c r="L94" i="79"/>
  <c r="H94" i="79"/>
  <c r="N115" i="79"/>
  <c r="G82" i="68"/>
  <c r="E94" i="79"/>
  <c r="N103" i="60"/>
  <c r="O103" i="60" s="1"/>
  <c r="T23" i="79" s="1"/>
  <c r="F129" i="79"/>
  <c r="G106" i="68"/>
  <c r="N111" i="60"/>
  <c r="O111" i="60" s="1"/>
  <c r="T79" i="79" s="1"/>
  <c r="L24" i="79"/>
  <c r="G88" i="68"/>
  <c r="D101" i="79"/>
  <c r="I87" i="79"/>
  <c r="C87" i="79"/>
  <c r="E87" i="79"/>
  <c r="U85" i="79"/>
  <c r="J87" i="79"/>
  <c r="H80" i="79"/>
  <c r="J80" i="79"/>
  <c r="E80" i="79"/>
  <c r="N80" i="79"/>
  <c r="I80" i="79"/>
  <c r="G69" i="68"/>
  <c r="N110" i="60"/>
  <c r="O110" i="60" s="1"/>
  <c r="T72" i="79" s="1"/>
  <c r="U70" i="79"/>
  <c r="I73" i="79"/>
  <c r="N73" i="79"/>
  <c r="G63" i="68"/>
  <c r="M66" i="79"/>
  <c r="G58" i="68"/>
  <c r="E66" i="79"/>
  <c r="U64" i="79"/>
  <c r="E59" i="79"/>
  <c r="N108" i="60"/>
  <c r="O108" i="60" s="1"/>
  <c r="T58" i="79" s="1"/>
  <c r="I59" i="79"/>
  <c r="J59" i="79"/>
  <c r="G51" i="68"/>
  <c r="N59" i="79"/>
  <c r="G45" i="68"/>
  <c r="N107" i="60"/>
  <c r="O107" i="60" s="1"/>
  <c r="T51" i="79" s="1"/>
  <c r="H52" i="79"/>
  <c r="C52" i="79"/>
  <c r="I52" i="79"/>
  <c r="U35" i="79"/>
  <c r="K204" i="69"/>
  <c r="D234" i="69"/>
  <c r="E234" i="69"/>
  <c r="U144" i="79"/>
  <c r="M204" i="69"/>
  <c r="L204" i="69"/>
  <c r="G33" i="68"/>
  <c r="J38" i="79"/>
  <c r="H38" i="79"/>
  <c r="G27" i="68"/>
  <c r="J204" i="69"/>
  <c r="D204" i="69"/>
  <c r="E204" i="69"/>
  <c r="F234" i="69"/>
  <c r="N104" i="60"/>
  <c r="U198" i="69"/>
  <c r="L234" i="69"/>
  <c r="H200" i="69"/>
  <c r="J183" i="65" s="1"/>
  <c r="H147" i="79"/>
  <c r="F204" i="69"/>
  <c r="L31" i="79"/>
  <c r="I200" i="69"/>
  <c r="K183" i="65" s="1"/>
  <c r="I147" i="79"/>
  <c r="T220" i="69"/>
  <c r="U160" i="79"/>
  <c r="G230" i="69"/>
  <c r="I213" i="65" s="1"/>
  <c r="G168" i="79"/>
  <c r="H230" i="69"/>
  <c r="J213" i="65" s="1"/>
  <c r="H168" i="79"/>
  <c r="D168" i="79"/>
  <c r="T188" i="69"/>
  <c r="J230" i="69"/>
  <c r="L213" i="65" s="1"/>
  <c r="J168" i="79"/>
  <c r="T219" i="69"/>
  <c r="U219" i="69" s="1"/>
  <c r="U159" i="79"/>
  <c r="G204" i="69"/>
  <c r="N199" i="69"/>
  <c r="P184" i="65" s="1"/>
  <c r="G125" i="68"/>
  <c r="M234" i="69"/>
  <c r="I230" i="69"/>
  <c r="K213" i="65" s="1"/>
  <c r="I168" i="79"/>
  <c r="E31" i="79"/>
  <c r="I31" i="79"/>
  <c r="F88" i="60"/>
  <c r="F51" i="61" s="1"/>
  <c r="F53" i="61" s="1"/>
  <c r="M88" i="59"/>
  <c r="I88" i="60"/>
  <c r="I51" i="61" s="1"/>
  <c r="N80" i="70"/>
  <c r="E38" i="70"/>
  <c r="U84" i="70"/>
  <c r="L38" i="70"/>
  <c r="M94" i="70"/>
  <c r="N68" i="66"/>
  <c r="J129" i="70"/>
  <c r="K98" i="66"/>
  <c r="E115" i="70"/>
  <c r="F86" i="66"/>
  <c r="J94" i="70"/>
  <c r="K68" i="66"/>
  <c r="L87" i="70"/>
  <c r="M62" i="66"/>
  <c r="O86" i="66"/>
  <c r="N73" i="70"/>
  <c r="O110" i="66"/>
  <c r="J31" i="70"/>
  <c r="E129" i="70"/>
  <c r="F98" i="66"/>
  <c r="E88" i="68"/>
  <c r="I73" i="66"/>
  <c r="M129" i="70"/>
  <c r="N97" i="66"/>
  <c r="I108" i="70"/>
  <c r="J122" i="70"/>
  <c r="K91" i="66"/>
  <c r="F147" i="70"/>
  <c r="C52" i="70"/>
  <c r="D43" i="66"/>
  <c r="M24" i="70"/>
  <c r="N19" i="66"/>
  <c r="L122" i="70"/>
  <c r="M91" i="66"/>
  <c r="H66" i="70"/>
  <c r="I103" i="66"/>
  <c r="C31" i="70"/>
  <c r="D25" i="66"/>
  <c r="D147" i="70"/>
  <c r="K147" i="70"/>
  <c r="L24" i="70"/>
  <c r="J24" i="70"/>
  <c r="K30" i="60"/>
  <c r="K11" i="61" s="1"/>
  <c r="K13" i="61" s="1"/>
  <c r="L30" i="70"/>
  <c r="M25" i="66" s="1"/>
  <c r="L59" i="70"/>
  <c r="H38" i="70"/>
  <c r="M38" i="70"/>
  <c r="M45" i="70"/>
  <c r="L45" i="70"/>
  <c r="I52" i="70"/>
  <c r="I59" i="70"/>
  <c r="H101" i="70"/>
  <c r="U63" i="70"/>
  <c r="E58" i="68"/>
  <c r="H94" i="70"/>
  <c r="I87" i="70"/>
  <c r="H115" i="70"/>
  <c r="N115" i="70"/>
  <c r="E108" i="70"/>
  <c r="L147" i="70"/>
  <c r="J147" i="70"/>
  <c r="M147" i="70"/>
  <c r="I146" i="70"/>
  <c r="H146" i="70"/>
  <c r="G147" i="70"/>
  <c r="M79" i="60"/>
  <c r="N146" i="70"/>
  <c r="E122" i="70"/>
  <c r="E147" i="70"/>
  <c r="L129" i="70"/>
  <c r="D129" i="70"/>
  <c r="I127" i="70"/>
  <c r="K129" i="70"/>
  <c r="N127" i="70"/>
  <c r="O98" i="66" s="1"/>
  <c r="G129" i="70"/>
  <c r="N34" i="60"/>
  <c r="O34" i="60" s="1"/>
  <c r="T146" i="70" s="1"/>
  <c r="U144" i="70"/>
  <c r="M45" i="50"/>
  <c r="U91" i="70"/>
  <c r="N43" i="59"/>
  <c r="C147" i="70"/>
  <c r="C204" i="69"/>
  <c r="D45" i="59"/>
  <c r="K45" i="59"/>
  <c r="L45" i="59"/>
  <c r="C66" i="70"/>
  <c r="L45" i="60"/>
  <c r="N9" i="66" s="1"/>
  <c r="U14" i="70"/>
  <c r="E45" i="60"/>
  <c r="G9" i="66" s="1"/>
  <c r="F45" i="60"/>
  <c r="H9" i="66" s="1"/>
  <c r="L19" i="61"/>
  <c r="L27" i="61" s="1"/>
  <c r="H30" i="59"/>
  <c r="I45" i="59"/>
  <c r="J45" i="59"/>
  <c r="G45" i="50"/>
  <c r="B51" i="61"/>
  <c r="D45" i="60"/>
  <c r="F9" i="66" s="1"/>
  <c r="E19" i="61"/>
  <c r="E21" i="61" s="1"/>
  <c r="E29" i="61" s="1"/>
  <c r="D19" i="61"/>
  <c r="D27" i="61" s="1"/>
  <c r="H45" i="50"/>
  <c r="E137" i="68"/>
  <c r="U159" i="70"/>
  <c r="I45" i="60"/>
  <c r="K9" i="66" s="1"/>
  <c r="E118" i="68"/>
  <c r="O28" i="59"/>
  <c r="T127" i="70" s="1"/>
  <c r="U218" i="69"/>
  <c r="C224" i="69"/>
  <c r="F138" i="68"/>
  <c r="E136" i="68"/>
  <c r="U158" i="70"/>
  <c r="H30" i="60"/>
  <c r="H11" i="61" s="1"/>
  <c r="H13" i="61" s="1"/>
  <c r="M30" i="59"/>
  <c r="T160" i="70"/>
  <c r="G28" i="60"/>
  <c r="H128" i="70" s="1"/>
  <c r="I97" i="66" s="1"/>
  <c r="N23" i="60"/>
  <c r="O23" i="60" s="1"/>
  <c r="T93" i="70" s="1"/>
  <c r="E194" i="69"/>
  <c r="M140" i="70"/>
  <c r="N16" i="60"/>
  <c r="O16" i="60" s="1"/>
  <c r="T44" i="70" s="1"/>
  <c r="E92" i="68"/>
  <c r="U105" i="70"/>
  <c r="N59" i="70"/>
  <c r="E50" i="68"/>
  <c r="U56" i="70"/>
  <c r="N22" i="60"/>
  <c r="O22" i="60" s="1"/>
  <c r="T86" i="70" s="1"/>
  <c r="F118" i="68"/>
  <c r="O89" i="50"/>
  <c r="G88" i="59"/>
  <c r="H88" i="59"/>
  <c r="U28" i="70"/>
  <c r="L17" i="70"/>
  <c r="N17" i="60"/>
  <c r="O17" i="60" s="1"/>
  <c r="T51" i="70" s="1"/>
  <c r="U49" i="70"/>
  <c r="E44" i="68"/>
  <c r="N27" i="60"/>
  <c r="O27" i="60" s="1"/>
  <c r="T121" i="70" s="1"/>
  <c r="E68" i="68"/>
  <c r="U77" i="70"/>
  <c r="I17" i="70"/>
  <c r="J194" i="69"/>
  <c r="D140" i="70"/>
  <c r="L140" i="70"/>
  <c r="F194" i="69"/>
  <c r="G194" i="69"/>
  <c r="K140" i="70"/>
  <c r="N26" i="60"/>
  <c r="O26" i="60" s="1"/>
  <c r="T114" i="70" s="1"/>
  <c r="N45" i="50"/>
  <c r="M30" i="60"/>
  <c r="M11" i="61" s="1"/>
  <c r="M13" i="61" s="1"/>
  <c r="N28" i="59"/>
  <c r="M43" i="60"/>
  <c r="M19" i="61" s="1"/>
  <c r="G140" i="70"/>
  <c r="N21" i="60"/>
  <c r="O21" i="60" s="1"/>
  <c r="T79" i="70" s="1"/>
  <c r="U35" i="70"/>
  <c r="E32" i="68"/>
  <c r="N13" i="60"/>
  <c r="O13" i="60" s="1"/>
  <c r="T23" i="70" s="1"/>
  <c r="J30" i="60"/>
  <c r="U42" i="70"/>
  <c r="E38" i="68"/>
  <c r="E20" i="68"/>
  <c r="U21" i="70"/>
  <c r="E98" i="68"/>
  <c r="U112" i="70"/>
  <c r="F129" i="70"/>
  <c r="H88" i="60"/>
  <c r="H51" i="61" s="1"/>
  <c r="H43" i="60"/>
  <c r="H19" i="61" s="1"/>
  <c r="G43" i="60"/>
  <c r="G19" i="61" s="1"/>
  <c r="O30" i="50"/>
  <c r="T126" i="70"/>
  <c r="O43" i="50"/>
  <c r="H43" i="59"/>
  <c r="M43" i="59"/>
  <c r="G43" i="59"/>
  <c r="G45" i="59" s="1"/>
  <c r="N14" i="60"/>
  <c r="O14" i="60" s="1"/>
  <c r="T30" i="70" s="1"/>
  <c r="U119" i="70"/>
  <c r="E104" i="68"/>
  <c r="E62" i="68"/>
  <c r="U70" i="70"/>
  <c r="N18" i="60"/>
  <c r="O18" i="60" s="1"/>
  <c r="T58" i="70" s="1"/>
  <c r="C30" i="60"/>
  <c r="E87" i="68"/>
  <c r="U99" i="70"/>
  <c r="K194" i="69"/>
  <c r="N15" i="60"/>
  <c r="O15" i="60" s="1"/>
  <c r="T37" i="70" s="1"/>
  <c r="E64" i="68"/>
  <c r="U72" i="70"/>
  <c r="H108" i="70"/>
  <c r="J140" i="70"/>
  <c r="L194" i="69"/>
  <c r="F140" i="70"/>
  <c r="D194" i="69"/>
  <c r="M194" i="69"/>
  <c r="E140" i="70"/>
  <c r="E45" i="59"/>
  <c r="J53" i="61"/>
  <c r="I27" i="61"/>
  <c r="I21" i="61"/>
  <c r="I29" i="61" s="1"/>
  <c r="D53" i="61"/>
  <c r="K53" i="61"/>
  <c r="C21" i="61"/>
  <c r="L53" i="61"/>
  <c r="F27" i="61"/>
  <c r="F21" i="61"/>
  <c r="F29" i="61" s="1"/>
  <c r="K21" i="61"/>
  <c r="J21" i="61"/>
  <c r="C53" i="61"/>
  <c r="E53" i="61"/>
  <c r="N78" i="59"/>
  <c r="B43" i="60"/>
  <c r="N33" i="60"/>
  <c r="O78" i="59"/>
  <c r="O33" i="59"/>
  <c r="T138" i="70" s="1"/>
  <c r="L103" i="50" l="1"/>
  <c r="M14" i="79" s="1"/>
  <c r="N15" i="78" s="1"/>
  <c r="H103" i="50"/>
  <c r="I14" i="79" s="1"/>
  <c r="J15" i="78" s="1"/>
  <c r="I103" i="50"/>
  <c r="J14" i="79" s="1"/>
  <c r="K15" i="78" s="1"/>
  <c r="P73" i="23"/>
  <c r="U119" i="79"/>
  <c r="U112" i="79"/>
  <c r="U105" i="79"/>
  <c r="U84" i="79"/>
  <c r="G80" i="68"/>
  <c r="U91" i="79"/>
  <c r="U77" i="79"/>
  <c r="U63" i="79"/>
  <c r="U56" i="79"/>
  <c r="U49" i="79"/>
  <c r="N17" i="79"/>
  <c r="U28" i="79"/>
  <c r="U21" i="79"/>
  <c r="D14" i="79"/>
  <c r="D17" i="79" s="1"/>
  <c r="N103" i="50"/>
  <c r="L17" i="79"/>
  <c r="M17" i="79"/>
  <c r="E17" i="79"/>
  <c r="N102" i="59"/>
  <c r="O102" i="59"/>
  <c r="T15" i="79" s="1"/>
  <c r="H17" i="79"/>
  <c r="E14" i="78"/>
  <c r="Q15" i="79"/>
  <c r="J121" i="66"/>
  <c r="J127" i="66"/>
  <c r="I121" i="66"/>
  <c r="I127" i="66"/>
  <c r="O121" i="66"/>
  <c r="O127" i="66"/>
  <c r="Q127" i="70"/>
  <c r="E111" i="68" s="1"/>
  <c r="Q199" i="69"/>
  <c r="F125" i="68" s="1"/>
  <c r="R146" i="70"/>
  <c r="R199" i="70" s="1"/>
  <c r="R230" i="69"/>
  <c r="F144" i="68" s="1"/>
  <c r="R128" i="70"/>
  <c r="R30" i="70"/>
  <c r="E28" i="68" s="1"/>
  <c r="U29" i="79"/>
  <c r="U92" i="79"/>
  <c r="U126" i="79"/>
  <c r="G110" i="68"/>
  <c r="U113" i="79"/>
  <c r="U99" i="79"/>
  <c r="U127" i="79"/>
  <c r="N118" i="60"/>
  <c r="O118" i="60" s="1"/>
  <c r="T128" i="79" s="1"/>
  <c r="U106" i="79"/>
  <c r="G16" i="68"/>
  <c r="I129" i="79"/>
  <c r="D129" i="79"/>
  <c r="G100" i="68"/>
  <c r="I108" i="79"/>
  <c r="G94" i="68"/>
  <c r="N129" i="79"/>
  <c r="G22" i="68"/>
  <c r="G76" i="68"/>
  <c r="G70" i="68"/>
  <c r="U71" i="79"/>
  <c r="G64" i="68"/>
  <c r="U65" i="79"/>
  <c r="G52" i="68"/>
  <c r="D59" i="79"/>
  <c r="U57" i="79"/>
  <c r="U50" i="79"/>
  <c r="G46" i="68"/>
  <c r="U36" i="79"/>
  <c r="I38" i="79"/>
  <c r="G34" i="68"/>
  <c r="I204" i="69"/>
  <c r="O104" i="60"/>
  <c r="T30" i="79" s="1"/>
  <c r="G234" i="69"/>
  <c r="G28" i="68"/>
  <c r="I53" i="61"/>
  <c r="J234" i="69"/>
  <c r="Q199" i="79"/>
  <c r="T199" i="69"/>
  <c r="U145" i="79"/>
  <c r="G144" i="68"/>
  <c r="U137" i="79"/>
  <c r="T189" i="69"/>
  <c r="U138" i="79"/>
  <c r="N200" i="69"/>
  <c r="N147" i="79"/>
  <c r="I234" i="69"/>
  <c r="H204" i="69"/>
  <c r="T230" i="69"/>
  <c r="H234" i="69"/>
  <c r="K27" i="61"/>
  <c r="K45" i="60"/>
  <c r="M9" i="66" s="1"/>
  <c r="K29" i="61"/>
  <c r="U43" i="70"/>
  <c r="E99" i="68"/>
  <c r="U100" i="70"/>
  <c r="I129" i="70"/>
  <c r="J98" i="66"/>
  <c r="I147" i="70"/>
  <c r="H147" i="70"/>
  <c r="U64" i="70"/>
  <c r="U65" i="70"/>
  <c r="U57" i="70"/>
  <c r="U50" i="70"/>
  <c r="E75" i="68"/>
  <c r="E94" i="68"/>
  <c r="E81" i="68"/>
  <c r="N147" i="70"/>
  <c r="N88" i="59"/>
  <c r="N129" i="70"/>
  <c r="N79" i="60"/>
  <c r="O79" i="60" s="1"/>
  <c r="M88" i="60"/>
  <c r="M51" i="61" s="1"/>
  <c r="M53" i="61" s="1"/>
  <c r="E105" i="68"/>
  <c r="G30" i="60"/>
  <c r="G11" i="61" s="1"/>
  <c r="G13" i="61" s="1"/>
  <c r="E125" i="68"/>
  <c r="U145" i="70"/>
  <c r="N194" i="69"/>
  <c r="P201" i="70"/>
  <c r="L21" i="61"/>
  <c r="L29" i="61" s="1"/>
  <c r="L28" i="61" s="1"/>
  <c r="B53" i="61"/>
  <c r="M45" i="60"/>
  <c r="O9" i="66" s="1"/>
  <c r="D21" i="61"/>
  <c r="D29" i="61" s="1"/>
  <c r="D28" i="61" s="1"/>
  <c r="H45" i="59"/>
  <c r="O45" i="50"/>
  <c r="P12" i="50" s="1"/>
  <c r="E27" i="61"/>
  <c r="E28" i="61" s="1"/>
  <c r="U137" i="70"/>
  <c r="M45" i="59"/>
  <c r="I28" i="61"/>
  <c r="U220" i="69"/>
  <c r="E119" i="68"/>
  <c r="D161" i="70"/>
  <c r="H45" i="60"/>
  <c r="J9" i="66" s="1"/>
  <c r="E93" i="68"/>
  <c r="U106" i="70"/>
  <c r="E33" i="68"/>
  <c r="U36" i="70"/>
  <c r="D59" i="70"/>
  <c r="L31" i="70"/>
  <c r="I140" i="70"/>
  <c r="I194" i="69"/>
  <c r="H80" i="70"/>
  <c r="P277" i="69"/>
  <c r="U188" i="69"/>
  <c r="E63" i="68"/>
  <c r="U71" i="70"/>
  <c r="H45" i="70"/>
  <c r="N28" i="60"/>
  <c r="O28" i="60" s="1"/>
  <c r="T128" i="70" s="1"/>
  <c r="H194" i="69"/>
  <c r="I38" i="70"/>
  <c r="J11" i="61"/>
  <c r="J45" i="60"/>
  <c r="L9" i="66" s="1"/>
  <c r="U29" i="70"/>
  <c r="H52" i="70"/>
  <c r="E21" i="68"/>
  <c r="U22" i="70"/>
  <c r="I94" i="70"/>
  <c r="F120" i="68"/>
  <c r="F119" i="68"/>
  <c r="C11" i="61"/>
  <c r="C45" i="60"/>
  <c r="E9" i="66" s="1"/>
  <c r="H140" i="70"/>
  <c r="N140" i="70"/>
  <c r="I122" i="70"/>
  <c r="D87" i="70"/>
  <c r="E110" i="68"/>
  <c r="E173" i="68" s="1"/>
  <c r="E180" i="68" s="1"/>
  <c r="U126" i="70"/>
  <c r="U78" i="70"/>
  <c r="E69" i="68"/>
  <c r="K24" i="70"/>
  <c r="I115" i="70"/>
  <c r="B19" i="61"/>
  <c r="F28" i="61"/>
  <c r="G21" i="61"/>
  <c r="H53" i="61"/>
  <c r="M27" i="61"/>
  <c r="M21" i="61"/>
  <c r="M29" i="61" s="1"/>
  <c r="H27" i="61"/>
  <c r="H21" i="61"/>
  <c r="H29" i="61" s="1"/>
  <c r="O43" i="59"/>
  <c r="O33" i="60"/>
  <c r="N43" i="60"/>
  <c r="O88" i="59"/>
  <c r="G88" i="60"/>
  <c r="N78" i="60"/>
  <c r="I17" i="79" l="1"/>
  <c r="O103" i="50"/>
  <c r="T14" i="79" s="1"/>
  <c r="J17" i="79"/>
  <c r="E15" i="78"/>
  <c r="P14" i="79"/>
  <c r="G15" i="68"/>
  <c r="U15" i="79"/>
  <c r="P39" i="50"/>
  <c r="P41" i="50"/>
  <c r="P40" i="50"/>
  <c r="P35" i="50"/>
  <c r="P38" i="50"/>
  <c r="L130" i="68"/>
  <c r="L148" i="68"/>
  <c r="U199" i="69"/>
  <c r="U146" i="70"/>
  <c r="R200" i="69"/>
  <c r="F126" i="68" s="1"/>
  <c r="U23" i="79"/>
  <c r="U58" i="79"/>
  <c r="U16" i="79"/>
  <c r="U72" i="79"/>
  <c r="U121" i="79"/>
  <c r="U114" i="79"/>
  <c r="U107" i="79"/>
  <c r="U86" i="79"/>
  <c r="U79" i="79"/>
  <c r="U51" i="79"/>
  <c r="U37" i="79"/>
  <c r="P183" i="65"/>
  <c r="U230" i="69"/>
  <c r="N204" i="69"/>
  <c r="U167" i="79"/>
  <c r="T200" i="69"/>
  <c r="G126" i="68"/>
  <c r="K28" i="61"/>
  <c r="G29" i="61"/>
  <c r="G45" i="60"/>
  <c r="I9" i="66" s="1"/>
  <c r="G27" i="61"/>
  <c r="E126" i="68"/>
  <c r="U127" i="70"/>
  <c r="T139" i="70"/>
  <c r="T199" i="70" s="1"/>
  <c r="L154" i="68"/>
  <c r="L160" i="68"/>
  <c r="L166" i="68"/>
  <c r="L142" i="68"/>
  <c r="L124" i="68"/>
  <c r="L136" i="68"/>
  <c r="P25" i="50"/>
  <c r="P26" i="50"/>
  <c r="P23" i="50"/>
  <c r="P27" i="50"/>
  <c r="P24" i="50"/>
  <c r="P28" i="50"/>
  <c r="P34" i="50"/>
  <c r="P17" i="50"/>
  <c r="P20" i="50"/>
  <c r="P15" i="50"/>
  <c r="P19" i="50"/>
  <c r="P45" i="50"/>
  <c r="P37" i="50"/>
  <c r="P36" i="50"/>
  <c r="P13" i="50"/>
  <c r="U138" i="70"/>
  <c r="P14" i="50"/>
  <c r="P22" i="50"/>
  <c r="P16" i="50"/>
  <c r="P18" i="50"/>
  <c r="P21" i="50"/>
  <c r="P43" i="50"/>
  <c r="P33" i="50"/>
  <c r="P30" i="50"/>
  <c r="E138" i="68"/>
  <c r="U160" i="70"/>
  <c r="E120" i="68"/>
  <c r="U189" i="69"/>
  <c r="Q277" i="69"/>
  <c r="E70" i="68"/>
  <c r="U79" i="70"/>
  <c r="E76" i="68"/>
  <c r="U86" i="70"/>
  <c r="E34" i="68"/>
  <c r="U37" i="70"/>
  <c r="E40" i="68"/>
  <c r="U44" i="70"/>
  <c r="U30" i="70"/>
  <c r="C13" i="61"/>
  <c r="C29" i="61" s="1"/>
  <c r="C27" i="61"/>
  <c r="U51" i="70"/>
  <c r="E46" i="68"/>
  <c r="J13" i="61"/>
  <c r="J29" i="61" s="1"/>
  <c r="J27" i="61"/>
  <c r="H129" i="70"/>
  <c r="E52" i="68"/>
  <c r="U58" i="70"/>
  <c r="E100" i="68"/>
  <c r="U114" i="70"/>
  <c r="U23" i="70"/>
  <c r="E22" i="68"/>
  <c r="E106" i="68"/>
  <c r="U121" i="70"/>
  <c r="U93" i="70"/>
  <c r="E82" i="68"/>
  <c r="H28" i="61"/>
  <c r="M28" i="61"/>
  <c r="G51" i="61"/>
  <c r="B21" i="61"/>
  <c r="O19" i="61"/>
  <c r="O21" i="61" s="1"/>
  <c r="O43" i="60"/>
  <c r="O78" i="60"/>
  <c r="U139" i="79" s="1"/>
  <c r="N88" i="60"/>
  <c r="U14" i="79" l="1"/>
  <c r="G14" i="68"/>
  <c r="R277" i="69"/>
  <c r="U200" i="69"/>
  <c r="G112" i="68"/>
  <c r="U128" i="79"/>
  <c r="U30" i="79"/>
  <c r="T199" i="79"/>
  <c r="U146" i="79"/>
  <c r="U199" i="79" s="1"/>
  <c r="R199" i="79"/>
  <c r="G28" i="61"/>
  <c r="U139" i="70"/>
  <c r="U199" i="70" s="1"/>
  <c r="T190" i="69"/>
  <c r="T277" i="69" s="1"/>
  <c r="L26" i="68"/>
  <c r="C28" i="61"/>
  <c r="L173" i="68"/>
  <c r="L56" i="68"/>
  <c r="L86" i="68"/>
  <c r="L80" i="68"/>
  <c r="L14" i="68"/>
  <c r="L74" i="68"/>
  <c r="L98" i="68"/>
  <c r="L118" i="68"/>
  <c r="L32" i="68"/>
  <c r="L50" i="68"/>
  <c r="L38" i="68"/>
  <c r="L44" i="68"/>
  <c r="L62" i="68"/>
  <c r="L68" i="68"/>
  <c r="L92" i="68"/>
  <c r="L20" i="68"/>
  <c r="L104" i="68"/>
  <c r="L110" i="68"/>
  <c r="E112" i="68"/>
  <c r="U128" i="70"/>
  <c r="J28" i="61"/>
  <c r="G53" i="61"/>
  <c r="O51" i="61"/>
  <c r="O53" i="61" s="1"/>
  <c r="O88" i="60"/>
  <c r="U190" i="69" l="1"/>
  <c r="U277" i="69" s="1"/>
  <c r="C40" i="23" l="1"/>
  <c r="P59" i="23" l="1"/>
  <c r="B12" i="59"/>
  <c r="B12" i="60" l="1"/>
  <c r="N12" i="60" s="1"/>
  <c r="O12" i="60" s="1"/>
  <c r="T16" i="70" s="1"/>
  <c r="O12" i="59"/>
  <c r="B30" i="59"/>
  <c r="B45" i="59" s="1"/>
  <c r="C15" i="70"/>
  <c r="N12" i="59"/>
  <c r="N30" i="59" s="1"/>
  <c r="N45" i="59" s="1"/>
  <c r="O30" i="60" l="1"/>
  <c r="O45" i="60" s="1"/>
  <c r="N30" i="60"/>
  <c r="N45" i="60" s="1"/>
  <c r="C16" i="70"/>
  <c r="R16" i="70" s="1"/>
  <c r="B30" i="60"/>
  <c r="B45" i="60" s="1"/>
  <c r="D9" i="66" s="1"/>
  <c r="O30" i="59"/>
  <c r="T15" i="70"/>
  <c r="T132" i="70" s="1"/>
  <c r="T201" i="70" s="1"/>
  <c r="D14" i="66"/>
  <c r="Q15" i="70"/>
  <c r="C17" i="70" l="1"/>
  <c r="D13" i="66"/>
  <c r="B11" i="61"/>
  <c r="O11" i="61" s="1"/>
  <c r="O13" i="61" s="1"/>
  <c r="O45" i="59"/>
  <c r="P30" i="59" s="1"/>
  <c r="R132" i="70"/>
  <c r="R201" i="70" s="1"/>
  <c r="E16" i="68"/>
  <c r="U16" i="70"/>
  <c r="E15" i="68"/>
  <c r="U15" i="70"/>
  <c r="Q132" i="70"/>
  <c r="Q201" i="70" s="1"/>
  <c r="P104" i="60"/>
  <c r="P109" i="60"/>
  <c r="P78" i="60"/>
  <c r="P86" i="60"/>
  <c r="P14" i="60"/>
  <c r="P126" i="60"/>
  <c r="P22" i="60"/>
  <c r="P36" i="60"/>
  <c r="P23" i="60"/>
  <c r="P131" i="60"/>
  <c r="P116" i="60"/>
  <c r="P114" i="60"/>
  <c r="P35" i="60"/>
  <c r="P80" i="60"/>
  <c r="P79" i="60"/>
  <c r="P21" i="60"/>
  <c r="P18" i="60"/>
  <c r="P16" i="60"/>
  <c r="P117" i="60"/>
  <c r="P130" i="60"/>
  <c r="P83" i="60"/>
  <c r="P124" i="60"/>
  <c r="P26" i="60"/>
  <c r="P108" i="60"/>
  <c r="P125" i="60"/>
  <c r="P123" i="60"/>
  <c r="P103" i="60"/>
  <c r="P20" i="60"/>
  <c r="P110" i="60"/>
  <c r="P28" i="60"/>
  <c r="P45" i="60"/>
  <c r="P38" i="60"/>
  <c r="P27" i="60"/>
  <c r="P127" i="60"/>
  <c r="P133" i="60"/>
  <c r="P84" i="60"/>
  <c r="P115" i="60"/>
  <c r="P85" i="60"/>
  <c r="P43" i="60"/>
  <c r="P128" i="60"/>
  <c r="P111" i="60"/>
  <c r="P102" i="60"/>
  <c r="P105" i="60"/>
  <c r="P24" i="60"/>
  <c r="P39" i="60"/>
  <c r="P41" i="60"/>
  <c r="P81" i="60"/>
  <c r="P88" i="60"/>
  <c r="P25" i="60"/>
  <c r="P113" i="60"/>
  <c r="P17" i="60"/>
  <c r="P112" i="60"/>
  <c r="P107" i="60"/>
  <c r="P15" i="60"/>
  <c r="P82" i="60"/>
  <c r="P118" i="60"/>
  <c r="P37" i="60"/>
  <c r="P13" i="60"/>
  <c r="P40" i="60"/>
  <c r="P129" i="60"/>
  <c r="P19" i="60"/>
  <c r="P34" i="60"/>
  <c r="P33" i="60"/>
  <c r="P12" i="60"/>
  <c r="P30" i="60"/>
  <c r="B27" i="61" l="1"/>
  <c r="O27" i="61" s="1"/>
  <c r="B13" i="61"/>
  <c r="B29" i="61" s="1"/>
  <c r="E174" i="68"/>
  <c r="E175" i="68"/>
  <c r="U132" i="70"/>
  <c r="U201" i="70" s="1"/>
  <c r="P25" i="59"/>
  <c r="P43" i="59"/>
  <c r="P27" i="59"/>
  <c r="P15" i="59"/>
  <c r="P39" i="59"/>
  <c r="P17" i="59"/>
  <c r="P22" i="59"/>
  <c r="P33" i="59"/>
  <c r="P19" i="59"/>
  <c r="P23" i="59"/>
  <c r="P14" i="59"/>
  <c r="P40" i="59"/>
  <c r="P38" i="59"/>
  <c r="P28" i="59"/>
  <c r="P41" i="59"/>
  <c r="P26" i="59"/>
  <c r="P35" i="59"/>
  <c r="P13" i="59"/>
  <c r="P36" i="59"/>
  <c r="P20" i="59"/>
  <c r="P34" i="59"/>
  <c r="P21" i="59"/>
  <c r="P18" i="59"/>
  <c r="P16" i="59"/>
  <c r="P24" i="59"/>
  <c r="P45" i="59"/>
  <c r="P37" i="59"/>
  <c r="P12" i="59"/>
  <c r="B28" i="61" l="1"/>
  <c r="O29" i="61"/>
  <c r="O33" i="61" s="1"/>
  <c r="L112" i="68"/>
  <c r="L138" i="68"/>
  <c r="L106" i="68"/>
  <c r="L150" i="68"/>
  <c r="L64" i="68"/>
  <c r="L82" i="68"/>
  <c r="L76" i="68"/>
  <c r="L22" i="68"/>
  <c r="L52" i="68"/>
  <c r="L34" i="68"/>
  <c r="L58" i="68"/>
  <c r="L120" i="68"/>
  <c r="L100" i="68"/>
  <c r="L46" i="68"/>
  <c r="L94" i="68"/>
  <c r="L156" i="68"/>
  <c r="L70" i="68"/>
  <c r="L40" i="68"/>
  <c r="L162" i="68"/>
  <c r="L28" i="68"/>
  <c r="L144" i="68"/>
  <c r="L168" i="68"/>
  <c r="L88" i="68"/>
  <c r="L126" i="68"/>
  <c r="E182" i="68"/>
  <c r="E187" i="68" s="1"/>
  <c r="L132" i="68"/>
  <c r="L175" i="68"/>
  <c r="L174" i="68"/>
  <c r="L105" i="68"/>
  <c r="L149" i="68"/>
  <c r="L33" i="68"/>
  <c r="L143" i="68"/>
  <c r="L99" i="68"/>
  <c r="L87" i="68"/>
  <c r="E181" i="68"/>
  <c r="L167" i="68"/>
  <c r="L57" i="68"/>
  <c r="L45" i="68"/>
  <c r="L155" i="68"/>
  <c r="L125" i="68"/>
  <c r="L27" i="68"/>
  <c r="L93" i="68"/>
  <c r="L137" i="68"/>
  <c r="L119" i="68"/>
  <c r="L69" i="68"/>
  <c r="L161" i="68"/>
  <c r="L39" i="68"/>
  <c r="L81" i="68"/>
  <c r="L21" i="68"/>
  <c r="L131" i="68"/>
  <c r="L75" i="68"/>
  <c r="L51" i="68"/>
  <c r="L111" i="68"/>
  <c r="L63" i="68"/>
  <c r="L16" i="68"/>
  <c r="L15" i="68"/>
  <c r="P13" i="61" l="1"/>
  <c r="Q13" i="61" s="1"/>
  <c r="P21" i="61"/>
  <c r="O28" i="61"/>
  <c r="Q33" i="61"/>
  <c r="P33" i="61" l="1"/>
  <c r="P72" i="31" l="1"/>
  <c r="G106" i="60"/>
  <c r="G120" i="60" s="1"/>
  <c r="G135" i="60" s="1"/>
  <c r="I9" i="78" s="1"/>
  <c r="L106" i="60"/>
  <c r="D106" i="60"/>
  <c r="F106" i="60"/>
  <c r="F120" i="60" s="1"/>
  <c r="F135" i="60" s="1"/>
  <c r="H9" i="78" s="1"/>
  <c r="I106" i="60"/>
  <c r="I120" i="60" s="1"/>
  <c r="I135" i="60" s="1"/>
  <c r="K9" i="78" s="1"/>
  <c r="C106" i="60"/>
  <c r="C120" i="60" s="1"/>
  <c r="C135" i="60" s="1"/>
  <c r="E9" i="78" s="1"/>
  <c r="E106" i="60"/>
  <c r="E120" i="60" s="1"/>
  <c r="E135" i="60" s="1"/>
  <c r="G9" i="78" s="1"/>
  <c r="M106" i="60"/>
  <c r="N44" i="79" s="1"/>
  <c r="K106" i="60"/>
  <c r="L44" i="79" s="1"/>
  <c r="M37" i="78" s="1"/>
  <c r="J106" i="60"/>
  <c r="J120" i="60" s="1"/>
  <c r="J135" i="60" s="1"/>
  <c r="L9" i="78" s="1"/>
  <c r="H106" i="60"/>
  <c r="I44" i="79" s="1"/>
  <c r="J37" i="78" s="1"/>
  <c r="B106" i="60"/>
  <c r="B120" i="60" s="1"/>
  <c r="B135" i="60" s="1"/>
  <c r="D9" i="78" s="1"/>
  <c r="G44" i="79" l="1"/>
  <c r="H37" i="78" s="1"/>
  <c r="L107" i="50"/>
  <c r="C107" i="50"/>
  <c r="D107" i="50"/>
  <c r="H107" i="50"/>
  <c r="K107" i="50"/>
  <c r="E107" i="50"/>
  <c r="I107" i="50"/>
  <c r="F107" i="50"/>
  <c r="J107" i="50"/>
  <c r="G107" i="50"/>
  <c r="L106" i="59"/>
  <c r="M43" i="79" s="1"/>
  <c r="N38" i="78" s="1"/>
  <c r="M106" i="59"/>
  <c r="M120" i="59" s="1"/>
  <c r="M135" i="59" s="1"/>
  <c r="C106" i="59"/>
  <c r="D43" i="79" s="1"/>
  <c r="E38" i="78" s="1"/>
  <c r="H106" i="59"/>
  <c r="I43" i="79" s="1"/>
  <c r="K106" i="59"/>
  <c r="K120" i="59" s="1"/>
  <c r="K135" i="59" s="1"/>
  <c r="E106" i="59"/>
  <c r="F43" i="79" s="1"/>
  <c r="G38" i="78" s="1"/>
  <c r="I106" i="59"/>
  <c r="F106" i="59"/>
  <c r="F120" i="59" s="1"/>
  <c r="F135" i="59" s="1"/>
  <c r="J106" i="59"/>
  <c r="K43" i="79" s="1"/>
  <c r="L38" i="78" s="1"/>
  <c r="D106" i="59"/>
  <c r="E43" i="79" s="1"/>
  <c r="F38" i="78" s="1"/>
  <c r="G106" i="59"/>
  <c r="G120" i="59" s="1"/>
  <c r="G135" i="59" s="1"/>
  <c r="H44" i="79"/>
  <c r="I37" i="78" s="1"/>
  <c r="H120" i="60"/>
  <c r="H135" i="60" s="1"/>
  <c r="J9" i="78" s="1"/>
  <c r="D44" i="79"/>
  <c r="E37" i="78" s="1"/>
  <c r="K44" i="79"/>
  <c r="L37" i="78" s="1"/>
  <c r="G43" i="79"/>
  <c r="H38" i="78" s="1"/>
  <c r="J44" i="79"/>
  <c r="K37" i="78" s="1"/>
  <c r="H43" i="79"/>
  <c r="I38" i="78" s="1"/>
  <c r="P73" i="31"/>
  <c r="B106" i="59"/>
  <c r="E44" i="79"/>
  <c r="D120" i="60"/>
  <c r="D135" i="60" s="1"/>
  <c r="F9" i="78" s="1"/>
  <c r="L120" i="60"/>
  <c r="L135" i="60" s="1"/>
  <c r="N9" i="78" s="1"/>
  <c r="M44" i="79"/>
  <c r="F44" i="79"/>
  <c r="I120" i="59"/>
  <c r="I135" i="59" s="1"/>
  <c r="J43" i="79"/>
  <c r="K38" i="78" s="1"/>
  <c r="O37" i="78"/>
  <c r="C120" i="59"/>
  <c r="C135" i="59" s="1"/>
  <c r="C44" i="79"/>
  <c r="N106" i="60"/>
  <c r="K120" i="60"/>
  <c r="K135" i="60" s="1"/>
  <c r="M9" i="78" s="1"/>
  <c r="M120" i="60"/>
  <c r="M135" i="60" s="1"/>
  <c r="O9" i="78" s="1"/>
  <c r="L120" i="59" l="1"/>
  <c r="L135" i="59" s="1"/>
  <c r="H120" i="59"/>
  <c r="H135" i="59" s="1"/>
  <c r="D120" i="59"/>
  <c r="D135" i="59" s="1"/>
  <c r="L43" i="79"/>
  <c r="M38" i="78" s="1"/>
  <c r="E120" i="59"/>
  <c r="E135" i="59" s="1"/>
  <c r="J120" i="59"/>
  <c r="J135" i="59" s="1"/>
  <c r="N43" i="79"/>
  <c r="O38" i="78" s="1"/>
  <c r="H42" i="79"/>
  <c r="I39" i="78" s="1"/>
  <c r="G121" i="50"/>
  <c r="G137" i="50" s="1"/>
  <c r="G42" i="79"/>
  <c r="H39" i="78" s="1"/>
  <c r="F121" i="50"/>
  <c r="F137" i="50" s="1"/>
  <c r="F42" i="79"/>
  <c r="G39" i="78" s="1"/>
  <c r="E121" i="50"/>
  <c r="E137" i="50" s="1"/>
  <c r="I42" i="79"/>
  <c r="J39" i="78" s="1"/>
  <c r="H121" i="50"/>
  <c r="H137" i="50" s="1"/>
  <c r="D42" i="79"/>
  <c r="E39" i="78" s="1"/>
  <c r="C121" i="50"/>
  <c r="C137" i="50" s="1"/>
  <c r="K42" i="79"/>
  <c r="L39" i="78" s="1"/>
  <c r="J121" i="50"/>
  <c r="J137" i="50" s="1"/>
  <c r="J42" i="79"/>
  <c r="K39" i="78" s="1"/>
  <c r="I121" i="50"/>
  <c r="I137" i="50" s="1"/>
  <c r="L42" i="79"/>
  <c r="M39" i="78" s="1"/>
  <c r="K121" i="50"/>
  <c r="K137" i="50" s="1"/>
  <c r="E42" i="79"/>
  <c r="F39" i="78" s="1"/>
  <c r="D121" i="50"/>
  <c r="D137" i="50" s="1"/>
  <c r="M42" i="79"/>
  <c r="N39" i="78" s="1"/>
  <c r="L121" i="50"/>
  <c r="L137" i="50" s="1"/>
  <c r="P74" i="31"/>
  <c r="B107" i="50"/>
  <c r="G45" i="79"/>
  <c r="R44" i="79"/>
  <c r="D37" i="78"/>
  <c r="G37" i="78"/>
  <c r="N106" i="59"/>
  <c r="N120" i="59" s="1"/>
  <c r="N135" i="59" s="1"/>
  <c r="C43" i="79"/>
  <c r="B120" i="59"/>
  <c r="B135" i="59" s="1"/>
  <c r="O106" i="59"/>
  <c r="F37" i="78"/>
  <c r="J38" i="78"/>
  <c r="N120" i="60"/>
  <c r="N135" i="60" s="1"/>
  <c r="O106" i="60"/>
  <c r="N37" i="78"/>
  <c r="N45" i="79" l="1"/>
  <c r="H45" i="79"/>
  <c r="J45" i="79"/>
  <c r="M45" i="79"/>
  <c r="K45" i="79"/>
  <c r="I45" i="79"/>
  <c r="E45" i="79"/>
  <c r="F45" i="79"/>
  <c r="L45" i="79"/>
  <c r="D45" i="79"/>
  <c r="O107" i="50"/>
  <c r="C42" i="79"/>
  <c r="C45" i="79" s="1"/>
  <c r="N107" i="50"/>
  <c r="N121" i="50" s="1"/>
  <c r="N137" i="50" s="1"/>
  <c r="B121" i="50"/>
  <c r="B137" i="50" s="1"/>
  <c r="T44" i="79"/>
  <c r="U44" i="79" s="1"/>
  <c r="O120" i="60"/>
  <c r="P106" i="60"/>
  <c r="Q43" i="79"/>
  <c r="D38" i="78"/>
  <c r="R132" i="79"/>
  <c r="R201" i="79" s="1"/>
  <c r="G40" i="68"/>
  <c r="O120" i="59"/>
  <c r="T43" i="79"/>
  <c r="P42" i="79" l="1"/>
  <c r="D39" i="78"/>
  <c r="T42" i="79"/>
  <c r="O121" i="50"/>
  <c r="O137" i="50" s="1"/>
  <c r="G175" i="68"/>
  <c r="N40" i="68" s="1"/>
  <c r="G39" i="68"/>
  <c r="U43" i="79"/>
  <c r="Q132" i="79"/>
  <c r="Q201" i="79" s="1"/>
  <c r="O135" i="59"/>
  <c r="P120" i="59" s="1"/>
  <c r="P120" i="60"/>
  <c r="O135" i="60"/>
  <c r="P135" i="60" s="1"/>
  <c r="P121" i="50" l="1"/>
  <c r="P110" i="50"/>
  <c r="P105" i="50"/>
  <c r="P127" i="50"/>
  <c r="P135" i="50"/>
  <c r="P130" i="50"/>
  <c r="P129" i="50"/>
  <c r="P104" i="50"/>
  <c r="P111" i="50"/>
  <c r="P103" i="50"/>
  <c r="P125" i="50"/>
  <c r="P132" i="50"/>
  <c r="P131" i="50"/>
  <c r="P109" i="50"/>
  <c r="P117" i="50"/>
  <c r="P115" i="50"/>
  <c r="P126" i="50"/>
  <c r="P106" i="50"/>
  <c r="P116" i="50"/>
  <c r="P114" i="50"/>
  <c r="P128" i="50"/>
  <c r="P124" i="50"/>
  <c r="P119" i="50"/>
  <c r="P112" i="50"/>
  <c r="P113" i="50"/>
  <c r="P137" i="50"/>
  <c r="P108" i="50"/>
  <c r="P118" i="50"/>
  <c r="P107" i="50"/>
  <c r="G38" i="68"/>
  <c r="U42" i="79"/>
  <c r="P132" i="79"/>
  <c r="P201" i="79" s="1"/>
  <c r="G174" i="68"/>
  <c r="N39" i="68" s="1"/>
  <c r="P125" i="59"/>
  <c r="P103" i="59"/>
  <c r="P115" i="59"/>
  <c r="P112" i="59"/>
  <c r="P113" i="59"/>
  <c r="P109" i="59"/>
  <c r="P129" i="59"/>
  <c r="P108" i="59"/>
  <c r="P131" i="59"/>
  <c r="P107" i="59"/>
  <c r="P116" i="59"/>
  <c r="P135" i="59"/>
  <c r="P128" i="59"/>
  <c r="P123" i="59"/>
  <c r="P105" i="59"/>
  <c r="P110" i="59"/>
  <c r="P124" i="59"/>
  <c r="P117" i="59"/>
  <c r="P126" i="59"/>
  <c r="P133" i="59"/>
  <c r="P118" i="59"/>
  <c r="P102" i="59"/>
  <c r="P114" i="59"/>
  <c r="P104" i="59"/>
  <c r="P130" i="59"/>
  <c r="P127" i="59"/>
  <c r="P111" i="59"/>
  <c r="P106" i="59"/>
  <c r="N22" i="68"/>
  <c r="N112" i="68"/>
  <c r="N34" i="68"/>
  <c r="N82" i="68"/>
  <c r="N156" i="68"/>
  <c r="N100" i="68"/>
  <c r="N52" i="68"/>
  <c r="N120" i="68"/>
  <c r="N70" i="68"/>
  <c r="N150" i="68"/>
  <c r="N58" i="68"/>
  <c r="N162" i="68"/>
  <c r="N168" i="68"/>
  <c r="N94" i="68"/>
  <c r="N64" i="68"/>
  <c r="N106" i="68"/>
  <c r="G182" i="68"/>
  <c r="G187" i="68" s="1"/>
  <c r="N16" i="68"/>
  <c r="N144" i="68"/>
  <c r="N88" i="68"/>
  <c r="N132" i="68"/>
  <c r="N76" i="68"/>
  <c r="N28" i="68"/>
  <c r="N175" i="68"/>
  <c r="N46" i="68"/>
  <c r="N138" i="68"/>
  <c r="N126" i="68"/>
  <c r="G173" i="68" l="1"/>
  <c r="N38" i="68" s="1"/>
  <c r="G181" i="68"/>
  <c r="N174" i="68"/>
  <c r="N149" i="68"/>
  <c r="N143" i="68"/>
  <c r="N81" i="68"/>
  <c r="N33" i="68"/>
  <c r="N93" i="68"/>
  <c r="N69" i="68"/>
  <c r="N63" i="68"/>
  <c r="N119" i="68"/>
  <c r="N105" i="68"/>
  <c r="N21" i="68"/>
  <c r="N87" i="68"/>
  <c r="N27" i="68"/>
  <c r="N131" i="68"/>
  <c r="N167" i="68"/>
  <c r="N75" i="68"/>
  <c r="N125" i="68"/>
  <c r="N155" i="68"/>
  <c r="N137" i="68"/>
  <c r="N57" i="68"/>
  <c r="N45" i="68"/>
  <c r="N99" i="68"/>
  <c r="N15" i="68"/>
  <c r="N51" i="68"/>
  <c r="N161" i="68"/>
  <c r="N111" i="68"/>
  <c r="D41" i="23"/>
  <c r="H41" i="23"/>
  <c r="H42" i="49" l="1"/>
  <c r="H41" i="49"/>
  <c r="D42" i="49"/>
  <c r="D41" i="49"/>
  <c r="H42" i="48"/>
  <c r="H41" i="48"/>
  <c r="D42" i="48"/>
  <c r="D41" i="48"/>
  <c r="D42" i="47"/>
  <c r="D41" i="47"/>
  <c r="H42" i="47"/>
  <c r="H41" i="47"/>
  <c r="H42" i="46"/>
  <c r="H41" i="46"/>
  <c r="D41" i="46"/>
  <c r="D42" i="46"/>
  <c r="H42" i="42"/>
  <c r="H41" i="42"/>
  <c r="D42" i="42"/>
  <c r="D41" i="42"/>
  <c r="D42" i="40"/>
  <c r="D42" i="41"/>
  <c r="D41" i="41"/>
  <c r="H42" i="40"/>
  <c r="H42" i="41"/>
  <c r="H41" i="41"/>
  <c r="H41" i="40"/>
  <c r="D41" i="40"/>
  <c r="H42" i="39"/>
  <c r="H41" i="39"/>
  <c r="D42" i="39"/>
  <c r="D41" i="39"/>
  <c r="H42" i="35"/>
  <c r="H41" i="35"/>
  <c r="D42" i="35"/>
  <c r="D41" i="35"/>
  <c r="D42" i="34"/>
  <c r="D41" i="34"/>
  <c r="H42" i="34"/>
  <c r="H41" i="34"/>
  <c r="D42" i="33"/>
  <c r="D41" i="33"/>
  <c r="H42" i="33"/>
  <c r="H41" i="33"/>
  <c r="D42" i="32"/>
  <c r="D41" i="32"/>
  <c r="H42" i="32"/>
  <c r="H41" i="32"/>
  <c r="N68" i="68"/>
  <c r="N86" i="68"/>
  <c r="N104" i="68"/>
  <c r="N62" i="68"/>
  <c r="G180" i="68"/>
  <c r="N44" i="68"/>
  <c r="N154" i="68"/>
  <c r="N14" i="68"/>
  <c r="N118" i="68"/>
  <c r="N50" i="68"/>
  <c r="N142" i="68"/>
  <c r="N92" i="68"/>
  <c r="N136" i="68"/>
  <c r="N166" i="68"/>
  <c r="N32" i="68"/>
  <c r="N110" i="68"/>
  <c r="N148" i="68"/>
  <c r="N20" i="68"/>
  <c r="N98" i="68"/>
  <c r="N160" i="68"/>
  <c r="N56" i="68"/>
  <c r="N80" i="68"/>
  <c r="N173" i="68"/>
  <c r="N26" i="68"/>
  <c r="N124" i="68"/>
  <c r="N74" i="68"/>
  <c r="N130" i="68"/>
  <c r="H42" i="31"/>
  <c r="H41" i="31"/>
  <c r="D41" i="31"/>
  <c r="D42" i="31"/>
  <c r="D42" i="30"/>
  <c r="D41" i="30"/>
  <c r="H42" i="30"/>
  <c r="H41" i="30"/>
  <c r="D42" i="26"/>
  <c r="D41" i="26"/>
  <c r="D42" i="25"/>
  <c r="H42" i="26"/>
  <c r="H41" i="26"/>
  <c r="H42" i="25"/>
  <c r="H41" i="25"/>
  <c r="D41" i="25"/>
  <c r="F41" i="23"/>
  <c r="M41" i="23"/>
  <c r="D42" i="23"/>
  <c r="D43" i="23" s="1"/>
  <c r="D44" i="23" s="1"/>
  <c r="D63" i="23" s="1"/>
  <c r="K41" i="23"/>
  <c r="G41" i="23"/>
  <c r="H42" i="23"/>
  <c r="H43" i="23" s="1"/>
  <c r="H44" i="23" s="1"/>
  <c r="H63" i="23" s="1"/>
  <c r="J41" i="23"/>
  <c r="N41" i="23"/>
  <c r="I41" i="23"/>
  <c r="E41" i="23"/>
  <c r="L41" i="23"/>
  <c r="D43" i="46" l="1"/>
  <c r="D44" i="46" s="1"/>
  <c r="D63" i="46" s="1"/>
  <c r="D43" i="40"/>
  <c r="D44" i="40" s="1"/>
  <c r="D63" i="40" s="1"/>
  <c r="H43" i="49"/>
  <c r="H44" i="49" s="1"/>
  <c r="H63" i="49" s="1"/>
  <c r="F42" i="49"/>
  <c r="F41" i="49"/>
  <c r="N42" i="49"/>
  <c r="N41" i="49"/>
  <c r="K42" i="49"/>
  <c r="K41" i="49"/>
  <c r="D43" i="49"/>
  <c r="D44" i="49" s="1"/>
  <c r="D63" i="49" s="1"/>
  <c r="G42" i="49"/>
  <c r="G41" i="49"/>
  <c r="L42" i="49"/>
  <c r="L41" i="49"/>
  <c r="J42" i="49"/>
  <c r="J41" i="49"/>
  <c r="I42" i="49"/>
  <c r="I41" i="49"/>
  <c r="E42" i="49"/>
  <c r="E41" i="49"/>
  <c r="M42" i="49"/>
  <c r="M41" i="49"/>
  <c r="I42" i="48"/>
  <c r="I41" i="48"/>
  <c r="F42" i="48"/>
  <c r="F41" i="48"/>
  <c r="N42" i="48"/>
  <c r="N41" i="48"/>
  <c r="D43" i="48"/>
  <c r="D44" i="48" s="1"/>
  <c r="D63" i="48" s="1"/>
  <c r="L42" i="48"/>
  <c r="L41" i="48"/>
  <c r="J42" i="48"/>
  <c r="J41" i="48"/>
  <c r="G42" i="48"/>
  <c r="G41" i="48"/>
  <c r="E42" i="48"/>
  <c r="E41" i="48"/>
  <c r="K42" i="48"/>
  <c r="K41" i="48"/>
  <c r="M42" i="48"/>
  <c r="M41" i="48"/>
  <c r="H43" i="42"/>
  <c r="H44" i="42" s="1"/>
  <c r="H63" i="42" s="1"/>
  <c r="G69" i="60" s="1"/>
  <c r="H136" i="69" s="1"/>
  <c r="H43" i="46"/>
  <c r="H44" i="46" s="1"/>
  <c r="H63" i="46" s="1"/>
  <c r="H66" i="46" s="1"/>
  <c r="D43" i="47"/>
  <c r="D44" i="47" s="1"/>
  <c r="D63" i="47" s="1"/>
  <c r="H43" i="48"/>
  <c r="H44" i="48" s="1"/>
  <c r="H63" i="48" s="1"/>
  <c r="F42" i="47"/>
  <c r="F41" i="47"/>
  <c r="N42" i="47"/>
  <c r="N41" i="47"/>
  <c r="K42" i="47"/>
  <c r="K41" i="47"/>
  <c r="H43" i="47"/>
  <c r="H44" i="47" s="1"/>
  <c r="H63" i="47" s="1"/>
  <c r="I42" i="47"/>
  <c r="I41" i="47"/>
  <c r="D66" i="46"/>
  <c r="D64" i="46"/>
  <c r="C70" i="60"/>
  <c r="D146" i="69" s="1"/>
  <c r="L42" i="47"/>
  <c r="L41" i="47"/>
  <c r="J42" i="47"/>
  <c r="J41" i="47"/>
  <c r="G42" i="47"/>
  <c r="G41" i="47"/>
  <c r="E42" i="47"/>
  <c r="E41" i="47"/>
  <c r="M42" i="47"/>
  <c r="M41" i="47"/>
  <c r="F42" i="46"/>
  <c r="F41" i="46"/>
  <c r="N42" i="46"/>
  <c r="N41" i="46"/>
  <c r="I42" i="46"/>
  <c r="I41" i="46"/>
  <c r="L42" i="46"/>
  <c r="L41" i="46"/>
  <c r="J42" i="46"/>
  <c r="J41" i="46"/>
  <c r="G42" i="46"/>
  <c r="G41" i="46"/>
  <c r="E42" i="46"/>
  <c r="E41" i="46"/>
  <c r="K42" i="46"/>
  <c r="K41" i="46"/>
  <c r="M42" i="46"/>
  <c r="M41" i="46"/>
  <c r="H64" i="42"/>
  <c r="I42" i="42"/>
  <c r="I41" i="42"/>
  <c r="F42" i="42"/>
  <c r="F41" i="42"/>
  <c r="N42" i="42"/>
  <c r="N41" i="42"/>
  <c r="K42" i="42"/>
  <c r="K41" i="42"/>
  <c r="H43" i="40"/>
  <c r="H44" i="40" s="1"/>
  <c r="H63" i="40" s="1"/>
  <c r="H66" i="40" s="1"/>
  <c r="J96" i="65" s="1"/>
  <c r="AM96" i="65" s="1"/>
  <c r="D43" i="42"/>
  <c r="D44" i="42" s="1"/>
  <c r="D63" i="42" s="1"/>
  <c r="G41" i="42"/>
  <c r="G42" i="42"/>
  <c r="L42" i="42"/>
  <c r="L41" i="42"/>
  <c r="J42" i="42"/>
  <c r="J41" i="42"/>
  <c r="D43" i="41"/>
  <c r="D44" i="41" s="1"/>
  <c r="D63" i="41" s="1"/>
  <c r="E42" i="42"/>
  <c r="E41" i="42"/>
  <c r="M42" i="42"/>
  <c r="M41" i="42"/>
  <c r="D64" i="40"/>
  <c r="D66" i="40"/>
  <c r="F96" i="65" s="1"/>
  <c r="AI96" i="65" s="1"/>
  <c r="L42" i="40"/>
  <c r="L42" i="41"/>
  <c r="L41" i="41"/>
  <c r="J42" i="40"/>
  <c r="J42" i="41"/>
  <c r="J41" i="41"/>
  <c r="G42" i="40"/>
  <c r="G42" i="41"/>
  <c r="G41" i="41"/>
  <c r="N42" i="40"/>
  <c r="N42" i="41"/>
  <c r="N41" i="41"/>
  <c r="E42" i="40"/>
  <c r="E42" i="41"/>
  <c r="E41" i="41"/>
  <c r="K42" i="40"/>
  <c r="K42" i="41"/>
  <c r="K41" i="41"/>
  <c r="M42" i="40"/>
  <c r="M42" i="41"/>
  <c r="M41" i="41"/>
  <c r="I42" i="40"/>
  <c r="I42" i="41"/>
  <c r="I41" i="41"/>
  <c r="F42" i="40"/>
  <c r="F42" i="41"/>
  <c r="F41" i="41"/>
  <c r="H43" i="41"/>
  <c r="H44" i="41" s="1"/>
  <c r="H63" i="41" s="1"/>
  <c r="C67" i="60"/>
  <c r="L41" i="40"/>
  <c r="J41" i="40"/>
  <c r="I41" i="40"/>
  <c r="G41" i="40"/>
  <c r="F41" i="40"/>
  <c r="N41" i="40"/>
  <c r="K41" i="40"/>
  <c r="E41" i="40"/>
  <c r="E43" i="40" s="1"/>
  <c r="E44" i="40" s="1"/>
  <c r="E63" i="40" s="1"/>
  <c r="E66" i="40" s="1"/>
  <c r="M41" i="40"/>
  <c r="D43" i="33"/>
  <c r="D44" i="33" s="1"/>
  <c r="D63" i="33" s="1"/>
  <c r="D66" i="33" s="1"/>
  <c r="F76" i="65" s="1"/>
  <c r="AI76" i="65" s="1"/>
  <c r="D43" i="34"/>
  <c r="D44" i="34" s="1"/>
  <c r="D63" i="34" s="1"/>
  <c r="D64" i="34" s="1"/>
  <c r="H43" i="35"/>
  <c r="H44" i="35" s="1"/>
  <c r="H63" i="35" s="1"/>
  <c r="H64" i="35" s="1"/>
  <c r="H43" i="39"/>
  <c r="H44" i="39" s="1"/>
  <c r="H63" i="39" s="1"/>
  <c r="N42" i="39"/>
  <c r="N41" i="39"/>
  <c r="D43" i="39"/>
  <c r="D44" i="39" s="1"/>
  <c r="D63" i="39" s="1"/>
  <c r="E42" i="39"/>
  <c r="E41" i="39"/>
  <c r="I42" i="39"/>
  <c r="I41" i="39"/>
  <c r="F42" i="39"/>
  <c r="F41" i="39"/>
  <c r="L42" i="39"/>
  <c r="L41" i="39"/>
  <c r="J42" i="39"/>
  <c r="J41" i="39"/>
  <c r="G42" i="39"/>
  <c r="G41" i="39"/>
  <c r="K42" i="39"/>
  <c r="K41" i="39"/>
  <c r="M42" i="39"/>
  <c r="M41" i="39"/>
  <c r="I42" i="35"/>
  <c r="I41" i="35"/>
  <c r="G41" i="35"/>
  <c r="G42" i="35"/>
  <c r="F42" i="35"/>
  <c r="F41" i="35"/>
  <c r="N42" i="35"/>
  <c r="N41" i="35"/>
  <c r="K42" i="35"/>
  <c r="K41" i="35"/>
  <c r="D43" i="35"/>
  <c r="D44" i="35" s="1"/>
  <c r="D63" i="35" s="1"/>
  <c r="L42" i="35"/>
  <c r="L41" i="35"/>
  <c r="J42" i="35"/>
  <c r="J41" i="35"/>
  <c r="E42" i="35"/>
  <c r="E41" i="35"/>
  <c r="M42" i="35"/>
  <c r="M41" i="35"/>
  <c r="H43" i="31"/>
  <c r="H44" i="31" s="1"/>
  <c r="H64" i="31" s="1"/>
  <c r="H43" i="34"/>
  <c r="H44" i="34" s="1"/>
  <c r="H63" i="34" s="1"/>
  <c r="L42" i="34"/>
  <c r="L41" i="34"/>
  <c r="J42" i="34"/>
  <c r="J41" i="34"/>
  <c r="G42" i="34"/>
  <c r="G41" i="34"/>
  <c r="I42" i="34"/>
  <c r="I41" i="34"/>
  <c r="F42" i="34"/>
  <c r="F41" i="34"/>
  <c r="N42" i="34"/>
  <c r="N41" i="34"/>
  <c r="E42" i="34"/>
  <c r="E41" i="34"/>
  <c r="K42" i="34"/>
  <c r="K41" i="34"/>
  <c r="M42" i="34"/>
  <c r="M41" i="34"/>
  <c r="I42" i="33"/>
  <c r="I41" i="33"/>
  <c r="G42" i="33"/>
  <c r="G41" i="33"/>
  <c r="N42" i="33"/>
  <c r="N41" i="33"/>
  <c r="K41" i="33"/>
  <c r="K42" i="33"/>
  <c r="H43" i="33"/>
  <c r="H44" i="33" s="1"/>
  <c r="H63" i="33" s="1"/>
  <c r="F42" i="33"/>
  <c r="F41" i="33"/>
  <c r="L42" i="33"/>
  <c r="L41" i="33"/>
  <c r="J42" i="33"/>
  <c r="J41" i="33"/>
  <c r="E42" i="33"/>
  <c r="E41" i="33"/>
  <c r="M42" i="33"/>
  <c r="M41" i="33"/>
  <c r="D43" i="32"/>
  <c r="N42" i="32"/>
  <c r="N41" i="32"/>
  <c r="H43" i="32"/>
  <c r="H44" i="32" s="1"/>
  <c r="H64" i="32" s="1"/>
  <c r="H67" i="32" s="1"/>
  <c r="F42" i="32"/>
  <c r="F41" i="32"/>
  <c r="L42" i="32"/>
  <c r="L41" i="32"/>
  <c r="J42" i="32"/>
  <c r="J41" i="32"/>
  <c r="G42" i="32"/>
  <c r="G41" i="32"/>
  <c r="I42" i="32"/>
  <c r="I41" i="32"/>
  <c r="E42" i="32"/>
  <c r="E41" i="32"/>
  <c r="K42" i="32"/>
  <c r="K41" i="32"/>
  <c r="M42" i="32"/>
  <c r="M41" i="32"/>
  <c r="D43" i="31"/>
  <c r="D44" i="31" s="1"/>
  <c r="D64" i="31" s="1"/>
  <c r="N42" i="31"/>
  <c r="N41" i="31"/>
  <c r="K42" i="31"/>
  <c r="K41" i="31"/>
  <c r="L41" i="31"/>
  <c r="L42" i="31"/>
  <c r="J42" i="31"/>
  <c r="J41" i="31"/>
  <c r="E42" i="31"/>
  <c r="E41" i="31"/>
  <c r="M42" i="31"/>
  <c r="M41" i="31"/>
  <c r="I42" i="31"/>
  <c r="I41" i="31"/>
  <c r="G42" i="31"/>
  <c r="G41" i="31"/>
  <c r="F42" i="31"/>
  <c r="F41" i="31"/>
  <c r="H43" i="30"/>
  <c r="H44" i="30" s="1"/>
  <c r="H64" i="30" s="1"/>
  <c r="D43" i="30"/>
  <c r="D44" i="30" s="1"/>
  <c r="D64" i="30" s="1"/>
  <c r="D67" i="30" s="1"/>
  <c r="E42" i="30"/>
  <c r="E41" i="30"/>
  <c r="I42" i="30"/>
  <c r="I41" i="30"/>
  <c r="G42" i="30"/>
  <c r="G41" i="30"/>
  <c r="F42" i="30"/>
  <c r="F41" i="30"/>
  <c r="N42" i="30"/>
  <c r="N41" i="30"/>
  <c r="K42" i="30"/>
  <c r="K41" i="30"/>
  <c r="M42" i="30"/>
  <c r="M41" i="30"/>
  <c r="L42" i="30"/>
  <c r="L41" i="30"/>
  <c r="J42" i="30"/>
  <c r="J41" i="30"/>
  <c r="H43" i="26"/>
  <c r="H44" i="26" s="1"/>
  <c r="H63" i="26" s="1"/>
  <c r="D43" i="26"/>
  <c r="D44" i="26" s="1"/>
  <c r="D63" i="26" s="1"/>
  <c r="L42" i="26"/>
  <c r="L41" i="26"/>
  <c r="L42" i="25"/>
  <c r="D43" i="25"/>
  <c r="D44" i="25" s="1"/>
  <c r="D63" i="25" s="1"/>
  <c r="D66" i="25" s="1"/>
  <c r="J42" i="26"/>
  <c r="J41" i="26"/>
  <c r="J42" i="25"/>
  <c r="K42" i="26"/>
  <c r="K41" i="26"/>
  <c r="K42" i="25"/>
  <c r="E42" i="26"/>
  <c r="E41" i="26"/>
  <c r="E42" i="25"/>
  <c r="I42" i="26"/>
  <c r="I41" i="26"/>
  <c r="I42" i="25"/>
  <c r="M42" i="26"/>
  <c r="M41" i="26"/>
  <c r="M42" i="25"/>
  <c r="H43" i="25"/>
  <c r="H44" i="25" s="1"/>
  <c r="H63" i="25" s="1"/>
  <c r="N42" i="26"/>
  <c r="N41" i="26"/>
  <c r="N42" i="25"/>
  <c r="G42" i="26"/>
  <c r="G42" i="25"/>
  <c r="G41" i="26"/>
  <c r="F42" i="26"/>
  <c r="F41" i="26"/>
  <c r="F42" i="25"/>
  <c r="J41" i="25"/>
  <c r="E41" i="25"/>
  <c r="G41" i="25"/>
  <c r="M41" i="25"/>
  <c r="L41" i="25"/>
  <c r="I41" i="25"/>
  <c r="K41" i="25"/>
  <c r="N41" i="25"/>
  <c r="F41" i="25"/>
  <c r="H66" i="23"/>
  <c r="J16" i="65" s="1"/>
  <c r="AM16" i="65" s="1"/>
  <c r="H64" i="23"/>
  <c r="H65" i="23" s="1"/>
  <c r="G57" i="60"/>
  <c r="K42" i="23"/>
  <c r="K43" i="23" s="1"/>
  <c r="K44" i="23" s="1"/>
  <c r="K63" i="23" s="1"/>
  <c r="D66" i="23"/>
  <c r="F16" i="65" s="1"/>
  <c r="AI16" i="65" s="1"/>
  <c r="D64" i="23"/>
  <c r="D65" i="23" s="1"/>
  <c r="C57" i="60"/>
  <c r="L42" i="23"/>
  <c r="L43" i="23" s="1"/>
  <c r="L44" i="23" s="1"/>
  <c r="L63" i="23" s="1"/>
  <c r="N42" i="23"/>
  <c r="N43" i="23" s="1"/>
  <c r="N44" i="23" s="1"/>
  <c r="N63" i="23" s="1"/>
  <c r="G42" i="23"/>
  <c r="G43" i="23" s="1"/>
  <c r="G44" i="23" s="1"/>
  <c r="G63" i="23" s="1"/>
  <c r="F42" i="23"/>
  <c r="F43" i="23" s="1"/>
  <c r="F44" i="23" s="1"/>
  <c r="F63" i="23" s="1"/>
  <c r="E42" i="23"/>
  <c r="E43" i="23" s="1"/>
  <c r="E44" i="23" s="1"/>
  <c r="E63" i="23" s="1"/>
  <c r="I42" i="23"/>
  <c r="I43" i="23" s="1"/>
  <c r="I44" i="23" s="1"/>
  <c r="I63" i="23" s="1"/>
  <c r="J42" i="23"/>
  <c r="J43" i="23" s="1"/>
  <c r="J44" i="23" s="1"/>
  <c r="J63" i="23" s="1"/>
  <c r="M42" i="23"/>
  <c r="M43" i="23" s="1"/>
  <c r="M44" i="23" s="1"/>
  <c r="M63" i="23" s="1"/>
  <c r="H66" i="26" l="1"/>
  <c r="J36" i="65" s="1"/>
  <c r="AM36" i="65" s="1"/>
  <c r="H67" i="31"/>
  <c r="J56" i="65" s="1"/>
  <c r="AM56" i="65" s="1"/>
  <c r="H64" i="25"/>
  <c r="H66" i="25"/>
  <c r="C59" i="60"/>
  <c r="D36" i="69" s="1"/>
  <c r="D66" i="26"/>
  <c r="D65" i="31"/>
  <c r="D68" i="31" s="1"/>
  <c r="F57" i="65" s="1"/>
  <c r="AI57" i="65" s="1"/>
  <c r="D67" i="31"/>
  <c r="D44" i="32"/>
  <c r="D64" i="32" s="1"/>
  <c r="D67" i="32" s="1"/>
  <c r="F66" i="65" s="1"/>
  <c r="AI66" i="65" s="1"/>
  <c r="H65" i="30"/>
  <c r="H68" i="30" s="1"/>
  <c r="H67" i="30"/>
  <c r="H66" i="39"/>
  <c r="E43" i="49"/>
  <c r="E44" i="49" s="1"/>
  <c r="E63" i="49" s="1"/>
  <c r="E64" i="49" s="1"/>
  <c r="G43" i="49"/>
  <c r="G44" i="49" s="1"/>
  <c r="G63" i="49" s="1"/>
  <c r="F73" i="60" s="1"/>
  <c r="G176" i="69" s="1"/>
  <c r="J43" i="49"/>
  <c r="J44" i="49" s="1"/>
  <c r="J63" i="49" s="1"/>
  <c r="H66" i="49"/>
  <c r="H64" i="49"/>
  <c r="G73" i="60"/>
  <c r="D66" i="49"/>
  <c r="D64" i="49"/>
  <c r="C73" i="60"/>
  <c r="D176" i="69" s="1"/>
  <c r="G70" i="60"/>
  <c r="H146" i="69" s="1"/>
  <c r="K43" i="48"/>
  <c r="K44" i="48" s="1"/>
  <c r="K63" i="48" s="1"/>
  <c r="G43" i="48"/>
  <c r="G44" i="48" s="1"/>
  <c r="G63" i="48" s="1"/>
  <c r="L43" i="48"/>
  <c r="L44" i="48" s="1"/>
  <c r="L63" i="48" s="1"/>
  <c r="N43" i="49"/>
  <c r="N44" i="49" s="1"/>
  <c r="N63" i="49" s="1"/>
  <c r="G43" i="40"/>
  <c r="G44" i="40" s="1"/>
  <c r="G63" i="40" s="1"/>
  <c r="G66" i="40" s="1"/>
  <c r="I96" i="65" s="1"/>
  <c r="AL96" i="65" s="1"/>
  <c r="H64" i="46"/>
  <c r="G70" i="59" s="1"/>
  <c r="H145" i="69" s="1"/>
  <c r="J124" i="65" s="1"/>
  <c r="AM124" i="65" s="1"/>
  <c r="H66" i="48"/>
  <c r="H64" i="48"/>
  <c r="G72" i="60"/>
  <c r="H166" i="69" s="1"/>
  <c r="D66" i="48"/>
  <c r="D64" i="48"/>
  <c r="C72" i="60"/>
  <c r="M43" i="49"/>
  <c r="M44" i="49" s="1"/>
  <c r="M63" i="49" s="1"/>
  <c r="I43" i="49"/>
  <c r="I44" i="49" s="1"/>
  <c r="I63" i="49" s="1"/>
  <c r="L43" i="49"/>
  <c r="L44" i="49" s="1"/>
  <c r="L63" i="49" s="1"/>
  <c r="M43" i="48"/>
  <c r="M44" i="48" s="1"/>
  <c r="M63" i="48" s="1"/>
  <c r="E43" i="48"/>
  <c r="E44" i="48" s="1"/>
  <c r="E63" i="48" s="1"/>
  <c r="J43" i="48"/>
  <c r="J44" i="48" s="1"/>
  <c r="J63" i="48" s="1"/>
  <c r="K43" i="49"/>
  <c r="K44" i="49" s="1"/>
  <c r="K63" i="49" s="1"/>
  <c r="F43" i="49"/>
  <c r="F44" i="49" s="1"/>
  <c r="F63" i="49" s="1"/>
  <c r="H66" i="42"/>
  <c r="J116" i="65" s="1"/>
  <c r="AM116" i="65" s="1"/>
  <c r="I43" i="47"/>
  <c r="I44" i="47" s="1"/>
  <c r="I63" i="47" s="1"/>
  <c r="F43" i="48"/>
  <c r="F44" i="48" s="1"/>
  <c r="F63" i="48" s="1"/>
  <c r="H66" i="47"/>
  <c r="H64" i="47"/>
  <c r="G71" i="60"/>
  <c r="H156" i="69" s="1"/>
  <c r="D66" i="47"/>
  <c r="D64" i="47"/>
  <c r="C71" i="60"/>
  <c r="H64" i="40"/>
  <c r="G67" i="59" s="1"/>
  <c r="H115" i="69" s="1"/>
  <c r="J94" i="65" s="1"/>
  <c r="AM94" i="65" s="1"/>
  <c r="N43" i="48"/>
  <c r="N44" i="48" s="1"/>
  <c r="N63" i="48" s="1"/>
  <c r="I43" i="48"/>
  <c r="I44" i="48" s="1"/>
  <c r="I63" i="48" s="1"/>
  <c r="F123" i="65"/>
  <c r="AI123" i="65" s="1"/>
  <c r="E43" i="47"/>
  <c r="E44" i="47" s="1"/>
  <c r="E63" i="47" s="1"/>
  <c r="J43" i="47"/>
  <c r="J44" i="47" s="1"/>
  <c r="J63" i="47" s="1"/>
  <c r="D67" i="46"/>
  <c r="D65" i="46"/>
  <c r="C70" i="59"/>
  <c r="D145" i="69" s="1"/>
  <c r="F124" i="65" s="1"/>
  <c r="AI124" i="65" s="1"/>
  <c r="N43" i="47"/>
  <c r="N44" i="47" s="1"/>
  <c r="N63" i="47" s="1"/>
  <c r="C64" i="60"/>
  <c r="D86" i="69" s="1"/>
  <c r="F163" i="65" s="1"/>
  <c r="AI163" i="65" s="1"/>
  <c r="J123" i="65"/>
  <c r="AM123" i="65" s="1"/>
  <c r="M43" i="47"/>
  <c r="M44" i="47" s="1"/>
  <c r="M63" i="47" s="1"/>
  <c r="G43" i="47"/>
  <c r="G44" i="47" s="1"/>
  <c r="G63" i="47" s="1"/>
  <c r="L43" i="47"/>
  <c r="L44" i="47" s="1"/>
  <c r="L63" i="47" s="1"/>
  <c r="K43" i="47"/>
  <c r="K44" i="47" s="1"/>
  <c r="K63" i="47" s="1"/>
  <c r="F43" i="47"/>
  <c r="F44" i="47" s="1"/>
  <c r="F63" i="47" s="1"/>
  <c r="H65" i="42"/>
  <c r="H67" i="42"/>
  <c r="J117" i="65" s="1"/>
  <c r="AM117" i="65" s="1"/>
  <c r="G69" i="59"/>
  <c r="H135" i="69" s="1"/>
  <c r="J114" i="65" s="1"/>
  <c r="AM114" i="65" s="1"/>
  <c r="K43" i="40"/>
  <c r="K44" i="40" s="1"/>
  <c r="K63" i="40" s="1"/>
  <c r="K66" i="40" s="1"/>
  <c r="M96" i="65" s="1"/>
  <c r="AP96" i="65" s="1"/>
  <c r="I43" i="41"/>
  <c r="I44" i="41" s="1"/>
  <c r="I63" i="41" s="1"/>
  <c r="I66" i="41" s="1"/>
  <c r="K106" i="65" s="1"/>
  <c r="AN106" i="65" s="1"/>
  <c r="N43" i="41"/>
  <c r="N44" i="41" s="1"/>
  <c r="N63" i="41" s="1"/>
  <c r="M68" i="60" s="1"/>
  <c r="N126" i="69" s="1"/>
  <c r="D66" i="42"/>
  <c r="F116" i="65" s="1"/>
  <c r="AI116" i="65" s="1"/>
  <c r="D64" i="42"/>
  <c r="C69" i="60"/>
  <c r="D136" i="69" s="1"/>
  <c r="K43" i="46"/>
  <c r="K44" i="46" s="1"/>
  <c r="K63" i="46" s="1"/>
  <c r="G43" i="46"/>
  <c r="G44" i="46" s="1"/>
  <c r="G63" i="46" s="1"/>
  <c r="L43" i="46"/>
  <c r="L44" i="46" s="1"/>
  <c r="L63" i="46" s="1"/>
  <c r="N43" i="46"/>
  <c r="N44" i="46" s="1"/>
  <c r="N63" i="46" s="1"/>
  <c r="J43" i="40"/>
  <c r="J44" i="40" s="1"/>
  <c r="J63" i="40" s="1"/>
  <c r="J66" i="40" s="1"/>
  <c r="L96" i="65" s="1"/>
  <c r="AO96" i="65" s="1"/>
  <c r="F43" i="41"/>
  <c r="F44" i="41" s="1"/>
  <c r="F63" i="41" s="1"/>
  <c r="E68" i="60" s="1"/>
  <c r="F126" i="69" s="1"/>
  <c r="E43" i="41"/>
  <c r="E44" i="41" s="1"/>
  <c r="E63" i="41" s="1"/>
  <c r="E66" i="41" s="1"/>
  <c r="G106" i="65" s="1"/>
  <c r="AJ106" i="65" s="1"/>
  <c r="L43" i="41"/>
  <c r="L44" i="41" s="1"/>
  <c r="L63" i="41" s="1"/>
  <c r="L64" i="41" s="1"/>
  <c r="L43" i="42"/>
  <c r="L44" i="42" s="1"/>
  <c r="L63" i="42" s="1"/>
  <c r="N43" i="42"/>
  <c r="N44" i="42" s="1"/>
  <c r="N63" i="42" s="1"/>
  <c r="I43" i="42"/>
  <c r="I44" i="42" s="1"/>
  <c r="I63" i="42" s="1"/>
  <c r="D66" i="34"/>
  <c r="M43" i="40"/>
  <c r="M44" i="40" s="1"/>
  <c r="M63" i="40" s="1"/>
  <c r="M66" i="40" s="1"/>
  <c r="O96" i="65" s="1"/>
  <c r="AR96" i="65" s="1"/>
  <c r="K43" i="41"/>
  <c r="K44" i="41" s="1"/>
  <c r="K63" i="41" s="1"/>
  <c r="K66" i="41" s="1"/>
  <c r="M106" i="65" s="1"/>
  <c r="AP106" i="65" s="1"/>
  <c r="J43" i="41"/>
  <c r="J44" i="41" s="1"/>
  <c r="J63" i="41" s="1"/>
  <c r="J66" i="41" s="1"/>
  <c r="L106" i="65" s="1"/>
  <c r="AO106" i="65" s="1"/>
  <c r="M43" i="42"/>
  <c r="M44" i="42" s="1"/>
  <c r="M63" i="42" s="1"/>
  <c r="G43" i="42"/>
  <c r="G44" i="42" s="1"/>
  <c r="G63" i="42" s="1"/>
  <c r="J113" i="65"/>
  <c r="AM113" i="65" s="1"/>
  <c r="M43" i="46"/>
  <c r="M44" i="46" s="1"/>
  <c r="M63" i="46" s="1"/>
  <c r="E43" i="46"/>
  <c r="E44" i="46" s="1"/>
  <c r="E63" i="46" s="1"/>
  <c r="J43" i="46"/>
  <c r="J44" i="46" s="1"/>
  <c r="J63" i="46" s="1"/>
  <c r="I43" i="46"/>
  <c r="I44" i="46" s="1"/>
  <c r="I63" i="46" s="1"/>
  <c r="F43" i="46"/>
  <c r="F44" i="46" s="1"/>
  <c r="F63" i="46" s="1"/>
  <c r="H66" i="41"/>
  <c r="J106" i="65" s="1"/>
  <c r="AM106" i="65" s="1"/>
  <c r="H64" i="41"/>
  <c r="G68" i="60"/>
  <c r="H126" i="69" s="1"/>
  <c r="J43" i="42"/>
  <c r="J44" i="42" s="1"/>
  <c r="J63" i="42" s="1"/>
  <c r="K43" i="42"/>
  <c r="K44" i="42" s="1"/>
  <c r="K63" i="42" s="1"/>
  <c r="F43" i="42"/>
  <c r="F44" i="42" s="1"/>
  <c r="F63" i="42" s="1"/>
  <c r="N43" i="40"/>
  <c r="N44" i="40" s="1"/>
  <c r="N63" i="40" s="1"/>
  <c r="N66" i="40" s="1"/>
  <c r="P96" i="65" s="1"/>
  <c r="AS96" i="65" s="1"/>
  <c r="G67" i="60"/>
  <c r="H116" i="69" s="1"/>
  <c r="J93" i="65" s="1"/>
  <c r="AM93" i="65" s="1"/>
  <c r="N64" i="41"/>
  <c r="E43" i="42"/>
  <c r="E44" i="42" s="1"/>
  <c r="E63" i="42" s="1"/>
  <c r="F66" i="41"/>
  <c r="H106" i="65" s="1"/>
  <c r="AK106" i="65" s="1"/>
  <c r="D68" i="60"/>
  <c r="E126" i="69" s="1"/>
  <c r="D66" i="41"/>
  <c r="F106" i="65" s="1"/>
  <c r="AI106" i="65" s="1"/>
  <c r="D64" i="41"/>
  <c r="C68" i="60"/>
  <c r="H66" i="35"/>
  <c r="F43" i="40"/>
  <c r="F44" i="40" s="1"/>
  <c r="F63" i="40" s="1"/>
  <c r="F66" i="40" s="1"/>
  <c r="H96" i="65" s="1"/>
  <c r="AK96" i="65" s="1"/>
  <c r="L43" i="40"/>
  <c r="L44" i="40" s="1"/>
  <c r="L63" i="40" s="1"/>
  <c r="L66" i="40" s="1"/>
  <c r="N96" i="65" s="1"/>
  <c r="AQ96" i="65" s="1"/>
  <c r="I43" i="40"/>
  <c r="I44" i="40" s="1"/>
  <c r="I63" i="40" s="1"/>
  <c r="I66" i="40" s="1"/>
  <c r="K96" i="65" s="1"/>
  <c r="AN96" i="65" s="1"/>
  <c r="M43" i="41"/>
  <c r="M44" i="41" s="1"/>
  <c r="M63" i="41" s="1"/>
  <c r="G43" i="41"/>
  <c r="G44" i="41" s="1"/>
  <c r="G63" i="41" s="1"/>
  <c r="G65" i="60"/>
  <c r="H96" i="69" s="1"/>
  <c r="J173" i="65" s="1"/>
  <c r="AM173" i="65" s="1"/>
  <c r="M64" i="40"/>
  <c r="L64" i="40"/>
  <c r="D67" i="40"/>
  <c r="F97" i="65" s="1"/>
  <c r="AI97" i="65" s="1"/>
  <c r="D65" i="40"/>
  <c r="C67" i="59"/>
  <c r="D115" i="69" s="1"/>
  <c r="F94" i="65" s="1"/>
  <c r="AI94" i="65" s="1"/>
  <c r="J64" i="40"/>
  <c r="G96" i="65"/>
  <c r="AJ96" i="65" s="1"/>
  <c r="E64" i="40"/>
  <c r="D67" i="60"/>
  <c r="E116" i="69" s="1"/>
  <c r="D87" i="79"/>
  <c r="D116" i="69"/>
  <c r="E43" i="35"/>
  <c r="E44" i="35" s="1"/>
  <c r="E63" i="35" s="1"/>
  <c r="E64" i="35" s="1"/>
  <c r="L43" i="35"/>
  <c r="L44" i="35" s="1"/>
  <c r="L63" i="35" s="1"/>
  <c r="L66" i="35" s="1"/>
  <c r="M43" i="39"/>
  <c r="M44" i="39" s="1"/>
  <c r="M63" i="39" s="1"/>
  <c r="G43" i="39"/>
  <c r="G44" i="39" s="1"/>
  <c r="G63" i="39" s="1"/>
  <c r="L43" i="39"/>
  <c r="L44" i="39" s="1"/>
  <c r="L63" i="39" s="1"/>
  <c r="I43" i="39"/>
  <c r="I44" i="39" s="1"/>
  <c r="I63" i="39" s="1"/>
  <c r="D64" i="33"/>
  <c r="C63" i="59" s="1"/>
  <c r="D75" i="69" s="1"/>
  <c r="F74" i="65" s="1"/>
  <c r="AI74" i="65" s="1"/>
  <c r="J43" i="39"/>
  <c r="J44" i="39" s="1"/>
  <c r="J63" i="39" s="1"/>
  <c r="E43" i="39"/>
  <c r="E44" i="39" s="1"/>
  <c r="E63" i="39" s="1"/>
  <c r="G66" i="60"/>
  <c r="H106" i="69" s="1"/>
  <c r="J83" i="65" s="1"/>
  <c r="AM83" i="65" s="1"/>
  <c r="C63" i="60"/>
  <c r="D76" i="69" s="1"/>
  <c r="F73" i="65" s="1"/>
  <c r="AI73" i="65" s="1"/>
  <c r="H64" i="39"/>
  <c r="K43" i="39"/>
  <c r="K44" i="39" s="1"/>
  <c r="K63" i="39" s="1"/>
  <c r="F43" i="39"/>
  <c r="F44" i="39" s="1"/>
  <c r="F63" i="39" s="1"/>
  <c r="G43" i="35"/>
  <c r="G44" i="35" s="1"/>
  <c r="G63" i="35" s="1"/>
  <c r="G66" i="35" s="1"/>
  <c r="N43" i="39"/>
  <c r="N44" i="39" s="1"/>
  <c r="N63" i="39" s="1"/>
  <c r="D66" i="39"/>
  <c r="D64" i="39"/>
  <c r="C66" i="60"/>
  <c r="D106" i="69" s="1"/>
  <c r="E43" i="33"/>
  <c r="E44" i="33" s="1"/>
  <c r="E63" i="33" s="1"/>
  <c r="E64" i="33" s="1"/>
  <c r="L43" i="33"/>
  <c r="L44" i="33" s="1"/>
  <c r="L63" i="33" s="1"/>
  <c r="L64" i="33" s="1"/>
  <c r="M43" i="34"/>
  <c r="M44" i="34" s="1"/>
  <c r="M63" i="34" s="1"/>
  <c r="M66" i="34" s="1"/>
  <c r="E43" i="34"/>
  <c r="E44" i="34" s="1"/>
  <c r="E63" i="34" s="1"/>
  <c r="E64" i="34" s="1"/>
  <c r="F43" i="34"/>
  <c r="F44" i="34" s="1"/>
  <c r="F63" i="34" s="1"/>
  <c r="E64" i="60" s="1"/>
  <c r="F86" i="69" s="1"/>
  <c r="G43" i="34"/>
  <c r="G44" i="34" s="1"/>
  <c r="G63" i="34" s="1"/>
  <c r="F64" i="60" s="1"/>
  <c r="G86" i="69" s="1"/>
  <c r="L43" i="34"/>
  <c r="L44" i="34" s="1"/>
  <c r="L63" i="34" s="1"/>
  <c r="K64" i="60" s="1"/>
  <c r="L86" i="69" s="1"/>
  <c r="K43" i="35"/>
  <c r="K44" i="35" s="1"/>
  <c r="K63" i="35" s="1"/>
  <c r="F43" i="35"/>
  <c r="F44" i="35" s="1"/>
  <c r="F63" i="35" s="1"/>
  <c r="I43" i="35"/>
  <c r="I44" i="35" s="1"/>
  <c r="I63" i="35" s="1"/>
  <c r="D66" i="35"/>
  <c r="D64" i="35"/>
  <c r="C65" i="60"/>
  <c r="D96" i="69" s="1"/>
  <c r="H67" i="35"/>
  <c r="H65" i="35"/>
  <c r="G65" i="59"/>
  <c r="H95" i="69" s="1"/>
  <c r="J174" i="65" s="1"/>
  <c r="AM174" i="65" s="1"/>
  <c r="N43" i="35"/>
  <c r="N44" i="35" s="1"/>
  <c r="N63" i="35" s="1"/>
  <c r="G61" i="60"/>
  <c r="H56" i="69" s="1"/>
  <c r="J53" i="65" s="1"/>
  <c r="AM53" i="65" s="1"/>
  <c r="M43" i="35"/>
  <c r="M44" i="35" s="1"/>
  <c r="M63" i="35" s="1"/>
  <c r="J43" i="35"/>
  <c r="J44" i="35" s="1"/>
  <c r="J63" i="35" s="1"/>
  <c r="K43" i="33"/>
  <c r="K44" i="33" s="1"/>
  <c r="K63" i="33" s="1"/>
  <c r="K64" i="33" s="1"/>
  <c r="H65" i="31"/>
  <c r="K43" i="34"/>
  <c r="K44" i="34" s="1"/>
  <c r="K63" i="34" s="1"/>
  <c r="K64" i="34" s="1"/>
  <c r="N43" i="34"/>
  <c r="N44" i="34" s="1"/>
  <c r="N63" i="34" s="1"/>
  <c r="M64" i="60" s="1"/>
  <c r="N86" i="69" s="1"/>
  <c r="I43" i="34"/>
  <c r="I44" i="34" s="1"/>
  <c r="I63" i="34" s="1"/>
  <c r="I66" i="34" s="1"/>
  <c r="H66" i="34"/>
  <c r="H64" i="34"/>
  <c r="G64" i="60"/>
  <c r="H86" i="69" s="1"/>
  <c r="J43" i="34"/>
  <c r="J44" i="34" s="1"/>
  <c r="J63" i="34" s="1"/>
  <c r="D67" i="34"/>
  <c r="D65" i="34"/>
  <c r="C64" i="59"/>
  <c r="D85" i="69" s="1"/>
  <c r="F164" i="65" s="1"/>
  <c r="AI164" i="65" s="1"/>
  <c r="H64" i="33"/>
  <c r="H66" i="33"/>
  <c r="J76" i="65" s="1"/>
  <c r="AM76" i="65" s="1"/>
  <c r="G63" i="60"/>
  <c r="H76" i="69" s="1"/>
  <c r="N43" i="33"/>
  <c r="N44" i="33" s="1"/>
  <c r="N63" i="33" s="1"/>
  <c r="G43" i="33"/>
  <c r="G44" i="33" s="1"/>
  <c r="G63" i="33" s="1"/>
  <c r="M43" i="33"/>
  <c r="M44" i="33" s="1"/>
  <c r="M63" i="33" s="1"/>
  <c r="J43" i="33"/>
  <c r="J44" i="33" s="1"/>
  <c r="J63" i="33" s="1"/>
  <c r="F43" i="33"/>
  <c r="F44" i="33" s="1"/>
  <c r="F63" i="33" s="1"/>
  <c r="I43" i="33"/>
  <c r="I44" i="33" s="1"/>
  <c r="I63" i="33" s="1"/>
  <c r="K43" i="32"/>
  <c r="K44" i="32" s="1"/>
  <c r="K64" i="32" s="1"/>
  <c r="J43" i="32"/>
  <c r="J44" i="32" s="1"/>
  <c r="J64" i="32" s="1"/>
  <c r="F43" i="32"/>
  <c r="F44" i="32" s="1"/>
  <c r="F64" i="32" s="1"/>
  <c r="C62" i="60"/>
  <c r="D66" i="69" s="1"/>
  <c r="F63" i="65" s="1"/>
  <c r="AI63" i="65" s="1"/>
  <c r="D65" i="32"/>
  <c r="I43" i="32"/>
  <c r="I44" i="32" s="1"/>
  <c r="I64" i="32" s="1"/>
  <c r="J66" i="65"/>
  <c r="AM66" i="65" s="1"/>
  <c r="H65" i="32"/>
  <c r="H68" i="32" s="1"/>
  <c r="G62" i="60"/>
  <c r="H66" i="69" s="1"/>
  <c r="F56" i="65"/>
  <c r="AI56" i="65" s="1"/>
  <c r="M43" i="32"/>
  <c r="M44" i="32" s="1"/>
  <c r="M64" i="32" s="1"/>
  <c r="M67" i="32" s="1"/>
  <c r="E43" i="32"/>
  <c r="E44" i="32" s="1"/>
  <c r="E64" i="32" s="1"/>
  <c r="E67" i="32" s="1"/>
  <c r="G43" i="32"/>
  <c r="G44" i="32" s="1"/>
  <c r="G64" i="32" s="1"/>
  <c r="G67" i="32" s="1"/>
  <c r="L43" i="32"/>
  <c r="L44" i="32" s="1"/>
  <c r="L64" i="32" s="1"/>
  <c r="L67" i="32" s="1"/>
  <c r="N43" i="32"/>
  <c r="N44" i="32" s="1"/>
  <c r="N64" i="32" s="1"/>
  <c r="N67" i="32" s="1"/>
  <c r="C61" i="60"/>
  <c r="D56" i="69" s="1"/>
  <c r="F53" i="65" s="1"/>
  <c r="AI53" i="65" s="1"/>
  <c r="G60" i="59"/>
  <c r="H45" i="69" s="1"/>
  <c r="J44" i="65" s="1"/>
  <c r="AM44" i="65" s="1"/>
  <c r="H66" i="30"/>
  <c r="C61" i="59"/>
  <c r="D55" i="69" s="1"/>
  <c r="F54" i="65" s="1"/>
  <c r="AI54" i="65" s="1"/>
  <c r="C57" i="50"/>
  <c r="D14" i="69" s="1"/>
  <c r="F15" i="65" s="1"/>
  <c r="AI15" i="65" s="1"/>
  <c r="D93" i="23"/>
  <c r="D94" i="23" s="1"/>
  <c r="D68" i="23"/>
  <c r="F18" i="65" s="1"/>
  <c r="AI18" i="65" s="1"/>
  <c r="H93" i="23"/>
  <c r="H94" i="23" s="1"/>
  <c r="H68" i="23"/>
  <c r="J18" i="65" s="1"/>
  <c r="AM18" i="65" s="1"/>
  <c r="G57" i="50"/>
  <c r="H14" i="69" s="1"/>
  <c r="J15" i="65" s="1"/>
  <c r="AM15" i="65" s="1"/>
  <c r="F43" i="31"/>
  <c r="F44" i="31" s="1"/>
  <c r="F64" i="31" s="1"/>
  <c r="F67" i="31" s="1"/>
  <c r="I43" i="31"/>
  <c r="I44" i="31" s="1"/>
  <c r="I64" i="31" s="1"/>
  <c r="I67" i="31" s="1"/>
  <c r="E43" i="31"/>
  <c r="E44" i="31" s="1"/>
  <c r="E64" i="31" s="1"/>
  <c r="E67" i="31" s="1"/>
  <c r="N43" i="31"/>
  <c r="N44" i="31" s="1"/>
  <c r="N64" i="31" s="1"/>
  <c r="N67" i="31" s="1"/>
  <c r="G43" i="31"/>
  <c r="G44" i="31" s="1"/>
  <c r="G64" i="31" s="1"/>
  <c r="G67" i="31" s="1"/>
  <c r="M43" i="31"/>
  <c r="M44" i="31" s="1"/>
  <c r="M64" i="31" s="1"/>
  <c r="M67" i="31" s="1"/>
  <c r="J43" i="31"/>
  <c r="J44" i="31" s="1"/>
  <c r="J64" i="31" s="1"/>
  <c r="J67" i="31" s="1"/>
  <c r="K43" i="31"/>
  <c r="K44" i="31" s="1"/>
  <c r="K64" i="31" s="1"/>
  <c r="K67" i="31" s="1"/>
  <c r="L43" i="31"/>
  <c r="L44" i="31" s="1"/>
  <c r="L64" i="31" s="1"/>
  <c r="L67" i="31" s="1"/>
  <c r="L43" i="30"/>
  <c r="L44" i="30" s="1"/>
  <c r="L64" i="30" s="1"/>
  <c r="J47" i="65"/>
  <c r="AM47" i="65" s="1"/>
  <c r="D65" i="30"/>
  <c r="F46" i="65"/>
  <c r="AI46" i="65" s="1"/>
  <c r="J43" i="30"/>
  <c r="J44" i="30" s="1"/>
  <c r="J64" i="30" s="1"/>
  <c r="M43" i="30"/>
  <c r="M44" i="30" s="1"/>
  <c r="M64" i="30" s="1"/>
  <c r="K43" i="30"/>
  <c r="K44" i="30" s="1"/>
  <c r="K64" i="30" s="1"/>
  <c r="K67" i="30" s="1"/>
  <c r="N43" i="30"/>
  <c r="N44" i="30" s="1"/>
  <c r="N64" i="30" s="1"/>
  <c r="N67" i="30" s="1"/>
  <c r="F43" i="30"/>
  <c r="F44" i="30" s="1"/>
  <c r="F64" i="30" s="1"/>
  <c r="F67" i="30" s="1"/>
  <c r="G43" i="30"/>
  <c r="G44" i="30" s="1"/>
  <c r="G64" i="30" s="1"/>
  <c r="G67" i="30" s="1"/>
  <c r="I43" i="30"/>
  <c r="I44" i="30" s="1"/>
  <c r="I64" i="30" s="1"/>
  <c r="I67" i="30" s="1"/>
  <c r="E43" i="30"/>
  <c r="E44" i="30" s="1"/>
  <c r="E64" i="30" s="1"/>
  <c r="E67" i="30" s="1"/>
  <c r="G59" i="60"/>
  <c r="H36" i="69" s="1"/>
  <c r="J33" i="65" s="1"/>
  <c r="AM33" i="65" s="1"/>
  <c r="F36" i="65"/>
  <c r="AI36" i="65" s="1"/>
  <c r="H64" i="26"/>
  <c r="D64" i="26"/>
  <c r="D67" i="26" s="1"/>
  <c r="N43" i="26"/>
  <c r="N44" i="26" s="1"/>
  <c r="N63" i="26" s="1"/>
  <c r="M43" i="26"/>
  <c r="M44" i="26" s="1"/>
  <c r="M63" i="26" s="1"/>
  <c r="J43" i="26"/>
  <c r="J44" i="26" s="1"/>
  <c r="J63" i="26" s="1"/>
  <c r="L43" i="26"/>
  <c r="L44" i="26" s="1"/>
  <c r="L63" i="26" s="1"/>
  <c r="G43" i="26"/>
  <c r="G44" i="26" s="1"/>
  <c r="G63" i="26" s="1"/>
  <c r="F43" i="26"/>
  <c r="F44" i="26" s="1"/>
  <c r="F63" i="26" s="1"/>
  <c r="F66" i="26" s="1"/>
  <c r="I43" i="25"/>
  <c r="I44" i="25" s="1"/>
  <c r="I63" i="25" s="1"/>
  <c r="I66" i="25" s="1"/>
  <c r="K43" i="26"/>
  <c r="K44" i="26" s="1"/>
  <c r="K63" i="26" s="1"/>
  <c r="K66" i="26" s="1"/>
  <c r="C60" i="60"/>
  <c r="D46" i="69" s="1"/>
  <c r="G43" i="25"/>
  <c r="G44" i="25" s="1"/>
  <c r="G63" i="25" s="1"/>
  <c r="F33" i="65"/>
  <c r="AI33" i="65" s="1"/>
  <c r="N43" i="25"/>
  <c r="N44" i="25" s="1"/>
  <c r="N63" i="25" s="1"/>
  <c r="M43" i="25"/>
  <c r="M44" i="25" s="1"/>
  <c r="M63" i="25" s="1"/>
  <c r="E43" i="26"/>
  <c r="E44" i="26" s="1"/>
  <c r="E63" i="26" s="1"/>
  <c r="E66" i="26" s="1"/>
  <c r="J43" i="25"/>
  <c r="J44" i="25" s="1"/>
  <c r="J63" i="25" s="1"/>
  <c r="L43" i="25"/>
  <c r="L44" i="25" s="1"/>
  <c r="L63" i="25" s="1"/>
  <c r="G58" i="59"/>
  <c r="H25" i="69" s="1"/>
  <c r="J24" i="65" s="1"/>
  <c r="AM24" i="65" s="1"/>
  <c r="J26" i="65"/>
  <c r="AM26" i="65" s="1"/>
  <c r="F43" i="25"/>
  <c r="F44" i="25" s="1"/>
  <c r="F63" i="25" s="1"/>
  <c r="F66" i="25" s="1"/>
  <c r="I43" i="26"/>
  <c r="I44" i="26" s="1"/>
  <c r="I63" i="26" s="1"/>
  <c r="I66" i="26" s="1"/>
  <c r="K43" i="25"/>
  <c r="K44" i="25" s="1"/>
  <c r="K63" i="25" s="1"/>
  <c r="F26" i="65"/>
  <c r="AI26" i="65" s="1"/>
  <c r="D64" i="25"/>
  <c r="G58" i="60"/>
  <c r="H26" i="69" s="1"/>
  <c r="J23" i="65" s="1"/>
  <c r="AM23" i="65" s="1"/>
  <c r="E43" i="25"/>
  <c r="E44" i="25" s="1"/>
  <c r="E63" i="25" s="1"/>
  <c r="C58" i="60"/>
  <c r="D26" i="69" s="1"/>
  <c r="F23" i="65" s="1"/>
  <c r="AI23" i="65" s="1"/>
  <c r="M57" i="60"/>
  <c r="N64" i="23"/>
  <c r="N65" i="23" s="1"/>
  <c r="N66" i="23"/>
  <c r="P16" i="65" s="1"/>
  <c r="AS16" i="65" s="1"/>
  <c r="D16" i="69"/>
  <c r="H16" i="69"/>
  <c r="M66" i="23"/>
  <c r="O16" i="65" s="1"/>
  <c r="AR16" i="65" s="1"/>
  <c r="L57" i="60"/>
  <c r="M64" i="23"/>
  <c r="M65" i="23" s="1"/>
  <c r="I64" i="23"/>
  <c r="I65" i="23" s="1"/>
  <c r="I66" i="23"/>
  <c r="K16" i="65" s="1"/>
  <c r="AN16" i="65" s="1"/>
  <c r="H57" i="60"/>
  <c r="F66" i="23"/>
  <c r="H16" i="65" s="1"/>
  <c r="AK16" i="65" s="1"/>
  <c r="E57" i="60"/>
  <c r="F64" i="23"/>
  <c r="F65" i="23" s="1"/>
  <c r="D67" i="23"/>
  <c r="F17" i="65" s="1"/>
  <c r="AI17" i="65" s="1"/>
  <c r="C57" i="59"/>
  <c r="J57" i="60"/>
  <c r="K64" i="23"/>
  <c r="K65" i="23" s="1"/>
  <c r="K66" i="23"/>
  <c r="M16" i="65" s="1"/>
  <c r="AP16" i="65" s="1"/>
  <c r="G57" i="59"/>
  <c r="H67" i="23"/>
  <c r="J17" i="65" s="1"/>
  <c r="AM17" i="65" s="1"/>
  <c r="J66" i="23"/>
  <c r="L16" i="65" s="1"/>
  <c r="AO16" i="65" s="1"/>
  <c r="I57" i="60"/>
  <c r="J64" i="23"/>
  <c r="J65" i="23" s="1"/>
  <c r="E66" i="23"/>
  <c r="G16" i="65" s="1"/>
  <c r="AJ16" i="65" s="1"/>
  <c r="E64" i="23"/>
  <c r="E65" i="23" s="1"/>
  <c r="D57" i="60"/>
  <c r="G64" i="23"/>
  <c r="G65" i="23" s="1"/>
  <c r="G66" i="23"/>
  <c r="I16" i="65" s="1"/>
  <c r="AL16" i="65" s="1"/>
  <c r="F57" i="60"/>
  <c r="K57" i="60"/>
  <c r="L66" i="23"/>
  <c r="N16" i="65" s="1"/>
  <c r="AQ16" i="65" s="1"/>
  <c r="L64" i="23"/>
  <c r="L65" i="23" s="1"/>
  <c r="D66" i="31" l="1"/>
  <c r="D69" i="31" s="1"/>
  <c r="E66" i="49"/>
  <c r="D73" i="60"/>
  <c r="E176" i="69" s="1"/>
  <c r="J64" i="25"/>
  <c r="J66" i="25"/>
  <c r="J66" i="26"/>
  <c r="L36" i="65" s="1"/>
  <c r="AO36" i="65" s="1"/>
  <c r="F66" i="39"/>
  <c r="M64" i="25"/>
  <c r="M66" i="25"/>
  <c r="O26" i="65" s="1"/>
  <c r="AR26" i="65" s="1"/>
  <c r="F59" i="60"/>
  <c r="G36" i="69" s="1"/>
  <c r="G66" i="26"/>
  <c r="N66" i="26"/>
  <c r="P36" i="65" s="1"/>
  <c r="AS36" i="65" s="1"/>
  <c r="J65" i="30"/>
  <c r="J68" i="30" s="1"/>
  <c r="J67" i="30"/>
  <c r="L65" i="30"/>
  <c r="L67" i="30"/>
  <c r="N46" i="65" s="1"/>
  <c r="AQ46" i="65" s="1"/>
  <c r="H67" i="39"/>
  <c r="I66" i="60"/>
  <c r="J106" i="69" s="1"/>
  <c r="F66" i="60"/>
  <c r="G106" i="69" s="1"/>
  <c r="G64" i="49"/>
  <c r="H62" i="60"/>
  <c r="I66" i="69" s="1"/>
  <c r="I67" i="32"/>
  <c r="D65" i="25"/>
  <c r="D68" i="25" s="1"/>
  <c r="D67" i="25"/>
  <c r="L64" i="25"/>
  <c r="L66" i="25"/>
  <c r="N64" i="25"/>
  <c r="M58" i="59" s="1"/>
  <c r="N25" i="69" s="1"/>
  <c r="P24" i="65" s="1"/>
  <c r="AS24" i="65" s="1"/>
  <c r="N66" i="25"/>
  <c r="L64" i="26"/>
  <c r="L66" i="26"/>
  <c r="F67" i="32"/>
  <c r="H66" i="65" s="1"/>
  <c r="AK66" i="65" s="1"/>
  <c r="M66" i="39"/>
  <c r="G66" i="49"/>
  <c r="J86" i="65"/>
  <c r="AM86" i="65" s="1"/>
  <c r="H65" i="26"/>
  <c r="H68" i="26" s="1"/>
  <c r="H67" i="26"/>
  <c r="D66" i="30"/>
  <c r="D69" i="30" s="1"/>
  <c r="F48" i="65" s="1"/>
  <c r="AI48" i="65" s="1"/>
  <c r="D68" i="30"/>
  <c r="J48" i="65"/>
  <c r="AM48" i="65" s="1"/>
  <c r="H69" i="30"/>
  <c r="J67" i="32"/>
  <c r="L66" i="65" s="1"/>
  <c r="AO66" i="65" s="1"/>
  <c r="I64" i="39"/>
  <c r="E64" i="25"/>
  <c r="E66" i="25"/>
  <c r="G26" i="65" s="1"/>
  <c r="AJ26" i="65" s="1"/>
  <c r="K64" i="25"/>
  <c r="K66" i="25"/>
  <c r="G64" i="25"/>
  <c r="G66" i="25"/>
  <c r="I26" i="65" s="1"/>
  <c r="AL26" i="65" s="1"/>
  <c r="M66" i="26"/>
  <c r="O36" i="65" s="1"/>
  <c r="AR36" i="65" s="1"/>
  <c r="M65" i="30"/>
  <c r="M68" i="30" s="1"/>
  <c r="M67" i="30"/>
  <c r="D66" i="32"/>
  <c r="D69" i="32" s="1"/>
  <c r="D68" i="32"/>
  <c r="K65" i="32"/>
  <c r="K68" i="32" s="1"/>
  <c r="K67" i="32"/>
  <c r="M66" i="65" s="1"/>
  <c r="AP66" i="65" s="1"/>
  <c r="H68" i="31"/>
  <c r="J57" i="65" s="1"/>
  <c r="AM57" i="65" s="1"/>
  <c r="F86" i="65"/>
  <c r="AI86" i="65" s="1"/>
  <c r="K64" i="39"/>
  <c r="E64" i="39"/>
  <c r="L64" i="39"/>
  <c r="H65" i="25"/>
  <c r="H67" i="25"/>
  <c r="J27" i="65" s="1"/>
  <c r="AM27" i="65" s="1"/>
  <c r="H65" i="46"/>
  <c r="F67" i="60"/>
  <c r="G116" i="69" s="1"/>
  <c r="H65" i="40"/>
  <c r="H67" i="46"/>
  <c r="G64" i="40"/>
  <c r="G67" i="40" s="1"/>
  <c r="I97" i="65" s="1"/>
  <c r="AL97" i="65" s="1"/>
  <c r="N66" i="49"/>
  <c r="N64" i="49"/>
  <c r="M73" i="60"/>
  <c r="N176" i="69" s="1"/>
  <c r="M66" i="49"/>
  <c r="M64" i="49"/>
  <c r="L73" i="60"/>
  <c r="M176" i="69" s="1"/>
  <c r="L66" i="49"/>
  <c r="L64" i="49"/>
  <c r="K73" i="60"/>
  <c r="L176" i="69" s="1"/>
  <c r="K64" i="49"/>
  <c r="K66" i="49"/>
  <c r="J73" i="60"/>
  <c r="K176" i="69" s="1"/>
  <c r="J66" i="49"/>
  <c r="J64" i="49"/>
  <c r="I73" i="60"/>
  <c r="J176" i="69" s="1"/>
  <c r="I66" i="49"/>
  <c r="I64" i="49"/>
  <c r="H73" i="60"/>
  <c r="I176" i="69" s="1"/>
  <c r="H129" i="79"/>
  <c r="H176" i="69"/>
  <c r="H67" i="49"/>
  <c r="H65" i="49"/>
  <c r="G73" i="59"/>
  <c r="H175" i="69" s="1"/>
  <c r="J154" i="65" s="1"/>
  <c r="AM154" i="65" s="1"/>
  <c r="I153" i="65"/>
  <c r="AL153" i="65" s="1"/>
  <c r="G65" i="49"/>
  <c r="G67" i="49"/>
  <c r="F73" i="59"/>
  <c r="G175" i="69" s="1"/>
  <c r="I154" i="65" s="1"/>
  <c r="AL154" i="65" s="1"/>
  <c r="F66" i="49"/>
  <c r="F64" i="49"/>
  <c r="E73" i="60"/>
  <c r="F176" i="69" s="1"/>
  <c r="G153" i="65"/>
  <c r="AJ153" i="65" s="1"/>
  <c r="E67" i="49"/>
  <c r="E65" i="49"/>
  <c r="D73" i="59"/>
  <c r="E175" i="69" s="1"/>
  <c r="G154" i="65" s="1"/>
  <c r="AJ154" i="65" s="1"/>
  <c r="F153" i="65"/>
  <c r="AI153" i="65" s="1"/>
  <c r="D65" i="49"/>
  <c r="D67" i="49"/>
  <c r="C73" i="59"/>
  <c r="D175" i="69" s="1"/>
  <c r="F154" i="65" s="1"/>
  <c r="AI154" i="65" s="1"/>
  <c r="I66" i="39"/>
  <c r="N66" i="41"/>
  <c r="P106" i="65" s="1"/>
  <c r="AS106" i="65" s="1"/>
  <c r="J66" i="48"/>
  <c r="J64" i="48"/>
  <c r="I72" i="60"/>
  <c r="J166" i="69" s="1"/>
  <c r="G66" i="48"/>
  <c r="G64" i="48"/>
  <c r="F72" i="60"/>
  <c r="G166" i="69" s="1"/>
  <c r="L66" i="48"/>
  <c r="L64" i="48"/>
  <c r="K72" i="60"/>
  <c r="L166" i="69" s="1"/>
  <c r="E66" i="48"/>
  <c r="E64" i="48"/>
  <c r="D72" i="60"/>
  <c r="E166" i="69" s="1"/>
  <c r="J143" i="65"/>
  <c r="AM143" i="65" s="1"/>
  <c r="K66" i="48"/>
  <c r="K64" i="48"/>
  <c r="J72" i="60"/>
  <c r="K166" i="69" s="1"/>
  <c r="N66" i="48"/>
  <c r="N64" i="48"/>
  <c r="M72" i="60"/>
  <c r="N166" i="69" s="1"/>
  <c r="F66" i="48"/>
  <c r="F64" i="48"/>
  <c r="E72" i="60"/>
  <c r="F166" i="69" s="1"/>
  <c r="D67" i="48"/>
  <c r="D65" i="48"/>
  <c r="C72" i="59"/>
  <c r="D165" i="69" s="1"/>
  <c r="F144" i="65" s="1"/>
  <c r="AI144" i="65" s="1"/>
  <c r="L64" i="35"/>
  <c r="L67" i="35" s="1"/>
  <c r="I67" i="60"/>
  <c r="J116" i="69" s="1"/>
  <c r="L93" i="65" s="1"/>
  <c r="AO93" i="65" s="1"/>
  <c r="L67" i="60"/>
  <c r="M116" i="69" s="1"/>
  <c r="O93" i="65" s="1"/>
  <c r="AR93" i="65" s="1"/>
  <c r="I66" i="48"/>
  <c r="I64" i="48"/>
  <c r="H72" i="60"/>
  <c r="M66" i="48"/>
  <c r="M64" i="48"/>
  <c r="L72" i="60"/>
  <c r="M166" i="69" s="1"/>
  <c r="D122" i="79"/>
  <c r="D166" i="69"/>
  <c r="H67" i="48"/>
  <c r="H65" i="48"/>
  <c r="G72" i="59"/>
  <c r="H165" i="69" s="1"/>
  <c r="J144" i="65" s="1"/>
  <c r="AM144" i="65" s="1"/>
  <c r="K66" i="47"/>
  <c r="K64" i="47"/>
  <c r="J71" i="60"/>
  <c r="K156" i="69" s="1"/>
  <c r="D67" i="47"/>
  <c r="D65" i="47"/>
  <c r="C71" i="59"/>
  <c r="D155" i="69" s="1"/>
  <c r="F134" i="65" s="1"/>
  <c r="AI134" i="65" s="1"/>
  <c r="K66" i="60"/>
  <c r="L106" i="69" s="1"/>
  <c r="N83" i="65" s="1"/>
  <c r="AQ83" i="65" s="1"/>
  <c r="H67" i="40"/>
  <c r="J97" i="65" s="1"/>
  <c r="AM97" i="65" s="1"/>
  <c r="L66" i="41"/>
  <c r="N106" i="65" s="1"/>
  <c r="AQ106" i="65" s="1"/>
  <c r="H68" i="60"/>
  <c r="I126" i="69" s="1"/>
  <c r="K103" i="65" s="1"/>
  <c r="AN103" i="65" s="1"/>
  <c r="L66" i="47"/>
  <c r="L64" i="47"/>
  <c r="K71" i="60"/>
  <c r="L156" i="69" s="1"/>
  <c r="K64" i="41"/>
  <c r="K65" i="41" s="1"/>
  <c r="G64" i="47"/>
  <c r="G66" i="47"/>
  <c r="F71" i="60"/>
  <c r="G156" i="69" s="1"/>
  <c r="N66" i="47"/>
  <c r="N64" i="47"/>
  <c r="M71" i="60"/>
  <c r="N156" i="69" s="1"/>
  <c r="J66" i="47"/>
  <c r="J64" i="47"/>
  <c r="I71" i="60"/>
  <c r="J156" i="69" s="1"/>
  <c r="J133" i="65"/>
  <c r="AM133" i="65" s="1"/>
  <c r="I66" i="47"/>
  <c r="I64" i="47"/>
  <c r="H71" i="60"/>
  <c r="I156" i="69" s="1"/>
  <c r="F64" i="41"/>
  <c r="F65" i="41" s="1"/>
  <c r="F66" i="47"/>
  <c r="F64" i="47"/>
  <c r="E71" i="60"/>
  <c r="F156" i="69" s="1"/>
  <c r="M66" i="47"/>
  <c r="M64" i="47"/>
  <c r="L71" i="60"/>
  <c r="M156" i="69" s="1"/>
  <c r="E66" i="47"/>
  <c r="E64" i="47"/>
  <c r="D71" i="60"/>
  <c r="E156" i="69" s="1"/>
  <c r="D115" i="79"/>
  <c r="D156" i="69"/>
  <c r="H65" i="47"/>
  <c r="H67" i="47"/>
  <c r="G71" i="59"/>
  <c r="H155" i="69" s="1"/>
  <c r="J134" i="65" s="1"/>
  <c r="AM134" i="65" s="1"/>
  <c r="E66" i="46"/>
  <c r="E64" i="46"/>
  <c r="D70" i="60"/>
  <c r="E146" i="69" s="1"/>
  <c r="I64" i="41"/>
  <c r="I67" i="41" s="1"/>
  <c r="K107" i="65" s="1"/>
  <c r="AN107" i="65" s="1"/>
  <c r="F66" i="46"/>
  <c r="F64" i="46"/>
  <c r="E70" i="60"/>
  <c r="F146" i="69" s="1"/>
  <c r="M66" i="46"/>
  <c r="M64" i="46"/>
  <c r="L70" i="60"/>
  <c r="M146" i="69" s="1"/>
  <c r="L66" i="46"/>
  <c r="L64" i="46"/>
  <c r="K70" i="60"/>
  <c r="L146" i="69" s="1"/>
  <c r="N66" i="46"/>
  <c r="N64" i="46"/>
  <c r="M70" i="60"/>
  <c r="N146" i="69" s="1"/>
  <c r="M67" i="60"/>
  <c r="N116" i="69" s="1"/>
  <c r="P93" i="65" s="1"/>
  <c r="AS93" i="65" s="1"/>
  <c r="K68" i="60"/>
  <c r="L126" i="69" s="1"/>
  <c r="N103" i="65" s="1"/>
  <c r="AQ103" i="65" s="1"/>
  <c r="I66" i="46"/>
  <c r="I64" i="46"/>
  <c r="H70" i="60"/>
  <c r="I146" i="69" s="1"/>
  <c r="G66" i="46"/>
  <c r="G64" i="46"/>
  <c r="F70" i="60"/>
  <c r="G146" i="69" s="1"/>
  <c r="H68" i="46"/>
  <c r="G70" i="50"/>
  <c r="H144" i="69" s="1"/>
  <c r="K65" i="60"/>
  <c r="L96" i="69" s="1"/>
  <c r="N173" i="65" s="1"/>
  <c r="AQ173" i="65" s="1"/>
  <c r="N64" i="40"/>
  <c r="N67" i="40" s="1"/>
  <c r="P97" i="65" s="1"/>
  <c r="AS97" i="65" s="1"/>
  <c r="J68" i="60"/>
  <c r="K126" i="69" s="1"/>
  <c r="J66" i="46"/>
  <c r="J64" i="46"/>
  <c r="I70" i="60"/>
  <c r="J146" i="69" s="1"/>
  <c r="K66" i="46"/>
  <c r="K64" i="46"/>
  <c r="J70" i="60"/>
  <c r="K146" i="69" s="1"/>
  <c r="D68" i="46"/>
  <c r="C70" i="50"/>
  <c r="D144" i="69" s="1"/>
  <c r="F125" i="65" s="1"/>
  <c r="AI125" i="65" s="1"/>
  <c r="D65" i="42"/>
  <c r="D67" i="42"/>
  <c r="F117" i="65" s="1"/>
  <c r="AI117" i="65" s="1"/>
  <c r="C69" i="59"/>
  <c r="D135" i="69" s="1"/>
  <c r="F114" i="65" s="1"/>
  <c r="AI114" i="65" s="1"/>
  <c r="J67" i="60"/>
  <c r="K116" i="69" s="1"/>
  <c r="M93" i="65" s="1"/>
  <c r="AP93" i="65" s="1"/>
  <c r="E67" i="60"/>
  <c r="F116" i="69" s="1"/>
  <c r="H93" i="65" s="1"/>
  <c r="AK93" i="65" s="1"/>
  <c r="E64" i="41"/>
  <c r="D68" i="59" s="1"/>
  <c r="E125" i="69" s="1"/>
  <c r="G104" i="65" s="1"/>
  <c r="AJ104" i="65" s="1"/>
  <c r="J66" i="42"/>
  <c r="L116" i="65" s="1"/>
  <c r="AO116" i="65" s="1"/>
  <c r="J64" i="42"/>
  <c r="I69" i="60"/>
  <c r="J136" i="69" s="1"/>
  <c r="I68" i="60"/>
  <c r="J126" i="69" s="1"/>
  <c r="L103" i="65" s="1"/>
  <c r="AO103" i="65" s="1"/>
  <c r="N66" i="42"/>
  <c r="P116" i="65" s="1"/>
  <c r="AS116" i="65" s="1"/>
  <c r="N64" i="42"/>
  <c r="M69" i="60"/>
  <c r="N136" i="69" s="1"/>
  <c r="K66" i="42"/>
  <c r="M116" i="65" s="1"/>
  <c r="AP116" i="65" s="1"/>
  <c r="K64" i="42"/>
  <c r="J69" i="60"/>
  <c r="K136" i="69" s="1"/>
  <c r="I66" i="42"/>
  <c r="K116" i="65" s="1"/>
  <c r="AN116" i="65" s="1"/>
  <c r="I64" i="42"/>
  <c r="H69" i="60"/>
  <c r="I136" i="69" s="1"/>
  <c r="K64" i="40"/>
  <c r="J67" i="59" s="1"/>
  <c r="K115" i="69" s="1"/>
  <c r="M94" i="65" s="1"/>
  <c r="AP94" i="65" s="1"/>
  <c r="F64" i="40"/>
  <c r="F67" i="40" s="1"/>
  <c r="H97" i="65" s="1"/>
  <c r="AK97" i="65" s="1"/>
  <c r="E66" i="42"/>
  <c r="G116" i="65" s="1"/>
  <c r="AJ116" i="65" s="1"/>
  <c r="E64" i="42"/>
  <c r="D69" i="60"/>
  <c r="E136" i="69" s="1"/>
  <c r="J64" i="41"/>
  <c r="I68" i="59" s="1"/>
  <c r="J125" i="69" s="1"/>
  <c r="L104" i="65" s="1"/>
  <c r="AO104" i="65" s="1"/>
  <c r="G66" i="42"/>
  <c r="I116" i="65" s="1"/>
  <c r="AL116" i="65" s="1"/>
  <c r="G64" i="42"/>
  <c r="F69" i="60"/>
  <c r="G136" i="69" s="1"/>
  <c r="L66" i="42"/>
  <c r="N116" i="65" s="1"/>
  <c r="AQ116" i="65" s="1"/>
  <c r="L64" i="42"/>
  <c r="K69" i="60"/>
  <c r="L136" i="69" s="1"/>
  <c r="K63" i="60"/>
  <c r="L76" i="69" s="1"/>
  <c r="N73" i="65" s="1"/>
  <c r="AQ73" i="65" s="1"/>
  <c r="F66" i="42"/>
  <c r="H116" i="65" s="1"/>
  <c r="AK116" i="65" s="1"/>
  <c r="F64" i="42"/>
  <c r="E69" i="60"/>
  <c r="F136" i="69" s="1"/>
  <c r="M66" i="42"/>
  <c r="O116" i="65" s="1"/>
  <c r="AR116" i="65" s="1"/>
  <c r="M64" i="42"/>
  <c r="L69" i="60"/>
  <c r="M136" i="69" s="1"/>
  <c r="F113" i="65"/>
  <c r="AI113" i="65" s="1"/>
  <c r="H68" i="42"/>
  <c r="J118" i="65" s="1"/>
  <c r="AM118" i="65" s="1"/>
  <c r="G69" i="50"/>
  <c r="H134" i="69" s="1"/>
  <c r="P103" i="65"/>
  <c r="AS103" i="65" s="1"/>
  <c r="H67" i="41"/>
  <c r="J107" i="65" s="1"/>
  <c r="AM107" i="65" s="1"/>
  <c r="H65" i="41"/>
  <c r="G68" i="59"/>
  <c r="H125" i="69" s="1"/>
  <c r="J104" i="65" s="1"/>
  <c r="AM104" i="65" s="1"/>
  <c r="D67" i="33"/>
  <c r="F77" i="65" s="1"/>
  <c r="AI77" i="65" s="1"/>
  <c r="G66" i="41"/>
  <c r="I106" i="65" s="1"/>
  <c r="AL106" i="65" s="1"/>
  <c r="G64" i="41"/>
  <c r="F68" i="60"/>
  <c r="G126" i="69" s="1"/>
  <c r="G103" i="65"/>
  <c r="AJ103" i="65" s="1"/>
  <c r="N67" i="41"/>
  <c r="P107" i="65" s="1"/>
  <c r="AS107" i="65" s="1"/>
  <c r="N65" i="41"/>
  <c r="M68" i="59"/>
  <c r="N125" i="69" s="1"/>
  <c r="P104" i="65" s="1"/>
  <c r="AS104" i="65" s="1"/>
  <c r="M103" i="65"/>
  <c r="AP103" i="65" s="1"/>
  <c r="D65" i="41"/>
  <c r="D67" i="41"/>
  <c r="F107" i="65" s="1"/>
  <c r="AI107" i="65" s="1"/>
  <c r="C68" i="59"/>
  <c r="D125" i="69" s="1"/>
  <c r="F104" i="65" s="1"/>
  <c r="AI104" i="65" s="1"/>
  <c r="H103" i="65"/>
  <c r="AK103" i="65" s="1"/>
  <c r="M66" i="41"/>
  <c r="O106" i="65" s="1"/>
  <c r="AR106" i="65" s="1"/>
  <c r="M64" i="41"/>
  <c r="L68" i="60"/>
  <c r="M126" i="69" s="1"/>
  <c r="K67" i="41"/>
  <c r="M107" i="65" s="1"/>
  <c r="AP107" i="65" s="1"/>
  <c r="J64" i="60"/>
  <c r="K86" i="69" s="1"/>
  <c r="E66" i="34"/>
  <c r="E66" i="39"/>
  <c r="M64" i="39"/>
  <c r="K67" i="60"/>
  <c r="L116" i="69" s="1"/>
  <c r="N93" i="65" s="1"/>
  <c r="AQ93" i="65" s="1"/>
  <c r="D94" i="79"/>
  <c r="D126" i="69"/>
  <c r="L65" i="41"/>
  <c r="L67" i="41"/>
  <c r="N107" i="65" s="1"/>
  <c r="AQ107" i="65" s="1"/>
  <c r="K68" i="59"/>
  <c r="L125" i="69" s="1"/>
  <c r="N104" i="65" s="1"/>
  <c r="AQ104" i="65" s="1"/>
  <c r="J103" i="65"/>
  <c r="AM103" i="65" s="1"/>
  <c r="L66" i="33"/>
  <c r="N76" i="65" s="1"/>
  <c r="AQ76" i="65" s="1"/>
  <c r="G66" i="34"/>
  <c r="E66" i="60"/>
  <c r="F106" i="69" s="1"/>
  <c r="H83" i="65" s="1"/>
  <c r="AK83" i="65" s="1"/>
  <c r="D63" i="60"/>
  <c r="E76" i="69" s="1"/>
  <c r="G73" i="65" s="1"/>
  <c r="AJ73" i="65" s="1"/>
  <c r="E66" i="35"/>
  <c r="H67" i="60"/>
  <c r="I116" i="69" s="1"/>
  <c r="K93" i="65" s="1"/>
  <c r="AN93" i="65" s="1"/>
  <c r="I64" i="40"/>
  <c r="H67" i="59" s="1"/>
  <c r="I115" i="69" s="1"/>
  <c r="K94" i="65" s="1"/>
  <c r="AN94" i="65" s="1"/>
  <c r="D65" i="60"/>
  <c r="E96" i="69" s="1"/>
  <c r="G173" i="65" s="1"/>
  <c r="AJ173" i="65" s="1"/>
  <c r="D66" i="60"/>
  <c r="E106" i="69" s="1"/>
  <c r="G83" i="65" s="1"/>
  <c r="AJ83" i="65" s="1"/>
  <c r="L66" i="39"/>
  <c r="I93" i="65"/>
  <c r="AL93" i="65" s="1"/>
  <c r="E67" i="40"/>
  <c r="G97" i="65" s="1"/>
  <c r="AJ97" i="65" s="1"/>
  <c r="E65" i="40"/>
  <c r="D67" i="59"/>
  <c r="E115" i="69" s="1"/>
  <c r="G94" i="65" s="1"/>
  <c r="AJ94" i="65" s="1"/>
  <c r="L65" i="40"/>
  <c r="L67" i="40"/>
  <c r="N97" i="65" s="1"/>
  <c r="AQ97" i="65" s="1"/>
  <c r="K67" i="59"/>
  <c r="L115" i="69" s="1"/>
  <c r="N94" i="65" s="1"/>
  <c r="AQ94" i="65" s="1"/>
  <c r="D65" i="33"/>
  <c r="C63" i="50" s="1"/>
  <c r="D74" i="69" s="1"/>
  <c r="F75" i="65" s="1"/>
  <c r="AI75" i="65" s="1"/>
  <c r="L66" i="60"/>
  <c r="M106" i="69" s="1"/>
  <c r="O83" i="65" s="1"/>
  <c r="AR83" i="65" s="1"/>
  <c r="F67" i="59"/>
  <c r="G115" i="69" s="1"/>
  <c r="I94" i="65" s="1"/>
  <c r="AL94" i="65" s="1"/>
  <c r="J65" i="40"/>
  <c r="J67" i="40"/>
  <c r="L97" i="65" s="1"/>
  <c r="AO97" i="65" s="1"/>
  <c r="I67" i="59"/>
  <c r="J115" i="69" s="1"/>
  <c r="L94" i="65" s="1"/>
  <c r="AO94" i="65" s="1"/>
  <c r="K67" i="40"/>
  <c r="M97" i="65" s="1"/>
  <c r="AP97" i="65" s="1"/>
  <c r="H68" i="40"/>
  <c r="J98" i="65" s="1"/>
  <c r="AM98" i="65" s="1"/>
  <c r="G67" i="50"/>
  <c r="H114" i="69" s="1"/>
  <c r="M67" i="40"/>
  <c r="O97" i="65" s="1"/>
  <c r="AR97" i="65" s="1"/>
  <c r="M65" i="40"/>
  <c r="L67" i="59"/>
  <c r="M115" i="69" s="1"/>
  <c r="O94" i="65" s="1"/>
  <c r="AR94" i="65" s="1"/>
  <c r="F93" i="65"/>
  <c r="AI93" i="65" s="1"/>
  <c r="G93" i="65"/>
  <c r="AJ93" i="65" s="1"/>
  <c r="D68" i="40"/>
  <c r="F98" i="65" s="1"/>
  <c r="AI98" i="65" s="1"/>
  <c r="C67" i="50"/>
  <c r="D114" i="69" s="1"/>
  <c r="F95" i="65" s="1"/>
  <c r="AI95" i="65" s="1"/>
  <c r="E66" i="33"/>
  <c r="G76" i="65" s="1"/>
  <c r="AJ76" i="65" s="1"/>
  <c r="G66" i="59"/>
  <c r="H105" i="69" s="1"/>
  <c r="J84" i="65" s="1"/>
  <c r="AM84" i="65" s="1"/>
  <c r="G64" i="39"/>
  <c r="H65" i="39"/>
  <c r="F64" i="34"/>
  <c r="F67" i="34" s="1"/>
  <c r="J64" i="39"/>
  <c r="F66" i="34"/>
  <c r="F64" i="39"/>
  <c r="J66" i="39"/>
  <c r="G66" i="39"/>
  <c r="H66" i="60"/>
  <c r="I106" i="69" s="1"/>
  <c r="K83" i="65" s="1"/>
  <c r="AN83" i="65" s="1"/>
  <c r="J66" i="60"/>
  <c r="K106" i="69" s="1"/>
  <c r="M83" i="65" s="1"/>
  <c r="AP83" i="65" s="1"/>
  <c r="F65" i="60"/>
  <c r="G96" i="69" s="1"/>
  <c r="I173" i="65" s="1"/>
  <c r="AL173" i="65" s="1"/>
  <c r="G64" i="35"/>
  <c r="G67" i="35" s="1"/>
  <c r="K66" i="39"/>
  <c r="G61" i="59"/>
  <c r="H55" i="69" s="1"/>
  <c r="J54" i="65" s="1"/>
  <c r="AM54" i="65" s="1"/>
  <c r="H66" i="31"/>
  <c r="G64" i="34"/>
  <c r="G65" i="34" s="1"/>
  <c r="K66" i="34"/>
  <c r="L64" i="34"/>
  <c r="L67" i="34" s="1"/>
  <c r="K67" i="39"/>
  <c r="K65" i="39"/>
  <c r="J66" i="59"/>
  <c r="K105" i="69" s="1"/>
  <c r="M84" i="65" s="1"/>
  <c r="AP84" i="65" s="1"/>
  <c r="L66" i="34"/>
  <c r="L64" i="60"/>
  <c r="M86" i="69" s="1"/>
  <c r="O163" i="65" s="1"/>
  <c r="AR163" i="65" s="1"/>
  <c r="I83" i="65"/>
  <c r="AL83" i="65" s="1"/>
  <c r="N66" i="39"/>
  <c r="N64" i="39"/>
  <c r="M66" i="60"/>
  <c r="N106" i="69" s="1"/>
  <c r="M64" i="34"/>
  <c r="M67" i="34" s="1"/>
  <c r="F83" i="65"/>
  <c r="AI83" i="65" s="1"/>
  <c r="L83" i="65"/>
  <c r="AO83" i="65" s="1"/>
  <c r="J63" i="60"/>
  <c r="K76" i="69" s="1"/>
  <c r="M73" i="65" s="1"/>
  <c r="AP73" i="65" s="1"/>
  <c r="D67" i="39"/>
  <c r="D65" i="39"/>
  <c r="C66" i="59"/>
  <c r="D105" i="69" s="1"/>
  <c r="F84" i="65" s="1"/>
  <c r="AI84" i="65" s="1"/>
  <c r="E67" i="39"/>
  <c r="E65" i="39"/>
  <c r="D66" i="59"/>
  <c r="E105" i="69" s="1"/>
  <c r="G84" i="65" s="1"/>
  <c r="AJ84" i="65" s="1"/>
  <c r="I67" i="39"/>
  <c r="I65" i="39"/>
  <c r="H66" i="59"/>
  <c r="I105" i="69" s="1"/>
  <c r="K84" i="65" s="1"/>
  <c r="AN84" i="65" s="1"/>
  <c r="L67" i="39"/>
  <c r="L65" i="39"/>
  <c r="K66" i="59"/>
  <c r="L105" i="69" s="1"/>
  <c r="N84" i="65" s="1"/>
  <c r="AQ84" i="65" s="1"/>
  <c r="N66" i="35"/>
  <c r="N64" i="35"/>
  <c r="M65" i="60"/>
  <c r="N96" i="69" s="1"/>
  <c r="F173" i="65"/>
  <c r="AI173" i="65" s="1"/>
  <c r="K66" i="33"/>
  <c r="M76" i="65" s="1"/>
  <c r="AP76" i="65" s="1"/>
  <c r="H64" i="60"/>
  <c r="I86" i="69" s="1"/>
  <c r="K163" i="65" s="1"/>
  <c r="AN163" i="65" s="1"/>
  <c r="J66" i="35"/>
  <c r="J64" i="35"/>
  <c r="I65" i="60"/>
  <c r="J96" i="69" s="1"/>
  <c r="D67" i="35"/>
  <c r="D65" i="35"/>
  <c r="C65" i="59"/>
  <c r="D95" i="69" s="1"/>
  <c r="F174" i="65" s="1"/>
  <c r="AI174" i="65" s="1"/>
  <c r="K65" i="59"/>
  <c r="L95" i="69" s="1"/>
  <c r="N174" i="65" s="1"/>
  <c r="AQ174" i="65" s="1"/>
  <c r="K64" i="35"/>
  <c r="K66" i="35"/>
  <c r="J65" i="60"/>
  <c r="K96" i="69" s="1"/>
  <c r="I62" i="60"/>
  <c r="J66" i="69" s="1"/>
  <c r="L63" i="65" s="1"/>
  <c r="AO63" i="65" s="1"/>
  <c r="I64" i="34"/>
  <c r="I67" i="34" s="1"/>
  <c r="D64" i="60"/>
  <c r="E86" i="69" s="1"/>
  <c r="G163" i="65" s="1"/>
  <c r="AJ163" i="65" s="1"/>
  <c r="M66" i="35"/>
  <c r="M64" i="35"/>
  <c r="L65" i="60"/>
  <c r="M96" i="69" s="1"/>
  <c r="H68" i="35"/>
  <c r="H93" i="35"/>
  <c r="H94" i="35" s="1"/>
  <c r="G65" i="50"/>
  <c r="H94" i="69" s="1"/>
  <c r="J175" i="65" s="1"/>
  <c r="AM175" i="65" s="1"/>
  <c r="I66" i="35"/>
  <c r="I64" i="35"/>
  <c r="H65" i="60"/>
  <c r="I96" i="69" s="1"/>
  <c r="E67" i="35"/>
  <c r="E65" i="35"/>
  <c r="D65" i="59"/>
  <c r="E95" i="69" s="1"/>
  <c r="G174" i="65" s="1"/>
  <c r="AJ174" i="65" s="1"/>
  <c r="K66" i="65"/>
  <c r="AN66" i="65" s="1"/>
  <c r="F66" i="35"/>
  <c r="F64" i="35"/>
  <c r="E65" i="60"/>
  <c r="F96" i="69" s="1"/>
  <c r="N64" i="34"/>
  <c r="M64" i="59" s="1"/>
  <c r="N85" i="69" s="1"/>
  <c r="P164" i="65" s="1"/>
  <c r="AS164" i="65" s="1"/>
  <c r="J65" i="32"/>
  <c r="I65" i="32"/>
  <c r="N66" i="34"/>
  <c r="D68" i="34"/>
  <c r="D93" i="34"/>
  <c r="D94" i="34" s="1"/>
  <c r="C64" i="50"/>
  <c r="D84" i="69" s="1"/>
  <c r="F165" i="65" s="1"/>
  <c r="AI165" i="65" s="1"/>
  <c r="I163" i="65"/>
  <c r="AL163" i="65" s="1"/>
  <c r="N163" i="65"/>
  <c r="AQ163" i="65" s="1"/>
  <c r="M163" i="65"/>
  <c r="AP163" i="65" s="1"/>
  <c r="J163" i="65"/>
  <c r="AM163" i="65" s="1"/>
  <c r="J66" i="34"/>
  <c r="J64" i="34"/>
  <c r="I64" i="60"/>
  <c r="J86" i="69" s="1"/>
  <c r="P163" i="65"/>
  <c r="AS163" i="65" s="1"/>
  <c r="K65" i="34"/>
  <c r="K67" i="34"/>
  <c r="J64" i="59"/>
  <c r="K85" i="69" s="1"/>
  <c r="M164" i="65" s="1"/>
  <c r="AP164" i="65" s="1"/>
  <c r="H67" i="34"/>
  <c r="H65" i="34"/>
  <c r="G64" i="59"/>
  <c r="H85" i="69" s="1"/>
  <c r="J164" i="65" s="1"/>
  <c r="AM164" i="65" s="1"/>
  <c r="H163" i="65"/>
  <c r="AK163" i="65" s="1"/>
  <c r="E67" i="34"/>
  <c r="E65" i="34"/>
  <c r="D64" i="59"/>
  <c r="E85" i="69" s="1"/>
  <c r="G164" i="65" s="1"/>
  <c r="AJ164" i="65" s="1"/>
  <c r="M64" i="33"/>
  <c r="M66" i="33"/>
  <c r="O76" i="65" s="1"/>
  <c r="AR76" i="65" s="1"/>
  <c r="L63" i="60"/>
  <c r="M76" i="69" s="1"/>
  <c r="L65" i="33"/>
  <c r="L67" i="33"/>
  <c r="N77" i="65" s="1"/>
  <c r="AQ77" i="65" s="1"/>
  <c r="K63" i="59"/>
  <c r="L75" i="69" s="1"/>
  <c r="N74" i="65" s="1"/>
  <c r="AQ74" i="65" s="1"/>
  <c r="H65" i="33"/>
  <c r="H67" i="33"/>
  <c r="J77" i="65" s="1"/>
  <c r="AM77" i="65" s="1"/>
  <c r="G63" i="59"/>
  <c r="H75" i="69" s="1"/>
  <c r="J74" i="65" s="1"/>
  <c r="AM74" i="65" s="1"/>
  <c r="I64" i="33"/>
  <c r="I66" i="33"/>
  <c r="K76" i="65" s="1"/>
  <c r="AN76" i="65" s="1"/>
  <c r="H63" i="60"/>
  <c r="I76" i="69" s="1"/>
  <c r="G66" i="33"/>
  <c r="I76" i="65" s="1"/>
  <c r="AL76" i="65" s="1"/>
  <c r="G64" i="33"/>
  <c r="F63" i="60"/>
  <c r="G76" i="69" s="1"/>
  <c r="N66" i="33"/>
  <c r="P76" i="65" s="1"/>
  <c r="AS76" i="65" s="1"/>
  <c r="N64" i="33"/>
  <c r="M63" i="60"/>
  <c r="N76" i="69" s="1"/>
  <c r="F66" i="33"/>
  <c r="H76" i="65" s="1"/>
  <c r="AK76" i="65" s="1"/>
  <c r="F64" i="33"/>
  <c r="E63" i="60"/>
  <c r="F76" i="69" s="1"/>
  <c r="K65" i="33"/>
  <c r="K67" i="33"/>
  <c r="M77" i="65" s="1"/>
  <c r="AP77" i="65" s="1"/>
  <c r="J63" i="59"/>
  <c r="K75" i="69" s="1"/>
  <c r="M74" i="65" s="1"/>
  <c r="AP74" i="65" s="1"/>
  <c r="J73" i="65"/>
  <c r="AM73" i="65" s="1"/>
  <c r="E65" i="33"/>
  <c r="E67" i="33"/>
  <c r="G77" i="65" s="1"/>
  <c r="AJ77" i="65" s="1"/>
  <c r="D63" i="59"/>
  <c r="E75" i="69" s="1"/>
  <c r="G74" i="65" s="1"/>
  <c r="AJ74" i="65" s="1"/>
  <c r="J62" i="60"/>
  <c r="K66" i="69" s="1"/>
  <c r="M63" i="65" s="1"/>
  <c r="AP63" i="65" s="1"/>
  <c r="F67" i="65"/>
  <c r="AI67" i="65" s="1"/>
  <c r="J66" i="33"/>
  <c r="L76" i="65" s="1"/>
  <c r="AO76" i="65" s="1"/>
  <c r="J64" i="33"/>
  <c r="I63" i="60"/>
  <c r="J76" i="69" s="1"/>
  <c r="E62" i="60"/>
  <c r="F66" i="69" s="1"/>
  <c r="H63" i="65" s="1"/>
  <c r="AK63" i="65" s="1"/>
  <c r="F65" i="32"/>
  <c r="C62" i="59"/>
  <c r="D65" i="69" s="1"/>
  <c r="F64" i="65" s="1"/>
  <c r="AI64" i="65" s="1"/>
  <c r="N66" i="65"/>
  <c r="AQ66" i="65" s="1"/>
  <c r="L65" i="32"/>
  <c r="L68" i="32" s="1"/>
  <c r="K62" i="60"/>
  <c r="L66" i="69" s="1"/>
  <c r="I66" i="65"/>
  <c r="AL66" i="65" s="1"/>
  <c r="G65" i="32"/>
  <c r="G68" i="32" s="1"/>
  <c r="F62" i="60"/>
  <c r="G66" i="69" s="1"/>
  <c r="J63" i="65"/>
  <c r="AM63" i="65" s="1"/>
  <c r="K63" i="65"/>
  <c r="AN63" i="65" s="1"/>
  <c r="M67" i="65"/>
  <c r="AP67" i="65" s="1"/>
  <c r="K66" i="32"/>
  <c r="K69" i="32" s="1"/>
  <c r="J62" i="59"/>
  <c r="K65" i="69" s="1"/>
  <c r="M64" i="65" s="1"/>
  <c r="AP64" i="65" s="1"/>
  <c r="G66" i="65"/>
  <c r="AJ66" i="65" s="1"/>
  <c r="E65" i="32"/>
  <c r="E68" i="32" s="1"/>
  <c r="D62" i="60"/>
  <c r="E66" i="69" s="1"/>
  <c r="J67" i="65"/>
  <c r="AM67" i="65" s="1"/>
  <c r="H66" i="32"/>
  <c r="H69" i="32" s="1"/>
  <c r="G62" i="59"/>
  <c r="H65" i="69" s="1"/>
  <c r="J64" i="65" s="1"/>
  <c r="AM64" i="65" s="1"/>
  <c r="G59" i="59"/>
  <c r="H35" i="69" s="1"/>
  <c r="J34" i="65" s="1"/>
  <c r="AM34" i="65" s="1"/>
  <c r="P66" i="65"/>
  <c r="AS66" i="65" s="1"/>
  <c r="N65" i="32"/>
  <c r="N68" i="32" s="1"/>
  <c r="M62" i="60"/>
  <c r="N66" i="69" s="1"/>
  <c r="O66" i="65"/>
  <c r="AR66" i="65" s="1"/>
  <c r="M65" i="32"/>
  <c r="M68" i="32" s="1"/>
  <c r="L62" i="60"/>
  <c r="M66" i="69" s="1"/>
  <c r="F68" i="65"/>
  <c r="AI68" i="65" s="1"/>
  <c r="C62" i="50"/>
  <c r="D64" i="69" s="1"/>
  <c r="F65" i="65" s="1"/>
  <c r="AI65" i="65" s="1"/>
  <c r="D94" i="32"/>
  <c r="D95" i="32" s="1"/>
  <c r="G60" i="50"/>
  <c r="H44" i="69" s="1"/>
  <c r="J45" i="65" s="1"/>
  <c r="AM45" i="65" s="1"/>
  <c r="J37" i="65"/>
  <c r="AM37" i="65" s="1"/>
  <c r="L26" i="65"/>
  <c r="AO26" i="65" s="1"/>
  <c r="K60" i="59"/>
  <c r="L45" i="69" s="1"/>
  <c r="N44" i="65" s="1"/>
  <c r="AQ44" i="65" s="1"/>
  <c r="G93" i="23"/>
  <c r="G94" i="23" s="1"/>
  <c r="G68" i="23"/>
  <c r="I18" i="65" s="1"/>
  <c r="AL18" i="65" s="1"/>
  <c r="F57" i="50"/>
  <c r="G14" i="69" s="1"/>
  <c r="I15" i="65" s="1"/>
  <c r="AL15" i="65" s="1"/>
  <c r="N93" i="23"/>
  <c r="N94" i="23" s="1"/>
  <c r="N68" i="23"/>
  <c r="P18" i="65" s="1"/>
  <c r="AS18" i="65" s="1"/>
  <c r="M57" i="50"/>
  <c r="N14" i="69" s="1"/>
  <c r="P15" i="65" s="1"/>
  <c r="AS15" i="65" s="1"/>
  <c r="I93" i="23"/>
  <c r="I94" i="23" s="1"/>
  <c r="I68" i="23"/>
  <c r="K18" i="65" s="1"/>
  <c r="AN18" i="65" s="1"/>
  <c r="H57" i="50"/>
  <c r="I14" i="69" s="1"/>
  <c r="K15" i="65" s="1"/>
  <c r="AN15" i="65" s="1"/>
  <c r="O47" i="65"/>
  <c r="AR47" i="65" s="1"/>
  <c r="M66" i="30"/>
  <c r="M56" i="65"/>
  <c r="AP56" i="65" s="1"/>
  <c r="K65" i="31"/>
  <c r="K68" i="31" s="1"/>
  <c r="J61" i="60"/>
  <c r="K56" i="69" s="1"/>
  <c r="H56" i="65"/>
  <c r="AK56" i="65" s="1"/>
  <c r="F65" i="31"/>
  <c r="F68" i="31" s="1"/>
  <c r="E61" i="60"/>
  <c r="F56" i="69" s="1"/>
  <c r="L93" i="23"/>
  <c r="L94" i="23" s="1"/>
  <c r="K57" i="50"/>
  <c r="L14" i="69" s="1"/>
  <c r="N15" i="65" s="1"/>
  <c r="AQ15" i="65" s="1"/>
  <c r="L68" i="23"/>
  <c r="N18" i="65" s="1"/>
  <c r="AQ18" i="65" s="1"/>
  <c r="J93" i="23"/>
  <c r="J94" i="23" s="1"/>
  <c r="I57" i="50"/>
  <c r="J14" i="69" s="1"/>
  <c r="L15" i="65" s="1"/>
  <c r="AO15" i="65" s="1"/>
  <c r="J68" i="23"/>
  <c r="L18" i="65" s="1"/>
  <c r="AO18" i="65" s="1"/>
  <c r="M93" i="23"/>
  <c r="M94" i="23" s="1"/>
  <c r="M68" i="23"/>
  <c r="O18" i="65" s="1"/>
  <c r="AR18" i="65" s="1"/>
  <c r="L57" i="50"/>
  <c r="M14" i="69" s="1"/>
  <c r="O15" i="65" s="1"/>
  <c r="AR15" i="65" s="1"/>
  <c r="L47" i="65"/>
  <c r="AO47" i="65" s="1"/>
  <c r="J66" i="30"/>
  <c r="L56" i="65"/>
  <c r="AO56" i="65" s="1"/>
  <c r="J65" i="31"/>
  <c r="J68" i="31" s="1"/>
  <c r="I61" i="60"/>
  <c r="J56" i="69" s="1"/>
  <c r="P56" i="65"/>
  <c r="AS56" i="65" s="1"/>
  <c r="N65" i="31"/>
  <c r="N68" i="31" s="1"/>
  <c r="M61" i="60"/>
  <c r="N56" i="69" s="1"/>
  <c r="F28" i="65"/>
  <c r="AI28" i="65" s="1"/>
  <c r="F37" i="65"/>
  <c r="AI37" i="65" s="1"/>
  <c r="D65" i="26"/>
  <c r="D68" i="26" s="1"/>
  <c r="O56" i="65"/>
  <c r="AR56" i="65" s="1"/>
  <c r="M65" i="31"/>
  <c r="M68" i="31" s="1"/>
  <c r="L61" i="60"/>
  <c r="M56" i="69" s="1"/>
  <c r="G56" i="65"/>
  <c r="AJ56" i="65" s="1"/>
  <c r="E65" i="31"/>
  <c r="E68" i="31" s="1"/>
  <c r="D61" i="60"/>
  <c r="E56" i="69" s="1"/>
  <c r="D57" i="50"/>
  <c r="E14" i="69" s="1"/>
  <c r="G15" i="65" s="1"/>
  <c r="AJ15" i="65" s="1"/>
  <c r="E93" i="23"/>
  <c r="E94" i="23" s="1"/>
  <c r="E68" i="23"/>
  <c r="G18" i="65" s="1"/>
  <c r="AJ18" i="65" s="1"/>
  <c r="J57" i="50"/>
  <c r="K14" i="69" s="1"/>
  <c r="M15" i="65" s="1"/>
  <c r="AP15" i="65" s="1"/>
  <c r="K93" i="23"/>
  <c r="K94" i="23" s="1"/>
  <c r="K68" i="23"/>
  <c r="M18" i="65" s="1"/>
  <c r="AP18" i="65" s="1"/>
  <c r="F93" i="23"/>
  <c r="F94" i="23" s="1"/>
  <c r="E57" i="50"/>
  <c r="F14" i="69" s="1"/>
  <c r="H15" i="65" s="1"/>
  <c r="AK15" i="65" s="1"/>
  <c r="F68" i="23"/>
  <c r="H18" i="65" s="1"/>
  <c r="AK18" i="65" s="1"/>
  <c r="J38" i="65"/>
  <c r="AM38" i="65" s="1"/>
  <c r="G59" i="50"/>
  <c r="H34" i="69" s="1"/>
  <c r="J35" i="65" s="1"/>
  <c r="AM35" i="65" s="1"/>
  <c r="H93" i="26"/>
  <c r="H94" i="26" s="1"/>
  <c r="C60" i="50"/>
  <c r="D44" i="69" s="1"/>
  <c r="F45" i="65" s="1"/>
  <c r="AI45" i="65" s="1"/>
  <c r="N56" i="65"/>
  <c r="AQ56" i="65" s="1"/>
  <c r="L65" i="31"/>
  <c r="L68" i="31" s="1"/>
  <c r="K61" i="60"/>
  <c r="L56" i="69" s="1"/>
  <c r="I56" i="65"/>
  <c r="AL56" i="65" s="1"/>
  <c r="G65" i="31"/>
  <c r="G68" i="31" s="1"/>
  <c r="F61" i="60"/>
  <c r="G56" i="69" s="1"/>
  <c r="K56" i="65"/>
  <c r="AN56" i="65" s="1"/>
  <c r="I65" i="31"/>
  <c r="I68" i="31" s="1"/>
  <c r="H61" i="60"/>
  <c r="I56" i="69" s="1"/>
  <c r="F58" i="65"/>
  <c r="AI58" i="65" s="1"/>
  <c r="C61" i="50"/>
  <c r="D54" i="69" s="1"/>
  <c r="F55" i="65" s="1"/>
  <c r="AI55" i="65" s="1"/>
  <c r="I36" i="65"/>
  <c r="AL36" i="65" s="1"/>
  <c r="L60" i="59"/>
  <c r="M45" i="69" s="1"/>
  <c r="O44" i="65" s="1"/>
  <c r="AR44" i="65" s="1"/>
  <c r="L59" i="60"/>
  <c r="M36" i="69" s="1"/>
  <c r="O33" i="65" s="1"/>
  <c r="AR33" i="65" s="1"/>
  <c r="M64" i="26"/>
  <c r="I60" i="59"/>
  <c r="J45" i="69" s="1"/>
  <c r="L44" i="65" s="1"/>
  <c r="AO44" i="65" s="1"/>
  <c r="F47" i="65"/>
  <c r="AI47" i="65" s="1"/>
  <c r="C60" i="59"/>
  <c r="D45" i="69" s="1"/>
  <c r="F44" i="65" s="1"/>
  <c r="AI44" i="65" s="1"/>
  <c r="F65" i="30"/>
  <c r="H46" i="65"/>
  <c r="AK46" i="65" s="1"/>
  <c r="G65" i="30"/>
  <c r="I46" i="65"/>
  <c r="AL46" i="65" s="1"/>
  <c r="E65" i="30"/>
  <c r="N65" i="30"/>
  <c r="P46" i="65"/>
  <c r="AS46" i="65" s="1"/>
  <c r="I65" i="30"/>
  <c r="K65" i="30"/>
  <c r="M46" i="65"/>
  <c r="AP46" i="65" s="1"/>
  <c r="N36" i="65"/>
  <c r="AQ36" i="65" s="1"/>
  <c r="M59" i="60"/>
  <c r="N36" i="69" s="1"/>
  <c r="P33" i="65" s="1"/>
  <c r="AS33" i="65" s="1"/>
  <c r="N64" i="26"/>
  <c r="G64" i="26"/>
  <c r="G67" i="26" s="1"/>
  <c r="I59" i="60"/>
  <c r="J36" i="69" s="1"/>
  <c r="L33" i="65" s="1"/>
  <c r="AO33" i="65" s="1"/>
  <c r="D58" i="60"/>
  <c r="E26" i="69" s="1"/>
  <c r="G23" i="65" s="1"/>
  <c r="AJ23" i="65" s="1"/>
  <c r="J64" i="26"/>
  <c r="C59" i="59"/>
  <c r="D35" i="69" s="1"/>
  <c r="K59" i="60"/>
  <c r="L36" i="69" s="1"/>
  <c r="N33" i="65" s="1"/>
  <c r="AQ33" i="65" s="1"/>
  <c r="K64" i="26"/>
  <c r="M36" i="65"/>
  <c r="AP36" i="65" s="1"/>
  <c r="J59" i="60"/>
  <c r="K36" i="69" s="1"/>
  <c r="C75" i="60"/>
  <c r="C43" i="61" s="1"/>
  <c r="P26" i="65"/>
  <c r="AS26" i="65" s="1"/>
  <c r="K60" i="60"/>
  <c r="L46" i="69" s="1"/>
  <c r="E60" i="60"/>
  <c r="F46" i="69" s="1"/>
  <c r="M60" i="60"/>
  <c r="N46" i="69" s="1"/>
  <c r="J46" i="65"/>
  <c r="AM46" i="65" s="1"/>
  <c r="G60" i="60"/>
  <c r="H36" i="65"/>
  <c r="AK36" i="65" s="1"/>
  <c r="F64" i="26"/>
  <c r="E59" i="60"/>
  <c r="F36" i="69" s="1"/>
  <c r="M58" i="60"/>
  <c r="N26" i="69" s="1"/>
  <c r="P23" i="65" s="1"/>
  <c r="AS23" i="65" s="1"/>
  <c r="G36" i="65"/>
  <c r="AJ36" i="65" s="1"/>
  <c r="E64" i="26"/>
  <c r="D59" i="60"/>
  <c r="E36" i="69" s="1"/>
  <c r="F43" i="65"/>
  <c r="AI43" i="65" s="1"/>
  <c r="I33" i="65"/>
  <c r="AL33" i="65" s="1"/>
  <c r="K36" i="65"/>
  <c r="AN36" i="65" s="1"/>
  <c r="I64" i="26"/>
  <c r="H59" i="60"/>
  <c r="I36" i="69" s="1"/>
  <c r="F60" i="60"/>
  <c r="G46" i="69" s="1"/>
  <c r="J60" i="60"/>
  <c r="K46" i="69" s="1"/>
  <c r="F58" i="59"/>
  <c r="G25" i="69" s="1"/>
  <c r="I24" i="65" s="1"/>
  <c r="AL24" i="65" s="1"/>
  <c r="I58" i="60"/>
  <c r="J26" i="69" s="1"/>
  <c r="L23" i="65" s="1"/>
  <c r="AO23" i="65" s="1"/>
  <c r="H26" i="65"/>
  <c r="AK26" i="65" s="1"/>
  <c r="F64" i="25"/>
  <c r="D58" i="59"/>
  <c r="E25" i="69" s="1"/>
  <c r="G24" i="65" s="1"/>
  <c r="AJ24" i="65" s="1"/>
  <c r="J58" i="59"/>
  <c r="K25" i="69" s="1"/>
  <c r="M24" i="65" s="1"/>
  <c r="AP24" i="65" s="1"/>
  <c r="I58" i="59"/>
  <c r="J25" i="69" s="1"/>
  <c r="L24" i="65" s="1"/>
  <c r="AO24" i="65" s="1"/>
  <c r="L58" i="59"/>
  <c r="M25" i="69" s="1"/>
  <c r="O24" i="65" s="1"/>
  <c r="AR24" i="65" s="1"/>
  <c r="H58" i="60"/>
  <c r="I26" i="69" s="1"/>
  <c r="K23" i="65" s="1"/>
  <c r="AN23" i="65" s="1"/>
  <c r="I64" i="25"/>
  <c r="C58" i="59"/>
  <c r="D25" i="69" s="1"/>
  <c r="F27" i="65"/>
  <c r="AI27" i="65" s="1"/>
  <c r="K26" i="65"/>
  <c r="AN26" i="65" s="1"/>
  <c r="E58" i="60"/>
  <c r="F26" i="69" s="1"/>
  <c r="H23" i="65" s="1"/>
  <c r="AK23" i="65" s="1"/>
  <c r="F58" i="60"/>
  <c r="G26" i="69" s="1"/>
  <c r="I16" i="69"/>
  <c r="F13" i="65"/>
  <c r="AI13" i="65" s="1"/>
  <c r="J16" i="69"/>
  <c r="J13" i="65"/>
  <c r="AM13" i="65" s="1"/>
  <c r="K58" i="60"/>
  <c r="L26" i="69" s="1"/>
  <c r="N26" i="65"/>
  <c r="AQ26" i="65" s="1"/>
  <c r="N67" i="23"/>
  <c r="P17" i="65" s="1"/>
  <c r="AS17" i="65" s="1"/>
  <c r="M57" i="59"/>
  <c r="D15" i="69"/>
  <c r="F14" i="65" s="1"/>
  <c r="AI14" i="65" s="1"/>
  <c r="M16" i="69"/>
  <c r="G16" i="69"/>
  <c r="H57" i="59"/>
  <c r="I67" i="23"/>
  <c r="K17" i="65" s="1"/>
  <c r="AN17" i="65" s="1"/>
  <c r="M26" i="65"/>
  <c r="AP26" i="65" s="1"/>
  <c r="J58" i="60"/>
  <c r="K26" i="69" s="1"/>
  <c r="N16" i="69"/>
  <c r="L16" i="69"/>
  <c r="G67" i="23"/>
  <c r="I17" i="65" s="1"/>
  <c r="AL17" i="65" s="1"/>
  <c r="F57" i="59"/>
  <c r="E67" i="23"/>
  <c r="G17" i="65" s="1"/>
  <c r="AJ17" i="65" s="1"/>
  <c r="D57" i="59"/>
  <c r="I57" i="59"/>
  <c r="J67" i="23"/>
  <c r="L17" i="65" s="1"/>
  <c r="AO17" i="65" s="1"/>
  <c r="H15" i="69"/>
  <c r="J14" i="65" s="1"/>
  <c r="AM14" i="65" s="1"/>
  <c r="F16" i="69"/>
  <c r="L67" i="23"/>
  <c r="N17" i="65" s="1"/>
  <c r="AQ17" i="65" s="1"/>
  <c r="K57" i="59"/>
  <c r="K67" i="23"/>
  <c r="M17" i="65" s="1"/>
  <c r="AP17" i="65" s="1"/>
  <c r="J57" i="59"/>
  <c r="E16" i="69"/>
  <c r="L58" i="60"/>
  <c r="M26" i="69" s="1"/>
  <c r="K16" i="69"/>
  <c r="F67" i="23"/>
  <c r="H17" i="65" s="1"/>
  <c r="AK17" i="65" s="1"/>
  <c r="E57" i="59"/>
  <c r="M67" i="23"/>
  <c r="O17" i="65" s="1"/>
  <c r="AR17" i="65" s="1"/>
  <c r="L57" i="59"/>
  <c r="C58" i="50" l="1"/>
  <c r="D93" i="25"/>
  <c r="D94" i="25" s="1"/>
  <c r="G86" i="65"/>
  <c r="AJ86" i="65" s="1"/>
  <c r="L65" i="26"/>
  <c r="L67" i="26"/>
  <c r="N37" i="65" s="1"/>
  <c r="AQ37" i="65" s="1"/>
  <c r="L65" i="25"/>
  <c r="L67" i="25"/>
  <c r="N27" i="65" s="1"/>
  <c r="AQ27" i="65" s="1"/>
  <c r="K58" i="59"/>
  <c r="L25" i="69" s="1"/>
  <c r="N24" i="65" s="1"/>
  <c r="AQ24" i="65" s="1"/>
  <c r="M69" i="30"/>
  <c r="O48" i="65" s="1"/>
  <c r="AR48" i="65" s="1"/>
  <c r="F68" i="32"/>
  <c r="H67" i="65" s="1"/>
  <c r="AK67" i="65" s="1"/>
  <c r="G87" i="65"/>
  <c r="AJ87" i="65" s="1"/>
  <c r="I86" i="65"/>
  <c r="AL86" i="65" s="1"/>
  <c r="J65" i="39"/>
  <c r="H68" i="25"/>
  <c r="J28" i="65" s="1"/>
  <c r="AM28" i="65" s="1"/>
  <c r="H93" i="25"/>
  <c r="H94" i="25" s="1"/>
  <c r="G58" i="50"/>
  <c r="H24" i="69" s="1"/>
  <c r="G65" i="25"/>
  <c r="G67" i="25"/>
  <c r="I27" i="65" s="1"/>
  <c r="AL27" i="65" s="1"/>
  <c r="E65" i="25"/>
  <c r="E67" i="25"/>
  <c r="G27" i="65" s="1"/>
  <c r="AJ27" i="65" s="1"/>
  <c r="L66" i="30"/>
  <c r="L68" i="30"/>
  <c r="N47" i="65" s="1"/>
  <c r="AQ47" i="65" s="1"/>
  <c r="M65" i="25"/>
  <c r="M67" i="25"/>
  <c r="O27" i="65" s="1"/>
  <c r="AR27" i="65" s="1"/>
  <c r="J66" i="32"/>
  <c r="J69" i="32" s="1"/>
  <c r="J68" i="32"/>
  <c r="F87" i="65"/>
  <c r="AI87" i="65" s="1"/>
  <c r="P86" i="65"/>
  <c r="AS86" i="65" s="1"/>
  <c r="G65" i="39"/>
  <c r="K86" i="65"/>
  <c r="AN86" i="65" s="1"/>
  <c r="O86" i="65"/>
  <c r="AR86" i="65" s="1"/>
  <c r="F65" i="25"/>
  <c r="F68" i="25" s="1"/>
  <c r="F67" i="25"/>
  <c r="I65" i="26"/>
  <c r="I68" i="26" s="1"/>
  <c r="I67" i="26"/>
  <c r="K37" i="65" s="1"/>
  <c r="AN37" i="65" s="1"/>
  <c r="N66" i="30"/>
  <c r="N69" i="30" s="1"/>
  <c r="N68" i="30"/>
  <c r="E65" i="26"/>
  <c r="E68" i="26" s="1"/>
  <c r="E67" i="26"/>
  <c r="F65" i="26"/>
  <c r="F68" i="26" s="1"/>
  <c r="F67" i="26"/>
  <c r="K59" i="59"/>
  <c r="L35" i="69" s="1"/>
  <c r="N34" i="65" s="1"/>
  <c r="AQ34" i="65" s="1"/>
  <c r="J65" i="26"/>
  <c r="J68" i="26" s="1"/>
  <c r="J67" i="26"/>
  <c r="N65" i="26"/>
  <c r="N68" i="26" s="1"/>
  <c r="N67" i="26"/>
  <c r="K66" i="30"/>
  <c r="K69" i="30" s="1"/>
  <c r="M48" i="65" s="1"/>
  <c r="AP48" i="65" s="1"/>
  <c r="K68" i="30"/>
  <c r="E66" i="30"/>
  <c r="E68" i="30"/>
  <c r="F66" i="30"/>
  <c r="F69" i="30" s="1"/>
  <c r="H48" i="65" s="1"/>
  <c r="AK48" i="65" s="1"/>
  <c r="F68" i="30"/>
  <c r="K87" i="65"/>
  <c r="AN87" i="65" s="1"/>
  <c r="M87" i="65"/>
  <c r="AP87" i="65" s="1"/>
  <c r="H69" i="31"/>
  <c r="J58" i="65" s="1"/>
  <c r="AM58" i="65" s="1"/>
  <c r="L86" i="65"/>
  <c r="AO86" i="65" s="1"/>
  <c r="N86" i="65"/>
  <c r="AQ86" i="65" s="1"/>
  <c r="N65" i="25"/>
  <c r="N67" i="25"/>
  <c r="P27" i="65" s="1"/>
  <c r="AS27" i="65" s="1"/>
  <c r="G66" i="30"/>
  <c r="G69" i="30" s="1"/>
  <c r="G68" i="30"/>
  <c r="I47" i="65" s="1"/>
  <c r="AL47" i="65" s="1"/>
  <c r="L59" i="59"/>
  <c r="M35" i="69" s="1"/>
  <c r="O34" i="65" s="1"/>
  <c r="AR34" i="65" s="1"/>
  <c r="M67" i="26"/>
  <c r="O37" i="65" s="1"/>
  <c r="AR37" i="65" s="1"/>
  <c r="M86" i="65"/>
  <c r="AP86" i="65" s="1"/>
  <c r="I65" i="25"/>
  <c r="I68" i="25" s="1"/>
  <c r="I67" i="25"/>
  <c r="K27" i="65" s="1"/>
  <c r="AN27" i="65" s="1"/>
  <c r="K65" i="26"/>
  <c r="K68" i="26" s="1"/>
  <c r="K67" i="26"/>
  <c r="I66" i="30"/>
  <c r="I68" i="30"/>
  <c r="K47" i="65" s="1"/>
  <c r="AN47" i="65" s="1"/>
  <c r="J69" i="30"/>
  <c r="L48" i="65" s="1"/>
  <c r="AO48" i="65" s="1"/>
  <c r="H62" i="59"/>
  <c r="I65" i="69" s="1"/>
  <c r="K64" i="65" s="1"/>
  <c r="AN64" i="65" s="1"/>
  <c r="I68" i="32"/>
  <c r="N87" i="65"/>
  <c r="AQ87" i="65" s="1"/>
  <c r="G67" i="39"/>
  <c r="F67" i="39"/>
  <c r="H68" i="39"/>
  <c r="M67" i="39"/>
  <c r="K65" i="25"/>
  <c r="K67" i="25"/>
  <c r="M27" i="65" s="1"/>
  <c r="AP27" i="65" s="1"/>
  <c r="J87" i="65"/>
  <c r="AM87" i="65" s="1"/>
  <c r="H86" i="65"/>
  <c r="AK86" i="65" s="1"/>
  <c r="J65" i="25"/>
  <c r="J67" i="25"/>
  <c r="L27" i="65" s="1"/>
  <c r="AO27" i="65" s="1"/>
  <c r="E67" i="59"/>
  <c r="F115" i="69" s="1"/>
  <c r="H94" i="65" s="1"/>
  <c r="AK94" i="65" s="1"/>
  <c r="G65" i="40"/>
  <c r="E64" i="59"/>
  <c r="F85" i="69" s="1"/>
  <c r="H164" i="65" s="1"/>
  <c r="AK164" i="65" s="1"/>
  <c r="E65" i="41"/>
  <c r="E68" i="41" s="1"/>
  <c r="G108" i="65" s="1"/>
  <c r="AJ108" i="65" s="1"/>
  <c r="E68" i="59"/>
  <c r="F125" i="69" s="1"/>
  <c r="H104" i="65" s="1"/>
  <c r="AK104" i="65" s="1"/>
  <c r="F65" i="40"/>
  <c r="F67" i="41"/>
  <c r="H107" i="65" s="1"/>
  <c r="AK107" i="65" s="1"/>
  <c r="L65" i="35"/>
  <c r="L93" i="35" s="1"/>
  <c r="L94" i="35" s="1"/>
  <c r="J65" i="41"/>
  <c r="J68" i="41" s="1"/>
  <c r="L108" i="65" s="1"/>
  <c r="AO108" i="65" s="1"/>
  <c r="P153" i="65"/>
  <c r="AS153" i="65" s="1"/>
  <c r="N65" i="49"/>
  <c r="N67" i="49"/>
  <c r="M73" i="59"/>
  <c r="N175" i="69" s="1"/>
  <c r="P154" i="65" s="1"/>
  <c r="AS154" i="65" s="1"/>
  <c r="M65" i="49"/>
  <c r="M67" i="49"/>
  <c r="L73" i="59"/>
  <c r="M175" i="69" s="1"/>
  <c r="O154" i="65" s="1"/>
  <c r="AR154" i="65" s="1"/>
  <c r="O153" i="65"/>
  <c r="AR153" i="65" s="1"/>
  <c r="L67" i="49"/>
  <c r="L65" i="49"/>
  <c r="K73" i="59"/>
  <c r="L175" i="69" s="1"/>
  <c r="N154" i="65" s="1"/>
  <c r="AQ154" i="65" s="1"/>
  <c r="N153" i="65"/>
  <c r="AQ153" i="65" s="1"/>
  <c r="M153" i="65"/>
  <c r="AP153" i="65" s="1"/>
  <c r="K67" i="49"/>
  <c r="K65" i="49"/>
  <c r="J73" i="59"/>
  <c r="K175" i="69" s="1"/>
  <c r="M154" i="65" s="1"/>
  <c r="AP154" i="65" s="1"/>
  <c r="L153" i="65"/>
  <c r="AO153" i="65" s="1"/>
  <c r="J65" i="49"/>
  <c r="J67" i="49"/>
  <c r="I73" i="59"/>
  <c r="J175" i="69" s="1"/>
  <c r="L154" i="65" s="1"/>
  <c r="AO154" i="65" s="1"/>
  <c r="K153" i="65"/>
  <c r="AN153" i="65" s="1"/>
  <c r="I65" i="49"/>
  <c r="I67" i="49"/>
  <c r="H73" i="59"/>
  <c r="I175" i="69" s="1"/>
  <c r="K154" i="65" s="1"/>
  <c r="AN154" i="65" s="1"/>
  <c r="H68" i="49"/>
  <c r="G73" i="50"/>
  <c r="H174" i="69" s="1"/>
  <c r="J155" i="65" s="1"/>
  <c r="AM155" i="65" s="1"/>
  <c r="G61" i="50"/>
  <c r="H54" i="69" s="1"/>
  <c r="H60" i="69" s="1"/>
  <c r="J153" i="65"/>
  <c r="AM153" i="65" s="1"/>
  <c r="H180" i="69"/>
  <c r="G68" i="49"/>
  <c r="F73" i="50"/>
  <c r="G174" i="69" s="1"/>
  <c r="I155" i="65" s="1"/>
  <c r="AL155" i="65" s="1"/>
  <c r="H153" i="65"/>
  <c r="AK153" i="65" s="1"/>
  <c r="F67" i="49"/>
  <c r="F65" i="49"/>
  <c r="E73" i="59"/>
  <c r="F175" i="69" s="1"/>
  <c r="H154" i="65" s="1"/>
  <c r="AK154" i="65" s="1"/>
  <c r="E68" i="49"/>
  <c r="D73" i="50"/>
  <c r="E174" i="69" s="1"/>
  <c r="G155" i="65" s="1"/>
  <c r="AJ155" i="65" s="1"/>
  <c r="D68" i="33"/>
  <c r="F78" i="65" s="1"/>
  <c r="AI78" i="65" s="1"/>
  <c r="D68" i="49"/>
  <c r="C73" i="50"/>
  <c r="D174" i="69" s="1"/>
  <c r="F155" i="65" s="1"/>
  <c r="AI155" i="65" s="1"/>
  <c r="M67" i="48"/>
  <c r="M65" i="48"/>
  <c r="L72" i="59"/>
  <c r="M165" i="69" s="1"/>
  <c r="O144" i="65" s="1"/>
  <c r="AR144" i="65" s="1"/>
  <c r="F65" i="34"/>
  <c r="F68" i="34" s="1"/>
  <c r="F143" i="65"/>
  <c r="AI143" i="65" s="1"/>
  <c r="D68" i="48"/>
  <c r="C72" i="50"/>
  <c r="D164" i="69" s="1"/>
  <c r="F145" i="65" s="1"/>
  <c r="AI145" i="65" s="1"/>
  <c r="M143" i="65"/>
  <c r="AP143" i="65" s="1"/>
  <c r="N143" i="65"/>
  <c r="AQ143" i="65" s="1"/>
  <c r="G67" i="48"/>
  <c r="G65" i="48"/>
  <c r="F72" i="59"/>
  <c r="G165" i="69" s="1"/>
  <c r="I144" i="65" s="1"/>
  <c r="AL144" i="65" s="1"/>
  <c r="F67" i="48"/>
  <c r="F65" i="48"/>
  <c r="E72" i="59"/>
  <c r="F165" i="69" s="1"/>
  <c r="H144" i="65" s="1"/>
  <c r="AK144" i="65" s="1"/>
  <c r="J67" i="48"/>
  <c r="J65" i="48"/>
  <c r="I72" i="59"/>
  <c r="J165" i="69" s="1"/>
  <c r="L144" i="65" s="1"/>
  <c r="AO144" i="65" s="1"/>
  <c r="I65" i="40"/>
  <c r="I68" i="40" s="1"/>
  <c r="K98" i="65" s="1"/>
  <c r="AN98" i="65" s="1"/>
  <c r="I122" i="79"/>
  <c r="I166" i="69"/>
  <c r="P143" i="65"/>
  <c r="AS143" i="65" s="1"/>
  <c r="K67" i="48"/>
  <c r="K65" i="48"/>
  <c r="J72" i="59"/>
  <c r="K165" i="69" s="1"/>
  <c r="M144" i="65" s="1"/>
  <c r="AP144" i="65" s="1"/>
  <c r="G143" i="65"/>
  <c r="AJ143" i="65" s="1"/>
  <c r="L67" i="48"/>
  <c r="L65" i="48"/>
  <c r="K72" i="59"/>
  <c r="L165" i="69" s="1"/>
  <c r="N144" i="65" s="1"/>
  <c r="AQ144" i="65" s="1"/>
  <c r="I143" i="65"/>
  <c r="AL143" i="65" s="1"/>
  <c r="N65" i="40"/>
  <c r="N68" i="40" s="1"/>
  <c r="P98" i="65" s="1"/>
  <c r="AS98" i="65" s="1"/>
  <c r="J68" i="59"/>
  <c r="K125" i="69" s="1"/>
  <c r="M104" i="65" s="1"/>
  <c r="AP104" i="65" s="1"/>
  <c r="H68" i="48"/>
  <c r="G72" i="50"/>
  <c r="H164" i="69" s="1"/>
  <c r="O143" i="65"/>
  <c r="AR143" i="65" s="1"/>
  <c r="I67" i="48"/>
  <c r="I65" i="48"/>
  <c r="H72" i="59"/>
  <c r="I165" i="69" s="1"/>
  <c r="K144" i="65" s="1"/>
  <c r="AN144" i="65" s="1"/>
  <c r="H143" i="65"/>
  <c r="AK143" i="65" s="1"/>
  <c r="N67" i="48"/>
  <c r="N65" i="48"/>
  <c r="M72" i="59"/>
  <c r="N165" i="69" s="1"/>
  <c r="P144" i="65" s="1"/>
  <c r="AS144" i="65" s="1"/>
  <c r="E67" i="48"/>
  <c r="E65" i="48"/>
  <c r="D72" i="59"/>
  <c r="E165" i="69" s="1"/>
  <c r="G144" i="65" s="1"/>
  <c r="AJ144" i="65" s="1"/>
  <c r="L143" i="65"/>
  <c r="AO143" i="65" s="1"/>
  <c r="F133" i="65"/>
  <c r="AI133" i="65" s="1"/>
  <c r="H133" i="65"/>
  <c r="AK133" i="65" s="1"/>
  <c r="K133" i="65"/>
  <c r="AN133" i="65" s="1"/>
  <c r="P133" i="65"/>
  <c r="AS133" i="65" s="1"/>
  <c r="L67" i="47"/>
  <c r="L65" i="47"/>
  <c r="K71" i="59"/>
  <c r="L155" i="69" s="1"/>
  <c r="N134" i="65" s="1"/>
  <c r="AQ134" i="65" s="1"/>
  <c r="J67" i="41"/>
  <c r="L107" i="65" s="1"/>
  <c r="AO107" i="65" s="1"/>
  <c r="O133" i="65"/>
  <c r="AR133" i="65" s="1"/>
  <c r="F67" i="47"/>
  <c r="F65" i="47"/>
  <c r="E71" i="59"/>
  <c r="F155" i="69" s="1"/>
  <c r="H134" i="65" s="1"/>
  <c r="AK134" i="65" s="1"/>
  <c r="I67" i="47"/>
  <c r="I65" i="47"/>
  <c r="H71" i="59"/>
  <c r="I155" i="69" s="1"/>
  <c r="K134" i="65" s="1"/>
  <c r="AN134" i="65" s="1"/>
  <c r="L133" i="65"/>
  <c r="AO133" i="65" s="1"/>
  <c r="N67" i="47"/>
  <c r="N65" i="47"/>
  <c r="M71" i="59"/>
  <c r="N155" i="69" s="1"/>
  <c r="P134" i="65" s="1"/>
  <c r="AS134" i="65" s="1"/>
  <c r="G67" i="47"/>
  <c r="G65" i="47"/>
  <c r="F71" i="59"/>
  <c r="G155" i="69" s="1"/>
  <c r="I134" i="65" s="1"/>
  <c r="AL134" i="65" s="1"/>
  <c r="M133" i="65"/>
  <c r="AP133" i="65" s="1"/>
  <c r="G133" i="65"/>
  <c r="AJ133" i="65" s="1"/>
  <c r="M67" i="47"/>
  <c r="M65" i="47"/>
  <c r="L71" i="59"/>
  <c r="M155" i="69" s="1"/>
  <c r="O134" i="65" s="1"/>
  <c r="AR134" i="65" s="1"/>
  <c r="J67" i="47"/>
  <c r="J65" i="47"/>
  <c r="I71" i="59"/>
  <c r="J155" i="69" s="1"/>
  <c r="L134" i="65" s="1"/>
  <c r="AO134" i="65" s="1"/>
  <c r="K67" i="47"/>
  <c r="K65" i="47"/>
  <c r="J71" i="59"/>
  <c r="K155" i="69" s="1"/>
  <c r="M134" i="65" s="1"/>
  <c r="AP134" i="65" s="1"/>
  <c r="D150" i="69"/>
  <c r="H68" i="47"/>
  <c r="G71" i="50"/>
  <c r="H154" i="69" s="1"/>
  <c r="J135" i="65" s="1"/>
  <c r="AM135" i="65" s="1"/>
  <c r="E67" i="47"/>
  <c r="E65" i="47"/>
  <c r="D71" i="59"/>
  <c r="E155" i="69" s="1"/>
  <c r="G134" i="65" s="1"/>
  <c r="AJ134" i="65" s="1"/>
  <c r="H160" i="69"/>
  <c r="I133" i="65"/>
  <c r="AL133" i="65" s="1"/>
  <c r="N133" i="65"/>
  <c r="AQ133" i="65" s="1"/>
  <c r="D68" i="47"/>
  <c r="C71" i="50"/>
  <c r="D154" i="69" s="1"/>
  <c r="F135" i="65" s="1"/>
  <c r="AI135" i="65" s="1"/>
  <c r="I67" i="46"/>
  <c r="I65" i="46"/>
  <c r="H70" i="59"/>
  <c r="I145" i="69" s="1"/>
  <c r="K124" i="65" s="1"/>
  <c r="AN124" i="65" s="1"/>
  <c r="E67" i="41"/>
  <c r="G107" i="65" s="1"/>
  <c r="AJ107" i="65" s="1"/>
  <c r="H68" i="59"/>
  <c r="I125" i="69" s="1"/>
  <c r="K104" i="65" s="1"/>
  <c r="AN104" i="65" s="1"/>
  <c r="M123" i="65"/>
  <c r="AP123" i="65" s="1"/>
  <c r="J67" i="46"/>
  <c r="J65" i="46"/>
  <c r="I70" i="59"/>
  <c r="J145" i="69" s="1"/>
  <c r="L124" i="65" s="1"/>
  <c r="AO124" i="65" s="1"/>
  <c r="G67" i="46"/>
  <c r="G65" i="46"/>
  <c r="F70" i="59"/>
  <c r="G145" i="69" s="1"/>
  <c r="I124" i="65" s="1"/>
  <c r="AL124" i="65" s="1"/>
  <c r="N67" i="46"/>
  <c r="N65" i="46"/>
  <c r="M70" i="59"/>
  <c r="N145" i="69" s="1"/>
  <c r="P124" i="65" s="1"/>
  <c r="AS124" i="65" s="1"/>
  <c r="H123" i="65"/>
  <c r="AK123" i="65" s="1"/>
  <c r="G123" i="65"/>
  <c r="AJ123" i="65" s="1"/>
  <c r="L123" i="65"/>
  <c r="AO123" i="65" s="1"/>
  <c r="I123" i="65"/>
  <c r="AL123" i="65" s="1"/>
  <c r="P123" i="65"/>
  <c r="AS123" i="65" s="1"/>
  <c r="L67" i="46"/>
  <c r="L65" i="46"/>
  <c r="K70" i="59"/>
  <c r="L145" i="69" s="1"/>
  <c r="N124" i="65" s="1"/>
  <c r="AQ124" i="65" s="1"/>
  <c r="M67" i="59"/>
  <c r="N115" i="69" s="1"/>
  <c r="P94" i="65" s="1"/>
  <c r="AS94" i="65" s="1"/>
  <c r="I65" i="41"/>
  <c r="I68" i="41" s="1"/>
  <c r="K108" i="65" s="1"/>
  <c r="AN108" i="65" s="1"/>
  <c r="K67" i="46"/>
  <c r="K65" i="46"/>
  <c r="J70" i="59"/>
  <c r="K145" i="69" s="1"/>
  <c r="M124" i="65" s="1"/>
  <c r="AP124" i="65" s="1"/>
  <c r="J125" i="65"/>
  <c r="AM125" i="65" s="1"/>
  <c r="H150" i="69"/>
  <c r="O123" i="65"/>
  <c r="AR123" i="65" s="1"/>
  <c r="F67" i="46"/>
  <c r="F65" i="46"/>
  <c r="E70" i="59"/>
  <c r="F145" i="69" s="1"/>
  <c r="H124" i="65" s="1"/>
  <c r="AK124" i="65" s="1"/>
  <c r="E67" i="46"/>
  <c r="E65" i="46"/>
  <c r="D70" i="59"/>
  <c r="E145" i="69" s="1"/>
  <c r="G124" i="65" s="1"/>
  <c r="AJ124" i="65" s="1"/>
  <c r="K123" i="65"/>
  <c r="AN123" i="65" s="1"/>
  <c r="N123" i="65"/>
  <c r="AQ123" i="65" s="1"/>
  <c r="M67" i="46"/>
  <c r="M65" i="46"/>
  <c r="L70" i="59"/>
  <c r="M145" i="69" s="1"/>
  <c r="O124" i="65" s="1"/>
  <c r="AR124" i="65" s="1"/>
  <c r="I113" i="65"/>
  <c r="AL113" i="65" s="1"/>
  <c r="N67" i="42"/>
  <c r="P117" i="65" s="1"/>
  <c r="AS117" i="65" s="1"/>
  <c r="N65" i="42"/>
  <c r="M69" i="59"/>
  <c r="N135" i="69" s="1"/>
  <c r="P114" i="65" s="1"/>
  <c r="AS114" i="65" s="1"/>
  <c r="N67" i="34"/>
  <c r="K65" i="40"/>
  <c r="J67" i="50" s="1"/>
  <c r="K114" i="69" s="1"/>
  <c r="M95" i="65" s="1"/>
  <c r="AP95" i="65" s="1"/>
  <c r="H113" i="65"/>
  <c r="AK113" i="65" s="1"/>
  <c r="N113" i="65"/>
  <c r="AQ113" i="65" s="1"/>
  <c r="G65" i="42"/>
  <c r="G67" i="42"/>
  <c r="I117" i="65" s="1"/>
  <c r="AL117" i="65" s="1"/>
  <c r="F69" i="59"/>
  <c r="G135" i="69" s="1"/>
  <c r="I114" i="65" s="1"/>
  <c r="AL114" i="65" s="1"/>
  <c r="E65" i="42"/>
  <c r="E67" i="42"/>
  <c r="G117" i="65" s="1"/>
  <c r="AJ117" i="65" s="1"/>
  <c r="D69" i="59"/>
  <c r="E135" i="69" s="1"/>
  <c r="G114" i="65" s="1"/>
  <c r="AJ114" i="65" s="1"/>
  <c r="K113" i="65"/>
  <c r="AN113" i="65" s="1"/>
  <c r="K67" i="42"/>
  <c r="M117" i="65" s="1"/>
  <c r="AP117" i="65" s="1"/>
  <c r="K65" i="42"/>
  <c r="J69" i="59"/>
  <c r="K135" i="69" s="1"/>
  <c r="M114" i="65" s="1"/>
  <c r="AP114" i="65" s="1"/>
  <c r="G113" i="65"/>
  <c r="AJ113" i="65" s="1"/>
  <c r="M113" i="65"/>
  <c r="AP113" i="65" s="1"/>
  <c r="J67" i="42"/>
  <c r="L117" i="65" s="1"/>
  <c r="AO117" i="65" s="1"/>
  <c r="J65" i="42"/>
  <c r="I69" i="59"/>
  <c r="J135" i="69" s="1"/>
  <c r="L114" i="65" s="1"/>
  <c r="AO114" i="65" s="1"/>
  <c r="L66" i="59"/>
  <c r="M105" i="69" s="1"/>
  <c r="O84" i="65" s="1"/>
  <c r="AR84" i="65" s="1"/>
  <c r="J115" i="65"/>
  <c r="AM115" i="65" s="1"/>
  <c r="H140" i="69"/>
  <c r="O113" i="65"/>
  <c r="AR113" i="65" s="1"/>
  <c r="F67" i="42"/>
  <c r="H117" i="65" s="1"/>
  <c r="AK117" i="65" s="1"/>
  <c r="F65" i="42"/>
  <c r="E69" i="59"/>
  <c r="F135" i="69" s="1"/>
  <c r="H114" i="65" s="1"/>
  <c r="AK114" i="65" s="1"/>
  <c r="L67" i="42"/>
  <c r="N117" i="65" s="1"/>
  <c r="AQ117" i="65" s="1"/>
  <c r="L65" i="42"/>
  <c r="K69" i="59"/>
  <c r="L135" i="69" s="1"/>
  <c r="N114" i="65" s="1"/>
  <c r="AQ114" i="65" s="1"/>
  <c r="I65" i="42"/>
  <c r="I67" i="42"/>
  <c r="K117" i="65" s="1"/>
  <c r="AN117" i="65" s="1"/>
  <c r="H69" i="59"/>
  <c r="I135" i="69" s="1"/>
  <c r="K114" i="65" s="1"/>
  <c r="AN114" i="65" s="1"/>
  <c r="M65" i="42"/>
  <c r="M67" i="42"/>
  <c r="O117" i="65" s="1"/>
  <c r="AR117" i="65" s="1"/>
  <c r="L69" i="59"/>
  <c r="M135" i="69" s="1"/>
  <c r="O114" i="65" s="1"/>
  <c r="AR114" i="65" s="1"/>
  <c r="P113" i="65"/>
  <c r="AS113" i="65" s="1"/>
  <c r="L113" i="65"/>
  <c r="AO113" i="65" s="1"/>
  <c r="D68" i="42"/>
  <c r="F118" i="65" s="1"/>
  <c r="AI118" i="65" s="1"/>
  <c r="C69" i="50"/>
  <c r="D134" i="69" s="1"/>
  <c r="L68" i="41"/>
  <c r="N108" i="65" s="1"/>
  <c r="AQ108" i="65" s="1"/>
  <c r="K68" i="50"/>
  <c r="L124" i="69" s="1"/>
  <c r="M65" i="39"/>
  <c r="I67" i="40"/>
  <c r="K97" i="65" s="1"/>
  <c r="AN97" i="65" s="1"/>
  <c r="F103" i="65"/>
  <c r="AI103" i="65" s="1"/>
  <c r="K68" i="41"/>
  <c r="M108" i="65" s="1"/>
  <c r="AP108" i="65" s="1"/>
  <c r="J68" i="50"/>
  <c r="K124" i="69" s="1"/>
  <c r="M105" i="65" s="1"/>
  <c r="AP105" i="65" s="1"/>
  <c r="D68" i="41"/>
  <c r="F108" i="65" s="1"/>
  <c r="AI108" i="65" s="1"/>
  <c r="C68" i="50"/>
  <c r="D124" i="69" s="1"/>
  <c r="F105" i="65" s="1"/>
  <c r="AI105" i="65" s="1"/>
  <c r="N68" i="41"/>
  <c r="P108" i="65" s="1"/>
  <c r="AS108" i="65" s="1"/>
  <c r="M68" i="50"/>
  <c r="N124" i="69" s="1"/>
  <c r="P105" i="65" s="1"/>
  <c r="AS105" i="65" s="1"/>
  <c r="F68" i="41"/>
  <c r="H108" i="65" s="1"/>
  <c r="AK108" i="65" s="1"/>
  <c r="E68" i="50"/>
  <c r="F124" i="69" s="1"/>
  <c r="H105" i="65" s="1"/>
  <c r="AK105" i="65" s="1"/>
  <c r="G67" i="41"/>
  <c r="I107" i="65" s="1"/>
  <c r="AL107" i="65" s="1"/>
  <c r="G65" i="41"/>
  <c r="F68" i="59"/>
  <c r="G125" i="69" s="1"/>
  <c r="I104" i="65" s="1"/>
  <c r="AL104" i="65" s="1"/>
  <c r="H68" i="41"/>
  <c r="J108" i="65" s="1"/>
  <c r="AM108" i="65" s="1"/>
  <c r="G68" i="50"/>
  <c r="H124" i="69" s="1"/>
  <c r="J105" i="65" s="1"/>
  <c r="AM105" i="65" s="1"/>
  <c r="I103" i="65"/>
  <c r="AL103" i="65" s="1"/>
  <c r="D93" i="33"/>
  <c r="D94" i="33" s="1"/>
  <c r="O103" i="65"/>
  <c r="AR103" i="65" s="1"/>
  <c r="M67" i="41"/>
  <c r="O107" i="65" s="1"/>
  <c r="AR107" i="65" s="1"/>
  <c r="M65" i="41"/>
  <c r="L68" i="59"/>
  <c r="M125" i="69" s="1"/>
  <c r="O104" i="65" s="1"/>
  <c r="AR104" i="65" s="1"/>
  <c r="F66" i="59"/>
  <c r="G105" i="69" s="1"/>
  <c r="I84" i="65" s="1"/>
  <c r="AL84" i="65" s="1"/>
  <c r="I66" i="59"/>
  <c r="J105" i="69" s="1"/>
  <c r="L84" i="65" s="1"/>
  <c r="AO84" i="65" s="1"/>
  <c r="J68" i="40"/>
  <c r="L98" i="65" s="1"/>
  <c r="AO98" i="65" s="1"/>
  <c r="I67" i="50"/>
  <c r="J114" i="69" s="1"/>
  <c r="L95" i="65" s="1"/>
  <c r="AO95" i="65" s="1"/>
  <c r="L68" i="40"/>
  <c r="N98" i="65" s="1"/>
  <c r="AQ98" i="65" s="1"/>
  <c r="K67" i="50"/>
  <c r="L114" i="69" s="1"/>
  <c r="J67" i="39"/>
  <c r="J95" i="65"/>
  <c r="AM95" i="65" s="1"/>
  <c r="H120" i="69"/>
  <c r="E68" i="40"/>
  <c r="G98" i="65" s="1"/>
  <c r="AJ98" i="65" s="1"/>
  <c r="D67" i="50"/>
  <c r="E114" i="69" s="1"/>
  <c r="F68" i="40"/>
  <c r="H98" i="65" s="1"/>
  <c r="AK98" i="65" s="1"/>
  <c r="E67" i="50"/>
  <c r="F114" i="69" s="1"/>
  <c r="H95" i="65" s="1"/>
  <c r="AK95" i="65" s="1"/>
  <c r="M68" i="40"/>
  <c r="O98" i="65" s="1"/>
  <c r="AR98" i="65" s="1"/>
  <c r="L67" i="50"/>
  <c r="M114" i="69" s="1"/>
  <c r="G68" i="40"/>
  <c r="I98" i="65" s="1"/>
  <c r="AL98" i="65" s="1"/>
  <c r="F67" i="50"/>
  <c r="G114" i="69" s="1"/>
  <c r="I95" i="65" s="1"/>
  <c r="AL95" i="65" s="1"/>
  <c r="L65" i="34"/>
  <c r="K64" i="50" s="1"/>
  <c r="L84" i="69" s="1"/>
  <c r="N165" i="65" s="1"/>
  <c r="AQ165" i="65" s="1"/>
  <c r="D90" i="69"/>
  <c r="D120" i="69"/>
  <c r="E66" i="59"/>
  <c r="F105" i="69" s="1"/>
  <c r="H84" i="65" s="1"/>
  <c r="AK84" i="65" s="1"/>
  <c r="G66" i="50"/>
  <c r="H104" i="69" s="1"/>
  <c r="J85" i="65" s="1"/>
  <c r="AM85" i="65" s="1"/>
  <c r="K64" i="59"/>
  <c r="L85" i="69" s="1"/>
  <c r="N164" i="65" s="1"/>
  <c r="AQ164" i="65" s="1"/>
  <c r="F65" i="39"/>
  <c r="H93" i="39"/>
  <c r="H94" i="39" s="1"/>
  <c r="I66" i="32"/>
  <c r="F64" i="59"/>
  <c r="G85" i="69" s="1"/>
  <c r="I164" i="65" s="1"/>
  <c r="AL164" i="65" s="1"/>
  <c r="F65" i="59"/>
  <c r="G95" i="69" s="1"/>
  <c r="I174" i="65" s="1"/>
  <c r="AL174" i="65" s="1"/>
  <c r="G67" i="34"/>
  <c r="G65" i="35"/>
  <c r="F65" i="50" s="1"/>
  <c r="G94" i="69" s="1"/>
  <c r="I175" i="65" s="1"/>
  <c r="AL175" i="65" s="1"/>
  <c r="L64" i="59"/>
  <c r="M85" i="69" s="1"/>
  <c r="O164" i="65" s="1"/>
  <c r="AR164" i="65" s="1"/>
  <c r="M65" i="34"/>
  <c r="M93" i="34" s="1"/>
  <c r="M94" i="34" s="1"/>
  <c r="N65" i="34"/>
  <c r="M64" i="50" s="1"/>
  <c r="N84" i="69" s="1"/>
  <c r="K67" i="65"/>
  <c r="AN67" i="65" s="1"/>
  <c r="H64" i="59"/>
  <c r="I85" i="69" s="1"/>
  <c r="K164" i="65" s="1"/>
  <c r="AN164" i="65" s="1"/>
  <c r="I65" i="34"/>
  <c r="I68" i="34" s="1"/>
  <c r="L67" i="65"/>
  <c r="AO67" i="65" s="1"/>
  <c r="I68" i="39"/>
  <c r="H66" i="50"/>
  <c r="I104" i="69" s="1"/>
  <c r="K85" i="65" s="1"/>
  <c r="AN85" i="65" s="1"/>
  <c r="I93" i="39"/>
  <c r="I94" i="39" s="1"/>
  <c r="D68" i="39"/>
  <c r="D93" i="39"/>
  <c r="D94" i="39" s="1"/>
  <c r="C66" i="50"/>
  <c r="D104" i="69" s="1"/>
  <c r="F85" i="65" s="1"/>
  <c r="AI85" i="65" s="1"/>
  <c r="J68" i="39"/>
  <c r="I62" i="59"/>
  <c r="J65" i="69" s="1"/>
  <c r="L64" i="65" s="1"/>
  <c r="AO64" i="65" s="1"/>
  <c r="L68" i="39"/>
  <c r="L93" i="39"/>
  <c r="L94" i="39" s="1"/>
  <c r="K66" i="50"/>
  <c r="L104" i="69" s="1"/>
  <c r="N85" i="65" s="1"/>
  <c r="AQ85" i="65" s="1"/>
  <c r="E68" i="39"/>
  <c r="E93" i="39"/>
  <c r="E94" i="39" s="1"/>
  <c r="D66" i="50"/>
  <c r="E104" i="69" s="1"/>
  <c r="G85" i="65" s="1"/>
  <c r="AJ85" i="65" s="1"/>
  <c r="P83" i="65"/>
  <c r="AS83" i="65" s="1"/>
  <c r="F66" i="50"/>
  <c r="G104" i="69" s="1"/>
  <c r="I85" i="65" s="1"/>
  <c r="AL85" i="65" s="1"/>
  <c r="N67" i="39"/>
  <c r="N65" i="39"/>
  <c r="M66" i="59"/>
  <c r="N105" i="69" s="1"/>
  <c r="P84" i="65" s="1"/>
  <c r="AS84" i="65" s="1"/>
  <c r="K68" i="39"/>
  <c r="J66" i="50"/>
  <c r="K104" i="69" s="1"/>
  <c r="K93" i="39"/>
  <c r="K94" i="39" s="1"/>
  <c r="H173" i="65"/>
  <c r="AK173" i="65" s="1"/>
  <c r="E68" i="35"/>
  <c r="D65" i="50"/>
  <c r="E94" i="69" s="1"/>
  <c r="E93" i="35"/>
  <c r="E94" i="35" s="1"/>
  <c r="M67" i="35"/>
  <c r="M65" i="35"/>
  <c r="L65" i="59"/>
  <c r="M95" i="69" s="1"/>
  <c r="O174" i="65" s="1"/>
  <c r="AR174" i="65" s="1"/>
  <c r="F67" i="35"/>
  <c r="F65" i="35"/>
  <c r="E65" i="59"/>
  <c r="F95" i="69" s="1"/>
  <c r="H174" i="65" s="1"/>
  <c r="AK174" i="65" s="1"/>
  <c r="H100" i="69"/>
  <c r="M173" i="65"/>
  <c r="AP173" i="65" s="1"/>
  <c r="J67" i="35"/>
  <c r="J65" i="35"/>
  <c r="I65" i="59"/>
  <c r="J95" i="69" s="1"/>
  <c r="L174" i="65" s="1"/>
  <c r="AO174" i="65" s="1"/>
  <c r="P173" i="65"/>
  <c r="AS173" i="65" s="1"/>
  <c r="L173" i="65"/>
  <c r="AO173" i="65" s="1"/>
  <c r="K173" i="65"/>
  <c r="AN173" i="65" s="1"/>
  <c r="D68" i="35"/>
  <c r="C65" i="50"/>
  <c r="D94" i="69" s="1"/>
  <c r="F175" i="65" s="1"/>
  <c r="AI175" i="65" s="1"/>
  <c r="D93" i="35"/>
  <c r="D94" i="35" s="1"/>
  <c r="N67" i="35"/>
  <c r="N65" i="35"/>
  <c r="M65" i="59"/>
  <c r="N95" i="69" s="1"/>
  <c r="P174" i="65" s="1"/>
  <c r="AS174" i="65" s="1"/>
  <c r="I67" i="35"/>
  <c r="I65" i="35"/>
  <c r="H65" i="59"/>
  <c r="I95" i="69" s="1"/>
  <c r="K174" i="65" s="1"/>
  <c r="AN174" i="65" s="1"/>
  <c r="O173" i="65"/>
  <c r="AR173" i="65" s="1"/>
  <c r="K67" i="35"/>
  <c r="K65" i="35"/>
  <c r="J65" i="59"/>
  <c r="K95" i="69" s="1"/>
  <c r="M174" i="65" s="1"/>
  <c r="AP174" i="65" s="1"/>
  <c r="G75" i="59"/>
  <c r="G90" i="59" s="1"/>
  <c r="E62" i="59"/>
  <c r="F65" i="69" s="1"/>
  <c r="H64" i="65" s="1"/>
  <c r="AK64" i="65" s="1"/>
  <c r="G68" i="34"/>
  <c r="F64" i="50"/>
  <c r="G84" i="69" s="1"/>
  <c r="I165" i="65" s="1"/>
  <c r="AL165" i="65" s="1"/>
  <c r="G93" i="34"/>
  <c r="G94" i="34" s="1"/>
  <c r="E68" i="34"/>
  <c r="E93" i="34"/>
  <c r="E94" i="34" s="1"/>
  <c r="D64" i="50"/>
  <c r="E84" i="69" s="1"/>
  <c r="G165" i="65" s="1"/>
  <c r="AJ165" i="65" s="1"/>
  <c r="L163" i="65"/>
  <c r="AO163" i="65" s="1"/>
  <c r="H68" i="34"/>
  <c r="G64" i="50"/>
  <c r="H84" i="69" s="1"/>
  <c r="J165" i="65" s="1"/>
  <c r="AM165" i="65" s="1"/>
  <c r="H93" i="34"/>
  <c r="H94" i="34" s="1"/>
  <c r="K68" i="34"/>
  <c r="J64" i="50"/>
  <c r="K84" i="69" s="1"/>
  <c r="M165" i="65" s="1"/>
  <c r="AP165" i="65" s="1"/>
  <c r="K93" i="34"/>
  <c r="K94" i="34" s="1"/>
  <c r="J65" i="34"/>
  <c r="J67" i="34"/>
  <c r="I64" i="59"/>
  <c r="J85" i="69" s="1"/>
  <c r="L164" i="65" s="1"/>
  <c r="AO164" i="65" s="1"/>
  <c r="L73" i="65"/>
  <c r="AO73" i="65" s="1"/>
  <c r="K73" i="65"/>
  <c r="AN73" i="65" s="1"/>
  <c r="L68" i="33"/>
  <c r="N78" i="65" s="1"/>
  <c r="AQ78" i="65" s="1"/>
  <c r="K63" i="50"/>
  <c r="L74" i="69" s="1"/>
  <c r="L93" i="33"/>
  <c r="L94" i="33" s="1"/>
  <c r="J65" i="33"/>
  <c r="J67" i="33"/>
  <c r="L77" i="65" s="1"/>
  <c r="AO77" i="65" s="1"/>
  <c r="I63" i="59"/>
  <c r="J75" i="69" s="1"/>
  <c r="L74" i="65" s="1"/>
  <c r="AO74" i="65" s="1"/>
  <c r="D80" i="69"/>
  <c r="I73" i="65"/>
  <c r="AL73" i="65" s="1"/>
  <c r="O73" i="65"/>
  <c r="AR73" i="65" s="1"/>
  <c r="F66" i="32"/>
  <c r="H73" i="65"/>
  <c r="AK73" i="65" s="1"/>
  <c r="P73" i="65"/>
  <c r="AS73" i="65" s="1"/>
  <c r="G65" i="33"/>
  <c r="G67" i="33"/>
  <c r="I77" i="65" s="1"/>
  <c r="AL77" i="65" s="1"/>
  <c r="F63" i="59"/>
  <c r="G75" i="69" s="1"/>
  <c r="I74" i="65" s="1"/>
  <c r="AL74" i="65" s="1"/>
  <c r="I65" i="33"/>
  <c r="I67" i="33"/>
  <c r="K77" i="65" s="1"/>
  <c r="AN77" i="65" s="1"/>
  <c r="H63" i="59"/>
  <c r="I75" i="69" s="1"/>
  <c r="K74" i="65" s="1"/>
  <c r="AN74" i="65" s="1"/>
  <c r="K68" i="33"/>
  <c r="M78" i="65" s="1"/>
  <c r="AP78" i="65" s="1"/>
  <c r="K93" i="33"/>
  <c r="K94" i="33" s="1"/>
  <c r="J63" i="50"/>
  <c r="K74" i="69" s="1"/>
  <c r="H68" i="33"/>
  <c r="J78" i="65" s="1"/>
  <c r="AM78" i="65" s="1"/>
  <c r="G63" i="50"/>
  <c r="H74" i="69" s="1"/>
  <c r="H93" i="33"/>
  <c r="H94" i="33" s="1"/>
  <c r="E68" i="33"/>
  <c r="G78" i="65" s="1"/>
  <c r="AJ78" i="65" s="1"/>
  <c r="E93" i="33"/>
  <c r="E94" i="33" s="1"/>
  <c r="D63" i="50"/>
  <c r="E74" i="69" s="1"/>
  <c r="F65" i="33"/>
  <c r="F67" i="33"/>
  <c r="H77" i="65" s="1"/>
  <c r="AK77" i="65" s="1"/>
  <c r="E63" i="59"/>
  <c r="F75" i="69" s="1"/>
  <c r="H74" i="65" s="1"/>
  <c r="AK74" i="65" s="1"/>
  <c r="N65" i="33"/>
  <c r="N67" i="33"/>
  <c r="P77" i="65" s="1"/>
  <c r="AS77" i="65" s="1"/>
  <c r="M63" i="59"/>
  <c r="N75" i="69" s="1"/>
  <c r="P74" i="65" s="1"/>
  <c r="AS74" i="65" s="1"/>
  <c r="M65" i="33"/>
  <c r="M67" i="33"/>
  <c r="O77" i="65" s="1"/>
  <c r="AR77" i="65" s="1"/>
  <c r="L63" i="59"/>
  <c r="M75" i="69" s="1"/>
  <c r="O74" i="65" s="1"/>
  <c r="AR74" i="65" s="1"/>
  <c r="L68" i="65"/>
  <c r="AO68" i="65" s="1"/>
  <c r="J94" i="32"/>
  <c r="J95" i="32" s="1"/>
  <c r="I62" i="50"/>
  <c r="J64" i="69" s="1"/>
  <c r="L65" i="65" s="1"/>
  <c r="AO65" i="65" s="1"/>
  <c r="M66" i="32"/>
  <c r="M69" i="32" s="1"/>
  <c r="O67" i="65"/>
  <c r="AR67" i="65" s="1"/>
  <c r="L62" i="59"/>
  <c r="M65" i="69" s="1"/>
  <c r="O64" i="65" s="1"/>
  <c r="AR64" i="65" s="1"/>
  <c r="J68" i="65"/>
  <c r="AM68" i="65" s="1"/>
  <c r="H94" i="32"/>
  <c r="H95" i="32" s="1"/>
  <c r="G62" i="50"/>
  <c r="H64" i="69" s="1"/>
  <c r="J65" i="65" s="1"/>
  <c r="AM65" i="65" s="1"/>
  <c r="I63" i="65"/>
  <c r="AL63" i="65" s="1"/>
  <c r="C90" i="60"/>
  <c r="F9" i="65" s="1"/>
  <c r="M68" i="65"/>
  <c r="AP68" i="65" s="1"/>
  <c r="J62" i="50"/>
  <c r="K64" i="69" s="1"/>
  <c r="M65" i="65" s="1"/>
  <c r="AP65" i="65" s="1"/>
  <c r="K94" i="32"/>
  <c r="K95" i="32" s="1"/>
  <c r="D70" i="69"/>
  <c r="I67" i="65"/>
  <c r="AL67" i="65" s="1"/>
  <c r="G66" i="32"/>
  <c r="G69" i="32" s="1"/>
  <c r="F62" i="59"/>
  <c r="G65" i="69" s="1"/>
  <c r="I64" i="65" s="1"/>
  <c r="AL64" i="65" s="1"/>
  <c r="N63" i="65"/>
  <c r="AQ63" i="65" s="1"/>
  <c r="P63" i="65"/>
  <c r="AS63" i="65" s="1"/>
  <c r="G63" i="65"/>
  <c r="AJ63" i="65" s="1"/>
  <c r="F94" i="32"/>
  <c r="F95" i="32" s="1"/>
  <c r="N67" i="65"/>
  <c r="AQ67" i="65" s="1"/>
  <c r="L66" i="32"/>
  <c r="L69" i="32" s="1"/>
  <c r="K62" i="59"/>
  <c r="L65" i="69" s="1"/>
  <c r="N64" i="65" s="1"/>
  <c r="AQ64" i="65" s="1"/>
  <c r="O63" i="65"/>
  <c r="AR63" i="65" s="1"/>
  <c r="P67" i="65"/>
  <c r="AS67" i="65" s="1"/>
  <c r="N66" i="32"/>
  <c r="N69" i="32" s="1"/>
  <c r="M62" i="59"/>
  <c r="N65" i="69" s="1"/>
  <c r="P64" i="65" s="1"/>
  <c r="AS64" i="65" s="1"/>
  <c r="G67" i="65"/>
  <c r="AJ67" i="65" s="1"/>
  <c r="E66" i="32"/>
  <c r="E69" i="32" s="1"/>
  <c r="D62" i="59"/>
  <c r="E65" i="69" s="1"/>
  <c r="G64" i="65" s="1"/>
  <c r="AJ64" i="65" s="1"/>
  <c r="M59" i="59"/>
  <c r="N35" i="69" s="1"/>
  <c r="P34" i="65" s="1"/>
  <c r="AS34" i="65" s="1"/>
  <c r="P37" i="65"/>
  <c r="AS37" i="65" s="1"/>
  <c r="I59" i="59"/>
  <c r="J35" i="69" s="1"/>
  <c r="L34" i="65" s="1"/>
  <c r="AO34" i="65" s="1"/>
  <c r="H40" i="69"/>
  <c r="H60" i="50"/>
  <c r="I44" i="69" s="1"/>
  <c r="K45" i="65" s="1"/>
  <c r="AN45" i="65" s="1"/>
  <c r="L37" i="65"/>
  <c r="AO37" i="65" s="1"/>
  <c r="N53" i="65"/>
  <c r="AQ53" i="65" s="1"/>
  <c r="H28" i="65"/>
  <c r="AK28" i="65" s="1"/>
  <c r="F93" i="25"/>
  <c r="F94" i="25" s="1"/>
  <c r="E58" i="50"/>
  <c r="F24" i="69" s="1"/>
  <c r="H25" i="65" s="1"/>
  <c r="AK25" i="65" s="1"/>
  <c r="K38" i="65"/>
  <c r="AN38" i="65" s="1"/>
  <c r="H59" i="50"/>
  <c r="I34" i="69" s="1"/>
  <c r="K35" i="65" s="1"/>
  <c r="AN35" i="65" s="1"/>
  <c r="I53" i="65"/>
  <c r="AL53" i="65" s="1"/>
  <c r="D60" i="69"/>
  <c r="O53" i="65"/>
  <c r="AR53" i="65" s="1"/>
  <c r="L53" i="65"/>
  <c r="AO53" i="65" s="1"/>
  <c r="M53" i="65"/>
  <c r="AP53" i="65" s="1"/>
  <c r="M38" i="65"/>
  <c r="AP38" i="65" s="1"/>
  <c r="J59" i="50"/>
  <c r="K93" i="26"/>
  <c r="K94" i="26" s="1"/>
  <c r="I37" i="65"/>
  <c r="AL37" i="65" s="1"/>
  <c r="G65" i="26"/>
  <c r="G68" i="26" s="1"/>
  <c r="K53" i="65"/>
  <c r="AN53" i="65" s="1"/>
  <c r="I57" i="65"/>
  <c r="AL57" i="65" s="1"/>
  <c r="G66" i="31"/>
  <c r="G69" i="31" s="1"/>
  <c r="F61" i="59"/>
  <c r="G55" i="69" s="1"/>
  <c r="I54" i="65" s="1"/>
  <c r="AL54" i="65" s="1"/>
  <c r="G53" i="65"/>
  <c r="AJ53" i="65" s="1"/>
  <c r="O57" i="65"/>
  <c r="AR57" i="65" s="1"/>
  <c r="M66" i="31"/>
  <c r="M69" i="31" s="1"/>
  <c r="L61" i="59"/>
  <c r="M55" i="69" s="1"/>
  <c r="O54" i="65" s="1"/>
  <c r="AR54" i="65" s="1"/>
  <c r="P53" i="65"/>
  <c r="AS53" i="65" s="1"/>
  <c r="L57" i="65"/>
  <c r="AO57" i="65" s="1"/>
  <c r="J66" i="31"/>
  <c r="J69" i="31" s="1"/>
  <c r="I61" i="59"/>
  <c r="J55" i="69" s="1"/>
  <c r="L54" i="65" s="1"/>
  <c r="AO54" i="65" s="1"/>
  <c r="H53" i="65"/>
  <c r="AK53" i="65" s="1"/>
  <c r="M57" i="65"/>
  <c r="AP57" i="65" s="1"/>
  <c r="K66" i="31"/>
  <c r="K69" i="31" s="1"/>
  <c r="J61" i="59"/>
  <c r="K55" i="69" s="1"/>
  <c r="M54" i="65" s="1"/>
  <c r="AP54" i="65" s="1"/>
  <c r="M65" i="26"/>
  <c r="M68" i="26" s="1"/>
  <c r="F38" i="65"/>
  <c r="AI38" i="65" s="1"/>
  <c r="D93" i="26"/>
  <c r="D94" i="26" s="1"/>
  <c r="C59" i="50"/>
  <c r="D34" i="69" s="1"/>
  <c r="F35" i="65" s="1"/>
  <c r="AI35" i="65" s="1"/>
  <c r="L60" i="50"/>
  <c r="M44" i="69" s="1"/>
  <c r="O45" i="65" s="1"/>
  <c r="AR45" i="65" s="1"/>
  <c r="N57" i="65"/>
  <c r="AQ57" i="65" s="1"/>
  <c r="L66" i="31"/>
  <c r="L69" i="31" s="1"/>
  <c r="K61" i="59"/>
  <c r="L55" i="69" s="1"/>
  <c r="N54" i="65" s="1"/>
  <c r="AQ54" i="65" s="1"/>
  <c r="K28" i="65"/>
  <c r="AN28" i="65" s="1"/>
  <c r="I93" i="25"/>
  <c r="I94" i="25" s="1"/>
  <c r="H58" i="50"/>
  <c r="I24" i="69" s="1"/>
  <c r="K25" i="65" s="1"/>
  <c r="AN25" i="65" s="1"/>
  <c r="D60" i="50"/>
  <c r="E44" i="69" s="1"/>
  <c r="G45" i="65" s="1"/>
  <c r="AJ45" i="65" s="1"/>
  <c r="G38" i="65"/>
  <c r="AJ38" i="65" s="1"/>
  <c r="D59" i="50"/>
  <c r="E34" i="69" s="1"/>
  <c r="G35" i="65" s="1"/>
  <c r="AJ35" i="65" s="1"/>
  <c r="H38" i="65"/>
  <c r="AK38" i="65" s="1"/>
  <c r="F93" i="26"/>
  <c r="F94" i="26" s="1"/>
  <c r="E59" i="50"/>
  <c r="F34" i="69" s="1"/>
  <c r="H35" i="65" s="1"/>
  <c r="AK35" i="65" s="1"/>
  <c r="I60" i="50"/>
  <c r="J44" i="69" s="1"/>
  <c r="L45" i="65" s="1"/>
  <c r="AO45" i="65" s="1"/>
  <c r="L38" i="65"/>
  <c r="AO38" i="65" s="1"/>
  <c r="P38" i="65"/>
  <c r="AS38" i="65" s="1"/>
  <c r="N93" i="26"/>
  <c r="N94" i="26" s="1"/>
  <c r="M59" i="50"/>
  <c r="P48" i="65"/>
  <c r="AS48" i="65" s="1"/>
  <c r="M60" i="50"/>
  <c r="N44" i="69" s="1"/>
  <c r="P45" i="65" s="1"/>
  <c r="AS45" i="65" s="1"/>
  <c r="I48" i="65"/>
  <c r="AL48" i="65" s="1"/>
  <c r="F60" i="50"/>
  <c r="G44" i="69" s="1"/>
  <c r="I45" i="65" s="1"/>
  <c r="AL45" i="65" s="1"/>
  <c r="K57" i="65"/>
  <c r="AN57" i="65" s="1"/>
  <c r="I66" i="31"/>
  <c r="I69" i="31" s="1"/>
  <c r="H61" i="59"/>
  <c r="I55" i="69" s="1"/>
  <c r="K54" i="65" s="1"/>
  <c r="AN54" i="65" s="1"/>
  <c r="G57" i="65"/>
  <c r="AJ57" i="65" s="1"/>
  <c r="E66" i="31"/>
  <c r="E69" i="31" s="1"/>
  <c r="D61" i="59"/>
  <c r="E55" i="69" s="1"/>
  <c r="G54" i="65" s="1"/>
  <c r="AJ54" i="65" s="1"/>
  <c r="D24" i="69"/>
  <c r="F25" i="65" s="1"/>
  <c r="AI25" i="65" s="1"/>
  <c r="P57" i="65"/>
  <c r="AS57" i="65" s="1"/>
  <c r="N66" i="31"/>
  <c r="N69" i="31" s="1"/>
  <c r="M61" i="59"/>
  <c r="N55" i="69" s="1"/>
  <c r="P54" i="65" s="1"/>
  <c r="AS54" i="65" s="1"/>
  <c r="H57" i="65"/>
  <c r="AK57" i="65" s="1"/>
  <c r="F66" i="31"/>
  <c r="F69" i="31" s="1"/>
  <c r="E61" i="59"/>
  <c r="F55" i="69" s="1"/>
  <c r="H54" i="65" s="1"/>
  <c r="AK54" i="65" s="1"/>
  <c r="F59" i="59"/>
  <c r="G35" i="69" s="1"/>
  <c r="I34" i="65" s="1"/>
  <c r="AL34" i="65" s="1"/>
  <c r="D50" i="69"/>
  <c r="M47" i="65"/>
  <c r="AP47" i="65" s="1"/>
  <c r="J60" i="59"/>
  <c r="K45" i="69" s="1"/>
  <c r="M44" i="65" s="1"/>
  <c r="AP44" i="65" s="1"/>
  <c r="M60" i="59"/>
  <c r="N45" i="69" s="1"/>
  <c r="P44" i="65" s="1"/>
  <c r="AS44" i="65" s="1"/>
  <c r="P47" i="65"/>
  <c r="AS47" i="65" s="1"/>
  <c r="F60" i="59"/>
  <c r="G45" i="69" s="1"/>
  <c r="I44" i="65" s="1"/>
  <c r="AL44" i="65" s="1"/>
  <c r="H60" i="59"/>
  <c r="I45" i="69" s="1"/>
  <c r="K44" i="65" s="1"/>
  <c r="AN44" i="65" s="1"/>
  <c r="D60" i="59"/>
  <c r="E45" i="69" s="1"/>
  <c r="G44" i="65" s="1"/>
  <c r="AJ44" i="65" s="1"/>
  <c r="G47" i="65"/>
  <c r="AJ47" i="65" s="1"/>
  <c r="H47" i="65"/>
  <c r="AK47" i="65" s="1"/>
  <c r="E60" i="59"/>
  <c r="F45" i="69" s="1"/>
  <c r="H44" i="65" s="1"/>
  <c r="AK44" i="65" s="1"/>
  <c r="M75" i="60"/>
  <c r="M90" i="60" s="1"/>
  <c r="P9" i="65" s="1"/>
  <c r="C75" i="59"/>
  <c r="C90" i="59" s="1"/>
  <c r="F34" i="65"/>
  <c r="AI34" i="65" s="1"/>
  <c r="H59" i="59"/>
  <c r="I35" i="69" s="1"/>
  <c r="K34" i="65" s="1"/>
  <c r="AN34" i="65" s="1"/>
  <c r="K46" i="65"/>
  <c r="AN46" i="65" s="1"/>
  <c r="H60" i="60"/>
  <c r="H43" i="65"/>
  <c r="AK43" i="65" s="1"/>
  <c r="M37" i="65"/>
  <c r="AP37" i="65" s="1"/>
  <c r="J59" i="59"/>
  <c r="K35" i="69" s="1"/>
  <c r="M34" i="65" s="1"/>
  <c r="AP34" i="65" s="1"/>
  <c r="O46" i="65"/>
  <c r="AR46" i="65" s="1"/>
  <c r="L60" i="60"/>
  <c r="M46" i="69" s="1"/>
  <c r="G33" i="65"/>
  <c r="AJ33" i="65" s="1"/>
  <c r="H33" i="65"/>
  <c r="AK33" i="65" s="1"/>
  <c r="L46" i="65"/>
  <c r="AO46" i="65" s="1"/>
  <c r="I60" i="60"/>
  <c r="J46" i="69" s="1"/>
  <c r="M43" i="65"/>
  <c r="AP43" i="65" s="1"/>
  <c r="I43" i="65"/>
  <c r="AL43" i="65" s="1"/>
  <c r="E75" i="60"/>
  <c r="E90" i="60" s="1"/>
  <c r="H9" i="65" s="1"/>
  <c r="K33" i="65"/>
  <c r="AN33" i="65" s="1"/>
  <c r="G46" i="65"/>
  <c r="AJ46" i="65" s="1"/>
  <c r="D60" i="60"/>
  <c r="G37" i="65"/>
  <c r="AJ37" i="65" s="1"/>
  <c r="D59" i="59"/>
  <c r="E35" i="69" s="1"/>
  <c r="G34" i="65" s="1"/>
  <c r="AJ34" i="65" s="1"/>
  <c r="H37" i="65"/>
  <c r="AK37" i="65" s="1"/>
  <c r="E59" i="59"/>
  <c r="F35" i="69" s="1"/>
  <c r="H34" i="65" s="1"/>
  <c r="AK34" i="65" s="1"/>
  <c r="H46" i="69"/>
  <c r="G75" i="60"/>
  <c r="P43" i="65"/>
  <c r="AS43" i="65" s="1"/>
  <c r="N43" i="65"/>
  <c r="AQ43" i="65" s="1"/>
  <c r="M33" i="65"/>
  <c r="AP33" i="65" s="1"/>
  <c r="F75" i="60"/>
  <c r="F43" i="61" s="1"/>
  <c r="H58" i="59"/>
  <c r="I25" i="69" s="1"/>
  <c r="F24" i="65"/>
  <c r="AI24" i="65" s="1"/>
  <c r="H27" i="65"/>
  <c r="AK27" i="65" s="1"/>
  <c r="E58" i="59"/>
  <c r="F25" i="69" s="1"/>
  <c r="J75" i="60"/>
  <c r="J43" i="61" s="1"/>
  <c r="K75" i="60"/>
  <c r="K90" i="60" s="1"/>
  <c r="N9" i="65" s="1"/>
  <c r="K13" i="65"/>
  <c r="AN13" i="65" s="1"/>
  <c r="M13" i="65"/>
  <c r="AP13" i="65" s="1"/>
  <c r="G13" i="65"/>
  <c r="AJ13" i="65" s="1"/>
  <c r="L15" i="69"/>
  <c r="N14" i="65" s="1"/>
  <c r="AQ14" i="65" s="1"/>
  <c r="G15" i="69"/>
  <c r="I14" i="65" s="1"/>
  <c r="AL14" i="65" s="1"/>
  <c r="N23" i="65"/>
  <c r="AQ23" i="65" s="1"/>
  <c r="L13" i="65"/>
  <c r="AO13" i="65" s="1"/>
  <c r="I13" i="65"/>
  <c r="AL13" i="65" s="1"/>
  <c r="C59" i="61"/>
  <c r="C45" i="61"/>
  <c r="C61" i="61" s="1"/>
  <c r="M15" i="69"/>
  <c r="O14" i="65" s="1"/>
  <c r="AR14" i="65" s="1"/>
  <c r="F15" i="69"/>
  <c r="H14" i="65" s="1"/>
  <c r="AK14" i="65" s="1"/>
  <c r="O23" i="65"/>
  <c r="AR23" i="65" s="1"/>
  <c r="H13" i="65"/>
  <c r="AK13" i="65" s="1"/>
  <c r="J15" i="69"/>
  <c r="L14" i="65" s="1"/>
  <c r="AO14" i="65" s="1"/>
  <c r="P13" i="65"/>
  <c r="AS13" i="65" s="1"/>
  <c r="I15" i="69"/>
  <c r="K14" i="65" s="1"/>
  <c r="AN14" i="65" s="1"/>
  <c r="O13" i="65"/>
  <c r="AR13" i="65" s="1"/>
  <c r="N15" i="69"/>
  <c r="P14" i="65" s="1"/>
  <c r="AS14" i="65" s="1"/>
  <c r="K15" i="69"/>
  <c r="M14" i="65" s="1"/>
  <c r="AP14" i="65" s="1"/>
  <c r="E15" i="69"/>
  <c r="G14" i="65" s="1"/>
  <c r="AJ14" i="65" s="1"/>
  <c r="N13" i="65"/>
  <c r="AQ13" i="65" s="1"/>
  <c r="M23" i="65"/>
  <c r="AP23" i="65" s="1"/>
  <c r="H20" i="69"/>
  <c r="D20" i="69"/>
  <c r="I23" i="65"/>
  <c r="AL23" i="65" s="1"/>
  <c r="J60" i="50" l="1"/>
  <c r="K44" i="69" s="1"/>
  <c r="M45" i="65" s="1"/>
  <c r="AP45" i="65" s="1"/>
  <c r="J93" i="39"/>
  <c r="J94" i="39" s="1"/>
  <c r="I59" i="50"/>
  <c r="J34" i="69" s="1"/>
  <c r="L35" i="65" s="1"/>
  <c r="AO35" i="65" s="1"/>
  <c r="E60" i="50"/>
  <c r="F44" i="69" s="1"/>
  <c r="H45" i="65" s="1"/>
  <c r="AK45" i="65" s="1"/>
  <c r="J93" i="26"/>
  <c r="J94" i="26" s="1"/>
  <c r="I66" i="50"/>
  <c r="J104" i="69" s="1"/>
  <c r="F88" i="65"/>
  <c r="AI88" i="65" s="1"/>
  <c r="P87" i="65"/>
  <c r="AS87" i="65" s="1"/>
  <c r="K88" i="65"/>
  <c r="AN88" i="65" s="1"/>
  <c r="I69" i="32"/>
  <c r="K68" i="65" s="1"/>
  <c r="AN68" i="65" s="1"/>
  <c r="I87" i="65"/>
  <c r="AL87" i="65" s="1"/>
  <c r="I69" i="30"/>
  <c r="K48" i="65" s="1"/>
  <c r="AN48" i="65" s="1"/>
  <c r="N68" i="25"/>
  <c r="P28" i="65" s="1"/>
  <c r="AS28" i="65" s="1"/>
  <c r="N93" i="25"/>
  <c r="N94" i="25" s="1"/>
  <c r="M58" i="50"/>
  <c r="N24" i="69" s="1"/>
  <c r="J25" i="65"/>
  <c r="AM25" i="65" s="1"/>
  <c r="H30" i="69"/>
  <c r="E62" i="50"/>
  <c r="F64" i="69" s="1"/>
  <c r="H65" i="65" s="1"/>
  <c r="AK65" i="65" s="1"/>
  <c r="F69" i="32"/>
  <c r="K68" i="25"/>
  <c r="M28" i="65" s="1"/>
  <c r="AP28" i="65" s="1"/>
  <c r="J58" i="50"/>
  <c r="K24" i="69" s="1"/>
  <c r="K93" i="25"/>
  <c r="K94" i="25" s="1"/>
  <c r="J88" i="65"/>
  <c r="AM88" i="65" s="1"/>
  <c r="M68" i="25"/>
  <c r="O28" i="65" s="1"/>
  <c r="AR28" i="65" s="1"/>
  <c r="M93" i="25"/>
  <c r="M94" i="25" s="1"/>
  <c r="L58" i="50"/>
  <c r="M24" i="69" s="1"/>
  <c r="E68" i="25"/>
  <c r="G28" i="65" s="1"/>
  <c r="AJ28" i="65" s="1"/>
  <c r="D58" i="50"/>
  <c r="E24" i="69" s="1"/>
  <c r="E93" i="25"/>
  <c r="E94" i="25" s="1"/>
  <c r="L68" i="26"/>
  <c r="N38" i="65" s="1"/>
  <c r="AQ38" i="65" s="1"/>
  <c r="L93" i="26"/>
  <c r="L94" i="26" s="1"/>
  <c r="K59" i="50"/>
  <c r="L34" i="69" s="1"/>
  <c r="E93" i="26"/>
  <c r="E94" i="26" s="1"/>
  <c r="I93" i="26"/>
  <c r="I94" i="26" s="1"/>
  <c r="E64" i="50"/>
  <c r="F84" i="69" s="1"/>
  <c r="G93" i="39"/>
  <c r="G94" i="39" s="1"/>
  <c r="N88" i="65"/>
  <c r="AQ88" i="65" s="1"/>
  <c r="L88" i="65"/>
  <c r="AO88" i="65" s="1"/>
  <c r="F68" i="39"/>
  <c r="E69" i="30"/>
  <c r="G48" i="65" s="1"/>
  <c r="AJ48" i="65" s="1"/>
  <c r="M88" i="65"/>
  <c r="AP88" i="65" s="1"/>
  <c r="G68" i="39"/>
  <c r="G88" i="65"/>
  <c r="AJ88" i="65" s="1"/>
  <c r="L87" i="65"/>
  <c r="AO87" i="65" s="1"/>
  <c r="M68" i="39"/>
  <c r="J68" i="25"/>
  <c r="L28" i="65" s="1"/>
  <c r="AO28" i="65" s="1"/>
  <c r="I58" i="50"/>
  <c r="J24" i="69" s="1"/>
  <c r="J93" i="25"/>
  <c r="J94" i="25" s="1"/>
  <c r="O87" i="65"/>
  <c r="AR87" i="65" s="1"/>
  <c r="H87" i="65"/>
  <c r="AK87" i="65" s="1"/>
  <c r="L69" i="30"/>
  <c r="N48" i="65" s="1"/>
  <c r="AQ48" i="65" s="1"/>
  <c r="K60" i="50"/>
  <c r="L44" i="69" s="1"/>
  <c r="G68" i="25"/>
  <c r="I28" i="65" s="1"/>
  <c r="AL28" i="65" s="1"/>
  <c r="G93" i="25"/>
  <c r="G94" i="25" s="1"/>
  <c r="F58" i="50"/>
  <c r="G24" i="69" s="1"/>
  <c r="L68" i="25"/>
  <c r="N28" i="65" s="1"/>
  <c r="AQ28" i="65" s="1"/>
  <c r="K58" i="50"/>
  <c r="L24" i="69" s="1"/>
  <c r="L93" i="25"/>
  <c r="L94" i="25" s="1"/>
  <c r="L68" i="35"/>
  <c r="K68" i="40"/>
  <c r="M98" i="65" s="1"/>
  <c r="AP98" i="65" s="1"/>
  <c r="D68" i="50"/>
  <c r="E124" i="69" s="1"/>
  <c r="G105" i="65" s="1"/>
  <c r="AJ105" i="65" s="1"/>
  <c r="G180" i="69"/>
  <c r="I68" i="50"/>
  <c r="J124" i="69" s="1"/>
  <c r="L105" i="65" s="1"/>
  <c r="AO105" i="65" s="1"/>
  <c r="J55" i="65"/>
  <c r="AM55" i="65" s="1"/>
  <c r="K65" i="50"/>
  <c r="L94" i="69" s="1"/>
  <c r="N175" i="65" s="1"/>
  <c r="AQ175" i="65" s="1"/>
  <c r="M67" i="50"/>
  <c r="N114" i="69" s="1"/>
  <c r="P95" i="65" s="1"/>
  <c r="AS95" i="65" s="1"/>
  <c r="E180" i="69"/>
  <c r="N130" i="69"/>
  <c r="N68" i="49"/>
  <c r="M73" i="50"/>
  <c r="N174" i="69" s="1"/>
  <c r="P155" i="65" s="1"/>
  <c r="AS155" i="65" s="1"/>
  <c r="N68" i="34"/>
  <c r="M68" i="49"/>
  <c r="L73" i="50"/>
  <c r="M174" i="69" s="1"/>
  <c r="O155" i="65" s="1"/>
  <c r="AR155" i="65" s="1"/>
  <c r="L68" i="49"/>
  <c r="K73" i="50"/>
  <c r="L174" i="69" s="1"/>
  <c r="N155" i="65" s="1"/>
  <c r="AQ155" i="65" s="1"/>
  <c r="K68" i="49"/>
  <c r="J73" i="50"/>
  <c r="K174" i="69" s="1"/>
  <c r="M155" i="65" s="1"/>
  <c r="AP155" i="65" s="1"/>
  <c r="J68" i="49"/>
  <c r="I73" i="50"/>
  <c r="J174" i="69" s="1"/>
  <c r="L155" i="65" s="1"/>
  <c r="AO155" i="65" s="1"/>
  <c r="H68" i="50"/>
  <c r="I124" i="69" s="1"/>
  <c r="I130" i="69" s="1"/>
  <c r="I68" i="49"/>
  <c r="H73" i="50"/>
  <c r="I174" i="69" s="1"/>
  <c r="K155" i="65" s="1"/>
  <c r="AN155" i="65" s="1"/>
  <c r="H67" i="50"/>
  <c r="I114" i="69" s="1"/>
  <c r="K95" i="65" s="1"/>
  <c r="AN95" i="65" s="1"/>
  <c r="F68" i="49"/>
  <c r="E73" i="50"/>
  <c r="F174" i="69" s="1"/>
  <c r="H155" i="65" s="1"/>
  <c r="AK155" i="65" s="1"/>
  <c r="D180" i="69"/>
  <c r="E68" i="48"/>
  <c r="D72" i="50"/>
  <c r="E164" i="69" s="1"/>
  <c r="G145" i="65" s="1"/>
  <c r="AJ145" i="65" s="1"/>
  <c r="I68" i="48"/>
  <c r="H72" i="50"/>
  <c r="I164" i="69" s="1"/>
  <c r="K145" i="65" s="1"/>
  <c r="AN145" i="65" s="1"/>
  <c r="J145" i="65"/>
  <c r="AM145" i="65" s="1"/>
  <c r="H170" i="69"/>
  <c r="K68" i="48"/>
  <c r="J72" i="50"/>
  <c r="K164" i="69" s="1"/>
  <c r="M145" i="65" s="1"/>
  <c r="AP145" i="65" s="1"/>
  <c r="K143" i="65"/>
  <c r="AN143" i="65" s="1"/>
  <c r="J68" i="48"/>
  <c r="I72" i="50"/>
  <c r="J164" i="69" s="1"/>
  <c r="L145" i="65" s="1"/>
  <c r="AO145" i="65" s="1"/>
  <c r="F93" i="34"/>
  <c r="F94" i="34" s="1"/>
  <c r="L66" i="50"/>
  <c r="M104" i="69" s="1"/>
  <c r="E170" i="69"/>
  <c r="G68" i="48"/>
  <c r="F72" i="50"/>
  <c r="G164" i="69" s="1"/>
  <c r="D170" i="69"/>
  <c r="M68" i="48"/>
  <c r="L72" i="50"/>
  <c r="M164" i="69" s="1"/>
  <c r="J130" i="69"/>
  <c r="N68" i="48"/>
  <c r="M72" i="50"/>
  <c r="N164" i="69" s="1"/>
  <c r="P145" i="65" s="1"/>
  <c r="AS145" i="65" s="1"/>
  <c r="L68" i="48"/>
  <c r="K72" i="50"/>
  <c r="L164" i="69" s="1"/>
  <c r="N145" i="65" s="1"/>
  <c r="AQ145" i="65" s="1"/>
  <c r="F68" i="48"/>
  <c r="E72" i="50"/>
  <c r="F164" i="69" s="1"/>
  <c r="K68" i="47"/>
  <c r="J71" i="50"/>
  <c r="K154" i="69" s="1"/>
  <c r="N68" i="47"/>
  <c r="M71" i="50"/>
  <c r="N154" i="69" s="1"/>
  <c r="F68" i="47"/>
  <c r="E71" i="50"/>
  <c r="F154" i="69" s="1"/>
  <c r="H135" i="65" s="1"/>
  <c r="AK135" i="65" s="1"/>
  <c r="M93" i="39"/>
  <c r="M94" i="39" s="1"/>
  <c r="F130" i="69"/>
  <c r="G68" i="47"/>
  <c r="F71" i="50"/>
  <c r="G154" i="69" s="1"/>
  <c r="I68" i="47"/>
  <c r="H71" i="50"/>
  <c r="I154" i="69" s="1"/>
  <c r="E68" i="47"/>
  <c r="D71" i="50"/>
  <c r="E154" i="69" s="1"/>
  <c r="M68" i="47"/>
  <c r="L71" i="50"/>
  <c r="M154" i="69" s="1"/>
  <c r="L68" i="47"/>
  <c r="K71" i="50"/>
  <c r="L154" i="69" s="1"/>
  <c r="D160" i="69"/>
  <c r="K130" i="69"/>
  <c r="J68" i="47"/>
  <c r="I71" i="50"/>
  <c r="J154" i="69" s="1"/>
  <c r="L135" i="65" s="1"/>
  <c r="AO135" i="65" s="1"/>
  <c r="F68" i="46"/>
  <c r="E70" i="50"/>
  <c r="F144" i="69" s="1"/>
  <c r="H125" i="65" s="1"/>
  <c r="AK125" i="65" s="1"/>
  <c r="L68" i="46"/>
  <c r="K70" i="50"/>
  <c r="L144" i="69" s="1"/>
  <c r="N125" i="65" s="1"/>
  <c r="AQ125" i="65" s="1"/>
  <c r="G68" i="46"/>
  <c r="F70" i="50"/>
  <c r="G144" i="69" s="1"/>
  <c r="E68" i="46"/>
  <c r="D70" i="50"/>
  <c r="E144" i="69" s="1"/>
  <c r="G125" i="65" s="1"/>
  <c r="AJ125" i="65" s="1"/>
  <c r="N68" i="46"/>
  <c r="M70" i="50"/>
  <c r="N144" i="69" s="1"/>
  <c r="P125" i="65" s="1"/>
  <c r="AS125" i="65" s="1"/>
  <c r="M68" i="46"/>
  <c r="L70" i="50"/>
  <c r="M144" i="69" s="1"/>
  <c r="I68" i="46"/>
  <c r="H70" i="50"/>
  <c r="I144" i="69" s="1"/>
  <c r="K68" i="46"/>
  <c r="J70" i="50"/>
  <c r="K144" i="69" s="1"/>
  <c r="M125" i="65" s="1"/>
  <c r="AP125" i="65" s="1"/>
  <c r="J68" i="46"/>
  <c r="I70" i="50"/>
  <c r="J144" i="69" s="1"/>
  <c r="F115" i="65"/>
  <c r="AI115" i="65" s="1"/>
  <c r="D140" i="69"/>
  <c r="M68" i="42"/>
  <c r="O118" i="65" s="1"/>
  <c r="AR118" i="65" s="1"/>
  <c r="L69" i="50"/>
  <c r="M134" i="69" s="1"/>
  <c r="O115" i="65" s="1"/>
  <c r="AR115" i="65" s="1"/>
  <c r="J68" i="42"/>
  <c r="L118" i="65" s="1"/>
  <c r="AO118" i="65" s="1"/>
  <c r="I69" i="50"/>
  <c r="J134" i="69" s="1"/>
  <c r="N68" i="42"/>
  <c r="P118" i="65" s="1"/>
  <c r="AS118" i="65" s="1"/>
  <c r="M69" i="50"/>
  <c r="N134" i="69" s="1"/>
  <c r="L68" i="42"/>
  <c r="N118" i="65" s="1"/>
  <c r="AQ118" i="65" s="1"/>
  <c r="K69" i="50"/>
  <c r="L134" i="69" s="1"/>
  <c r="N115" i="65" s="1"/>
  <c r="AQ115" i="65" s="1"/>
  <c r="E68" i="42"/>
  <c r="G118" i="65" s="1"/>
  <c r="AJ118" i="65" s="1"/>
  <c r="D69" i="50"/>
  <c r="E134" i="69" s="1"/>
  <c r="G115" i="65" s="1"/>
  <c r="AJ115" i="65" s="1"/>
  <c r="G68" i="42"/>
  <c r="I118" i="65" s="1"/>
  <c r="AL118" i="65" s="1"/>
  <c r="F69" i="50"/>
  <c r="G134" i="69" s="1"/>
  <c r="I115" i="65" s="1"/>
  <c r="AL115" i="65" s="1"/>
  <c r="K70" i="69"/>
  <c r="G68" i="35"/>
  <c r="E130" i="69"/>
  <c r="L140" i="69"/>
  <c r="F68" i="42"/>
  <c r="H118" i="65" s="1"/>
  <c r="AK118" i="65" s="1"/>
  <c r="E69" i="50"/>
  <c r="F134" i="69" s="1"/>
  <c r="H62" i="50"/>
  <c r="I64" i="69" s="1"/>
  <c r="H130" i="69"/>
  <c r="I68" i="42"/>
  <c r="K118" i="65" s="1"/>
  <c r="AN118" i="65" s="1"/>
  <c r="H69" i="50"/>
  <c r="I134" i="69" s="1"/>
  <c r="K115" i="65" s="1"/>
  <c r="AN115" i="65" s="1"/>
  <c r="K68" i="42"/>
  <c r="M118" i="65" s="1"/>
  <c r="AP118" i="65" s="1"/>
  <c r="J69" i="50"/>
  <c r="K134" i="69" s="1"/>
  <c r="D130" i="69"/>
  <c r="K105" i="65"/>
  <c r="AN105" i="65" s="1"/>
  <c r="G68" i="41"/>
  <c r="I108" i="65" s="1"/>
  <c r="AL108" i="65" s="1"/>
  <c r="F68" i="50"/>
  <c r="G124" i="69" s="1"/>
  <c r="N105" i="65"/>
  <c r="AQ105" i="65" s="1"/>
  <c r="L130" i="69"/>
  <c r="M68" i="41"/>
  <c r="O108" i="65" s="1"/>
  <c r="AR108" i="65" s="1"/>
  <c r="L68" i="50"/>
  <c r="M124" i="69" s="1"/>
  <c r="O105" i="65" s="1"/>
  <c r="AR105" i="65" s="1"/>
  <c r="I94" i="32"/>
  <c r="I95" i="32" s="1"/>
  <c r="D110" i="69"/>
  <c r="H110" i="69"/>
  <c r="L93" i="34"/>
  <c r="L94" i="34" s="1"/>
  <c r="G93" i="35"/>
  <c r="G94" i="35" s="1"/>
  <c r="K120" i="69"/>
  <c r="F120" i="69"/>
  <c r="G120" i="69"/>
  <c r="J120" i="69"/>
  <c r="G95" i="65"/>
  <c r="AJ95" i="65" s="1"/>
  <c r="E120" i="69"/>
  <c r="L68" i="34"/>
  <c r="O95" i="65"/>
  <c r="AR95" i="65" s="1"/>
  <c r="M120" i="69"/>
  <c r="N95" i="65"/>
  <c r="AQ95" i="65" s="1"/>
  <c r="L120" i="69"/>
  <c r="F93" i="39"/>
  <c r="F94" i="39" s="1"/>
  <c r="M68" i="34"/>
  <c r="I110" i="69"/>
  <c r="E66" i="50"/>
  <c r="F104" i="69" s="1"/>
  <c r="H85" i="65" s="1"/>
  <c r="AK85" i="65" s="1"/>
  <c r="I93" i="34"/>
  <c r="I94" i="34" s="1"/>
  <c r="H64" i="50"/>
  <c r="I84" i="69" s="1"/>
  <c r="K165" i="65" s="1"/>
  <c r="AN165" i="65" s="1"/>
  <c r="L64" i="50"/>
  <c r="M84" i="69" s="1"/>
  <c r="O165" i="65" s="1"/>
  <c r="AR165" i="65" s="1"/>
  <c r="N93" i="34"/>
  <c r="N94" i="34" s="1"/>
  <c r="E110" i="69"/>
  <c r="G90" i="69"/>
  <c r="L85" i="65"/>
  <c r="AO85" i="65" s="1"/>
  <c r="J110" i="69"/>
  <c r="L110" i="69"/>
  <c r="M85" i="65"/>
  <c r="AP85" i="65" s="1"/>
  <c r="K110" i="69"/>
  <c r="G110" i="69"/>
  <c r="N68" i="39"/>
  <c r="M66" i="50"/>
  <c r="N104" i="69" s="1"/>
  <c r="N93" i="39"/>
  <c r="N94" i="39" s="1"/>
  <c r="O85" i="65"/>
  <c r="AR85" i="65" s="1"/>
  <c r="M110" i="69"/>
  <c r="K68" i="35"/>
  <c r="K93" i="35"/>
  <c r="K94" i="35" s="1"/>
  <c r="J65" i="50"/>
  <c r="K94" i="69" s="1"/>
  <c r="M175" i="65" s="1"/>
  <c r="AP175" i="65" s="1"/>
  <c r="N68" i="35"/>
  <c r="M65" i="50"/>
  <c r="N94" i="69" s="1"/>
  <c r="P175" i="65" s="1"/>
  <c r="AS175" i="65" s="1"/>
  <c r="N93" i="35"/>
  <c r="N94" i="35" s="1"/>
  <c r="J68" i="35"/>
  <c r="I65" i="50"/>
  <c r="J94" i="69" s="1"/>
  <c r="J93" i="35"/>
  <c r="J94" i="35" s="1"/>
  <c r="M68" i="35"/>
  <c r="M93" i="35"/>
  <c r="M94" i="35" s="1"/>
  <c r="L65" i="50"/>
  <c r="M94" i="69" s="1"/>
  <c r="O175" i="65" s="1"/>
  <c r="AR175" i="65" s="1"/>
  <c r="G175" i="65"/>
  <c r="AJ175" i="65" s="1"/>
  <c r="E100" i="69"/>
  <c r="E90" i="69"/>
  <c r="D100" i="69"/>
  <c r="I68" i="35"/>
  <c r="I93" i="35"/>
  <c r="I94" i="35" s="1"/>
  <c r="H65" i="50"/>
  <c r="I94" i="69" s="1"/>
  <c r="K175" i="65" s="1"/>
  <c r="AN175" i="65" s="1"/>
  <c r="F68" i="35"/>
  <c r="F93" i="35"/>
  <c r="F94" i="35" s="1"/>
  <c r="E65" i="50"/>
  <c r="F94" i="69" s="1"/>
  <c r="H175" i="65" s="1"/>
  <c r="AK175" i="65" s="1"/>
  <c r="G100" i="69"/>
  <c r="L100" i="69"/>
  <c r="J70" i="69"/>
  <c r="K90" i="69"/>
  <c r="H70" i="69"/>
  <c r="L90" i="69"/>
  <c r="J68" i="34"/>
  <c r="I64" i="50"/>
  <c r="J84" i="69" s="1"/>
  <c r="L165" i="65" s="1"/>
  <c r="AO165" i="65" s="1"/>
  <c r="J93" i="34"/>
  <c r="J94" i="34" s="1"/>
  <c r="P165" i="65"/>
  <c r="AS165" i="65" s="1"/>
  <c r="N90" i="69"/>
  <c r="H165" i="65"/>
  <c r="AK165" i="65" s="1"/>
  <c r="F90" i="69"/>
  <c r="H90" i="69"/>
  <c r="I68" i="33"/>
  <c r="K78" i="65" s="1"/>
  <c r="AN78" i="65" s="1"/>
  <c r="I93" i="33"/>
  <c r="I94" i="33" s="1"/>
  <c r="H63" i="50"/>
  <c r="I74" i="69" s="1"/>
  <c r="J68" i="33"/>
  <c r="L78" i="65" s="1"/>
  <c r="AO78" i="65" s="1"/>
  <c r="J93" i="33"/>
  <c r="J94" i="33" s="1"/>
  <c r="I63" i="50"/>
  <c r="J74" i="69" s="1"/>
  <c r="L75" i="65" s="1"/>
  <c r="AO75" i="65" s="1"/>
  <c r="H68" i="65"/>
  <c r="AK68" i="65" s="1"/>
  <c r="G75" i="65"/>
  <c r="AJ75" i="65" s="1"/>
  <c r="E80" i="69"/>
  <c r="M68" i="33"/>
  <c r="O78" i="65" s="1"/>
  <c r="AR78" i="65" s="1"/>
  <c r="M93" i="33"/>
  <c r="M94" i="33" s="1"/>
  <c r="L63" i="50"/>
  <c r="M74" i="69" s="1"/>
  <c r="O75" i="65" s="1"/>
  <c r="AR75" i="65" s="1"/>
  <c r="N75" i="65"/>
  <c r="AQ75" i="65" s="1"/>
  <c r="L80" i="69"/>
  <c r="F68" i="33"/>
  <c r="H78" i="65" s="1"/>
  <c r="AK78" i="65" s="1"/>
  <c r="E63" i="50"/>
  <c r="F74" i="69" s="1"/>
  <c r="H75" i="65" s="1"/>
  <c r="AK75" i="65" s="1"/>
  <c r="F93" i="33"/>
  <c r="F94" i="33" s="1"/>
  <c r="N68" i="33"/>
  <c r="P78" i="65" s="1"/>
  <c r="AS78" i="65" s="1"/>
  <c r="N93" i="33"/>
  <c r="N94" i="33" s="1"/>
  <c r="M63" i="50"/>
  <c r="N74" i="69" s="1"/>
  <c r="J75" i="65"/>
  <c r="AM75" i="65" s="1"/>
  <c r="H80" i="69"/>
  <c r="G75" i="50"/>
  <c r="G91" i="50" s="1"/>
  <c r="M75" i="65"/>
  <c r="AP75" i="65" s="1"/>
  <c r="K80" i="69"/>
  <c r="G68" i="33"/>
  <c r="I78" i="65" s="1"/>
  <c r="AL78" i="65" s="1"/>
  <c r="G93" i="33"/>
  <c r="G94" i="33" s="1"/>
  <c r="F63" i="50"/>
  <c r="G74" i="69" s="1"/>
  <c r="I75" i="65" s="1"/>
  <c r="AL75" i="65" s="1"/>
  <c r="K75" i="59"/>
  <c r="K90" i="59" s="1"/>
  <c r="N68" i="65"/>
  <c r="AQ68" i="65" s="1"/>
  <c r="K62" i="50"/>
  <c r="L64" i="69" s="1"/>
  <c r="N65" i="65" s="1"/>
  <c r="AQ65" i="65" s="1"/>
  <c r="L94" i="32"/>
  <c r="L95" i="32" s="1"/>
  <c r="I68" i="65"/>
  <c r="AL68" i="65" s="1"/>
  <c r="F62" i="50"/>
  <c r="G64" i="69" s="1"/>
  <c r="I65" i="65" s="1"/>
  <c r="AL65" i="65" s="1"/>
  <c r="G94" i="32"/>
  <c r="G95" i="32" s="1"/>
  <c r="G68" i="65"/>
  <c r="AJ68" i="65" s="1"/>
  <c r="D62" i="50"/>
  <c r="E64" i="69" s="1"/>
  <c r="G65" i="65" s="1"/>
  <c r="AJ65" i="65" s="1"/>
  <c r="E94" i="32"/>
  <c r="E95" i="32" s="1"/>
  <c r="P68" i="65"/>
  <c r="AS68" i="65" s="1"/>
  <c r="M62" i="50"/>
  <c r="N64" i="69" s="1"/>
  <c r="N94" i="32"/>
  <c r="N95" i="32" s="1"/>
  <c r="O68" i="65"/>
  <c r="AR68" i="65" s="1"/>
  <c r="M94" i="32"/>
  <c r="M95" i="32" s="1"/>
  <c r="L62" i="50"/>
  <c r="M64" i="69" s="1"/>
  <c r="I75" i="59"/>
  <c r="I90" i="59" s="1"/>
  <c r="N58" i="65"/>
  <c r="AQ58" i="65" s="1"/>
  <c r="K61" i="50"/>
  <c r="O38" i="65"/>
  <c r="AR38" i="65" s="1"/>
  <c r="L59" i="50"/>
  <c r="M93" i="26"/>
  <c r="M94" i="26" s="1"/>
  <c r="L58" i="65"/>
  <c r="AO58" i="65" s="1"/>
  <c r="I61" i="50"/>
  <c r="J54" i="69" s="1"/>
  <c r="L55" i="65" s="1"/>
  <c r="AO55" i="65" s="1"/>
  <c r="I40" i="69"/>
  <c r="P58" i="65"/>
  <c r="AS58" i="65" s="1"/>
  <c r="M61" i="50"/>
  <c r="N54" i="69" s="1"/>
  <c r="P55" i="65" s="1"/>
  <c r="AS55" i="65" s="1"/>
  <c r="N34" i="69"/>
  <c r="O58" i="65"/>
  <c r="AR58" i="65" s="1"/>
  <c r="L61" i="50"/>
  <c r="M54" i="69" s="1"/>
  <c r="O55" i="65" s="1"/>
  <c r="AR55" i="65" s="1"/>
  <c r="K34" i="69"/>
  <c r="M35" i="65" s="1"/>
  <c r="AP35" i="65" s="1"/>
  <c r="L75" i="59"/>
  <c r="L90" i="59" s="1"/>
  <c r="N50" i="69"/>
  <c r="J40" i="69"/>
  <c r="H58" i="65"/>
  <c r="AK58" i="65" s="1"/>
  <c r="E61" i="50"/>
  <c r="F54" i="69" s="1"/>
  <c r="H55" i="65" s="1"/>
  <c r="AK55" i="65" s="1"/>
  <c r="G58" i="65"/>
  <c r="AJ58" i="65" s="1"/>
  <c r="D61" i="50"/>
  <c r="E54" i="69" s="1"/>
  <c r="G55" i="65" s="1"/>
  <c r="AJ55" i="65" s="1"/>
  <c r="I58" i="65"/>
  <c r="AL58" i="65" s="1"/>
  <c r="F61" i="50"/>
  <c r="G54" i="69" s="1"/>
  <c r="I55" i="65" s="1"/>
  <c r="AL55" i="65" s="1"/>
  <c r="I38" i="65"/>
  <c r="AL38" i="65" s="1"/>
  <c r="F59" i="50"/>
  <c r="G93" i="26"/>
  <c r="G94" i="26" s="1"/>
  <c r="K58" i="65"/>
  <c r="AN58" i="65" s="1"/>
  <c r="H61" i="50"/>
  <c r="I54" i="69" s="1"/>
  <c r="K55" i="65" s="1"/>
  <c r="AN55" i="65" s="1"/>
  <c r="M75" i="59"/>
  <c r="M90" i="59" s="1"/>
  <c r="D30" i="69"/>
  <c r="D40" i="69"/>
  <c r="C75" i="50"/>
  <c r="C91" i="50" s="1"/>
  <c r="M58" i="65"/>
  <c r="AP58" i="65" s="1"/>
  <c r="J61" i="50"/>
  <c r="K54" i="69" s="1"/>
  <c r="M43" i="61"/>
  <c r="M45" i="61" s="1"/>
  <c r="M61" i="61" s="1"/>
  <c r="F75" i="59"/>
  <c r="F90" i="59" s="1"/>
  <c r="G50" i="69"/>
  <c r="K50" i="69"/>
  <c r="F50" i="69"/>
  <c r="K43" i="61"/>
  <c r="K45" i="61" s="1"/>
  <c r="K61" i="61" s="1"/>
  <c r="L75" i="60"/>
  <c r="L90" i="60" s="1"/>
  <c r="O9" i="65" s="1"/>
  <c r="H75" i="59"/>
  <c r="H90" i="59" s="1"/>
  <c r="E75" i="59"/>
  <c r="E90" i="59" s="1"/>
  <c r="F90" i="60"/>
  <c r="I9" i="65" s="1"/>
  <c r="J90" i="60"/>
  <c r="M9" i="65" s="1"/>
  <c r="E43" i="61"/>
  <c r="E59" i="61" s="1"/>
  <c r="G20" i="69"/>
  <c r="J43" i="65"/>
  <c r="AM43" i="65" s="1"/>
  <c r="H50" i="69"/>
  <c r="M50" i="69"/>
  <c r="O43" i="65"/>
  <c r="AR43" i="65" s="1"/>
  <c r="I46" i="69"/>
  <c r="H75" i="60"/>
  <c r="E46" i="69"/>
  <c r="D75" i="60"/>
  <c r="L43" i="65"/>
  <c r="AO43" i="65" s="1"/>
  <c r="J50" i="69"/>
  <c r="E40" i="69"/>
  <c r="G43" i="61"/>
  <c r="G90" i="60"/>
  <c r="J9" i="65" s="1"/>
  <c r="D75" i="59"/>
  <c r="D90" i="59" s="1"/>
  <c r="J75" i="59"/>
  <c r="J90" i="59" s="1"/>
  <c r="F40" i="69"/>
  <c r="I75" i="60"/>
  <c r="K24" i="65"/>
  <c r="AN24" i="65" s="1"/>
  <c r="I30" i="69"/>
  <c r="H24" i="65"/>
  <c r="AK24" i="65" s="1"/>
  <c r="F30" i="69"/>
  <c r="M20" i="69"/>
  <c r="L20" i="69"/>
  <c r="N20" i="69"/>
  <c r="F20" i="69"/>
  <c r="F59" i="61"/>
  <c r="F45" i="61"/>
  <c r="F61" i="61" s="1"/>
  <c r="K20" i="69"/>
  <c r="J20" i="69"/>
  <c r="I20" i="69"/>
  <c r="J59" i="61"/>
  <c r="J45" i="61"/>
  <c r="J61" i="61" s="1"/>
  <c r="C60" i="61"/>
  <c r="E20" i="69"/>
  <c r="F70" i="69" l="1"/>
  <c r="N45" i="65"/>
  <c r="AQ45" i="65" s="1"/>
  <c r="L50" i="69"/>
  <c r="L25" i="65"/>
  <c r="AO25" i="65" s="1"/>
  <c r="J30" i="69"/>
  <c r="I88" i="65"/>
  <c r="AL88" i="65" s="1"/>
  <c r="P88" i="65"/>
  <c r="AS88" i="65" s="1"/>
  <c r="I25" i="65"/>
  <c r="AL25" i="65" s="1"/>
  <c r="G30" i="69"/>
  <c r="O25" i="65"/>
  <c r="AR25" i="65" s="1"/>
  <c r="M30" i="69"/>
  <c r="P25" i="65"/>
  <c r="AS25" i="65" s="1"/>
  <c r="N30" i="69"/>
  <c r="H88" i="65"/>
  <c r="AK88" i="65" s="1"/>
  <c r="N25" i="65"/>
  <c r="AQ25" i="65" s="1"/>
  <c r="L30" i="69"/>
  <c r="O88" i="65"/>
  <c r="AR88" i="65" s="1"/>
  <c r="N35" i="65"/>
  <c r="AQ35" i="65" s="1"/>
  <c r="L40" i="69"/>
  <c r="G25" i="65"/>
  <c r="AJ25" i="65" s="1"/>
  <c r="E30" i="69"/>
  <c r="M25" i="65"/>
  <c r="AP25" i="65" s="1"/>
  <c r="K30" i="69"/>
  <c r="N120" i="69"/>
  <c r="I120" i="69"/>
  <c r="J180" i="69"/>
  <c r="K180" i="69"/>
  <c r="N170" i="69"/>
  <c r="N180" i="69"/>
  <c r="M180" i="69"/>
  <c r="L170" i="69"/>
  <c r="L180" i="69"/>
  <c r="J160" i="69"/>
  <c r="I180" i="69"/>
  <c r="I90" i="69"/>
  <c r="F180" i="69"/>
  <c r="F150" i="69"/>
  <c r="H145" i="65"/>
  <c r="AK145" i="65" s="1"/>
  <c r="F170" i="69"/>
  <c r="J170" i="69"/>
  <c r="I170" i="69"/>
  <c r="O145" i="65"/>
  <c r="AR145" i="65" s="1"/>
  <c r="M170" i="69"/>
  <c r="I145" i="65"/>
  <c r="AL145" i="65" s="1"/>
  <c r="G170" i="69"/>
  <c r="K170" i="69"/>
  <c r="N135" i="65"/>
  <c r="AQ135" i="65" s="1"/>
  <c r="L160" i="69"/>
  <c r="K135" i="65"/>
  <c r="AN135" i="65" s="1"/>
  <c r="I160" i="69"/>
  <c r="P135" i="65"/>
  <c r="AS135" i="65" s="1"/>
  <c r="N160" i="69"/>
  <c r="L150" i="69"/>
  <c r="G135" i="65"/>
  <c r="AJ135" i="65" s="1"/>
  <c r="E160" i="69"/>
  <c r="I135" i="65"/>
  <c r="AL135" i="65" s="1"/>
  <c r="G160" i="69"/>
  <c r="M135" i="65"/>
  <c r="AP135" i="65" s="1"/>
  <c r="K160" i="69"/>
  <c r="O135" i="65"/>
  <c r="AR135" i="65" s="1"/>
  <c r="M160" i="69"/>
  <c r="F160" i="69"/>
  <c r="L125" i="65"/>
  <c r="AO125" i="65" s="1"/>
  <c r="J150" i="69"/>
  <c r="O125" i="65"/>
  <c r="AR125" i="65" s="1"/>
  <c r="M150" i="69"/>
  <c r="I125" i="65"/>
  <c r="AL125" i="65" s="1"/>
  <c r="G150" i="69"/>
  <c r="K125" i="65"/>
  <c r="AN125" i="65" s="1"/>
  <c r="I150" i="69"/>
  <c r="N150" i="69"/>
  <c r="K150" i="69"/>
  <c r="E150" i="69"/>
  <c r="H115" i="65"/>
  <c r="AK115" i="65" s="1"/>
  <c r="F140" i="69"/>
  <c r="M140" i="69"/>
  <c r="P115" i="65"/>
  <c r="AS115" i="65" s="1"/>
  <c r="N140" i="69"/>
  <c r="E140" i="69"/>
  <c r="I140" i="69"/>
  <c r="M130" i="69"/>
  <c r="M115" i="65"/>
  <c r="AP115" i="65" s="1"/>
  <c r="K140" i="69"/>
  <c r="G140" i="69"/>
  <c r="L115" i="65"/>
  <c r="AO115" i="65" s="1"/>
  <c r="J140" i="69"/>
  <c r="K65" i="65"/>
  <c r="AN65" i="65" s="1"/>
  <c r="I70" i="69"/>
  <c r="M90" i="69"/>
  <c r="I105" i="65"/>
  <c r="AL105" i="65" s="1"/>
  <c r="G130" i="69"/>
  <c r="K100" i="69"/>
  <c r="I100" i="69"/>
  <c r="F110" i="69"/>
  <c r="N100" i="69"/>
  <c r="P85" i="65"/>
  <c r="AS85" i="65" s="1"/>
  <c r="N110" i="69"/>
  <c r="L175" i="65"/>
  <c r="AO175" i="65" s="1"/>
  <c r="J100" i="69"/>
  <c r="M100" i="69"/>
  <c r="F100" i="69"/>
  <c r="M59" i="61"/>
  <c r="M60" i="61" s="1"/>
  <c r="J90" i="69"/>
  <c r="E70" i="69"/>
  <c r="M80" i="69"/>
  <c r="G70" i="69"/>
  <c r="J80" i="69"/>
  <c r="L70" i="69"/>
  <c r="G80" i="69"/>
  <c r="P75" i="65"/>
  <c r="AS75" i="65" s="1"/>
  <c r="N80" i="69"/>
  <c r="F80" i="69"/>
  <c r="K75" i="65"/>
  <c r="AN75" i="65" s="1"/>
  <c r="I80" i="69"/>
  <c r="M60" i="69"/>
  <c r="K40" i="69"/>
  <c r="I75" i="50"/>
  <c r="I91" i="50" s="1"/>
  <c r="O65" i="65"/>
  <c r="AR65" i="65" s="1"/>
  <c r="M70" i="69"/>
  <c r="P65" i="65"/>
  <c r="AS65" i="65" s="1"/>
  <c r="N70" i="69"/>
  <c r="K59" i="61"/>
  <c r="K60" i="61" s="1"/>
  <c r="E75" i="50"/>
  <c r="E91" i="50" s="1"/>
  <c r="H75" i="50"/>
  <c r="H91" i="50" s="1"/>
  <c r="J75" i="50"/>
  <c r="J91" i="50" s="1"/>
  <c r="I60" i="69"/>
  <c r="G60" i="69"/>
  <c r="E60" i="69"/>
  <c r="N60" i="69"/>
  <c r="J60" i="69"/>
  <c r="F60" i="69"/>
  <c r="L54" i="69"/>
  <c r="K75" i="50"/>
  <c r="K91" i="50" s="1"/>
  <c r="G34" i="69"/>
  <c r="F75" i="50"/>
  <c r="F91" i="50" s="1"/>
  <c r="P35" i="65"/>
  <c r="AS35" i="65" s="1"/>
  <c r="N40" i="69"/>
  <c r="M34" i="69"/>
  <c r="L75" i="50"/>
  <c r="L91" i="50" s="1"/>
  <c r="M55" i="65"/>
  <c r="AP55" i="65" s="1"/>
  <c r="K60" i="69"/>
  <c r="D75" i="50"/>
  <c r="D91" i="50" s="1"/>
  <c r="M75" i="50"/>
  <c r="M91" i="50" s="1"/>
  <c r="L43" i="61"/>
  <c r="L45" i="61" s="1"/>
  <c r="L61" i="61" s="1"/>
  <c r="E45" i="61"/>
  <c r="E61" i="61" s="1"/>
  <c r="E60" i="61" s="1"/>
  <c r="E50" i="69"/>
  <c r="G43" i="65"/>
  <c r="AJ43" i="65" s="1"/>
  <c r="I43" i="61"/>
  <c r="I90" i="60"/>
  <c r="L9" i="65" s="1"/>
  <c r="H43" i="61"/>
  <c r="H90" i="60"/>
  <c r="K9" i="65" s="1"/>
  <c r="G59" i="61"/>
  <c r="G45" i="61"/>
  <c r="G61" i="61" s="1"/>
  <c r="D43" i="61"/>
  <c r="D90" i="60"/>
  <c r="G9" i="65" s="1"/>
  <c r="I50" i="69"/>
  <c r="K43" i="65"/>
  <c r="AN43" i="65" s="1"/>
  <c r="F60" i="61"/>
  <c r="J60" i="61"/>
  <c r="L59" i="61" l="1"/>
  <c r="L60" i="61" s="1"/>
  <c r="O35" i="65"/>
  <c r="AR35" i="65" s="1"/>
  <c r="M40" i="69"/>
  <c r="I35" i="65"/>
  <c r="AL35" i="65" s="1"/>
  <c r="G40" i="69"/>
  <c r="N55" i="65"/>
  <c r="AQ55" i="65" s="1"/>
  <c r="L60" i="69"/>
  <c r="G60" i="61"/>
  <c r="I59" i="61"/>
  <c r="I45" i="61"/>
  <c r="I61" i="61" s="1"/>
  <c r="D45" i="61"/>
  <c r="D61" i="61" s="1"/>
  <c r="D59" i="61"/>
  <c r="H45" i="61"/>
  <c r="H61" i="61" s="1"/>
  <c r="H59" i="61"/>
  <c r="I60" i="61" l="1"/>
  <c r="D60" i="61"/>
  <c r="H60" i="61"/>
  <c r="C41" i="23"/>
  <c r="C42" i="49" l="1"/>
  <c r="C41" i="49"/>
  <c r="C42" i="48"/>
  <c r="C41" i="48"/>
  <c r="C42" i="47"/>
  <c r="C41" i="47"/>
  <c r="C42" i="46"/>
  <c r="C41" i="46"/>
  <c r="C41" i="42"/>
  <c r="C42" i="42"/>
  <c r="C42" i="40"/>
  <c r="C42" i="41"/>
  <c r="C41" i="41"/>
  <c r="C41" i="40"/>
  <c r="C42" i="39"/>
  <c r="C41" i="39"/>
  <c r="C42" i="35"/>
  <c r="C41" i="35"/>
  <c r="C42" i="34"/>
  <c r="C41" i="34"/>
  <c r="C41" i="33"/>
  <c r="C42" i="33"/>
  <c r="C42" i="32"/>
  <c r="C41" i="32"/>
  <c r="C42" i="31"/>
  <c r="C41" i="31"/>
  <c r="C42" i="30"/>
  <c r="C41" i="30"/>
  <c r="C41" i="26"/>
  <c r="C42" i="25"/>
  <c r="C42" i="26"/>
  <c r="C41" i="25"/>
  <c r="C42" i="23"/>
  <c r="C43" i="23" s="1"/>
  <c r="C44" i="23" s="1"/>
  <c r="C63" i="23" s="1"/>
  <c r="C66" i="23" s="1"/>
  <c r="C43" i="40" l="1"/>
  <c r="C44" i="40" s="1"/>
  <c r="C63" i="40" s="1"/>
  <c r="C66" i="40" s="1"/>
  <c r="E96" i="65" s="1"/>
  <c r="AH96" i="65" s="1"/>
  <c r="C43" i="49"/>
  <c r="C44" i="49" s="1"/>
  <c r="C63" i="49" s="1"/>
  <c r="C43" i="47"/>
  <c r="C44" i="47" s="1"/>
  <c r="C63" i="47" s="1"/>
  <c r="C43" i="41"/>
  <c r="C44" i="41" s="1"/>
  <c r="C63" i="41" s="1"/>
  <c r="P63" i="41" s="1"/>
  <c r="C43" i="48"/>
  <c r="C44" i="48" s="1"/>
  <c r="C63" i="48" s="1"/>
  <c r="C43" i="46"/>
  <c r="C44" i="46" s="1"/>
  <c r="C63" i="46" s="1"/>
  <c r="C66" i="46" s="1"/>
  <c r="C43" i="42"/>
  <c r="C44" i="42" s="1"/>
  <c r="C63" i="42" s="1"/>
  <c r="B67" i="60"/>
  <c r="P63" i="40"/>
  <c r="C43" i="39"/>
  <c r="C44" i="39" s="1"/>
  <c r="C63" i="39" s="1"/>
  <c r="C43" i="35"/>
  <c r="C44" i="35" s="1"/>
  <c r="C63" i="35" s="1"/>
  <c r="C66" i="35" s="1"/>
  <c r="C43" i="34"/>
  <c r="C44" i="34" s="1"/>
  <c r="C63" i="34" s="1"/>
  <c r="C43" i="33"/>
  <c r="C44" i="33" s="1"/>
  <c r="C63" i="33" s="1"/>
  <c r="C43" i="32"/>
  <c r="C44" i="32" s="1"/>
  <c r="C64" i="32" s="1"/>
  <c r="C67" i="32" s="1"/>
  <c r="C43" i="31"/>
  <c r="C44" i="31" s="1"/>
  <c r="C64" i="31" s="1"/>
  <c r="C67" i="31" s="1"/>
  <c r="C43" i="30"/>
  <c r="C44" i="30" s="1"/>
  <c r="C64" i="30" s="1"/>
  <c r="C43" i="26"/>
  <c r="C44" i="26" s="1"/>
  <c r="C63" i="26" s="1"/>
  <c r="C66" i="26" s="1"/>
  <c r="C43" i="25"/>
  <c r="C44" i="25" s="1"/>
  <c r="C63" i="25" s="1"/>
  <c r="P63" i="23"/>
  <c r="E16" i="65"/>
  <c r="AH16" i="65" s="1"/>
  <c r="C64" i="23"/>
  <c r="B57" i="60"/>
  <c r="C64" i="42" l="1"/>
  <c r="C66" i="42"/>
  <c r="C64" i="25"/>
  <c r="C66" i="25"/>
  <c r="C66" i="39"/>
  <c r="C65" i="23"/>
  <c r="C68" i="23" s="1"/>
  <c r="C67" i="23"/>
  <c r="B63" i="60"/>
  <c r="C66" i="33"/>
  <c r="E76" i="65" s="1"/>
  <c r="AH76" i="65" s="1"/>
  <c r="C65" i="30"/>
  <c r="C68" i="30" s="1"/>
  <c r="C67" i="30"/>
  <c r="P63" i="34"/>
  <c r="C66" i="34"/>
  <c r="E116" i="65"/>
  <c r="AH116" i="65" s="1"/>
  <c r="C64" i="40"/>
  <c r="C65" i="40" s="1"/>
  <c r="C66" i="41"/>
  <c r="E106" i="65" s="1"/>
  <c r="AH106" i="65" s="1"/>
  <c r="C66" i="49"/>
  <c r="C64" i="49"/>
  <c r="C67" i="49" s="1"/>
  <c r="P63" i="49"/>
  <c r="B73" i="60"/>
  <c r="P63" i="42"/>
  <c r="B69" i="60"/>
  <c r="N69" i="60" s="1"/>
  <c r="O69" i="60" s="1"/>
  <c r="C66" i="48"/>
  <c r="C64" i="48"/>
  <c r="P63" i="48"/>
  <c r="B72" i="60"/>
  <c r="B68" i="60"/>
  <c r="N68" i="60" s="1"/>
  <c r="O68" i="60" s="1"/>
  <c r="C64" i="41"/>
  <c r="B68" i="59" s="1"/>
  <c r="C66" i="47"/>
  <c r="C64" i="47"/>
  <c r="B71" i="60"/>
  <c r="P63" i="47"/>
  <c r="C64" i="46"/>
  <c r="B70" i="60"/>
  <c r="P63" i="46"/>
  <c r="C67" i="42"/>
  <c r="E117" i="65" s="1"/>
  <c r="AH117" i="65" s="1"/>
  <c r="C65" i="42"/>
  <c r="B69" i="59"/>
  <c r="P64" i="42"/>
  <c r="C126" i="69"/>
  <c r="C116" i="69"/>
  <c r="N67" i="60"/>
  <c r="O67" i="60" s="1"/>
  <c r="C67" i="40"/>
  <c r="E97" i="65" s="1"/>
  <c r="AH97" i="65" s="1"/>
  <c r="B67" i="59"/>
  <c r="C64" i="33"/>
  <c r="C67" i="33" s="1"/>
  <c r="E77" i="65" s="1"/>
  <c r="AH77" i="65" s="1"/>
  <c r="C64" i="34"/>
  <c r="C67" i="34" s="1"/>
  <c r="B64" i="60"/>
  <c r="N64" i="60" s="1"/>
  <c r="O64" i="60" s="1"/>
  <c r="C64" i="39"/>
  <c r="B66" i="60"/>
  <c r="P63" i="39"/>
  <c r="P63" i="33"/>
  <c r="C64" i="35"/>
  <c r="B65" i="60"/>
  <c r="P63" i="35"/>
  <c r="C86" i="69"/>
  <c r="C76" i="69"/>
  <c r="N63" i="60"/>
  <c r="O63" i="60" s="1"/>
  <c r="E66" i="65"/>
  <c r="AH66" i="65" s="1"/>
  <c r="C65" i="32"/>
  <c r="C68" i="32" s="1"/>
  <c r="B62" i="60"/>
  <c r="P64" i="32"/>
  <c r="P65" i="30"/>
  <c r="C66" i="30"/>
  <c r="E18" i="65"/>
  <c r="AH18" i="65" s="1"/>
  <c r="C93" i="23"/>
  <c r="C94" i="23" s="1"/>
  <c r="B57" i="50"/>
  <c r="P65" i="23"/>
  <c r="E56" i="65"/>
  <c r="AH56" i="65" s="1"/>
  <c r="C65" i="31"/>
  <c r="C68" i="31" s="1"/>
  <c r="B61" i="60"/>
  <c r="P64" i="31"/>
  <c r="B60" i="59"/>
  <c r="O60" i="59" s="1"/>
  <c r="T45" i="69" s="1"/>
  <c r="E47" i="65"/>
  <c r="AH47" i="65" s="1"/>
  <c r="E46" i="65"/>
  <c r="AH46" i="65" s="1"/>
  <c r="B58" i="60"/>
  <c r="N58" i="60" s="1"/>
  <c r="O58" i="60" s="1"/>
  <c r="C64" i="26"/>
  <c r="E36" i="65"/>
  <c r="AH36" i="65" s="1"/>
  <c r="B59" i="60"/>
  <c r="P63" i="26"/>
  <c r="E26" i="65"/>
  <c r="AH26" i="65" s="1"/>
  <c r="B60" i="60"/>
  <c r="P64" i="30"/>
  <c r="P63" i="25"/>
  <c r="P64" i="23"/>
  <c r="B57" i="59"/>
  <c r="E17" i="65"/>
  <c r="AH17" i="65" s="1"/>
  <c r="C16" i="69"/>
  <c r="N57" i="60"/>
  <c r="B58" i="59"/>
  <c r="P64" i="25"/>
  <c r="C65" i="33" l="1"/>
  <c r="C136" i="69"/>
  <c r="C67" i="39"/>
  <c r="E86" i="65"/>
  <c r="AH86" i="65" s="1"/>
  <c r="C69" i="30"/>
  <c r="E48" i="65" s="1"/>
  <c r="AH48" i="65" s="1"/>
  <c r="C65" i="26"/>
  <c r="C68" i="26" s="1"/>
  <c r="E38" i="65" s="1"/>
  <c r="AH38" i="65" s="1"/>
  <c r="C67" i="26"/>
  <c r="C65" i="25"/>
  <c r="C67" i="25"/>
  <c r="E27" i="65" s="1"/>
  <c r="AH27" i="65" s="1"/>
  <c r="P64" i="40"/>
  <c r="C65" i="49"/>
  <c r="P64" i="49"/>
  <c r="B73" i="59"/>
  <c r="C176" i="69"/>
  <c r="N73" i="60"/>
  <c r="O73" i="60" s="1"/>
  <c r="C166" i="69"/>
  <c r="N72" i="60"/>
  <c r="O72" i="60" s="1"/>
  <c r="C67" i="48"/>
  <c r="C65" i="48"/>
  <c r="C68" i="48" s="1"/>
  <c r="P64" i="48"/>
  <c r="B72" i="59"/>
  <c r="P64" i="41"/>
  <c r="C65" i="41"/>
  <c r="C67" i="47"/>
  <c r="C65" i="47"/>
  <c r="B71" i="59"/>
  <c r="P64" i="47"/>
  <c r="C67" i="41"/>
  <c r="E107" i="65" s="1"/>
  <c r="AH107" i="65" s="1"/>
  <c r="C156" i="69"/>
  <c r="N71" i="60"/>
  <c r="O71" i="60" s="1"/>
  <c r="C146" i="69"/>
  <c r="N70" i="60"/>
  <c r="O70" i="60" s="1"/>
  <c r="C67" i="46"/>
  <c r="C65" i="46"/>
  <c r="B70" i="59"/>
  <c r="P64" i="46"/>
  <c r="R136" i="69"/>
  <c r="F88" i="68" s="1"/>
  <c r="E113" i="65"/>
  <c r="AH113" i="65" s="1"/>
  <c r="C68" i="42"/>
  <c r="E118" i="65" s="1"/>
  <c r="AH118" i="65" s="1"/>
  <c r="P65" i="42"/>
  <c r="B69" i="50"/>
  <c r="C135" i="69"/>
  <c r="O69" i="59"/>
  <c r="T135" i="69" s="1"/>
  <c r="N69" i="59"/>
  <c r="U100" i="79"/>
  <c r="T136" i="69"/>
  <c r="P69" i="60"/>
  <c r="U93" i="79"/>
  <c r="T126" i="69"/>
  <c r="P68" i="60"/>
  <c r="C125" i="69"/>
  <c r="N68" i="59"/>
  <c r="O68" i="59"/>
  <c r="T125" i="69" s="1"/>
  <c r="E103" i="65"/>
  <c r="AH103" i="65" s="1"/>
  <c r="R126" i="69"/>
  <c r="F82" i="68" s="1"/>
  <c r="C68" i="40"/>
  <c r="E98" i="65" s="1"/>
  <c r="AH98" i="65" s="1"/>
  <c r="B67" i="50"/>
  <c r="P65" i="40"/>
  <c r="T116" i="69"/>
  <c r="P67" i="60"/>
  <c r="C115" i="69"/>
  <c r="N67" i="59"/>
  <c r="O67" i="59"/>
  <c r="T115" i="69" s="1"/>
  <c r="E93" i="65"/>
  <c r="AH93" i="65" s="1"/>
  <c r="R116" i="69"/>
  <c r="F76" i="68" s="1"/>
  <c r="C65" i="34"/>
  <c r="P64" i="34"/>
  <c r="B64" i="59"/>
  <c r="C85" i="69" s="1"/>
  <c r="P64" i="33"/>
  <c r="B63" i="59"/>
  <c r="N63" i="59" s="1"/>
  <c r="C106" i="69"/>
  <c r="N66" i="60"/>
  <c r="O66" i="60" s="1"/>
  <c r="E87" i="65"/>
  <c r="AH87" i="65" s="1"/>
  <c r="C65" i="39"/>
  <c r="B66" i="59"/>
  <c r="P64" i="39"/>
  <c r="C96" i="69"/>
  <c r="N65" i="60"/>
  <c r="O65" i="60" s="1"/>
  <c r="C67" i="35"/>
  <c r="C65" i="35"/>
  <c r="B65" i="59"/>
  <c r="P64" i="35"/>
  <c r="B60" i="50"/>
  <c r="C44" i="69" s="1"/>
  <c r="T86" i="69"/>
  <c r="P64" i="60"/>
  <c r="E163" i="65"/>
  <c r="AH163" i="65" s="1"/>
  <c r="R86" i="69"/>
  <c r="F58" i="68" s="1"/>
  <c r="T76" i="69"/>
  <c r="P63" i="60"/>
  <c r="E73" i="65"/>
  <c r="AH73" i="65" s="1"/>
  <c r="R76" i="69"/>
  <c r="C68" i="33"/>
  <c r="E78" i="65" s="1"/>
  <c r="AH78" i="65" s="1"/>
  <c r="C93" i="33"/>
  <c r="C94" i="33" s="1"/>
  <c r="B63" i="50"/>
  <c r="P65" i="33"/>
  <c r="C66" i="69"/>
  <c r="N62" i="60"/>
  <c r="O62" i="60" s="1"/>
  <c r="E67" i="65"/>
  <c r="AH67" i="65" s="1"/>
  <c r="C66" i="32"/>
  <c r="C69" i="32" s="1"/>
  <c r="B62" i="59"/>
  <c r="P65" i="32"/>
  <c r="C26" i="69"/>
  <c r="R26" i="69" s="1"/>
  <c r="P66" i="30"/>
  <c r="E57" i="65"/>
  <c r="AH57" i="65" s="1"/>
  <c r="C66" i="31"/>
  <c r="C69" i="31" s="1"/>
  <c r="B61" i="59"/>
  <c r="P65" i="31"/>
  <c r="C93" i="26"/>
  <c r="C94" i="26" s="1"/>
  <c r="B59" i="50"/>
  <c r="C56" i="69"/>
  <c r="N61" i="60"/>
  <c r="O61" i="60" s="1"/>
  <c r="C14" i="69"/>
  <c r="N57" i="50"/>
  <c r="O57" i="50"/>
  <c r="T14" i="69" s="1"/>
  <c r="N60" i="59"/>
  <c r="C45" i="69"/>
  <c r="E44" i="65" s="1"/>
  <c r="AH44" i="65" s="1"/>
  <c r="B75" i="60"/>
  <c r="B90" i="60" s="1"/>
  <c r="E9" i="65" s="1"/>
  <c r="C46" i="69"/>
  <c r="N60" i="60"/>
  <c r="O60" i="60" s="1"/>
  <c r="E37" i="65"/>
  <c r="AH37" i="65" s="1"/>
  <c r="B59" i="59"/>
  <c r="P64" i="26"/>
  <c r="C36" i="69"/>
  <c r="N59" i="60"/>
  <c r="O59" i="60" s="1"/>
  <c r="E13" i="65"/>
  <c r="AH13" i="65" s="1"/>
  <c r="R16" i="69"/>
  <c r="T26" i="69"/>
  <c r="P58" i="60"/>
  <c r="O57" i="60"/>
  <c r="O57" i="59"/>
  <c r="N57" i="59"/>
  <c r="C15" i="69"/>
  <c r="N58" i="59"/>
  <c r="C25" i="69"/>
  <c r="O58" i="59"/>
  <c r="C68" i="41" l="1"/>
  <c r="E108" i="65" s="1"/>
  <c r="AH108" i="65" s="1"/>
  <c r="P65" i="26"/>
  <c r="C68" i="25"/>
  <c r="E28" i="65" s="1"/>
  <c r="AH28" i="65" s="1"/>
  <c r="P65" i="25"/>
  <c r="C93" i="25"/>
  <c r="C94" i="25" s="1"/>
  <c r="B58" i="50"/>
  <c r="C68" i="39"/>
  <c r="P65" i="34"/>
  <c r="C68" i="34"/>
  <c r="U136" i="69"/>
  <c r="T176" i="69"/>
  <c r="P73" i="60"/>
  <c r="E153" i="65"/>
  <c r="AH153" i="65" s="1"/>
  <c r="R176" i="69"/>
  <c r="C175" i="69"/>
  <c r="O73" i="59"/>
  <c r="T175" i="69" s="1"/>
  <c r="N73" i="59"/>
  <c r="C68" i="49"/>
  <c r="P65" i="49"/>
  <c r="B73" i="50"/>
  <c r="P65" i="41"/>
  <c r="P65" i="48"/>
  <c r="B72" i="50"/>
  <c r="B68" i="50"/>
  <c r="O68" i="50" s="1"/>
  <c r="T124" i="69" s="1"/>
  <c r="C165" i="69"/>
  <c r="O72" i="59"/>
  <c r="T165" i="69" s="1"/>
  <c r="N72" i="59"/>
  <c r="T166" i="69"/>
  <c r="P72" i="60"/>
  <c r="E143" i="65"/>
  <c r="AH143" i="65" s="1"/>
  <c r="R166" i="69"/>
  <c r="F106" i="68" s="1"/>
  <c r="C155" i="69"/>
  <c r="O71" i="59"/>
  <c r="T155" i="69" s="1"/>
  <c r="N71" i="59"/>
  <c r="E133" i="65"/>
  <c r="AH133" i="65" s="1"/>
  <c r="R156" i="69"/>
  <c r="F100" i="68" s="1"/>
  <c r="T156" i="69"/>
  <c r="P71" i="60"/>
  <c r="C68" i="47"/>
  <c r="B71" i="50"/>
  <c r="P65" i="47"/>
  <c r="C68" i="46"/>
  <c r="B70" i="50"/>
  <c r="P65" i="46"/>
  <c r="T146" i="69"/>
  <c r="P70" i="60"/>
  <c r="C93" i="34"/>
  <c r="C94" i="34" s="1"/>
  <c r="C145" i="69"/>
  <c r="O70" i="59"/>
  <c r="T145" i="69" s="1"/>
  <c r="N70" i="59"/>
  <c r="E123" i="65"/>
  <c r="AH123" i="65" s="1"/>
  <c r="R146" i="69"/>
  <c r="F94" i="68" s="1"/>
  <c r="O64" i="59"/>
  <c r="T85" i="69" s="1"/>
  <c r="E114" i="65"/>
  <c r="AH114" i="65" s="1"/>
  <c r="Q135" i="69"/>
  <c r="O69" i="50"/>
  <c r="T134" i="69" s="1"/>
  <c r="N69" i="50"/>
  <c r="C134" i="69"/>
  <c r="C140" i="69" s="1"/>
  <c r="N60" i="50"/>
  <c r="E104" i="65"/>
  <c r="AH104" i="65" s="1"/>
  <c r="Q125" i="69"/>
  <c r="U126" i="69"/>
  <c r="O60" i="50"/>
  <c r="T44" i="69" s="1"/>
  <c r="U116" i="69"/>
  <c r="B64" i="50"/>
  <c r="N64" i="50" s="1"/>
  <c r="E94" i="65"/>
  <c r="AH94" i="65" s="1"/>
  <c r="Q115" i="69"/>
  <c r="O67" i="50"/>
  <c r="T114" i="69" s="1"/>
  <c r="N67" i="50"/>
  <c r="C114" i="69"/>
  <c r="N64" i="59"/>
  <c r="O63" i="59"/>
  <c r="T75" i="69" s="1"/>
  <c r="C75" i="69"/>
  <c r="Q75" i="69" s="1"/>
  <c r="E88" i="65"/>
  <c r="AH88" i="65" s="1"/>
  <c r="C93" i="39"/>
  <c r="C94" i="39" s="1"/>
  <c r="B66" i="50"/>
  <c r="P65" i="39"/>
  <c r="T106" i="69"/>
  <c r="P66" i="60"/>
  <c r="C105" i="69"/>
  <c r="O66" i="59"/>
  <c r="N66" i="59"/>
  <c r="E83" i="65"/>
  <c r="AH83" i="65" s="1"/>
  <c r="R106" i="69"/>
  <c r="F70" i="68" s="1"/>
  <c r="E23" i="65"/>
  <c r="AH23" i="65" s="1"/>
  <c r="T96" i="69"/>
  <c r="P65" i="60"/>
  <c r="C68" i="35"/>
  <c r="C93" i="35"/>
  <c r="C94" i="35" s="1"/>
  <c r="B65" i="50"/>
  <c r="P65" i="35"/>
  <c r="C95" i="69"/>
  <c r="O65" i="59"/>
  <c r="T95" i="69" s="1"/>
  <c r="N65" i="59"/>
  <c r="E173" i="65"/>
  <c r="AH173" i="65" s="1"/>
  <c r="R96" i="69"/>
  <c r="F64" i="68" s="1"/>
  <c r="B75" i="59"/>
  <c r="B90" i="59" s="1"/>
  <c r="E164" i="65"/>
  <c r="AH164" i="65" s="1"/>
  <c r="Q85" i="69"/>
  <c r="U86" i="69"/>
  <c r="F52" i="68"/>
  <c r="U76" i="69"/>
  <c r="C74" i="69"/>
  <c r="N63" i="50"/>
  <c r="O63" i="50"/>
  <c r="T74" i="69" s="1"/>
  <c r="E68" i="65"/>
  <c r="AH68" i="65" s="1"/>
  <c r="B62" i="50"/>
  <c r="C94" i="32"/>
  <c r="C95" i="32" s="1"/>
  <c r="P66" i="32"/>
  <c r="T66" i="69"/>
  <c r="P62" i="60"/>
  <c r="C65" i="69"/>
  <c r="N62" i="59"/>
  <c r="O62" i="59"/>
  <c r="T65" i="69" s="1"/>
  <c r="E63" i="65"/>
  <c r="AH63" i="65" s="1"/>
  <c r="R66" i="69"/>
  <c r="F46" i="68" s="1"/>
  <c r="B43" i="61"/>
  <c r="B59" i="61" s="1"/>
  <c r="O59" i="61" s="1"/>
  <c r="Q45" i="69"/>
  <c r="U45" i="69" s="1"/>
  <c r="C34" i="69"/>
  <c r="O59" i="50"/>
  <c r="T34" i="69" s="1"/>
  <c r="N59" i="50"/>
  <c r="C55" i="69"/>
  <c r="O61" i="59"/>
  <c r="T55" i="69" s="1"/>
  <c r="N61" i="59"/>
  <c r="E15" i="65"/>
  <c r="AH15" i="65" s="1"/>
  <c r="P14" i="69"/>
  <c r="T56" i="69"/>
  <c r="P61" i="60"/>
  <c r="E58" i="65"/>
  <c r="AH58" i="65" s="1"/>
  <c r="B61" i="50"/>
  <c r="P66" i="31"/>
  <c r="E53" i="65"/>
  <c r="AH53" i="65" s="1"/>
  <c r="R56" i="69"/>
  <c r="F40" i="68" s="1"/>
  <c r="T36" i="69"/>
  <c r="P59" i="60"/>
  <c r="E33" i="65"/>
  <c r="AH33" i="65" s="1"/>
  <c r="R36" i="69"/>
  <c r="F28" i="68" s="1"/>
  <c r="T46" i="69"/>
  <c r="P60" i="60"/>
  <c r="C35" i="69"/>
  <c r="O59" i="59"/>
  <c r="T35" i="69" s="1"/>
  <c r="N59" i="59"/>
  <c r="N75" i="60"/>
  <c r="N90" i="60" s="1"/>
  <c r="E43" i="65"/>
  <c r="AH43" i="65" s="1"/>
  <c r="C50" i="69"/>
  <c r="R46" i="69"/>
  <c r="E45" i="65"/>
  <c r="AH45" i="65" s="1"/>
  <c r="P44" i="69"/>
  <c r="T25" i="69"/>
  <c r="F16" i="68"/>
  <c r="T15" i="69"/>
  <c r="Q25" i="69"/>
  <c r="E24" i="65"/>
  <c r="AH24" i="65" s="1"/>
  <c r="Q15" i="69"/>
  <c r="E14" i="65"/>
  <c r="AH14" i="65" s="1"/>
  <c r="P57" i="60"/>
  <c r="T16" i="69"/>
  <c r="U16" i="69" s="1"/>
  <c r="O75" i="60"/>
  <c r="F22" i="68"/>
  <c r="U26" i="69"/>
  <c r="C20" i="69"/>
  <c r="C84" i="69" l="1"/>
  <c r="O58" i="50"/>
  <c r="T24" i="69" s="1"/>
  <c r="C24" i="69"/>
  <c r="N58" i="50"/>
  <c r="N68" i="50"/>
  <c r="E74" i="65"/>
  <c r="AH74" i="65" s="1"/>
  <c r="C124" i="69"/>
  <c r="E105" i="65" s="1"/>
  <c r="AH105" i="65" s="1"/>
  <c r="F112" i="68"/>
  <c r="U176" i="69"/>
  <c r="C174" i="69"/>
  <c r="O73" i="50"/>
  <c r="T174" i="69" s="1"/>
  <c r="N73" i="50"/>
  <c r="E154" i="65"/>
  <c r="AH154" i="65" s="1"/>
  <c r="Q175" i="69"/>
  <c r="C164" i="69"/>
  <c r="N72" i="50"/>
  <c r="O72" i="50"/>
  <c r="T164" i="69" s="1"/>
  <c r="E144" i="65"/>
  <c r="AH144" i="65" s="1"/>
  <c r="Q165" i="69"/>
  <c r="U166" i="69"/>
  <c r="U156" i="69"/>
  <c r="N71" i="50"/>
  <c r="O71" i="50"/>
  <c r="T154" i="69" s="1"/>
  <c r="C154" i="69"/>
  <c r="E134" i="65"/>
  <c r="AH134" i="65" s="1"/>
  <c r="Q155" i="69"/>
  <c r="U146" i="69"/>
  <c r="E124" i="65"/>
  <c r="AH124" i="65" s="1"/>
  <c r="Q145" i="69"/>
  <c r="C144" i="69"/>
  <c r="N70" i="50"/>
  <c r="O70" i="50"/>
  <c r="T144" i="69" s="1"/>
  <c r="O64" i="50"/>
  <c r="T84" i="69" s="1"/>
  <c r="F87" i="68"/>
  <c r="U135" i="69"/>
  <c r="P134" i="69"/>
  <c r="E115" i="65"/>
  <c r="AH115" i="65" s="1"/>
  <c r="F81" i="68"/>
  <c r="U125" i="69"/>
  <c r="F75" i="68"/>
  <c r="U115" i="69"/>
  <c r="E95" i="65"/>
  <c r="AH95" i="65" s="1"/>
  <c r="P114" i="69"/>
  <c r="C120" i="69"/>
  <c r="E84" i="65"/>
  <c r="AH84" i="65" s="1"/>
  <c r="Q105" i="69"/>
  <c r="C104" i="69"/>
  <c r="N66" i="50"/>
  <c r="O66" i="50"/>
  <c r="T104" i="69" s="1"/>
  <c r="T78" i="79"/>
  <c r="T105" i="69"/>
  <c r="U106" i="69"/>
  <c r="E174" i="65"/>
  <c r="AH174" i="65" s="1"/>
  <c r="Q95" i="69"/>
  <c r="C94" i="69"/>
  <c r="O65" i="50"/>
  <c r="T94" i="69" s="1"/>
  <c r="N65" i="50"/>
  <c r="U96" i="69"/>
  <c r="F33" i="68"/>
  <c r="E165" i="65"/>
  <c r="AH165" i="65" s="1"/>
  <c r="P84" i="69"/>
  <c r="C90" i="69"/>
  <c r="F57" i="68"/>
  <c r="U85" i="69"/>
  <c r="F51" i="68"/>
  <c r="U75" i="69"/>
  <c r="E75" i="65"/>
  <c r="AH75" i="65" s="1"/>
  <c r="P74" i="69"/>
  <c r="C80" i="69"/>
  <c r="O43" i="61"/>
  <c r="O45" i="61" s="1"/>
  <c r="B45" i="61"/>
  <c r="B61" i="61" s="1"/>
  <c r="O61" i="61" s="1"/>
  <c r="N75" i="59"/>
  <c r="N90" i="59" s="1"/>
  <c r="E64" i="65"/>
  <c r="AH64" i="65" s="1"/>
  <c r="Q65" i="69"/>
  <c r="C64" i="69"/>
  <c r="O62" i="50"/>
  <c r="T64" i="69" s="1"/>
  <c r="N62" i="50"/>
  <c r="U66" i="69"/>
  <c r="U56" i="69"/>
  <c r="E35" i="65"/>
  <c r="AH35" i="65" s="1"/>
  <c r="P34" i="69"/>
  <c r="C54" i="69"/>
  <c r="C60" i="69" s="1"/>
  <c r="N61" i="50"/>
  <c r="O61" i="50"/>
  <c r="B75" i="50"/>
  <c r="B91" i="50" s="1"/>
  <c r="F14" i="68"/>
  <c r="U14" i="69"/>
  <c r="E54" i="65"/>
  <c r="AH54" i="65" s="1"/>
  <c r="Q55" i="69"/>
  <c r="R183" i="69"/>
  <c r="R279" i="69" s="1"/>
  <c r="O75" i="59"/>
  <c r="O90" i="59" s="1"/>
  <c r="P75" i="59" s="1"/>
  <c r="F32" i="68"/>
  <c r="U44" i="69"/>
  <c r="E34" i="65"/>
  <c r="AH34" i="65" s="1"/>
  <c r="Q35" i="69"/>
  <c r="C40" i="69"/>
  <c r="F34" i="68"/>
  <c r="U46" i="69"/>
  <c r="U36" i="69"/>
  <c r="U25" i="69"/>
  <c r="F21" i="68"/>
  <c r="P75" i="60"/>
  <c r="O90" i="60"/>
  <c r="P90" i="60" s="1"/>
  <c r="F15" i="68"/>
  <c r="U15" i="69"/>
  <c r="E25" i="65" l="1"/>
  <c r="AH25" i="65" s="1"/>
  <c r="P24" i="69"/>
  <c r="C30" i="69"/>
  <c r="P124" i="69"/>
  <c r="F80" i="68" s="1"/>
  <c r="C130" i="69"/>
  <c r="F175" i="68"/>
  <c r="M16" i="68" s="1"/>
  <c r="P16" i="68" s="1"/>
  <c r="U175" i="69"/>
  <c r="F111" i="68"/>
  <c r="E155" i="65"/>
  <c r="AH155" i="65" s="1"/>
  <c r="P174" i="69"/>
  <c r="C180" i="69"/>
  <c r="F105" i="68"/>
  <c r="U165" i="69"/>
  <c r="E145" i="65"/>
  <c r="AH145" i="65" s="1"/>
  <c r="P164" i="69"/>
  <c r="C170" i="69"/>
  <c r="E135" i="65"/>
  <c r="AH135" i="65" s="1"/>
  <c r="P154" i="69"/>
  <c r="C160" i="69"/>
  <c r="F99" i="68"/>
  <c r="U155" i="69"/>
  <c r="F93" i="68"/>
  <c r="U145" i="69"/>
  <c r="E125" i="65"/>
  <c r="AH125" i="65" s="1"/>
  <c r="P144" i="69"/>
  <c r="C150" i="69"/>
  <c r="F86" i="68"/>
  <c r="U134" i="69"/>
  <c r="F74" i="68"/>
  <c r="U114" i="69"/>
  <c r="B60" i="61"/>
  <c r="U78" i="79"/>
  <c r="U132" i="79" s="1"/>
  <c r="U201" i="79" s="1"/>
  <c r="T132" i="79"/>
  <c r="T201" i="79" s="1"/>
  <c r="E85" i="65"/>
  <c r="AH85" i="65" s="1"/>
  <c r="P104" i="69"/>
  <c r="C110" i="69"/>
  <c r="F69" i="68"/>
  <c r="U105" i="69"/>
  <c r="E175" i="65"/>
  <c r="AH175" i="65" s="1"/>
  <c r="P94" i="69"/>
  <c r="C100" i="69"/>
  <c r="F63" i="68"/>
  <c r="U95" i="69"/>
  <c r="F56" i="68"/>
  <c r="U84" i="69"/>
  <c r="F50" i="68"/>
  <c r="U74" i="69"/>
  <c r="P45" i="61"/>
  <c r="Q45" i="61" s="1"/>
  <c r="Q183" i="69"/>
  <c r="Q279" i="69" s="1"/>
  <c r="N75" i="50"/>
  <c r="N91" i="50" s="1"/>
  <c r="E65" i="65"/>
  <c r="AH65" i="65" s="1"/>
  <c r="P64" i="69"/>
  <c r="C70" i="69"/>
  <c r="F45" i="68"/>
  <c r="U65" i="69"/>
  <c r="E55" i="65"/>
  <c r="AH55" i="65" s="1"/>
  <c r="P54" i="69"/>
  <c r="F39" i="68"/>
  <c r="U55" i="69"/>
  <c r="F26" i="68"/>
  <c r="U34" i="69"/>
  <c r="T54" i="69"/>
  <c r="T183" i="69" s="1"/>
  <c r="T279" i="69" s="1"/>
  <c r="O75" i="50"/>
  <c r="O91" i="50" s="1"/>
  <c r="P75" i="50" s="1"/>
  <c r="F27" i="68"/>
  <c r="U35" i="69"/>
  <c r="P78" i="59"/>
  <c r="P72" i="59"/>
  <c r="P63" i="59"/>
  <c r="P65" i="59"/>
  <c r="P61" i="59"/>
  <c r="P70" i="59"/>
  <c r="P66" i="59"/>
  <c r="P82" i="59"/>
  <c r="P73" i="59"/>
  <c r="P69" i="59"/>
  <c r="P67" i="59"/>
  <c r="P64" i="59"/>
  <c r="P71" i="59"/>
  <c r="P83" i="59"/>
  <c r="P88" i="59"/>
  <c r="P59" i="59"/>
  <c r="P86" i="59"/>
  <c r="P81" i="59"/>
  <c r="P62" i="59"/>
  <c r="P80" i="59"/>
  <c r="P90" i="59"/>
  <c r="P60" i="59"/>
  <c r="P85" i="59"/>
  <c r="P84" i="59"/>
  <c r="P79" i="59"/>
  <c r="P68" i="59"/>
  <c r="P57" i="59"/>
  <c r="P58" i="59"/>
  <c r="O60" i="61"/>
  <c r="O65" i="61"/>
  <c r="P53" i="61"/>
  <c r="Q65" i="61"/>
  <c r="U124" i="69" l="1"/>
  <c r="F20" i="68"/>
  <c r="U24" i="69"/>
  <c r="M52" i="68"/>
  <c r="P52" i="68" s="1"/>
  <c r="M120" i="68"/>
  <c r="P120" i="68" s="1"/>
  <c r="M168" i="68"/>
  <c r="P168" i="68" s="1"/>
  <c r="M156" i="68"/>
  <c r="P156" i="68" s="1"/>
  <c r="M106" i="68"/>
  <c r="P106" i="68" s="1"/>
  <c r="M100" i="68"/>
  <c r="P100" i="68" s="1"/>
  <c r="M58" i="68"/>
  <c r="P58" i="68" s="1"/>
  <c r="M126" i="68"/>
  <c r="P126" i="68" s="1"/>
  <c r="F182" i="68"/>
  <c r="F187" i="68" s="1"/>
  <c r="M70" i="68"/>
  <c r="P70" i="68" s="1"/>
  <c r="M28" i="68"/>
  <c r="P28" i="68" s="1"/>
  <c r="M64" i="68"/>
  <c r="P64" i="68" s="1"/>
  <c r="M144" i="68"/>
  <c r="P144" i="68" s="1"/>
  <c r="M34" i="68"/>
  <c r="P34" i="68" s="1"/>
  <c r="M40" i="68"/>
  <c r="P40" i="68" s="1"/>
  <c r="M150" i="68"/>
  <c r="P150" i="68" s="1"/>
  <c r="M46" i="68"/>
  <c r="P46" i="68" s="1"/>
  <c r="M132" i="68"/>
  <c r="P132" i="68" s="1"/>
  <c r="M162" i="68"/>
  <c r="P162" i="68" s="1"/>
  <c r="M175" i="68"/>
  <c r="M76" i="68"/>
  <c r="P76" i="68" s="1"/>
  <c r="M94" i="68"/>
  <c r="P94" i="68" s="1"/>
  <c r="M138" i="68"/>
  <c r="P138" i="68" s="1"/>
  <c r="M88" i="68"/>
  <c r="P88" i="68" s="1"/>
  <c r="M82" i="68"/>
  <c r="P82" i="68" s="1"/>
  <c r="M112" i="68"/>
  <c r="P112" i="68" s="1"/>
  <c r="M22" i="68"/>
  <c r="P22" i="68" s="1"/>
  <c r="F110" i="68"/>
  <c r="U174" i="69"/>
  <c r="F104" i="68"/>
  <c r="U164" i="69"/>
  <c r="F98" i="68"/>
  <c r="U154" i="69"/>
  <c r="F92" i="68"/>
  <c r="U144" i="69"/>
  <c r="F68" i="68"/>
  <c r="U104" i="69"/>
  <c r="F62" i="68"/>
  <c r="U94" i="69"/>
  <c r="P65" i="61"/>
  <c r="F174" i="68"/>
  <c r="M75" i="68" s="1"/>
  <c r="P75" i="68" s="1"/>
  <c r="F44" i="68"/>
  <c r="U64" i="69"/>
  <c r="P89" i="50"/>
  <c r="P73" i="50"/>
  <c r="P84" i="50"/>
  <c r="P78" i="50"/>
  <c r="P60" i="50"/>
  <c r="P65" i="50"/>
  <c r="P71" i="50"/>
  <c r="P57" i="50"/>
  <c r="P82" i="50"/>
  <c r="P83" i="50"/>
  <c r="P64" i="50"/>
  <c r="P81" i="50"/>
  <c r="P67" i="50"/>
  <c r="P79" i="50"/>
  <c r="P62" i="50"/>
  <c r="P70" i="50"/>
  <c r="P85" i="50"/>
  <c r="P91" i="50"/>
  <c r="P63" i="50"/>
  <c r="P69" i="50"/>
  <c r="P80" i="50"/>
  <c r="F38" i="68"/>
  <c r="U54" i="69"/>
  <c r="P183" i="69"/>
  <c r="P279" i="69" s="1"/>
  <c r="P86" i="50"/>
  <c r="P66" i="50"/>
  <c r="P58" i="50"/>
  <c r="P72" i="50"/>
  <c r="P61" i="50"/>
  <c r="P68" i="50"/>
  <c r="P59" i="50"/>
  <c r="F173" i="68" l="1"/>
  <c r="M32" i="68" s="1"/>
  <c r="P32" i="68" s="1"/>
  <c r="M57" i="68"/>
  <c r="P57" i="68" s="1"/>
  <c r="M105" i="68"/>
  <c r="P105" i="68" s="1"/>
  <c r="U183" i="69"/>
  <c r="U279" i="69" s="1"/>
  <c r="M111" i="68"/>
  <c r="P111" i="68" s="1"/>
  <c r="M15" i="68"/>
  <c r="P15" i="68" s="1"/>
  <c r="M27" i="68"/>
  <c r="P27" i="68" s="1"/>
  <c r="M21" i="68"/>
  <c r="P21" i="68" s="1"/>
  <c r="M45" i="68"/>
  <c r="P45" i="68" s="1"/>
  <c r="M99" i="68"/>
  <c r="P99" i="68" s="1"/>
  <c r="M51" i="68"/>
  <c r="P51" i="68" s="1"/>
  <c r="M93" i="68"/>
  <c r="P93" i="68" s="1"/>
  <c r="M63" i="68"/>
  <c r="P63" i="68" s="1"/>
  <c r="M167" i="68"/>
  <c r="P167" i="68" s="1"/>
  <c r="M149" i="68"/>
  <c r="P149" i="68" s="1"/>
  <c r="M39" i="68"/>
  <c r="P39" i="68" s="1"/>
  <c r="M143" i="68"/>
  <c r="P143" i="68" s="1"/>
  <c r="M155" i="68"/>
  <c r="P155" i="68" s="1"/>
  <c r="M33" i="68"/>
  <c r="P33" i="68" s="1"/>
  <c r="F181" i="68"/>
  <c r="M161" i="68"/>
  <c r="P161" i="68" s="1"/>
  <c r="M69" i="68"/>
  <c r="P69" i="68" s="1"/>
  <c r="M125" i="68"/>
  <c r="P125" i="68" s="1"/>
  <c r="M119" i="68"/>
  <c r="P119" i="68" s="1"/>
  <c r="M131" i="68"/>
  <c r="P131" i="68" s="1"/>
  <c r="M174" i="68"/>
  <c r="M87" i="68"/>
  <c r="P87" i="68" s="1"/>
  <c r="M137" i="68"/>
  <c r="P137" i="68" s="1"/>
  <c r="M81" i="68"/>
  <c r="P81" i="68" s="1"/>
  <c r="M110" i="68" l="1"/>
  <c r="P110" i="68" s="1"/>
  <c r="M130" i="68"/>
  <c r="P130" i="68" s="1"/>
  <c r="M80" i="68"/>
  <c r="P80" i="68" s="1"/>
  <c r="M160" i="68"/>
  <c r="P160" i="68" s="1"/>
  <c r="M148" i="68"/>
  <c r="P148" i="68" s="1"/>
  <c r="M14" i="68"/>
  <c r="P14" i="68" s="1"/>
  <c r="M38" i="68"/>
  <c r="P38" i="68" s="1"/>
  <c r="M50" i="68"/>
  <c r="P50" i="68" s="1"/>
  <c r="M173" i="68"/>
  <c r="M136" i="68"/>
  <c r="P136" i="68" s="1"/>
  <c r="M166" i="68"/>
  <c r="P166" i="68" s="1"/>
  <c r="M104" i="68"/>
  <c r="P104" i="68" s="1"/>
  <c r="M44" i="68"/>
  <c r="P44" i="68" s="1"/>
  <c r="M62" i="68"/>
  <c r="P62" i="68" s="1"/>
  <c r="M124" i="68"/>
  <c r="P124" i="68" s="1"/>
  <c r="M56" i="68"/>
  <c r="P56" i="68" s="1"/>
  <c r="M26" i="68"/>
  <c r="P26" i="68" s="1"/>
  <c r="M154" i="68"/>
  <c r="P154" i="68" s="1"/>
  <c r="M20" i="68"/>
  <c r="P20" i="68" s="1"/>
  <c r="M98" i="68"/>
  <c r="P98" i="68" s="1"/>
  <c r="M68" i="68"/>
  <c r="P68" i="68" s="1"/>
  <c r="M92" i="68"/>
  <c r="P92" i="68" s="1"/>
  <c r="M142" i="68"/>
  <c r="P142" i="68" s="1"/>
  <c r="M118" i="68"/>
  <c r="P118" i="68" s="1"/>
  <c r="M74" i="68"/>
  <c r="P74" i="68" s="1"/>
  <c r="F180" i="68"/>
  <c r="M86" i="68"/>
  <c r="P86" i="68" s="1"/>
</calcChain>
</file>

<file path=xl/comments1.xml><?xml version="1.0" encoding="utf-8"?>
<comments xmlns="http://schemas.openxmlformats.org/spreadsheetml/2006/main">
  <authors>
    <author>Richard Feldman</author>
  </authors>
  <commentList>
    <comment ref="C402" authorId="0">
      <text>
        <r>
          <rPr>
            <b/>
            <sz val="9"/>
            <color indexed="81"/>
            <rFont val="Tahoma"/>
            <family val="2"/>
          </rPr>
          <t>Richard Feldman:</t>
        </r>
        <r>
          <rPr>
            <sz val="9"/>
            <color indexed="81"/>
            <rFont val="Tahoma"/>
            <family val="2"/>
          </rPr>
          <t xml:space="preserve">
Trended beginning in 2041</t>
        </r>
      </text>
    </comment>
  </commentList>
</comments>
</file>

<file path=xl/comments2.xml><?xml version="1.0" encoding="utf-8"?>
<comments xmlns="http://schemas.openxmlformats.org/spreadsheetml/2006/main">
  <authors>
    <author>Richard Feldman</author>
  </authors>
  <commentList>
    <comment ref="C402" authorId="0">
      <text>
        <r>
          <rPr>
            <b/>
            <sz val="9"/>
            <color indexed="81"/>
            <rFont val="Tahoma"/>
            <family val="2"/>
          </rPr>
          <t>Richard Feldman:</t>
        </r>
        <r>
          <rPr>
            <sz val="9"/>
            <color indexed="81"/>
            <rFont val="Tahoma"/>
            <family val="2"/>
          </rPr>
          <t xml:space="preserve">
Trended beginning in 2041</t>
        </r>
      </text>
    </comment>
  </commentList>
</comments>
</file>

<file path=xl/sharedStrings.xml><?xml version="1.0" encoding="utf-8"?>
<sst xmlns="http://schemas.openxmlformats.org/spreadsheetml/2006/main" count="17645" uniqueCount="1327">
  <si>
    <t xml:space="preserve"> Fri, Jun  1 </t>
  </si>
  <si>
    <t xml:space="preserve"> Wed, Aug  15 </t>
  </si>
  <si>
    <t xml:space="preserve"> Thu, Sep  6 </t>
  </si>
  <si>
    <t xml:space="preserve"> Tue, Dec  11 </t>
  </si>
  <si>
    <t xml:space="preserve"> Fri, Jul  20 </t>
  </si>
  <si>
    <t xml:space="preserve">MDWS </t>
  </si>
  <si>
    <t xml:space="preserve">Wholesale - Metro Dade County Solid Waste Management </t>
  </si>
  <si>
    <t>MDWS</t>
  </si>
  <si>
    <t xml:space="preserve"> Mon, Mar  19 </t>
  </si>
  <si>
    <t xml:space="preserve"> Sun, Aug  26 </t>
  </si>
  <si>
    <t xml:space="preserve"> Sun, Dec  23 </t>
  </si>
  <si>
    <t xml:space="preserve">          2:00</t>
  </si>
  <si>
    <t xml:space="preserve">          4:00</t>
  </si>
  <si>
    <t xml:space="preserve">METRO </t>
  </si>
  <si>
    <t xml:space="preserve">MET Metropolitan Transit Service (Metrorail) </t>
  </si>
  <si>
    <t>METRO</t>
  </si>
  <si>
    <t xml:space="preserve"> Wed, Sep  5 </t>
  </si>
  <si>
    <t xml:space="preserve">OL01 </t>
  </si>
  <si>
    <t xml:space="preserve">Outdoor Lighting (Modeled Rate Class) </t>
  </si>
  <si>
    <t>OL01</t>
  </si>
  <si>
    <t xml:space="preserve">OS202 </t>
  </si>
  <si>
    <t xml:space="preserve">Sports Field (Sampled) </t>
  </si>
  <si>
    <t>OS202</t>
  </si>
  <si>
    <t xml:space="preserve"> Thu, Mar  1 </t>
  </si>
  <si>
    <t xml:space="preserve"> Tue, May  8 </t>
  </si>
  <si>
    <t xml:space="preserve"> Tue, Nov  6 </t>
  </si>
  <si>
    <t xml:space="preserve"> Thu, Dec  6 </t>
  </si>
  <si>
    <t xml:space="preserve">           22:00</t>
  </si>
  <si>
    <t xml:space="preserve">RS(T)-1 Residential Service 1 with TOU included (Sampled) </t>
  </si>
  <si>
    <t xml:space="preserve"> Sun, Jun  10 </t>
  </si>
  <si>
    <t xml:space="preserve"> Mon, Oct  22 </t>
  </si>
  <si>
    <t xml:space="preserve"> Sat, Jul  7 </t>
  </si>
  <si>
    <t xml:space="preserve"> Thu, Sep  13 </t>
  </si>
  <si>
    <t xml:space="preserve">SL01 </t>
  </si>
  <si>
    <t xml:space="preserve">Street Lighting (Modeled Rate Class) </t>
  </si>
  <si>
    <t>SL01</t>
  </si>
  <si>
    <t xml:space="preserve">SL02 </t>
  </si>
  <si>
    <t xml:space="preserve">Traffic Signal (Modeled Rate Class) </t>
  </si>
  <si>
    <t>SL02</t>
  </si>
  <si>
    <t xml:space="preserve">SSTD </t>
  </si>
  <si>
    <t>SSTD</t>
  </si>
  <si>
    <t xml:space="preserve"> Wed, Jul  25 </t>
  </si>
  <si>
    <t xml:space="preserve"> Tue, Sep  18 </t>
  </si>
  <si>
    <t xml:space="preserve">SSTTST </t>
  </si>
  <si>
    <t xml:space="preserve">SST-1 Transmission Standby </t>
  </si>
  <si>
    <t>SSTTST</t>
  </si>
  <si>
    <t xml:space="preserve"> Mon, Nov  12 </t>
  </si>
  <si>
    <t xml:space="preserve"> Sat, Dec  22 </t>
  </si>
  <si>
    <t>RS(T)-1</t>
  </si>
  <si>
    <t>GS(T)-1</t>
  </si>
  <si>
    <t>CILC-1T</t>
  </si>
  <si>
    <t>CS(T)-1</t>
  </si>
  <si>
    <t>GSLD(T)-3</t>
  </si>
  <si>
    <t>SL-1</t>
  </si>
  <si>
    <t>CS(T)-2</t>
  </si>
  <si>
    <t>SL-2</t>
  </si>
  <si>
    <t>OL-1</t>
  </si>
  <si>
    <t>OS-2</t>
  </si>
  <si>
    <t>CS(T)-3</t>
  </si>
  <si>
    <t xml:space="preserve"> Wed, Nov  14 </t>
  </si>
  <si>
    <t>TOTAL</t>
  </si>
  <si>
    <t>RLR ENERGY:</t>
  </si>
  <si>
    <t>DEMAND (KW):</t>
  </si>
  <si>
    <t>GCP ONPK</t>
  </si>
  <si>
    <t>GCP OFFPK</t>
  </si>
  <si>
    <t>REL PREC:</t>
  </si>
  <si>
    <t>SAMPLE SIZE:</t>
  </si>
  <si>
    <t>GSD(T)-1</t>
  </si>
  <si>
    <t>GSLD(T)-1</t>
  </si>
  <si>
    <t>GSLD(T)-2</t>
  </si>
  <si>
    <t>JAN</t>
  </si>
  <si>
    <t>FEB</t>
  </si>
  <si>
    <t>MAR</t>
  </si>
  <si>
    <t>APR</t>
  </si>
  <si>
    <t>MAY</t>
  </si>
  <si>
    <t>JUN</t>
  </si>
  <si>
    <t>JUL</t>
  </si>
  <si>
    <t>AUG</t>
  </si>
  <si>
    <t>SEP</t>
  </si>
  <si>
    <t>OCT</t>
  </si>
  <si>
    <t>NOV</t>
  </si>
  <si>
    <t>DEC</t>
  </si>
  <si>
    <t>AVERAGE</t>
  </si>
  <si>
    <t>RETAIL:</t>
  </si>
  <si>
    <t xml:space="preserve">CILC-1D </t>
  </si>
  <si>
    <t xml:space="preserve">CILC-1G </t>
  </si>
  <si>
    <t>WHOLESALE:</t>
  </si>
  <si>
    <t>SST-D</t>
  </si>
  <si>
    <t>SST-1T</t>
  </si>
  <si>
    <t>3-Year Average as Calculated by LodeStar Except as Noted</t>
  </si>
  <si>
    <t>GROUP NON COINCIDENT PEAK  (GNCP)</t>
  </si>
  <si>
    <t>COINCIDENT PEAK  (CP)</t>
  </si>
  <si>
    <t>3-Year Average</t>
  </si>
  <si>
    <t>Total</t>
  </si>
  <si>
    <t xml:space="preserve">MW Demand Controlled - </t>
  </si>
  <si>
    <t>Curtailment</t>
  </si>
  <si>
    <t xml:space="preserve">MWH Energy Controlled - </t>
  </si>
  <si>
    <r>
      <t xml:space="preserve">Note:  Refer to  </t>
    </r>
    <r>
      <rPr>
        <b/>
        <sz val="10"/>
        <color indexed="12"/>
        <rFont val="Arial"/>
        <family val="2"/>
      </rPr>
      <t>2007 Load Control Impact on Demand and Energy.xls</t>
    </r>
    <r>
      <rPr>
        <sz val="10"/>
        <rFont val="Arial"/>
        <family val="2"/>
      </rPr>
      <t xml:space="preserve">  file for detail.</t>
    </r>
  </si>
  <si>
    <t>CILC-1D</t>
  </si>
  <si>
    <t>CILC-1G</t>
  </si>
  <si>
    <t>FISCAL MONTH HOURS</t>
  </si>
  <si>
    <t>Note:  Fiscal Months run from the 29th of the prior to the 28th of the current month with the execption of February which runs up to the 25th during non leap years and the 26th during leap years.</t>
  </si>
  <si>
    <t>WINTER: NOVEMBER THROUGH MARCH PEAK TIMES 6A-10A AND 6P-10P</t>
  </si>
  <si>
    <t>SUMMER: APRIL THROUGH OCTOBER PEAK TIMES 12N-9P</t>
  </si>
  <si>
    <t>EXCLUDING HOLIDAYS</t>
  </si>
  <si>
    <t>DAY OF SYSTEM PEAK</t>
  </si>
  <si>
    <t>DATE</t>
  </si>
  <si>
    <t>DAY OF WEEK</t>
  </si>
  <si>
    <t xml:space="preserve">    Monday   </t>
  </si>
  <si>
    <t xml:space="preserve">    Friday   </t>
  </si>
  <si>
    <t xml:space="preserve"> Wednesday   </t>
  </si>
  <si>
    <t xml:space="preserve">  Thursday   </t>
  </si>
  <si>
    <t>CP HOUR ENDING</t>
  </si>
  <si>
    <t>CP (MW)</t>
  </si>
  <si>
    <t>SUNRISE</t>
  </si>
  <si>
    <t>SUNSET</t>
  </si>
  <si>
    <t>Notes:</t>
  </si>
  <si>
    <t>1. RLR: RATE LOAD RESEARCH</t>
  </si>
  <si>
    <t>3. SALES: ENERGY SALES FROM RATE AND REVENUE REPORT</t>
  </si>
  <si>
    <t xml:space="preserve">8. CP: COINCIDENT PEAK: DEMAND AT TIME OF SYSTEM PEAK </t>
  </si>
  <si>
    <t xml:space="preserve">CILC1D </t>
  </si>
  <si>
    <t xml:space="preserve">Commercial/Industrial Load Control - Distribution (54) </t>
  </si>
  <si>
    <t>CILC1D</t>
  </si>
  <si>
    <t xml:space="preserve">MONTH </t>
  </si>
  <si>
    <t xml:space="preserve">CUSTOMERS </t>
  </si>
  <si>
    <t xml:space="preserve">SALES </t>
  </si>
  <si>
    <t>KW</t>
  </si>
  <si>
    <t>N</t>
  </si>
  <si>
    <t>KWH</t>
  </si>
  <si>
    <t>KWH ONPK</t>
  </si>
  <si>
    <t>KWH OFFPK</t>
  </si>
  <si>
    <t>KWH ONPK%</t>
  </si>
  <si>
    <t>KWH OFFPK%</t>
  </si>
  <si>
    <t>NCP</t>
  </si>
  <si>
    <t>NCP ONPK</t>
  </si>
  <si>
    <t>NCP OFFPK</t>
  </si>
  <si>
    <t>GCP DATE</t>
  </si>
  <si>
    <t xml:space="preserve"> Fri, Mar  2 </t>
  </si>
  <si>
    <t xml:space="preserve"> Wed, Apr  4 </t>
  </si>
  <si>
    <t xml:space="preserve"> Tue, Jun  5 </t>
  </si>
  <si>
    <t xml:space="preserve"> Wed, Aug  29 </t>
  </si>
  <si>
    <t xml:space="preserve"> Thu, Oct  4 </t>
  </si>
  <si>
    <t>GCP TIME</t>
  </si>
  <si>
    <t xml:space="preserve">           14:00</t>
  </si>
  <si>
    <t xml:space="preserve">           15:00</t>
  </si>
  <si>
    <t xml:space="preserve">           16:00</t>
  </si>
  <si>
    <t xml:space="preserve">           12:00</t>
  </si>
  <si>
    <t>GCP</t>
  </si>
  <si>
    <t>CP</t>
  </si>
  <si>
    <t>PERIOD START</t>
  </si>
  <si>
    <t>NCP LF</t>
  </si>
  <si>
    <t>NCP LF ONPK</t>
  </si>
  <si>
    <t>NCP LF OFFPK</t>
  </si>
  <si>
    <t>GCP CF</t>
  </si>
  <si>
    <t>CP CF</t>
  </si>
  <si>
    <t>GCP LF</t>
  </si>
  <si>
    <t>GCP LF ONPK</t>
  </si>
  <si>
    <t>GCP LF OFFPK</t>
  </si>
  <si>
    <t>CP LF</t>
  </si>
  <si>
    <t>NCP RP</t>
  </si>
  <si>
    <t>NCP RP ONPK</t>
  </si>
  <si>
    <t>NCP RP OFFPK</t>
  </si>
  <si>
    <t>GCP RP</t>
  </si>
  <si>
    <t>GCP RP ONPK</t>
  </si>
  <si>
    <t>GCP RP OFFPK</t>
  </si>
  <si>
    <t>CP RP</t>
  </si>
  <si>
    <t>GCPSZ</t>
  </si>
  <si>
    <t>GCPSZ ONPK</t>
  </si>
  <si>
    <t>GCPSZ OFFPK</t>
  </si>
  <si>
    <t>CPSZ</t>
  </si>
  <si>
    <t>STD DEV OF R</t>
  </si>
  <si>
    <t>SDR GCP</t>
  </si>
  <si>
    <t>SDR GCP ONPK</t>
  </si>
  <si>
    <t>SDR GCP OFFPK</t>
  </si>
  <si>
    <t>SDR CP</t>
  </si>
  <si>
    <t xml:space="preserve">CILC1G </t>
  </si>
  <si>
    <t xml:space="preserve">Commercial/Industrial Load Control - General (56) </t>
  </si>
  <si>
    <t>CILC1G</t>
  </si>
  <si>
    <t xml:space="preserve"> Tue, Jul  10 </t>
  </si>
  <si>
    <t xml:space="preserve"> Tue, Aug  21 </t>
  </si>
  <si>
    <t xml:space="preserve"> Tue, Oct  9 </t>
  </si>
  <si>
    <t xml:space="preserve"> Thu, Nov  1 </t>
  </si>
  <si>
    <t xml:space="preserve">           13:00</t>
  </si>
  <si>
    <t xml:space="preserve">CILC1T </t>
  </si>
  <si>
    <t xml:space="preserve">Commercial/Industrial Load Control - Transmission (55) </t>
  </si>
  <si>
    <t>CILC1T</t>
  </si>
  <si>
    <t xml:space="preserve"> Thu, Apr  5 </t>
  </si>
  <si>
    <t xml:space="preserve"> Mon, Jul  9 </t>
  </si>
  <si>
    <t xml:space="preserve"> Mon, Aug  20 </t>
  </si>
  <si>
    <t xml:space="preserve">           11:00</t>
  </si>
  <si>
    <t xml:space="preserve"> Sat, Mar  3 </t>
  </si>
  <si>
    <t xml:space="preserve"> Sat, Jun  23 </t>
  </si>
  <si>
    <t xml:space="preserve"> Sun, Aug  5 </t>
  </si>
  <si>
    <t xml:space="preserve">           19:00</t>
  </si>
  <si>
    <t xml:space="preserve">          9:00</t>
  </si>
  <si>
    <t xml:space="preserve">           17:00</t>
  </si>
  <si>
    <t xml:space="preserve">           18:00</t>
  </si>
  <si>
    <t xml:space="preserve"> Tue, May  29 </t>
  </si>
  <si>
    <t xml:space="preserve"> Sun, Jul  29 </t>
  </si>
  <si>
    <t xml:space="preserve">          6:00</t>
  </si>
  <si>
    <t xml:space="preserve">          7:00</t>
  </si>
  <si>
    <t xml:space="preserve">          1:00</t>
  </si>
  <si>
    <t xml:space="preserve">           10:00</t>
  </si>
  <si>
    <t xml:space="preserve">          8:00</t>
  </si>
  <si>
    <t xml:space="preserve"> Thu, May  3 </t>
  </si>
  <si>
    <t xml:space="preserve"> Thu, Dec  13 </t>
  </si>
  <si>
    <t xml:space="preserve"> Mon, Apr  30 </t>
  </si>
  <si>
    <t xml:space="preserve"> Wed, May  30 </t>
  </si>
  <si>
    <t xml:space="preserve"> Tue, Jul  24 </t>
  </si>
  <si>
    <t xml:space="preserve"> Thu, Sep  27 </t>
  </si>
  <si>
    <t xml:space="preserve"> Mon, Dec  10 </t>
  </si>
  <si>
    <t xml:space="preserve"> Sat, Jun  2 </t>
  </si>
  <si>
    <t xml:space="preserve"> Fri, Oct  5 </t>
  </si>
  <si>
    <t xml:space="preserve">           24:00</t>
  </si>
  <si>
    <t xml:space="preserve">           23:00</t>
  </si>
  <si>
    <t xml:space="preserve">           21:00</t>
  </si>
  <si>
    <t xml:space="preserve"> Fri, May  4 </t>
  </si>
  <si>
    <t xml:space="preserve"> Wed, Aug  22 </t>
  </si>
  <si>
    <t xml:space="preserve"> Thu, Oct  18 </t>
  </si>
  <si>
    <t>SDR GCP OFFP</t>
  </si>
  <si>
    <t>I   SDR GCP</t>
  </si>
  <si>
    <t>I   SDR GCP ONPK</t>
  </si>
  <si>
    <t>I   SDR GCP OFFPK</t>
  </si>
  <si>
    <t>II  SDR GCP</t>
  </si>
  <si>
    <t>II  SDR GCP ONPK</t>
  </si>
  <si>
    <t>II  SDR GCP OFFPK</t>
  </si>
  <si>
    <t>II  SDR CP</t>
  </si>
  <si>
    <t>III SDR GCP</t>
  </si>
  <si>
    <t>III SDR GCP ONPK</t>
  </si>
  <si>
    <t>III SDR GCP OFFPK</t>
  </si>
  <si>
    <t>III SDR CP</t>
  </si>
  <si>
    <t>IV  SDR GCP</t>
  </si>
  <si>
    <t>IV  SDR GCP ONPK</t>
  </si>
  <si>
    <t>IV  SDR GCP OFFPK</t>
  </si>
  <si>
    <t>IV  SDR CP</t>
  </si>
  <si>
    <t xml:space="preserve"> Mon, Jun  18 </t>
  </si>
  <si>
    <t xml:space="preserve"> Fri, Jul  27 </t>
  </si>
  <si>
    <t xml:space="preserve">           20:00</t>
  </si>
  <si>
    <t>STD DEV OF R:</t>
  </si>
  <si>
    <t xml:space="preserve">GSLD(T)-1 General Service Large Demand 1 including TOU (Sampled) </t>
  </si>
  <si>
    <t xml:space="preserve"> Thu, Jul  19 </t>
  </si>
  <si>
    <t xml:space="preserve"> Tue, Apr  3 </t>
  </si>
  <si>
    <t>CNTRKE</t>
  </si>
  <si>
    <t xml:space="preserve">Wholesale - Contract Rate (Key West) </t>
  </si>
  <si>
    <t xml:space="preserve">CNTRKE </t>
  </si>
  <si>
    <t>CNTRFK</t>
  </si>
  <si>
    <t xml:space="preserve">Wholesale - Contract Rate (FKEC) </t>
  </si>
  <si>
    <t xml:space="preserve">CNTRFK </t>
  </si>
  <si>
    <t>PLEASE VERIFY THE SUN POSITION AND VERIFY THE LIGHTING CLASSES CP</t>
  </si>
  <si>
    <t xml:space="preserve"> Wednesday</t>
  </si>
  <si>
    <t>TIME OF USE PERIODS OFF-PEAK: ALL OTHER HOURS</t>
  </si>
  <si>
    <t>TIME OF USE PERIOD ON-PEAK:</t>
  </si>
  <si>
    <t>ALL DEMANDS ARE IN KW UNLESS OTHERWISE STATED</t>
  </si>
  <si>
    <t xml:space="preserve"> Mon, Jul  28 </t>
  </si>
  <si>
    <t xml:space="preserve"> Thu, May  1 </t>
  </si>
  <si>
    <t xml:space="preserve"> Thu, Apr  24 </t>
  </si>
  <si>
    <t xml:space="preserve"> Tue, Jan  1 </t>
  </si>
  <si>
    <t xml:space="preserve">SSTD-D Distribution Standby Load Combined (SST-1D, 2D &amp; 3D) </t>
  </si>
  <si>
    <t xml:space="preserve"> Thu, Aug  7 </t>
  </si>
  <si>
    <t xml:space="preserve"> Sun, Jun  29 </t>
  </si>
  <si>
    <t xml:space="preserve"> Mon, Jun  23 </t>
  </si>
  <si>
    <t xml:space="preserve"> Fri, Aug  29 </t>
  </si>
  <si>
    <t xml:space="preserve"> Tue, Jul  29 </t>
  </si>
  <si>
    <t xml:space="preserve"> Thu, May  29 </t>
  </si>
  <si>
    <t xml:space="preserve"> Tue, Apr  29 </t>
  </si>
  <si>
    <t xml:space="preserve"> Tue, Jan  29 </t>
  </si>
  <si>
    <t xml:space="preserve"> Sat, Dec  29 </t>
  </si>
  <si>
    <t xml:space="preserve"> Tue, May  20 </t>
  </si>
  <si>
    <t xml:space="preserve"> Fri, Mar  7 </t>
  </si>
  <si>
    <t xml:space="preserve"> Sun, Feb  17 </t>
  </si>
  <si>
    <t xml:space="preserve"> Mon, Aug  25 </t>
  </si>
  <si>
    <t xml:space="preserve"> Mon, Apr  28 </t>
  </si>
  <si>
    <t xml:space="preserve"> Mon, Sep  15 </t>
  </si>
  <si>
    <t xml:space="preserve"> Wed, Jun  4 </t>
  </si>
  <si>
    <t xml:space="preserve"> Tue, Feb  26 </t>
  </si>
  <si>
    <t xml:space="preserve"> Wed, Jan  23 </t>
  </si>
  <si>
    <t xml:space="preserve"> Sun, Feb  24 </t>
  </si>
  <si>
    <t xml:space="preserve"> Thu, Jan  3 </t>
  </si>
  <si>
    <t xml:space="preserve"> Thu, Aug  28 </t>
  </si>
  <si>
    <t xml:space="preserve"> Thu, Feb  28 </t>
  </si>
  <si>
    <t xml:space="preserve"> Tue, Feb  19 </t>
  </si>
  <si>
    <t xml:space="preserve"> Tue, Sep  2 </t>
  </si>
  <si>
    <t xml:space="preserve"> Wed, Jul  30 </t>
  </si>
  <si>
    <t xml:space="preserve"> Wed, Apr  2 </t>
  </si>
  <si>
    <t xml:space="preserve"> Tue, Mar  4 </t>
  </si>
  <si>
    <t xml:space="preserve"> Fri, Jun  20 </t>
  </si>
  <si>
    <t xml:space="preserve"> Mon, Mar  17 </t>
  </si>
  <si>
    <t xml:space="preserve"> Fri, Feb  1 </t>
  </si>
  <si>
    <t xml:space="preserve"> Fri, Aug  22 </t>
  </si>
  <si>
    <t xml:space="preserve"> Mon, Jun  30 </t>
  </si>
  <si>
    <t xml:space="preserve"> Fri, Jun  27 </t>
  </si>
  <si>
    <t xml:space="preserve"> Fri, May  23 </t>
  </si>
  <si>
    <t xml:space="preserve"> Wed, Jun  25 </t>
  </si>
  <si>
    <t xml:space="preserve"> Tue, Sep  16 </t>
  </si>
  <si>
    <t xml:space="preserve"> Thu, Jun  26 </t>
  </si>
  <si>
    <t xml:space="preserve"> Sun, Aug  10 </t>
  </si>
  <si>
    <t xml:space="preserve"> Tue, Jun  24 </t>
  </si>
  <si>
    <t xml:space="preserve">GSCU-1 General Service Constant Usage (0-20 kW) (Sampled) </t>
  </si>
  <si>
    <t xml:space="preserve"> Mon, Feb  25 </t>
  </si>
  <si>
    <t xml:space="preserve">          3:00</t>
  </si>
  <si>
    <t xml:space="preserve"> Sat, Jul  26 </t>
  </si>
  <si>
    <t xml:space="preserve"> Fri, Feb  8 </t>
  </si>
  <si>
    <t xml:space="preserve"> Tue, Aug  5 </t>
  </si>
  <si>
    <t xml:space="preserve"> Tue, Apr  8 </t>
  </si>
  <si>
    <t xml:space="preserve"> Sat, May  24 </t>
  </si>
  <si>
    <t xml:space="preserve"> Tue, Jun  10 </t>
  </si>
  <si>
    <t xml:space="preserve"> Tue, Apr  1 </t>
  </si>
  <si>
    <t xml:space="preserve"> Thu, Jan  10 </t>
  </si>
  <si>
    <t xml:space="preserve">    Friday</t>
  </si>
  <si>
    <t xml:space="preserve">    Monday</t>
  </si>
  <si>
    <t>Thursday</t>
  </si>
  <si>
    <t xml:space="preserve"> Wed, Oct  29 </t>
  </si>
  <si>
    <t xml:space="preserve"> Mon, Sep  29 </t>
  </si>
  <si>
    <t xml:space="preserve"> Fri, Dec  5 </t>
  </si>
  <si>
    <t xml:space="preserve"> Wed, Dec  10 </t>
  </si>
  <si>
    <t xml:space="preserve"> Tue, Dec  2 </t>
  </si>
  <si>
    <t xml:space="preserve"> Thu, Oct  30 </t>
  </si>
  <si>
    <t xml:space="preserve"> Tue, Nov  25 </t>
  </si>
  <si>
    <t xml:space="preserve"> Wed, Dec  24 </t>
  </si>
  <si>
    <t xml:space="preserve"> Sat, Nov  22 </t>
  </si>
  <si>
    <t xml:space="preserve"> Wed, Nov  19 </t>
  </si>
  <si>
    <t xml:space="preserve"> Wed, Dec  31 </t>
  </si>
  <si>
    <t xml:space="preserve"> Fri, Oct  3 </t>
  </si>
  <si>
    <t xml:space="preserve"> Mon, Dec  15 </t>
  </si>
  <si>
    <t xml:space="preserve">   Tuesday</t>
  </si>
  <si>
    <t>GSCU-1</t>
  </si>
  <si>
    <t>HLFT-1</t>
  </si>
  <si>
    <t>HLFT-2</t>
  </si>
  <si>
    <t>HLFT-3</t>
  </si>
  <si>
    <t>SDTR-1</t>
  </si>
  <si>
    <t>SDTR-2</t>
  </si>
  <si>
    <t>SDTR-3</t>
  </si>
  <si>
    <t>2008 is a leap year.</t>
  </si>
  <si>
    <t>First Historical Year</t>
  </si>
  <si>
    <t>Second Historical Year</t>
  </si>
  <si>
    <t>Third Historical Year</t>
  </si>
  <si>
    <r>
      <t xml:space="preserve">Note:  Refer to  </t>
    </r>
    <r>
      <rPr>
        <b/>
        <sz val="10"/>
        <color indexed="12"/>
        <rFont val="Arial"/>
        <family val="2"/>
      </rPr>
      <t>2008 Load Control Impact on Demand and Energy.xls</t>
    </r>
    <r>
      <rPr>
        <sz val="10"/>
        <rFont val="Arial"/>
        <family val="2"/>
      </rPr>
      <t xml:space="preserve">  file for detail.</t>
    </r>
  </si>
  <si>
    <r>
      <t xml:space="preserve">Note:  Refer to  </t>
    </r>
    <r>
      <rPr>
        <b/>
        <sz val="10"/>
        <color indexed="12"/>
        <rFont val="Arial"/>
        <family val="2"/>
      </rPr>
      <t>2009 Load Control Impact on Demand and Energy.xls</t>
    </r>
    <r>
      <rPr>
        <sz val="10"/>
        <rFont val="Arial"/>
        <family val="2"/>
      </rPr>
      <t xml:space="preserve">  file for detail.</t>
    </r>
  </si>
  <si>
    <t>(1)  Historical KWH / Hours in Month / Historical NCP.</t>
  </si>
  <si>
    <t>WINTER</t>
  </si>
  <si>
    <t>SUMMER</t>
  </si>
  <si>
    <t>CILC-1D:  COMMERCIAL/INDUSTRIAL LOAD CONTROL - DISTRIBUTION</t>
  </si>
  <si>
    <t>GNCP</t>
  </si>
  <si>
    <t>3-YEAR AVERAGE LOAD FACTORS (1):</t>
  </si>
  <si>
    <t>Agrees?</t>
  </si>
  <si>
    <t>Check Total</t>
  </si>
  <si>
    <t>Grand Total</t>
  </si>
  <si>
    <t xml:space="preserve"> SST-1T  Total</t>
  </si>
  <si>
    <t>SST-1</t>
  </si>
  <si>
    <t xml:space="preserve"> SST-1D  Total</t>
  </si>
  <si>
    <t>SST-1D</t>
  </si>
  <si>
    <t>SST-3</t>
  </si>
  <si>
    <t>SST-2</t>
  </si>
  <si>
    <t xml:space="preserve"> SL-2  Total</t>
  </si>
  <si>
    <t xml:space="preserve"> SL-1  Total</t>
  </si>
  <si>
    <t>SDTR-3 Total</t>
  </si>
  <si>
    <t>SDTR-3B</t>
  </si>
  <si>
    <t>SDTR-3A</t>
  </si>
  <si>
    <t>SDTR-2 Total</t>
  </si>
  <si>
    <t>SDTR-2B</t>
  </si>
  <si>
    <t>SDTR-2A</t>
  </si>
  <si>
    <t>SDTR-1 Total</t>
  </si>
  <si>
    <t>SDTR-1B</t>
  </si>
  <si>
    <t>SDTR-1A</t>
  </si>
  <si>
    <t xml:space="preserve"> RS(T)-1  Total</t>
  </si>
  <si>
    <t>RST-1</t>
  </si>
  <si>
    <t>RS-1</t>
  </si>
  <si>
    <t xml:space="preserve"> OS-2  Total</t>
  </si>
  <si>
    <t xml:space="preserve"> OL-1  Total</t>
  </si>
  <si>
    <t xml:space="preserve"> MET  Total</t>
  </si>
  <si>
    <t>MET</t>
  </si>
  <si>
    <t>HLFT-3 Total</t>
  </si>
  <si>
    <t>HLFT-2 Total</t>
  </si>
  <si>
    <t>HLFT-1 Total</t>
  </si>
  <si>
    <t xml:space="preserve"> GSLD(T)-3  Total</t>
  </si>
  <si>
    <t>GSLDT-3</t>
  </si>
  <si>
    <t>GSLD-3</t>
  </si>
  <si>
    <t xml:space="preserve"> GSLD(T)-2  Total</t>
  </si>
  <si>
    <t>GSLDT-2</t>
  </si>
  <si>
    <t>GSLD-2</t>
  </si>
  <si>
    <t xml:space="preserve"> GSLD(T)-1  Total</t>
  </si>
  <si>
    <t>GSLDT-1</t>
  </si>
  <si>
    <t>GSLD-1</t>
  </si>
  <si>
    <t xml:space="preserve"> GSD(T)-1  Total</t>
  </si>
  <si>
    <t>GSDT-1</t>
  </si>
  <si>
    <t>GSD-1</t>
  </si>
  <si>
    <t xml:space="preserve"> GSCU-1  Total</t>
  </si>
  <si>
    <t xml:space="preserve"> GS(T)-1  Total</t>
  </si>
  <si>
    <t>WIES-1</t>
  </si>
  <si>
    <t>GST-1</t>
  </si>
  <si>
    <t>GS-1</t>
  </si>
  <si>
    <t xml:space="preserve"> CS(T)-3  Total</t>
  </si>
  <si>
    <t>CST-3</t>
  </si>
  <si>
    <t xml:space="preserve"> CS(T)-2  Total</t>
  </si>
  <si>
    <t>CST-2</t>
  </si>
  <si>
    <t>CS-2</t>
  </si>
  <si>
    <t xml:space="preserve"> CS(T)-1  Total</t>
  </si>
  <si>
    <t>CST-1</t>
  </si>
  <si>
    <t>CS-1</t>
  </si>
  <si>
    <t xml:space="preserve"> CILC-1T  Total</t>
  </si>
  <si>
    <t xml:space="preserve"> CILC-1G  Total</t>
  </si>
  <si>
    <t xml:space="preserve"> CILC-1D  Total</t>
  </si>
  <si>
    <t>December</t>
  </si>
  <si>
    <t>November</t>
  </si>
  <si>
    <t>October</t>
  </si>
  <si>
    <t>September</t>
  </si>
  <si>
    <t>August</t>
  </si>
  <si>
    <t>July</t>
  </si>
  <si>
    <t>June</t>
  </si>
  <si>
    <t>May</t>
  </si>
  <si>
    <t>April</t>
  </si>
  <si>
    <t>March</t>
  </si>
  <si>
    <t>February</t>
  </si>
  <si>
    <t>January</t>
  </si>
  <si>
    <t>COS Code</t>
  </si>
  <si>
    <t>RT_TARIFF</t>
  </si>
  <si>
    <t>RATE_CODE</t>
  </si>
  <si>
    <t>REV_CLASS</t>
  </si>
  <si>
    <t>Annual Totals</t>
  </si>
  <si>
    <t>kWh Sales Forecast by COS Code Grouping</t>
  </si>
  <si>
    <t>Avg - Historical</t>
  </si>
  <si>
    <t>Hours in Month:</t>
  </si>
  <si>
    <t>Prior Year</t>
  </si>
  <si>
    <t>Test Year</t>
  </si>
  <si>
    <t>PROJECTED KWH SALES:</t>
  </si>
  <si>
    <t>FORECASTED LOAD (2):</t>
  </si>
  <si>
    <t>(2)  Projected sales / Hours in Month / Respective Average Historical Load Factor.</t>
  </si>
  <si>
    <t>Historical Load Control Events:</t>
  </si>
  <si>
    <t>KW Demand Controlled</t>
  </si>
  <si>
    <t>KWH Energy Controlled</t>
  </si>
  <si>
    <t>GNCP  (3)</t>
  </si>
  <si>
    <t>(3)  NCP is always equal or higher than GNCP and GNCP is always equal or higher than CP for the rate class.  The GCNP and/or CP forecasted loads were replaced when necessary to maintain this relationship.</t>
  </si>
  <si>
    <t>CP  (3) (4)</t>
  </si>
  <si>
    <t xml:space="preserve">(4)  The forecasted CP was adjutsed to reflect historical load control events when applicable. </t>
  </si>
  <si>
    <t>CP, GNCP and NCP LOAD FORECAST</t>
  </si>
  <si>
    <t>The replaced loads are highlighted in blue.</t>
  </si>
  <si>
    <t>CILC-1G:  COMMERCIAL/INDUSTRIAL LOAD CONTROL - GENERAL</t>
  </si>
  <si>
    <t>CILC-1T:  COMMERCIAL/INDUSTRIAL LOAD CONTROL - TRANSMISSION</t>
  </si>
  <si>
    <t>GS(T)-1:  GENERAL SERVICE (GS-1, GST-1 and WIES)</t>
  </si>
  <si>
    <t>GSCU-1:  GENERAL SERVICE CONSTANT USE</t>
  </si>
  <si>
    <t>GSD(T)-1:  GENERAL SERVICE DEMAND 21-499 kW (GSD-1 and GSDT-1)</t>
  </si>
  <si>
    <t>GSLD(T)-1:  GENERAL SERVICE LARGE DEMAND 500-1999 kW (GSLD-1 and GSLDT-1)</t>
  </si>
  <si>
    <t>GSLD(T)-2:  GENERAL SERVICE LARGE DEMAND 2000 kW + (GSLD-2 and GSLDT-2)</t>
  </si>
  <si>
    <t>GSLD(T)-3:  GENERAL SERVICE LARGE DEMAND - TRANSMISSION (GSLD-3 and GSLDT-3)</t>
  </si>
  <si>
    <t>MET:  METROPOLITAN TRANSIT SERVICE</t>
  </si>
  <si>
    <t>OL-1:  OUTDOOR LIGHTING</t>
  </si>
  <si>
    <t>OS-2:  SPORTS FIELDS SERVICE</t>
  </si>
  <si>
    <t>RS(T)-1:  RESIDENTIAL SERVICE (RS-1 and RST-1)</t>
  </si>
  <si>
    <t>SL-1:  STREET LIGHTING</t>
  </si>
  <si>
    <t>SL-2:  TRAFFIC SIGNAL SERVICE</t>
  </si>
  <si>
    <t>SST-1D:  STANDBY SERVICE DISTRIBUTION</t>
  </si>
  <si>
    <t>SST-1T:  STANDBY SERVICE - TRANSMISSION</t>
  </si>
  <si>
    <t>Total NCP</t>
  </si>
  <si>
    <t>Total Retail</t>
  </si>
  <si>
    <t>TARIFF</t>
  </si>
  <si>
    <t>% TOTAL</t>
  </si>
  <si>
    <t>LRC</t>
  </si>
  <si>
    <t>KWH SALES</t>
  </si>
  <si>
    <t>TOTAL USE PER CUSTOMER</t>
  </si>
  <si>
    <t xml:space="preserve">Resale                      </t>
  </si>
  <si>
    <t>USE PER CUSTOMER</t>
  </si>
  <si>
    <t xml:space="preserve">TOTAL JURISDICTIONAL </t>
  </si>
  <si>
    <t xml:space="preserve">Railroads &amp; Railways         </t>
  </si>
  <si>
    <t xml:space="preserve">Other                       </t>
  </si>
  <si>
    <t xml:space="preserve">Street &amp; Highway            </t>
  </si>
  <si>
    <t xml:space="preserve">Industrial                  </t>
  </si>
  <si>
    <t xml:space="preserve">Commercial                 </t>
  </si>
  <si>
    <t xml:space="preserve">Residential                </t>
  </si>
  <si>
    <t>TOTAL CUSTOMERS</t>
  </si>
  <si>
    <t>CUSTOMERS</t>
  </si>
  <si>
    <t xml:space="preserve">TOTAL SALES              </t>
  </si>
  <si>
    <t xml:space="preserve">SALES                    </t>
  </si>
  <si>
    <t>SYSTEM SALES (mWh)</t>
  </si>
  <si>
    <t>(ASSUMING 20 Year Normals for CDH &amp; HDH)</t>
  </si>
  <si>
    <t>BILLED SALES, CUSTOMERS AND USE BY CLASS</t>
  </si>
  <si>
    <t>2015 MONTHLY FORECAST OF</t>
  </si>
  <si>
    <t>2014 MONTHLY FORECAST OF</t>
  </si>
  <si>
    <t>2013 MONTHLY FORECAST OF</t>
  </si>
  <si>
    <t>2012 MONTHLY FORECAST OF</t>
  </si>
  <si>
    <t>2011 MONTHLY FORECAST OF</t>
  </si>
  <si>
    <t>2010 MONTHLY FORECAST OF</t>
  </si>
  <si>
    <t>2009 MONTHLY FORECAST OF</t>
  </si>
  <si>
    <t>2008 MONTHLY FORECAST OF</t>
  </si>
  <si>
    <t>Year</t>
  </si>
  <si>
    <t>Period</t>
  </si>
  <si>
    <t>Florida Keys</t>
  </si>
  <si>
    <t>Key West</t>
  </si>
  <si>
    <t>Lee County</t>
  </si>
  <si>
    <t>Metro Dade</t>
  </si>
  <si>
    <t>Seminole Agreement</t>
  </si>
  <si>
    <t xml:space="preserve">Total Wholesale </t>
  </si>
  <si>
    <t>KEY WEST</t>
  </si>
  <si>
    <t>(2)  45,000 KW per contract.</t>
  </si>
  <si>
    <t>FKEC:  FLORIDA KEYS - WHOLESALE</t>
  </si>
  <si>
    <t>Seminole</t>
  </si>
  <si>
    <t>Last Rate Case</t>
  </si>
  <si>
    <t>12 CP</t>
  </si>
  <si>
    <t>Total GNCP</t>
  </si>
  <si>
    <t>Total CP</t>
  </si>
  <si>
    <t>Loss Expansion Factor</t>
  </si>
  <si>
    <t>Retail</t>
  </si>
  <si>
    <t>Retail @ Meter</t>
  </si>
  <si>
    <t>Retail -</t>
  </si>
  <si>
    <t>@ Meter</t>
  </si>
  <si>
    <t>Retail @ Gen</t>
  </si>
  <si>
    <t>FNG Forecast</t>
  </si>
  <si>
    <t>Wholesale -</t>
  </si>
  <si>
    <t>Wholesale @ Meter</t>
  </si>
  <si>
    <t>Wholesale @ Gen</t>
  </si>
  <si>
    <t>Total Wholesale</t>
  </si>
  <si>
    <t>Total System -</t>
  </si>
  <si>
    <t>@ Gen</t>
  </si>
  <si>
    <t>Variance</t>
  </si>
  <si>
    <t>Separation</t>
  </si>
  <si>
    <t>Factor</t>
  </si>
  <si>
    <t>check</t>
  </si>
  <si>
    <t>Wholesale</t>
  </si>
  <si>
    <t>Generation Level</t>
  </si>
  <si>
    <t>Dec</t>
  </si>
  <si>
    <t>Nov</t>
  </si>
  <si>
    <t>Oct</t>
  </si>
  <si>
    <t>Sep</t>
  </si>
  <si>
    <t>Aug</t>
  </si>
  <si>
    <t>Jul</t>
  </si>
  <si>
    <t>Jun</t>
  </si>
  <si>
    <t>Apr</t>
  </si>
  <si>
    <t>Mar</t>
  </si>
  <si>
    <t>Feb</t>
  </si>
  <si>
    <t>Jan</t>
  </si>
  <si>
    <t>System Monthly Peaks</t>
  </si>
  <si>
    <t>COINCIDENT PEAK (CP) FORECAST (KW)</t>
  </si>
  <si>
    <t>GROUP NON-COINCIDENT PEAK (GNCP) FORECAST (KW)</t>
  </si>
  <si>
    <t>NON-COINCIDENT PEAK (NCP) FORECAST (KW)</t>
  </si>
  <si>
    <t>%</t>
  </si>
  <si>
    <t>(5) Billing Demand Test:</t>
  </si>
  <si>
    <t>Test</t>
  </si>
  <si>
    <t>2010 Seasonal</t>
  </si>
  <si>
    <t>2010 Non Seas</t>
  </si>
  <si>
    <t>Code</t>
  </si>
  <si>
    <t xml:space="preserve"> </t>
  </si>
  <si>
    <t>2011 Seasonal</t>
  </si>
  <si>
    <t>2011 Non Seas</t>
  </si>
  <si>
    <t>2012 Seasonal</t>
  </si>
  <si>
    <t>2012 Non Seas</t>
  </si>
  <si>
    <t>2010 Billing DemandDemand Data</t>
  </si>
  <si>
    <t>2011 Billing DemandDemand Data</t>
  </si>
  <si>
    <t>2012 Billing DemandDemand Data</t>
  </si>
  <si>
    <t>2011 Billing Demand</t>
  </si>
  <si>
    <t>2011 NCP Forecast</t>
  </si>
  <si>
    <t>2012 Billing Demand</t>
  </si>
  <si>
    <t>2012 NCP Forecast</t>
  </si>
  <si>
    <t>Note:  This rate class consists of the GSD-1 and GSD(T)-1 rate schedules.  Billing demand for the GSD(T)-1 rate schedule is on-peak demand.  As a result, NCP forecast for certain months is slightly higher than the billing demand.</t>
  </si>
  <si>
    <t>Note:  This rate class consists of the GSLD-1 and GSLD(T)-1 rate schedules.  Billing demand for the GSLD(T)-1 rate schedule is on-peak demand.  As a result, NCP forecast is slightly higher than the billing demand.</t>
  </si>
  <si>
    <t>Note:  This rate class consists of the GSLD-2 and GSLD(T)-2 rate schedules.  Billing demand for the GSLD(T)-2 rate schedule is on-peak demand.  As a result, NCP forecast is slightly higher than the billing demand.</t>
  </si>
  <si>
    <t>Note:  This rate class consists of the GSLD-2 and GSLD(T)-2 rate schedules.  Billing demand for the GSLD(T)-2 rate schedule is on-peak demand.  As a result, NCP forecast for certain months is slightly higher than the billing demand.</t>
  </si>
  <si>
    <t>*</t>
  </si>
  <si>
    <t>THIS FILE WAS COMPILED BASED ON 2006 FORECASTED DATA PROVIDED BY RAP</t>
  </si>
  <si>
    <t>MONTH</t>
  </si>
  <si>
    <t xml:space="preserve">RS(T)-1 RESIDENTIAL SERVICE 1 WITH TOU INCLUDED </t>
  </si>
  <si>
    <t xml:space="preserve">SST-1 TRANSMISSION STAND BY </t>
  </si>
  <si>
    <t>MONTHLY LOAD FORECAST</t>
  </si>
  <si>
    <t>% CONTRIBUTION TO TOTAL FPL</t>
  </si>
  <si>
    <t>HISTORY</t>
  </si>
  <si>
    <t>KWH Sales</t>
  </si>
  <si>
    <t>TOTAL FPL</t>
  </si>
  <si>
    <t>RETAIL SEP FACTOR</t>
  </si>
  <si>
    <t>AF</t>
  </si>
  <si>
    <t xml:space="preserve">CHECK </t>
  </si>
  <si>
    <t>12CP</t>
  </si>
  <si>
    <t>VARIANCE</t>
  </si>
  <si>
    <t>Validation</t>
  </si>
  <si>
    <t>Total FPL</t>
  </si>
  <si>
    <t>Projected</t>
  </si>
  <si>
    <t>% Change</t>
  </si>
  <si>
    <t>FISCAL YEAR ENDING SEPTEMBER</t>
  </si>
  <si>
    <t>VARIANCE ANALYSIS - HISTORY vs. PROJECTED</t>
  </si>
  <si>
    <t>MAX</t>
  </si>
  <si>
    <t>Rosemary</t>
  </si>
  <si>
    <t>THIS FILE WAS COMPILED ON Mar 31, 2015 AT HOUR 14:31</t>
  </si>
  <si>
    <t xml:space="preserve">  Thursday    </t>
  </si>
  <si>
    <t xml:space="preserve">    Sunday   </t>
  </si>
  <si>
    <t xml:space="preserve">   Tuesday   </t>
  </si>
  <si>
    <t>1. All demands are in KW unless otherwise stated.</t>
  </si>
  <si>
    <t>2. Time of Use Periods: Excluding weekends and holidays, the On-Peak period is divided into the Winter and Summer seasons. Winter occurs from November through March from 6 to 10 AM and 6 to 10 PM.  Summer season occurs from April through October from 12 noon to 9 PM. All other hours are classified under the Off-Peak period.</t>
  </si>
  <si>
    <t>3. Sales row represents the kWh totals sales per the Rate &amp; Revenue Report. As part of the load research process, the kWh sales utilized by Lodestar may be adjusted for billing lags or corrections. As a result the kWh totals in the load research study may not match the sales from the Rate &amp; Revenue Report.</t>
  </si>
  <si>
    <t>4. Customers row represents the number of customers per the Rate &amp; Revenue Report. As part of the load research process, the customer count utilized by Lodestar may be adjusted for actual customer counts. As a result the N totals in the load research study may not match the Customers count from the Rate &amp; Revenue Report.</t>
  </si>
  <si>
    <t>5. Load Research analysis is performed on  basis consistent with FPL's Rate &amp; Revenue Report5</t>
  </si>
  <si>
    <t>6.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t>
  </si>
  <si>
    <t>7. FPL's summer peak was 22,935 MW on 07/28/14 (Monday) at 5:00 PM.</t>
  </si>
  <si>
    <t>8. FPL's winter peak was 17,830 MW on 11/24/14 (Monday) at 3:00 PM.</t>
  </si>
  <si>
    <t>9. FPL invoked no load control or CDR rider events in 2014.</t>
  </si>
  <si>
    <t xml:space="preserve">10. New Smyrna Beach contract started 02/01/14 rate code 840. Seminole contract started 06/01/14 rate code 810.  Winter Park contract started 01/01/14 rate code 840.  </t>
  </si>
  <si>
    <t>11.  January 2014 billing for Lee County changed from partial requirements (rate code 840) to full requirements (rate code 940).</t>
  </si>
  <si>
    <t>12.  GSCU12 and GS12 experienced a cancel/replace for Comcast.  Customer Service data warehouse was utilized for sales and customers.</t>
  </si>
  <si>
    <t xml:space="preserve">13.  For SL02 Customer Service's data warehouse was utilized for sales for the months of June and July.  </t>
  </si>
  <si>
    <t>Definitions:</t>
  </si>
  <si>
    <t>5. N: # OF CUSTOMERS KNOWN TO RLR FROM DATA WAREHOUSE &amp; CISII</t>
  </si>
  <si>
    <t>2. CUSTOMER: CUSTOMER COUNT FROM RATE AND REVENUE REPORT</t>
  </si>
  <si>
    <t>6. NCP: NON-COINCIDENT PEAK: SUM OF CUSTOMER MAX DEMANDS</t>
  </si>
  <si>
    <t>7. GCP: GROUP COINCIDENT PEAK: (RATE) GROUP MAX DEMAND</t>
  </si>
  <si>
    <t>4. KW: AVERAGE DEMAND CALCULATED (TOTAL SALES/# OF HOURS IN PERIOD)</t>
  </si>
  <si>
    <t xml:space="preserve">BLOUNTSTOWN </t>
  </si>
  <si>
    <t xml:space="preserve">Wholesale City of Blountstown </t>
  </si>
  <si>
    <t>BLOUNTSTOWN</t>
  </si>
  <si>
    <t xml:space="preserve"> Tue, Jan  7 </t>
  </si>
  <si>
    <t xml:space="preserve"> Fri, Feb  28 </t>
  </si>
  <si>
    <t xml:space="preserve"> Wed, May  28 </t>
  </si>
  <si>
    <t xml:space="preserve"> Thu, Oct  2 </t>
  </si>
  <si>
    <t>NOTE:     Sales line does not match sales in the Rate and Revenue Report due to billing lag.</t>
  </si>
  <si>
    <t xml:space="preserve">                 In addition, the City of Blountstown, FKEC, City of Wauchula and Lee County are classified as Rate Code 940. The sales for the contracts are reported combined in the Rate &amp; Revenue Report.</t>
  </si>
  <si>
    <t xml:space="preserve"> Tue, Jan  28 </t>
  </si>
  <si>
    <t xml:space="preserve"> Tue, Feb  4 </t>
  </si>
  <si>
    <t xml:space="preserve"> Thu, Jul  31 </t>
  </si>
  <si>
    <t xml:space="preserve"> Mon, Nov  17 </t>
  </si>
  <si>
    <t xml:space="preserve"> Mon, Jan  6 </t>
  </si>
  <si>
    <t xml:space="preserve"> Wed, Feb  5 </t>
  </si>
  <si>
    <t xml:space="preserve"> Wed, Mar  12 </t>
  </si>
  <si>
    <t xml:space="preserve"> Fri, Jul  18 </t>
  </si>
  <si>
    <t xml:space="preserve"> Wed, Aug  20 </t>
  </si>
  <si>
    <t xml:space="preserve"> Fri, Sep  5 </t>
  </si>
  <si>
    <t xml:space="preserve"> Wed, Jan  15 </t>
  </si>
  <si>
    <t xml:space="preserve"> Wed, Apr  30 </t>
  </si>
  <si>
    <t xml:space="preserve"> Tue, May  6 </t>
  </si>
  <si>
    <t xml:space="preserve"> Tue, Nov  4 </t>
  </si>
  <si>
    <t xml:space="preserve"> Wed, Jan  1 </t>
  </si>
  <si>
    <t xml:space="preserve"> Sun, Feb  23 </t>
  </si>
  <si>
    <t xml:space="preserve"> Sun, Mar  23 </t>
  </si>
  <si>
    <t xml:space="preserve"> Fri, Aug  15 </t>
  </si>
  <si>
    <t xml:space="preserve"> Mon, Sep  1 </t>
  </si>
  <si>
    <t xml:space="preserve"> Mon, Nov  24 </t>
  </si>
  <si>
    <t xml:space="preserve">GS12 </t>
  </si>
  <si>
    <t xml:space="preserve">GS(T)-1 General Service Non Demand including TOU (0-20 kW)  (Sampled) </t>
  </si>
  <si>
    <t>GS12</t>
  </si>
  <si>
    <t xml:space="preserve"> Thu, Jan  2 </t>
  </si>
  <si>
    <t xml:space="preserve"> Tue, Feb  25 </t>
  </si>
  <si>
    <t xml:space="preserve"> Tue, May  27 </t>
  </si>
  <si>
    <t xml:space="preserve"> Thu, Aug  21 </t>
  </si>
  <si>
    <t>NOTE:  In July 2014, a cancel replace was done for Comcast.  Customer Service's data warehouse was utilized for CUSTOMER and SALES from January through July 2014.</t>
  </si>
  <si>
    <t>I   SDR CP</t>
  </si>
  <si>
    <t xml:space="preserve">GSCU12 </t>
  </si>
  <si>
    <t>GSCU12</t>
  </si>
  <si>
    <t xml:space="preserve"> Fri, Jan  24 </t>
  </si>
  <si>
    <t xml:space="preserve"> Thu, Feb  6 </t>
  </si>
  <si>
    <t xml:space="preserve"> Sun, Mar  2 </t>
  </si>
  <si>
    <t xml:space="preserve"> Sat, Apr  19 </t>
  </si>
  <si>
    <t xml:space="preserve"> Fri, May  2 </t>
  </si>
  <si>
    <t xml:space="preserve"> Tue, Sep  23 </t>
  </si>
  <si>
    <t xml:space="preserve"> Thu, Oct  9 </t>
  </si>
  <si>
    <t xml:space="preserve"> Sun, Nov  23 </t>
  </si>
  <si>
    <t xml:space="preserve">GSD13 </t>
  </si>
  <si>
    <t xml:space="preserve">GSD(T)-1 General Service Demand 1 including TOU (21-499 kW)  (Sampled) </t>
  </si>
  <si>
    <t>GSD13</t>
  </si>
  <si>
    <t xml:space="preserve"> Tue, Jan  14 </t>
  </si>
  <si>
    <t xml:space="preserve"> Thu, Dec  4 </t>
  </si>
  <si>
    <t xml:space="preserve">Note: In 2014, the GSD13 rate class includes the GSD-1, GSDT-1, HLFT-1, SDTR-1A and SDTR-1B rate schedules. CUSTOMERS and SALES lines reflects the total of the aggregated rate schedules. </t>
  </si>
  <si>
    <t xml:space="preserve">GSLD13 </t>
  </si>
  <si>
    <t>GSLD13</t>
  </si>
  <si>
    <t xml:space="preserve"> Mon, Jan  13 </t>
  </si>
  <si>
    <t xml:space="preserve">Note: In 2014, the GSLD13 rate class includes the GSLD-1, GSLDT-1, CS-1, CST-1, HLFT-2, SDTR-2A and SDTR-2B rate schedules. CUSTOMERS and SALES lines reflects the total of the aggregated rate schedules. </t>
  </si>
  <si>
    <t xml:space="preserve">LEE </t>
  </si>
  <si>
    <t xml:space="preserve">Wholesale Lee County Electric Cooperative </t>
  </si>
  <si>
    <t>LEE</t>
  </si>
  <si>
    <t xml:space="preserve"> Thu, Jan  23 </t>
  </si>
  <si>
    <t xml:space="preserve"> Sat, Feb  22 </t>
  </si>
  <si>
    <t xml:space="preserve"> Mon, May  26 </t>
  </si>
  <si>
    <t xml:space="preserve"> Sun, Jul  20 </t>
  </si>
  <si>
    <t xml:space="preserve"> Sun, Aug  24 </t>
  </si>
  <si>
    <t>NOTE:      January 2014 billing for Lee County changed from partial requirements (rate code 840) to full requirements (rate code 940).  Sales line does not match sales in the Rate and Revenue Report due to billing lag.</t>
  </si>
  <si>
    <t xml:space="preserve"> Wed, Mar  5 </t>
  </si>
  <si>
    <t xml:space="preserve"> Thu, May  15 </t>
  </si>
  <si>
    <t xml:space="preserve"> Thu, Jun  12 </t>
  </si>
  <si>
    <t xml:space="preserve">NEWSMYRNA </t>
  </si>
  <si>
    <t xml:space="preserve">Wholesale Utilities Commission. City of New Smyrna Beach </t>
  </si>
  <si>
    <t>NEWSMYRNA</t>
  </si>
  <si>
    <t xml:space="preserve"> Sat, Mar  1 </t>
  </si>
  <si>
    <t xml:space="preserve"> Sun, Jun  1 </t>
  </si>
  <si>
    <t xml:space="preserve"> Tue, Jul  1 </t>
  </si>
  <si>
    <t xml:space="preserve"> Fri, Aug  1 </t>
  </si>
  <si>
    <t xml:space="preserve"> Wed, Oct  1 </t>
  </si>
  <si>
    <t xml:space="preserve"> Sat, Nov  1 </t>
  </si>
  <si>
    <t xml:space="preserve"> Mon, Dec  1 </t>
  </si>
  <si>
    <t xml:space="preserve">                 In addition, New Smyrna and Winter Park are classified as Rate Code 840. The sales for the contracts are reported combined in the Rate &amp; Revenue Report.</t>
  </si>
  <si>
    <t xml:space="preserve"> Sat, Feb  1 </t>
  </si>
  <si>
    <t xml:space="preserve"> Tue, Jun  3 </t>
  </si>
  <si>
    <t xml:space="preserve"> Tue, Aug  19 </t>
  </si>
  <si>
    <t xml:space="preserve"> Thu, Nov  6 </t>
  </si>
  <si>
    <t xml:space="preserve">RS11 </t>
  </si>
  <si>
    <t>RS11</t>
  </si>
  <si>
    <t xml:space="preserve">SEMINOLE </t>
  </si>
  <si>
    <t>Wholesale Seminole Electric Cooperative</t>
  </si>
  <si>
    <t xml:space="preserve"> Inc. </t>
  </si>
  <si>
    <t>SEMINOLE</t>
  </si>
  <si>
    <t xml:space="preserve"> Sun, Nov  2 </t>
  </si>
  <si>
    <t xml:space="preserve">NOTE:     Sales line does not match sales in the Rate and Revenue Report due to billing lag.  Seminole contract started 6/1/14 and is classified as Rate Code 810. </t>
  </si>
  <si>
    <t xml:space="preserve">Note:  For SL02 Customer Service's data warehouse was utilized for SALES in the months of June and July.  </t>
  </si>
  <si>
    <t>SSTD-D Distribution Standby Load Combined (SST-1D</t>
  </si>
  <si>
    <t xml:space="preserve"> 2D &amp; 3D) </t>
  </si>
  <si>
    <t xml:space="preserve"> Fri, Jan  31 </t>
  </si>
  <si>
    <t xml:space="preserve"> Fri, Feb  7 </t>
  </si>
  <si>
    <t xml:space="preserve"> Sat, Mar  8 </t>
  </si>
  <si>
    <t xml:space="preserve"> Mon, May  5 </t>
  </si>
  <si>
    <t xml:space="preserve"> Thu, Jul  10 </t>
  </si>
  <si>
    <t xml:space="preserve"> Wed, Oct  22 </t>
  </si>
  <si>
    <t xml:space="preserve"> Sun, Nov  16 </t>
  </si>
  <si>
    <t xml:space="preserve"> Sat, Dec  6 </t>
  </si>
  <si>
    <t xml:space="preserve"> Thu, Feb  20 </t>
  </si>
  <si>
    <t xml:space="preserve"> Fri, May  16 </t>
  </si>
  <si>
    <t xml:space="preserve"> Wed, Jun  11 </t>
  </si>
  <si>
    <t xml:space="preserve"> Thu, Jul  24 </t>
  </si>
  <si>
    <t xml:space="preserve"> Sun, Aug  31 </t>
  </si>
  <si>
    <t>Note: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t>
  </si>
  <si>
    <t xml:space="preserve">TGSLD2 </t>
  </si>
  <si>
    <t xml:space="preserve">Total GSLD(T)-2 General Service Large Demand 2 including TOU (2000+ KW) </t>
  </si>
  <si>
    <t>TGSLD2</t>
  </si>
  <si>
    <t xml:space="preserve">Note: In 2014, the TGSLD2 rate class includes the GSLD-2, GSLDT-2, CS-2, CST-2, HLFT-3, SDTR-3A and SDTR-3B rate schedules. CUSTOMERS and SALES lines reflects the total of the aggregated rate schedules. </t>
  </si>
  <si>
    <t xml:space="preserve">TGSLD3 </t>
  </si>
  <si>
    <t xml:space="preserve">Total GSLD(T)-3 General Service Large Demand 3 including TOU (2000+ KW) </t>
  </si>
  <si>
    <t>TGSLD3</t>
  </si>
  <si>
    <t xml:space="preserve"> Sat, Mar  22 </t>
  </si>
  <si>
    <t xml:space="preserve"> Mon, Sep  22 </t>
  </si>
  <si>
    <t xml:space="preserve"> Wed, Oct  15 </t>
  </si>
  <si>
    <t>Note: In 2014, the TGSLD3 rate class includes the GSLD-3, GSLDT-3, CS-3 and CST-3 rate schedules. CUSTOMERS and SALES lines reflects the total of the aggregated rate schedules.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t>
  </si>
  <si>
    <t xml:space="preserve">WAUCHULA </t>
  </si>
  <si>
    <t xml:space="preserve">Wholesale City of Wauchula </t>
  </si>
  <si>
    <t>WAUCHULA</t>
  </si>
  <si>
    <t xml:space="preserve">WINTERPARK </t>
  </si>
  <si>
    <t xml:space="preserve">Wholesale City of Winter Park </t>
  </si>
  <si>
    <t>WINTERPARK</t>
  </si>
  <si>
    <t>NOTE:     Winter Park contract started 1/1/14.  Sales line does not match sales in the Rate and Revenue Report due to billing lag.</t>
  </si>
  <si>
    <t>THIS FILE WAS COMPILED ON Apr 21, 2014 AT HOUR 10:21</t>
  </si>
  <si>
    <t xml:space="preserve">2. Time of Use Periods: Excluding weekends and holidays, the On-Peak period is divided into the Winter and Summer seasons. Winter occurs from November through March from 6 to 10 AM and </t>
  </si>
  <si>
    <t xml:space="preserve">    6 to 10 PM.  Summer season occurs from April through October from 12 noon to 9 PM. All other hours are classified under the Off-Peak period.</t>
  </si>
  <si>
    <t xml:space="preserve">3. Sales row represents the kWh totals sales per the Rate &amp; Revenue Report. As part of the load research process, the kWh sales utilized by Lodestar may be adjusted for billing lags or corrections. </t>
  </si>
  <si>
    <t xml:space="preserve">    As a result the kWh totals in the load research study may not match the sales from the Rate &amp; Revenue Report.</t>
  </si>
  <si>
    <t>4. Load Research analysis is performed on  basis consistent with FPL's Rate &amp; Revenue Report</t>
  </si>
  <si>
    <t xml:space="preserve">5. The kWh sales for standby and supplemental service components for Tropicana Manufacturing Company, Inc. are captured on the Rate &amp; Revenue Report under the SST-1 rate class, even though </t>
  </si>
  <si>
    <t xml:space="preserve">    only the standby component should be billed using the SST-1 rate. The supplemental load is billed utilizing the GSLDT-3 tariff. Accordingly, the load research study reflects the supplemental </t>
  </si>
  <si>
    <t xml:space="preserve">    component in the GSLDT-3 rate class.</t>
  </si>
  <si>
    <t>6. FPL's summer peak was 21,576 MW on 08/13/13 (Tuesday) at 5:00 PM.</t>
  </si>
  <si>
    <t>7. FPL's winter peak was 18,028 MW on 11/01/13 (Friday) at 5:00 PM.</t>
  </si>
  <si>
    <t>8. FPL invoked no load control or CDR rider events in 2013.</t>
  </si>
  <si>
    <t xml:space="preserve">9. Key West contract ended 06/01/13. Metro Dade County Solid Waste contract ended 12/01/13.  </t>
  </si>
  <si>
    <t>5. N: # OF CUSTOMERS KNOWN TO RLR FROM MARKETING WAREHOUSE &amp; CISII</t>
  </si>
  <si>
    <t xml:space="preserve"> Mon, Feb  18 </t>
  </si>
  <si>
    <t xml:space="preserve"> Mon, Mar  4 </t>
  </si>
  <si>
    <t xml:space="preserve"> Tue, Apr  16 </t>
  </si>
  <si>
    <t xml:space="preserve"> Tue, May  21 </t>
  </si>
  <si>
    <t xml:space="preserve"> Thu, Jun  27 </t>
  </si>
  <si>
    <t xml:space="preserve"> Tue, Jul  30 </t>
  </si>
  <si>
    <t xml:space="preserve"> Wed, Aug  7 </t>
  </si>
  <si>
    <t xml:space="preserve"> Thu, Sep  5 </t>
  </si>
  <si>
    <t xml:space="preserve"> Fri, Oct  4 </t>
  </si>
  <si>
    <t xml:space="preserve"> Thu, Nov  14 </t>
  </si>
  <si>
    <t xml:space="preserve"> Mon, Dec  16 </t>
  </si>
  <si>
    <t xml:space="preserve">                 In addition, the City of Blountstown, FKEC, Metro Dade and City of Wauchula are classified as Rate Code 940. The sales for the contracts are reported combined in the Rate &amp; Revenue Report.</t>
  </si>
  <si>
    <t xml:space="preserve"> Wed, Jan  9 </t>
  </si>
  <si>
    <t xml:space="preserve"> Wed, Feb  13 </t>
  </si>
  <si>
    <t xml:space="preserve"> Wed, Mar  20 </t>
  </si>
  <si>
    <t xml:space="preserve"> Thu, Apr  18 </t>
  </si>
  <si>
    <t xml:space="preserve"> Wed, May  22 </t>
  </si>
  <si>
    <t xml:space="preserve"> Tue, Jun  18 </t>
  </si>
  <si>
    <t xml:space="preserve"> Mon, Jul  22 </t>
  </si>
  <si>
    <t xml:space="preserve"> Mon, Aug  19 </t>
  </si>
  <si>
    <t xml:space="preserve"> Tue, Sep  3 </t>
  </si>
  <si>
    <t xml:space="preserve"> Tue, Oct  22 </t>
  </si>
  <si>
    <t xml:space="preserve"> Thu, Nov  7 </t>
  </si>
  <si>
    <t xml:space="preserve"> Wed, Dec  11 </t>
  </si>
  <si>
    <t xml:space="preserve"> Mon, Mar  18 </t>
  </si>
  <si>
    <t xml:space="preserve"> Fri, Apr  12 </t>
  </si>
  <si>
    <t xml:space="preserve"> Fri, May  24 </t>
  </si>
  <si>
    <t xml:space="preserve"> Wed, Jun  19 </t>
  </si>
  <si>
    <t xml:space="preserve"> Mon, Jul  1 </t>
  </si>
  <si>
    <t xml:space="preserve"> Thu, Aug  8 </t>
  </si>
  <si>
    <t xml:space="preserve"> Tue, Nov  5 </t>
  </si>
  <si>
    <t xml:space="preserve"> Fri, Mar  1 </t>
  </si>
  <si>
    <t xml:space="preserve"> Thu, Apr  4 </t>
  </si>
  <si>
    <t xml:space="preserve"> Fri, May  3 </t>
  </si>
  <si>
    <t xml:space="preserve"> Thu, Jun  13 </t>
  </si>
  <si>
    <t xml:space="preserve"> Mon, Aug  12 </t>
  </si>
  <si>
    <t xml:space="preserve"> Mon, Sep  23 </t>
  </si>
  <si>
    <t xml:space="preserve"> Thu, Oct  31 </t>
  </si>
  <si>
    <t xml:space="preserve"> Mon, Nov  25 </t>
  </si>
  <si>
    <t xml:space="preserve"> Fri, Dec  20 </t>
  </si>
  <si>
    <t xml:space="preserve"> Sun, Mar  24 </t>
  </si>
  <si>
    <t xml:space="preserve"> Mon, Apr  15 </t>
  </si>
  <si>
    <t xml:space="preserve"> Sat, Jun  22 </t>
  </si>
  <si>
    <t xml:space="preserve"> Fri, Jul  26 </t>
  </si>
  <si>
    <t xml:space="preserve"> Sat, Aug  10 </t>
  </si>
  <si>
    <t xml:space="preserve"> Sun, Sep  1 </t>
  </si>
  <si>
    <t xml:space="preserve"> Sat, Nov  2 </t>
  </si>
  <si>
    <t xml:space="preserve"> Mon, Dec  30 </t>
  </si>
  <si>
    <t xml:space="preserve"> Mon, Apr  1 </t>
  </si>
  <si>
    <t xml:space="preserve"> Wed, May  1 </t>
  </si>
  <si>
    <t>NOTE:     Sales line does not match sales in the Rate and Revenue Report due to billing lag.  City of Key West's contract ended on 6/1/2014.</t>
  </si>
  <si>
    <t xml:space="preserve"> Tue, Mar  19 </t>
  </si>
  <si>
    <t xml:space="preserve"> Tue, Jun  25 </t>
  </si>
  <si>
    <t xml:space="preserve"> Wed, Jul  31 </t>
  </si>
  <si>
    <t xml:space="preserve"> Tue, Mar  5 </t>
  </si>
  <si>
    <t xml:space="preserve"> Sat, May  18 </t>
  </si>
  <si>
    <t xml:space="preserve"> Wed, Aug  28 </t>
  </si>
  <si>
    <t xml:space="preserve"> Sat, Sep  7 </t>
  </si>
  <si>
    <t xml:space="preserve"> Sat, Oct  19 </t>
  </si>
  <si>
    <t xml:space="preserve"> Sat, Dec  21 </t>
  </si>
  <si>
    <t xml:space="preserve"> Fri, Jan  11 </t>
  </si>
  <si>
    <t xml:space="preserve"> Mon, Mar  25 </t>
  </si>
  <si>
    <t xml:space="preserve"> Tue, Aug  13 </t>
  </si>
  <si>
    <t xml:space="preserve"> Tue, Oct  1 </t>
  </si>
  <si>
    <t xml:space="preserve"> Wed, Nov  6 </t>
  </si>
  <si>
    <t xml:space="preserve"> Tue, Dec  10 </t>
  </si>
  <si>
    <t>NOTE:  Revenue and Rate Report's number of customers was revised for September and October.</t>
  </si>
  <si>
    <t xml:space="preserve"> Wed, Feb  20 </t>
  </si>
  <si>
    <t xml:space="preserve"> Sat, Mar  23 </t>
  </si>
  <si>
    <t xml:space="preserve"> Fri, Apr  5 </t>
  </si>
  <si>
    <t xml:space="preserve"> Wed, Jun  12 </t>
  </si>
  <si>
    <t xml:space="preserve"> Fri, Jul  12 </t>
  </si>
  <si>
    <t xml:space="preserve"> Sun, Aug  25 </t>
  </si>
  <si>
    <t xml:space="preserve"> Wed, Oct  23 </t>
  </si>
  <si>
    <t xml:space="preserve"> Mon, Nov  4 </t>
  </si>
  <si>
    <t xml:space="preserve"> Thu, Dec  26 </t>
  </si>
  <si>
    <t>NOTE:  In June 2013, approximately 6,000 customers were added to GSCU.  In September 2013, customers were removed from rate 168 as Comcast had a name change and they have not been put back in.  In July 2014 a cancel/replace was issued for 12,876 accounts to change their rate code back to rate 168 from December 2013 forward.</t>
  </si>
  <si>
    <t xml:space="preserve"> Thu, May  23 </t>
  </si>
  <si>
    <t xml:space="preserve"> Mon, Jul  29 </t>
  </si>
  <si>
    <t xml:space="preserve"> Wed, Aug  14 </t>
  </si>
  <si>
    <t xml:space="preserve"> Thu, Sep  26 </t>
  </si>
  <si>
    <t xml:space="preserve"> Fri, Nov  1 </t>
  </si>
  <si>
    <t xml:space="preserve"> Fri, Apr  19 </t>
  </si>
  <si>
    <t xml:space="preserve"> Mon, May  20 </t>
  </si>
  <si>
    <t xml:space="preserve"> Fri, Sep  6 </t>
  </si>
  <si>
    <t xml:space="preserve"> Mon, Oct  21 </t>
  </si>
  <si>
    <t xml:space="preserve"> Tue, Mar  12 </t>
  </si>
  <si>
    <t xml:space="preserve"> Wed, Jun  26 </t>
  </si>
  <si>
    <t xml:space="preserve"> Tue, Jul  23 </t>
  </si>
  <si>
    <t xml:space="preserve"> Thu, Aug  22 </t>
  </si>
  <si>
    <t xml:space="preserve"> Tue, Sep  24 </t>
  </si>
  <si>
    <t xml:space="preserve"> Fri, Dec  6 </t>
  </si>
  <si>
    <t xml:space="preserve"> Sat, Jan  12 </t>
  </si>
  <si>
    <t xml:space="preserve"> Tue, Oct  8 </t>
  </si>
  <si>
    <t xml:space="preserve"> Wed, Aug  21 </t>
  </si>
  <si>
    <t xml:space="preserve">Lee County Wholesale </t>
  </si>
  <si>
    <t xml:space="preserve"> Mon, Jun  17 </t>
  </si>
  <si>
    <t xml:space="preserve"> Mon, Dec  23 </t>
  </si>
  <si>
    <t>NOTE:     Sales line does not match sales in the Rate and Revenue Report due to billing lag.  Effective 2014, Lee County changed from Partial Requirement to Full Requirement.</t>
  </si>
  <si>
    <t xml:space="preserve"> Sat, Mar  30 </t>
  </si>
  <si>
    <t xml:space="preserve"> Fri, Apr  26 </t>
  </si>
  <si>
    <t xml:space="preserve"> Fri, May  10 </t>
  </si>
  <si>
    <t xml:space="preserve"> Mon, Jul  15 </t>
  </si>
  <si>
    <t xml:space="preserve"> Sat, Aug  3 </t>
  </si>
  <si>
    <t xml:space="preserve"> Sun, Oct  13 </t>
  </si>
  <si>
    <t xml:space="preserve"> Sun, Nov  24 </t>
  </si>
  <si>
    <t>NOTE:     Sales line does not match sales in the Rate and Revenue Report due to billing lag.  Metro Dade Solid Waste Management's contract ended 12/1/2013.</t>
  </si>
  <si>
    <t xml:space="preserve"> Fri, May  31 </t>
  </si>
  <si>
    <t xml:space="preserve"> Mon, Jun  24 </t>
  </si>
  <si>
    <t xml:space="preserve"> Wed, Jul  24 </t>
  </si>
  <si>
    <t xml:space="preserve"> Tue, Oct  29 </t>
  </si>
  <si>
    <t xml:space="preserve"> Fri, Nov  8 </t>
  </si>
  <si>
    <t xml:space="preserve"> Sat, Jun  1 </t>
  </si>
  <si>
    <t xml:space="preserve"> Thu, Aug  1 </t>
  </si>
  <si>
    <t xml:space="preserve"> Sun, Dec  1 </t>
  </si>
  <si>
    <t xml:space="preserve"> Tue, Jan  22 </t>
  </si>
  <si>
    <t xml:space="preserve"> Tue, Apr  9 </t>
  </si>
  <si>
    <t xml:space="preserve"> Tue, May  7 </t>
  </si>
  <si>
    <t xml:space="preserve"> Mon, Jun  10 </t>
  </si>
  <si>
    <t xml:space="preserve"> Thu, Aug  29 </t>
  </si>
  <si>
    <t xml:space="preserve"> Thu, Sep  19 </t>
  </si>
  <si>
    <t xml:space="preserve"> Thu, Oct  10 </t>
  </si>
  <si>
    <t xml:space="preserve"> Sun, Jan  13 </t>
  </si>
  <si>
    <t xml:space="preserve"> Sun, Apr  14 </t>
  </si>
  <si>
    <t xml:space="preserve"> Thu, Jul  25 </t>
  </si>
  <si>
    <t xml:space="preserve"> Sun, Aug  11 </t>
  </si>
  <si>
    <t xml:space="preserve"> Sat, Sep  14 </t>
  </si>
  <si>
    <t>NOTE:  January to June is Rate Code 44 and 45. July has Rate Code 44, 45 and 145.  August to December has Rate Code 44 and 145.</t>
  </si>
  <si>
    <t xml:space="preserve"> Wed, Jan  2 </t>
  </si>
  <si>
    <t xml:space="preserve"> Fri, Mar  15 </t>
  </si>
  <si>
    <t xml:space="preserve"> Thu, May  16 </t>
  </si>
  <si>
    <t xml:space="preserve"> Wed, Jun  5 </t>
  </si>
  <si>
    <t xml:space="preserve"> Thu, Oct  17 </t>
  </si>
  <si>
    <t xml:space="preserve"> Sat, Nov  30 </t>
  </si>
  <si>
    <t xml:space="preserve"> Wed, Dec  18 </t>
  </si>
  <si>
    <t xml:space="preserve"> Thu, May  2 </t>
  </si>
  <si>
    <t xml:space="preserve"> Tue, Jul  16 </t>
  </si>
  <si>
    <t xml:space="preserve"> Sun, Aug  18 </t>
  </si>
  <si>
    <t xml:space="preserve"> Fri, Oct  25 </t>
  </si>
  <si>
    <t xml:space="preserve"> Mon, Nov  18 </t>
  </si>
  <si>
    <t>Merged Column</t>
  </si>
  <si>
    <t xml:space="preserve">	</t>
  </si>
  <si>
    <t>Wednesday</t>
  </si>
  <si>
    <t>Friday</t>
  </si>
  <si>
    <t>Monday</t>
  </si>
  <si>
    <t>Saturday</t>
  </si>
  <si>
    <t xml:space="preserve">Notes:								</t>
  </si>
  <si>
    <t xml:space="preserve">  1. All demands are in KW unless otherwise stated.							</t>
  </si>
  <si>
    <t xml:space="preserve">  2. Time of Use Periods: Excluding weekends and holidays, the On-Peak period is divided into the Winter and Summer seasons. Winter occurs from November through March from 6 to 10 AM and</t>
  </si>
  <si>
    <t xml:space="preserve">     6 to 10 PM.  Summer season occurs from April through October from 12 noon to 9 PM. All other hours are classified under the Off-Peak period.							</t>
  </si>
  <si>
    <t xml:space="preserve">  3. Sales row represents the kWh totals sales per the Rate &amp; Revenue Report. As part of the load research process, the kWh sales utilized by Lodestar may be adjusted for billing lags or corrections.							</t>
  </si>
  <si>
    <t xml:space="preserve">     As a result the kWh totals in the load research study may not match the sales from the Rate &amp; Revenue Report.							</t>
  </si>
  <si>
    <t xml:space="preserve">  4. Load Research analysis is performed on  basis consistent with FPL's Rate &amp; Revenue Report							</t>
  </si>
  <si>
    <t xml:space="preserve">  5. The kWh sales for standby and supplemental service components for Tropicana Manufacturing Company, Inc. are captured on the Rate &amp; Revenue Report under the SST-1 rate class, even though</t>
  </si>
  <si>
    <t xml:space="preserve">     only the standby component should be billed using the SST-1 rate. The supplemental load is billed utilizing the GSLDT-3 tariff. Accordingly, the load research study reflects the</t>
  </si>
  <si>
    <t xml:space="preserve">     supplemental component in the GSLDT-3 rate class.</t>
  </si>
  <si>
    <t xml:space="preserve">  6. FPL's summer peak was 21,440 MW on 08/09/12 (Thursday) at 5:00 PM. 			</t>
  </si>
  <si>
    <t xml:space="preserve">  7. FPL's winter peak was 17,934 MW on 01/04/12 (Wednesday) at 8:00 AM.							</t>
  </si>
  <si>
    <t xml:space="preserve">  8. FPL invoked no load control or CDR rider events in 2012.</t>
  </si>
  <si>
    <t xml:space="preserve">  9. City of Blountstown contract began May 1, 2012.</t>
  </si>
  <si>
    <t xml:space="preserve">Report Definitions:								</t>
  </si>
  <si>
    <t xml:space="preserve"> Thu, Aug  2 </t>
  </si>
  <si>
    <t xml:space="preserve"> Mon, Oct  15 </t>
  </si>
  <si>
    <t xml:space="preserve"> Mon, Nov  26 </t>
  </si>
  <si>
    <t>NOTE:     City of Blountstown contract began May 1, 2012.  Sales line does not match sales in the Rate and Revenue Report due to billing lag.</t>
  </si>
  <si>
    <t xml:space="preserve"> Wed, Jan  25 </t>
  </si>
  <si>
    <t xml:space="preserve"> Mon, Feb  27 </t>
  </si>
  <si>
    <t xml:space="preserve"> Wed, Mar  21 </t>
  </si>
  <si>
    <t xml:space="preserve"> Tue, Jun  26 </t>
  </si>
  <si>
    <t xml:space="preserve"> Mon, Oct  1 </t>
  </si>
  <si>
    <t xml:space="preserve"> Tue, Nov  13 </t>
  </si>
  <si>
    <t xml:space="preserve"> Thu, Jan  26 </t>
  </si>
  <si>
    <t xml:space="preserve"> Tue, Feb  28 </t>
  </si>
  <si>
    <t xml:space="preserve"> Thu, Mar  22 </t>
  </si>
  <si>
    <t xml:space="preserve"> Thu, Jun  14 </t>
  </si>
  <si>
    <t xml:space="preserve"> Thu, Sep  20 </t>
  </si>
  <si>
    <t xml:space="preserve"> Thu, Feb  23 </t>
  </si>
  <si>
    <t xml:space="preserve"> Thu, Apr  12 </t>
  </si>
  <si>
    <t xml:space="preserve"> Fri, Jul  6 </t>
  </si>
  <si>
    <t xml:space="preserve"> Tue, Aug  7 </t>
  </si>
  <si>
    <t xml:space="preserve"> Wed, Nov  21 </t>
  </si>
  <si>
    <t xml:space="preserve"> Wed, Jan  4 </t>
  </si>
  <si>
    <t xml:space="preserve"> Sat, Feb  25 </t>
  </si>
  <si>
    <t xml:space="preserve"> Fri, Apr  6 </t>
  </si>
  <si>
    <t xml:space="preserve"> Sun, May  27 </t>
  </si>
  <si>
    <t xml:space="preserve"> Sat, Jun  30 </t>
  </si>
  <si>
    <t xml:space="preserve"> Sat, Sep  1 </t>
  </si>
  <si>
    <t xml:space="preserve"> Sun, Jan  1 </t>
  </si>
  <si>
    <t xml:space="preserve"> Wed, Feb  1 </t>
  </si>
  <si>
    <t xml:space="preserve"> Sun, Apr  1 </t>
  </si>
  <si>
    <t xml:space="preserve"> Tue, May  1 </t>
  </si>
  <si>
    <t xml:space="preserve"> Sun, Jul  1 </t>
  </si>
  <si>
    <t xml:space="preserve"> Wed, Aug  1 </t>
  </si>
  <si>
    <t xml:space="preserve"> Sat, Dec  1 </t>
  </si>
  <si>
    <t xml:space="preserve"> Wed, Jun  13 </t>
  </si>
  <si>
    <t xml:space="preserve"> Sat, Feb  4 </t>
  </si>
  <si>
    <t xml:space="preserve"> Sat, Mar  31 </t>
  </si>
  <si>
    <t xml:space="preserve">GS09 </t>
  </si>
  <si>
    <t>GS09</t>
  </si>
  <si>
    <t xml:space="preserve"> Thu, Aug  9 </t>
  </si>
  <si>
    <t xml:space="preserve">GSCU09 </t>
  </si>
  <si>
    <t>GSCU09</t>
  </si>
  <si>
    <t xml:space="preserve"> Fri, Jan  27 </t>
  </si>
  <si>
    <t xml:space="preserve"> Fri, Feb  24 </t>
  </si>
  <si>
    <t xml:space="preserve"> Fri, Mar  23 </t>
  </si>
  <si>
    <t xml:space="preserve"> Thu, Apr  26 </t>
  </si>
  <si>
    <t xml:space="preserve"> Sat, May  5 </t>
  </si>
  <si>
    <t xml:space="preserve"> Fri, Aug  17 </t>
  </si>
  <si>
    <t xml:space="preserve"> Sat, Sep  8 </t>
  </si>
  <si>
    <t xml:space="preserve"> Wed, Oct  3 </t>
  </si>
  <si>
    <t xml:space="preserve"> Tue, Jan  24 </t>
  </si>
  <si>
    <t xml:space="preserve"> Wed, Feb  29 </t>
  </si>
  <si>
    <t xml:space="preserve"> Fri, Jun  8 </t>
  </si>
  <si>
    <t xml:space="preserve"> Sat, Sep  15 </t>
  </si>
  <si>
    <t xml:space="preserve"> Sat, Oct  13 </t>
  </si>
  <si>
    <t xml:space="preserve"> Mon, Feb  13 </t>
  </si>
  <si>
    <t xml:space="preserve"> Wed, Aug  8 </t>
  </si>
  <si>
    <t xml:space="preserve"> Tue, Jan  3 </t>
  </si>
  <si>
    <t xml:space="preserve"> Tue, Feb  21 </t>
  </si>
  <si>
    <t xml:space="preserve"> Mon, Apr  2 </t>
  </si>
  <si>
    <t xml:space="preserve"> Sun, Jun  17 </t>
  </si>
  <si>
    <t xml:space="preserve"> Fri, Aug  3 </t>
  </si>
  <si>
    <t xml:space="preserve"> Wed, Oct  17 </t>
  </si>
  <si>
    <t xml:space="preserve"> Thu, Nov  22 </t>
  </si>
  <si>
    <t xml:space="preserve"> Wed, Sep  19 </t>
  </si>
  <si>
    <t xml:space="preserve"> Mon, Nov  5 </t>
  </si>
  <si>
    <t xml:space="preserve"> Wed, Dec  26 </t>
  </si>
  <si>
    <t xml:space="preserve"> Tue, Jan  31 </t>
  </si>
  <si>
    <t xml:space="preserve"> Tue, Mar  6 </t>
  </si>
  <si>
    <t xml:space="preserve"> Tue, Dec  4 </t>
  </si>
  <si>
    <t xml:space="preserve"> Sat, Mar  24 </t>
  </si>
  <si>
    <t xml:space="preserve"> Sun, Nov  4 </t>
  </si>
  <si>
    <t xml:space="preserve"> Tue, Jul  17 </t>
  </si>
  <si>
    <t xml:space="preserve"> Wed, Dec  5 </t>
  </si>
  <si>
    <t xml:space="preserve"> Mon, Jan  9 </t>
  </si>
  <si>
    <t xml:space="preserve"> Sat, Feb  18 </t>
  </si>
  <si>
    <t xml:space="preserve"> Mon, Apr  23 </t>
  </si>
  <si>
    <t xml:space="preserve"> Mon, May  28 </t>
  </si>
  <si>
    <t xml:space="preserve"> Tue, Jun  12 </t>
  </si>
  <si>
    <t xml:space="preserve"> Tue, Sep  4 </t>
  </si>
  <si>
    <t>FLORIDA KEYS</t>
  </si>
  <si>
    <t>LEE COUNTY</t>
  </si>
  <si>
    <t>NEW SMYRNA BEACH</t>
  </si>
  <si>
    <t>WINTER PARK</t>
  </si>
  <si>
    <t>METRO DADE WASTE</t>
  </si>
  <si>
    <t>GNCP LF</t>
  </si>
  <si>
    <t>NON COINCIDENT PEAK (NCP)</t>
  </si>
  <si>
    <t>SALES (KWH)</t>
  </si>
  <si>
    <t>MONTHLY</t>
  </si>
  <si>
    <t xml:space="preserve">TGSD1 </t>
  </si>
  <si>
    <t xml:space="preserve">Total GSD(T)-1 General Service Demand including TOU (21-499 kW) </t>
  </si>
  <si>
    <t>TGSD1</t>
  </si>
  <si>
    <t xml:space="preserve">TGSLD1 </t>
  </si>
  <si>
    <t xml:space="preserve">Total GSLD(T)-1 General Service Large Demand including TOU (500-1999 kW) </t>
  </si>
  <si>
    <t>TGSLD1</t>
  </si>
  <si>
    <t xml:space="preserve"> Wed, Apr  10 </t>
  </si>
  <si>
    <t xml:space="preserve"> Mon, Sep  9 </t>
  </si>
  <si>
    <t xml:space="preserve"> Sat, Oct  5 </t>
  </si>
  <si>
    <t>THIS AGGREGATED FILE WAS COMPILED ON Mar 25, 2013 AT HOUR 14:18</t>
  </si>
  <si>
    <t xml:space="preserve">NOTE:     TGSD1 rate class includes the GSD-1, GSDT-1, HLFT-1, SDTR-1A and SDTR-1B rate schedules.  </t>
  </si>
  <si>
    <t xml:space="preserve">                 Customer and Sales lines reflects the total of the aggregated rate schedules.</t>
  </si>
  <si>
    <t xml:space="preserve"> Mon, Jul  30 </t>
  </si>
  <si>
    <t xml:space="preserve">NOTE:     TGSLD1 rate class includes the GSLD-1, GSLDT-1, CS-1, CST-1, HLFT-2, SDTR-2A and SDTR-2B rate schedules.  </t>
  </si>
  <si>
    <t xml:space="preserve">NOTE:     TGSLD2 rate class includes the GSLD-2, GSLDT-2, CS-2, CST-2, HLFT-3, SDTR-3A and SDTR-3B rate schedules.  </t>
  </si>
  <si>
    <t xml:space="preserve"> Sun, Jan  22 </t>
  </si>
  <si>
    <t xml:space="preserve"> Sat, May  12 </t>
  </si>
  <si>
    <t xml:space="preserve"> Sun, Nov  25 </t>
  </si>
  <si>
    <t xml:space="preserve"> Sat, Dec  8 </t>
  </si>
  <si>
    <t xml:space="preserve">NOTE:     TGSLD3 rate class includes the GSLD-3, GSLDT-3, CS-3 and CST-3 rate schedules.  </t>
  </si>
  <si>
    <t>Revenue Forecast 2015-2021 October 9 2015 Forecast</t>
  </si>
  <si>
    <t>Jan 2016</t>
  </si>
  <si>
    <t>Feb 2016</t>
  </si>
  <si>
    <t>Mar 2016</t>
  </si>
  <si>
    <t>Apr 2016</t>
  </si>
  <si>
    <t>May 2016</t>
  </si>
  <si>
    <t>Jun 2016</t>
  </si>
  <si>
    <t>Jul 2016</t>
  </si>
  <si>
    <t>Aug 2016</t>
  </si>
  <si>
    <t>Sep 2016</t>
  </si>
  <si>
    <t>Oct 2016</t>
  </si>
  <si>
    <t>Nov 2016</t>
  </si>
  <si>
    <t>Dec 2016</t>
  </si>
  <si>
    <t>Jan 2017</t>
  </si>
  <si>
    <t>Feb 2017</t>
  </si>
  <si>
    <t>Mar 2017</t>
  </si>
  <si>
    <t>Apr 2017</t>
  </si>
  <si>
    <t>May 2017</t>
  </si>
  <si>
    <t>Jun 2017</t>
  </si>
  <si>
    <t>Jul 2017</t>
  </si>
  <si>
    <t>Aug 2017</t>
  </si>
  <si>
    <t>Sep 2017</t>
  </si>
  <si>
    <t>Oct 2017</t>
  </si>
  <si>
    <t>Nov 2017</t>
  </si>
  <si>
    <t>Dec 2017</t>
  </si>
  <si>
    <t>Jan 2018</t>
  </si>
  <si>
    <t>Feb 2018</t>
  </si>
  <si>
    <t>Mar 2018</t>
  </si>
  <si>
    <t>Apr 2018</t>
  </si>
  <si>
    <t>May 2018</t>
  </si>
  <si>
    <t>Jun 2018</t>
  </si>
  <si>
    <t>Jul 2018</t>
  </si>
  <si>
    <t>Aug 2018</t>
  </si>
  <si>
    <t>Sep 2018</t>
  </si>
  <si>
    <t>Oct 2018</t>
  </si>
  <si>
    <t>Nov 2018</t>
  </si>
  <si>
    <t>Dec 2018</t>
  </si>
  <si>
    <t>2016</t>
  </si>
  <si>
    <t>2017</t>
  </si>
  <si>
    <t>2018</t>
  </si>
  <si>
    <t>Rate Class Total </t>
  </si>
  <si>
    <t>New Smyrna Beach</t>
  </si>
  <si>
    <t>Wauchula</t>
  </si>
  <si>
    <t>Blountstown</t>
  </si>
  <si>
    <t>Winter Park</t>
  </si>
  <si>
    <t>Homestead</t>
  </si>
  <si>
    <t>Quincy</t>
  </si>
  <si>
    <t>Update</t>
  </si>
  <si>
    <t>SEMINOLE AGREEMENT</t>
  </si>
  <si>
    <t>SST-1T </t>
  </si>
  <si>
    <t>t</t>
  </si>
  <si>
    <t>2012 Load Control Impact on MW and MWH</t>
  </si>
  <si>
    <t>2013 Load Control Impact on MW and MWH</t>
  </si>
  <si>
    <t>2014 Load Control Impact on MW and MWH</t>
  </si>
  <si>
    <t>CILC-1D Total</t>
  </si>
  <si>
    <t xml:space="preserve">     KA:[Load Control On-Peak (rounded)]</t>
  </si>
  <si>
    <t xml:space="preserve">     KY:[Firm On-Peak (rounded)]</t>
  </si>
  <si>
    <t>CILC-1G Total</t>
  </si>
  <si>
    <t>CILC-1T Total</t>
  </si>
  <si>
    <t xml:space="preserve">     GN:[Demand (rounded)]</t>
  </si>
  <si>
    <t xml:space="preserve">     HH:[Max Demand (rounded)]</t>
  </si>
  <si>
    <t xml:space="preserve">     IH:[Demand - Seasonal On-Peak (rounded)]</t>
  </si>
  <si>
    <t xml:space="preserve">     IR:[Demand - Non-Seasonal (rounded)]</t>
  </si>
  <si>
    <t xml:space="preserve">     JB:[Demand - Non-Seasonal On Peak (rounded)]</t>
  </si>
  <si>
    <t>GSD(T)-1 Total</t>
  </si>
  <si>
    <t>GSLD(T)-1 Total</t>
  </si>
  <si>
    <t>GSLD(T)-2 Total</t>
  </si>
  <si>
    <t>GSLD(T)-3 Total</t>
  </si>
  <si>
    <t>MET Total</t>
  </si>
  <si>
    <t>SST-DST</t>
  </si>
  <si>
    <t xml:space="preserve">     LJ:[Distribution CSD (rounded)]</t>
  </si>
  <si>
    <t xml:space="preserve">     LZ:[Reservation/kW (rounded)]</t>
  </si>
  <si>
    <t xml:space="preserve">     MO:[Daily Demand (rounded)]</t>
  </si>
  <si>
    <t>SST-DST Total</t>
  </si>
  <si>
    <t>SST-TST</t>
  </si>
  <si>
    <t>SST-TST Total</t>
  </si>
  <si>
    <t>2016 Billing Demand</t>
  </si>
  <si>
    <t>2016 NCP Forecast</t>
  </si>
  <si>
    <t>2017 Billing Demand</t>
  </si>
  <si>
    <t>2017 NCP Forecast</t>
  </si>
  <si>
    <t xml:space="preserve">(4)  The forecasted CP was adjusted to reflect historical load control events when applicable. </t>
  </si>
  <si>
    <t>Note:  NCP is based on load data collected at 27 service points while billing demand is based on one meter for the total system.  As a result, NCP is always higher than billing demand.</t>
  </si>
  <si>
    <t>SUBSEQUENT-2018</t>
  </si>
  <si>
    <t>Subsequent</t>
  </si>
  <si>
    <t>SUBSEQUENT - 2018</t>
  </si>
  <si>
    <t>WHOLESALE CITY OF WINTER PARK</t>
  </si>
  <si>
    <t>WHOLESALE CITY OF WAUCHULA</t>
  </si>
  <si>
    <t xml:space="preserve">TOTAL GSLD(T)-3 GENERAL SERVICE LARGE DEMAND 3 INCLUDING TOU (2000+ KW) </t>
  </si>
  <si>
    <t xml:space="preserve">TOTAL GSLD(T)-2 GENERAL SERVICE LARGE DEMAND 2 INCLUDING TOU (2000+ KW) </t>
  </si>
  <si>
    <t>SSTD-D DISTRIBUTION STANDBY LOAD COMBINED (SST-1D 2D &amp; 3D)</t>
  </si>
  <si>
    <t>TRAFFIC SIGNAL (MODELED RATE CLASS)</t>
  </si>
  <si>
    <t>STREET LIGHTING (MODELED RATE CLASS)</t>
  </si>
  <si>
    <t>WHOLESALE SEMINOLE ELECTRIC COOPERATIVE</t>
  </si>
  <si>
    <t>SPORTS FIELDS (SAMPLED)</t>
  </si>
  <si>
    <t>OUTDOOR LIGHTING (MODELED RATE CLASS)</t>
  </si>
  <si>
    <t>WHOLESALE UTILITIES COMMISSION CITY OF NEW SMYRNA BEACH</t>
  </si>
  <si>
    <t>METROPOLITAN TRANSIT SERVICE (METRORAIL)</t>
  </si>
  <si>
    <t>WHOLESALE LEE COUNTY ELECTRIC COOPERATIVE</t>
  </si>
  <si>
    <t xml:space="preserve">GSLD(T)-1 GENERAL SERVICE LARGE DEMAND 1 INCLUDING TOU (SAMPLED) </t>
  </si>
  <si>
    <t xml:space="preserve">GSD(T)-1 GENERAL SERVICE DEMAND 1 INCLUDING TOU (21-499 kW)  (SAMPLED) </t>
  </si>
  <si>
    <t xml:space="preserve">GENERAL SERVICE CONSTANT USAGE (0-20 kW) (SAMPLED) </t>
  </si>
  <si>
    <t xml:space="preserve">GENERAL SERVICE NON DEMAND INCLUDING TOU (0-20 kW) (SAMPLED) </t>
  </si>
  <si>
    <t>WHOLESALE - CONTRACT RATE - FLORIDA KEYS</t>
  </si>
  <si>
    <t xml:space="preserve">COMMERCIAL/INDUSTRIAL LOAD CONTROL - TRANSMISSION (55) </t>
  </si>
  <si>
    <t xml:space="preserve">COMMERCIAL/INDUSTRIAL LOAD CONTROL - GENERAL (56) </t>
  </si>
  <si>
    <t>COMMERCIAL/INDUSTIAL LOAD CONTROL - DISTRIBUTION (54)</t>
  </si>
  <si>
    <t>WHOLESALE CITY OF BLOUNTSTOWN</t>
  </si>
  <si>
    <t>NON COINCIDENT PEAK ON PEAK (NCP ONPK)</t>
  </si>
  <si>
    <t>E-11 for the Year Ended 2014</t>
  </si>
  <si>
    <t>Appendix</t>
  </si>
  <si>
    <t>LOAD RESEARCH RATE CLASSES AND RELATED RATE SCHEDULES</t>
  </si>
  <si>
    <t>RATE CLASS</t>
  </si>
  <si>
    <t>RATE CLASS DESCRIPTION</t>
  </si>
  <si>
    <t>RATE SCHEDULE(S)</t>
  </si>
  <si>
    <t>RATE SCHEDULE DESCRIPTION</t>
  </si>
  <si>
    <t>Commercial/Industrial Load 
Control - Distribution</t>
  </si>
  <si>
    <t>Commercial/Industrial Load Control Program - 
Distribution (Closed Schedule)</t>
  </si>
  <si>
    <t>Commercial/Industrial Load 
Control - Transmission</t>
  </si>
  <si>
    <t>Commercial/Industrial Load Control Program - 
Transmission (Closed Schedule)</t>
  </si>
  <si>
    <t>Commercial/Industrial Load 
Control - General</t>
  </si>
  <si>
    <t>Commercial/Industrial Load Control Program - 
General (Closed Schedule)</t>
  </si>
  <si>
    <t>General Service Non-Demand</t>
  </si>
  <si>
    <t>GS-1, GST-1</t>
  </si>
  <si>
    <t>General Service Non Demand &amp; Time of Use 
(0-20 kW)</t>
  </si>
  <si>
    <t>General Service Constant Usage</t>
  </si>
  <si>
    <t>General Service Constant Usage (0-20 kW)</t>
  </si>
  <si>
    <t>General Service Demand</t>
  </si>
  <si>
    <t>GSD-1, GSDT-1</t>
  </si>
  <si>
    <t>General Service Demand &amp; Time of Use 
(21-499 kW)</t>
  </si>
  <si>
    <t>High Load Factor - Time of Use (21-499 kW)</t>
  </si>
  <si>
    <t>SDTR-1A, SDTR-1B</t>
  </si>
  <si>
    <t>Seasonal Demand - Time of Use Rider                 (21-499 kW)</t>
  </si>
  <si>
    <t>General Service Large Demand 1</t>
  </si>
  <si>
    <t>GSLD-1, GSLDT-1</t>
  </si>
  <si>
    <t>General Service Large Demand &amp; Time of Use 
(500-1999 kW)</t>
  </si>
  <si>
    <t>CS-1, CST-1</t>
  </si>
  <si>
    <t>Curtailable Service &amp; Time of Use 
(500-1999 kW)</t>
  </si>
  <si>
    <t>High Load Factor - Time of Use (500-1999 kW)</t>
  </si>
  <si>
    <t>SDTR-2A, SDTR-2B</t>
  </si>
  <si>
    <t>Seasonal Demand - Time of Use Rider                           (500-1999 kW)</t>
  </si>
  <si>
    <t>General Service Large Demand 2</t>
  </si>
  <si>
    <t>GSLD-2, GSLDT-2</t>
  </si>
  <si>
    <t>General Service Large Demand &amp; Time of Use 
(2000+  kW)</t>
  </si>
  <si>
    <t>CS-2, CST-2</t>
  </si>
  <si>
    <t>Curtailable Service &amp; Time of Use (2000+ kW)</t>
  </si>
  <si>
    <t>High Load Factor - Time of Use (2000+ kW)</t>
  </si>
  <si>
    <t>SDTR-3A, SDTR-3B</t>
  </si>
  <si>
    <t>Seasonal Demand - Time of Use Rider
(2000+ kW)</t>
  </si>
  <si>
    <t>General Service Large Demand 3</t>
  </si>
  <si>
    <t>GSLD-3, GSLDT-3</t>
  </si>
  <si>
    <t>General Service Large Demand &amp; Time of Use -
Transmission (2000+ kW)</t>
  </si>
  <si>
    <t>CS-3, CST-3</t>
  </si>
  <si>
    <t>Curtailable Service &amp; Time of Use  - 
Transmission (2000+ kW)</t>
  </si>
  <si>
    <t>Metropolitan Transit Service</t>
  </si>
  <si>
    <t>Outdoor Lighting</t>
  </si>
  <si>
    <t>Sports Field Service</t>
  </si>
  <si>
    <t>Sports Field Service &amp; Recreational Lighting</t>
  </si>
  <si>
    <t>Residential Service</t>
  </si>
  <si>
    <t>RS-1, RST-1</t>
  </si>
  <si>
    <t>Residential Service &amp; Time of Use</t>
  </si>
  <si>
    <t>Street Lighting</t>
  </si>
  <si>
    <t>SL-1, PL-1</t>
  </si>
  <si>
    <t>Street Lighting &amp; Premium Lighting</t>
  </si>
  <si>
    <t>Traffic Signal Service</t>
  </si>
  <si>
    <t>Standby and Supplemental 
Service - Distribution</t>
  </si>
  <si>
    <t>SST-1D, SST-2D, 
SST-3D</t>
  </si>
  <si>
    <t>Standby and Supplemental Service - 
Distribution</t>
  </si>
  <si>
    <t>Standby and Supplemental 
Service - Transmission</t>
  </si>
  <si>
    <t xml:space="preserve">Standby and Supplemental Service - 
Transmission </t>
  </si>
  <si>
    <t>City of Blountstown, FL</t>
  </si>
  <si>
    <t>FKEC</t>
  </si>
  <si>
    <t>Florida Keys Electric Cooperative</t>
  </si>
  <si>
    <t>City of Wauchula, FL</t>
  </si>
  <si>
    <t>NEW SMYRNA</t>
  </si>
  <si>
    <t>Utility Commission, City of New Smyrna Beach, FL</t>
  </si>
  <si>
    <t>LCEC</t>
  </si>
  <si>
    <t>Lee County Electric Cooperative</t>
  </si>
  <si>
    <t>City of Winter Park, FL</t>
  </si>
  <si>
    <t>Seminole Electric Cooperative</t>
  </si>
  <si>
    <t>Seminole 2015</t>
  </si>
  <si>
    <t>HOMESTEAD</t>
  </si>
  <si>
    <t>QUINCY</t>
  </si>
  <si>
    <t>Wholesale Peaks</t>
  </si>
  <si>
    <t>Lee + Seminole - Key West</t>
  </si>
  <si>
    <t>Other Wholesale</t>
  </si>
  <si>
    <t>CP - L.F.</t>
  </si>
  <si>
    <t>GCP - L.F.</t>
  </si>
  <si>
    <t>NCP - L.F.</t>
  </si>
  <si>
    <t>Hours</t>
  </si>
  <si>
    <r>
      <t xml:space="preserve">Sales </t>
    </r>
    <r>
      <rPr>
        <vertAlign val="superscript"/>
        <sz val="7.5"/>
        <rFont val="Arial"/>
        <family val="2"/>
      </rPr>
      <t>(1)</t>
    </r>
  </si>
  <si>
    <t>CP L.F.</t>
  </si>
  <si>
    <t>GNCP L.F.</t>
  </si>
  <si>
    <t>NCP L.F.</t>
  </si>
  <si>
    <t>Wholesale Delivered Sales</t>
  </si>
  <si>
    <t>WHOLESALE - CONTRACT RATE - HOMESTEAD</t>
  </si>
  <si>
    <t/>
  </si>
  <si>
    <t>Jan - 2017</t>
  </si>
  <si>
    <t>Feb - 2017</t>
  </si>
  <si>
    <t>Mar - 2017</t>
  </si>
  <si>
    <t>Apr - 2017</t>
  </si>
  <si>
    <t>May - 2017</t>
  </si>
  <si>
    <t>Jun - 2017</t>
  </si>
  <si>
    <t>Jul - 2017</t>
  </si>
  <si>
    <t>Aug - 2017</t>
  </si>
  <si>
    <t>Sep - 2017</t>
  </si>
  <si>
    <t>Oct - 2017</t>
  </si>
  <si>
    <t>Nov - 2017</t>
  </si>
  <si>
    <t>Dec - 2017</t>
  </si>
  <si>
    <t>CILC-1D: Commercial/Industrial Load Control - Distribution</t>
  </si>
  <si>
    <t>GNCP - L.F.</t>
  </si>
  <si>
    <t>CILC-1G: Commercial/Industrial Load Control - General</t>
  </si>
  <si>
    <t>CILC-1T: Commercial/Industrial Load Control - Transmission</t>
  </si>
  <si>
    <t>GS(T)-1: General Service - Non Demand (0-20 kW)</t>
  </si>
  <si>
    <t>GSCU-1: General Service Constant Use</t>
  </si>
  <si>
    <t>GSD(T)-1: General Service Demand (21-499 kW)</t>
  </si>
  <si>
    <t>GSLD(T)-1: General Service Large Demand (500-1999 kW)</t>
  </si>
  <si>
    <t>GSLD(T)-2: General Service Large Demand (2000 kW +)</t>
  </si>
  <si>
    <t>GSLD(T)-3: General Service Large Demand  - Transmission</t>
  </si>
  <si>
    <t>MET: Metropolitan Transit Service</t>
  </si>
  <si>
    <t>OL-1: Outdoor Lighting</t>
  </si>
  <si>
    <t>OS-2: Sports Field Service</t>
  </si>
  <si>
    <t>RS(T)-1: Residential Service</t>
  </si>
  <si>
    <t>SL-1: Street Lighting</t>
  </si>
  <si>
    <t>SL-2: Traffic Signal Service</t>
  </si>
  <si>
    <t>SST-DST: Standby Service - Distribution</t>
  </si>
  <si>
    <t>SST-TST: Standby Service - Transmission</t>
  </si>
  <si>
    <t>FKEC: Florida Keys Electric Cooperative</t>
  </si>
  <si>
    <t>SEMINOLE: Seminole</t>
  </si>
  <si>
    <t>Sales</t>
  </si>
  <si>
    <t>LCEC: Lee County Electric Cooperative</t>
  </si>
  <si>
    <t>WAUCHULA: City of Wauchula</t>
  </si>
  <si>
    <t>417712: City of Blountstown</t>
  </si>
  <si>
    <t>455912: City of Winter Park</t>
  </si>
  <si>
    <t>455913: City of New Smyrna Beach</t>
  </si>
  <si>
    <t>538111: City of Homestead</t>
  </si>
  <si>
    <t>538311: City of Quincy</t>
  </si>
  <si>
    <t>LOAD ADJUSTMENTS</t>
  </si>
  <si>
    <t>Loss Expansion Factor - Transmission</t>
  </si>
  <si>
    <t>Loss Expansion Factor - Primary</t>
  </si>
  <si>
    <t>Loss Expansion Factor - Secondary</t>
  </si>
  <si>
    <t>% Secondary</t>
  </si>
  <si>
    <t>% Primary</t>
  </si>
  <si>
    <t>% Transmission</t>
  </si>
  <si>
    <t>CP @ Meter Forecast</t>
  </si>
  <si>
    <t>CP @ Gen Forecast</t>
  </si>
  <si>
    <t>CP @ Gen Retail Total</t>
  </si>
  <si>
    <t>CP @ Gen Retail Variance</t>
  </si>
  <si>
    <t>CP @ Gen Allocated Variance</t>
  </si>
  <si>
    <t>CP @ Meter Allocated Variance</t>
  </si>
  <si>
    <r>
      <t>Sales</t>
    </r>
    <r>
      <rPr>
        <vertAlign val="superscript"/>
        <sz val="10"/>
        <rFont val="Arial"/>
        <family val="2"/>
      </rPr>
      <t xml:space="preserve"> (1)</t>
    </r>
  </si>
  <si>
    <r>
      <rPr>
        <vertAlign val="superscript"/>
        <sz val="10"/>
        <rFont val="Arial"/>
        <family val="2"/>
      </rPr>
      <t xml:space="preserve">(1) </t>
    </r>
    <r>
      <rPr>
        <sz val="10"/>
        <rFont val="Arial"/>
        <family val="2"/>
      </rPr>
      <t>MWH Sales at Meter.</t>
    </r>
  </si>
  <si>
    <r>
      <rPr>
        <vertAlign val="superscript"/>
        <sz val="10"/>
        <rFont val="Arial"/>
        <family val="2"/>
      </rPr>
      <t xml:space="preserve">(2) </t>
    </r>
    <r>
      <rPr>
        <sz val="10"/>
        <rFont val="Arial"/>
        <family val="2"/>
      </rPr>
      <t>Coincident peak (CP), class or group non-coincident peak (GNCP), and customer non-coincident peak (NCP) demands are shown in KW at Meter.</t>
    </r>
  </si>
  <si>
    <t>CP @ Gen Wholesale Total</t>
  </si>
  <si>
    <t>CP @ Gen Wholesale Variance</t>
  </si>
  <si>
    <t>OPC 015024</t>
  </si>
  <si>
    <t>FPL RC-16</t>
  </si>
  <si>
    <t>OPC 015025</t>
  </si>
  <si>
    <t>OPC 015026</t>
  </si>
  <si>
    <t>OPC 015027</t>
  </si>
  <si>
    <t>OPC 015028</t>
  </si>
  <si>
    <t>OPC 015029</t>
  </si>
  <si>
    <t>OPC 015030</t>
  </si>
  <si>
    <t>OPC 015031</t>
  </si>
  <si>
    <t>OPC 015032</t>
  </si>
  <si>
    <t>OPC 015033</t>
  </si>
  <si>
    <t>OPC 015034</t>
  </si>
  <si>
    <t>OPC 015035</t>
  </si>
  <si>
    <t>OPC 015036</t>
  </si>
  <si>
    <t>OPC 015037</t>
  </si>
  <si>
    <t>OPC 015038</t>
  </si>
  <si>
    <t>OPC 015039</t>
  </si>
  <si>
    <t>OPC 015040</t>
  </si>
  <si>
    <t>OPC 015041</t>
  </si>
  <si>
    <t>OPC 015042</t>
  </si>
  <si>
    <t>OPC 015043</t>
  </si>
  <si>
    <t>OPC 015044</t>
  </si>
  <si>
    <t>OPC 015045</t>
  </si>
  <si>
    <t>OPC 015046</t>
  </si>
  <si>
    <t>OPC 015047</t>
  </si>
  <si>
    <t>OPC 015048</t>
  </si>
  <si>
    <t>OPC 015049</t>
  </si>
  <si>
    <t>OPC 015050</t>
  </si>
  <si>
    <t>OPC 015051</t>
  </si>
  <si>
    <t>OPC 015052</t>
  </si>
  <si>
    <t>OPC 015053</t>
  </si>
  <si>
    <t>OPC 015054</t>
  </si>
  <si>
    <t>OPC 015055</t>
  </si>
  <si>
    <t>OPC 015056</t>
  </si>
  <si>
    <t>OPC 015057</t>
  </si>
  <si>
    <t>OPC 015058</t>
  </si>
  <si>
    <t>OPC 015059</t>
  </si>
  <si>
    <t>OPC 015060</t>
  </si>
  <si>
    <t>OPC 015061</t>
  </si>
  <si>
    <t>OPC 015062</t>
  </si>
  <si>
    <t>OPC 015063</t>
  </si>
  <si>
    <t>OPC 015064</t>
  </si>
  <si>
    <t>OPC 015065</t>
  </si>
  <si>
    <t>OPC 015066</t>
  </si>
  <si>
    <t>OPC 015067</t>
  </si>
  <si>
    <t>OPC 015068</t>
  </si>
  <si>
    <t>OPC 015069</t>
  </si>
  <si>
    <t>OPC 015070</t>
  </si>
  <si>
    <t>OPC 015071</t>
  </si>
  <si>
    <t>OPC 015072</t>
  </si>
  <si>
    <t>OPC 015073</t>
  </si>
  <si>
    <t>OPC 015074</t>
  </si>
  <si>
    <t>OPC 015075</t>
  </si>
  <si>
    <t>OPC 015076</t>
  </si>
  <si>
    <t>OPC 015077</t>
  </si>
  <si>
    <t>OPC 015078</t>
  </si>
  <si>
    <t>OPC 015079</t>
  </si>
  <si>
    <t>OPC 015080</t>
  </si>
  <si>
    <t>OPC 015081</t>
  </si>
  <si>
    <t>OPC 015082</t>
  </si>
  <si>
    <t>OPC 015083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</si>
</sst>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 #,##0.0000_);_(* \(#,##0.0000\);_(* &quot;-&quot;??_);_(@_)"/>
    <numFmt numFmtId="167" formatCode="0.000000"/>
    <numFmt numFmtId="168" formatCode="0.000%"/>
    <numFmt numFmtId="169" formatCode="0.0%"/>
    <numFmt numFmtId="170" formatCode="_(* #,##0.00000_);_(* \(#,##0.00000\);_(* &quot;-&quot;??_);_(@_)"/>
    <numFmt numFmtId="171" formatCode="#,##0.0"/>
    <numFmt numFmtId="172" formatCode="_(* #,##0.000_);_(* \(#,##0.000\);_(* &quot;-&quot;??_);_(@_)"/>
    <numFmt numFmtId="173" formatCode="#,##0_);[Red]\(#,##0\);&quot; &quot;"/>
    <numFmt numFmtId="174" formatCode="#,##0.000"/>
    <numFmt numFmtId="175" formatCode="_(&quot;$&quot;* #,##0_);_(&quot;$&quot;* \(#,##0\);_(&quot;$&quot;* &quot;-&quot;??_);_(@_)"/>
    <numFmt numFmtId="176" formatCode="0.0"/>
    <numFmt numFmtId="177" formatCode="#,##0.00%_);[Red]\(#,##0.00%\);&quot; &quot;"/>
    <numFmt numFmtId="178" formatCode="#,##0.0000000_);[Red]\(#,##0.0000000\);&quot; &quot;"/>
    <numFmt numFmtId="179" formatCode="0.0000%"/>
    <numFmt numFmtId="180" formatCode="0.00000%"/>
    <numFmt numFmtId="181" formatCode="0.00000"/>
    <numFmt numFmtId="182" formatCode="0.0000"/>
    <numFmt numFmtId="183" formatCode="#,##0.0000"/>
    <numFmt numFmtId="184" formatCode="#,##0.0000_);[Red]\(#,##0.0000\);&quot; &quot;"/>
    <numFmt numFmtId="185" formatCode="0.00000000000000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0"/>
      <name val="Arial"/>
      <family val="2"/>
    </font>
    <font>
      <sz val="8"/>
      <name val="Arial"/>
      <family val="2"/>
    </font>
    <font>
      <sz val="9"/>
      <name val="Arial"/>
      <family val="2"/>
    </font>
    <font>
      <b/>
      <u/>
      <sz val="10"/>
      <name val="Arial"/>
      <family val="2"/>
    </font>
    <font>
      <b/>
      <sz val="10"/>
      <color indexed="10"/>
      <name val="Arial"/>
      <family val="2"/>
    </font>
    <font>
      <b/>
      <sz val="10"/>
      <color indexed="12"/>
      <name val="Arial"/>
      <family val="2"/>
    </font>
    <font>
      <sz val="10"/>
      <color indexed="12"/>
      <name val="Arial"/>
      <family val="2"/>
    </font>
    <font>
      <sz val="10"/>
      <color indexed="12"/>
      <name val="Arial"/>
      <family val="2"/>
    </font>
    <font>
      <b/>
      <sz val="10"/>
      <color rgb="FFFF0000"/>
      <name val="Arial"/>
      <family val="2"/>
    </font>
    <font>
      <b/>
      <sz val="14"/>
      <name val="Arial"/>
      <family val="2"/>
    </font>
    <font>
      <sz val="12"/>
      <name val="Arial"/>
      <family val="2"/>
    </font>
    <font>
      <sz val="12"/>
      <color indexed="18"/>
      <name val="Arial"/>
      <family val="2"/>
    </font>
    <font>
      <b/>
      <sz val="12"/>
      <color indexed="18"/>
      <name val="Arial"/>
      <family val="2"/>
    </font>
    <font>
      <sz val="8"/>
      <name val="Times New Roman"/>
      <family val="1"/>
    </font>
    <font>
      <u/>
      <sz val="10"/>
      <name val="Arial"/>
      <family val="2"/>
    </font>
    <font>
      <b/>
      <sz val="12"/>
      <name val="Arial"/>
      <family val="2"/>
    </font>
    <font>
      <sz val="10"/>
      <color indexed="8"/>
      <name val="Arial"/>
      <family val="2"/>
    </font>
    <font>
      <b/>
      <u/>
      <sz val="14"/>
      <color indexed="18"/>
      <name val="Arial"/>
      <family val="2"/>
    </font>
    <font>
      <sz val="10"/>
      <color indexed="8"/>
      <name val="MS Sans Serif"/>
      <family val="2"/>
    </font>
    <font>
      <b/>
      <sz val="8"/>
      <name val="Times New Roman"/>
      <family val="1"/>
    </font>
    <font>
      <b/>
      <sz val="8"/>
      <name val="Tms Rmn"/>
    </font>
    <font>
      <b/>
      <sz val="10"/>
      <color indexed="8"/>
      <name val="Arial"/>
      <family val="2"/>
    </font>
    <font>
      <b/>
      <sz val="10"/>
      <color indexed="39"/>
      <name val="Arial"/>
      <family val="2"/>
    </font>
    <font>
      <b/>
      <u val="singleAccounting"/>
      <sz val="10"/>
      <color indexed="8"/>
      <name val="Arial"/>
      <family val="2"/>
    </font>
    <font>
      <sz val="10"/>
      <color indexed="8"/>
      <name val="Arial"/>
      <family val="2"/>
    </font>
    <font>
      <b/>
      <sz val="12"/>
      <color indexed="8"/>
      <name val="Arial"/>
      <family val="2"/>
    </font>
    <font>
      <sz val="10"/>
      <color indexed="39"/>
      <name val="Arial"/>
      <family val="2"/>
    </font>
    <font>
      <b/>
      <u val="singleAccounting"/>
      <sz val="14"/>
      <color indexed="8"/>
      <name val="Arial"/>
      <family val="2"/>
    </font>
    <font>
      <sz val="10"/>
      <color indexed="10"/>
      <name val="Arial"/>
      <family val="2"/>
    </font>
    <font>
      <b/>
      <sz val="10"/>
      <color rgb="FF0070C0"/>
      <name val="Arial"/>
      <family val="2"/>
    </font>
    <font>
      <sz val="9"/>
      <name val="Univers (WN)"/>
    </font>
    <font>
      <sz val="10"/>
      <name val="Arial"/>
      <family val="2"/>
    </font>
    <font>
      <sz val="10"/>
      <color indexed="12"/>
      <name val="Arial"/>
      <family val="2"/>
    </font>
    <font>
      <sz val="10"/>
      <color indexed="8"/>
      <name val="Arial"/>
      <family val="2"/>
    </font>
    <font>
      <sz val="10"/>
      <color indexed="8"/>
      <name val="MS Sans Serif"/>
      <family val="2"/>
    </font>
    <font>
      <b/>
      <u/>
      <sz val="12"/>
      <color indexed="10"/>
      <name val="Arial"/>
      <family val="2"/>
    </font>
    <font>
      <b/>
      <sz val="12"/>
      <color indexed="10"/>
      <name val="Arial"/>
      <family val="2"/>
    </font>
    <font>
      <sz val="10"/>
      <color rgb="FFFF0000"/>
      <name val="Arial"/>
      <family val="2"/>
    </font>
    <font>
      <sz val="11"/>
      <name val="Calibri"/>
      <family val="2"/>
      <scheme val="minor"/>
    </font>
    <font>
      <sz val="8"/>
      <color theme="1"/>
      <name val="Calibri"/>
      <family val="2"/>
      <scheme val="minor"/>
    </font>
    <font>
      <b/>
      <sz val="8"/>
      <color theme="1"/>
      <name val="Calibri"/>
      <family val="2"/>
      <scheme val="minor"/>
    </font>
    <font>
      <b/>
      <sz val="9"/>
      <name val="Arial"/>
      <family val="2"/>
    </font>
    <font>
      <sz val="10"/>
      <name val="Arial"/>
      <family val="2"/>
    </font>
    <font>
      <b/>
      <sz val="14"/>
      <name val="Times New Roman"/>
      <family val="1"/>
    </font>
    <font>
      <sz val="12"/>
      <name val="Times New Roman"/>
      <family val="1"/>
    </font>
    <font>
      <sz val="10"/>
      <name val="Times New Roman"/>
      <family val="1"/>
    </font>
    <font>
      <b/>
      <sz val="12"/>
      <name val="Times New Roman"/>
      <family val="1"/>
    </font>
    <font>
      <sz val="12"/>
      <color indexed="8"/>
      <name val="Times New Roman"/>
      <family val="1"/>
    </font>
    <font>
      <b/>
      <sz val="9"/>
      <color indexed="81"/>
      <name val="Tahoma"/>
      <family val="2"/>
    </font>
    <font>
      <sz val="9"/>
      <color indexed="81"/>
      <name val="Tahoma"/>
      <family val="2"/>
    </font>
    <font>
      <b/>
      <sz val="11"/>
      <name val="Arial"/>
      <family val="2"/>
    </font>
    <font>
      <vertAlign val="superscript"/>
      <sz val="7.5"/>
      <name val="Arial"/>
      <family val="2"/>
    </font>
    <font>
      <sz val="10"/>
      <name val="Arial"/>
      <family val="2"/>
    </font>
    <font>
      <b/>
      <sz val="11"/>
      <color theme="1"/>
      <name val="Calibri"/>
      <family val="2"/>
      <scheme val="minor"/>
    </font>
    <font>
      <vertAlign val="superscript"/>
      <sz val="10"/>
      <name val="Arial"/>
      <family val="2"/>
    </font>
  </fonts>
  <fills count="45">
    <fill>
      <patternFill patternType="none"/>
    </fill>
    <fill>
      <patternFill patternType="gray125"/>
    </fill>
    <fill>
      <patternFill patternType="solid">
        <fgColor indexed="42"/>
        <bgColor indexed="64"/>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6"/>
        <bgColor indexed="64"/>
      </patternFill>
    </fill>
    <fill>
      <patternFill patternType="solid">
        <fgColor indexed="22"/>
        <bgColor indexed="64"/>
      </patternFill>
    </fill>
    <fill>
      <patternFill patternType="solid">
        <fgColor indexed="61"/>
        <bgColor indexed="64"/>
      </patternFill>
    </fill>
    <fill>
      <patternFill patternType="solid">
        <fgColor indexed="40"/>
        <bgColor indexed="64"/>
      </patternFill>
    </fill>
    <fill>
      <patternFill patternType="solid">
        <fgColor indexed="15"/>
        <bgColor indexed="64"/>
      </patternFill>
    </fill>
    <fill>
      <patternFill patternType="solid">
        <fgColor indexed="11"/>
        <bgColor indexed="64"/>
      </patternFill>
    </fill>
    <fill>
      <patternFill patternType="solid">
        <fgColor indexed="13"/>
        <bgColor indexed="64"/>
      </patternFill>
    </fill>
    <fill>
      <patternFill patternType="solid">
        <fgColor indexed="5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0000"/>
        <bgColor indexed="64"/>
      </patternFill>
    </fill>
    <fill>
      <patternFill patternType="solid">
        <fgColor indexed="43"/>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9"/>
      </patternFill>
    </fill>
    <fill>
      <patternFill patternType="solid">
        <fgColor indexed="54"/>
        <bgColor indexed="64"/>
      </patternFill>
    </fill>
    <fill>
      <patternFill patternType="solid">
        <fgColor indexed="40"/>
      </patternFill>
    </fill>
    <fill>
      <patternFill patternType="solid">
        <fgColor indexed="26"/>
        <bgColor indexed="64"/>
      </patternFill>
    </fill>
    <fill>
      <patternFill patternType="solid">
        <fgColor indexed="44"/>
      </patternFill>
    </fill>
    <fill>
      <patternFill patternType="solid">
        <fgColor theme="2" tint="-0.249977111117893"/>
        <bgColor indexed="64"/>
      </patternFill>
    </fill>
    <fill>
      <patternFill patternType="solid">
        <fgColor indexed="55"/>
        <bgColor indexed="64"/>
      </patternFill>
    </fill>
    <fill>
      <patternFill patternType="solid">
        <fgColor indexed="8"/>
        <bgColor indexed="64"/>
      </patternFill>
    </fill>
    <fill>
      <patternFill patternType="solid">
        <fgColor rgb="FF92D050"/>
        <bgColor indexed="64"/>
      </patternFill>
    </fill>
    <fill>
      <patternFill patternType="solid">
        <fgColor rgb="FFFFFF99"/>
        <bgColor indexed="64"/>
      </patternFill>
    </fill>
    <fill>
      <patternFill patternType="solid">
        <fgColor theme="0"/>
        <bgColor indexed="64"/>
      </patternFill>
    </fill>
  </fills>
  <borders count="39">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medium">
        <color indexed="48"/>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s>
  <cellStyleXfs count="119">
    <xf numFmtId="0" fontId="0" fillId="0" borderId="0"/>
    <xf numFmtId="167" fontId="4" fillId="0" borderId="0">
      <alignment horizontal="left" wrapText="1"/>
    </xf>
    <xf numFmtId="43" fontId="5"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26" fillId="0" borderId="0"/>
    <xf numFmtId="4" fontId="29" fillId="24" borderId="17" applyNumberFormat="0" applyProtection="0">
      <alignment vertical="center"/>
    </xf>
    <xf numFmtId="4" fontId="30" fillId="5" borderId="17" applyNumberFormat="0" applyProtection="0">
      <alignment vertical="center"/>
    </xf>
    <xf numFmtId="4" fontId="29" fillId="5" borderId="17" applyNumberFormat="0" applyProtection="0">
      <alignment horizontal="left" vertical="center" indent="1"/>
    </xf>
    <xf numFmtId="0" fontId="29" fillId="5" borderId="17" applyNumberFormat="0" applyProtection="0">
      <alignment horizontal="left" vertical="top" indent="1"/>
    </xf>
    <xf numFmtId="4" fontId="31" fillId="0" borderId="0" applyNumberFormat="0" applyProtection="0">
      <alignment horizontal="left"/>
    </xf>
    <xf numFmtId="4" fontId="32" fillId="25" borderId="17" applyNumberFormat="0" applyProtection="0">
      <alignment horizontal="right" vertical="center"/>
    </xf>
    <xf numFmtId="4" fontId="32" fillId="26" borderId="17" applyNumberFormat="0" applyProtection="0">
      <alignment horizontal="right" vertical="center"/>
    </xf>
    <xf numFmtId="4" fontId="32" fillId="27" borderId="17" applyNumberFormat="0" applyProtection="0">
      <alignment horizontal="right" vertical="center"/>
    </xf>
    <xf numFmtId="4" fontId="32" fillId="28" borderId="17" applyNumberFormat="0" applyProtection="0">
      <alignment horizontal="right" vertical="center"/>
    </xf>
    <xf numFmtId="4" fontId="32" fillId="29" borderId="17" applyNumberFormat="0" applyProtection="0">
      <alignment horizontal="right" vertical="center"/>
    </xf>
    <xf numFmtId="4" fontId="32" fillId="30" borderId="17" applyNumberFormat="0" applyProtection="0">
      <alignment horizontal="right" vertical="center"/>
    </xf>
    <xf numFmtId="4" fontId="32" fillId="31" borderId="17" applyNumberFormat="0" applyProtection="0">
      <alignment horizontal="right" vertical="center"/>
    </xf>
    <xf numFmtId="4" fontId="32" fillId="32" borderId="17" applyNumberFormat="0" applyProtection="0">
      <alignment horizontal="right" vertical="center"/>
    </xf>
    <xf numFmtId="4" fontId="32" fillId="33" borderId="17" applyNumberFormat="0" applyProtection="0">
      <alignment horizontal="right" vertical="center"/>
    </xf>
    <xf numFmtId="4" fontId="29" fillId="34" borderId="18" applyNumberFormat="0" applyProtection="0">
      <alignment horizontal="left" vertical="center" indent="1"/>
    </xf>
    <xf numFmtId="4" fontId="32" fillId="0" borderId="0" applyNumberFormat="0" applyProtection="0">
      <alignment horizontal="left" vertical="center" indent="1"/>
    </xf>
    <xf numFmtId="4" fontId="33" fillId="35" borderId="0" applyNumberFormat="0" applyProtection="0">
      <alignment horizontal="left" vertical="center" indent="1"/>
    </xf>
    <xf numFmtId="4" fontId="32" fillId="36" borderId="17" applyNumberFormat="0" applyProtection="0">
      <alignment horizontal="right" vertical="center"/>
    </xf>
    <xf numFmtId="4" fontId="24" fillId="0" borderId="0" applyNumberFormat="0" applyProtection="0">
      <alignment horizontal="left" vertical="center" indent="1"/>
    </xf>
    <xf numFmtId="4" fontId="24" fillId="11" borderId="0" applyNumberFormat="0" applyProtection="0">
      <alignment horizontal="left" vertical="center" indent="1"/>
    </xf>
    <xf numFmtId="0" fontId="6" fillId="35" borderId="17" applyNumberFormat="0" applyProtection="0">
      <alignment horizontal="left" vertical="center" indent="1"/>
    </xf>
    <xf numFmtId="0" fontId="4" fillId="35" borderId="17" applyNumberFormat="0" applyProtection="0">
      <alignment horizontal="left" vertical="top" indent="1"/>
    </xf>
    <xf numFmtId="0" fontId="4" fillId="11" borderId="17" applyNumberFormat="0" applyProtection="0">
      <alignment horizontal="left" vertical="center" indent="1"/>
    </xf>
    <xf numFmtId="0" fontId="4" fillId="11" borderId="17" applyNumberFormat="0" applyProtection="0">
      <alignment horizontal="left" vertical="top" indent="1"/>
    </xf>
    <xf numFmtId="0" fontId="8" fillId="7" borderId="17" applyNumberFormat="0" applyProtection="0">
      <alignment horizontal="left" vertical="center" indent="1"/>
    </xf>
    <xf numFmtId="0" fontId="4" fillId="7" borderId="17" applyNumberFormat="0" applyProtection="0">
      <alignment horizontal="left" vertical="top" indent="1"/>
    </xf>
    <xf numFmtId="0" fontId="4" fillId="6" borderId="17" applyNumberFormat="0" applyProtection="0">
      <alignment horizontal="left" vertical="center" indent="1"/>
    </xf>
    <xf numFmtId="0" fontId="4" fillId="6" borderId="17" applyNumberFormat="0" applyProtection="0">
      <alignment horizontal="left" vertical="top" indent="1"/>
    </xf>
    <xf numFmtId="4" fontId="32" fillId="37" borderId="17" applyNumberFormat="0" applyProtection="0">
      <alignment vertical="center"/>
    </xf>
    <xf numFmtId="4" fontId="34" fillId="37" borderId="17" applyNumberFormat="0" applyProtection="0">
      <alignment vertical="center"/>
    </xf>
    <xf numFmtId="4" fontId="32" fillId="37" borderId="17" applyNumberFormat="0" applyProtection="0">
      <alignment horizontal="left" vertical="center" indent="1"/>
    </xf>
    <xf numFmtId="0" fontId="32" fillId="37" borderId="17" applyNumberFormat="0" applyProtection="0">
      <alignment horizontal="left" vertical="top" indent="1"/>
    </xf>
    <xf numFmtId="4" fontId="32" fillId="0" borderId="0" applyNumberFormat="0" applyProtection="0">
      <alignment horizontal="right"/>
    </xf>
    <xf numFmtId="4" fontId="29" fillId="0" borderId="19" applyNumberFormat="0" applyProtection="0">
      <alignment horizontal="right" vertical="center"/>
    </xf>
    <xf numFmtId="4" fontId="29" fillId="0" borderId="0" applyNumberFormat="0" applyProtection="0">
      <alignment horizontal="left" vertical="center" wrapText="1" indent="1"/>
    </xf>
    <xf numFmtId="0" fontId="31" fillId="0" borderId="0" applyNumberFormat="0" applyProtection="0">
      <alignment horizontal="center" wrapText="1"/>
    </xf>
    <xf numFmtId="4" fontId="35" fillId="0" borderId="0" applyNumberFormat="0" applyProtection="0">
      <alignment horizontal="left"/>
    </xf>
    <xf numFmtId="4" fontId="36" fillId="0" borderId="0" applyNumberFormat="0" applyProtection="0">
      <alignment horizontal="right"/>
    </xf>
    <xf numFmtId="0" fontId="4" fillId="0" borderId="0"/>
    <xf numFmtId="167" fontId="38" fillId="0" borderId="0">
      <alignment horizontal="left" wrapText="1"/>
    </xf>
    <xf numFmtId="43" fontId="39" fillId="0" borderId="0" applyFont="0" applyFill="0" applyBorder="0" applyAlignment="0" applyProtection="0"/>
    <xf numFmtId="9" fontId="39" fillId="0" borderId="0" applyFont="0" applyFill="0" applyBorder="0" applyAlignment="0" applyProtection="0"/>
    <xf numFmtId="0" fontId="42" fillId="0" borderId="0"/>
    <xf numFmtId="0" fontId="4" fillId="0" borderId="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24" fillId="25" borderId="17" applyNumberFormat="0" applyProtection="0">
      <alignment horizontal="right" vertical="center"/>
    </xf>
    <xf numFmtId="4" fontId="24" fillId="26" borderId="17" applyNumberFormat="0" applyProtection="0">
      <alignment horizontal="right" vertical="center"/>
    </xf>
    <xf numFmtId="4" fontId="24" fillId="27" borderId="17" applyNumberFormat="0" applyProtection="0">
      <alignment horizontal="right" vertical="center"/>
    </xf>
    <xf numFmtId="4" fontId="24" fillId="28" borderId="17" applyNumberFormat="0" applyProtection="0">
      <alignment horizontal="right" vertical="center"/>
    </xf>
    <xf numFmtId="4" fontId="24" fillId="29" borderId="17" applyNumberFormat="0" applyProtection="0">
      <alignment horizontal="right" vertical="center"/>
    </xf>
    <xf numFmtId="4" fontId="24" fillId="30" borderId="17" applyNumberFormat="0" applyProtection="0">
      <alignment horizontal="right" vertical="center"/>
    </xf>
    <xf numFmtId="4" fontId="24" fillId="31" borderId="17" applyNumberFormat="0" applyProtection="0">
      <alignment horizontal="right" vertical="center"/>
    </xf>
    <xf numFmtId="4" fontId="24" fillId="32" borderId="17" applyNumberFormat="0" applyProtection="0">
      <alignment horizontal="right" vertical="center"/>
    </xf>
    <xf numFmtId="4" fontId="24" fillId="33" borderId="17" applyNumberFormat="0" applyProtection="0">
      <alignment horizontal="right" vertical="center"/>
    </xf>
    <xf numFmtId="4" fontId="29" fillId="0" borderId="0" applyNumberFormat="0" applyProtection="0">
      <alignment horizontal="left" vertical="center" indent="1"/>
    </xf>
    <xf numFmtId="4" fontId="29" fillId="0" borderId="0" applyNumberFormat="0" applyProtection="0">
      <alignment horizontal="left" vertical="center" indent="1"/>
    </xf>
    <xf numFmtId="4" fontId="24" fillId="0" borderId="0" applyNumberFormat="0" applyProtection="0">
      <alignment horizontal="left" vertical="center" indent="1"/>
    </xf>
    <xf numFmtId="4" fontId="24" fillId="36" borderId="17" applyNumberFormat="0" applyProtection="0">
      <alignment horizontal="right" vertical="center"/>
    </xf>
    <xf numFmtId="4" fontId="24" fillId="0" borderId="0" applyNumberFormat="0" applyProtection="0">
      <alignment horizontal="left" vertical="center" indent="1"/>
    </xf>
    <xf numFmtId="4" fontId="24" fillId="0" borderId="0" applyNumberFormat="0" applyProtection="0">
      <alignment horizontal="left" vertical="center" indent="1"/>
    </xf>
    <xf numFmtId="4" fontId="24" fillId="0" borderId="0" applyNumberFormat="0" applyProtection="0">
      <alignment horizontal="left" vertical="center" indent="1"/>
    </xf>
    <xf numFmtId="4" fontId="24" fillId="0" borderId="0" applyNumberFormat="0" applyProtection="0">
      <alignment horizontal="left" vertical="center" indent="1"/>
    </xf>
    <xf numFmtId="4" fontId="24" fillId="0" borderId="0" applyNumberFormat="0" applyProtection="0">
      <alignment horizontal="left" vertical="center" indent="1"/>
    </xf>
    <xf numFmtId="4" fontId="24" fillId="0" borderId="0" applyNumberFormat="0" applyProtection="0">
      <alignment horizontal="left" vertical="center" indent="1"/>
    </xf>
    <xf numFmtId="4" fontId="24" fillId="0" borderId="0" applyNumberFormat="0" applyProtection="0">
      <alignment horizontal="left" vertical="center" indent="1"/>
    </xf>
    <xf numFmtId="4" fontId="24" fillId="11" borderId="0" applyNumberFormat="0" applyProtection="0">
      <alignment horizontal="left" vertical="center" indent="1"/>
    </xf>
    <xf numFmtId="4" fontId="24" fillId="11" borderId="0" applyNumberFormat="0" applyProtection="0">
      <alignment horizontal="left" vertical="center" indent="1"/>
    </xf>
    <xf numFmtId="4" fontId="24" fillId="11" borderId="0" applyNumberFormat="0" applyProtection="0">
      <alignment horizontal="left" vertical="center" indent="1"/>
    </xf>
    <xf numFmtId="4" fontId="24" fillId="11" borderId="0" applyNumberFormat="0" applyProtection="0">
      <alignment horizontal="left" vertical="center" indent="1"/>
    </xf>
    <xf numFmtId="4" fontId="24" fillId="11" borderId="0" applyNumberFormat="0" applyProtection="0">
      <alignment horizontal="left" vertical="center" indent="1"/>
    </xf>
    <xf numFmtId="4" fontId="24" fillId="11" borderId="0" applyNumberFormat="0" applyProtection="0">
      <alignment horizontal="left" vertical="center" indent="1"/>
    </xf>
    <xf numFmtId="4" fontId="24" fillId="11" borderId="0" applyNumberFormat="0" applyProtection="0">
      <alignment horizontal="left" vertical="center" indent="1"/>
    </xf>
    <xf numFmtId="0" fontId="58" fillId="0" borderId="0" applyNumberFormat="0" applyProtection="0">
      <alignment horizontal="left" vertical="center" indent="1"/>
    </xf>
    <xf numFmtId="0" fontId="58" fillId="0" borderId="0" applyNumberFormat="0" applyProtection="0">
      <alignment horizontal="left" vertical="center" indent="1"/>
    </xf>
    <xf numFmtId="0" fontId="4" fillId="0" borderId="0" applyNumberFormat="0" applyProtection="0">
      <alignment horizontal="left" vertical="center" indent="1"/>
    </xf>
    <xf numFmtId="0" fontId="4" fillId="7" borderId="17" applyNumberFormat="0" applyProtection="0">
      <alignment horizontal="left" vertical="center" indent="1"/>
    </xf>
    <xf numFmtId="0" fontId="4" fillId="0" borderId="0" applyNumberFormat="0" applyProtection="0">
      <alignment horizontal="left" vertical="center" indent="1"/>
    </xf>
    <xf numFmtId="0" fontId="4" fillId="0" borderId="0"/>
    <xf numFmtId="4" fontId="24" fillId="37" borderId="17" applyNumberFormat="0" applyProtection="0">
      <alignment vertical="center"/>
    </xf>
    <xf numFmtId="4" fontId="24" fillId="37" borderId="17" applyNumberFormat="0" applyProtection="0">
      <alignment horizontal="left" vertical="center" indent="1"/>
    </xf>
    <xf numFmtId="0" fontId="24" fillId="37" borderId="17" applyNumberFormat="0" applyProtection="0">
      <alignment horizontal="left" vertical="top" indent="1"/>
    </xf>
    <xf numFmtId="4" fontId="24" fillId="0" borderId="0" applyNumberFormat="0" applyProtection="0">
      <alignment horizontal="right" vertical="justify"/>
    </xf>
    <xf numFmtId="4" fontId="24" fillId="0" borderId="0" applyNumberFormat="0" applyProtection="0">
      <alignment horizontal="right"/>
    </xf>
    <xf numFmtId="4" fontId="24" fillId="0" borderId="0" applyNumberFormat="0" applyProtection="0">
      <alignment horizontal="right" vertical="justify"/>
    </xf>
    <xf numFmtId="4" fontId="36" fillId="0" borderId="0" applyNumberFormat="0" applyProtection="0">
      <alignment horizontal="right"/>
    </xf>
    <xf numFmtId="0" fontId="4" fillId="0" borderId="0"/>
  </cellStyleXfs>
  <cellXfs count="627">
    <xf numFmtId="0" fontId="0" fillId="0" borderId="0" xfId="0"/>
    <xf numFmtId="14" fontId="0" fillId="0" borderId="0" xfId="0" applyNumberFormat="1"/>
    <xf numFmtId="20" fontId="0" fillId="0" borderId="0" xfId="0" applyNumberFormat="1"/>
    <xf numFmtId="22" fontId="0" fillId="0" borderId="0" xfId="0" applyNumberFormat="1"/>
    <xf numFmtId="17" fontId="0" fillId="0" borderId="0" xfId="0" applyNumberFormat="1"/>
    <xf numFmtId="10" fontId="0" fillId="0" borderId="0" xfId="0" applyNumberFormat="1"/>
    <xf numFmtId="9" fontId="0" fillId="0" borderId="0" xfId="0" applyNumberFormat="1"/>
    <xf numFmtId="0" fontId="0" fillId="2" borderId="0" xfId="0" applyFill="1"/>
    <xf numFmtId="0" fontId="6" fillId="0" borderId="0" xfId="0" applyFont="1"/>
    <xf numFmtId="0" fontId="0" fillId="0" borderId="0" xfId="0" quotePrefix="1" applyAlignment="1">
      <alignment horizontal="left"/>
    </xf>
    <xf numFmtId="0" fontId="0" fillId="0" borderId="0" xfId="0" applyFill="1"/>
    <xf numFmtId="164" fontId="4" fillId="0" borderId="0" xfId="2" applyNumberFormat="1" applyFont="1"/>
    <xf numFmtId="0" fontId="0" fillId="0" borderId="0" xfId="0" applyBorder="1"/>
    <xf numFmtId="0" fontId="6" fillId="0" borderId="0" xfId="0" applyFont="1" applyAlignment="1">
      <alignment horizontal="center"/>
    </xf>
    <xf numFmtId="0" fontId="0" fillId="3" borderId="1" xfId="0" applyFill="1" applyBorder="1"/>
    <xf numFmtId="0" fontId="0" fillId="4" borderId="1" xfId="0" applyFill="1" applyBorder="1"/>
    <xf numFmtId="0" fontId="0" fillId="5" borderId="2" xfId="0" applyFill="1" applyBorder="1"/>
    <xf numFmtId="0" fontId="0" fillId="2" borderId="1" xfId="0" applyFill="1" applyBorder="1"/>
    <xf numFmtId="0" fontId="0" fillId="6" borderId="1" xfId="0" applyFill="1" applyBorder="1"/>
    <xf numFmtId="0" fontId="0" fillId="7" borderId="3" xfId="0" applyFill="1" applyBorder="1"/>
    <xf numFmtId="0" fontId="0" fillId="8" borderId="1" xfId="0" applyFill="1" applyBorder="1"/>
    <xf numFmtId="0" fontId="0" fillId="9" borderId="3" xfId="0" applyFill="1" applyBorder="1"/>
    <xf numFmtId="0" fontId="0" fillId="10" borderId="1" xfId="0" applyFill="1" applyBorder="1"/>
    <xf numFmtId="0" fontId="0" fillId="11" borderId="3" xfId="0" applyFill="1" applyBorder="1"/>
    <xf numFmtId="0" fontId="0" fillId="12" borderId="1" xfId="0" applyFill="1" applyBorder="1"/>
    <xf numFmtId="0" fontId="0" fillId="13" borderId="3" xfId="0" applyFill="1" applyBorder="1"/>
    <xf numFmtId="0" fontId="0" fillId="14" borderId="1" xfId="0" applyFill="1" applyBorder="1"/>
    <xf numFmtId="17" fontId="6" fillId="15" borderId="4" xfId="0" applyNumberFormat="1" applyFont="1" applyFill="1" applyBorder="1" applyAlignment="1">
      <alignment horizontal="center"/>
    </xf>
    <xf numFmtId="17" fontId="6" fillId="3" borderId="5" xfId="0" applyNumberFormat="1" applyFont="1" applyFill="1" applyBorder="1" applyAlignment="1">
      <alignment horizontal="center"/>
    </xf>
    <xf numFmtId="17" fontId="6" fillId="4" borderId="5" xfId="0" applyNumberFormat="1" applyFont="1" applyFill="1" applyBorder="1" applyAlignment="1">
      <alignment horizontal="center"/>
    </xf>
    <xf numFmtId="17" fontId="6" fillId="5" borderId="6" xfId="0" applyNumberFormat="1" applyFont="1" applyFill="1" applyBorder="1" applyAlignment="1">
      <alignment horizontal="center"/>
    </xf>
    <xf numFmtId="17" fontId="6" fillId="2" borderId="5" xfId="0" applyNumberFormat="1" applyFont="1" applyFill="1" applyBorder="1" applyAlignment="1">
      <alignment horizontal="center"/>
    </xf>
    <xf numFmtId="17" fontId="6" fillId="6" borderId="5" xfId="0" applyNumberFormat="1" applyFont="1" applyFill="1" applyBorder="1" applyAlignment="1">
      <alignment horizontal="center"/>
    </xf>
    <xf numFmtId="17" fontId="6" fillId="7" borderId="7" xfId="0" applyNumberFormat="1" applyFont="1" applyFill="1" applyBorder="1" applyAlignment="1">
      <alignment horizontal="center"/>
    </xf>
    <xf numFmtId="17" fontId="6" fillId="8" borderId="5" xfId="0" applyNumberFormat="1" applyFont="1" applyFill="1" applyBorder="1" applyAlignment="1">
      <alignment horizontal="center"/>
    </xf>
    <xf numFmtId="17" fontId="6" fillId="9" borderId="7" xfId="0" applyNumberFormat="1" applyFont="1" applyFill="1" applyBorder="1" applyAlignment="1">
      <alignment horizontal="center"/>
    </xf>
    <xf numFmtId="17" fontId="6" fillId="10" borderId="5" xfId="0" applyNumberFormat="1" applyFont="1" applyFill="1" applyBorder="1" applyAlignment="1">
      <alignment horizontal="center"/>
    </xf>
    <xf numFmtId="17" fontId="6" fillId="11" borderId="7" xfId="0" applyNumberFormat="1" applyFont="1" applyFill="1" applyBorder="1" applyAlignment="1">
      <alignment horizontal="center"/>
    </xf>
    <xf numFmtId="17" fontId="6" fillId="12" borderId="5" xfId="0" applyNumberFormat="1" applyFont="1" applyFill="1" applyBorder="1" applyAlignment="1">
      <alignment horizontal="center"/>
    </xf>
    <xf numFmtId="17" fontId="6" fillId="13" borderId="7" xfId="0" applyNumberFormat="1" applyFont="1" applyFill="1" applyBorder="1" applyAlignment="1">
      <alignment horizontal="center"/>
    </xf>
    <xf numFmtId="17" fontId="6" fillId="14" borderId="5" xfId="0" applyNumberFormat="1" applyFont="1" applyFill="1" applyBorder="1" applyAlignment="1">
      <alignment horizontal="center"/>
    </xf>
    <xf numFmtId="17" fontId="6" fillId="15" borderId="8" xfId="0" applyNumberFormat="1" applyFont="1" applyFill="1" applyBorder="1" applyAlignment="1">
      <alignment horizontal="center"/>
    </xf>
    <xf numFmtId="0" fontId="11" fillId="0" borderId="0" xfId="0" applyFont="1"/>
    <xf numFmtId="0" fontId="0" fillId="0" borderId="0" xfId="0" applyAlignment="1">
      <alignment horizontal="left" indent="1"/>
    </xf>
    <xf numFmtId="164" fontId="0" fillId="0" borderId="0" xfId="0" applyNumberFormat="1"/>
    <xf numFmtId="0" fontId="0" fillId="0" borderId="0" xfId="0" applyAlignment="1">
      <alignment horizontal="left" indent="2"/>
    </xf>
    <xf numFmtId="0" fontId="8" fillId="0" borderId="0" xfId="0" applyFont="1" applyAlignment="1">
      <alignment horizontal="left" indent="1"/>
    </xf>
    <xf numFmtId="0" fontId="0" fillId="5" borderId="0" xfId="0" applyFill="1"/>
    <xf numFmtId="164" fontId="4" fillId="0" borderId="0" xfId="2" applyNumberFormat="1" applyFont="1" applyFill="1"/>
    <xf numFmtId="166" fontId="4" fillId="0" borderId="0" xfId="2" applyNumberFormat="1" applyFont="1"/>
    <xf numFmtId="0" fontId="0" fillId="0" borderId="0" xfId="0" applyAlignment="1">
      <alignment horizontal="center"/>
    </xf>
    <xf numFmtId="167" fontId="0" fillId="0" borderId="0" xfId="0" applyNumberFormat="1"/>
    <xf numFmtId="0" fontId="7" fillId="5" borderId="0" xfId="0" applyFont="1" applyFill="1"/>
    <xf numFmtId="0" fontId="6" fillId="5" borderId="0" xfId="0" applyFont="1" applyFill="1" applyAlignment="1">
      <alignment horizontal="center"/>
    </xf>
    <xf numFmtId="0" fontId="12" fillId="5" borderId="0" xfId="0" applyFont="1" applyFill="1"/>
    <xf numFmtId="0" fontId="8" fillId="5" borderId="0" xfId="0" applyFont="1" applyFill="1" applyBorder="1" applyAlignment="1">
      <alignment horizontal="left" indent="2"/>
    </xf>
    <xf numFmtId="164" fontId="0" fillId="5" borderId="0" xfId="2" applyNumberFormat="1" applyFont="1" applyFill="1"/>
    <xf numFmtId="164" fontId="0" fillId="5" borderId="0" xfId="0" applyNumberFormat="1" applyFill="1"/>
    <xf numFmtId="0" fontId="8" fillId="5" borderId="0" xfId="0" applyFont="1" applyFill="1" applyBorder="1" applyAlignment="1">
      <alignment horizontal="left" indent="4"/>
    </xf>
    <xf numFmtId="164" fontId="0" fillId="5" borderId="9" xfId="2" applyNumberFormat="1" applyFont="1" applyFill="1" applyBorder="1"/>
    <xf numFmtId="0" fontId="7" fillId="2" borderId="0" xfId="0" applyFont="1" applyFill="1"/>
    <xf numFmtId="0" fontId="6" fillId="2" borderId="0" xfId="0" applyFont="1" applyFill="1" applyAlignment="1">
      <alignment horizontal="center"/>
    </xf>
    <xf numFmtId="0" fontId="12" fillId="2" borderId="0" xfId="0" applyFont="1" applyFill="1"/>
    <xf numFmtId="0" fontId="8" fillId="2" borderId="0" xfId="0" applyFont="1" applyFill="1" applyBorder="1" applyAlignment="1">
      <alignment horizontal="left" indent="2"/>
    </xf>
    <xf numFmtId="164" fontId="4" fillId="2" borderId="0" xfId="2" applyNumberFormat="1" applyFont="1" applyFill="1"/>
    <xf numFmtId="164" fontId="0" fillId="2" borderId="0" xfId="0" applyNumberFormat="1" applyFill="1"/>
    <xf numFmtId="0" fontId="8" fillId="2" borderId="0" xfId="0" applyFont="1" applyFill="1" applyBorder="1" applyAlignment="1">
      <alignment horizontal="left" indent="4"/>
    </xf>
    <xf numFmtId="164" fontId="4" fillId="2" borderId="9" xfId="2" applyNumberFormat="1" applyFont="1" applyFill="1" applyBorder="1"/>
    <xf numFmtId="0" fontId="7" fillId="7" borderId="0" xfId="0" applyFont="1" applyFill="1"/>
    <xf numFmtId="0" fontId="0" fillId="7" borderId="0" xfId="0" applyFill="1"/>
    <xf numFmtId="0" fontId="6" fillId="7" borderId="0" xfId="0" applyFont="1" applyFill="1" applyAlignment="1">
      <alignment horizontal="center"/>
    </xf>
    <xf numFmtId="0" fontId="12" fillId="7" borderId="0" xfId="0" applyFont="1" applyFill="1"/>
    <xf numFmtId="0" fontId="8" fillId="7" borderId="0" xfId="0" applyFont="1" applyFill="1" applyBorder="1" applyAlignment="1">
      <alignment horizontal="left" indent="2"/>
    </xf>
    <xf numFmtId="164" fontId="4" fillId="7" borderId="0" xfId="2" applyNumberFormat="1" applyFont="1" applyFill="1"/>
    <xf numFmtId="164" fontId="0" fillId="7" borderId="0" xfId="0" applyNumberFormat="1" applyFill="1"/>
    <xf numFmtId="0" fontId="8" fillId="7" borderId="0" xfId="0" applyFont="1" applyFill="1" applyBorder="1" applyAlignment="1">
      <alignment horizontal="left" indent="4"/>
    </xf>
    <xf numFmtId="164" fontId="4" fillId="7" borderId="9" xfId="2" applyNumberFormat="1" applyFont="1" applyFill="1" applyBorder="1"/>
    <xf numFmtId="0" fontId="0" fillId="0" borderId="0" xfId="0" applyFill="1" applyAlignment="1">
      <alignment horizontal="left" indent="1"/>
    </xf>
    <xf numFmtId="164" fontId="0" fillId="0" borderId="0" xfId="0" applyNumberFormat="1" applyFill="1"/>
    <xf numFmtId="0" fontId="14" fillId="0" borderId="0" xfId="0" applyFont="1" applyAlignment="1">
      <alignment horizontal="left"/>
    </xf>
    <xf numFmtId="0" fontId="0" fillId="0" borderId="0" xfId="0" applyAlignment="1">
      <alignment horizontal="right"/>
    </xf>
    <xf numFmtId="0" fontId="8" fillId="0" borderId="0" xfId="0" applyFont="1"/>
    <xf numFmtId="164" fontId="4" fillId="16" borderId="0" xfId="2" applyNumberFormat="1" applyFont="1" applyFill="1"/>
    <xf numFmtId="0" fontId="0" fillId="16" borderId="0" xfId="0" applyFill="1"/>
    <xf numFmtId="0" fontId="6" fillId="0" borderId="0" xfId="0" applyFont="1" applyAlignment="1">
      <alignment horizontal="center"/>
    </xf>
    <xf numFmtId="43" fontId="0" fillId="0" borderId="0" xfId="2" applyFont="1"/>
    <xf numFmtId="0" fontId="15" fillId="0" borderId="0" xfId="0" applyFont="1" applyAlignment="1">
      <alignment horizontal="left" indent="3"/>
    </xf>
    <xf numFmtId="0" fontId="0" fillId="17" borderId="0" xfId="0" applyFill="1"/>
    <xf numFmtId="0" fontId="0" fillId="18" borderId="0" xfId="0" applyFill="1"/>
    <xf numFmtId="0" fontId="0" fillId="19" borderId="0" xfId="0" applyFill="1"/>
    <xf numFmtId="0" fontId="16" fillId="0" borderId="0" xfId="0" applyFont="1"/>
    <xf numFmtId="0" fontId="0" fillId="20" borderId="0" xfId="0" applyFill="1"/>
    <xf numFmtId="17" fontId="6" fillId="0" borderId="0" xfId="0" applyNumberFormat="1" applyFont="1" applyBorder="1" applyAlignment="1">
      <alignment horizontal="center"/>
    </xf>
    <xf numFmtId="0" fontId="6" fillId="0" borderId="0" xfId="0" applyFont="1" applyBorder="1" applyAlignment="1">
      <alignment horizontal="center"/>
    </xf>
    <xf numFmtId="164" fontId="0" fillId="0" borderId="0" xfId="2" applyNumberFormat="1" applyFont="1" applyBorder="1"/>
    <xf numFmtId="164" fontId="0" fillId="0" borderId="0" xfId="0" applyNumberFormat="1" applyBorder="1"/>
    <xf numFmtId="0" fontId="0" fillId="0" borderId="0" xfId="0" applyBorder="1" applyAlignment="1">
      <alignment horizontal="left" indent="1"/>
    </xf>
    <xf numFmtId="0" fontId="8" fillId="21" borderId="0" xfId="0" applyFont="1" applyFill="1" applyBorder="1" applyAlignment="1">
      <alignment horizontal="left" indent="2"/>
    </xf>
    <xf numFmtId="164" fontId="0" fillId="0" borderId="0" xfId="4" applyNumberFormat="1" applyFont="1"/>
    <xf numFmtId="0" fontId="18" fillId="0" borderId="0" xfId="0" applyFont="1"/>
    <xf numFmtId="10" fontId="6" fillId="7" borderId="10" xfId="0" applyNumberFormat="1" applyFont="1" applyFill="1" applyBorder="1" applyAlignment="1">
      <alignment horizontal="center"/>
    </xf>
    <xf numFmtId="10" fontId="6" fillId="6" borderId="10" xfId="0" applyNumberFormat="1" applyFont="1" applyFill="1" applyBorder="1" applyAlignment="1">
      <alignment horizontal="center"/>
    </xf>
    <xf numFmtId="10" fontId="6" fillId="5" borderId="10" xfId="0" applyNumberFormat="1" applyFont="1" applyFill="1" applyBorder="1" applyAlignment="1">
      <alignment horizontal="center"/>
    </xf>
    <xf numFmtId="10" fontId="6" fillId="3" borderId="10" xfId="0" applyNumberFormat="1" applyFont="1" applyFill="1" applyBorder="1" applyAlignment="1">
      <alignment horizontal="center"/>
    </xf>
    <xf numFmtId="166" fontId="0" fillId="0" borderId="0" xfId="0" applyNumberFormat="1"/>
    <xf numFmtId="168" fontId="0" fillId="0" borderId="0" xfId="3" applyNumberFormat="1" applyFont="1"/>
    <xf numFmtId="3" fontId="8" fillId="0" borderId="0" xfId="0" applyNumberFormat="1" applyFont="1" applyFill="1" applyAlignment="1">
      <alignment horizontal="right"/>
    </xf>
    <xf numFmtId="3" fontId="8" fillId="0" borderId="0" xfId="4" applyNumberFormat="1" applyFont="1" applyFill="1" applyBorder="1" applyAlignment="1">
      <alignment horizontal="right"/>
    </xf>
    <xf numFmtId="3" fontId="8" fillId="0" borderId="0" xfId="0" applyNumberFormat="1" applyFont="1" applyFill="1" applyAlignment="1">
      <alignment horizontal="left"/>
    </xf>
    <xf numFmtId="3" fontId="19" fillId="0" borderId="0" xfId="0" applyNumberFormat="1" applyFont="1" applyFill="1" applyAlignment="1">
      <alignment horizontal="right"/>
    </xf>
    <xf numFmtId="0" fontId="0" fillId="0" borderId="0" xfId="0" applyFill="1" applyBorder="1"/>
    <xf numFmtId="0" fontId="20" fillId="0" borderId="0" xfId="0" applyFont="1" applyBorder="1"/>
    <xf numFmtId="0" fontId="8" fillId="0" borderId="0" xfId="0" applyFont="1" applyBorder="1"/>
    <xf numFmtId="0" fontId="20" fillId="0" borderId="0" xfId="0" applyFont="1"/>
    <xf numFmtId="0" fontId="19" fillId="0" borderId="0" xfId="0" applyFont="1"/>
    <xf numFmtId="10" fontId="0" fillId="0" borderId="0" xfId="0" applyNumberFormat="1" applyFill="1"/>
    <xf numFmtId="10" fontId="0" fillId="0" borderId="0" xfId="0" applyNumberFormat="1" applyBorder="1"/>
    <xf numFmtId="10" fontId="0" fillId="0" borderId="0" xfId="0" applyNumberFormat="1" applyFill="1" applyBorder="1"/>
    <xf numFmtId="0" fontId="0" fillId="0" borderId="0" xfId="0" applyFill="1" applyBorder="1" applyAlignment="1">
      <alignment horizontal="left"/>
    </xf>
    <xf numFmtId="0" fontId="19" fillId="0" borderId="0" xfId="0" applyFont="1" applyFill="1" applyBorder="1"/>
    <xf numFmtId="0" fontId="20" fillId="0" borderId="0" xfId="0" applyFont="1" applyFill="1" applyBorder="1"/>
    <xf numFmtId="164" fontId="0" fillId="0" borderId="0" xfId="4" applyNumberFormat="1" applyFont="1" applyFill="1"/>
    <xf numFmtId="10" fontId="6" fillId="0" borderId="0" xfId="0" applyNumberFormat="1" applyFont="1" applyFill="1" applyBorder="1" applyAlignment="1">
      <alignment horizontal="center"/>
    </xf>
    <xf numFmtId="0" fontId="18" fillId="0" borderId="0" xfId="0" applyFont="1" applyFill="1"/>
    <xf numFmtId="0" fontId="7" fillId="0" borderId="0" xfId="0" applyFont="1" applyFill="1" applyBorder="1"/>
    <xf numFmtId="0" fontId="8" fillId="0" borderId="0" xfId="0" applyFont="1" applyFill="1"/>
    <xf numFmtId="0" fontId="6" fillId="0" borderId="0" xfId="0" applyFont="1" applyFill="1"/>
    <xf numFmtId="164" fontId="15" fillId="0" borderId="0" xfId="4" applyNumberFormat="1" applyFont="1" applyFill="1"/>
    <xf numFmtId="164" fontId="13" fillId="0" borderId="0" xfId="4" applyNumberFormat="1" applyFont="1" applyFill="1"/>
    <xf numFmtId="41" fontId="15" fillId="0" borderId="0" xfId="4" applyNumberFormat="1" applyFont="1" applyFill="1"/>
    <xf numFmtId="41" fontId="0" fillId="0" borderId="0" xfId="4" applyNumberFormat="1" applyFont="1" applyFill="1"/>
    <xf numFmtId="164" fontId="8" fillId="0" borderId="0" xfId="4" applyNumberFormat="1" applyFont="1" applyFill="1"/>
    <xf numFmtId="38" fontId="0" fillId="0" borderId="0" xfId="4" applyNumberFormat="1" applyFont="1" applyFill="1" applyAlignment="1">
      <alignment horizontal="center"/>
    </xf>
    <xf numFmtId="164" fontId="6" fillId="0" borderId="0" xfId="4" applyNumberFormat="1" applyFont="1" applyFill="1"/>
    <xf numFmtId="38" fontId="0" fillId="5" borderId="0" xfId="4" applyNumberFormat="1" applyFont="1" applyFill="1" applyAlignment="1">
      <alignment horizontal="center"/>
    </xf>
    <xf numFmtId="41" fontId="0" fillId="5" borderId="0" xfId="4" applyNumberFormat="1" applyFont="1" applyFill="1"/>
    <xf numFmtId="164" fontId="0" fillId="5" borderId="0" xfId="4" applyNumberFormat="1" applyFont="1" applyFill="1"/>
    <xf numFmtId="164" fontId="6" fillId="5" borderId="0" xfId="4" applyNumberFormat="1" applyFont="1" applyFill="1"/>
    <xf numFmtId="0" fontId="0" fillId="0" borderId="0" xfId="0" applyFill="1" applyAlignment="1">
      <alignment horizontal="center"/>
    </xf>
    <xf numFmtId="37" fontId="21" fillId="0" borderId="0" xfId="5" applyNumberFormat="1" applyFont="1" applyAlignment="1" applyProtection="1">
      <alignment horizontal="center"/>
    </xf>
    <xf numFmtId="0" fontId="22" fillId="0" borderId="0" xfId="0" applyFont="1" applyFill="1" applyAlignment="1">
      <alignment horizontal="center"/>
    </xf>
    <xf numFmtId="0" fontId="23" fillId="0" borderId="0" xfId="0" applyFont="1" applyFill="1"/>
    <xf numFmtId="164" fontId="8" fillId="0" borderId="0" xfId="2" applyNumberFormat="1" applyFont="1" applyFill="1" applyBorder="1" applyAlignment="1">
      <alignment horizontal="right"/>
    </xf>
    <xf numFmtId="164" fontId="0" fillId="0" borderId="9" xfId="0" applyNumberFormat="1" applyBorder="1"/>
    <xf numFmtId="164" fontId="4" fillId="0" borderId="9" xfId="2" applyNumberFormat="1" applyFont="1" applyBorder="1"/>
    <xf numFmtId="164" fontId="0" fillId="0" borderId="0" xfId="2" applyNumberFormat="1" applyFont="1"/>
    <xf numFmtId="3" fontId="16" fillId="0" borderId="0" xfId="0" applyNumberFormat="1" applyFont="1" applyFill="1" applyAlignment="1">
      <alignment horizontal="left"/>
    </xf>
    <xf numFmtId="0" fontId="25" fillId="0" borderId="0" xfId="0" applyFont="1"/>
    <xf numFmtId="0" fontId="8" fillId="0" borderId="0" xfId="0" applyFont="1" applyFill="1" applyBorder="1" applyAlignment="1">
      <alignment horizontal="left"/>
    </xf>
    <xf numFmtId="0" fontId="8" fillId="0" borderId="0" xfId="0" applyFont="1" applyFill="1" applyBorder="1" applyAlignment="1">
      <alignment horizontal="left" indent="2"/>
    </xf>
    <xf numFmtId="43" fontId="0" fillId="0" borderId="0" xfId="0" applyNumberFormat="1"/>
    <xf numFmtId="164" fontId="0" fillId="9" borderId="10" xfId="4" applyNumberFormat="1" applyFont="1" applyFill="1" applyBorder="1"/>
    <xf numFmtId="3" fontId="0" fillId="0" borderId="0" xfId="0" applyNumberFormat="1" applyBorder="1"/>
    <xf numFmtId="0" fontId="8" fillId="0" borderId="0" xfId="0" applyFont="1" applyFill="1" applyAlignment="1">
      <alignment horizontal="left" indent="2"/>
    </xf>
    <xf numFmtId="0" fontId="8" fillId="0" borderId="0" xfId="0" applyFont="1" applyFill="1" applyBorder="1"/>
    <xf numFmtId="164" fontId="8" fillId="0" borderId="0" xfId="4" applyNumberFormat="1" applyFont="1" applyFill="1" applyBorder="1"/>
    <xf numFmtId="164" fontId="8" fillId="0" borderId="0" xfId="4" applyNumberFormat="1" applyFont="1" applyBorder="1"/>
    <xf numFmtId="169" fontId="6" fillId="0" borderId="0" xfId="3" applyNumberFormat="1" applyFont="1" applyFill="1" applyBorder="1"/>
    <xf numFmtId="164" fontId="6" fillId="0" borderId="0" xfId="4" applyNumberFormat="1" applyFont="1" applyFill="1" applyBorder="1"/>
    <xf numFmtId="10" fontId="6" fillId="0" borderId="0" xfId="3" applyNumberFormat="1" applyFont="1" applyFill="1" applyBorder="1"/>
    <xf numFmtId="164" fontId="6" fillId="0" borderId="9" xfId="4" applyNumberFormat="1" applyFont="1" applyFill="1" applyBorder="1"/>
    <xf numFmtId="164" fontId="6" fillId="0" borderId="16" xfId="4" applyNumberFormat="1" applyFont="1" applyFill="1" applyBorder="1"/>
    <xf numFmtId="164" fontId="8" fillId="0" borderId="0" xfId="4" applyNumberFormat="1" applyFont="1" applyFill="1" applyBorder="1" applyAlignment="1">
      <alignment horizontal="right" wrapText="1"/>
    </xf>
    <xf numFmtId="0" fontId="8" fillId="0" borderId="0" xfId="0" applyFont="1" applyFill="1" applyAlignment="1">
      <alignment horizontal="left" indent="1"/>
    </xf>
    <xf numFmtId="0" fontId="6" fillId="0" borderId="0" xfId="0" applyFont="1" applyFill="1" applyBorder="1"/>
    <xf numFmtId="0" fontId="6" fillId="0" borderId="0" xfId="0" applyFont="1" applyFill="1" applyBorder="1" applyAlignment="1">
      <alignment horizontal="center"/>
    </xf>
    <xf numFmtId="164" fontId="6" fillId="0" borderId="0" xfId="4" applyNumberFormat="1" applyFont="1" applyFill="1" applyBorder="1" applyAlignment="1">
      <alignment horizontal="center"/>
    </xf>
    <xf numFmtId="0" fontId="6" fillId="0" borderId="0" xfId="4" applyNumberFormat="1" applyFont="1" applyFill="1" applyBorder="1" applyAlignment="1">
      <alignment horizontal="center"/>
    </xf>
    <xf numFmtId="0" fontId="6" fillId="0" borderId="0" xfId="6" applyFont="1" applyFill="1" applyBorder="1" applyAlignment="1">
      <alignment horizontal="center" wrapText="1"/>
    </xf>
    <xf numFmtId="0" fontId="6" fillId="2" borderId="11" xfId="0" applyFont="1" applyFill="1" applyBorder="1" applyAlignment="1">
      <alignment horizontal="center"/>
    </xf>
    <xf numFmtId="164" fontId="6" fillId="2" borderId="10" xfId="4" applyNumberFormat="1" applyFont="1" applyFill="1" applyBorder="1" applyAlignment="1">
      <alignment horizontal="center"/>
    </xf>
    <xf numFmtId="0" fontId="6" fillId="2" borderId="12" xfId="6" applyFont="1" applyFill="1" applyBorder="1" applyAlignment="1">
      <alignment horizontal="center"/>
    </xf>
    <xf numFmtId="0" fontId="8" fillId="0" borderId="0" xfId="0" applyFont="1" applyFill="1" applyBorder="1" applyAlignment="1"/>
    <xf numFmtId="0" fontId="4" fillId="0" borderId="0" xfId="5"/>
    <xf numFmtId="165" fontId="4" fillId="0" borderId="0" xfId="5" applyNumberFormat="1"/>
    <xf numFmtId="165" fontId="21" fillId="0" borderId="0" xfId="5" applyNumberFormat="1" applyFont="1"/>
    <xf numFmtId="37" fontId="21" fillId="0" borderId="0" xfId="5" applyNumberFormat="1" applyFont="1" applyProtection="1"/>
    <xf numFmtId="0" fontId="21" fillId="0" borderId="0" xfId="5" applyFont="1"/>
    <xf numFmtId="0" fontId="27" fillId="0" borderId="0" xfId="5" quotePrefix="1" applyFont="1" applyAlignment="1">
      <alignment horizontal="left"/>
    </xf>
    <xf numFmtId="0" fontId="21" fillId="0" borderId="0" xfId="5" applyFont="1" applyAlignment="1">
      <alignment horizontal="left"/>
    </xf>
    <xf numFmtId="0" fontId="27" fillId="0" borderId="0" xfId="5" applyFont="1" applyAlignment="1">
      <alignment horizontal="left"/>
    </xf>
    <xf numFmtId="37" fontId="21" fillId="0" borderId="0" xfId="5" applyNumberFormat="1" applyFont="1" applyFill="1" applyProtection="1"/>
    <xf numFmtId="165" fontId="28" fillId="0" borderId="0" xfId="5" applyNumberFormat="1" applyFont="1" applyAlignment="1">
      <alignment horizontal="left"/>
    </xf>
    <xf numFmtId="37" fontId="21" fillId="0" borderId="0" xfId="5" applyNumberFormat="1" applyFont="1" applyAlignment="1" applyProtection="1">
      <alignment horizontal="centerContinuous"/>
    </xf>
    <xf numFmtId="0" fontId="21" fillId="0" borderId="0" xfId="5" applyFont="1" applyAlignment="1">
      <alignment horizontal="centerContinuous"/>
    </xf>
    <xf numFmtId="37" fontId="27" fillId="0" borderId="0" xfId="5" applyNumberFormat="1" applyFont="1" applyAlignment="1" applyProtection="1">
      <alignment horizontal="centerContinuous"/>
    </xf>
    <xf numFmtId="169" fontId="4" fillId="0" borderId="0" xfId="3" applyNumberFormat="1"/>
    <xf numFmtId="37" fontId="4" fillId="0" borderId="0" xfId="5" applyNumberFormat="1"/>
    <xf numFmtId="9" fontId="21" fillId="0" borderId="0" xfId="5" applyNumberFormat="1" applyFont="1" applyProtection="1"/>
    <xf numFmtId="165" fontId="21" fillId="0" borderId="0" xfId="4" applyNumberFormat="1" applyFont="1"/>
    <xf numFmtId="3" fontId="4" fillId="0" borderId="0" xfId="5" applyNumberFormat="1"/>
    <xf numFmtId="10" fontId="6" fillId="0" borderId="16" xfId="3" applyNumberFormat="1" applyFont="1" applyFill="1" applyBorder="1"/>
    <xf numFmtId="10" fontId="6" fillId="0" borderId="9" xfId="3" applyNumberFormat="1" applyFont="1" applyFill="1" applyBorder="1"/>
    <xf numFmtId="37" fontId="6" fillId="23" borderId="10" xfId="5" applyNumberFormat="1" applyFont="1" applyFill="1" applyBorder="1"/>
    <xf numFmtId="37" fontId="21" fillId="19" borderId="0" xfId="5" applyNumberFormat="1" applyFont="1" applyFill="1" applyProtection="1"/>
    <xf numFmtId="0" fontId="8" fillId="0" borderId="0" xfId="0" applyFont="1" applyFill="1" applyBorder="1" applyAlignment="1">
      <alignment horizontal="left" indent="1"/>
    </xf>
    <xf numFmtId="169" fontId="8" fillId="0" borderId="0" xfId="3" applyNumberFormat="1" applyFont="1" applyFill="1" applyBorder="1"/>
    <xf numFmtId="164" fontId="37" fillId="0" borderId="0" xfId="4" applyNumberFormat="1" applyFont="1" applyFill="1" applyBorder="1"/>
    <xf numFmtId="10" fontId="37" fillId="0" borderId="0" xfId="3" applyNumberFormat="1" applyFont="1" applyFill="1" applyBorder="1"/>
    <xf numFmtId="0" fontId="37" fillId="0" borderId="0" xfId="0" applyFont="1" applyFill="1" applyBorder="1"/>
    <xf numFmtId="164" fontId="37" fillId="0" borderId="16" xfId="4" applyNumberFormat="1" applyFont="1" applyFill="1" applyBorder="1"/>
    <xf numFmtId="169" fontId="37" fillId="0" borderId="0" xfId="3" applyNumberFormat="1" applyFont="1" applyFill="1" applyBorder="1"/>
    <xf numFmtId="0" fontId="37" fillId="0" borderId="0" xfId="0" applyFont="1" applyFill="1"/>
    <xf numFmtId="164" fontId="37" fillId="0" borderId="0" xfId="4" applyNumberFormat="1" applyFont="1" applyFill="1" applyBorder="1" applyAlignment="1"/>
    <xf numFmtId="164" fontId="37" fillId="0" borderId="9" xfId="4" applyNumberFormat="1" applyFont="1" applyFill="1" applyBorder="1"/>
    <xf numFmtId="0" fontId="4" fillId="0" borderId="0" xfId="0" quotePrefix="1" applyFont="1" applyAlignment="1">
      <alignment horizontal="left" indent="1"/>
    </xf>
    <xf numFmtId="0" fontId="4" fillId="0" borderId="0" xfId="0" applyFont="1" applyAlignment="1">
      <alignment horizontal="left" indent="1"/>
    </xf>
    <xf numFmtId="166" fontId="0" fillId="0" borderId="14" xfId="2" applyNumberFormat="1" applyFont="1" applyBorder="1"/>
    <xf numFmtId="170" fontId="0" fillId="0" borderId="0" xfId="0" applyNumberFormat="1"/>
    <xf numFmtId="0" fontId="6" fillId="20" borderId="8" xfId="0" applyFont="1" applyFill="1" applyBorder="1" applyAlignment="1">
      <alignment horizontal="center"/>
    </xf>
    <xf numFmtId="0" fontId="6" fillId="39" borderId="5" xfId="0" applyFont="1" applyFill="1" applyBorder="1" applyAlignment="1">
      <alignment horizontal="center"/>
    </xf>
    <xf numFmtId="164" fontId="0" fillId="39" borderId="10" xfId="0" applyNumberFormat="1" applyFill="1" applyBorder="1"/>
    <xf numFmtId="170" fontId="0" fillId="20" borderId="10" xfId="0" applyNumberFormat="1" applyFill="1" applyBorder="1"/>
    <xf numFmtId="0" fontId="4" fillId="0" borderId="0" xfId="45"/>
    <xf numFmtId="3" fontId="4" fillId="0" borderId="0" xfId="45" applyNumberFormat="1"/>
    <xf numFmtId="0" fontId="10" fillId="0" borderId="0" xfId="45" quotePrefix="1" applyFont="1" applyAlignment="1">
      <alignment horizontal="left"/>
    </xf>
    <xf numFmtId="3" fontId="10" fillId="0" borderId="0" xfId="45" applyNumberFormat="1" applyFont="1" applyAlignment="1">
      <alignment horizontal="center"/>
    </xf>
    <xf numFmtId="0" fontId="10" fillId="0" borderId="0" xfId="45" applyFont="1"/>
    <xf numFmtId="0" fontId="11" fillId="0" borderId="0" xfId="45" applyFont="1"/>
    <xf numFmtId="3" fontId="10" fillId="0" borderId="0" xfId="45" applyNumberFormat="1" applyFont="1" applyFill="1" applyAlignment="1">
      <alignment horizontal="center"/>
    </xf>
    <xf numFmtId="0" fontId="38" fillId="0" borderId="0" xfId="46" applyNumberFormat="1" applyAlignment="1"/>
    <xf numFmtId="0" fontId="4" fillId="0" borderId="0" xfId="45" applyFill="1"/>
    <xf numFmtId="0" fontId="10" fillId="0" borderId="0" xfId="45" applyFont="1" applyFill="1"/>
    <xf numFmtId="171" fontId="11" fillId="0" borderId="0" xfId="45" applyNumberFormat="1" applyFont="1" applyFill="1"/>
    <xf numFmtId="0" fontId="4" fillId="0" borderId="0" xfId="45" applyFont="1"/>
    <xf numFmtId="0" fontId="4" fillId="0" borderId="0" xfId="45" applyAlignment="1">
      <alignment horizontal="center"/>
    </xf>
    <xf numFmtId="0" fontId="6" fillId="0" borderId="0" xfId="45" quotePrefix="1" applyFont="1" applyAlignment="1">
      <alignment horizontal="centerContinuous"/>
    </xf>
    <xf numFmtId="0" fontId="6" fillId="0" borderId="0" xfId="45" applyFont="1" applyAlignment="1">
      <alignment horizontal="centerContinuous"/>
    </xf>
    <xf numFmtId="164" fontId="0" fillId="0" borderId="0" xfId="2" applyNumberFormat="1" applyFont="1" applyFill="1"/>
    <xf numFmtId="166" fontId="0" fillId="0" borderId="14" xfId="2" applyNumberFormat="1" applyFont="1" applyFill="1" applyBorder="1"/>
    <xf numFmtId="10" fontId="0" fillId="0" borderId="0" xfId="3" applyNumberFormat="1" applyFont="1"/>
    <xf numFmtId="0" fontId="6" fillId="39" borderId="1" xfId="0" applyFont="1" applyFill="1" applyBorder="1" applyAlignment="1">
      <alignment horizontal="center"/>
    </xf>
    <xf numFmtId="0" fontId="6" fillId="20" borderId="4" xfId="0" applyFont="1" applyFill="1" applyBorder="1" applyAlignment="1">
      <alignment horizontal="center"/>
    </xf>
    <xf numFmtId="0" fontId="6" fillId="18" borderId="4" xfId="0" applyFont="1" applyFill="1" applyBorder="1" applyAlignment="1">
      <alignment horizontal="center"/>
    </xf>
    <xf numFmtId="0" fontId="6" fillId="18" borderId="8" xfId="0" applyFont="1" applyFill="1" applyBorder="1" applyAlignment="1">
      <alignment horizontal="center"/>
    </xf>
    <xf numFmtId="3" fontId="0" fillId="0" borderId="0" xfId="0" applyNumberFormat="1"/>
    <xf numFmtId="0" fontId="40" fillId="0" borderId="0" xfId="0" applyFont="1" applyAlignment="1">
      <alignment horizontal="center"/>
    </xf>
    <xf numFmtId="0" fontId="0" fillId="40" borderId="0" xfId="0" applyFill="1"/>
    <xf numFmtId="164" fontId="41" fillId="0" borderId="22" xfId="47" applyNumberFormat="1" applyFont="1" applyFill="1" applyBorder="1" applyAlignment="1">
      <alignment wrapText="1"/>
    </xf>
    <xf numFmtId="3" fontId="4" fillId="0" borderId="0" xfId="0" applyNumberFormat="1" applyFont="1" applyFill="1" applyAlignment="1">
      <alignment horizontal="left" indent="1"/>
    </xf>
    <xf numFmtId="1" fontId="0" fillId="0" borderId="0" xfId="0" applyNumberFormat="1"/>
    <xf numFmtId="164" fontId="39" fillId="0" borderId="0" xfId="47" applyNumberFormat="1"/>
    <xf numFmtId="10" fontId="39" fillId="0" borderId="0" xfId="48" applyNumberFormat="1"/>
    <xf numFmtId="172" fontId="0" fillId="0" borderId="0" xfId="0" applyNumberFormat="1"/>
    <xf numFmtId="0" fontId="4" fillId="0" borderId="0" xfId="0" applyFont="1" applyFill="1" applyBorder="1" applyAlignment="1"/>
    <xf numFmtId="0" fontId="6" fillId="0" borderId="0" xfId="49" applyFont="1" applyFill="1" applyBorder="1" applyAlignment="1">
      <alignment horizontal="center" wrapText="1"/>
    </xf>
    <xf numFmtId="0" fontId="6" fillId="3" borderId="1" xfId="49" applyFont="1" applyFill="1" applyBorder="1" applyAlignment="1">
      <alignment horizontal="center" wrapText="1"/>
    </xf>
    <xf numFmtId="0" fontId="6" fillId="5" borderId="13" xfId="0" applyFont="1" applyFill="1" applyBorder="1" applyAlignment="1">
      <alignment horizontal="center"/>
    </xf>
    <xf numFmtId="0" fontId="6" fillId="5" borderId="12" xfId="0" applyFont="1" applyFill="1" applyBorder="1" applyAlignment="1">
      <alignment horizontal="center"/>
    </xf>
    <xf numFmtId="0" fontId="6" fillId="5" borderId="11" xfId="0" applyFont="1" applyFill="1" applyBorder="1" applyAlignment="1">
      <alignment horizontal="center"/>
    </xf>
    <xf numFmtId="0" fontId="43" fillId="0" borderId="0" xfId="0" applyFont="1"/>
    <xf numFmtId="0" fontId="4" fillId="0" borderId="0" xfId="0" applyFont="1"/>
    <xf numFmtId="0" fontId="13" fillId="0" borderId="0" xfId="0" applyFont="1" applyFill="1" applyAlignment="1">
      <alignment horizontal="left" indent="1"/>
    </xf>
    <xf numFmtId="0" fontId="4" fillId="0" borderId="0" xfId="0" applyFont="1" applyFill="1" applyBorder="1"/>
    <xf numFmtId="0" fontId="4" fillId="0" borderId="0" xfId="0" applyFont="1" applyFill="1" applyAlignment="1">
      <alignment horizontal="left" indent="2"/>
    </xf>
    <xf numFmtId="164" fontId="4" fillId="0" borderId="0" xfId="47" applyNumberFormat="1" applyFont="1" applyFill="1" applyBorder="1"/>
    <xf numFmtId="10" fontId="14" fillId="0" borderId="0" xfId="48" applyNumberFormat="1" applyFont="1" applyFill="1" applyBorder="1"/>
    <xf numFmtId="10" fontId="36" fillId="0" borderId="0" xfId="48" applyNumberFormat="1" applyFont="1" applyFill="1" applyBorder="1"/>
    <xf numFmtId="10" fontId="4" fillId="0" borderId="0" xfId="48" applyNumberFormat="1" applyFont="1" applyFill="1" applyBorder="1"/>
    <xf numFmtId="0" fontId="4" fillId="0" borderId="0" xfId="0" applyFont="1" applyFill="1" applyAlignment="1">
      <alignment horizontal="left" indent="1"/>
    </xf>
    <xf numFmtId="0" fontId="4" fillId="0" borderId="0" xfId="0" applyFont="1" applyFill="1"/>
    <xf numFmtId="164" fontId="4" fillId="0" borderId="0" xfId="47" applyNumberFormat="1" applyFont="1" applyFill="1"/>
    <xf numFmtId="164" fontId="4" fillId="0" borderId="0" xfId="0" applyNumberFormat="1" applyFont="1" applyFill="1"/>
    <xf numFmtId="0" fontId="4" fillId="0" borderId="0" xfId="0" applyFont="1" applyBorder="1"/>
    <xf numFmtId="164" fontId="4" fillId="0" borderId="0" xfId="47" applyNumberFormat="1" applyFont="1" applyBorder="1"/>
    <xf numFmtId="167" fontId="4" fillId="0" borderId="0" xfId="0" applyNumberFormat="1" applyFont="1" applyBorder="1"/>
    <xf numFmtId="0" fontId="4" fillId="5" borderId="2" xfId="0" applyFont="1" applyFill="1" applyBorder="1"/>
    <xf numFmtId="167" fontId="4" fillId="5" borderId="3" xfId="0" applyNumberFormat="1" applyFont="1" applyFill="1" applyBorder="1"/>
    <xf numFmtId="167" fontId="4" fillId="5" borderId="4" xfId="0" applyNumberFormat="1" applyFont="1" applyFill="1" applyBorder="1"/>
    <xf numFmtId="0" fontId="4" fillId="5" borderId="6" xfId="0" applyFont="1" applyFill="1" applyBorder="1"/>
    <xf numFmtId="167" fontId="4" fillId="5" borderId="7" xfId="0" applyNumberFormat="1" applyFont="1" applyFill="1" applyBorder="1"/>
    <xf numFmtId="167" fontId="4" fillId="5" borderId="8" xfId="0" applyNumberFormat="1" applyFont="1" applyFill="1" applyBorder="1"/>
    <xf numFmtId="164" fontId="4" fillId="0" borderId="0" xfId="47" applyNumberFormat="1" applyFont="1" applyFill="1" applyBorder="1" applyAlignment="1"/>
    <xf numFmtId="0" fontId="6" fillId="0" borderId="0" xfId="47" applyNumberFormat="1" applyFont="1" applyFill="1" applyBorder="1" applyAlignment="1">
      <alignment horizontal="center"/>
    </xf>
    <xf numFmtId="164" fontId="6" fillId="0" borderId="0" xfId="47" applyNumberFormat="1" applyFont="1" applyFill="1" applyBorder="1" applyAlignment="1">
      <alignment horizontal="center"/>
    </xf>
    <xf numFmtId="164" fontId="12" fillId="41" borderId="2" xfId="47" applyNumberFormat="1" applyFont="1" applyFill="1" applyBorder="1" applyAlignment="1">
      <alignment horizontal="center"/>
    </xf>
    <xf numFmtId="164" fontId="12" fillId="41" borderId="4" xfId="47" applyNumberFormat="1" applyFont="1" applyFill="1" applyBorder="1"/>
    <xf numFmtId="0" fontId="6" fillId="2" borderId="12" xfId="49" applyFont="1" applyFill="1" applyBorder="1" applyAlignment="1">
      <alignment horizontal="center"/>
    </xf>
    <xf numFmtId="164" fontId="6" fillId="2" borderId="10" xfId="47" applyNumberFormat="1" applyFont="1" applyFill="1" applyBorder="1" applyAlignment="1">
      <alignment horizontal="center"/>
    </xf>
    <xf numFmtId="164" fontId="6" fillId="2" borderId="11" xfId="47" applyNumberFormat="1" applyFont="1" applyFill="1" applyBorder="1" applyAlignment="1">
      <alignment horizontal="center"/>
    </xf>
    <xf numFmtId="164" fontId="12" fillId="41" borderId="6" xfId="47" applyNumberFormat="1" applyFont="1" applyFill="1" applyBorder="1" applyAlignment="1">
      <alignment horizontal="center"/>
    </xf>
    <xf numFmtId="164" fontId="12" fillId="41" borderId="8" xfId="47" applyNumberFormat="1" applyFont="1" applyFill="1" applyBorder="1" applyAlignment="1"/>
    <xf numFmtId="164" fontId="6" fillId="0" borderId="0" xfId="47" applyNumberFormat="1" applyFont="1" applyFill="1" applyBorder="1"/>
    <xf numFmtId="164" fontId="4" fillId="0" borderId="0" xfId="47" applyNumberFormat="1" applyFont="1"/>
    <xf numFmtId="164" fontId="4" fillId="0" borderId="0" xfId="47" applyNumberFormat="1" applyFont="1" applyFill="1" applyBorder="1" applyAlignment="1">
      <alignment horizontal="right" wrapText="1"/>
    </xf>
    <xf numFmtId="164" fontId="13" fillId="0" borderId="0" xfId="47" applyNumberFormat="1" applyFont="1" applyFill="1" applyBorder="1" applyAlignment="1">
      <alignment horizontal="right" wrapText="1"/>
    </xf>
    <xf numFmtId="0" fontId="44" fillId="0" borderId="0" xfId="0" applyFont="1" applyAlignment="1">
      <alignment horizontal="left" indent="2"/>
    </xf>
    <xf numFmtId="164" fontId="4" fillId="0" borderId="16" xfId="47" applyNumberFormat="1" applyFont="1" applyFill="1" applyBorder="1"/>
    <xf numFmtId="169" fontId="6" fillId="0" borderId="0" xfId="48" applyNumberFormat="1" applyFont="1" applyFill="1" applyBorder="1"/>
    <xf numFmtId="169" fontId="4" fillId="0" borderId="0" xfId="48" applyNumberFormat="1" applyFont="1" applyFill="1" applyBorder="1"/>
    <xf numFmtId="164" fontId="4" fillId="0" borderId="9" xfId="47" applyNumberFormat="1" applyFont="1" applyFill="1" applyBorder="1"/>
    <xf numFmtId="0" fontId="6" fillId="9" borderId="10" xfId="0" applyFont="1" applyFill="1" applyBorder="1" applyAlignment="1">
      <alignment horizontal="center"/>
    </xf>
    <xf numFmtId="0" fontId="6" fillId="7" borderId="10" xfId="0" applyFont="1" applyFill="1" applyBorder="1" applyAlignment="1">
      <alignment horizontal="center"/>
    </xf>
    <xf numFmtId="0" fontId="6" fillId="5" borderId="10" xfId="0" applyFont="1" applyFill="1" applyBorder="1" applyAlignment="1">
      <alignment horizontal="center"/>
    </xf>
    <xf numFmtId="0" fontId="6" fillId="19" borderId="6" xfId="0" applyFont="1" applyFill="1" applyBorder="1" applyAlignment="1">
      <alignment horizontal="center"/>
    </xf>
    <xf numFmtId="0" fontId="6" fillId="19" borderId="10" xfId="0" applyFont="1" applyFill="1" applyBorder="1" applyAlignment="1">
      <alignment horizontal="center"/>
    </xf>
    <xf numFmtId="164" fontId="45" fillId="0" borderId="0" xfId="47" applyNumberFormat="1" applyFont="1" applyFill="1" applyBorder="1"/>
    <xf numFmtId="0" fontId="16" fillId="0" borderId="0" xfId="0" applyFont="1" applyFill="1" applyBorder="1" applyAlignment="1">
      <alignment horizontal="center"/>
    </xf>
    <xf numFmtId="164" fontId="4" fillId="19" borderId="0" xfId="47" applyNumberFormat="1" applyFont="1" applyFill="1" applyBorder="1"/>
    <xf numFmtId="164" fontId="4" fillId="42" borderId="0" xfId="47" applyNumberFormat="1" applyFont="1" applyFill="1" applyBorder="1"/>
    <xf numFmtId="0" fontId="6" fillId="0" borderId="0" xfId="0" applyFont="1" applyAlignment="1">
      <alignment horizontal="center"/>
    </xf>
    <xf numFmtId="167" fontId="46" fillId="0" borderId="0" xfId="46" applyFont="1" applyAlignment="1">
      <alignment horizontal="left"/>
    </xf>
    <xf numFmtId="22" fontId="0" fillId="0" borderId="0" xfId="0" applyNumberFormat="1" applyFont="1"/>
    <xf numFmtId="17" fontId="6" fillId="14" borderId="0" xfId="0" applyNumberFormat="1" applyFont="1" applyFill="1" applyBorder="1" applyAlignment="1">
      <alignment horizontal="center"/>
    </xf>
    <xf numFmtId="17" fontId="6" fillId="15" borderId="0" xfId="0" applyNumberFormat="1" applyFont="1" applyFill="1" applyBorder="1" applyAlignment="1">
      <alignment horizontal="center"/>
    </xf>
    <xf numFmtId="17" fontId="6" fillId="0" borderId="0" xfId="0" applyNumberFormat="1" applyFont="1" applyFill="1" applyBorder="1" applyAlignment="1">
      <alignment horizontal="center"/>
    </xf>
    <xf numFmtId="22" fontId="3" fillId="0" borderId="0" xfId="0" applyNumberFormat="1" applyFont="1"/>
    <xf numFmtId="0" fontId="0" fillId="0" borderId="0" xfId="0" applyFont="1"/>
    <xf numFmtId="17" fontId="0" fillId="0" borderId="0" xfId="0" applyNumberFormat="1" applyFont="1"/>
    <xf numFmtId="10" fontId="0" fillId="0" borderId="0" xfId="0" applyNumberFormat="1" applyFont="1"/>
    <xf numFmtId="14" fontId="0" fillId="0" borderId="0" xfId="0" applyNumberFormat="1" applyFont="1"/>
    <xf numFmtId="0" fontId="11" fillId="0" borderId="0" xfId="0" applyFont="1" applyFill="1"/>
    <xf numFmtId="10" fontId="4" fillId="0" borderId="0" xfId="2" applyNumberFormat="1" applyFont="1" applyFill="1"/>
    <xf numFmtId="10" fontId="4" fillId="16" borderId="0" xfId="2" applyNumberFormat="1" applyFont="1" applyFill="1"/>
    <xf numFmtId="10" fontId="4" fillId="0" borderId="0" xfId="2" applyNumberFormat="1" applyFont="1" applyFill="1" applyBorder="1"/>
    <xf numFmtId="164" fontId="0" fillId="0" borderId="0" xfId="0" applyNumberFormat="1" applyFill="1" applyBorder="1"/>
    <xf numFmtId="164" fontId="4" fillId="0" borderId="0" xfId="2" applyNumberFormat="1" applyFont="1" applyFill="1" applyBorder="1"/>
    <xf numFmtId="0" fontId="0" fillId="13" borderId="1" xfId="0" applyFill="1" applyBorder="1"/>
    <xf numFmtId="17" fontId="6" fillId="13" borderId="5" xfId="0" applyNumberFormat="1" applyFont="1" applyFill="1" applyBorder="1" applyAlignment="1">
      <alignment horizontal="center"/>
    </xf>
    <xf numFmtId="22" fontId="2" fillId="0" borderId="0" xfId="0" applyNumberFormat="1" applyFont="1"/>
    <xf numFmtId="3" fontId="6" fillId="0" borderId="0" xfId="0" applyNumberFormat="1" applyFont="1" applyFill="1" applyBorder="1" applyAlignment="1">
      <alignment horizontal="center"/>
    </xf>
    <xf numFmtId="3" fontId="6" fillId="3" borderId="0" xfId="0" applyNumberFormat="1" applyFont="1" applyFill="1" applyBorder="1" applyAlignment="1">
      <alignment horizontal="center"/>
    </xf>
    <xf numFmtId="3" fontId="6" fillId="4" borderId="0" xfId="0" applyNumberFormat="1" applyFont="1" applyFill="1" applyBorder="1" applyAlignment="1">
      <alignment horizontal="center"/>
    </xf>
    <xf numFmtId="3" fontId="6" fillId="5" borderId="0" xfId="0" applyNumberFormat="1" applyFont="1" applyFill="1" applyBorder="1" applyAlignment="1">
      <alignment horizontal="center"/>
    </xf>
    <xf numFmtId="49" fontId="47" fillId="0" borderId="0" xfId="0" applyNumberFormat="1" applyFont="1" applyAlignment="1">
      <alignment horizontal="left" wrapText="1"/>
    </xf>
    <xf numFmtId="49" fontId="47" fillId="0" borderId="0" xfId="0" applyNumberFormat="1" applyFont="1" applyAlignment="1">
      <alignment horizontal="right" wrapText="1"/>
    </xf>
    <xf numFmtId="173" fontId="48" fillId="0" borderId="0" xfId="0" applyNumberFormat="1" applyFont="1" applyAlignment="1">
      <alignment horizontal="left"/>
    </xf>
    <xf numFmtId="173" fontId="47" fillId="0" borderId="0" xfId="0" applyNumberFormat="1" applyFont="1" applyAlignment="1">
      <alignment horizontal="right"/>
    </xf>
    <xf numFmtId="173" fontId="47" fillId="0" borderId="0" xfId="0" applyNumberFormat="1" applyFont="1" applyAlignment="1">
      <alignment horizontal="left"/>
    </xf>
    <xf numFmtId="164" fontId="0" fillId="9" borderId="0" xfId="4" applyNumberFormat="1" applyFont="1" applyFill="1" applyBorder="1"/>
    <xf numFmtId="0" fontId="6" fillId="2" borderId="11" xfId="0" applyFont="1" applyFill="1" applyBorder="1" applyAlignment="1">
      <alignment horizontal="center"/>
    </xf>
    <xf numFmtId="164" fontId="0" fillId="0" borderId="0" xfId="4" applyNumberFormat="1" applyFont="1" applyFill="1" applyBorder="1"/>
    <xf numFmtId="0" fontId="6" fillId="0" borderId="0" xfId="6" applyFont="1" applyFill="1" applyBorder="1" applyAlignment="1">
      <alignment horizontal="center"/>
    </xf>
    <xf numFmtId="0" fontId="6" fillId="0" borderId="0" xfId="3" applyNumberFormat="1" applyFont="1" applyFill="1" applyBorder="1"/>
    <xf numFmtId="166" fontId="4" fillId="0" borderId="0" xfId="2" applyNumberFormat="1" applyFont="1" applyFill="1"/>
    <xf numFmtId="0" fontId="45" fillId="0" borderId="0" xfId="0" applyFont="1"/>
    <xf numFmtId="164" fontId="4" fillId="0" borderId="0" xfId="4" applyNumberFormat="1" applyFont="1" applyFill="1" applyBorder="1" applyAlignment="1">
      <alignment horizontal="right" wrapText="1"/>
    </xf>
    <xf numFmtId="1" fontId="6" fillId="0" borderId="0" xfId="0" applyNumberFormat="1" applyFont="1" applyFill="1" applyBorder="1" applyAlignment="1">
      <alignment horizontal="center"/>
    </xf>
    <xf numFmtId="0" fontId="6" fillId="0" borderId="0" xfId="49" applyFont="1" applyFill="1" applyBorder="1" applyAlignment="1">
      <alignment horizontal="center"/>
    </xf>
    <xf numFmtId="164" fontId="12" fillId="0" borderId="0" xfId="47" applyNumberFormat="1" applyFont="1" applyFill="1" applyBorder="1" applyAlignment="1">
      <alignment horizontal="center"/>
    </xf>
    <xf numFmtId="164" fontId="12" fillId="0" borderId="0" xfId="47" applyNumberFormat="1" applyFont="1" applyFill="1" applyBorder="1" applyAlignment="1"/>
    <xf numFmtId="164" fontId="6" fillId="5" borderId="0" xfId="2" applyNumberFormat="1" applyFont="1" applyFill="1"/>
    <xf numFmtId="43" fontId="4" fillId="0" borderId="0" xfId="2" applyFont="1" applyFill="1" applyBorder="1"/>
    <xf numFmtId="49" fontId="48" fillId="0" borderId="0" xfId="0" applyNumberFormat="1" applyFont="1" applyAlignment="1">
      <alignment horizontal="right" wrapText="1"/>
    </xf>
    <xf numFmtId="3" fontId="49" fillId="0" borderId="0" xfId="46" applyNumberFormat="1" applyFont="1" applyAlignment="1">
      <alignment horizontal="center"/>
    </xf>
    <xf numFmtId="3" fontId="10" fillId="0" borderId="0" xfId="46" applyNumberFormat="1" applyFont="1" applyAlignment="1">
      <alignment horizontal="center"/>
    </xf>
    <xf numFmtId="164" fontId="49" fillId="0" borderId="0" xfId="2" applyNumberFormat="1" applyFont="1" applyAlignment="1">
      <alignment horizontal="center"/>
    </xf>
    <xf numFmtId="164" fontId="10" fillId="0" borderId="0" xfId="2" applyNumberFormat="1" applyFont="1" applyAlignment="1">
      <alignment horizontal="center"/>
    </xf>
    <xf numFmtId="0" fontId="6" fillId="2" borderId="11" xfId="0" applyFont="1" applyFill="1" applyBorder="1" applyAlignment="1">
      <alignment horizontal="center"/>
    </xf>
    <xf numFmtId="0" fontId="0" fillId="0" borderId="0" xfId="0" applyAlignment="1">
      <alignment wrapText="1"/>
    </xf>
    <xf numFmtId="0" fontId="4" fillId="0" borderId="0" xfId="50"/>
    <xf numFmtId="0" fontId="6" fillId="0" borderId="0" xfId="50" applyFont="1" applyAlignment="1">
      <alignment horizontal="center"/>
    </xf>
    <xf numFmtId="0" fontId="4" fillId="3" borderId="1" xfId="50" applyFill="1" applyBorder="1"/>
    <xf numFmtId="0" fontId="4" fillId="4" borderId="1" xfId="50" applyFill="1" applyBorder="1"/>
    <xf numFmtId="0" fontId="4" fillId="5" borderId="2" xfId="50" applyFill="1" applyBorder="1"/>
    <xf numFmtId="0" fontId="4" fillId="2" borderId="1" xfId="50" applyFill="1" applyBorder="1"/>
    <xf numFmtId="0" fontId="4" fillId="6" borderId="1" xfId="50" applyFill="1" applyBorder="1"/>
    <xf numFmtId="0" fontId="4" fillId="7" borderId="3" xfId="50" applyFill="1" applyBorder="1"/>
    <xf numFmtId="0" fontId="4" fillId="8" borderId="1" xfId="50" applyFill="1" applyBorder="1"/>
    <xf numFmtId="0" fontId="4" fillId="9" borderId="3" xfId="50" applyFill="1" applyBorder="1"/>
    <xf numFmtId="0" fontId="4" fillId="10" borderId="1" xfId="50" applyFill="1" applyBorder="1"/>
    <xf numFmtId="0" fontId="4" fillId="11" borderId="3" xfId="50" applyFill="1" applyBorder="1"/>
    <xf numFmtId="0" fontId="4" fillId="12" borderId="1" xfId="50" applyFill="1" applyBorder="1"/>
    <xf numFmtId="0" fontId="4" fillId="13" borderId="3" xfId="50" applyFill="1" applyBorder="1"/>
    <xf numFmtId="0" fontId="4" fillId="14" borderId="1" xfId="50" applyFill="1" applyBorder="1"/>
    <xf numFmtId="17" fontId="6" fillId="15" borderId="4" xfId="50" applyNumberFormat="1" applyFont="1" applyFill="1" applyBorder="1" applyAlignment="1">
      <alignment horizontal="center"/>
    </xf>
    <xf numFmtId="17" fontId="6" fillId="3" borderId="5" xfId="50" applyNumberFormat="1" applyFont="1" applyFill="1" applyBorder="1" applyAlignment="1">
      <alignment horizontal="center"/>
    </xf>
    <xf numFmtId="17" fontId="6" fillId="4" borderId="5" xfId="50" applyNumberFormat="1" applyFont="1" applyFill="1" applyBorder="1" applyAlignment="1">
      <alignment horizontal="center"/>
    </xf>
    <xf numFmtId="17" fontId="6" fillId="5" borderId="6" xfId="50" applyNumberFormat="1" applyFont="1" applyFill="1" applyBorder="1" applyAlignment="1">
      <alignment horizontal="center"/>
    </xf>
    <xf numFmtId="17" fontId="6" fillId="2" borderId="5" xfId="50" applyNumberFormat="1" applyFont="1" applyFill="1" applyBorder="1" applyAlignment="1">
      <alignment horizontal="center"/>
    </xf>
    <xf numFmtId="17" fontId="6" fillId="6" borderId="5" xfId="50" applyNumberFormat="1" applyFont="1" applyFill="1" applyBorder="1" applyAlignment="1">
      <alignment horizontal="center"/>
    </xf>
    <xf numFmtId="17" fontId="6" fillId="7" borderId="7" xfId="50" applyNumberFormat="1" applyFont="1" applyFill="1" applyBorder="1" applyAlignment="1">
      <alignment horizontal="center"/>
    </xf>
    <xf numFmtId="17" fontId="6" fillId="8" borderId="5" xfId="50" applyNumberFormat="1" applyFont="1" applyFill="1" applyBorder="1" applyAlignment="1">
      <alignment horizontal="center"/>
    </xf>
    <xf numFmtId="17" fontId="6" fillId="9" borderId="7" xfId="50" applyNumberFormat="1" applyFont="1" applyFill="1" applyBorder="1" applyAlignment="1">
      <alignment horizontal="center"/>
    </xf>
    <xf numFmtId="17" fontId="6" fillId="10" borderId="5" xfId="50" applyNumberFormat="1" applyFont="1" applyFill="1" applyBorder="1" applyAlignment="1">
      <alignment horizontal="center"/>
    </xf>
    <xf numFmtId="17" fontId="6" fillId="11" borderId="7" xfId="50" applyNumberFormat="1" applyFont="1" applyFill="1" applyBorder="1" applyAlignment="1">
      <alignment horizontal="center"/>
    </xf>
    <xf numFmtId="17" fontId="6" fillId="12" borderId="5" xfId="50" applyNumberFormat="1" applyFont="1" applyFill="1" applyBorder="1" applyAlignment="1">
      <alignment horizontal="center"/>
    </xf>
    <xf numFmtId="17" fontId="6" fillId="13" borderId="7" xfId="50" applyNumberFormat="1" applyFont="1" applyFill="1" applyBorder="1" applyAlignment="1">
      <alignment horizontal="center"/>
    </xf>
    <xf numFmtId="17" fontId="6" fillId="14" borderId="5" xfId="50" applyNumberFormat="1" applyFont="1" applyFill="1" applyBorder="1" applyAlignment="1">
      <alignment horizontal="center"/>
    </xf>
    <xf numFmtId="17" fontId="6" fillId="15" borderId="8" xfId="50" applyNumberFormat="1" applyFont="1" applyFill="1" applyBorder="1" applyAlignment="1">
      <alignment horizontal="center"/>
    </xf>
    <xf numFmtId="0" fontId="11" fillId="0" borderId="0" xfId="50" applyFont="1"/>
    <xf numFmtId="0" fontId="4" fillId="0" borderId="0" xfId="50" applyFont="1" applyAlignment="1">
      <alignment horizontal="left" indent="1"/>
    </xf>
    <xf numFmtId="0" fontId="4" fillId="0" borderId="0" xfId="50" applyAlignment="1">
      <alignment horizontal="left" indent="1"/>
    </xf>
    <xf numFmtId="164" fontId="4" fillId="0" borderId="0" xfId="4" applyNumberFormat="1" applyFont="1" applyFill="1"/>
    <xf numFmtId="164" fontId="4" fillId="0" borderId="0" xfId="50" applyNumberFormat="1"/>
    <xf numFmtId="164" fontId="4" fillId="0" borderId="0" xfId="4" applyNumberFormat="1" applyFont="1"/>
    <xf numFmtId="0" fontId="4" fillId="0" borderId="0" xfId="50" applyFill="1"/>
    <xf numFmtId="164" fontId="4" fillId="16" borderId="0" xfId="4" applyNumberFormat="1" applyFont="1" applyFill="1"/>
    <xf numFmtId="0" fontId="4" fillId="0" borderId="0" xfId="50" applyFont="1"/>
    <xf numFmtId="17" fontId="6" fillId="0" borderId="0" xfId="50" applyNumberFormat="1" applyFont="1" applyFill="1" applyBorder="1" applyAlignment="1">
      <alignment horizontal="center"/>
    </xf>
    <xf numFmtId="0" fontId="4" fillId="0" borderId="0" xfId="50" applyFill="1" applyAlignment="1">
      <alignment horizontal="left" indent="1"/>
    </xf>
    <xf numFmtId="164" fontId="4" fillId="0" borderId="0" xfId="50" applyNumberFormat="1" applyFill="1"/>
    <xf numFmtId="0" fontId="11" fillId="0" borderId="0" xfId="50" applyFont="1" applyFill="1"/>
    <xf numFmtId="0" fontId="6" fillId="3" borderId="6" xfId="49" applyFont="1" applyFill="1" applyBorder="1" applyAlignment="1">
      <alignment horizontal="center"/>
    </xf>
    <xf numFmtId="10" fontId="16" fillId="0" borderId="0" xfId="2" applyNumberFormat="1" applyFont="1" applyFill="1"/>
    <xf numFmtId="10" fontId="16" fillId="0" borderId="0" xfId="3" applyNumberFormat="1" applyFont="1"/>
    <xf numFmtId="167" fontId="51" fillId="0" borderId="0" xfId="46" applyFont="1" applyAlignment="1"/>
    <xf numFmtId="167" fontId="38" fillId="0" borderId="0" xfId="46" applyAlignment="1"/>
    <xf numFmtId="0" fontId="52" fillId="0" borderId="0" xfId="50" applyFont="1" applyAlignment="1">
      <alignment horizontal="right"/>
    </xf>
    <xf numFmtId="0" fontId="52" fillId="0" borderId="0" xfId="50" applyFont="1" applyAlignment="1">
      <alignment horizontal="left"/>
    </xf>
    <xf numFmtId="167" fontId="4" fillId="0" borderId="0" xfId="46" applyFont="1" applyAlignment="1">
      <alignment horizontal="right"/>
    </xf>
    <xf numFmtId="0" fontId="53" fillId="0" borderId="0" xfId="50" applyFont="1"/>
    <xf numFmtId="0" fontId="53" fillId="0" borderId="0" xfId="50" applyFont="1" applyAlignment="1">
      <alignment horizontal="center"/>
    </xf>
    <xf numFmtId="0" fontId="54" fillId="40" borderId="23" xfId="50" applyFont="1" applyFill="1" applyBorder="1" applyAlignment="1">
      <alignment horizontal="center" vertical="center"/>
    </xf>
    <xf numFmtId="0" fontId="54" fillId="40" borderId="24" xfId="50" applyFont="1" applyFill="1" applyBorder="1" applyAlignment="1">
      <alignment horizontal="center" vertical="center"/>
    </xf>
    <xf numFmtId="0" fontId="54" fillId="40" borderId="24" xfId="50" applyFont="1" applyFill="1" applyBorder="1" applyAlignment="1">
      <alignment horizontal="center" vertical="center" wrapText="1"/>
    </xf>
    <xf numFmtId="0" fontId="54" fillId="40" borderId="25" xfId="50" applyFont="1" applyFill="1" applyBorder="1" applyAlignment="1">
      <alignment horizontal="center" vertical="center"/>
    </xf>
    <xf numFmtId="0" fontId="52" fillId="0" borderId="26" xfId="50" quotePrefix="1" applyFont="1" applyBorder="1" applyAlignment="1">
      <alignment horizontal="left" vertical="center" indent="1"/>
    </xf>
    <xf numFmtId="0" fontId="52" fillId="0" borderId="26" xfId="50" quotePrefix="1" applyFont="1" applyBorder="1" applyAlignment="1">
      <alignment horizontal="left" vertical="center" wrapText="1" indent="1"/>
    </xf>
    <xf numFmtId="0" fontId="52" fillId="0" borderId="26" xfId="50" quotePrefix="1" applyFont="1" applyBorder="1" applyAlignment="1">
      <alignment horizontal="center" vertical="center"/>
    </xf>
    <xf numFmtId="0" fontId="55" fillId="0" borderId="26" xfId="50" quotePrefix="1" applyFont="1" applyBorder="1" applyAlignment="1">
      <alignment horizontal="left" vertical="center" wrapText="1" indent="1"/>
    </xf>
    <xf numFmtId="0" fontId="53" fillId="0" borderId="0" xfId="50" applyFont="1" applyAlignment="1">
      <alignment vertical="center"/>
    </xf>
    <xf numFmtId="0" fontId="52" fillId="0" borderId="27" xfId="50" quotePrefix="1" applyFont="1" applyBorder="1" applyAlignment="1">
      <alignment horizontal="left" vertical="center" indent="1"/>
    </xf>
    <xf numFmtId="0" fontId="52" fillId="0" borderId="27" xfId="50" quotePrefix="1" applyFont="1" applyBorder="1" applyAlignment="1">
      <alignment horizontal="left" vertical="center" wrapText="1" indent="1"/>
    </xf>
    <xf numFmtId="0" fontId="52" fillId="0" borderId="27" xfId="50" quotePrefix="1" applyFont="1" applyBorder="1" applyAlignment="1">
      <alignment horizontal="center" vertical="center"/>
    </xf>
    <xf numFmtId="0" fontId="55" fillId="0" borderId="27" xfId="50" quotePrefix="1" applyFont="1" applyBorder="1" applyAlignment="1">
      <alignment horizontal="left" vertical="center" wrapText="1" indent="1"/>
    </xf>
    <xf numFmtId="0" fontId="52" fillId="0" borderId="27" xfId="50" applyFont="1" applyBorder="1" applyAlignment="1">
      <alignment horizontal="left" vertical="center" indent="1"/>
    </xf>
    <xf numFmtId="0" fontId="52" fillId="0" borderId="27" xfId="50" applyFont="1" applyBorder="1" applyAlignment="1">
      <alignment horizontal="left" vertical="center" wrapText="1" indent="1"/>
    </xf>
    <xf numFmtId="0" fontId="52" fillId="0" borderId="27" xfId="50" applyFont="1" applyBorder="1" applyAlignment="1">
      <alignment horizontal="center" vertical="center"/>
    </xf>
    <xf numFmtId="0" fontId="52" fillId="0" borderId="29" xfId="50" quotePrefix="1" applyFont="1" applyBorder="1" applyAlignment="1">
      <alignment horizontal="center" vertical="center"/>
    </xf>
    <xf numFmtId="0" fontId="52" fillId="0" borderId="29" xfId="50" quotePrefix="1" applyFont="1" applyBorder="1" applyAlignment="1">
      <alignment horizontal="left" vertical="center" wrapText="1" indent="1"/>
    </xf>
    <xf numFmtId="0" fontId="52" fillId="0" borderId="31" xfId="50" quotePrefix="1" applyFont="1" applyBorder="1" applyAlignment="1">
      <alignment horizontal="center" vertical="center"/>
    </xf>
    <xf numFmtId="0" fontId="52" fillId="0" borderId="31" xfId="50" quotePrefix="1" applyFont="1" applyBorder="1" applyAlignment="1">
      <alignment horizontal="left" vertical="center" wrapText="1" indent="1"/>
    </xf>
    <xf numFmtId="0" fontId="52" fillId="0" borderId="32" xfId="50" quotePrefix="1" applyFont="1" applyBorder="1" applyAlignment="1">
      <alignment horizontal="center" vertical="center"/>
    </xf>
    <xf numFmtId="0" fontId="52" fillId="0" borderId="32" xfId="50" quotePrefix="1" applyFont="1" applyBorder="1" applyAlignment="1">
      <alignment horizontal="left" vertical="center" wrapText="1" indent="1"/>
    </xf>
    <xf numFmtId="0" fontId="55" fillId="0" borderId="29" xfId="50" quotePrefix="1" applyFont="1" applyBorder="1" applyAlignment="1">
      <alignment horizontal="left" vertical="center" wrapText="1" indent="1"/>
    </xf>
    <xf numFmtId="0" fontId="55" fillId="0" borderId="27" xfId="50" applyFont="1" applyBorder="1" applyAlignment="1">
      <alignment horizontal="left" vertical="center" wrapText="1" indent="1"/>
    </xf>
    <xf numFmtId="0" fontId="52" fillId="0" borderId="27" xfId="50" quotePrefix="1" applyFont="1" applyBorder="1" applyAlignment="1">
      <alignment horizontal="center" vertical="center" wrapText="1"/>
    </xf>
    <xf numFmtId="0" fontId="52" fillId="0" borderId="0" xfId="50" quotePrefix="1" applyFont="1" applyBorder="1" applyAlignment="1">
      <alignment horizontal="left" vertical="center" indent="1"/>
    </xf>
    <xf numFmtId="0" fontId="55" fillId="0" borderId="0" xfId="50" quotePrefix="1" applyFont="1" applyBorder="1" applyAlignment="1">
      <alignment horizontal="left" vertical="center" wrapText="1" indent="1"/>
    </xf>
    <xf numFmtId="0" fontId="52" fillId="0" borderId="0" xfId="50" quotePrefix="1" applyFont="1" applyBorder="1" applyAlignment="1">
      <alignment horizontal="center" vertical="center"/>
    </xf>
    <xf numFmtId="0" fontId="52" fillId="0" borderId="34" xfId="50" quotePrefix="1" applyFont="1" applyBorder="1" applyAlignment="1">
      <alignment horizontal="left" vertical="center" indent="1"/>
    </xf>
    <xf numFmtId="0" fontId="55" fillId="0" borderId="34" xfId="50" quotePrefix="1" applyFont="1" applyBorder="1" applyAlignment="1">
      <alignment horizontal="left" vertical="center" indent="1"/>
    </xf>
    <xf numFmtId="0" fontId="52" fillId="0" borderId="14" xfId="50" applyFont="1" applyBorder="1" applyAlignment="1">
      <alignment horizontal="center"/>
    </xf>
    <xf numFmtId="0" fontId="52" fillId="0" borderId="15" xfId="50" applyFont="1" applyBorder="1"/>
    <xf numFmtId="0" fontId="10" fillId="0" borderId="0" xfId="50" applyFont="1"/>
    <xf numFmtId="0" fontId="52" fillId="0" borderId="35" xfId="50" quotePrefix="1" applyFont="1" applyBorder="1" applyAlignment="1">
      <alignment horizontal="left" vertical="center" indent="1"/>
    </xf>
    <xf numFmtId="0" fontId="55" fillId="0" borderId="35" xfId="50" quotePrefix="1" applyFont="1" applyBorder="1" applyAlignment="1">
      <alignment horizontal="left" vertical="center" indent="1"/>
    </xf>
    <xf numFmtId="0" fontId="52" fillId="0" borderId="16" xfId="50" applyFont="1" applyBorder="1" applyAlignment="1">
      <alignment horizontal="center"/>
    </xf>
    <xf numFmtId="0" fontId="52" fillId="0" borderId="36" xfId="50" applyFont="1" applyBorder="1"/>
    <xf numFmtId="0" fontId="4" fillId="0" borderId="0" xfId="50" applyAlignment="1">
      <alignment horizontal="center"/>
    </xf>
    <xf numFmtId="164" fontId="39" fillId="0" borderId="0" xfId="2" applyNumberFormat="1" applyFont="1"/>
    <xf numFmtId="0" fontId="10" fillId="0" borderId="0" xfId="50" applyFont="1" applyAlignment="1">
      <alignment horizontal="left"/>
    </xf>
    <xf numFmtId="0" fontId="10" fillId="38" borderId="20" xfId="50" applyFont="1" applyFill="1" applyBorder="1" applyAlignment="1">
      <alignment horizontal="center" vertical="center"/>
    </xf>
    <xf numFmtId="4" fontId="10" fillId="38" borderId="20" xfId="50" applyNumberFormat="1" applyFont="1" applyFill="1" applyBorder="1" applyAlignment="1">
      <alignment horizontal="center" vertical="center"/>
    </xf>
    <xf numFmtId="4" fontId="10" fillId="38" borderId="21" xfId="50" applyNumberFormat="1" applyFont="1" applyFill="1" applyBorder="1" applyAlignment="1">
      <alignment horizontal="center" vertical="center"/>
    </xf>
    <xf numFmtId="0" fontId="10" fillId="0" borderId="0" xfId="50" applyFont="1" applyFill="1" applyAlignment="1">
      <alignment horizontal="center"/>
    </xf>
    <xf numFmtId="0" fontId="10" fillId="0" borderId="0" xfId="50" applyFont="1" applyFill="1" applyAlignment="1">
      <alignment horizontal="center" vertical="center"/>
    </xf>
    <xf numFmtId="3" fontId="10" fillId="0" borderId="0" xfId="50" applyNumberFormat="1" applyFont="1" applyFill="1" applyAlignment="1">
      <alignment horizontal="center"/>
    </xf>
    <xf numFmtId="169" fontId="10" fillId="0" borderId="0" xfId="50" applyNumberFormat="1" applyFont="1" applyFill="1" applyAlignment="1">
      <alignment horizontal="left"/>
    </xf>
    <xf numFmtId="174" fontId="10" fillId="0" borderId="0" xfId="50" applyNumberFormat="1" applyFont="1" applyFill="1" applyAlignment="1">
      <alignment horizontal="center"/>
    </xf>
    <xf numFmtId="3" fontId="10" fillId="0" borderId="0" xfId="50" applyNumberFormat="1" applyFont="1" applyAlignment="1">
      <alignment horizontal="center"/>
    </xf>
    <xf numFmtId="0" fontId="10" fillId="0" borderId="0" xfId="50" applyFont="1" applyFill="1" applyAlignment="1">
      <alignment horizontal="left"/>
    </xf>
    <xf numFmtId="1" fontId="10" fillId="0" borderId="0" xfId="50" applyNumberFormat="1" applyFont="1" applyFill="1" applyAlignment="1">
      <alignment horizontal="left"/>
    </xf>
    <xf numFmtId="3" fontId="10" fillId="0" borderId="0" xfId="50" applyNumberFormat="1" applyFont="1" applyAlignment="1">
      <alignment horizontal="left"/>
    </xf>
    <xf numFmtId="0" fontId="49" fillId="0" borderId="0" xfId="50" applyFont="1" applyAlignment="1">
      <alignment horizontal="left"/>
    </xf>
    <xf numFmtId="171" fontId="10" fillId="0" borderId="0" xfId="50" applyNumberFormat="1" applyFont="1" applyFill="1" applyAlignment="1">
      <alignment horizontal="center"/>
    </xf>
    <xf numFmtId="3" fontId="49" fillId="0" borderId="0" xfId="50" applyNumberFormat="1" applyFont="1" applyAlignment="1">
      <alignment horizontal="center"/>
    </xf>
    <xf numFmtId="169" fontId="10" fillId="0" borderId="0" xfId="3" applyNumberFormat="1" applyFont="1" applyAlignment="1">
      <alignment horizontal="left"/>
    </xf>
    <xf numFmtId="3" fontId="10" fillId="43" borderId="0" xfId="50" applyNumberFormat="1" applyFont="1" applyFill="1" applyAlignment="1">
      <alignment horizontal="center"/>
    </xf>
    <xf numFmtId="171" fontId="10" fillId="43" borderId="0" xfId="50" applyNumberFormat="1" applyFont="1" applyFill="1" applyAlignment="1">
      <alignment horizontal="center"/>
    </xf>
    <xf numFmtId="9" fontId="10" fillId="0" borderId="0" xfId="3" applyFont="1" applyAlignment="1">
      <alignment horizontal="center"/>
    </xf>
    <xf numFmtId="0" fontId="4" fillId="43" borderId="0" xfId="50" applyFont="1" applyFill="1"/>
    <xf numFmtId="0" fontId="10" fillId="44" borderId="0" xfId="50" applyFont="1" applyFill="1" applyAlignment="1">
      <alignment horizontal="left"/>
    </xf>
    <xf numFmtId="1" fontId="10" fillId="0" borderId="0" xfId="50" applyNumberFormat="1" applyFont="1" applyAlignment="1">
      <alignment horizontal="left"/>
    </xf>
    <xf numFmtId="0" fontId="10" fillId="0" borderId="0" xfId="50" applyFont="1" applyAlignment="1">
      <alignment horizontal="center"/>
    </xf>
    <xf numFmtId="0" fontId="10" fillId="0" borderId="0" xfId="65" applyFont="1" applyAlignment="1">
      <alignment horizontal="left"/>
    </xf>
    <xf numFmtId="0" fontId="10" fillId="38" borderId="20" xfId="65" applyFont="1" applyFill="1" applyBorder="1" applyAlignment="1">
      <alignment horizontal="center" vertical="center"/>
    </xf>
    <xf numFmtId="4" fontId="10" fillId="38" borderId="20" xfId="65" applyNumberFormat="1" applyFont="1" applyFill="1" applyBorder="1" applyAlignment="1">
      <alignment horizontal="center" vertical="center"/>
    </xf>
    <xf numFmtId="4" fontId="10" fillId="38" borderId="21" xfId="65" applyNumberFormat="1" applyFont="1" applyFill="1" applyBorder="1" applyAlignment="1">
      <alignment horizontal="center" vertical="center"/>
    </xf>
    <xf numFmtId="0" fontId="10" fillId="0" borderId="0" xfId="65" applyFont="1" applyFill="1" applyAlignment="1">
      <alignment horizontal="center"/>
    </xf>
    <xf numFmtId="0" fontId="10" fillId="0" borderId="0" xfId="65" applyFont="1" applyFill="1" applyAlignment="1">
      <alignment horizontal="center" vertical="center"/>
    </xf>
    <xf numFmtId="3" fontId="10" fillId="0" borderId="0" xfId="65" applyNumberFormat="1" applyFont="1" applyFill="1" applyAlignment="1">
      <alignment horizontal="center"/>
    </xf>
    <xf numFmtId="169" fontId="10" fillId="0" borderId="0" xfId="65" applyNumberFormat="1" applyFont="1" applyFill="1" applyAlignment="1">
      <alignment horizontal="left"/>
    </xf>
    <xf numFmtId="174" fontId="10" fillId="0" borderId="0" xfId="65" applyNumberFormat="1" applyFont="1" applyFill="1" applyAlignment="1">
      <alignment horizontal="center"/>
    </xf>
    <xf numFmtId="3" fontId="10" fillId="0" borderId="0" xfId="65" applyNumberFormat="1" applyFont="1" applyAlignment="1">
      <alignment horizontal="center"/>
    </xf>
    <xf numFmtId="0" fontId="10" fillId="0" borderId="0" xfId="65" applyFont="1" applyFill="1" applyAlignment="1">
      <alignment horizontal="left"/>
    </xf>
    <xf numFmtId="1" fontId="10" fillId="0" borderId="0" xfId="65" applyNumberFormat="1" applyFont="1" applyFill="1" applyAlignment="1">
      <alignment horizontal="left"/>
    </xf>
    <xf numFmtId="3" fontId="10" fillId="0" borderId="0" xfId="65" applyNumberFormat="1" applyFont="1" applyAlignment="1">
      <alignment horizontal="left"/>
    </xf>
    <xf numFmtId="0" fontId="49" fillId="0" borderId="0" xfId="65" applyFont="1" applyAlignment="1">
      <alignment horizontal="left"/>
    </xf>
    <xf numFmtId="171" fontId="10" fillId="0" borderId="0" xfId="65" applyNumberFormat="1" applyFont="1" applyFill="1" applyAlignment="1">
      <alignment horizontal="center"/>
    </xf>
    <xf numFmtId="171" fontId="10" fillId="0" borderId="0" xfId="65" applyNumberFormat="1" applyFont="1" applyAlignment="1">
      <alignment horizontal="left"/>
    </xf>
    <xf numFmtId="3" fontId="10" fillId="43" borderId="0" xfId="65" applyNumberFormat="1" applyFont="1" applyFill="1" applyAlignment="1">
      <alignment horizontal="center"/>
    </xf>
    <xf numFmtId="171" fontId="10" fillId="43" borderId="0" xfId="65" applyNumberFormat="1" applyFont="1" applyFill="1" applyAlignment="1">
      <alignment horizontal="center"/>
    </xf>
    <xf numFmtId="0" fontId="4" fillId="43" borderId="0" xfId="65" applyFont="1" applyFill="1"/>
    <xf numFmtId="0" fontId="10" fillId="43" borderId="0" xfId="65" applyFont="1" applyFill="1" applyAlignment="1">
      <alignment horizontal="left"/>
    </xf>
    <xf numFmtId="0" fontId="10" fillId="0" borderId="0" xfId="65" applyFont="1" applyAlignment="1">
      <alignment horizontal="center"/>
    </xf>
    <xf numFmtId="1" fontId="10" fillId="0" borderId="0" xfId="65" applyNumberFormat="1" applyFont="1" applyAlignment="1">
      <alignment horizontal="left"/>
    </xf>
    <xf numFmtId="3" fontId="0" fillId="0" borderId="0" xfId="0" applyNumberFormat="1" applyFill="1" applyBorder="1"/>
    <xf numFmtId="175" fontId="0" fillId="0" borderId="0" xfId="51" applyNumberFormat="1" applyFont="1"/>
    <xf numFmtId="175" fontId="0" fillId="0" borderId="0" xfId="0" applyNumberFormat="1"/>
    <xf numFmtId="8" fontId="0" fillId="0" borderId="0" xfId="0" applyNumberFormat="1"/>
    <xf numFmtId="2" fontId="0" fillId="0" borderId="0" xfId="0" applyNumberFormat="1"/>
    <xf numFmtId="176" fontId="0" fillId="0" borderId="0" xfId="0" applyNumberFormat="1"/>
    <xf numFmtId="43" fontId="4" fillId="0" borderId="0" xfId="0" applyNumberFormat="1" applyFont="1" applyBorder="1"/>
    <xf numFmtId="43" fontId="6" fillId="0" borderId="0" xfId="3" applyNumberFormat="1" applyFont="1" applyFill="1" applyBorder="1"/>
    <xf numFmtId="2" fontId="45" fillId="0" borderId="0" xfId="0" applyNumberFormat="1" applyFont="1"/>
    <xf numFmtId="1" fontId="22" fillId="0" borderId="0" xfId="0" applyNumberFormat="1" applyFont="1"/>
    <xf numFmtId="10" fontId="4" fillId="0" borderId="0" xfId="3" applyNumberFormat="1" applyFont="1" applyFill="1" applyBorder="1" applyAlignment="1">
      <alignment horizontal="right" wrapText="1"/>
    </xf>
    <xf numFmtId="10" fontId="8" fillId="0" borderId="0" xfId="3" applyNumberFormat="1" applyFont="1" applyFill="1" applyBorder="1" applyAlignment="1">
      <alignment horizontal="right"/>
    </xf>
    <xf numFmtId="0" fontId="10" fillId="0" borderId="0" xfId="65" applyFont="1" applyAlignment="1">
      <alignment horizontal="center" vertical="center"/>
    </xf>
    <xf numFmtId="3" fontId="10" fillId="0" borderId="0" xfId="118" applyNumberFormat="1" applyFont="1" applyAlignment="1">
      <alignment horizontal="center"/>
    </xf>
    <xf numFmtId="10" fontId="10" fillId="0" borderId="0" xfId="3" applyNumberFormat="1" applyFont="1" applyAlignment="1">
      <alignment horizontal="center"/>
    </xf>
    <xf numFmtId="0" fontId="0" fillId="0" borderId="38" xfId="0" applyBorder="1"/>
    <xf numFmtId="166" fontId="0" fillId="0" borderId="0" xfId="2" applyNumberFormat="1" applyFont="1"/>
    <xf numFmtId="43" fontId="0" fillId="0" borderId="0" xfId="2" applyNumberFormat="1" applyFont="1"/>
    <xf numFmtId="178" fontId="47" fillId="0" borderId="0" xfId="0" applyNumberFormat="1" applyFont="1" applyAlignment="1">
      <alignment horizontal="right"/>
    </xf>
    <xf numFmtId="9" fontId="0" fillId="0" borderId="0" xfId="3" applyFont="1"/>
    <xf numFmtId="179" fontId="0" fillId="0" borderId="0" xfId="3" applyNumberFormat="1" applyFont="1"/>
    <xf numFmtId="179" fontId="0" fillId="0" borderId="0" xfId="0" applyNumberFormat="1"/>
    <xf numFmtId="173" fontId="61" fillId="0" borderId="0" xfId="0" applyNumberFormat="1" applyFont="1" applyBorder="1" applyAlignment="1">
      <alignment horizontal="right"/>
    </xf>
    <xf numFmtId="3" fontId="8" fillId="0" borderId="0" xfId="0" applyNumberFormat="1" applyFont="1" applyFill="1" applyBorder="1" applyAlignment="1">
      <alignment horizontal="right"/>
    </xf>
    <xf numFmtId="9" fontId="0" fillId="0" borderId="0" xfId="3" applyFont="1" applyBorder="1"/>
    <xf numFmtId="0" fontId="20" fillId="0" borderId="0" xfId="0" applyFont="1" applyAlignment="1">
      <alignment horizontal="left"/>
    </xf>
    <xf numFmtId="3" fontId="49" fillId="0" borderId="0" xfId="65" applyNumberFormat="1" applyFont="1" applyAlignment="1">
      <alignment horizontal="center"/>
    </xf>
    <xf numFmtId="4" fontId="8" fillId="0" borderId="0" xfId="0" applyNumberFormat="1" applyFont="1" applyFill="1" applyAlignment="1">
      <alignment horizontal="right"/>
    </xf>
    <xf numFmtId="4" fontId="0" fillId="0" borderId="0" xfId="0" applyNumberFormat="1"/>
    <xf numFmtId="0" fontId="60" fillId="0" borderId="0" xfId="0" applyFont="1" applyBorder="1" applyAlignment="1">
      <alignment horizontal="center" vertical="center" wrapText="1"/>
    </xf>
    <xf numFmtId="1" fontId="0" fillId="0" borderId="0" xfId="0" applyNumberFormat="1" applyBorder="1"/>
    <xf numFmtId="174" fontId="8" fillId="0" borderId="0" xfId="0" applyNumberFormat="1" applyFont="1" applyFill="1" applyAlignment="1">
      <alignment horizontal="right"/>
    </xf>
    <xf numFmtId="0" fontId="8" fillId="0" borderId="0" xfId="3" applyNumberFormat="1" applyFont="1" applyFill="1" applyBorder="1" applyAlignment="1">
      <alignment horizontal="right"/>
    </xf>
    <xf numFmtId="0" fontId="4" fillId="0" borderId="37" xfId="0" applyFont="1" applyBorder="1" applyAlignment="1">
      <alignment horizontal="center" vertical="center" wrapText="1"/>
    </xf>
    <xf numFmtId="0" fontId="4" fillId="0" borderId="0" xfId="0" applyFont="1" applyAlignment="1">
      <alignment horizontal="left"/>
    </xf>
    <xf numFmtId="173" fontId="4" fillId="0" borderId="0" xfId="0" applyNumberFormat="1" applyFont="1" applyAlignment="1">
      <alignment horizontal="right"/>
    </xf>
    <xf numFmtId="177" fontId="4" fillId="0" borderId="0" xfId="0" applyNumberFormat="1" applyFont="1" applyAlignment="1">
      <alignment horizontal="right"/>
    </xf>
    <xf numFmtId="0" fontId="4" fillId="0" borderId="0" xfId="0" applyFont="1" applyAlignment="1">
      <alignment horizontal="center"/>
    </xf>
    <xf numFmtId="39" fontId="0" fillId="0" borderId="0" xfId="2" applyNumberFormat="1" applyFont="1"/>
    <xf numFmtId="43" fontId="0" fillId="0" borderId="0" xfId="2" applyNumberFormat="1" applyFont="1" applyFill="1"/>
    <xf numFmtId="164" fontId="0" fillId="0" borderId="0" xfId="2" applyNumberFormat="1" applyFont="1" applyFill="1" applyBorder="1"/>
    <xf numFmtId="180" fontId="0" fillId="0" borderId="0" xfId="0" applyNumberFormat="1" applyFill="1"/>
    <xf numFmtId="0" fontId="45" fillId="0" borderId="0" xfId="0" applyFont="1" applyAlignment="1">
      <alignment horizontal="left" indent="1"/>
    </xf>
    <xf numFmtId="164" fontId="4" fillId="0" borderId="0" xfId="2" applyNumberFormat="1" applyFont="1" applyAlignment="1">
      <alignment horizontal="center"/>
    </xf>
    <xf numFmtId="181" fontId="0" fillId="0" borderId="0" xfId="0" applyNumberFormat="1"/>
    <xf numFmtId="182" fontId="0" fillId="0" borderId="0" xfId="0" applyNumberFormat="1"/>
    <xf numFmtId="173" fontId="0" fillId="0" borderId="0" xfId="0" applyNumberFormat="1"/>
    <xf numFmtId="170" fontId="0" fillId="0" borderId="0" xfId="2" applyNumberFormat="1" applyFont="1"/>
    <xf numFmtId="38" fontId="0" fillId="0" borderId="0" xfId="0" applyNumberFormat="1"/>
    <xf numFmtId="0" fontId="4" fillId="0" borderId="0" xfId="0" applyFont="1" applyAlignment="1">
      <alignment vertical="center" wrapText="1"/>
    </xf>
    <xf numFmtId="174" fontId="0" fillId="0" borderId="0" xfId="0" applyNumberFormat="1"/>
    <xf numFmtId="183" fontId="8" fillId="0" borderId="0" xfId="0" applyNumberFormat="1" applyFont="1" applyFill="1" applyAlignment="1">
      <alignment horizontal="right"/>
    </xf>
    <xf numFmtId="184" fontId="0" fillId="0" borderId="0" xfId="0" applyNumberFormat="1"/>
    <xf numFmtId="164" fontId="4" fillId="0" borderId="0" xfId="0" applyNumberFormat="1" applyFont="1" applyAlignment="1">
      <alignment horizontal="left" indent="1"/>
    </xf>
    <xf numFmtId="173" fontId="4" fillId="0" borderId="0" xfId="0" applyNumberFormat="1" applyFont="1" applyAlignment="1">
      <alignment horizontal="left" indent="1"/>
    </xf>
    <xf numFmtId="184" fontId="4" fillId="0" borderId="0" xfId="0" applyNumberFormat="1" applyFont="1" applyAlignment="1">
      <alignment horizontal="left" indent="1"/>
    </xf>
    <xf numFmtId="173" fontId="0" fillId="0" borderId="0" xfId="0" applyNumberFormat="1" applyBorder="1"/>
    <xf numFmtId="184" fontId="0" fillId="0" borderId="0" xfId="0" applyNumberFormat="1" applyBorder="1"/>
    <xf numFmtId="10" fontId="8" fillId="0" borderId="0" xfId="3" applyNumberFormat="1" applyFont="1" applyFill="1" applyAlignment="1">
      <alignment horizontal="right"/>
    </xf>
    <xf numFmtId="166" fontId="8" fillId="0" borderId="0" xfId="2" applyNumberFormat="1" applyFont="1" applyFill="1" applyAlignment="1">
      <alignment horizontal="right"/>
    </xf>
    <xf numFmtId="10" fontId="0" fillId="0" borderId="0" xfId="3" applyNumberFormat="1" applyFont="1" applyBorder="1"/>
    <xf numFmtId="164" fontId="4" fillId="0" borderId="0" xfId="0" applyNumberFormat="1" applyFont="1" applyAlignment="1">
      <alignment horizontal="left"/>
    </xf>
    <xf numFmtId="168" fontId="0" fillId="0" borderId="0" xfId="3" applyNumberFormat="1" applyFont="1" applyBorder="1"/>
    <xf numFmtId="179" fontId="0" fillId="0" borderId="0" xfId="3" applyNumberFormat="1" applyFont="1" applyBorder="1"/>
    <xf numFmtId="185" fontId="8" fillId="0" borderId="0" xfId="3" applyNumberFormat="1" applyFont="1" applyFill="1" applyAlignment="1">
      <alignment horizontal="right"/>
    </xf>
    <xf numFmtId="168" fontId="8" fillId="0" borderId="0" xfId="3" applyNumberFormat="1" applyFont="1" applyFill="1" applyAlignment="1">
      <alignment horizontal="right"/>
    </xf>
    <xf numFmtId="179" fontId="8" fillId="0" borderId="0" xfId="3" applyNumberFormat="1" applyFont="1" applyFill="1" applyAlignment="1">
      <alignment horizontal="right"/>
    </xf>
    <xf numFmtId="10" fontId="4" fillId="0" borderId="0" xfId="3" applyNumberFormat="1" applyFont="1" applyAlignment="1">
      <alignment horizontal="right"/>
    </xf>
    <xf numFmtId="168" fontId="4" fillId="0" borderId="0" xfId="3" applyNumberFormat="1" applyFont="1" applyAlignment="1">
      <alignment horizontal="right"/>
    </xf>
    <xf numFmtId="179" fontId="8" fillId="0" borderId="0" xfId="3" applyNumberFormat="1" applyFont="1" applyFill="1" applyBorder="1" applyAlignment="1">
      <alignment horizontal="right"/>
    </xf>
    <xf numFmtId="0" fontId="6" fillId="0" borderId="0" xfId="0" applyFont="1" applyAlignment="1">
      <alignment horizontal="center"/>
    </xf>
    <xf numFmtId="0" fontId="6" fillId="0" borderId="0" xfId="50" applyFont="1" applyAlignment="1">
      <alignment horizontal="center"/>
    </xf>
    <xf numFmtId="0" fontId="6" fillId="2" borderId="3" xfId="0" applyFont="1" applyFill="1" applyBorder="1" applyAlignment="1">
      <alignment horizontal="center"/>
    </xf>
    <xf numFmtId="0" fontId="6" fillId="2" borderId="2" xfId="0" applyFont="1" applyFill="1" applyBorder="1" applyAlignment="1">
      <alignment horizontal="center"/>
    </xf>
    <xf numFmtId="0" fontId="6" fillId="2" borderId="4" xfId="0" applyFont="1" applyFill="1" applyBorder="1" applyAlignment="1">
      <alignment horizontal="center"/>
    </xf>
    <xf numFmtId="0" fontId="6" fillId="7" borderId="12" xfId="0" applyFont="1" applyFill="1" applyBorder="1" applyAlignment="1">
      <alignment horizontal="center"/>
    </xf>
    <xf numFmtId="0" fontId="6" fillId="7" borderId="13" xfId="0" applyFont="1" applyFill="1" applyBorder="1" applyAlignment="1">
      <alignment horizontal="center"/>
    </xf>
    <xf numFmtId="0" fontId="6" fillId="7" borderId="11" xfId="0" applyFont="1" applyFill="1" applyBorder="1" applyAlignment="1">
      <alignment horizontal="center"/>
    </xf>
    <xf numFmtId="0" fontId="6" fillId="7" borderId="2" xfId="0" applyFont="1" applyFill="1" applyBorder="1" applyAlignment="1">
      <alignment horizontal="center"/>
    </xf>
    <xf numFmtId="0" fontId="6" fillId="7" borderId="3" xfId="0" applyFont="1" applyFill="1" applyBorder="1" applyAlignment="1">
      <alignment horizontal="center"/>
    </xf>
    <xf numFmtId="0" fontId="6" fillId="7" borderId="4" xfId="0" applyFont="1" applyFill="1" applyBorder="1" applyAlignment="1">
      <alignment horizontal="center"/>
    </xf>
    <xf numFmtId="0" fontId="6" fillId="8" borderId="12" xfId="0" applyFont="1" applyFill="1" applyBorder="1" applyAlignment="1">
      <alignment horizontal="center"/>
    </xf>
    <xf numFmtId="0" fontId="6" fillId="8" borderId="13" xfId="0" applyFont="1" applyFill="1" applyBorder="1" applyAlignment="1">
      <alignment horizontal="center"/>
    </xf>
    <xf numFmtId="0" fontId="6" fillId="8" borderId="11" xfId="0" applyFont="1" applyFill="1" applyBorder="1" applyAlignment="1">
      <alignment horizontal="center"/>
    </xf>
    <xf numFmtId="10" fontId="6" fillId="11" borderId="12" xfId="0" applyNumberFormat="1" applyFont="1" applyFill="1" applyBorder="1" applyAlignment="1">
      <alignment horizontal="center"/>
    </xf>
    <xf numFmtId="10" fontId="6" fillId="11" borderId="13" xfId="0" applyNumberFormat="1" applyFont="1" applyFill="1" applyBorder="1" applyAlignment="1">
      <alignment horizontal="center"/>
    </xf>
    <xf numFmtId="10" fontId="6" fillId="11" borderId="11" xfId="0" applyNumberFormat="1" applyFont="1" applyFill="1" applyBorder="1" applyAlignment="1">
      <alignment horizontal="center"/>
    </xf>
    <xf numFmtId="10" fontId="6" fillId="22" borderId="12" xfId="0" applyNumberFormat="1" applyFont="1" applyFill="1" applyBorder="1" applyAlignment="1">
      <alignment horizontal="center"/>
    </xf>
    <xf numFmtId="10" fontId="6" fillId="22" borderId="13" xfId="0" applyNumberFormat="1" applyFont="1" applyFill="1" applyBorder="1" applyAlignment="1">
      <alignment horizontal="center"/>
    </xf>
    <xf numFmtId="10" fontId="6" fillId="22" borderId="11" xfId="0" applyNumberFormat="1" applyFont="1" applyFill="1" applyBorder="1" applyAlignment="1">
      <alignment horizontal="center"/>
    </xf>
    <xf numFmtId="0" fontId="8" fillId="23" borderId="12" xfId="0" applyFont="1" applyFill="1" applyBorder="1" applyAlignment="1">
      <alignment horizontal="center"/>
    </xf>
    <xf numFmtId="0" fontId="8" fillId="23" borderId="11" xfId="0" applyFont="1" applyFill="1" applyBorder="1" applyAlignment="1">
      <alignment horizontal="center"/>
    </xf>
    <xf numFmtId="0" fontId="6" fillId="23" borderId="12" xfId="0" applyFont="1" applyFill="1" applyBorder="1" applyAlignment="1">
      <alignment horizontal="center"/>
    </xf>
    <xf numFmtId="0" fontId="6" fillId="23" borderId="11" xfId="0" applyFont="1" applyFill="1" applyBorder="1" applyAlignment="1">
      <alignment horizontal="center"/>
    </xf>
    <xf numFmtId="0" fontId="54" fillId="9" borderId="12" xfId="50" quotePrefix="1" applyFont="1" applyFill="1" applyBorder="1" applyAlignment="1">
      <alignment horizontal="left" vertical="center"/>
    </xf>
    <xf numFmtId="0" fontId="54" fillId="9" borderId="13" xfId="50" quotePrefix="1" applyFont="1" applyFill="1" applyBorder="1" applyAlignment="1">
      <alignment horizontal="left" vertical="center"/>
    </xf>
    <xf numFmtId="0" fontId="54" fillId="9" borderId="11" xfId="50" quotePrefix="1" applyFont="1" applyFill="1" applyBorder="1" applyAlignment="1">
      <alignment horizontal="left" vertical="center"/>
    </xf>
    <xf numFmtId="0" fontId="52" fillId="0" borderId="28" xfId="50" applyFont="1" applyBorder="1" applyAlignment="1">
      <alignment horizontal="left" vertical="center" indent="1"/>
    </xf>
    <xf numFmtId="0" fontId="52" fillId="0" borderId="30" xfId="50" applyFont="1" applyBorder="1" applyAlignment="1">
      <alignment horizontal="left" vertical="center" indent="1"/>
    </xf>
    <xf numFmtId="0" fontId="52" fillId="0" borderId="26" xfId="50" applyFont="1" applyBorder="1" applyAlignment="1">
      <alignment horizontal="left" vertical="center" indent="1"/>
    </xf>
    <xf numFmtId="0" fontId="52" fillId="0" borderId="28" xfId="50" quotePrefix="1" applyFont="1" applyBorder="1" applyAlignment="1">
      <alignment horizontal="left" vertical="center" wrapText="1" indent="1"/>
    </xf>
    <xf numFmtId="0" fontId="52" fillId="0" borderId="30" xfId="50" quotePrefix="1" applyFont="1" applyBorder="1" applyAlignment="1">
      <alignment horizontal="left" vertical="center" wrapText="1" indent="1"/>
    </xf>
    <xf numFmtId="0" fontId="52" fillId="0" borderId="26" xfId="50" quotePrefix="1" applyFont="1" applyBorder="1" applyAlignment="1">
      <alignment horizontal="left" vertical="center" wrapText="1" indent="1"/>
    </xf>
    <xf numFmtId="0" fontId="51" fillId="0" borderId="0" xfId="50" applyFont="1" applyAlignment="1">
      <alignment horizontal="center"/>
    </xf>
    <xf numFmtId="0" fontId="54" fillId="40" borderId="33" xfId="50" applyFont="1" applyFill="1" applyBorder="1" applyAlignment="1">
      <alignment horizontal="center" vertical="center"/>
    </xf>
    <xf numFmtId="0" fontId="54" fillId="40" borderId="13" xfId="50" applyFont="1" applyFill="1" applyBorder="1" applyAlignment="1">
      <alignment horizontal="center" vertical="center"/>
    </xf>
    <xf numFmtId="0" fontId="54" fillId="40" borderId="11" xfId="50" applyFont="1" applyFill="1" applyBorder="1" applyAlignment="1">
      <alignment horizontal="center" vertical="center"/>
    </xf>
    <xf numFmtId="0" fontId="54" fillId="9" borderId="12" xfId="50" applyFont="1" applyFill="1" applyBorder="1" applyAlignment="1">
      <alignment vertical="center"/>
    </xf>
    <xf numFmtId="0" fontId="54" fillId="9" borderId="13" xfId="50" applyFont="1" applyFill="1" applyBorder="1" applyAlignment="1">
      <alignment vertical="center"/>
    </xf>
    <xf numFmtId="0" fontId="54" fillId="9" borderId="11" xfId="50" applyFont="1" applyFill="1" applyBorder="1" applyAlignment="1">
      <alignment vertical="center"/>
    </xf>
    <xf numFmtId="0" fontId="52" fillId="0" borderId="28" xfId="50" applyFont="1" applyBorder="1" applyAlignment="1">
      <alignment horizontal="left" vertical="center" wrapText="1" indent="1"/>
    </xf>
    <xf numFmtId="0" fontId="52" fillId="0" borderId="30" xfId="50" applyFont="1" applyBorder="1" applyAlignment="1">
      <alignment horizontal="left" vertical="center" wrapText="1" indent="1"/>
    </xf>
    <xf numFmtId="0" fontId="52" fillId="0" borderId="26" xfId="50" applyFont="1" applyBorder="1" applyAlignment="1">
      <alignment horizontal="left" vertical="center" wrapText="1" indent="1"/>
    </xf>
    <xf numFmtId="0" fontId="6" fillId="19" borderId="12" xfId="0" applyFont="1" applyFill="1" applyBorder="1" applyAlignment="1">
      <alignment horizontal="center"/>
    </xf>
    <xf numFmtId="0" fontId="6" fillId="19" borderId="11" xfId="0" applyFont="1" applyFill="1" applyBorder="1" applyAlignment="1">
      <alignment horizontal="center"/>
    </xf>
    <xf numFmtId="0" fontId="0" fillId="0" borderId="14" xfId="0" applyBorder="1" applyAlignment="1">
      <alignment horizontal="center"/>
    </xf>
    <xf numFmtId="0" fontId="0" fillId="0" borderId="14" xfId="0" applyBorder="1" applyAlignment="1"/>
    <xf numFmtId="0" fontId="9" fillId="0" borderId="14" xfId="0" applyFont="1" applyBorder="1" applyAlignment="1">
      <alignment horizontal="center"/>
    </xf>
    <xf numFmtId="0" fontId="9" fillId="0" borderId="15" xfId="0" applyFont="1" applyBorder="1" applyAlignment="1">
      <alignment horizontal="center"/>
    </xf>
    <xf numFmtId="0" fontId="0" fillId="0" borderId="15" xfId="0" applyBorder="1" applyAlignment="1">
      <alignment horizontal="center"/>
    </xf>
    <xf numFmtId="0" fontId="6" fillId="0" borderId="14" xfId="65" applyFont="1" applyBorder="1" applyAlignment="1">
      <alignment horizontal="center"/>
    </xf>
    <xf numFmtId="0" fontId="6" fillId="0" borderId="14" xfId="50" applyFont="1" applyBorder="1" applyAlignment="1">
      <alignment horizontal="center"/>
    </xf>
    <xf numFmtId="0" fontId="17"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7" fillId="0" borderId="0" xfId="50" applyFont="1" applyAlignment="1">
      <alignment horizontal="center"/>
    </xf>
    <xf numFmtId="0" fontId="17" fillId="0" borderId="0" xfId="50" applyFont="1" applyAlignment="1">
      <alignment horizontal="center"/>
    </xf>
    <xf numFmtId="0" fontId="6" fillId="0" borderId="0" xfId="50" applyFont="1" applyAlignment="1">
      <alignment horizontal="center"/>
    </xf>
    <xf numFmtId="0" fontId="0" fillId="0" borderId="0" xfId="0" applyAlignment="1">
      <alignment vertical="top" wrapText="1"/>
    </xf>
    <xf numFmtId="0" fontId="0" fillId="0" borderId="0" xfId="0" applyAlignment="1">
      <alignment wrapText="1"/>
    </xf>
    <xf numFmtId="0" fontId="6" fillId="0" borderId="0" xfId="50" applyFont="1"/>
    <xf numFmtId="0" fontId="49" fillId="0" borderId="0" xfId="65" applyFont="1" applyAlignment="1">
      <alignment horizontal="center"/>
    </xf>
    <xf numFmtId="0" fontId="49" fillId="0" borderId="0" xfId="65" applyFont="1" applyFill="1" applyAlignment="1">
      <alignment horizontal="left"/>
    </xf>
    <xf numFmtId="0" fontId="49" fillId="0" borderId="0" xfId="50" applyFont="1" applyAlignment="1">
      <alignment horizontal="center"/>
    </xf>
    <xf numFmtId="0" fontId="49" fillId="0" borderId="0" xfId="50" applyFont="1" applyFill="1" applyAlignment="1">
      <alignment horizontal="left"/>
    </xf>
    <xf numFmtId="173" fontId="48" fillId="0" borderId="0" xfId="0" applyNumberFormat="1" applyFont="1" applyAlignment="1">
      <alignment horizontal="right"/>
    </xf>
    <xf numFmtId="0" fontId="23" fillId="0" borderId="0" xfId="0" applyFont="1"/>
    <xf numFmtId="0" fontId="6" fillId="0" borderId="0" xfId="45" applyFont="1"/>
    <xf numFmtId="0" fontId="6" fillId="0" borderId="0" xfId="0" applyFont="1" applyBorder="1"/>
  </cellXfs>
  <cellStyles count="119">
    <cellStyle name="Comma" xfId="2" builtinId="3"/>
    <cellStyle name="Comma 2" xfId="4"/>
    <cellStyle name="Comma 2 2" xfId="52"/>
    <cellStyle name="Comma 3" xfId="47"/>
    <cellStyle name="Comma 3 2" xfId="53"/>
    <cellStyle name="Comma 4" xfId="54"/>
    <cellStyle name="Comma 5" xfId="55"/>
    <cellStyle name="Comma 6" xfId="56"/>
    <cellStyle name="Comma 7" xfId="57"/>
    <cellStyle name="Comma 8" xfId="58"/>
    <cellStyle name="Currency" xfId="51" builtinId="4"/>
    <cellStyle name="Currency 2" xfId="59"/>
    <cellStyle name="Currency 3" xfId="60"/>
    <cellStyle name="Currency 4" xfId="61"/>
    <cellStyle name="Currency 5" xfId="62"/>
    <cellStyle name="Currency 6" xfId="63"/>
    <cellStyle name="Currency 7" xfId="64"/>
    <cellStyle name="Normal" xfId="0" builtinId="0"/>
    <cellStyle name="Normal 2" xfId="46"/>
    <cellStyle name="Normal 2 2" xfId="65"/>
    <cellStyle name="Normal 3" xfId="66"/>
    <cellStyle name="Normal 3 2" xfId="67"/>
    <cellStyle name="Normal 4" xfId="50"/>
    <cellStyle name="Normal 4 2" xfId="68"/>
    <cellStyle name="Normal 5" xfId="69"/>
    <cellStyle name="Normal 5 2" xfId="70"/>
    <cellStyle name="Normal 6" xfId="71"/>
    <cellStyle name="Normal 6 2" xfId="72"/>
    <cellStyle name="Normal 9" xfId="73"/>
    <cellStyle name="Normal 9 2" xfId="74"/>
    <cellStyle name="Normal_2007 BUDGET FORECAST (Aug 24)" xfId="5"/>
    <cellStyle name="Normal_2008 TYSP IRP Forecast Formula Rates Peak Forecast" xfId="45"/>
    <cellStyle name="Normal_Sheet1" xfId="6"/>
    <cellStyle name="Normal_Sheet1 2" xfId="49"/>
    <cellStyle name="Normal_Wholesale Forecast" xfId="118"/>
    <cellStyle name="Percent" xfId="3" builtinId="5"/>
    <cellStyle name="Percent 2" xfId="48"/>
    <cellStyle name="Percent 2 2" xfId="75"/>
    <cellStyle name="Percent 3" xfId="76"/>
    <cellStyle name="Percent 3 2" xfId="77"/>
    <cellStyle name="SAPBEXaggData" xfId="7"/>
    <cellStyle name="SAPBEXaggDataEmph" xfId="8"/>
    <cellStyle name="SAPBEXaggItem" xfId="9"/>
    <cellStyle name="SAPBEXaggItemX" xfId="10"/>
    <cellStyle name="SAPBEXchaText" xfId="11"/>
    <cellStyle name="SAPBEXexcBad7" xfId="12"/>
    <cellStyle name="SAPBEXexcBad7 2" xfId="78"/>
    <cellStyle name="SAPBEXexcBad8" xfId="13"/>
    <cellStyle name="SAPBEXexcBad8 2" xfId="79"/>
    <cellStyle name="SAPBEXexcBad9" xfId="14"/>
    <cellStyle name="SAPBEXexcBad9 2" xfId="80"/>
    <cellStyle name="SAPBEXexcCritical4" xfId="15"/>
    <cellStyle name="SAPBEXexcCritical4 2" xfId="81"/>
    <cellStyle name="SAPBEXexcCritical5" xfId="16"/>
    <cellStyle name="SAPBEXexcCritical5 2" xfId="82"/>
    <cellStyle name="SAPBEXexcCritical6" xfId="17"/>
    <cellStyle name="SAPBEXexcCritical6 2" xfId="83"/>
    <cellStyle name="SAPBEXexcGood1" xfId="18"/>
    <cellStyle name="SAPBEXexcGood1 2" xfId="84"/>
    <cellStyle name="SAPBEXexcGood2" xfId="19"/>
    <cellStyle name="SAPBEXexcGood2 2" xfId="85"/>
    <cellStyle name="SAPBEXexcGood3" xfId="20"/>
    <cellStyle name="SAPBEXexcGood3 2" xfId="86"/>
    <cellStyle name="SAPBEXfilterDrill" xfId="21"/>
    <cellStyle name="SAPBEXfilterDrill 2" xfId="87"/>
    <cellStyle name="SAPBEXfilterDrill_Feb 12 Revenue Trend (2)" xfId="88"/>
    <cellStyle name="SAPBEXfilterItem" xfId="22"/>
    <cellStyle name="SAPBEXfilterItem 2" xfId="89"/>
    <cellStyle name="SAPBEXfilterText" xfId="23"/>
    <cellStyle name="SAPBEXformats" xfId="24"/>
    <cellStyle name="SAPBEXformats 2" xfId="90"/>
    <cellStyle name="SAPBEXheaderItem" xfId="25"/>
    <cellStyle name="SAPBEXheaderItem 2" xfId="91"/>
    <cellStyle name="SAPBEXheaderItem 3" xfId="92"/>
    <cellStyle name="SAPBEXheaderItem 4" xfId="93"/>
    <cellStyle name="SAPBEXheaderItem 5" xfId="94"/>
    <cellStyle name="SAPBEXheaderItem 6" xfId="95"/>
    <cellStyle name="SAPBEXheaderItem 7" xfId="96"/>
    <cellStyle name="SAPBEXheaderItem 8" xfId="97"/>
    <cellStyle name="SAPBEXheaderText" xfId="26"/>
    <cellStyle name="SAPBEXheaderText 2" xfId="98"/>
    <cellStyle name="SAPBEXheaderText 3" xfId="99"/>
    <cellStyle name="SAPBEXheaderText 4" xfId="100"/>
    <cellStyle name="SAPBEXheaderText 5" xfId="101"/>
    <cellStyle name="SAPBEXheaderText 6" xfId="102"/>
    <cellStyle name="SAPBEXheaderText 7" xfId="103"/>
    <cellStyle name="SAPBEXheaderText 8" xfId="104"/>
    <cellStyle name="SAPBEXHLevel0" xfId="27"/>
    <cellStyle name="SAPBEXHLevel0X" xfId="28"/>
    <cellStyle name="SAPBEXHLevel1" xfId="29"/>
    <cellStyle name="SAPBEXHLevel1 2" xfId="105"/>
    <cellStyle name="SAPBEXHLevel1_Feb 12 Revenue Trend (2)" xfId="106"/>
    <cellStyle name="SAPBEXHLevel1X" xfId="30"/>
    <cellStyle name="SAPBEXHLevel2" xfId="31"/>
    <cellStyle name="SAPBEXHLevel2 2" xfId="107"/>
    <cellStyle name="SAPBEXHLevel2 3" xfId="108"/>
    <cellStyle name="SAPBEXHLevel2_Feb 12 Revenue Trend (2)" xfId="109"/>
    <cellStyle name="SAPBEXHLevel2X" xfId="32"/>
    <cellStyle name="SAPBEXHLevel3" xfId="33"/>
    <cellStyle name="SAPBEXHLevel3X" xfId="34"/>
    <cellStyle name="SAPBEXinputData" xfId="110"/>
    <cellStyle name="SAPBEXresData" xfId="35"/>
    <cellStyle name="SAPBEXresData 2" xfId="111"/>
    <cellStyle name="SAPBEXresDataEmph" xfId="36"/>
    <cellStyle name="SAPBEXresItem" xfId="37"/>
    <cellStyle name="SAPBEXresItem 2" xfId="112"/>
    <cellStyle name="SAPBEXresItemX" xfId="38"/>
    <cellStyle name="SAPBEXresItemX 2" xfId="113"/>
    <cellStyle name="SAPBEXstdData" xfId="39"/>
    <cellStyle name="SAPBEXstdData 2" xfId="114"/>
    <cellStyle name="SAPBEXstdData 3" xfId="115"/>
    <cellStyle name="SAPBEXstdData_Feb 12 Revenue Trend (2)" xfId="116"/>
    <cellStyle name="SAPBEXstdDataEmph" xfId="40"/>
    <cellStyle name="SAPBEXstdItem" xfId="41"/>
    <cellStyle name="SAPBEXstdItemX" xfId="42"/>
    <cellStyle name="SAPBEXtitle" xfId="43"/>
    <cellStyle name="SAPBEXundefined" xfId="44"/>
    <cellStyle name="SAPBEXundefined 2" xfId="117"/>
    <cellStyle name="Style 1" xfId="1"/>
  </cellStyles>
  <dxfs count="343">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indexed="10"/>
      </font>
    </dxf>
    <dxf>
      <font>
        <condense val="0"/>
        <extend val="0"/>
        <color indexed="10"/>
      </font>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lor auto="1"/>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2" formatCode="0.00"/>
    </dxf>
    <dxf>
      <numFmt numFmtId="164" formatCode="_(* #,##0_);_(* \(#,##0\);_(* &quot;-&quot;??_);_(@_)"/>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108</xdr:row>
      <xdr:rowOff>114300</xdr:rowOff>
    </xdr:from>
    <xdr:to>
      <xdr:col>5</xdr:col>
      <xdr:colOff>90488</xdr:colOff>
      <xdr:row>112</xdr:row>
      <xdr:rowOff>66675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19150" y="17602200"/>
          <a:ext cx="2390775" cy="6000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26</xdr:row>
      <xdr:rowOff>85725</xdr:rowOff>
    </xdr:from>
    <xdr:to>
      <xdr:col>15</xdr:col>
      <xdr:colOff>123825</xdr:colOff>
      <xdr:row>26</xdr:row>
      <xdr:rowOff>85725</xdr:rowOff>
    </xdr:to>
    <xdr:sp macro="" textlink="">
      <xdr:nvSpPr>
        <xdr:cNvPr id="2050" name="Line 2"/>
        <xdr:cNvSpPr>
          <a:spLocks noChangeShapeType="1"/>
        </xdr:cNvSpPr>
      </xdr:nvSpPr>
      <xdr:spPr bwMode="auto">
        <a:xfrm>
          <a:off x="10382250" y="3276600"/>
          <a:ext cx="0" cy="0"/>
        </a:xfrm>
        <a:prstGeom prst="line">
          <a:avLst/>
        </a:prstGeom>
        <a:noFill/>
        <a:ln w="9525">
          <a:solidFill>
            <a:srgbClr val="000000"/>
          </a:solidFill>
          <a:round/>
          <a:headEnd/>
          <a:tailEnd type="triangle" w="med" len="me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ccounting\FIN_RPT\FRM\02%20CLAUSWK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T\RATES\a1-Wally\BUDGET\2009\Corporate%20Instructions\2009FPL_Plan&amp;Bdgt_Assm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mmon\LEO\WKLY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s"/>
      <sheetName val="Base"/>
      <sheetName val="NI Variances"/>
      <sheetName val="Clause Link"/>
      <sheetName val="Brd Rpt Other"/>
      <sheetName val="Clause Budget"/>
      <sheetName val="SOEF"/>
      <sheetName val="ER_SOEF"/>
      <sheetName val="Module1"/>
      <sheetName val="Module2"/>
      <sheetName val="Module3"/>
    </sheetNames>
    <sheetDataSet>
      <sheetData sheetId="0"/>
      <sheetData sheetId="1"/>
      <sheetData sheetId="2"/>
      <sheetData sheetId="3"/>
      <sheetData sheetId="4"/>
      <sheetData sheetId="5"/>
      <sheetData sheetId="6" refreshError="1">
        <row r="14">
          <cell r="L14">
            <v>13349</v>
          </cell>
          <cell r="P14">
            <v>48097</v>
          </cell>
        </row>
        <row r="16">
          <cell r="L16">
            <v>13384</v>
          </cell>
          <cell r="P16">
            <v>41066</v>
          </cell>
        </row>
        <row r="17">
          <cell r="L17">
            <v>4834</v>
          </cell>
          <cell r="P17">
            <v>794</v>
          </cell>
        </row>
        <row r="21">
          <cell r="L21">
            <v>-37289</v>
          </cell>
          <cell r="P21">
            <v>-82721</v>
          </cell>
        </row>
        <row r="22">
          <cell r="L22">
            <v>23146</v>
          </cell>
          <cell r="P22">
            <v>66878</v>
          </cell>
        </row>
        <row r="23">
          <cell r="L23">
            <v>1148</v>
          </cell>
          <cell r="P23">
            <v>12267</v>
          </cell>
        </row>
        <row r="28">
          <cell r="L28">
            <v>589</v>
          </cell>
          <cell r="P28">
            <v>-1979</v>
          </cell>
        </row>
        <row r="29">
          <cell r="L29">
            <v>6871</v>
          </cell>
          <cell r="P29">
            <v>-7355</v>
          </cell>
        </row>
        <row r="32">
          <cell r="L32">
            <v>1800</v>
          </cell>
          <cell r="P32">
            <v>-5057</v>
          </cell>
        </row>
        <row r="33">
          <cell r="L33">
            <v>-473</v>
          </cell>
          <cell r="P33">
            <v>-3109</v>
          </cell>
        </row>
      </sheetData>
      <sheetData sheetId="7"/>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Assumptions"/>
      <sheetName val="Exhibit_2"/>
      <sheetName val="Exhibit_3"/>
      <sheetName val="Exhibit_4"/>
      <sheetName val="Exhibit_5"/>
      <sheetName val="Exhibit_6"/>
      <sheetName val="Exhibit_7"/>
      <sheetName val="Exhibit_8"/>
      <sheetName val="Exhibit_9"/>
      <sheetName val="Exhibit_10"/>
      <sheetName val="Exhibit 11"/>
    </sheetNames>
    <sheetDataSet>
      <sheetData sheetId="0" refreshError="1"/>
      <sheetData sheetId="1" refreshError="1"/>
      <sheetData sheetId="2" refreshError="1"/>
      <sheetData sheetId="3" refreshError="1"/>
      <sheetData sheetId="4" refreshError="1"/>
      <sheetData sheetId="5">
        <row r="5">
          <cell r="A5" t="str">
            <v>Expense Types</v>
          </cell>
          <cell r="B5" t="str">
            <v>Current Approved</v>
          </cell>
          <cell r="C5" t="str">
            <v>Estimated Actual</v>
          </cell>
          <cell r="D5" t="str">
            <v>Year-end Adjustment</v>
          </cell>
          <cell r="E5" t="str">
            <v>Year-end Adjusted</v>
          </cell>
          <cell r="F5" t="str">
            <v>Funds Request</v>
          </cell>
          <cell r="G5" t="str">
            <v>Percent Change</v>
          </cell>
          <cell r="H5" t="str">
            <v>Funds Request</v>
          </cell>
          <cell r="I5" t="str">
            <v>Percent Change</v>
          </cell>
          <cell r="J5" t="str">
            <v>Funds Request</v>
          </cell>
          <cell r="K5" t="str">
            <v>Percent Change</v>
          </cell>
          <cell r="L5" t="str">
            <v>Funds Request</v>
          </cell>
          <cell r="M5" t="str">
            <v>Percent Change</v>
          </cell>
          <cell r="N5" t="str">
            <v>Funds Request</v>
          </cell>
          <cell r="O5" t="str">
            <v>Percent Change</v>
          </cell>
        </row>
        <row r="6">
          <cell r="B6">
            <v>2003</v>
          </cell>
          <cell r="C6">
            <v>2003</v>
          </cell>
          <cell r="D6">
            <v>2003</v>
          </cell>
          <cell r="E6">
            <v>2003</v>
          </cell>
          <cell r="F6">
            <v>2004</v>
          </cell>
          <cell r="H6">
            <v>2005</v>
          </cell>
          <cell r="J6">
            <v>2006</v>
          </cell>
          <cell r="L6">
            <v>2007</v>
          </cell>
          <cell r="N6">
            <v>2008</v>
          </cell>
        </row>
        <row r="7">
          <cell r="A7" t="str">
            <v>1 - O&amp;M Base</v>
          </cell>
          <cell r="B7">
            <v>10000000</v>
          </cell>
          <cell r="C7">
            <v>10500000</v>
          </cell>
          <cell r="D7">
            <v>250000</v>
          </cell>
          <cell r="E7">
            <v>10750000</v>
          </cell>
          <cell r="F7">
            <v>10850000</v>
          </cell>
          <cell r="G7">
            <v>9.3023255813953487E-3</v>
          </cell>
          <cell r="H7">
            <v>11000000</v>
          </cell>
          <cell r="I7">
            <v>1.3824884792626729E-2</v>
          </cell>
          <cell r="J7">
            <v>11100000</v>
          </cell>
          <cell r="K7">
            <v>9.0909090909090905E-3</v>
          </cell>
          <cell r="L7">
            <v>0</v>
          </cell>
          <cell r="M7">
            <v>-1</v>
          </cell>
          <cell r="N7">
            <v>0</v>
          </cell>
          <cell r="O7" t="str">
            <v xml:space="preserve">     N/A</v>
          </cell>
        </row>
        <row r="8">
          <cell r="A8" t="str">
            <v>8 - O&amp;M ECRC</v>
          </cell>
          <cell r="B8">
            <v>100000</v>
          </cell>
          <cell r="C8">
            <v>100000</v>
          </cell>
          <cell r="E8">
            <v>100000</v>
          </cell>
          <cell r="F8">
            <v>125000</v>
          </cell>
          <cell r="G8">
            <v>0.25</v>
          </cell>
          <cell r="H8">
            <v>130000</v>
          </cell>
          <cell r="I8">
            <v>0.04</v>
          </cell>
          <cell r="J8">
            <v>131000</v>
          </cell>
          <cell r="K8">
            <v>7.6923076923076927E-3</v>
          </cell>
          <cell r="L8">
            <v>0</v>
          </cell>
          <cell r="M8">
            <v>-1</v>
          </cell>
          <cell r="N8">
            <v>0</v>
          </cell>
          <cell r="O8" t="str">
            <v xml:space="preserve">     N/A</v>
          </cell>
        </row>
        <row r="9">
          <cell r="B9">
            <v>10100000</v>
          </cell>
          <cell r="C9">
            <v>10600000</v>
          </cell>
          <cell r="D9">
            <v>250000</v>
          </cell>
          <cell r="E9">
            <v>10850000</v>
          </cell>
          <cell r="F9">
            <v>10975000</v>
          </cell>
          <cell r="G9">
            <v>1.1520737327188941E-2</v>
          </cell>
          <cell r="H9">
            <v>11130000</v>
          </cell>
          <cell r="I9">
            <v>1.4123006833712985E-2</v>
          </cell>
          <cell r="J9">
            <v>11231000</v>
          </cell>
          <cell r="K9">
            <v>9.0745732255166217E-3</v>
          </cell>
          <cell r="L9">
            <v>0</v>
          </cell>
          <cell r="M9">
            <v>-1</v>
          </cell>
          <cell r="N9">
            <v>0</v>
          </cell>
          <cell r="O9" t="str">
            <v xml:space="preserve">     N/A</v>
          </cell>
        </row>
        <row r="11">
          <cell r="A11" t="str">
            <v>2 - O&amp;M ECCR</v>
          </cell>
          <cell r="B11">
            <v>250000</v>
          </cell>
          <cell r="C11">
            <v>250000</v>
          </cell>
          <cell r="E11">
            <v>250000</v>
          </cell>
          <cell r="G11">
            <v>-1</v>
          </cell>
          <cell r="I11" t="str">
            <v xml:space="preserve">     N/A</v>
          </cell>
          <cell r="K11" t="str">
            <v xml:space="preserve">     N/A</v>
          </cell>
          <cell r="M11" t="str">
            <v xml:space="preserve">     N/A</v>
          </cell>
          <cell r="O11" t="str">
            <v xml:space="preserve">     N/A</v>
          </cell>
        </row>
        <row r="12">
          <cell r="A12" t="str">
            <v>4 - O&amp;M Fuel</v>
          </cell>
          <cell r="E12">
            <v>0</v>
          </cell>
          <cell r="G12" t="str">
            <v xml:space="preserve">     N/A</v>
          </cell>
          <cell r="I12" t="str">
            <v xml:space="preserve">     N/A</v>
          </cell>
          <cell r="K12" t="str">
            <v xml:space="preserve">     N/A</v>
          </cell>
          <cell r="M12" t="str">
            <v xml:space="preserve">     N/A</v>
          </cell>
          <cell r="O12" t="str">
            <v xml:space="preserve">     N/A</v>
          </cell>
        </row>
        <row r="13">
          <cell r="A13" t="str">
            <v>5 - O&amp;M Capacity</v>
          </cell>
          <cell r="E13">
            <v>0</v>
          </cell>
          <cell r="G13" t="str">
            <v xml:space="preserve">     N/A</v>
          </cell>
          <cell r="I13" t="str">
            <v xml:space="preserve">     N/A</v>
          </cell>
          <cell r="K13" t="str">
            <v xml:space="preserve">     N/A</v>
          </cell>
          <cell r="M13" t="str">
            <v xml:space="preserve">     N/A</v>
          </cell>
          <cell r="O13" t="str">
            <v xml:space="preserve">     N/A</v>
          </cell>
        </row>
        <row r="14">
          <cell r="A14" t="str">
            <v>9 - O&amp;M NR Fuel</v>
          </cell>
          <cell r="E14">
            <v>0</v>
          </cell>
          <cell r="G14" t="str">
            <v xml:space="preserve">     N/A</v>
          </cell>
          <cell r="I14" t="str">
            <v xml:space="preserve">     N/A</v>
          </cell>
          <cell r="K14" t="str">
            <v xml:space="preserve">     N/A</v>
          </cell>
          <cell r="M14" t="str">
            <v xml:space="preserve">     N/A</v>
          </cell>
          <cell r="O14" t="str">
            <v xml:space="preserve">     N/A</v>
          </cell>
        </row>
        <row r="15">
          <cell r="B15">
            <v>250000</v>
          </cell>
          <cell r="C15">
            <v>250000</v>
          </cell>
          <cell r="D15">
            <v>0</v>
          </cell>
          <cell r="E15">
            <v>250000</v>
          </cell>
          <cell r="F15">
            <v>0</v>
          </cell>
          <cell r="G15">
            <v>-1</v>
          </cell>
          <cell r="H15">
            <v>0</v>
          </cell>
          <cell r="I15" t="str">
            <v xml:space="preserve">     N/A</v>
          </cell>
          <cell r="J15">
            <v>0</v>
          </cell>
          <cell r="K15" t="str">
            <v xml:space="preserve">     N/A</v>
          </cell>
          <cell r="L15">
            <v>0</v>
          </cell>
          <cell r="M15" t="str">
            <v xml:space="preserve">     N/A</v>
          </cell>
          <cell r="N15">
            <v>0</v>
          </cell>
          <cell r="O15" t="str">
            <v xml:space="preserve">     N/A</v>
          </cell>
        </row>
        <row r="17">
          <cell r="A17" t="str">
            <v>6 - Below the Line Expenses</v>
          </cell>
          <cell r="B17">
            <v>500000</v>
          </cell>
          <cell r="C17">
            <v>500000</v>
          </cell>
          <cell r="E17">
            <v>500000</v>
          </cell>
          <cell r="G17">
            <v>-1</v>
          </cell>
          <cell r="I17" t="str">
            <v xml:space="preserve">     N/A</v>
          </cell>
          <cell r="K17" t="str">
            <v xml:space="preserve">     N/A</v>
          </cell>
          <cell r="M17" t="str">
            <v xml:space="preserve">     N/A</v>
          </cell>
          <cell r="O17" t="str">
            <v xml:space="preserve">     N/A</v>
          </cell>
        </row>
        <row r="18">
          <cell r="A18" t="str">
            <v>7 - Redirected Expenses (to other business units)</v>
          </cell>
          <cell r="E18">
            <v>0</v>
          </cell>
          <cell r="F18">
            <v>300000</v>
          </cell>
          <cell r="G18" t="str">
            <v xml:space="preserve">     N/A</v>
          </cell>
          <cell r="I18">
            <v>-1</v>
          </cell>
          <cell r="K18" t="str">
            <v xml:space="preserve">     N/A</v>
          </cell>
          <cell r="M18" t="str">
            <v xml:space="preserve">     N/A</v>
          </cell>
          <cell r="O18" t="str">
            <v xml:space="preserve">     N/A</v>
          </cell>
        </row>
        <row r="19">
          <cell r="A19" t="str">
            <v>G - Inter-company Expenses (to non-utility)</v>
          </cell>
          <cell r="E19">
            <v>0</v>
          </cell>
          <cell r="F19">
            <v>100000</v>
          </cell>
          <cell r="G19" t="str">
            <v xml:space="preserve">     N/A</v>
          </cell>
          <cell r="I19">
            <v>-1</v>
          </cell>
          <cell r="K19" t="str">
            <v xml:space="preserve">     N/A</v>
          </cell>
          <cell r="M19" t="str">
            <v xml:space="preserve">     N/A</v>
          </cell>
          <cell r="O19" t="str">
            <v xml:space="preserve">     N/A</v>
          </cell>
        </row>
        <row r="20">
          <cell r="A20" t="str">
            <v>S - Revenue Enhancement Expenses</v>
          </cell>
          <cell r="E20">
            <v>0</v>
          </cell>
          <cell r="G20" t="str">
            <v xml:space="preserve">     N/A</v>
          </cell>
          <cell r="I20" t="str">
            <v xml:space="preserve">     N/A</v>
          </cell>
          <cell r="K20" t="str">
            <v xml:space="preserve">     N/A</v>
          </cell>
          <cell r="M20" t="str">
            <v xml:space="preserve">     N/A</v>
          </cell>
          <cell r="O20" t="str">
            <v xml:space="preserve">     N/A</v>
          </cell>
        </row>
        <row r="21">
          <cell r="A21" t="str">
            <v>N - Other Expenses</v>
          </cell>
          <cell r="E21">
            <v>0</v>
          </cell>
          <cell r="G21" t="str">
            <v xml:space="preserve">     N/A</v>
          </cell>
          <cell r="I21" t="str">
            <v xml:space="preserve">     N/A</v>
          </cell>
          <cell r="K21" t="str">
            <v xml:space="preserve">     N/A</v>
          </cell>
          <cell r="M21" t="str">
            <v xml:space="preserve">     N/A</v>
          </cell>
          <cell r="O21" t="str">
            <v xml:space="preserve">     N/A</v>
          </cell>
        </row>
        <row r="22">
          <cell r="B22">
            <v>10850000</v>
          </cell>
          <cell r="C22">
            <v>11350000</v>
          </cell>
          <cell r="D22">
            <v>250000</v>
          </cell>
          <cell r="E22">
            <v>11600000</v>
          </cell>
          <cell r="F22">
            <v>11375000</v>
          </cell>
          <cell r="G22">
            <v>-1.9396551724137932E-2</v>
          </cell>
          <cell r="H22">
            <v>11130000</v>
          </cell>
          <cell r="I22">
            <v>-2.1538461538461538E-2</v>
          </cell>
          <cell r="J22">
            <v>11231000</v>
          </cell>
          <cell r="K22">
            <v>9.0745732255166217E-3</v>
          </cell>
          <cell r="L22">
            <v>0</v>
          </cell>
          <cell r="M22">
            <v>-1</v>
          </cell>
          <cell r="N22">
            <v>0</v>
          </cell>
          <cell r="O22" t="str">
            <v xml:space="preserve">     N/A</v>
          </cell>
        </row>
        <row r="24">
          <cell r="A24" t="str">
            <v>A - Capital Base</v>
          </cell>
          <cell r="E24">
            <v>0</v>
          </cell>
          <cell r="G24" t="str">
            <v xml:space="preserve">     N/A</v>
          </cell>
          <cell r="I24" t="str">
            <v xml:space="preserve">     N/A</v>
          </cell>
          <cell r="K24" t="str">
            <v xml:space="preserve">     N/A</v>
          </cell>
          <cell r="M24" t="str">
            <v xml:space="preserve">     N/A</v>
          </cell>
          <cell r="O24" t="str">
            <v xml:space="preserve">     N/A</v>
          </cell>
        </row>
        <row r="25">
          <cell r="A25" t="str">
            <v>B - Capital ECCR</v>
          </cell>
          <cell r="E25">
            <v>0</v>
          </cell>
          <cell r="G25" t="str">
            <v xml:space="preserve">     N/A</v>
          </cell>
          <cell r="I25" t="str">
            <v xml:space="preserve">     N/A</v>
          </cell>
          <cell r="K25" t="str">
            <v xml:space="preserve">     N/A</v>
          </cell>
          <cell r="M25" t="str">
            <v xml:space="preserve">     N/A</v>
          </cell>
          <cell r="O25" t="str">
            <v xml:space="preserve">     N/A</v>
          </cell>
        </row>
        <row r="26">
          <cell r="A26" t="str">
            <v>F - Capital Non-Regulated</v>
          </cell>
          <cell r="E26">
            <v>0</v>
          </cell>
          <cell r="G26" t="str">
            <v xml:space="preserve">     N/A</v>
          </cell>
          <cell r="I26" t="str">
            <v xml:space="preserve">     N/A</v>
          </cell>
          <cell r="K26" t="str">
            <v xml:space="preserve">     N/A</v>
          </cell>
          <cell r="M26" t="str">
            <v xml:space="preserve">     N/A</v>
          </cell>
          <cell r="O26" t="str">
            <v xml:space="preserve">     N/A</v>
          </cell>
        </row>
        <row r="27">
          <cell r="A27" t="str">
            <v>H - Capital ECRC</v>
          </cell>
          <cell r="E27">
            <v>0</v>
          </cell>
          <cell r="G27" t="str">
            <v xml:space="preserve">     N/A</v>
          </cell>
          <cell r="I27" t="str">
            <v xml:space="preserve">     N/A</v>
          </cell>
          <cell r="K27" t="str">
            <v xml:space="preserve">     N/A</v>
          </cell>
          <cell r="M27" t="str">
            <v xml:space="preserve">     N/A</v>
          </cell>
          <cell r="O27" t="str">
            <v xml:space="preserve">     N/A</v>
          </cell>
        </row>
        <row r="28">
          <cell r="A28" t="str">
            <v>V - Revenue Enhancement Capital</v>
          </cell>
          <cell r="E28">
            <v>0</v>
          </cell>
          <cell r="G28" t="str">
            <v xml:space="preserve">     N/A</v>
          </cell>
          <cell r="I28" t="str">
            <v xml:space="preserve">     N/A</v>
          </cell>
          <cell r="K28" t="str">
            <v xml:space="preserve">     N/A</v>
          </cell>
          <cell r="M28" t="str">
            <v xml:space="preserve">     N/A</v>
          </cell>
          <cell r="O28" t="str">
            <v xml:space="preserve">     N/A</v>
          </cell>
        </row>
        <row r="29">
          <cell r="B29">
            <v>0</v>
          </cell>
          <cell r="C29">
            <v>0</v>
          </cell>
          <cell r="D29">
            <v>0</v>
          </cell>
          <cell r="E29">
            <v>0</v>
          </cell>
          <cell r="F29">
            <v>0</v>
          </cell>
          <cell r="G29" t="str">
            <v xml:space="preserve">     N/A</v>
          </cell>
          <cell r="H29">
            <v>0</v>
          </cell>
          <cell r="I29" t="str">
            <v xml:space="preserve">     N/A</v>
          </cell>
          <cell r="J29">
            <v>0</v>
          </cell>
          <cell r="K29" t="str">
            <v xml:space="preserve">     N/A</v>
          </cell>
          <cell r="L29">
            <v>0</v>
          </cell>
          <cell r="M29" t="str">
            <v xml:space="preserve">     N/A</v>
          </cell>
          <cell r="N29">
            <v>0</v>
          </cell>
          <cell r="O29" t="str">
            <v xml:space="preserve">     N/A</v>
          </cell>
        </row>
        <row r="31">
          <cell r="A31" t="str">
            <v>R - Revenue Enhancement Revenue</v>
          </cell>
          <cell r="E31">
            <v>0</v>
          </cell>
          <cell r="G31" t="str">
            <v xml:space="preserve">     N/A</v>
          </cell>
          <cell r="I31" t="str">
            <v xml:space="preserve">     N/A</v>
          </cell>
          <cell r="K31" t="str">
            <v xml:space="preserve">     N/A</v>
          </cell>
          <cell r="M31" t="str">
            <v xml:space="preserve">     N/A</v>
          </cell>
          <cell r="O31" t="str">
            <v xml:space="preserve">     N/A</v>
          </cell>
        </row>
        <row r="32">
          <cell r="A32" t="str">
            <v>Memo: Affiliate Fee</v>
          </cell>
          <cell r="E32">
            <v>0</v>
          </cell>
          <cell r="G32" t="str">
            <v xml:space="preserve">     N/A</v>
          </cell>
          <cell r="I32" t="str">
            <v xml:space="preserve">     N/A</v>
          </cell>
          <cell r="K32" t="str">
            <v xml:space="preserve">     N/A</v>
          </cell>
          <cell r="M32" t="str">
            <v xml:space="preserve">     N/A</v>
          </cell>
          <cell r="O32" t="str">
            <v xml:space="preserve">     N/A</v>
          </cell>
        </row>
        <row r="33">
          <cell r="A33" t="str">
            <v>Memo: Gross Payroll Dollars</v>
          </cell>
          <cell r="E33">
            <v>0</v>
          </cell>
          <cell r="G33" t="str">
            <v xml:space="preserve">     N/A</v>
          </cell>
          <cell r="I33" t="str">
            <v xml:space="preserve">     N/A</v>
          </cell>
          <cell r="K33" t="str">
            <v xml:space="preserve">     N/A</v>
          </cell>
          <cell r="M33" t="str">
            <v xml:space="preserve">     N/A</v>
          </cell>
          <cell r="O33" t="str">
            <v xml:space="preserve">     N/A</v>
          </cell>
        </row>
        <row r="35">
          <cell r="A35" t="str">
            <v>Workforce</v>
          </cell>
        </row>
        <row r="36">
          <cell r="A36" t="str">
            <v>FEX - FPL Exempt Employees</v>
          </cell>
          <cell r="B36">
            <v>150</v>
          </cell>
          <cell r="C36">
            <v>150</v>
          </cell>
          <cell r="D36">
            <v>0</v>
          </cell>
          <cell r="E36">
            <v>150</v>
          </cell>
          <cell r="F36">
            <v>152</v>
          </cell>
          <cell r="G36">
            <v>1.3333333333333334E-2</v>
          </cell>
          <cell r="H36">
            <v>155</v>
          </cell>
          <cell r="I36">
            <v>1.9736842105263157E-2</v>
          </cell>
          <cell r="J36">
            <v>160</v>
          </cell>
          <cell r="K36">
            <v>3.2258064516129031E-2</v>
          </cell>
          <cell r="M36">
            <v>-1</v>
          </cell>
          <cell r="O36" t="str">
            <v xml:space="preserve">     N/A</v>
          </cell>
        </row>
        <row r="37">
          <cell r="A37" t="str">
            <v>FEP - FPL Exempt Part-Time Employees (.5 each)</v>
          </cell>
          <cell r="B37">
            <v>3</v>
          </cell>
          <cell r="C37">
            <v>3</v>
          </cell>
          <cell r="D37">
            <v>0</v>
          </cell>
          <cell r="E37">
            <v>3</v>
          </cell>
          <cell r="F37">
            <v>3</v>
          </cell>
          <cell r="G37">
            <v>0</v>
          </cell>
          <cell r="H37">
            <v>3</v>
          </cell>
          <cell r="I37">
            <v>0</v>
          </cell>
          <cell r="J37">
            <v>4</v>
          </cell>
          <cell r="K37">
            <v>0.33333333333333331</v>
          </cell>
          <cell r="M37">
            <v>-1</v>
          </cell>
          <cell r="O37" t="str">
            <v xml:space="preserve">     N/A</v>
          </cell>
        </row>
        <row r="38">
          <cell r="A38" t="str">
            <v>FNX - FPL Non-Exempt Employees</v>
          </cell>
          <cell r="E38">
            <v>0</v>
          </cell>
          <cell r="G38" t="str">
            <v xml:space="preserve">     N/A</v>
          </cell>
          <cell r="I38" t="str">
            <v xml:space="preserve">     N/A</v>
          </cell>
          <cell r="K38" t="str">
            <v xml:space="preserve">     N/A</v>
          </cell>
          <cell r="M38" t="str">
            <v xml:space="preserve">     N/A</v>
          </cell>
          <cell r="O38" t="str">
            <v xml:space="preserve">     N/A</v>
          </cell>
        </row>
        <row r="39">
          <cell r="A39" t="str">
            <v>FPT - FPL Non-Exempt Part-Time Employees (.5 each)</v>
          </cell>
          <cell r="E39">
            <v>0</v>
          </cell>
          <cell r="G39" t="str">
            <v xml:space="preserve">     N/A</v>
          </cell>
          <cell r="I39" t="str">
            <v xml:space="preserve">     N/A</v>
          </cell>
          <cell r="K39" t="str">
            <v xml:space="preserve">     N/A</v>
          </cell>
          <cell r="M39" t="str">
            <v xml:space="preserve">     N/A</v>
          </cell>
          <cell r="O39" t="str">
            <v xml:space="preserve">     N/A</v>
          </cell>
        </row>
        <row r="40">
          <cell r="A40" t="str">
            <v>FBV - FPL Bargaining Unit Employees</v>
          </cell>
          <cell r="E40">
            <v>0</v>
          </cell>
          <cell r="G40" t="str">
            <v xml:space="preserve">     N/A</v>
          </cell>
          <cell r="I40" t="str">
            <v xml:space="preserve">     N/A</v>
          </cell>
          <cell r="K40" t="str">
            <v xml:space="preserve">     N/A</v>
          </cell>
          <cell r="M40" t="str">
            <v xml:space="preserve">     N/A</v>
          </cell>
          <cell r="O40" t="str">
            <v xml:space="preserve">     N/A</v>
          </cell>
        </row>
        <row r="41">
          <cell r="B41">
            <v>153</v>
          </cell>
          <cell r="C41">
            <v>153</v>
          </cell>
          <cell r="D41">
            <v>0</v>
          </cell>
          <cell r="E41">
            <v>153</v>
          </cell>
          <cell r="F41">
            <v>155</v>
          </cell>
          <cell r="G41">
            <v>1.3071895424836602E-2</v>
          </cell>
          <cell r="H41">
            <v>158</v>
          </cell>
          <cell r="I41">
            <v>1.935483870967742E-2</v>
          </cell>
          <cell r="J41">
            <v>164</v>
          </cell>
          <cell r="K41">
            <v>3.7974683544303799E-2</v>
          </cell>
          <cell r="L41">
            <v>0</v>
          </cell>
          <cell r="M41">
            <v>-1</v>
          </cell>
          <cell r="N41">
            <v>0</v>
          </cell>
          <cell r="O41" t="str">
            <v xml:space="preserve">     N/A</v>
          </cell>
        </row>
        <row r="43">
          <cell r="A43" t="str">
            <v>FTTE - Full-Time Temporary Employees</v>
          </cell>
          <cell r="E43">
            <v>0</v>
          </cell>
          <cell r="G43" t="str">
            <v xml:space="preserve">     N/A</v>
          </cell>
          <cell r="I43" t="str">
            <v xml:space="preserve">     N/A</v>
          </cell>
          <cell r="K43" t="str">
            <v xml:space="preserve">     N/A</v>
          </cell>
          <cell r="M43" t="str">
            <v xml:space="preserve">     N/A</v>
          </cell>
          <cell r="O43" t="str">
            <v xml:space="preserve">     N/A</v>
          </cell>
        </row>
        <row r="44">
          <cell r="A44" t="str">
            <v>FOT - FPL Overtime Equivalent Employees</v>
          </cell>
          <cell r="E44">
            <v>0</v>
          </cell>
          <cell r="G44" t="str">
            <v xml:space="preserve">     N/A</v>
          </cell>
          <cell r="I44" t="str">
            <v xml:space="preserve">     N/A</v>
          </cell>
          <cell r="K44" t="str">
            <v xml:space="preserve">     N/A</v>
          </cell>
          <cell r="M44" t="str">
            <v xml:space="preserve">     N/A</v>
          </cell>
          <cell r="O44" t="str">
            <v xml:space="preserve">     N/A</v>
          </cell>
        </row>
        <row r="45">
          <cell r="A45" t="str">
            <v>TMP - Temporary Employees</v>
          </cell>
          <cell r="E45">
            <v>0</v>
          </cell>
          <cell r="G45" t="str">
            <v xml:space="preserve">     N/A</v>
          </cell>
          <cell r="I45" t="str">
            <v xml:space="preserve">     N/A</v>
          </cell>
          <cell r="K45" t="str">
            <v xml:space="preserve">     N/A</v>
          </cell>
          <cell r="M45" t="str">
            <v xml:space="preserve">     N/A</v>
          </cell>
          <cell r="O45" t="str">
            <v xml:space="preserve">     N/A</v>
          </cell>
        </row>
        <row r="46">
          <cell r="A46" t="str">
            <v>CON - Contractor Employees</v>
          </cell>
          <cell r="E46">
            <v>0</v>
          </cell>
          <cell r="G46" t="str">
            <v xml:space="preserve">     N/A</v>
          </cell>
          <cell r="I46" t="str">
            <v xml:space="preserve">     N/A</v>
          </cell>
          <cell r="K46" t="str">
            <v xml:space="preserve">     N/A</v>
          </cell>
          <cell r="M46" t="str">
            <v xml:space="preserve">     N/A</v>
          </cell>
          <cell r="O46" t="str">
            <v xml:space="preserve">     N/A</v>
          </cell>
        </row>
        <row r="47">
          <cell r="B47">
            <v>0</v>
          </cell>
          <cell r="C47">
            <v>0</v>
          </cell>
          <cell r="D47">
            <v>0</v>
          </cell>
          <cell r="E47">
            <v>0</v>
          </cell>
          <cell r="F47">
            <v>0</v>
          </cell>
          <cell r="G47" t="str">
            <v xml:space="preserve">     N/A</v>
          </cell>
          <cell r="H47">
            <v>0</v>
          </cell>
          <cell r="I47" t="str">
            <v xml:space="preserve">     N/A</v>
          </cell>
          <cell r="J47">
            <v>0</v>
          </cell>
          <cell r="K47" t="str">
            <v xml:space="preserve">     N/A</v>
          </cell>
          <cell r="L47">
            <v>0</v>
          </cell>
          <cell r="M47" t="str">
            <v xml:space="preserve">     N/A</v>
          </cell>
          <cell r="N47">
            <v>0</v>
          </cell>
          <cell r="O47" t="str">
            <v xml:space="preserve">     N/A</v>
          </cell>
        </row>
        <row r="49">
          <cell r="B49">
            <v>153</v>
          </cell>
          <cell r="C49">
            <v>153</v>
          </cell>
          <cell r="D49">
            <v>0</v>
          </cell>
          <cell r="E49">
            <v>153</v>
          </cell>
          <cell r="F49">
            <v>155</v>
          </cell>
          <cell r="G49">
            <v>1.3071895424836602E-2</v>
          </cell>
          <cell r="H49">
            <v>158</v>
          </cell>
          <cell r="I49">
            <v>1.935483870967742E-2</v>
          </cell>
          <cell r="J49">
            <v>164</v>
          </cell>
          <cell r="K49">
            <v>3.7974683544303799E-2</v>
          </cell>
          <cell r="L49">
            <v>0</v>
          </cell>
          <cell r="M49">
            <v>-1</v>
          </cell>
          <cell r="N49">
            <v>0</v>
          </cell>
          <cell r="O49" t="str">
            <v xml:space="preserve">     N/A</v>
          </cell>
        </row>
      </sheetData>
      <sheetData sheetId="6">
        <row r="6">
          <cell r="B6" t="str">
            <v>Current Approved</v>
          </cell>
          <cell r="C6" t="str">
            <v>Variance</v>
          </cell>
          <cell r="D6" t="str">
            <v>Year-end Estimate</v>
          </cell>
          <cell r="E6" t="str">
            <v>Year-end Adjustments</v>
          </cell>
          <cell r="F6" t="str">
            <v>Year-end Adjusted</v>
          </cell>
          <cell r="G6" t="str">
            <v>Between Year Change</v>
          </cell>
          <cell r="H6" t="str">
            <v>Funds Request</v>
          </cell>
          <cell r="I6" t="str">
            <v>Between Year Change</v>
          </cell>
          <cell r="J6" t="str">
            <v>Funds Request</v>
          </cell>
          <cell r="K6" t="str">
            <v>Between Year Change</v>
          </cell>
          <cell r="L6" t="str">
            <v>Funds Request</v>
          </cell>
        </row>
        <row r="7">
          <cell r="B7">
            <v>2003</v>
          </cell>
          <cell r="C7">
            <v>2003</v>
          </cell>
          <cell r="D7">
            <v>2003</v>
          </cell>
          <cell r="E7">
            <v>2003</v>
          </cell>
          <cell r="F7">
            <v>2003</v>
          </cell>
          <cell r="H7">
            <v>2004</v>
          </cell>
          <cell r="J7">
            <v>2005</v>
          </cell>
          <cell r="L7">
            <v>2006</v>
          </cell>
        </row>
        <row r="8">
          <cell r="B8">
            <v>100</v>
          </cell>
          <cell r="C8">
            <v>-10</v>
          </cell>
          <cell r="D8">
            <v>90</v>
          </cell>
          <cell r="E8">
            <v>5</v>
          </cell>
          <cell r="F8">
            <v>95</v>
          </cell>
          <cell r="G8">
            <v>5</v>
          </cell>
          <cell r="H8">
            <v>100</v>
          </cell>
          <cell r="I8">
            <v>5</v>
          </cell>
          <cell r="J8">
            <v>105</v>
          </cell>
          <cell r="K8">
            <v>2</v>
          </cell>
          <cell r="L8">
            <v>107</v>
          </cell>
        </row>
        <row r="9">
          <cell r="C9">
            <v>0</v>
          </cell>
          <cell r="F9">
            <v>0</v>
          </cell>
          <cell r="G9">
            <v>0</v>
          </cell>
          <cell r="I9">
            <v>0</v>
          </cell>
          <cell r="K9">
            <v>0</v>
          </cell>
        </row>
        <row r="10">
          <cell r="C10">
            <v>0</v>
          </cell>
          <cell r="F10">
            <v>0</v>
          </cell>
          <cell r="G10">
            <v>0</v>
          </cell>
          <cell r="I10">
            <v>0</v>
          </cell>
          <cell r="K10">
            <v>0</v>
          </cell>
        </row>
        <row r="11">
          <cell r="C11">
            <v>0</v>
          </cell>
          <cell r="F11">
            <v>0</v>
          </cell>
          <cell r="G11">
            <v>0</v>
          </cell>
          <cell r="I11">
            <v>0</v>
          </cell>
          <cell r="K11">
            <v>0</v>
          </cell>
        </row>
        <row r="12">
          <cell r="C12">
            <v>0</v>
          </cell>
          <cell r="F12">
            <v>0</v>
          </cell>
          <cell r="G12">
            <v>0</v>
          </cell>
          <cell r="I12">
            <v>0</v>
          </cell>
          <cell r="K12">
            <v>0</v>
          </cell>
        </row>
        <row r="13">
          <cell r="C13">
            <v>0</v>
          </cell>
          <cell r="F13">
            <v>0</v>
          </cell>
          <cell r="G13">
            <v>0</v>
          </cell>
          <cell r="I13">
            <v>0</v>
          </cell>
          <cell r="K13">
            <v>0</v>
          </cell>
        </row>
        <row r="14">
          <cell r="C14">
            <v>0</v>
          </cell>
          <cell r="F14">
            <v>0</v>
          </cell>
          <cell r="G14">
            <v>0</v>
          </cell>
          <cell r="I14">
            <v>0</v>
          </cell>
          <cell r="K14">
            <v>0</v>
          </cell>
        </row>
        <row r="15">
          <cell r="C15">
            <v>0</v>
          </cell>
          <cell r="F15">
            <v>0</v>
          </cell>
          <cell r="G15">
            <v>0</v>
          </cell>
          <cell r="I15">
            <v>0</v>
          </cell>
          <cell r="K15">
            <v>0</v>
          </cell>
        </row>
        <row r="16">
          <cell r="C16">
            <v>0</v>
          </cell>
          <cell r="F16">
            <v>0</v>
          </cell>
          <cell r="G16">
            <v>0</v>
          </cell>
          <cell r="I16">
            <v>0</v>
          </cell>
          <cell r="K16">
            <v>0</v>
          </cell>
        </row>
        <row r="17">
          <cell r="C17">
            <v>0</v>
          </cell>
          <cell r="F17">
            <v>0</v>
          </cell>
          <cell r="G17">
            <v>0</v>
          </cell>
          <cell r="I17">
            <v>0</v>
          </cell>
          <cell r="K17">
            <v>0</v>
          </cell>
        </row>
        <row r="18">
          <cell r="C18">
            <v>0</v>
          </cell>
          <cell r="F18">
            <v>0</v>
          </cell>
          <cell r="G18">
            <v>0</v>
          </cell>
          <cell r="I18">
            <v>0</v>
          </cell>
          <cell r="K18">
            <v>0</v>
          </cell>
        </row>
        <row r="19">
          <cell r="C19">
            <v>0</v>
          </cell>
          <cell r="F19">
            <v>0</v>
          </cell>
          <cell r="G19">
            <v>0</v>
          </cell>
          <cell r="I19">
            <v>0</v>
          </cell>
          <cell r="K19">
            <v>0</v>
          </cell>
        </row>
        <row r="20">
          <cell r="C20">
            <v>0</v>
          </cell>
          <cell r="F20">
            <v>0</v>
          </cell>
          <cell r="G20">
            <v>0</v>
          </cell>
          <cell r="I20">
            <v>0</v>
          </cell>
          <cell r="K20">
            <v>0</v>
          </cell>
        </row>
        <row r="21">
          <cell r="C21">
            <v>0</v>
          </cell>
          <cell r="F21">
            <v>0</v>
          </cell>
          <cell r="G21">
            <v>0</v>
          </cell>
          <cell r="I21">
            <v>0</v>
          </cell>
          <cell r="K21">
            <v>0</v>
          </cell>
        </row>
        <row r="22">
          <cell r="C22">
            <v>0</v>
          </cell>
          <cell r="F22">
            <v>0</v>
          </cell>
          <cell r="G22">
            <v>0</v>
          </cell>
          <cell r="I22">
            <v>0</v>
          </cell>
          <cell r="K22">
            <v>0</v>
          </cell>
        </row>
        <row r="23">
          <cell r="C23">
            <v>0</v>
          </cell>
          <cell r="F23">
            <v>0</v>
          </cell>
          <cell r="G23">
            <v>0</v>
          </cell>
          <cell r="I23">
            <v>0</v>
          </cell>
          <cell r="K23">
            <v>0</v>
          </cell>
        </row>
        <row r="24">
          <cell r="C24">
            <v>0</v>
          </cell>
          <cell r="F24">
            <v>0</v>
          </cell>
          <cell r="G24">
            <v>0</v>
          </cell>
          <cell r="I24">
            <v>0</v>
          </cell>
          <cell r="K24">
            <v>0</v>
          </cell>
        </row>
        <row r="25">
          <cell r="C25">
            <v>0</v>
          </cell>
          <cell r="F25">
            <v>0</v>
          </cell>
          <cell r="G25">
            <v>0</v>
          </cell>
          <cell r="I25">
            <v>0</v>
          </cell>
          <cell r="K25">
            <v>0</v>
          </cell>
        </row>
        <row r="26">
          <cell r="C26">
            <v>0</v>
          </cell>
          <cell r="F26">
            <v>0</v>
          </cell>
          <cell r="G26">
            <v>0</v>
          </cell>
          <cell r="I26">
            <v>0</v>
          </cell>
          <cell r="K26">
            <v>0</v>
          </cell>
        </row>
        <row r="27">
          <cell r="C27">
            <v>0</v>
          </cell>
          <cell r="F27">
            <v>0</v>
          </cell>
          <cell r="G27">
            <v>0</v>
          </cell>
          <cell r="I27">
            <v>0</v>
          </cell>
          <cell r="K27">
            <v>0</v>
          </cell>
        </row>
        <row r="28">
          <cell r="C28">
            <v>0</v>
          </cell>
          <cell r="F28">
            <v>0</v>
          </cell>
          <cell r="G28">
            <v>0</v>
          </cell>
          <cell r="I28">
            <v>0</v>
          </cell>
          <cell r="K28">
            <v>0</v>
          </cell>
        </row>
        <row r="29">
          <cell r="C29">
            <v>0</v>
          </cell>
          <cell r="F29">
            <v>0</v>
          </cell>
          <cell r="G29">
            <v>0</v>
          </cell>
          <cell r="I29">
            <v>0</v>
          </cell>
          <cell r="K29">
            <v>0</v>
          </cell>
        </row>
        <row r="30">
          <cell r="C30">
            <v>0</v>
          </cell>
          <cell r="F30">
            <v>0</v>
          </cell>
          <cell r="G30">
            <v>0</v>
          </cell>
          <cell r="I30">
            <v>0</v>
          </cell>
          <cell r="K30">
            <v>0</v>
          </cell>
        </row>
        <row r="31">
          <cell r="C31">
            <v>0</v>
          </cell>
          <cell r="F31">
            <v>0</v>
          </cell>
          <cell r="G31">
            <v>0</v>
          </cell>
          <cell r="I31">
            <v>0</v>
          </cell>
          <cell r="K31">
            <v>0</v>
          </cell>
        </row>
        <row r="32">
          <cell r="C32">
            <v>0</v>
          </cell>
          <cell r="F32">
            <v>0</v>
          </cell>
          <cell r="G32">
            <v>0</v>
          </cell>
          <cell r="I32">
            <v>0</v>
          </cell>
          <cell r="K32">
            <v>0</v>
          </cell>
        </row>
        <row r="33">
          <cell r="C33">
            <v>0</v>
          </cell>
          <cell r="F33">
            <v>0</v>
          </cell>
          <cell r="G33">
            <v>0</v>
          </cell>
          <cell r="I33">
            <v>0</v>
          </cell>
          <cell r="K33">
            <v>0</v>
          </cell>
        </row>
        <row r="34">
          <cell r="C34">
            <v>0</v>
          </cell>
          <cell r="F34">
            <v>0</v>
          </cell>
          <cell r="G34">
            <v>0</v>
          </cell>
          <cell r="I34">
            <v>0</v>
          </cell>
          <cell r="K34">
            <v>0</v>
          </cell>
        </row>
        <row r="35">
          <cell r="C35">
            <v>0</v>
          </cell>
          <cell r="F35">
            <v>0</v>
          </cell>
          <cell r="G35">
            <v>0</v>
          </cell>
          <cell r="I35">
            <v>0</v>
          </cell>
          <cell r="K35">
            <v>0</v>
          </cell>
        </row>
        <row r="36">
          <cell r="C36">
            <v>0</v>
          </cell>
          <cell r="F36">
            <v>0</v>
          </cell>
          <cell r="G36">
            <v>0</v>
          </cell>
          <cell r="I36">
            <v>0</v>
          </cell>
          <cell r="K36">
            <v>0</v>
          </cell>
        </row>
        <row r="37">
          <cell r="C37">
            <v>0</v>
          </cell>
          <cell r="F37">
            <v>0</v>
          </cell>
          <cell r="G37">
            <v>0</v>
          </cell>
          <cell r="I37">
            <v>0</v>
          </cell>
          <cell r="K37">
            <v>0</v>
          </cell>
        </row>
        <row r="38">
          <cell r="C38">
            <v>0</v>
          </cell>
          <cell r="F38">
            <v>0</v>
          </cell>
          <cell r="G38">
            <v>0</v>
          </cell>
          <cell r="I38">
            <v>0</v>
          </cell>
          <cell r="K38">
            <v>0</v>
          </cell>
        </row>
        <row r="39">
          <cell r="C39">
            <v>0</v>
          </cell>
          <cell r="F39">
            <v>0</v>
          </cell>
          <cell r="G39">
            <v>0</v>
          </cell>
          <cell r="I39">
            <v>0</v>
          </cell>
          <cell r="K39">
            <v>0</v>
          </cell>
        </row>
        <row r="40">
          <cell r="B40">
            <v>100</v>
          </cell>
          <cell r="C40">
            <v>-10</v>
          </cell>
          <cell r="D40">
            <v>90</v>
          </cell>
          <cell r="E40">
            <v>5</v>
          </cell>
          <cell r="F40">
            <v>95</v>
          </cell>
          <cell r="G40">
            <v>5</v>
          </cell>
          <cell r="H40">
            <v>100</v>
          </cell>
          <cell r="I40">
            <v>5</v>
          </cell>
          <cell r="J40">
            <v>105</v>
          </cell>
          <cell r="K40">
            <v>2</v>
          </cell>
          <cell r="L40">
            <v>107</v>
          </cell>
        </row>
      </sheetData>
      <sheetData sheetId="7" refreshError="1"/>
      <sheetData sheetId="8" refreshError="1"/>
      <sheetData sheetId="9">
        <row r="2">
          <cell r="A2" t="str">
            <v>Business Unit:</v>
          </cell>
        </row>
        <row r="3">
          <cell r="A3" t="str">
            <v>Prepared by:</v>
          </cell>
        </row>
        <row r="4">
          <cell r="A4" t="str">
            <v>Financial Data in Thousands</v>
          </cell>
        </row>
        <row r="8">
          <cell r="B8">
            <v>250</v>
          </cell>
        </row>
        <row r="9">
          <cell r="B9">
            <v>125</v>
          </cell>
        </row>
        <row r="25">
          <cell r="C25">
            <v>20</v>
          </cell>
        </row>
      </sheetData>
      <sheetData sheetId="10">
        <row r="5">
          <cell r="C5" t="str">
            <v>Current Approved</v>
          </cell>
          <cell r="D5" t="str">
            <v>Variance</v>
          </cell>
          <cell r="E5" t="str">
            <v>Year-end Estimate</v>
          </cell>
          <cell r="F5" t="str">
            <v>Between Year Change</v>
          </cell>
          <cell r="G5" t="str">
            <v>Funds Request</v>
          </cell>
          <cell r="H5" t="str">
            <v>Between Year Change</v>
          </cell>
          <cell r="I5" t="str">
            <v>Funds Request</v>
          </cell>
          <cell r="J5" t="str">
            <v>Between Year Change</v>
          </cell>
          <cell r="K5" t="str">
            <v>Funds Request</v>
          </cell>
          <cell r="L5" t="str">
            <v>Between Year Change</v>
          </cell>
          <cell r="M5" t="str">
            <v>Funds Request</v>
          </cell>
          <cell r="N5" t="str">
            <v>Between Year Change</v>
          </cell>
          <cell r="O5" t="str">
            <v>Funds Request</v>
          </cell>
        </row>
        <row r="6">
          <cell r="C6">
            <v>2003</v>
          </cell>
          <cell r="D6">
            <v>2003</v>
          </cell>
          <cell r="E6">
            <v>2003</v>
          </cell>
          <cell r="G6">
            <v>2004</v>
          </cell>
          <cell r="I6">
            <v>2005</v>
          </cell>
          <cell r="K6">
            <v>2006</v>
          </cell>
          <cell r="M6">
            <v>2007</v>
          </cell>
          <cell r="O6">
            <v>2008</v>
          </cell>
        </row>
        <row r="7">
          <cell r="C7">
            <v>100</v>
          </cell>
          <cell r="D7">
            <v>-10</v>
          </cell>
          <cell r="E7">
            <v>90</v>
          </cell>
          <cell r="F7">
            <v>40</v>
          </cell>
          <cell r="G7">
            <v>130</v>
          </cell>
          <cell r="H7">
            <v>-20</v>
          </cell>
          <cell r="I7">
            <v>110</v>
          </cell>
          <cell r="J7">
            <v>75</v>
          </cell>
          <cell r="K7">
            <v>185</v>
          </cell>
          <cell r="L7">
            <v>-60</v>
          </cell>
          <cell r="M7">
            <v>125</v>
          </cell>
          <cell r="N7">
            <v>-125</v>
          </cell>
          <cell r="O7">
            <v>0</v>
          </cell>
        </row>
        <row r="8">
          <cell r="D8">
            <v>0</v>
          </cell>
          <cell r="F8">
            <v>0</v>
          </cell>
          <cell r="H8">
            <v>0</v>
          </cell>
          <cell r="J8">
            <v>0</v>
          </cell>
          <cell r="L8">
            <v>0</v>
          </cell>
          <cell r="N8">
            <v>0</v>
          </cell>
        </row>
        <row r="9">
          <cell r="D9">
            <v>0</v>
          </cell>
          <cell r="F9">
            <v>0</v>
          </cell>
          <cell r="H9">
            <v>0</v>
          </cell>
          <cell r="J9">
            <v>0</v>
          </cell>
          <cell r="L9">
            <v>0</v>
          </cell>
          <cell r="N9">
            <v>0</v>
          </cell>
        </row>
        <row r="10">
          <cell r="D10">
            <v>0</v>
          </cell>
          <cell r="F10">
            <v>0</v>
          </cell>
          <cell r="H10">
            <v>0</v>
          </cell>
          <cell r="J10">
            <v>0</v>
          </cell>
          <cell r="L10">
            <v>0</v>
          </cell>
          <cell r="N10">
            <v>0</v>
          </cell>
        </row>
        <row r="11">
          <cell r="D11">
            <v>0</v>
          </cell>
          <cell r="F11">
            <v>0</v>
          </cell>
          <cell r="H11">
            <v>0</v>
          </cell>
          <cell r="J11">
            <v>0</v>
          </cell>
          <cell r="L11">
            <v>0</v>
          </cell>
          <cell r="N11">
            <v>0</v>
          </cell>
        </row>
        <row r="12">
          <cell r="D12">
            <v>0</v>
          </cell>
          <cell r="F12">
            <v>0</v>
          </cell>
          <cell r="H12">
            <v>0</v>
          </cell>
          <cell r="J12">
            <v>0</v>
          </cell>
          <cell r="L12">
            <v>0</v>
          </cell>
          <cell r="N12">
            <v>0</v>
          </cell>
        </row>
        <row r="13">
          <cell r="D13">
            <v>0</v>
          </cell>
          <cell r="F13">
            <v>0</v>
          </cell>
          <cell r="H13">
            <v>0</v>
          </cell>
          <cell r="J13">
            <v>0</v>
          </cell>
          <cell r="L13">
            <v>0</v>
          </cell>
          <cell r="N13">
            <v>0</v>
          </cell>
        </row>
        <row r="14">
          <cell r="D14">
            <v>0</v>
          </cell>
          <cell r="F14">
            <v>0</v>
          </cell>
          <cell r="H14">
            <v>0</v>
          </cell>
          <cell r="J14">
            <v>0</v>
          </cell>
          <cell r="L14">
            <v>0</v>
          </cell>
          <cell r="N14">
            <v>0</v>
          </cell>
        </row>
        <row r="15">
          <cell r="D15">
            <v>0</v>
          </cell>
          <cell r="F15">
            <v>0</v>
          </cell>
          <cell r="H15">
            <v>0</v>
          </cell>
          <cell r="J15">
            <v>0</v>
          </cell>
          <cell r="L15">
            <v>0</v>
          </cell>
          <cell r="N15">
            <v>0</v>
          </cell>
        </row>
        <row r="16">
          <cell r="D16">
            <v>0</v>
          </cell>
          <cell r="F16">
            <v>0</v>
          </cell>
          <cell r="H16">
            <v>0</v>
          </cell>
          <cell r="J16">
            <v>0</v>
          </cell>
          <cell r="L16">
            <v>0</v>
          </cell>
          <cell r="N16">
            <v>0</v>
          </cell>
        </row>
        <row r="17">
          <cell r="D17">
            <v>0</v>
          </cell>
          <cell r="F17">
            <v>0</v>
          </cell>
          <cell r="H17">
            <v>0</v>
          </cell>
          <cell r="J17">
            <v>0</v>
          </cell>
          <cell r="L17">
            <v>0</v>
          </cell>
          <cell r="N17">
            <v>0</v>
          </cell>
        </row>
        <row r="18">
          <cell r="D18">
            <v>0</v>
          </cell>
          <cell r="F18">
            <v>0</v>
          </cell>
          <cell r="H18">
            <v>0</v>
          </cell>
          <cell r="J18">
            <v>0</v>
          </cell>
          <cell r="L18">
            <v>0</v>
          </cell>
          <cell r="N18">
            <v>0</v>
          </cell>
        </row>
        <row r="19">
          <cell r="D19">
            <v>0</v>
          </cell>
          <cell r="F19">
            <v>0</v>
          </cell>
          <cell r="H19">
            <v>0</v>
          </cell>
          <cell r="J19">
            <v>0</v>
          </cell>
          <cell r="L19">
            <v>0</v>
          </cell>
          <cell r="N19">
            <v>0</v>
          </cell>
        </row>
        <row r="20">
          <cell r="D20">
            <v>0</v>
          </cell>
          <cell r="F20">
            <v>0</v>
          </cell>
          <cell r="H20">
            <v>0</v>
          </cell>
          <cell r="J20">
            <v>0</v>
          </cell>
          <cell r="L20">
            <v>0</v>
          </cell>
          <cell r="N20">
            <v>0</v>
          </cell>
        </row>
        <row r="21">
          <cell r="D21">
            <v>0</v>
          </cell>
          <cell r="F21">
            <v>0</v>
          </cell>
          <cell r="H21">
            <v>0</v>
          </cell>
          <cell r="J21">
            <v>0</v>
          </cell>
          <cell r="L21">
            <v>0</v>
          </cell>
          <cell r="N21">
            <v>0</v>
          </cell>
        </row>
        <row r="22">
          <cell r="D22">
            <v>0</v>
          </cell>
          <cell r="F22">
            <v>0</v>
          </cell>
          <cell r="H22">
            <v>0</v>
          </cell>
          <cell r="J22">
            <v>0</v>
          </cell>
          <cell r="L22">
            <v>0</v>
          </cell>
          <cell r="N22">
            <v>0</v>
          </cell>
        </row>
        <row r="23">
          <cell r="D23">
            <v>0</v>
          </cell>
          <cell r="F23">
            <v>0</v>
          </cell>
          <cell r="H23">
            <v>0</v>
          </cell>
          <cell r="J23">
            <v>0</v>
          </cell>
          <cell r="L23">
            <v>0</v>
          </cell>
          <cell r="N23">
            <v>0</v>
          </cell>
        </row>
        <row r="24">
          <cell r="D24">
            <v>0</v>
          </cell>
          <cell r="F24">
            <v>0</v>
          </cell>
          <cell r="H24">
            <v>0</v>
          </cell>
          <cell r="J24">
            <v>0</v>
          </cell>
          <cell r="L24">
            <v>0</v>
          </cell>
          <cell r="N24">
            <v>0</v>
          </cell>
        </row>
        <row r="25">
          <cell r="D25">
            <v>0</v>
          </cell>
          <cell r="F25">
            <v>0</v>
          </cell>
          <cell r="H25">
            <v>0</v>
          </cell>
          <cell r="J25">
            <v>0</v>
          </cell>
          <cell r="L25">
            <v>0</v>
          </cell>
          <cell r="N25">
            <v>0</v>
          </cell>
        </row>
        <row r="26">
          <cell r="D26">
            <v>0</v>
          </cell>
          <cell r="F26">
            <v>0</v>
          </cell>
          <cell r="H26">
            <v>0</v>
          </cell>
          <cell r="J26">
            <v>0</v>
          </cell>
          <cell r="L26">
            <v>0</v>
          </cell>
          <cell r="N26">
            <v>0</v>
          </cell>
        </row>
        <row r="27">
          <cell r="D27">
            <v>0</v>
          </cell>
          <cell r="F27">
            <v>0</v>
          </cell>
          <cell r="H27">
            <v>0</v>
          </cell>
          <cell r="J27">
            <v>0</v>
          </cell>
          <cell r="L27">
            <v>0</v>
          </cell>
          <cell r="N27">
            <v>0</v>
          </cell>
        </row>
        <row r="28">
          <cell r="D28">
            <v>0</v>
          </cell>
          <cell r="F28">
            <v>0</v>
          </cell>
          <cell r="H28">
            <v>0</v>
          </cell>
          <cell r="J28">
            <v>0</v>
          </cell>
          <cell r="L28">
            <v>0</v>
          </cell>
          <cell r="N28">
            <v>0</v>
          </cell>
        </row>
        <row r="29">
          <cell r="D29">
            <v>0</v>
          </cell>
          <cell r="F29">
            <v>0</v>
          </cell>
          <cell r="H29">
            <v>0</v>
          </cell>
          <cell r="J29">
            <v>0</v>
          </cell>
          <cell r="L29">
            <v>0</v>
          </cell>
          <cell r="N29">
            <v>0</v>
          </cell>
        </row>
        <row r="30">
          <cell r="D30">
            <v>0</v>
          </cell>
          <cell r="F30">
            <v>0</v>
          </cell>
          <cell r="H30">
            <v>0</v>
          </cell>
          <cell r="J30">
            <v>0</v>
          </cell>
          <cell r="L30">
            <v>0</v>
          </cell>
          <cell r="N30">
            <v>0</v>
          </cell>
        </row>
        <row r="31">
          <cell r="D31">
            <v>0</v>
          </cell>
          <cell r="F31">
            <v>0</v>
          </cell>
          <cell r="H31">
            <v>0</v>
          </cell>
          <cell r="J31">
            <v>0</v>
          </cell>
          <cell r="L31">
            <v>0</v>
          </cell>
          <cell r="N31">
            <v>0</v>
          </cell>
        </row>
        <row r="32">
          <cell r="D32">
            <v>0</v>
          </cell>
          <cell r="F32">
            <v>0</v>
          </cell>
          <cell r="H32">
            <v>0</v>
          </cell>
          <cell r="J32">
            <v>0</v>
          </cell>
          <cell r="L32">
            <v>0</v>
          </cell>
          <cell r="N32">
            <v>0</v>
          </cell>
        </row>
        <row r="33">
          <cell r="D33">
            <v>0</v>
          </cell>
          <cell r="F33">
            <v>0</v>
          </cell>
          <cell r="H33">
            <v>0</v>
          </cell>
          <cell r="J33">
            <v>0</v>
          </cell>
          <cell r="L33">
            <v>0</v>
          </cell>
          <cell r="N33">
            <v>0</v>
          </cell>
        </row>
        <row r="34">
          <cell r="D34">
            <v>0</v>
          </cell>
          <cell r="F34">
            <v>0</v>
          </cell>
          <cell r="H34">
            <v>0</v>
          </cell>
          <cell r="J34">
            <v>0</v>
          </cell>
          <cell r="L34">
            <v>0</v>
          </cell>
          <cell r="N34">
            <v>0</v>
          </cell>
        </row>
        <row r="35">
          <cell r="D35">
            <v>0</v>
          </cell>
          <cell r="F35">
            <v>0</v>
          </cell>
          <cell r="H35">
            <v>0</v>
          </cell>
          <cell r="J35">
            <v>0</v>
          </cell>
          <cell r="L35">
            <v>0</v>
          </cell>
          <cell r="N35">
            <v>0</v>
          </cell>
        </row>
        <row r="36">
          <cell r="D36">
            <v>0</v>
          </cell>
          <cell r="F36">
            <v>0</v>
          </cell>
          <cell r="H36">
            <v>0</v>
          </cell>
          <cell r="J36">
            <v>0</v>
          </cell>
          <cell r="L36">
            <v>0</v>
          </cell>
          <cell r="N36">
            <v>0</v>
          </cell>
        </row>
        <row r="37">
          <cell r="D37">
            <v>0</v>
          </cell>
          <cell r="F37">
            <v>0</v>
          </cell>
          <cell r="H37">
            <v>0</v>
          </cell>
          <cell r="J37">
            <v>0</v>
          </cell>
          <cell r="L37">
            <v>0</v>
          </cell>
          <cell r="N37">
            <v>0</v>
          </cell>
        </row>
        <row r="38">
          <cell r="D38">
            <v>0</v>
          </cell>
          <cell r="F38">
            <v>0</v>
          </cell>
          <cell r="H38">
            <v>0</v>
          </cell>
          <cell r="J38">
            <v>0</v>
          </cell>
          <cell r="L38">
            <v>0</v>
          </cell>
          <cell r="N38">
            <v>0</v>
          </cell>
        </row>
        <row r="39">
          <cell r="C39">
            <v>100</v>
          </cell>
          <cell r="D39">
            <v>-10</v>
          </cell>
          <cell r="E39">
            <v>90</v>
          </cell>
          <cell r="F39">
            <v>40</v>
          </cell>
          <cell r="G39">
            <v>130</v>
          </cell>
          <cell r="H39">
            <v>-20</v>
          </cell>
          <cell r="I39">
            <v>110</v>
          </cell>
          <cell r="J39">
            <v>75</v>
          </cell>
          <cell r="K39">
            <v>185</v>
          </cell>
          <cell r="L39">
            <v>-60</v>
          </cell>
          <cell r="M39">
            <v>125</v>
          </cell>
          <cell r="N39">
            <v>-125</v>
          </cell>
          <cell r="O39">
            <v>0</v>
          </cell>
        </row>
      </sheetData>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Hourly (On Hour Load)"/>
      <sheetName val="Weekly Log (OHL)"/>
      <sheetName val="2000 Weekly"/>
      <sheetName val="Weekly NEL Report"/>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Z147"/>
  <sheetViews>
    <sheetView tabSelected="1" topLeftCell="B1" zoomScale="75" zoomScaleNormal="75" workbookViewId="0">
      <selection activeCell="B1" sqref="B1"/>
    </sheetView>
  </sheetViews>
  <sheetFormatPr defaultRowHeight="13.2"/>
  <cols>
    <col min="1" max="1" width="16.33203125" hidden="1" customWidth="1"/>
    <col min="2" max="2" width="16.33203125" customWidth="1"/>
    <col min="3" max="3" width="15.5546875" customWidth="1"/>
    <col min="4" max="4" width="13.6640625" bestFit="1" customWidth="1"/>
    <col min="5" max="9" width="14" bestFit="1" customWidth="1"/>
    <col min="10" max="11" width="14.44140625" bestFit="1" customWidth="1"/>
    <col min="12" max="15" width="14" bestFit="1" customWidth="1"/>
    <col min="258" max="258" width="11.109375" customWidth="1"/>
    <col min="259" max="259" width="15.5546875" customWidth="1"/>
    <col min="260" max="260" width="12.6640625" bestFit="1" customWidth="1"/>
    <col min="261" max="263" width="13.109375" bestFit="1" customWidth="1"/>
    <col min="264" max="264" width="12.6640625" bestFit="1" customWidth="1"/>
    <col min="265" max="265" width="12.109375" bestFit="1" customWidth="1"/>
    <col min="266" max="267" width="13.109375" bestFit="1" customWidth="1"/>
    <col min="268" max="268" width="12.44140625" bestFit="1" customWidth="1"/>
    <col min="269" max="269" width="13.109375" bestFit="1" customWidth="1"/>
    <col min="270" max="270" width="12.109375" bestFit="1" customWidth="1"/>
    <col min="271" max="271" width="13" bestFit="1" customWidth="1"/>
    <col min="514" max="514" width="11.109375" customWidth="1"/>
    <col min="515" max="515" width="15.5546875" customWidth="1"/>
    <col min="516" max="516" width="12.6640625" bestFit="1" customWidth="1"/>
    <col min="517" max="519" width="13.109375" bestFit="1" customWidth="1"/>
    <col min="520" max="520" width="12.6640625" bestFit="1" customWidth="1"/>
    <col min="521" max="521" width="12.109375" bestFit="1" customWidth="1"/>
    <col min="522" max="523" width="13.109375" bestFit="1" customWidth="1"/>
    <col min="524" max="524" width="12.44140625" bestFit="1" customWidth="1"/>
    <col min="525" max="525" width="13.109375" bestFit="1" customWidth="1"/>
    <col min="526" max="526" width="12.109375" bestFit="1" customWidth="1"/>
    <col min="527" max="527" width="13" bestFit="1" customWidth="1"/>
    <col min="770" max="770" width="11.109375" customWidth="1"/>
    <col min="771" max="771" width="15.5546875" customWidth="1"/>
    <col min="772" max="772" width="12.6640625" bestFit="1" customWidth="1"/>
    <col min="773" max="775" width="13.109375" bestFit="1" customWidth="1"/>
    <col min="776" max="776" width="12.6640625" bestFit="1" customWidth="1"/>
    <col min="777" max="777" width="12.109375" bestFit="1" customWidth="1"/>
    <col min="778" max="779" width="13.109375" bestFit="1" customWidth="1"/>
    <col min="780" max="780" width="12.44140625" bestFit="1" customWidth="1"/>
    <col min="781" max="781" width="13.109375" bestFit="1" customWidth="1"/>
    <col min="782" max="782" width="12.109375" bestFit="1" customWidth="1"/>
    <col min="783" max="783" width="13" bestFit="1" customWidth="1"/>
    <col min="1026" max="1026" width="11.109375" customWidth="1"/>
    <col min="1027" max="1027" width="15.5546875" customWidth="1"/>
    <col min="1028" max="1028" width="12.6640625" bestFit="1" customWidth="1"/>
    <col min="1029" max="1031" width="13.109375" bestFit="1" customWidth="1"/>
    <col min="1032" max="1032" width="12.6640625" bestFit="1" customWidth="1"/>
    <col min="1033" max="1033" width="12.109375" bestFit="1" customWidth="1"/>
    <col min="1034" max="1035" width="13.109375" bestFit="1" customWidth="1"/>
    <col min="1036" max="1036" width="12.44140625" bestFit="1" customWidth="1"/>
    <col min="1037" max="1037" width="13.109375" bestFit="1" customWidth="1"/>
    <col min="1038" max="1038" width="12.109375" bestFit="1" customWidth="1"/>
    <col min="1039" max="1039" width="13" bestFit="1" customWidth="1"/>
    <col min="1282" max="1282" width="11.109375" customWidth="1"/>
    <col min="1283" max="1283" width="15.5546875" customWidth="1"/>
    <col min="1284" max="1284" width="12.6640625" bestFit="1" customWidth="1"/>
    <col min="1285" max="1287" width="13.109375" bestFit="1" customWidth="1"/>
    <col min="1288" max="1288" width="12.6640625" bestFit="1" customWidth="1"/>
    <col min="1289" max="1289" width="12.109375" bestFit="1" customWidth="1"/>
    <col min="1290" max="1291" width="13.109375" bestFit="1" customWidth="1"/>
    <col min="1292" max="1292" width="12.44140625" bestFit="1" customWidth="1"/>
    <col min="1293" max="1293" width="13.109375" bestFit="1" customWidth="1"/>
    <col min="1294" max="1294" width="12.109375" bestFit="1" customWidth="1"/>
    <col min="1295" max="1295" width="13" bestFit="1" customWidth="1"/>
    <col min="1538" max="1538" width="11.109375" customWidth="1"/>
    <col min="1539" max="1539" width="15.5546875" customWidth="1"/>
    <col min="1540" max="1540" width="12.6640625" bestFit="1" customWidth="1"/>
    <col min="1541" max="1543" width="13.109375" bestFit="1" customWidth="1"/>
    <col min="1544" max="1544" width="12.6640625" bestFit="1" customWidth="1"/>
    <col min="1545" max="1545" width="12.109375" bestFit="1" customWidth="1"/>
    <col min="1546" max="1547" width="13.109375" bestFit="1" customWidth="1"/>
    <col min="1548" max="1548" width="12.44140625" bestFit="1" customWidth="1"/>
    <col min="1549" max="1549" width="13.109375" bestFit="1" customWidth="1"/>
    <col min="1550" max="1550" width="12.109375" bestFit="1" customWidth="1"/>
    <col min="1551" max="1551" width="13" bestFit="1" customWidth="1"/>
    <col min="1794" max="1794" width="11.109375" customWidth="1"/>
    <col min="1795" max="1795" width="15.5546875" customWidth="1"/>
    <col min="1796" max="1796" width="12.6640625" bestFit="1" customWidth="1"/>
    <col min="1797" max="1799" width="13.109375" bestFit="1" customWidth="1"/>
    <col min="1800" max="1800" width="12.6640625" bestFit="1" customWidth="1"/>
    <col min="1801" max="1801" width="12.109375" bestFit="1" customWidth="1"/>
    <col min="1802" max="1803" width="13.109375" bestFit="1" customWidth="1"/>
    <col min="1804" max="1804" width="12.44140625" bestFit="1" customWidth="1"/>
    <col min="1805" max="1805" width="13.109375" bestFit="1" customWidth="1"/>
    <col min="1806" max="1806" width="12.109375" bestFit="1" customWidth="1"/>
    <col min="1807" max="1807" width="13" bestFit="1" customWidth="1"/>
    <col min="2050" max="2050" width="11.109375" customWidth="1"/>
    <col min="2051" max="2051" width="15.5546875" customWidth="1"/>
    <col min="2052" max="2052" width="12.6640625" bestFit="1" customWidth="1"/>
    <col min="2053" max="2055" width="13.109375" bestFit="1" customWidth="1"/>
    <col min="2056" max="2056" width="12.6640625" bestFit="1" customWidth="1"/>
    <col min="2057" max="2057" width="12.109375" bestFit="1" customWidth="1"/>
    <col min="2058" max="2059" width="13.109375" bestFit="1" customWidth="1"/>
    <col min="2060" max="2060" width="12.44140625" bestFit="1" customWidth="1"/>
    <col min="2061" max="2061" width="13.109375" bestFit="1" customWidth="1"/>
    <col min="2062" max="2062" width="12.109375" bestFit="1" customWidth="1"/>
    <col min="2063" max="2063" width="13" bestFit="1" customWidth="1"/>
    <col min="2306" max="2306" width="11.109375" customWidth="1"/>
    <col min="2307" max="2307" width="15.5546875" customWidth="1"/>
    <col min="2308" max="2308" width="12.6640625" bestFit="1" customWidth="1"/>
    <col min="2309" max="2311" width="13.109375" bestFit="1" customWidth="1"/>
    <col min="2312" max="2312" width="12.6640625" bestFit="1" customWidth="1"/>
    <col min="2313" max="2313" width="12.109375" bestFit="1" customWidth="1"/>
    <col min="2314" max="2315" width="13.109375" bestFit="1" customWidth="1"/>
    <col min="2316" max="2316" width="12.44140625" bestFit="1" customWidth="1"/>
    <col min="2317" max="2317" width="13.109375" bestFit="1" customWidth="1"/>
    <col min="2318" max="2318" width="12.109375" bestFit="1" customWidth="1"/>
    <col min="2319" max="2319" width="13" bestFit="1" customWidth="1"/>
    <col min="2562" max="2562" width="11.109375" customWidth="1"/>
    <col min="2563" max="2563" width="15.5546875" customWidth="1"/>
    <col min="2564" max="2564" width="12.6640625" bestFit="1" customWidth="1"/>
    <col min="2565" max="2567" width="13.109375" bestFit="1" customWidth="1"/>
    <col min="2568" max="2568" width="12.6640625" bestFit="1" customWidth="1"/>
    <col min="2569" max="2569" width="12.109375" bestFit="1" customWidth="1"/>
    <col min="2570" max="2571" width="13.109375" bestFit="1" customWidth="1"/>
    <col min="2572" max="2572" width="12.44140625" bestFit="1" customWidth="1"/>
    <col min="2573" max="2573" width="13.109375" bestFit="1" customWidth="1"/>
    <col min="2574" max="2574" width="12.109375" bestFit="1" customWidth="1"/>
    <col min="2575" max="2575" width="13" bestFit="1" customWidth="1"/>
    <col min="2818" max="2818" width="11.109375" customWidth="1"/>
    <col min="2819" max="2819" width="15.5546875" customWidth="1"/>
    <col min="2820" max="2820" width="12.6640625" bestFit="1" customWidth="1"/>
    <col min="2821" max="2823" width="13.109375" bestFit="1" customWidth="1"/>
    <col min="2824" max="2824" width="12.6640625" bestFit="1" customWidth="1"/>
    <col min="2825" max="2825" width="12.109375" bestFit="1" customWidth="1"/>
    <col min="2826" max="2827" width="13.109375" bestFit="1" customWidth="1"/>
    <col min="2828" max="2828" width="12.44140625" bestFit="1" customWidth="1"/>
    <col min="2829" max="2829" width="13.109375" bestFit="1" customWidth="1"/>
    <col min="2830" max="2830" width="12.109375" bestFit="1" customWidth="1"/>
    <col min="2831" max="2831" width="13" bestFit="1" customWidth="1"/>
    <col min="3074" max="3074" width="11.109375" customWidth="1"/>
    <col min="3075" max="3075" width="15.5546875" customWidth="1"/>
    <col min="3076" max="3076" width="12.6640625" bestFit="1" customWidth="1"/>
    <col min="3077" max="3079" width="13.109375" bestFit="1" customWidth="1"/>
    <col min="3080" max="3080" width="12.6640625" bestFit="1" customWidth="1"/>
    <col min="3081" max="3081" width="12.109375" bestFit="1" customWidth="1"/>
    <col min="3082" max="3083" width="13.109375" bestFit="1" customWidth="1"/>
    <col min="3084" max="3084" width="12.44140625" bestFit="1" customWidth="1"/>
    <col min="3085" max="3085" width="13.109375" bestFit="1" customWidth="1"/>
    <col min="3086" max="3086" width="12.109375" bestFit="1" customWidth="1"/>
    <col min="3087" max="3087" width="13" bestFit="1" customWidth="1"/>
    <col min="3330" max="3330" width="11.109375" customWidth="1"/>
    <col min="3331" max="3331" width="15.5546875" customWidth="1"/>
    <col min="3332" max="3332" width="12.6640625" bestFit="1" customWidth="1"/>
    <col min="3333" max="3335" width="13.109375" bestFit="1" customWidth="1"/>
    <col min="3336" max="3336" width="12.6640625" bestFit="1" customWidth="1"/>
    <col min="3337" max="3337" width="12.109375" bestFit="1" customWidth="1"/>
    <col min="3338" max="3339" width="13.109375" bestFit="1" customWidth="1"/>
    <col min="3340" max="3340" width="12.44140625" bestFit="1" customWidth="1"/>
    <col min="3341" max="3341" width="13.109375" bestFit="1" customWidth="1"/>
    <col min="3342" max="3342" width="12.109375" bestFit="1" customWidth="1"/>
    <col min="3343" max="3343" width="13" bestFit="1" customWidth="1"/>
    <col min="3586" max="3586" width="11.109375" customWidth="1"/>
    <col min="3587" max="3587" width="15.5546875" customWidth="1"/>
    <col min="3588" max="3588" width="12.6640625" bestFit="1" customWidth="1"/>
    <col min="3589" max="3591" width="13.109375" bestFit="1" customWidth="1"/>
    <col min="3592" max="3592" width="12.6640625" bestFit="1" customWidth="1"/>
    <col min="3593" max="3593" width="12.109375" bestFit="1" customWidth="1"/>
    <col min="3594" max="3595" width="13.109375" bestFit="1" customWidth="1"/>
    <col min="3596" max="3596" width="12.44140625" bestFit="1" customWidth="1"/>
    <col min="3597" max="3597" width="13.109375" bestFit="1" customWidth="1"/>
    <col min="3598" max="3598" width="12.109375" bestFit="1" customWidth="1"/>
    <col min="3599" max="3599" width="13" bestFit="1" customWidth="1"/>
    <col min="3842" max="3842" width="11.109375" customWidth="1"/>
    <col min="3843" max="3843" width="15.5546875" customWidth="1"/>
    <col min="3844" max="3844" width="12.6640625" bestFit="1" customWidth="1"/>
    <col min="3845" max="3847" width="13.109375" bestFit="1" customWidth="1"/>
    <col min="3848" max="3848" width="12.6640625" bestFit="1" customWidth="1"/>
    <col min="3849" max="3849" width="12.109375" bestFit="1" customWidth="1"/>
    <col min="3850" max="3851" width="13.109375" bestFit="1" customWidth="1"/>
    <col min="3852" max="3852" width="12.44140625" bestFit="1" customWidth="1"/>
    <col min="3853" max="3853" width="13.109375" bestFit="1" customWidth="1"/>
    <col min="3854" max="3854" width="12.109375" bestFit="1" customWidth="1"/>
    <col min="3855" max="3855" width="13" bestFit="1" customWidth="1"/>
    <col min="4098" max="4098" width="11.109375" customWidth="1"/>
    <col min="4099" max="4099" width="15.5546875" customWidth="1"/>
    <col min="4100" max="4100" width="12.6640625" bestFit="1" customWidth="1"/>
    <col min="4101" max="4103" width="13.109375" bestFit="1" customWidth="1"/>
    <col min="4104" max="4104" width="12.6640625" bestFit="1" customWidth="1"/>
    <col min="4105" max="4105" width="12.109375" bestFit="1" customWidth="1"/>
    <col min="4106" max="4107" width="13.109375" bestFit="1" customWidth="1"/>
    <col min="4108" max="4108" width="12.44140625" bestFit="1" customWidth="1"/>
    <col min="4109" max="4109" width="13.109375" bestFit="1" customWidth="1"/>
    <col min="4110" max="4110" width="12.109375" bestFit="1" customWidth="1"/>
    <col min="4111" max="4111" width="13" bestFit="1" customWidth="1"/>
    <col min="4354" max="4354" width="11.109375" customWidth="1"/>
    <col min="4355" max="4355" width="15.5546875" customWidth="1"/>
    <col min="4356" max="4356" width="12.6640625" bestFit="1" customWidth="1"/>
    <col min="4357" max="4359" width="13.109375" bestFit="1" customWidth="1"/>
    <col min="4360" max="4360" width="12.6640625" bestFit="1" customWidth="1"/>
    <col min="4361" max="4361" width="12.109375" bestFit="1" customWidth="1"/>
    <col min="4362" max="4363" width="13.109375" bestFit="1" customWidth="1"/>
    <col min="4364" max="4364" width="12.44140625" bestFit="1" customWidth="1"/>
    <col min="4365" max="4365" width="13.109375" bestFit="1" customWidth="1"/>
    <col min="4366" max="4366" width="12.109375" bestFit="1" customWidth="1"/>
    <col min="4367" max="4367" width="13" bestFit="1" customWidth="1"/>
    <col min="4610" max="4610" width="11.109375" customWidth="1"/>
    <col min="4611" max="4611" width="15.5546875" customWidth="1"/>
    <col min="4612" max="4612" width="12.6640625" bestFit="1" customWidth="1"/>
    <col min="4613" max="4615" width="13.109375" bestFit="1" customWidth="1"/>
    <col min="4616" max="4616" width="12.6640625" bestFit="1" customWidth="1"/>
    <col min="4617" max="4617" width="12.109375" bestFit="1" customWidth="1"/>
    <col min="4618" max="4619" width="13.109375" bestFit="1" customWidth="1"/>
    <col min="4620" max="4620" width="12.44140625" bestFit="1" customWidth="1"/>
    <col min="4621" max="4621" width="13.109375" bestFit="1" customWidth="1"/>
    <col min="4622" max="4622" width="12.109375" bestFit="1" customWidth="1"/>
    <col min="4623" max="4623" width="13" bestFit="1" customWidth="1"/>
    <col min="4866" max="4866" width="11.109375" customWidth="1"/>
    <col min="4867" max="4867" width="15.5546875" customWidth="1"/>
    <col min="4868" max="4868" width="12.6640625" bestFit="1" customWidth="1"/>
    <col min="4869" max="4871" width="13.109375" bestFit="1" customWidth="1"/>
    <col min="4872" max="4872" width="12.6640625" bestFit="1" customWidth="1"/>
    <col min="4873" max="4873" width="12.109375" bestFit="1" customWidth="1"/>
    <col min="4874" max="4875" width="13.109375" bestFit="1" customWidth="1"/>
    <col min="4876" max="4876" width="12.44140625" bestFit="1" customWidth="1"/>
    <col min="4877" max="4877" width="13.109375" bestFit="1" customWidth="1"/>
    <col min="4878" max="4878" width="12.109375" bestFit="1" customWidth="1"/>
    <col min="4879" max="4879" width="13" bestFit="1" customWidth="1"/>
    <col min="5122" max="5122" width="11.109375" customWidth="1"/>
    <col min="5123" max="5123" width="15.5546875" customWidth="1"/>
    <col min="5124" max="5124" width="12.6640625" bestFit="1" customWidth="1"/>
    <col min="5125" max="5127" width="13.109375" bestFit="1" customWidth="1"/>
    <col min="5128" max="5128" width="12.6640625" bestFit="1" customWidth="1"/>
    <col min="5129" max="5129" width="12.109375" bestFit="1" customWidth="1"/>
    <col min="5130" max="5131" width="13.109375" bestFit="1" customWidth="1"/>
    <col min="5132" max="5132" width="12.44140625" bestFit="1" customWidth="1"/>
    <col min="5133" max="5133" width="13.109375" bestFit="1" customWidth="1"/>
    <col min="5134" max="5134" width="12.109375" bestFit="1" customWidth="1"/>
    <col min="5135" max="5135" width="13" bestFit="1" customWidth="1"/>
    <col min="5378" max="5378" width="11.109375" customWidth="1"/>
    <col min="5379" max="5379" width="15.5546875" customWidth="1"/>
    <col min="5380" max="5380" width="12.6640625" bestFit="1" customWidth="1"/>
    <col min="5381" max="5383" width="13.109375" bestFit="1" customWidth="1"/>
    <col min="5384" max="5384" width="12.6640625" bestFit="1" customWidth="1"/>
    <col min="5385" max="5385" width="12.109375" bestFit="1" customWidth="1"/>
    <col min="5386" max="5387" width="13.109375" bestFit="1" customWidth="1"/>
    <col min="5388" max="5388" width="12.44140625" bestFit="1" customWidth="1"/>
    <col min="5389" max="5389" width="13.109375" bestFit="1" customWidth="1"/>
    <col min="5390" max="5390" width="12.109375" bestFit="1" customWidth="1"/>
    <col min="5391" max="5391" width="13" bestFit="1" customWidth="1"/>
    <col min="5634" max="5634" width="11.109375" customWidth="1"/>
    <col min="5635" max="5635" width="15.5546875" customWidth="1"/>
    <col min="5636" max="5636" width="12.6640625" bestFit="1" customWidth="1"/>
    <col min="5637" max="5639" width="13.109375" bestFit="1" customWidth="1"/>
    <col min="5640" max="5640" width="12.6640625" bestFit="1" customWidth="1"/>
    <col min="5641" max="5641" width="12.109375" bestFit="1" customWidth="1"/>
    <col min="5642" max="5643" width="13.109375" bestFit="1" customWidth="1"/>
    <col min="5644" max="5644" width="12.44140625" bestFit="1" customWidth="1"/>
    <col min="5645" max="5645" width="13.109375" bestFit="1" customWidth="1"/>
    <col min="5646" max="5646" width="12.109375" bestFit="1" customWidth="1"/>
    <col min="5647" max="5647" width="13" bestFit="1" customWidth="1"/>
    <col min="5890" max="5890" width="11.109375" customWidth="1"/>
    <col min="5891" max="5891" width="15.5546875" customWidth="1"/>
    <col min="5892" max="5892" width="12.6640625" bestFit="1" customWidth="1"/>
    <col min="5893" max="5895" width="13.109375" bestFit="1" customWidth="1"/>
    <col min="5896" max="5896" width="12.6640625" bestFit="1" customWidth="1"/>
    <col min="5897" max="5897" width="12.109375" bestFit="1" customWidth="1"/>
    <col min="5898" max="5899" width="13.109375" bestFit="1" customWidth="1"/>
    <col min="5900" max="5900" width="12.44140625" bestFit="1" customWidth="1"/>
    <col min="5901" max="5901" width="13.109375" bestFit="1" customWidth="1"/>
    <col min="5902" max="5902" width="12.109375" bestFit="1" customWidth="1"/>
    <col min="5903" max="5903" width="13" bestFit="1" customWidth="1"/>
    <col min="6146" max="6146" width="11.109375" customWidth="1"/>
    <col min="6147" max="6147" width="15.5546875" customWidth="1"/>
    <col min="6148" max="6148" width="12.6640625" bestFit="1" customWidth="1"/>
    <col min="6149" max="6151" width="13.109375" bestFit="1" customWidth="1"/>
    <col min="6152" max="6152" width="12.6640625" bestFit="1" customWidth="1"/>
    <col min="6153" max="6153" width="12.109375" bestFit="1" customWidth="1"/>
    <col min="6154" max="6155" width="13.109375" bestFit="1" customWidth="1"/>
    <col min="6156" max="6156" width="12.44140625" bestFit="1" customWidth="1"/>
    <col min="6157" max="6157" width="13.109375" bestFit="1" customWidth="1"/>
    <col min="6158" max="6158" width="12.109375" bestFit="1" customWidth="1"/>
    <col min="6159" max="6159" width="13" bestFit="1" customWidth="1"/>
    <col min="6402" max="6402" width="11.109375" customWidth="1"/>
    <col min="6403" max="6403" width="15.5546875" customWidth="1"/>
    <col min="6404" max="6404" width="12.6640625" bestFit="1" customWidth="1"/>
    <col min="6405" max="6407" width="13.109375" bestFit="1" customWidth="1"/>
    <col min="6408" max="6408" width="12.6640625" bestFit="1" customWidth="1"/>
    <col min="6409" max="6409" width="12.109375" bestFit="1" customWidth="1"/>
    <col min="6410" max="6411" width="13.109375" bestFit="1" customWidth="1"/>
    <col min="6412" max="6412" width="12.44140625" bestFit="1" customWidth="1"/>
    <col min="6413" max="6413" width="13.109375" bestFit="1" customWidth="1"/>
    <col min="6414" max="6414" width="12.109375" bestFit="1" customWidth="1"/>
    <col min="6415" max="6415" width="13" bestFit="1" customWidth="1"/>
    <col min="6658" max="6658" width="11.109375" customWidth="1"/>
    <col min="6659" max="6659" width="15.5546875" customWidth="1"/>
    <col min="6660" max="6660" width="12.6640625" bestFit="1" customWidth="1"/>
    <col min="6661" max="6663" width="13.109375" bestFit="1" customWidth="1"/>
    <col min="6664" max="6664" width="12.6640625" bestFit="1" customWidth="1"/>
    <col min="6665" max="6665" width="12.109375" bestFit="1" customWidth="1"/>
    <col min="6666" max="6667" width="13.109375" bestFit="1" customWidth="1"/>
    <col min="6668" max="6668" width="12.44140625" bestFit="1" customWidth="1"/>
    <col min="6669" max="6669" width="13.109375" bestFit="1" customWidth="1"/>
    <col min="6670" max="6670" width="12.109375" bestFit="1" customWidth="1"/>
    <col min="6671" max="6671" width="13" bestFit="1" customWidth="1"/>
    <col min="6914" max="6914" width="11.109375" customWidth="1"/>
    <col min="6915" max="6915" width="15.5546875" customWidth="1"/>
    <col min="6916" max="6916" width="12.6640625" bestFit="1" customWidth="1"/>
    <col min="6917" max="6919" width="13.109375" bestFit="1" customWidth="1"/>
    <col min="6920" max="6920" width="12.6640625" bestFit="1" customWidth="1"/>
    <col min="6921" max="6921" width="12.109375" bestFit="1" customWidth="1"/>
    <col min="6922" max="6923" width="13.109375" bestFit="1" customWidth="1"/>
    <col min="6924" max="6924" width="12.44140625" bestFit="1" customWidth="1"/>
    <col min="6925" max="6925" width="13.109375" bestFit="1" customWidth="1"/>
    <col min="6926" max="6926" width="12.109375" bestFit="1" customWidth="1"/>
    <col min="6927" max="6927" width="13" bestFit="1" customWidth="1"/>
    <col min="7170" max="7170" width="11.109375" customWidth="1"/>
    <col min="7171" max="7171" width="15.5546875" customWidth="1"/>
    <col min="7172" max="7172" width="12.6640625" bestFit="1" customWidth="1"/>
    <col min="7173" max="7175" width="13.109375" bestFit="1" customWidth="1"/>
    <col min="7176" max="7176" width="12.6640625" bestFit="1" customWidth="1"/>
    <col min="7177" max="7177" width="12.109375" bestFit="1" customWidth="1"/>
    <col min="7178" max="7179" width="13.109375" bestFit="1" customWidth="1"/>
    <col min="7180" max="7180" width="12.44140625" bestFit="1" customWidth="1"/>
    <col min="7181" max="7181" width="13.109375" bestFit="1" customWidth="1"/>
    <col min="7182" max="7182" width="12.109375" bestFit="1" customWidth="1"/>
    <col min="7183" max="7183" width="13" bestFit="1" customWidth="1"/>
    <col min="7426" max="7426" width="11.109375" customWidth="1"/>
    <col min="7427" max="7427" width="15.5546875" customWidth="1"/>
    <col min="7428" max="7428" width="12.6640625" bestFit="1" customWidth="1"/>
    <col min="7429" max="7431" width="13.109375" bestFit="1" customWidth="1"/>
    <col min="7432" max="7432" width="12.6640625" bestFit="1" customWidth="1"/>
    <col min="7433" max="7433" width="12.109375" bestFit="1" customWidth="1"/>
    <col min="7434" max="7435" width="13.109375" bestFit="1" customWidth="1"/>
    <col min="7436" max="7436" width="12.44140625" bestFit="1" customWidth="1"/>
    <col min="7437" max="7437" width="13.109375" bestFit="1" customWidth="1"/>
    <col min="7438" max="7438" width="12.109375" bestFit="1" customWidth="1"/>
    <col min="7439" max="7439" width="13" bestFit="1" customWidth="1"/>
    <col min="7682" max="7682" width="11.109375" customWidth="1"/>
    <col min="7683" max="7683" width="15.5546875" customWidth="1"/>
    <col min="7684" max="7684" width="12.6640625" bestFit="1" customWidth="1"/>
    <col min="7685" max="7687" width="13.109375" bestFit="1" customWidth="1"/>
    <col min="7688" max="7688" width="12.6640625" bestFit="1" customWidth="1"/>
    <col min="7689" max="7689" width="12.109375" bestFit="1" customWidth="1"/>
    <col min="7690" max="7691" width="13.109375" bestFit="1" customWidth="1"/>
    <col min="7692" max="7692" width="12.44140625" bestFit="1" customWidth="1"/>
    <col min="7693" max="7693" width="13.109375" bestFit="1" customWidth="1"/>
    <col min="7694" max="7694" width="12.109375" bestFit="1" customWidth="1"/>
    <col min="7695" max="7695" width="13" bestFit="1" customWidth="1"/>
    <col min="7938" max="7938" width="11.109375" customWidth="1"/>
    <col min="7939" max="7939" width="15.5546875" customWidth="1"/>
    <col min="7940" max="7940" width="12.6640625" bestFit="1" customWidth="1"/>
    <col min="7941" max="7943" width="13.109375" bestFit="1" customWidth="1"/>
    <col min="7944" max="7944" width="12.6640625" bestFit="1" customWidth="1"/>
    <col min="7945" max="7945" width="12.109375" bestFit="1" customWidth="1"/>
    <col min="7946" max="7947" width="13.109375" bestFit="1" customWidth="1"/>
    <col min="7948" max="7948" width="12.44140625" bestFit="1" customWidth="1"/>
    <col min="7949" max="7949" width="13.109375" bestFit="1" customWidth="1"/>
    <col min="7950" max="7950" width="12.109375" bestFit="1" customWidth="1"/>
    <col min="7951" max="7951" width="13" bestFit="1" customWidth="1"/>
    <col min="8194" max="8194" width="11.109375" customWidth="1"/>
    <col min="8195" max="8195" width="15.5546875" customWidth="1"/>
    <col min="8196" max="8196" width="12.6640625" bestFit="1" customWidth="1"/>
    <col min="8197" max="8199" width="13.109375" bestFit="1" customWidth="1"/>
    <col min="8200" max="8200" width="12.6640625" bestFit="1" customWidth="1"/>
    <col min="8201" max="8201" width="12.109375" bestFit="1" customWidth="1"/>
    <col min="8202" max="8203" width="13.109375" bestFit="1" customWidth="1"/>
    <col min="8204" max="8204" width="12.44140625" bestFit="1" customWidth="1"/>
    <col min="8205" max="8205" width="13.109375" bestFit="1" customWidth="1"/>
    <col min="8206" max="8206" width="12.109375" bestFit="1" customWidth="1"/>
    <col min="8207" max="8207" width="13" bestFit="1" customWidth="1"/>
    <col min="8450" max="8450" width="11.109375" customWidth="1"/>
    <col min="8451" max="8451" width="15.5546875" customWidth="1"/>
    <col min="8452" max="8452" width="12.6640625" bestFit="1" customWidth="1"/>
    <col min="8453" max="8455" width="13.109375" bestFit="1" customWidth="1"/>
    <col min="8456" max="8456" width="12.6640625" bestFit="1" customWidth="1"/>
    <col min="8457" max="8457" width="12.109375" bestFit="1" customWidth="1"/>
    <col min="8458" max="8459" width="13.109375" bestFit="1" customWidth="1"/>
    <col min="8460" max="8460" width="12.44140625" bestFit="1" customWidth="1"/>
    <col min="8461" max="8461" width="13.109375" bestFit="1" customWidth="1"/>
    <col min="8462" max="8462" width="12.109375" bestFit="1" customWidth="1"/>
    <col min="8463" max="8463" width="13" bestFit="1" customWidth="1"/>
    <col min="8706" max="8706" width="11.109375" customWidth="1"/>
    <col min="8707" max="8707" width="15.5546875" customWidth="1"/>
    <col min="8708" max="8708" width="12.6640625" bestFit="1" customWidth="1"/>
    <col min="8709" max="8711" width="13.109375" bestFit="1" customWidth="1"/>
    <col min="8712" max="8712" width="12.6640625" bestFit="1" customWidth="1"/>
    <col min="8713" max="8713" width="12.109375" bestFit="1" customWidth="1"/>
    <col min="8714" max="8715" width="13.109375" bestFit="1" customWidth="1"/>
    <col min="8716" max="8716" width="12.44140625" bestFit="1" customWidth="1"/>
    <col min="8717" max="8717" width="13.109375" bestFit="1" customWidth="1"/>
    <col min="8718" max="8718" width="12.109375" bestFit="1" customWidth="1"/>
    <col min="8719" max="8719" width="13" bestFit="1" customWidth="1"/>
    <col min="8962" max="8962" width="11.109375" customWidth="1"/>
    <col min="8963" max="8963" width="15.5546875" customWidth="1"/>
    <col min="8964" max="8964" width="12.6640625" bestFit="1" customWidth="1"/>
    <col min="8965" max="8967" width="13.109375" bestFit="1" customWidth="1"/>
    <col min="8968" max="8968" width="12.6640625" bestFit="1" customWidth="1"/>
    <col min="8969" max="8969" width="12.109375" bestFit="1" customWidth="1"/>
    <col min="8970" max="8971" width="13.109375" bestFit="1" customWidth="1"/>
    <col min="8972" max="8972" width="12.44140625" bestFit="1" customWidth="1"/>
    <col min="8973" max="8973" width="13.109375" bestFit="1" customWidth="1"/>
    <col min="8974" max="8974" width="12.109375" bestFit="1" customWidth="1"/>
    <col min="8975" max="8975" width="13" bestFit="1" customWidth="1"/>
    <col min="9218" max="9218" width="11.109375" customWidth="1"/>
    <col min="9219" max="9219" width="15.5546875" customWidth="1"/>
    <col min="9220" max="9220" width="12.6640625" bestFit="1" customWidth="1"/>
    <col min="9221" max="9223" width="13.109375" bestFit="1" customWidth="1"/>
    <col min="9224" max="9224" width="12.6640625" bestFit="1" customWidth="1"/>
    <col min="9225" max="9225" width="12.109375" bestFit="1" customWidth="1"/>
    <col min="9226" max="9227" width="13.109375" bestFit="1" customWidth="1"/>
    <col min="9228" max="9228" width="12.44140625" bestFit="1" customWidth="1"/>
    <col min="9229" max="9229" width="13.109375" bestFit="1" customWidth="1"/>
    <col min="9230" max="9230" width="12.109375" bestFit="1" customWidth="1"/>
    <col min="9231" max="9231" width="13" bestFit="1" customWidth="1"/>
    <col min="9474" max="9474" width="11.109375" customWidth="1"/>
    <col min="9475" max="9475" width="15.5546875" customWidth="1"/>
    <col min="9476" max="9476" width="12.6640625" bestFit="1" customWidth="1"/>
    <col min="9477" max="9479" width="13.109375" bestFit="1" customWidth="1"/>
    <col min="9480" max="9480" width="12.6640625" bestFit="1" customWidth="1"/>
    <col min="9481" max="9481" width="12.109375" bestFit="1" customWidth="1"/>
    <col min="9482" max="9483" width="13.109375" bestFit="1" customWidth="1"/>
    <col min="9484" max="9484" width="12.44140625" bestFit="1" customWidth="1"/>
    <col min="9485" max="9485" width="13.109375" bestFit="1" customWidth="1"/>
    <col min="9486" max="9486" width="12.109375" bestFit="1" customWidth="1"/>
    <col min="9487" max="9487" width="13" bestFit="1" customWidth="1"/>
    <col min="9730" max="9730" width="11.109375" customWidth="1"/>
    <col min="9731" max="9731" width="15.5546875" customWidth="1"/>
    <col min="9732" max="9732" width="12.6640625" bestFit="1" customWidth="1"/>
    <col min="9733" max="9735" width="13.109375" bestFit="1" customWidth="1"/>
    <col min="9736" max="9736" width="12.6640625" bestFit="1" customWidth="1"/>
    <col min="9737" max="9737" width="12.109375" bestFit="1" customWidth="1"/>
    <col min="9738" max="9739" width="13.109375" bestFit="1" customWidth="1"/>
    <col min="9740" max="9740" width="12.44140625" bestFit="1" customWidth="1"/>
    <col min="9741" max="9741" width="13.109375" bestFit="1" customWidth="1"/>
    <col min="9742" max="9742" width="12.109375" bestFit="1" customWidth="1"/>
    <col min="9743" max="9743" width="13" bestFit="1" customWidth="1"/>
    <col min="9986" max="9986" width="11.109375" customWidth="1"/>
    <col min="9987" max="9987" width="15.5546875" customWidth="1"/>
    <col min="9988" max="9988" width="12.6640625" bestFit="1" customWidth="1"/>
    <col min="9989" max="9991" width="13.109375" bestFit="1" customWidth="1"/>
    <col min="9992" max="9992" width="12.6640625" bestFit="1" customWidth="1"/>
    <col min="9993" max="9993" width="12.109375" bestFit="1" customWidth="1"/>
    <col min="9994" max="9995" width="13.109375" bestFit="1" customWidth="1"/>
    <col min="9996" max="9996" width="12.44140625" bestFit="1" customWidth="1"/>
    <col min="9997" max="9997" width="13.109375" bestFit="1" customWidth="1"/>
    <col min="9998" max="9998" width="12.109375" bestFit="1" customWidth="1"/>
    <col min="9999" max="9999" width="13" bestFit="1" customWidth="1"/>
    <col min="10242" max="10242" width="11.109375" customWidth="1"/>
    <col min="10243" max="10243" width="15.5546875" customWidth="1"/>
    <col min="10244" max="10244" width="12.6640625" bestFit="1" customWidth="1"/>
    <col min="10245" max="10247" width="13.109375" bestFit="1" customWidth="1"/>
    <col min="10248" max="10248" width="12.6640625" bestFit="1" customWidth="1"/>
    <col min="10249" max="10249" width="12.109375" bestFit="1" customWidth="1"/>
    <col min="10250" max="10251" width="13.109375" bestFit="1" customWidth="1"/>
    <col min="10252" max="10252" width="12.44140625" bestFit="1" customWidth="1"/>
    <col min="10253" max="10253" width="13.109375" bestFit="1" customWidth="1"/>
    <col min="10254" max="10254" width="12.109375" bestFit="1" customWidth="1"/>
    <col min="10255" max="10255" width="13" bestFit="1" customWidth="1"/>
    <col min="10498" max="10498" width="11.109375" customWidth="1"/>
    <col min="10499" max="10499" width="15.5546875" customWidth="1"/>
    <col min="10500" max="10500" width="12.6640625" bestFit="1" customWidth="1"/>
    <col min="10501" max="10503" width="13.109375" bestFit="1" customWidth="1"/>
    <col min="10504" max="10504" width="12.6640625" bestFit="1" customWidth="1"/>
    <col min="10505" max="10505" width="12.109375" bestFit="1" customWidth="1"/>
    <col min="10506" max="10507" width="13.109375" bestFit="1" customWidth="1"/>
    <col min="10508" max="10508" width="12.44140625" bestFit="1" customWidth="1"/>
    <col min="10509" max="10509" width="13.109375" bestFit="1" customWidth="1"/>
    <col min="10510" max="10510" width="12.109375" bestFit="1" customWidth="1"/>
    <col min="10511" max="10511" width="13" bestFit="1" customWidth="1"/>
    <col min="10754" max="10754" width="11.109375" customWidth="1"/>
    <col min="10755" max="10755" width="15.5546875" customWidth="1"/>
    <col min="10756" max="10756" width="12.6640625" bestFit="1" customWidth="1"/>
    <col min="10757" max="10759" width="13.109375" bestFit="1" customWidth="1"/>
    <col min="10760" max="10760" width="12.6640625" bestFit="1" customWidth="1"/>
    <col min="10761" max="10761" width="12.109375" bestFit="1" customWidth="1"/>
    <col min="10762" max="10763" width="13.109375" bestFit="1" customWidth="1"/>
    <col min="10764" max="10764" width="12.44140625" bestFit="1" customWidth="1"/>
    <col min="10765" max="10765" width="13.109375" bestFit="1" customWidth="1"/>
    <col min="10766" max="10766" width="12.109375" bestFit="1" customWidth="1"/>
    <col min="10767" max="10767" width="13" bestFit="1" customWidth="1"/>
    <col min="11010" max="11010" width="11.109375" customWidth="1"/>
    <col min="11011" max="11011" width="15.5546875" customWidth="1"/>
    <col min="11012" max="11012" width="12.6640625" bestFit="1" customWidth="1"/>
    <col min="11013" max="11015" width="13.109375" bestFit="1" customWidth="1"/>
    <col min="11016" max="11016" width="12.6640625" bestFit="1" customWidth="1"/>
    <col min="11017" max="11017" width="12.109375" bestFit="1" customWidth="1"/>
    <col min="11018" max="11019" width="13.109375" bestFit="1" customWidth="1"/>
    <col min="11020" max="11020" width="12.44140625" bestFit="1" customWidth="1"/>
    <col min="11021" max="11021" width="13.109375" bestFit="1" customWidth="1"/>
    <col min="11022" max="11022" width="12.109375" bestFit="1" customWidth="1"/>
    <col min="11023" max="11023" width="13" bestFit="1" customWidth="1"/>
    <col min="11266" max="11266" width="11.109375" customWidth="1"/>
    <col min="11267" max="11267" width="15.5546875" customWidth="1"/>
    <col min="11268" max="11268" width="12.6640625" bestFit="1" customWidth="1"/>
    <col min="11269" max="11271" width="13.109375" bestFit="1" customWidth="1"/>
    <col min="11272" max="11272" width="12.6640625" bestFit="1" customWidth="1"/>
    <col min="11273" max="11273" width="12.109375" bestFit="1" customWidth="1"/>
    <col min="11274" max="11275" width="13.109375" bestFit="1" customWidth="1"/>
    <col min="11276" max="11276" width="12.44140625" bestFit="1" customWidth="1"/>
    <col min="11277" max="11277" width="13.109375" bestFit="1" customWidth="1"/>
    <col min="11278" max="11278" width="12.109375" bestFit="1" customWidth="1"/>
    <col min="11279" max="11279" width="13" bestFit="1" customWidth="1"/>
    <col min="11522" max="11522" width="11.109375" customWidth="1"/>
    <col min="11523" max="11523" width="15.5546875" customWidth="1"/>
    <col min="11524" max="11524" width="12.6640625" bestFit="1" customWidth="1"/>
    <col min="11525" max="11527" width="13.109375" bestFit="1" customWidth="1"/>
    <col min="11528" max="11528" width="12.6640625" bestFit="1" customWidth="1"/>
    <col min="11529" max="11529" width="12.109375" bestFit="1" customWidth="1"/>
    <col min="11530" max="11531" width="13.109375" bestFit="1" customWidth="1"/>
    <col min="11532" max="11532" width="12.44140625" bestFit="1" customWidth="1"/>
    <col min="11533" max="11533" width="13.109375" bestFit="1" customWidth="1"/>
    <col min="11534" max="11534" width="12.109375" bestFit="1" customWidth="1"/>
    <col min="11535" max="11535" width="13" bestFit="1" customWidth="1"/>
    <col min="11778" max="11778" width="11.109375" customWidth="1"/>
    <col min="11779" max="11779" width="15.5546875" customWidth="1"/>
    <col min="11780" max="11780" width="12.6640625" bestFit="1" customWidth="1"/>
    <col min="11781" max="11783" width="13.109375" bestFit="1" customWidth="1"/>
    <col min="11784" max="11784" width="12.6640625" bestFit="1" customWidth="1"/>
    <col min="11785" max="11785" width="12.109375" bestFit="1" customWidth="1"/>
    <col min="11786" max="11787" width="13.109375" bestFit="1" customWidth="1"/>
    <col min="11788" max="11788" width="12.44140625" bestFit="1" customWidth="1"/>
    <col min="11789" max="11789" width="13.109375" bestFit="1" customWidth="1"/>
    <col min="11790" max="11790" width="12.109375" bestFit="1" customWidth="1"/>
    <col min="11791" max="11791" width="13" bestFit="1" customWidth="1"/>
    <col min="12034" max="12034" width="11.109375" customWidth="1"/>
    <col min="12035" max="12035" width="15.5546875" customWidth="1"/>
    <col min="12036" max="12036" width="12.6640625" bestFit="1" customWidth="1"/>
    <col min="12037" max="12039" width="13.109375" bestFit="1" customWidth="1"/>
    <col min="12040" max="12040" width="12.6640625" bestFit="1" customWidth="1"/>
    <col min="12041" max="12041" width="12.109375" bestFit="1" customWidth="1"/>
    <col min="12042" max="12043" width="13.109375" bestFit="1" customWidth="1"/>
    <col min="12044" max="12044" width="12.44140625" bestFit="1" customWidth="1"/>
    <col min="12045" max="12045" width="13.109375" bestFit="1" customWidth="1"/>
    <col min="12046" max="12046" width="12.109375" bestFit="1" customWidth="1"/>
    <col min="12047" max="12047" width="13" bestFit="1" customWidth="1"/>
    <col min="12290" max="12290" width="11.109375" customWidth="1"/>
    <col min="12291" max="12291" width="15.5546875" customWidth="1"/>
    <col min="12292" max="12292" width="12.6640625" bestFit="1" customWidth="1"/>
    <col min="12293" max="12295" width="13.109375" bestFit="1" customWidth="1"/>
    <col min="12296" max="12296" width="12.6640625" bestFit="1" customWidth="1"/>
    <col min="12297" max="12297" width="12.109375" bestFit="1" customWidth="1"/>
    <col min="12298" max="12299" width="13.109375" bestFit="1" customWidth="1"/>
    <col min="12300" max="12300" width="12.44140625" bestFit="1" customWidth="1"/>
    <col min="12301" max="12301" width="13.109375" bestFit="1" customWidth="1"/>
    <col min="12302" max="12302" width="12.109375" bestFit="1" customWidth="1"/>
    <col min="12303" max="12303" width="13" bestFit="1" customWidth="1"/>
    <col min="12546" max="12546" width="11.109375" customWidth="1"/>
    <col min="12547" max="12547" width="15.5546875" customWidth="1"/>
    <col min="12548" max="12548" width="12.6640625" bestFit="1" customWidth="1"/>
    <col min="12549" max="12551" width="13.109375" bestFit="1" customWidth="1"/>
    <col min="12552" max="12552" width="12.6640625" bestFit="1" customWidth="1"/>
    <col min="12553" max="12553" width="12.109375" bestFit="1" customWidth="1"/>
    <col min="12554" max="12555" width="13.109375" bestFit="1" customWidth="1"/>
    <col min="12556" max="12556" width="12.44140625" bestFit="1" customWidth="1"/>
    <col min="12557" max="12557" width="13.109375" bestFit="1" customWidth="1"/>
    <col min="12558" max="12558" width="12.109375" bestFit="1" customWidth="1"/>
    <col min="12559" max="12559" width="13" bestFit="1" customWidth="1"/>
    <col min="12802" max="12802" width="11.109375" customWidth="1"/>
    <col min="12803" max="12803" width="15.5546875" customWidth="1"/>
    <col min="12804" max="12804" width="12.6640625" bestFit="1" customWidth="1"/>
    <col min="12805" max="12807" width="13.109375" bestFit="1" customWidth="1"/>
    <col min="12808" max="12808" width="12.6640625" bestFit="1" customWidth="1"/>
    <col min="12809" max="12809" width="12.109375" bestFit="1" customWidth="1"/>
    <col min="12810" max="12811" width="13.109375" bestFit="1" customWidth="1"/>
    <col min="12812" max="12812" width="12.44140625" bestFit="1" customWidth="1"/>
    <col min="12813" max="12813" width="13.109375" bestFit="1" customWidth="1"/>
    <col min="12814" max="12814" width="12.109375" bestFit="1" customWidth="1"/>
    <col min="12815" max="12815" width="13" bestFit="1" customWidth="1"/>
    <col min="13058" max="13058" width="11.109375" customWidth="1"/>
    <col min="13059" max="13059" width="15.5546875" customWidth="1"/>
    <col min="13060" max="13060" width="12.6640625" bestFit="1" customWidth="1"/>
    <col min="13061" max="13063" width="13.109375" bestFit="1" customWidth="1"/>
    <col min="13064" max="13064" width="12.6640625" bestFit="1" customWidth="1"/>
    <col min="13065" max="13065" width="12.109375" bestFit="1" customWidth="1"/>
    <col min="13066" max="13067" width="13.109375" bestFit="1" customWidth="1"/>
    <col min="13068" max="13068" width="12.44140625" bestFit="1" customWidth="1"/>
    <col min="13069" max="13069" width="13.109375" bestFit="1" customWidth="1"/>
    <col min="13070" max="13070" width="12.109375" bestFit="1" customWidth="1"/>
    <col min="13071" max="13071" width="13" bestFit="1" customWidth="1"/>
    <col min="13314" max="13314" width="11.109375" customWidth="1"/>
    <col min="13315" max="13315" width="15.5546875" customWidth="1"/>
    <col min="13316" max="13316" width="12.6640625" bestFit="1" customWidth="1"/>
    <col min="13317" max="13319" width="13.109375" bestFit="1" customWidth="1"/>
    <col min="13320" max="13320" width="12.6640625" bestFit="1" customWidth="1"/>
    <col min="13321" max="13321" width="12.109375" bestFit="1" customWidth="1"/>
    <col min="13322" max="13323" width="13.109375" bestFit="1" customWidth="1"/>
    <col min="13324" max="13324" width="12.44140625" bestFit="1" customWidth="1"/>
    <col min="13325" max="13325" width="13.109375" bestFit="1" customWidth="1"/>
    <col min="13326" max="13326" width="12.109375" bestFit="1" customWidth="1"/>
    <col min="13327" max="13327" width="13" bestFit="1" customWidth="1"/>
    <col min="13570" max="13570" width="11.109375" customWidth="1"/>
    <col min="13571" max="13571" width="15.5546875" customWidth="1"/>
    <col min="13572" max="13572" width="12.6640625" bestFit="1" customWidth="1"/>
    <col min="13573" max="13575" width="13.109375" bestFit="1" customWidth="1"/>
    <col min="13576" max="13576" width="12.6640625" bestFit="1" customWidth="1"/>
    <col min="13577" max="13577" width="12.109375" bestFit="1" customWidth="1"/>
    <col min="13578" max="13579" width="13.109375" bestFit="1" customWidth="1"/>
    <col min="13580" max="13580" width="12.44140625" bestFit="1" customWidth="1"/>
    <col min="13581" max="13581" width="13.109375" bestFit="1" customWidth="1"/>
    <col min="13582" max="13582" width="12.109375" bestFit="1" customWidth="1"/>
    <col min="13583" max="13583" width="13" bestFit="1" customWidth="1"/>
    <col min="13826" max="13826" width="11.109375" customWidth="1"/>
    <col min="13827" max="13827" width="15.5546875" customWidth="1"/>
    <col min="13828" max="13828" width="12.6640625" bestFit="1" customWidth="1"/>
    <col min="13829" max="13831" width="13.109375" bestFit="1" customWidth="1"/>
    <col min="13832" max="13832" width="12.6640625" bestFit="1" customWidth="1"/>
    <col min="13833" max="13833" width="12.109375" bestFit="1" customWidth="1"/>
    <col min="13834" max="13835" width="13.109375" bestFit="1" customWidth="1"/>
    <col min="13836" max="13836" width="12.44140625" bestFit="1" customWidth="1"/>
    <col min="13837" max="13837" width="13.109375" bestFit="1" customWidth="1"/>
    <col min="13838" max="13838" width="12.109375" bestFit="1" customWidth="1"/>
    <col min="13839" max="13839" width="13" bestFit="1" customWidth="1"/>
    <col min="14082" max="14082" width="11.109375" customWidth="1"/>
    <col min="14083" max="14083" width="15.5546875" customWidth="1"/>
    <col min="14084" max="14084" width="12.6640625" bestFit="1" customWidth="1"/>
    <col min="14085" max="14087" width="13.109375" bestFit="1" customWidth="1"/>
    <col min="14088" max="14088" width="12.6640625" bestFit="1" customWidth="1"/>
    <col min="14089" max="14089" width="12.109375" bestFit="1" customWidth="1"/>
    <col min="14090" max="14091" width="13.109375" bestFit="1" customWidth="1"/>
    <col min="14092" max="14092" width="12.44140625" bestFit="1" customWidth="1"/>
    <col min="14093" max="14093" width="13.109375" bestFit="1" customWidth="1"/>
    <col min="14094" max="14094" width="12.109375" bestFit="1" customWidth="1"/>
    <col min="14095" max="14095" width="13" bestFit="1" customWidth="1"/>
    <col min="14338" max="14338" width="11.109375" customWidth="1"/>
    <col min="14339" max="14339" width="15.5546875" customWidth="1"/>
    <col min="14340" max="14340" width="12.6640625" bestFit="1" customWidth="1"/>
    <col min="14341" max="14343" width="13.109375" bestFit="1" customWidth="1"/>
    <col min="14344" max="14344" width="12.6640625" bestFit="1" customWidth="1"/>
    <col min="14345" max="14345" width="12.109375" bestFit="1" customWidth="1"/>
    <col min="14346" max="14347" width="13.109375" bestFit="1" customWidth="1"/>
    <col min="14348" max="14348" width="12.44140625" bestFit="1" customWidth="1"/>
    <col min="14349" max="14349" width="13.109375" bestFit="1" customWidth="1"/>
    <col min="14350" max="14350" width="12.109375" bestFit="1" customWidth="1"/>
    <col min="14351" max="14351" width="13" bestFit="1" customWidth="1"/>
    <col min="14594" max="14594" width="11.109375" customWidth="1"/>
    <col min="14595" max="14595" width="15.5546875" customWidth="1"/>
    <col min="14596" max="14596" width="12.6640625" bestFit="1" customWidth="1"/>
    <col min="14597" max="14599" width="13.109375" bestFit="1" customWidth="1"/>
    <col min="14600" max="14600" width="12.6640625" bestFit="1" customWidth="1"/>
    <col min="14601" max="14601" width="12.109375" bestFit="1" customWidth="1"/>
    <col min="14602" max="14603" width="13.109375" bestFit="1" customWidth="1"/>
    <col min="14604" max="14604" width="12.44140625" bestFit="1" customWidth="1"/>
    <col min="14605" max="14605" width="13.109375" bestFit="1" customWidth="1"/>
    <col min="14606" max="14606" width="12.109375" bestFit="1" customWidth="1"/>
    <col min="14607" max="14607" width="13" bestFit="1" customWidth="1"/>
    <col min="14850" max="14850" width="11.109375" customWidth="1"/>
    <col min="14851" max="14851" width="15.5546875" customWidth="1"/>
    <col min="14852" max="14852" width="12.6640625" bestFit="1" customWidth="1"/>
    <col min="14853" max="14855" width="13.109375" bestFit="1" customWidth="1"/>
    <col min="14856" max="14856" width="12.6640625" bestFit="1" customWidth="1"/>
    <col min="14857" max="14857" width="12.109375" bestFit="1" customWidth="1"/>
    <col min="14858" max="14859" width="13.109375" bestFit="1" customWidth="1"/>
    <col min="14860" max="14860" width="12.44140625" bestFit="1" customWidth="1"/>
    <col min="14861" max="14861" width="13.109375" bestFit="1" customWidth="1"/>
    <col min="14862" max="14862" width="12.109375" bestFit="1" customWidth="1"/>
    <col min="14863" max="14863" width="13" bestFit="1" customWidth="1"/>
    <col min="15106" max="15106" width="11.109375" customWidth="1"/>
    <col min="15107" max="15107" width="15.5546875" customWidth="1"/>
    <col min="15108" max="15108" width="12.6640625" bestFit="1" customWidth="1"/>
    <col min="15109" max="15111" width="13.109375" bestFit="1" customWidth="1"/>
    <col min="15112" max="15112" width="12.6640625" bestFit="1" customWidth="1"/>
    <col min="15113" max="15113" width="12.109375" bestFit="1" customWidth="1"/>
    <col min="15114" max="15115" width="13.109375" bestFit="1" customWidth="1"/>
    <col min="15116" max="15116" width="12.44140625" bestFit="1" customWidth="1"/>
    <col min="15117" max="15117" width="13.109375" bestFit="1" customWidth="1"/>
    <col min="15118" max="15118" width="12.109375" bestFit="1" customWidth="1"/>
    <col min="15119" max="15119" width="13" bestFit="1" customWidth="1"/>
    <col min="15362" max="15362" width="11.109375" customWidth="1"/>
    <col min="15363" max="15363" width="15.5546875" customWidth="1"/>
    <col min="15364" max="15364" width="12.6640625" bestFit="1" customWidth="1"/>
    <col min="15365" max="15367" width="13.109375" bestFit="1" customWidth="1"/>
    <col min="15368" max="15368" width="12.6640625" bestFit="1" customWidth="1"/>
    <col min="15369" max="15369" width="12.109375" bestFit="1" customWidth="1"/>
    <col min="15370" max="15371" width="13.109375" bestFit="1" customWidth="1"/>
    <col min="15372" max="15372" width="12.44140625" bestFit="1" customWidth="1"/>
    <col min="15373" max="15373" width="13.109375" bestFit="1" customWidth="1"/>
    <col min="15374" max="15374" width="12.109375" bestFit="1" customWidth="1"/>
    <col min="15375" max="15375" width="13" bestFit="1" customWidth="1"/>
    <col min="15618" max="15618" width="11.109375" customWidth="1"/>
    <col min="15619" max="15619" width="15.5546875" customWidth="1"/>
    <col min="15620" max="15620" width="12.6640625" bestFit="1" customWidth="1"/>
    <col min="15621" max="15623" width="13.109375" bestFit="1" customWidth="1"/>
    <col min="15624" max="15624" width="12.6640625" bestFit="1" customWidth="1"/>
    <col min="15625" max="15625" width="12.109375" bestFit="1" customWidth="1"/>
    <col min="15626" max="15627" width="13.109375" bestFit="1" customWidth="1"/>
    <col min="15628" max="15628" width="12.44140625" bestFit="1" customWidth="1"/>
    <col min="15629" max="15629" width="13.109375" bestFit="1" customWidth="1"/>
    <col min="15630" max="15630" width="12.109375" bestFit="1" customWidth="1"/>
    <col min="15631" max="15631" width="13" bestFit="1" customWidth="1"/>
    <col min="15874" max="15874" width="11.109375" customWidth="1"/>
    <col min="15875" max="15875" width="15.5546875" customWidth="1"/>
    <col min="15876" max="15876" width="12.6640625" bestFit="1" customWidth="1"/>
    <col min="15877" max="15879" width="13.109375" bestFit="1" customWidth="1"/>
    <col min="15880" max="15880" width="12.6640625" bestFit="1" customWidth="1"/>
    <col min="15881" max="15881" width="12.109375" bestFit="1" customWidth="1"/>
    <col min="15882" max="15883" width="13.109375" bestFit="1" customWidth="1"/>
    <col min="15884" max="15884" width="12.44140625" bestFit="1" customWidth="1"/>
    <col min="15885" max="15885" width="13.109375" bestFit="1" customWidth="1"/>
    <col min="15886" max="15886" width="12.109375" bestFit="1" customWidth="1"/>
    <col min="15887" max="15887" width="13" bestFit="1" customWidth="1"/>
    <col min="16130" max="16130" width="11.109375" customWidth="1"/>
    <col min="16131" max="16131" width="15.5546875" customWidth="1"/>
    <col min="16132" max="16132" width="12.6640625" bestFit="1" customWidth="1"/>
    <col min="16133" max="16135" width="13.109375" bestFit="1" customWidth="1"/>
    <col min="16136" max="16136" width="12.6640625" bestFit="1" customWidth="1"/>
    <col min="16137" max="16137" width="12.109375" bestFit="1" customWidth="1"/>
    <col min="16138" max="16139" width="13.109375" bestFit="1" customWidth="1"/>
    <col min="16140" max="16140" width="12.44140625" bestFit="1" customWidth="1"/>
    <col min="16141" max="16141" width="13.109375" bestFit="1" customWidth="1"/>
    <col min="16142" max="16142" width="12.109375" bestFit="1" customWidth="1"/>
    <col min="16143" max="16143" width="13" bestFit="1" customWidth="1"/>
  </cols>
  <sheetData>
    <row r="1" spans="1:21" s="8" customFormat="1">
      <c r="B1" s="8" t="s">
        <v>1266</v>
      </c>
    </row>
    <row r="2" spans="1:21" s="8" customFormat="1">
      <c r="B2" s="8" t="s">
        <v>1267</v>
      </c>
    </row>
    <row r="3" spans="1:21" s="8" customFormat="1"/>
    <row r="5" spans="1:21">
      <c r="B5" t="s">
        <v>555</v>
      </c>
      <c r="C5" t="s">
        <v>556</v>
      </c>
    </row>
    <row r="8" spans="1:21">
      <c r="C8" t="s">
        <v>106</v>
      </c>
      <c r="D8" s="4">
        <v>43101</v>
      </c>
      <c r="E8" s="4">
        <v>43132</v>
      </c>
      <c r="F8" s="4">
        <v>43160</v>
      </c>
      <c r="G8" s="4">
        <v>43191</v>
      </c>
      <c r="H8" s="4">
        <v>43221</v>
      </c>
      <c r="I8" s="4">
        <v>43252</v>
      </c>
      <c r="J8" s="4">
        <v>43282</v>
      </c>
      <c r="K8" s="4">
        <v>43313</v>
      </c>
      <c r="L8" s="4">
        <v>43344</v>
      </c>
      <c r="M8" s="4">
        <v>43374</v>
      </c>
      <c r="N8" s="4">
        <v>43405</v>
      </c>
      <c r="O8" s="4">
        <v>43435</v>
      </c>
    </row>
    <row r="9" spans="1:21" s="240" customFormat="1">
      <c r="C9" s="240" t="s">
        <v>113</v>
      </c>
      <c r="D9" s="145">
        <f>+'CP FCST'!B135/1000</f>
        <v>20123.773928524792</v>
      </c>
      <c r="E9" s="145">
        <f>+'CP FCST'!C135/1000</f>
        <v>17512.827129784186</v>
      </c>
      <c r="F9" s="145">
        <f>+'CP FCST'!D135/1000</f>
        <v>17456.714245999516</v>
      </c>
      <c r="G9" s="145">
        <f>+'CP FCST'!E135/1000</f>
        <v>18951.907223474067</v>
      </c>
      <c r="H9" s="145">
        <f>+'CP FCST'!F135/1000</f>
        <v>20709.230335360022</v>
      </c>
      <c r="I9" s="145">
        <f>+'CP FCST'!G135/1000</f>
        <v>22098.380747622396</v>
      </c>
      <c r="J9" s="145">
        <f>+'CP FCST'!H135/1000</f>
        <v>22487.556343305878</v>
      </c>
      <c r="K9" s="145">
        <f>+'CP FCST'!I135/1000</f>
        <v>23180.254325629299</v>
      </c>
      <c r="L9" s="145">
        <f>+'CP FCST'!J135/1000</f>
        <v>21705.886636812418</v>
      </c>
      <c r="M9" s="145">
        <f>+'CP FCST'!K135/1000</f>
        <v>20425.407085596482</v>
      </c>
      <c r="N9" s="145">
        <f>+'CP FCST'!L135/1000</f>
        <v>17949.705800345317</v>
      </c>
      <c r="O9" s="145">
        <f>+'CP FCST'!M135/1000</f>
        <v>17244.097707999521</v>
      </c>
    </row>
    <row r="10" spans="1:21">
      <c r="D10" s="241"/>
      <c r="E10" s="241"/>
      <c r="F10" s="241"/>
      <c r="G10" s="241"/>
      <c r="H10" s="241"/>
      <c r="I10" s="241"/>
      <c r="J10" s="241"/>
      <c r="K10" s="241"/>
      <c r="L10" s="241"/>
      <c r="M10" s="241"/>
      <c r="N10" s="241"/>
      <c r="O10" s="241"/>
      <c r="P10" s="241"/>
      <c r="Q10" s="242"/>
      <c r="S10" s="44"/>
      <c r="T10" s="44"/>
      <c r="U10" s="243"/>
    </row>
    <row r="11" spans="1:21">
      <c r="A11" t="s">
        <v>98</v>
      </c>
      <c r="B11" t="s">
        <v>122</v>
      </c>
      <c r="C11" t="s">
        <v>1117</v>
      </c>
    </row>
    <row r="12" spans="1:21">
      <c r="A12" t="s">
        <v>98</v>
      </c>
      <c r="B12" t="s">
        <v>122</v>
      </c>
      <c r="C12" t="s">
        <v>557</v>
      </c>
      <c r="D12" s="4">
        <f>$D$8</f>
        <v>43101</v>
      </c>
      <c r="E12" s="4">
        <f>$E$8</f>
        <v>43132</v>
      </c>
      <c r="F12" s="4">
        <f>$F$8</f>
        <v>43160</v>
      </c>
      <c r="G12" s="4">
        <f>$G$8</f>
        <v>43191</v>
      </c>
      <c r="H12" s="4">
        <f>$H$8</f>
        <v>43221</v>
      </c>
      <c r="I12" s="4">
        <f>$I$8</f>
        <v>43252</v>
      </c>
      <c r="J12" s="4">
        <f>$J$8</f>
        <v>43282</v>
      </c>
      <c r="K12" s="4">
        <f>$K$8</f>
        <v>43313</v>
      </c>
      <c r="L12" s="4">
        <f>$L$8</f>
        <v>43344</v>
      </c>
      <c r="M12" s="4">
        <f>$M$8</f>
        <v>43374</v>
      </c>
      <c r="N12" s="4">
        <f>$N$8</f>
        <v>43405</v>
      </c>
      <c r="O12" s="4">
        <f>$O$8</f>
        <v>43435</v>
      </c>
    </row>
    <row r="13" spans="1:21" s="240" customFormat="1">
      <c r="A13" t="s">
        <v>98</v>
      </c>
      <c r="B13" t="s">
        <v>122</v>
      </c>
      <c r="C13" s="240" t="s">
        <v>148</v>
      </c>
      <c r="D13" s="145">
        <f>VLOOKUP($A13&amp;" CP",'2018 SUBSEQUENT'!$A$13:$R$196,'2018 SUBSEQUENT'!C$9,FALSE)</f>
        <v>353349.64192348311</v>
      </c>
      <c r="E13" s="145">
        <f>VLOOKUP($A13&amp;" CP",'2018 SUBSEQUENT'!$A$13:$R$196,'2018 SUBSEQUENT'!D$9,FALSE)</f>
        <v>361802.60855519096</v>
      </c>
      <c r="F13" s="145">
        <f>VLOOKUP($A13&amp;" CP",'2018 SUBSEQUENT'!$A$13:$R$196,'2018 SUBSEQUENT'!E$9,FALSE)</f>
        <v>331170.12827320758</v>
      </c>
      <c r="G13" s="145">
        <f>VLOOKUP($A13&amp;" CP",'2018 SUBSEQUENT'!$A$13:$R$196,'2018 SUBSEQUENT'!F$9,FALSE)</f>
        <v>357970.56168578489</v>
      </c>
      <c r="H13" s="145">
        <f>VLOOKUP($A13&amp;" CP",'2018 SUBSEQUENT'!$A$13:$R$196,'2018 SUBSEQUENT'!G$9,FALSE)</f>
        <v>356505.57573414472</v>
      </c>
      <c r="I13" s="145">
        <f>VLOOKUP($A13&amp;" CP",'2018 SUBSEQUENT'!$A$13:$R$196,'2018 SUBSEQUENT'!H$9,FALSE)</f>
        <v>372146.08755869948</v>
      </c>
      <c r="J13" s="145">
        <f>VLOOKUP($A13&amp;" CP",'2018 SUBSEQUENT'!$A$13:$R$196,'2018 SUBSEQUENT'!I$9,FALSE)</f>
        <v>366251.3279572592</v>
      </c>
      <c r="K13" s="145">
        <f>VLOOKUP($A13&amp;" CP",'2018 SUBSEQUENT'!$A$13:$R$196,'2018 SUBSEQUENT'!J$9,FALSE)</f>
        <v>378101.7542149417</v>
      </c>
      <c r="L13" s="145">
        <f>VLOOKUP($A13&amp;" CP",'2018 SUBSEQUENT'!$A$13:$R$196,'2018 SUBSEQUENT'!K$9,FALSE)</f>
        <v>351181.87214276835</v>
      </c>
      <c r="M13" s="145">
        <f>VLOOKUP($A13&amp;" CP",'2018 SUBSEQUENT'!$A$13:$R$196,'2018 SUBSEQUENT'!L$9,FALSE)</f>
        <v>342734.72407989472</v>
      </c>
      <c r="N13" s="145">
        <f>VLOOKUP($A13&amp;" CP",'2018 SUBSEQUENT'!$A$13:$R$196,'2018 SUBSEQUENT'!M$9,FALSE)</f>
        <v>337864.34817893896</v>
      </c>
      <c r="O13" s="145">
        <f>VLOOKUP($A13&amp;" CP",'2018 SUBSEQUENT'!$A$13:$R$196,'2018 SUBSEQUENT'!N$9,FALSE)</f>
        <v>342430.20208395738</v>
      </c>
    </row>
    <row r="14" spans="1:21" s="240" customFormat="1">
      <c r="A14" t="s">
        <v>98</v>
      </c>
      <c r="B14" t="s">
        <v>122</v>
      </c>
      <c r="C14" s="240" t="s">
        <v>147</v>
      </c>
      <c r="D14" s="145">
        <f>VLOOKUP($A14&amp;" GNCP",'2018 SUBSEQUENT'!$A$13:$R$196,'2018 SUBSEQUENT'!C$9,FALSE)</f>
        <v>364867.76853508234</v>
      </c>
      <c r="E14" s="145">
        <f>VLOOKUP($A14&amp;" GNCP",'2018 SUBSEQUENT'!$A$13:$R$196,'2018 SUBSEQUENT'!D$9,FALSE)</f>
        <v>371612.70180661982</v>
      </c>
      <c r="F14" s="145">
        <f>VLOOKUP($A14&amp;" GNCP",'2018 SUBSEQUENT'!$A$13:$R$196,'2018 SUBSEQUENT'!E$9,FALSE)</f>
        <v>338024.66493062145</v>
      </c>
      <c r="G14" s="145">
        <f>VLOOKUP($A14&amp;" GNCP",'2018 SUBSEQUENT'!$A$13:$R$196,'2018 SUBSEQUENT'!F$9,FALSE)</f>
        <v>357970.56168578489</v>
      </c>
      <c r="H14" s="145">
        <f>VLOOKUP($A14&amp;" GNCP",'2018 SUBSEQUENT'!$A$13:$R$196,'2018 SUBSEQUENT'!G$9,FALSE)</f>
        <v>356505.57573414472</v>
      </c>
      <c r="I14" s="145">
        <f>VLOOKUP($A14&amp;" GNCP",'2018 SUBSEQUENT'!$A$13:$R$196,'2018 SUBSEQUENT'!H$9,FALSE)</f>
        <v>372146.08755869948</v>
      </c>
      <c r="J14" s="145">
        <f>VLOOKUP($A14&amp;" GNCP",'2018 SUBSEQUENT'!$A$13:$R$196,'2018 SUBSEQUENT'!I$9,FALSE)</f>
        <v>366251.3279572592</v>
      </c>
      <c r="K14" s="145">
        <f>VLOOKUP($A14&amp;" GNCP",'2018 SUBSEQUENT'!$A$13:$R$196,'2018 SUBSEQUENT'!J$9,FALSE)</f>
        <v>378101.7542149417</v>
      </c>
      <c r="L14" s="145">
        <f>VLOOKUP($A14&amp;" GNCP",'2018 SUBSEQUENT'!$A$13:$R$196,'2018 SUBSEQUENT'!K$9,FALSE)</f>
        <v>371362.38490919338</v>
      </c>
      <c r="M14" s="145">
        <f>VLOOKUP($A14&amp;" GNCP",'2018 SUBSEQUENT'!$A$13:$R$196,'2018 SUBSEQUENT'!L$9,FALSE)</f>
        <v>353270.37603858131</v>
      </c>
      <c r="N14" s="145">
        <f>VLOOKUP($A14&amp;" GNCP",'2018 SUBSEQUENT'!$A$13:$R$196,'2018 SUBSEQUENT'!M$9,FALSE)</f>
        <v>358318.30657937762</v>
      </c>
      <c r="O14" s="145">
        <f>VLOOKUP($A14&amp;" GNCP",'2018 SUBSEQUENT'!$A$13:$R$196,'2018 SUBSEQUENT'!N$9,FALSE)</f>
        <v>358874.03234484338</v>
      </c>
    </row>
    <row r="15" spans="1:21" s="240" customFormat="1">
      <c r="A15" t="s">
        <v>98</v>
      </c>
      <c r="B15" t="s">
        <v>122</v>
      </c>
      <c r="C15" s="240" t="s">
        <v>133</v>
      </c>
      <c r="D15" s="145">
        <f>VLOOKUP($A15&amp;" NCP",'2018 SUBSEQUENT'!$A$13:$R$196,'2018 SUBSEQUENT'!C$9,FALSE)</f>
        <v>439976.49719360896</v>
      </c>
      <c r="E15" s="145">
        <f>VLOOKUP($A15&amp;" NCP",'2018 SUBSEQUENT'!$A$13:$R$196,'2018 SUBSEQUENT'!D$9,FALSE)</f>
        <v>444334.37262267567</v>
      </c>
      <c r="F15" s="145">
        <f>VLOOKUP($A15&amp;" NCP",'2018 SUBSEQUENT'!$A$13:$R$196,'2018 SUBSEQUENT'!E$9,FALSE)</f>
        <v>405842.34870388365</v>
      </c>
      <c r="G15" s="145">
        <f>VLOOKUP($A15&amp;" NCP",'2018 SUBSEQUENT'!$A$13:$R$196,'2018 SUBSEQUENT'!F$9,FALSE)</f>
        <v>420958.33952216589</v>
      </c>
      <c r="H15" s="145">
        <f>VLOOKUP($A15&amp;" NCP",'2018 SUBSEQUENT'!$A$13:$R$196,'2018 SUBSEQUENT'!G$9,FALSE)</f>
        <v>418688.51125754014</v>
      </c>
      <c r="I15" s="145">
        <f>VLOOKUP($A15&amp;" NCP",'2018 SUBSEQUENT'!$A$13:$R$196,'2018 SUBSEQUENT'!H$9,FALSE)</f>
        <v>443525.32008949743</v>
      </c>
      <c r="J15" s="145">
        <f>VLOOKUP($A15&amp;" NCP",'2018 SUBSEQUENT'!$A$13:$R$196,'2018 SUBSEQUENT'!I$9,FALSE)</f>
        <v>439459.74787267635</v>
      </c>
      <c r="K15" s="145">
        <f>VLOOKUP($A15&amp;" NCP",'2018 SUBSEQUENT'!$A$13:$R$196,'2018 SUBSEQUENT'!J$9,FALSE)</f>
        <v>435990.34391469735</v>
      </c>
      <c r="L15" s="145">
        <f>VLOOKUP($A15&amp;" NCP",'2018 SUBSEQUENT'!$A$13:$R$196,'2018 SUBSEQUENT'!K$9,FALSE)</f>
        <v>446181.21917275118</v>
      </c>
      <c r="M15" s="145">
        <f>VLOOKUP($A15&amp;" NCP",'2018 SUBSEQUENT'!$A$13:$R$196,'2018 SUBSEQUENT'!L$9,FALSE)</f>
        <v>424300.84902003105</v>
      </c>
      <c r="N15" s="145">
        <f>VLOOKUP($A15&amp;" NCP",'2018 SUBSEQUENT'!$A$13:$R$196,'2018 SUBSEQUENT'!M$9,FALSE)</f>
        <v>428014.13418541849</v>
      </c>
      <c r="O15" s="145">
        <f>VLOOKUP($A15&amp;" NCP",'2018 SUBSEQUENT'!$A$13:$R$196,'2018 SUBSEQUENT'!N$9,FALSE)</f>
        <v>430600.60257030284</v>
      </c>
    </row>
    <row r="16" spans="1:21">
      <c r="D16" s="241"/>
      <c r="E16" s="241"/>
      <c r="F16" s="241"/>
      <c r="G16" s="241"/>
      <c r="H16" s="241"/>
      <c r="I16" s="241"/>
      <c r="J16" s="241"/>
      <c r="K16" s="241"/>
      <c r="L16" s="241"/>
      <c r="M16" s="241"/>
      <c r="N16" s="241"/>
      <c r="O16" s="241"/>
      <c r="P16" s="241"/>
      <c r="Q16" s="242"/>
      <c r="S16" s="44"/>
      <c r="T16" s="44"/>
      <c r="U16" s="243"/>
    </row>
    <row r="17" spans="1:22">
      <c r="A17" t="s">
        <v>99</v>
      </c>
      <c r="B17" t="s">
        <v>177</v>
      </c>
      <c r="C17" t="s">
        <v>1116</v>
      </c>
    </row>
    <row r="18" spans="1:22">
      <c r="A18" t="s">
        <v>99</v>
      </c>
      <c r="B18" t="s">
        <v>177</v>
      </c>
      <c r="C18" t="s">
        <v>557</v>
      </c>
      <c r="D18" s="4">
        <f>$D$8</f>
        <v>43101</v>
      </c>
      <c r="E18" s="4">
        <f>$E$8</f>
        <v>43132</v>
      </c>
      <c r="F18" s="4">
        <f>$F$8</f>
        <v>43160</v>
      </c>
      <c r="G18" s="4">
        <f>$G$8</f>
        <v>43191</v>
      </c>
      <c r="H18" s="4">
        <f>$H$8</f>
        <v>43221</v>
      </c>
      <c r="I18" s="4">
        <f>$I$8</f>
        <v>43252</v>
      </c>
      <c r="J18" s="4">
        <f>$J$8</f>
        <v>43282</v>
      </c>
      <c r="K18" s="4">
        <f>$K$8</f>
        <v>43313</v>
      </c>
      <c r="L18" s="4">
        <f>$L$8</f>
        <v>43344</v>
      </c>
      <c r="M18" s="4">
        <f>$M$8</f>
        <v>43374</v>
      </c>
      <c r="N18" s="4">
        <f>$N$8</f>
        <v>43405</v>
      </c>
      <c r="O18" s="4">
        <f>$O$8</f>
        <v>43435</v>
      </c>
    </row>
    <row r="19" spans="1:22" s="240" customFormat="1">
      <c r="A19" t="s">
        <v>99</v>
      </c>
      <c r="B19" t="s">
        <v>177</v>
      </c>
      <c r="C19" s="240" t="s">
        <v>148</v>
      </c>
      <c r="D19" s="145">
        <f>VLOOKUP($A19&amp;" CP",'2018 SUBSEQUENT'!$A$13:$R$196,'2018 SUBSEQUENT'!C$9,FALSE)</f>
        <v>13720.296068439491</v>
      </c>
      <c r="E19" s="145">
        <f>VLOOKUP($A19&amp;" CP",'2018 SUBSEQUENT'!$A$13:$R$196,'2018 SUBSEQUENT'!D$9,FALSE)</f>
        <v>14060.789784890174</v>
      </c>
      <c r="F19" s="145">
        <f>VLOOKUP($A19&amp;" CP",'2018 SUBSEQUENT'!$A$13:$R$196,'2018 SUBSEQUENT'!E$9,FALSE)</f>
        <v>12967.781719779785</v>
      </c>
      <c r="G19" s="145">
        <f>VLOOKUP($A19&amp;" CP",'2018 SUBSEQUENT'!$A$13:$R$196,'2018 SUBSEQUENT'!F$9,FALSE)</f>
        <v>13712.655918622437</v>
      </c>
      <c r="H19" s="145">
        <f>VLOOKUP($A19&amp;" CP",'2018 SUBSEQUENT'!$A$13:$R$196,'2018 SUBSEQUENT'!G$9,FALSE)</f>
        <v>14030.841019289326</v>
      </c>
      <c r="I19" s="145">
        <f>VLOOKUP($A19&amp;" CP",'2018 SUBSEQUENT'!$A$13:$R$196,'2018 SUBSEQUENT'!H$9,FALSE)</f>
        <v>14319.676838183637</v>
      </c>
      <c r="J19" s="145">
        <f>VLOOKUP($A19&amp;" CP",'2018 SUBSEQUENT'!$A$13:$R$196,'2018 SUBSEQUENT'!I$9,FALSE)</f>
        <v>14119.258489668797</v>
      </c>
      <c r="K19" s="145">
        <f>VLOOKUP($A19&amp;" CP",'2018 SUBSEQUENT'!$A$13:$R$196,'2018 SUBSEQUENT'!J$9,FALSE)</f>
        <v>14605.193285210538</v>
      </c>
      <c r="L19" s="145">
        <f>VLOOKUP($A19&amp;" CP",'2018 SUBSEQUENT'!$A$13:$R$196,'2018 SUBSEQUENT'!K$9,FALSE)</f>
        <v>13577.49940013334</v>
      </c>
      <c r="M19" s="145">
        <f>VLOOKUP($A19&amp;" CP",'2018 SUBSEQUENT'!$A$13:$R$196,'2018 SUBSEQUENT'!L$9,FALSE)</f>
        <v>13381.881340895996</v>
      </c>
      <c r="N19" s="145">
        <f>VLOOKUP($A19&amp;" CP",'2018 SUBSEQUENT'!$A$13:$R$196,'2018 SUBSEQUENT'!M$9,FALSE)</f>
        <v>12740.195131787899</v>
      </c>
      <c r="O19" s="145">
        <f>VLOOKUP($A19&amp;" CP",'2018 SUBSEQUENT'!$A$13:$R$196,'2018 SUBSEQUENT'!N$9,FALSE)</f>
        <v>13060.274113905869</v>
      </c>
    </row>
    <row r="20" spans="1:22" s="240" customFormat="1">
      <c r="A20" t="s">
        <v>99</v>
      </c>
      <c r="B20" t="s">
        <v>177</v>
      </c>
      <c r="C20" s="240" t="s">
        <v>147</v>
      </c>
      <c r="D20" s="145">
        <f>VLOOKUP($A20&amp;" GNCP",'2018 SUBSEQUENT'!$A$13:$R$196,'2018 SUBSEQUENT'!C$9,FALSE)</f>
        <v>13833.696734357884</v>
      </c>
      <c r="E20" s="145">
        <f>VLOOKUP($A20&amp;" GNCP",'2018 SUBSEQUENT'!$A$13:$R$196,'2018 SUBSEQUENT'!D$9,FALSE)</f>
        <v>14411.759217036153</v>
      </c>
      <c r="F20" s="145">
        <f>VLOOKUP($A20&amp;" GNCP",'2018 SUBSEQUENT'!$A$13:$R$196,'2018 SUBSEQUENT'!E$9,FALSE)</f>
        <v>12967.781719779785</v>
      </c>
      <c r="G20" s="145">
        <f>VLOOKUP($A20&amp;" GNCP",'2018 SUBSEQUENT'!$A$13:$R$196,'2018 SUBSEQUENT'!F$9,FALSE)</f>
        <v>13712.655918622437</v>
      </c>
      <c r="H20" s="145">
        <f>VLOOKUP($A20&amp;" GNCP",'2018 SUBSEQUENT'!$A$13:$R$196,'2018 SUBSEQUENT'!G$9,FALSE)</f>
        <v>14030.841019289326</v>
      </c>
      <c r="I20" s="145">
        <f>VLOOKUP($A20&amp;" GNCP",'2018 SUBSEQUENT'!$A$13:$R$196,'2018 SUBSEQUENT'!H$9,FALSE)</f>
        <v>14319.676838183637</v>
      </c>
      <c r="J20" s="145">
        <f>VLOOKUP($A20&amp;" GNCP",'2018 SUBSEQUENT'!$A$13:$R$196,'2018 SUBSEQUENT'!I$9,FALSE)</f>
        <v>14119.258489668797</v>
      </c>
      <c r="K20" s="145">
        <f>VLOOKUP($A20&amp;" GNCP",'2018 SUBSEQUENT'!$A$13:$R$196,'2018 SUBSEQUENT'!J$9,FALSE)</f>
        <v>14605.193285210538</v>
      </c>
      <c r="L20" s="145">
        <f>VLOOKUP($A20&amp;" GNCP",'2018 SUBSEQUENT'!$A$13:$R$196,'2018 SUBSEQUENT'!K$9,FALSE)</f>
        <v>14364.829847272595</v>
      </c>
      <c r="M20" s="145">
        <f>VLOOKUP($A20&amp;" GNCP",'2018 SUBSEQUENT'!$A$13:$R$196,'2018 SUBSEQUENT'!L$9,FALSE)</f>
        <v>13648.340959544084</v>
      </c>
      <c r="N20" s="145">
        <f>VLOOKUP($A20&amp;" GNCP",'2018 SUBSEQUENT'!$A$13:$R$196,'2018 SUBSEQUENT'!M$9,FALSE)</f>
        <v>13587.599107278642</v>
      </c>
      <c r="O20" s="145">
        <f>VLOOKUP($A20&amp;" GNCP",'2018 SUBSEQUENT'!$A$13:$R$196,'2018 SUBSEQUENT'!N$9,FALSE)</f>
        <v>13802.462811454141</v>
      </c>
    </row>
    <row r="21" spans="1:22" s="240" customFormat="1">
      <c r="A21" t="s">
        <v>99</v>
      </c>
      <c r="B21" t="s">
        <v>177</v>
      </c>
      <c r="C21" s="240" t="s">
        <v>133</v>
      </c>
      <c r="D21" s="145">
        <f>VLOOKUP($A21&amp;" NCP",'2018 SUBSEQUENT'!$A$13:$R$196,'2018 SUBSEQUENT'!C$9,FALSE)</f>
        <v>17213.830583137551</v>
      </c>
      <c r="E21" s="145">
        <f>VLOOKUP($A21&amp;" NCP",'2018 SUBSEQUENT'!$A$13:$R$196,'2018 SUBSEQUENT'!D$9,FALSE)</f>
        <v>17563.855236879048</v>
      </c>
      <c r="F21" s="145">
        <f>VLOOKUP($A21&amp;" NCP",'2018 SUBSEQUENT'!$A$13:$R$196,'2018 SUBSEQUENT'!E$9,FALSE)</f>
        <v>15693.132474603843</v>
      </c>
      <c r="G21" s="145">
        <f>VLOOKUP($A21&amp;" NCP",'2018 SUBSEQUENT'!$A$13:$R$196,'2018 SUBSEQUENT'!F$9,FALSE)</f>
        <v>16247.407313743797</v>
      </c>
      <c r="H21" s="145">
        <f>VLOOKUP($A21&amp;" NCP",'2018 SUBSEQUENT'!$A$13:$R$196,'2018 SUBSEQUENT'!G$9,FALSE)</f>
        <v>16632.217245948472</v>
      </c>
      <c r="I21" s="145">
        <f>VLOOKUP($A21&amp;" NCP",'2018 SUBSEQUENT'!$A$13:$R$196,'2018 SUBSEQUENT'!H$9,FALSE)</f>
        <v>17509.081160062131</v>
      </c>
      <c r="J21" s="145">
        <f>VLOOKUP($A21&amp;" NCP",'2018 SUBSEQUENT'!$A$13:$R$196,'2018 SUBSEQUENT'!I$9,FALSE)</f>
        <v>17191.716453297566</v>
      </c>
      <c r="K21" s="145">
        <f>VLOOKUP($A21&amp;" NCP",'2018 SUBSEQUENT'!$A$13:$R$196,'2018 SUBSEQUENT'!J$9,FALSE)</f>
        <v>17297.776178609831</v>
      </c>
      <c r="L21" s="145">
        <f>VLOOKUP($A21&amp;" NCP",'2018 SUBSEQUENT'!$A$13:$R$196,'2018 SUBSEQUENT'!K$9,FALSE)</f>
        <v>17694.411938536574</v>
      </c>
      <c r="M21" s="145">
        <f>VLOOKUP($A21&amp;" NCP",'2018 SUBSEQUENT'!$A$13:$R$196,'2018 SUBSEQUENT'!L$9,FALSE)</f>
        <v>16654.782503893177</v>
      </c>
      <c r="N21" s="145">
        <f>VLOOKUP($A21&amp;" NCP",'2018 SUBSEQUENT'!$A$13:$R$196,'2018 SUBSEQUENT'!M$9,FALSE)</f>
        <v>16803.705276804441</v>
      </c>
      <c r="O21" s="145">
        <f>VLOOKUP($A21&amp;" NCP",'2018 SUBSEQUENT'!$A$13:$R$196,'2018 SUBSEQUENT'!N$9,FALSE)</f>
        <v>17139.835287756217</v>
      </c>
    </row>
    <row r="22" spans="1:22">
      <c r="D22" s="241"/>
      <c r="E22" s="241"/>
      <c r="F22" s="241"/>
      <c r="G22" s="241"/>
      <c r="H22" s="241"/>
      <c r="I22" s="241"/>
      <c r="J22" s="241"/>
      <c r="K22" s="241"/>
      <c r="L22" s="241"/>
      <c r="M22" s="241"/>
      <c r="N22" s="241"/>
      <c r="O22" s="241"/>
      <c r="P22" s="241"/>
      <c r="Q22" s="242"/>
      <c r="S22" s="44"/>
      <c r="T22" s="44"/>
      <c r="U22" s="243"/>
    </row>
    <row r="23" spans="1:22">
      <c r="A23" t="s">
        <v>50</v>
      </c>
      <c r="B23" t="s">
        <v>185</v>
      </c>
      <c r="C23" t="s">
        <v>1115</v>
      </c>
    </row>
    <row r="24" spans="1:22">
      <c r="A24" t="s">
        <v>50</v>
      </c>
      <c r="B24" t="s">
        <v>185</v>
      </c>
      <c r="C24" t="s">
        <v>557</v>
      </c>
      <c r="D24" s="4">
        <f>$D$8</f>
        <v>43101</v>
      </c>
      <c r="E24" s="4">
        <f>$E$8</f>
        <v>43132</v>
      </c>
      <c r="F24" s="4">
        <f>$F$8</f>
        <v>43160</v>
      </c>
      <c r="G24" s="4">
        <f>$G$8</f>
        <v>43191</v>
      </c>
      <c r="H24" s="4">
        <f>$H$8</f>
        <v>43221</v>
      </c>
      <c r="I24" s="4">
        <f>$I$8</f>
        <v>43252</v>
      </c>
      <c r="J24" s="4">
        <f>$J$8</f>
        <v>43282</v>
      </c>
      <c r="K24" s="4">
        <f>$K$8</f>
        <v>43313</v>
      </c>
      <c r="L24" s="4">
        <f>$L$8</f>
        <v>43344</v>
      </c>
      <c r="M24" s="4">
        <f>$M$8</f>
        <v>43374</v>
      </c>
      <c r="N24" s="4">
        <f>$N$8</f>
        <v>43405</v>
      </c>
      <c r="O24" s="4">
        <f>$O$8</f>
        <v>43435</v>
      </c>
    </row>
    <row r="25" spans="1:22" s="240" customFormat="1">
      <c r="A25" t="s">
        <v>50</v>
      </c>
      <c r="B25" t="s">
        <v>185</v>
      </c>
      <c r="C25" s="240" t="s">
        <v>148</v>
      </c>
      <c r="D25" s="145">
        <f>VLOOKUP($A25&amp;" CP",'2018 SUBSEQUENT'!$A$13:$R$196,'2018 SUBSEQUENT'!C$9,FALSE)</f>
        <v>183675.59962899442</v>
      </c>
      <c r="E25" s="145">
        <f>VLOOKUP($A25&amp;" CP",'2018 SUBSEQUENT'!$A$13:$R$196,'2018 SUBSEQUENT'!D$9,FALSE)</f>
        <v>194756.89863740801</v>
      </c>
      <c r="F25" s="145">
        <f>VLOOKUP($A25&amp;" CP",'2018 SUBSEQUENT'!$A$13:$R$196,'2018 SUBSEQUENT'!E$9,FALSE)</f>
        <v>199103.10885575155</v>
      </c>
      <c r="G25" s="145">
        <f>VLOOKUP($A25&amp;" CP",'2018 SUBSEQUENT'!$A$13:$R$196,'2018 SUBSEQUENT'!F$9,FALSE)</f>
        <v>189963.92653296088</v>
      </c>
      <c r="H25" s="145">
        <f>VLOOKUP($A25&amp;" CP",'2018 SUBSEQUENT'!$A$13:$R$196,'2018 SUBSEQUENT'!G$9,FALSE)</f>
        <v>201089.4628712103</v>
      </c>
      <c r="I25" s="145">
        <f>VLOOKUP($A25&amp;" CP",'2018 SUBSEQUENT'!$A$13:$R$196,'2018 SUBSEQUENT'!H$9,FALSE)</f>
        <v>196147.56332278685</v>
      </c>
      <c r="J25" s="145">
        <f>VLOOKUP($A25&amp;" CP",'2018 SUBSEQUENT'!$A$13:$R$196,'2018 SUBSEQUENT'!I$9,FALSE)</f>
        <v>194765.70425145232</v>
      </c>
      <c r="K25" s="145">
        <f>VLOOKUP($A25&amp;" CP",'2018 SUBSEQUENT'!$A$13:$R$196,'2018 SUBSEQUENT'!J$9,FALSE)</f>
        <v>198378.86341107805</v>
      </c>
      <c r="L25" s="145">
        <f>VLOOKUP($A25&amp;" CP",'2018 SUBSEQUENT'!$A$13:$R$196,'2018 SUBSEQUENT'!K$9,FALSE)</f>
        <v>187615.29172549956</v>
      </c>
      <c r="M25" s="145">
        <f>VLOOKUP($A25&amp;" CP",'2018 SUBSEQUENT'!$A$13:$R$196,'2018 SUBSEQUENT'!L$9,FALSE)</f>
        <v>184565.46929095453</v>
      </c>
      <c r="N25" s="145">
        <f>VLOOKUP($A25&amp;" CP",'2018 SUBSEQUENT'!$A$13:$R$196,'2018 SUBSEQUENT'!M$9,FALSE)</f>
        <v>195555.52071977025</v>
      </c>
      <c r="O25" s="145">
        <f>VLOOKUP($A25&amp;" CP",'2018 SUBSEQUENT'!$A$13:$R$196,'2018 SUBSEQUENT'!N$9,FALSE)</f>
        <v>196375.00174022606</v>
      </c>
    </row>
    <row r="26" spans="1:22" s="240" customFormat="1">
      <c r="A26" t="s">
        <v>50</v>
      </c>
      <c r="B26" t="s">
        <v>185</v>
      </c>
      <c r="C26" s="240" t="s">
        <v>147</v>
      </c>
      <c r="D26" s="145">
        <f>VLOOKUP($A26&amp;" GNCP",'2018 SUBSEQUENT'!$A$13:$R$196,'2018 SUBSEQUENT'!C$9,FALSE)</f>
        <v>201051.97737590069</v>
      </c>
      <c r="E26" s="145">
        <f>VLOOKUP($A26&amp;" GNCP",'2018 SUBSEQUENT'!$A$13:$R$196,'2018 SUBSEQUENT'!D$9,FALSE)</f>
        <v>212056.17035280471</v>
      </c>
      <c r="F26" s="145">
        <f>VLOOKUP($A26&amp;" GNCP",'2018 SUBSEQUENT'!$A$13:$R$196,'2018 SUBSEQUENT'!E$9,FALSE)</f>
        <v>199103.10885575155</v>
      </c>
      <c r="G26" s="145">
        <f>VLOOKUP($A26&amp;" GNCP",'2018 SUBSEQUENT'!$A$13:$R$196,'2018 SUBSEQUENT'!F$9,FALSE)</f>
        <v>202044.20435800703</v>
      </c>
      <c r="H26" s="145">
        <f>VLOOKUP($A26&amp;" GNCP",'2018 SUBSEQUENT'!$A$13:$R$196,'2018 SUBSEQUENT'!G$9,FALSE)</f>
        <v>201089.4628712103</v>
      </c>
      <c r="I26" s="145">
        <f>VLOOKUP($A26&amp;" GNCP",'2018 SUBSEQUENT'!$A$13:$R$196,'2018 SUBSEQUENT'!H$9,FALSE)</f>
        <v>208825.42964257335</v>
      </c>
      <c r="J26" s="145">
        <f>VLOOKUP($A26&amp;" GNCP",'2018 SUBSEQUENT'!$A$13:$R$196,'2018 SUBSEQUENT'!I$9,FALSE)</f>
        <v>203113.59807110066</v>
      </c>
      <c r="K26" s="145">
        <f>VLOOKUP($A26&amp;" GNCP",'2018 SUBSEQUENT'!$A$13:$R$196,'2018 SUBSEQUENT'!J$9,FALSE)</f>
        <v>200233.39566681464</v>
      </c>
      <c r="L26" s="145">
        <f>VLOOKUP($A26&amp;" GNCP",'2018 SUBSEQUENT'!$A$13:$R$196,'2018 SUBSEQUENT'!K$9,FALSE)</f>
        <v>219013.02650990119</v>
      </c>
      <c r="M26" s="145">
        <f>VLOOKUP($A26&amp;" GNCP",'2018 SUBSEQUENT'!$A$13:$R$196,'2018 SUBSEQUENT'!L$9,FALSE)</f>
        <v>203268.18061016209</v>
      </c>
      <c r="N26" s="145">
        <f>VLOOKUP($A26&amp;" GNCP",'2018 SUBSEQUENT'!$A$13:$R$196,'2018 SUBSEQUENT'!M$9,FALSE)</f>
        <v>216111.1289084258</v>
      </c>
      <c r="O26" s="145">
        <f>VLOOKUP($A26&amp;" GNCP",'2018 SUBSEQUENT'!$A$13:$R$196,'2018 SUBSEQUENT'!N$9,FALSE)</f>
        <v>211366.07241254897</v>
      </c>
    </row>
    <row r="27" spans="1:22" s="240" customFormat="1">
      <c r="A27" t="s">
        <v>50</v>
      </c>
      <c r="B27" t="s">
        <v>185</v>
      </c>
      <c r="C27" s="240" t="s">
        <v>133</v>
      </c>
      <c r="D27" s="145">
        <f>VLOOKUP($A27&amp;" NCP",'2018 SUBSEQUENT'!$A$13:$R$196,'2018 SUBSEQUENT'!C$9,FALSE)</f>
        <v>233013.00815124941</v>
      </c>
      <c r="E27" s="145">
        <f>VLOOKUP($A27&amp;" NCP",'2018 SUBSEQUENT'!$A$13:$R$196,'2018 SUBSEQUENT'!D$9,FALSE)</f>
        <v>246679.31018013397</v>
      </c>
      <c r="F27" s="145">
        <f>VLOOKUP($A27&amp;" NCP",'2018 SUBSEQUENT'!$A$13:$R$196,'2018 SUBSEQUENT'!E$9,FALSE)</f>
        <v>226031.10440446486</v>
      </c>
      <c r="G27" s="145">
        <f>VLOOKUP($A27&amp;" NCP",'2018 SUBSEQUENT'!$A$13:$R$196,'2018 SUBSEQUENT'!F$9,FALSE)</f>
        <v>234712.90394632716</v>
      </c>
      <c r="H27" s="145">
        <f>VLOOKUP($A27&amp;" NCP",'2018 SUBSEQUENT'!$A$13:$R$196,'2018 SUBSEQUENT'!G$9,FALSE)</f>
        <v>222089.45405944609</v>
      </c>
      <c r="I27" s="145">
        <f>VLOOKUP($A27&amp;" NCP",'2018 SUBSEQUENT'!$A$13:$R$196,'2018 SUBSEQUENT'!H$9,FALSE)</f>
        <v>245393.14342016069</v>
      </c>
      <c r="J27" s="145">
        <f>VLOOKUP($A27&amp;" NCP",'2018 SUBSEQUENT'!$A$13:$R$196,'2018 SUBSEQUENT'!I$9,FALSE)</f>
        <v>235166.01081140072</v>
      </c>
      <c r="K27" s="145">
        <f>VLOOKUP($A27&amp;" NCP",'2018 SUBSEQUENT'!$A$13:$R$196,'2018 SUBSEQUENT'!J$9,FALSE)</f>
        <v>231046.81561098265</v>
      </c>
      <c r="L27" s="145">
        <f>VLOOKUP($A27&amp;" NCP",'2018 SUBSEQUENT'!$A$13:$R$196,'2018 SUBSEQUENT'!K$9,FALSE)</f>
        <v>252981.3465033937</v>
      </c>
      <c r="M27" s="145">
        <f>VLOOKUP($A27&amp;" NCP",'2018 SUBSEQUENT'!$A$13:$R$196,'2018 SUBSEQUENT'!L$9,FALSE)</f>
        <v>232933.67691099556</v>
      </c>
      <c r="N27" s="145">
        <f>VLOOKUP($A27&amp;" NCP",'2018 SUBSEQUENT'!$A$13:$R$196,'2018 SUBSEQUENT'!M$9,FALSE)</f>
        <v>249768.43936623551</v>
      </c>
      <c r="O27" s="145">
        <f>VLOOKUP($A27&amp;" NCP",'2018 SUBSEQUENT'!$A$13:$R$196,'2018 SUBSEQUENT'!N$9,FALSE)</f>
        <v>239208.20884994659</v>
      </c>
      <c r="V27" s="492"/>
    </row>
    <row r="28" spans="1:22">
      <c r="D28" s="441"/>
      <c r="E28" s="441"/>
      <c r="F28" s="441"/>
      <c r="G28" s="441"/>
      <c r="H28" s="441"/>
      <c r="I28" s="441"/>
      <c r="J28" s="441"/>
      <c r="K28" s="441"/>
      <c r="L28" s="441"/>
      <c r="M28" s="441"/>
      <c r="N28" s="441"/>
      <c r="O28" s="441"/>
      <c r="P28" s="241"/>
      <c r="Q28" s="242"/>
      <c r="S28" s="44"/>
      <c r="T28" s="44"/>
      <c r="U28" s="243"/>
      <c r="V28" s="496"/>
    </row>
    <row r="29" spans="1:22">
      <c r="A29" t="s">
        <v>49</v>
      </c>
      <c r="B29" t="s">
        <v>632</v>
      </c>
      <c r="C29" t="s">
        <v>1113</v>
      </c>
      <c r="V29" s="492"/>
    </row>
    <row r="30" spans="1:22">
      <c r="A30" t="s">
        <v>49</v>
      </c>
      <c r="B30" t="s">
        <v>632</v>
      </c>
      <c r="C30" t="s">
        <v>557</v>
      </c>
      <c r="D30" s="4">
        <f>$D$8</f>
        <v>43101</v>
      </c>
      <c r="E30" s="4">
        <f>$E$8</f>
        <v>43132</v>
      </c>
      <c r="F30" s="4">
        <f>$F$8</f>
        <v>43160</v>
      </c>
      <c r="G30" s="4">
        <f>$G$8</f>
        <v>43191</v>
      </c>
      <c r="H30" s="4">
        <f>$H$8</f>
        <v>43221</v>
      </c>
      <c r="I30" s="4">
        <f>$I$8</f>
        <v>43252</v>
      </c>
      <c r="J30" s="4">
        <f>$J$8</f>
        <v>43282</v>
      </c>
      <c r="K30" s="4">
        <f>$K$8</f>
        <v>43313</v>
      </c>
      <c r="L30" s="4">
        <f>$L$8</f>
        <v>43344</v>
      </c>
      <c r="M30" s="4">
        <f>$M$8</f>
        <v>43374</v>
      </c>
      <c r="N30" s="4">
        <f>$N$8</f>
        <v>43405</v>
      </c>
      <c r="O30" s="4">
        <f>$O$8</f>
        <v>43435</v>
      </c>
      <c r="V30" s="492"/>
    </row>
    <row r="31" spans="1:22" s="240" customFormat="1">
      <c r="A31" t="s">
        <v>49</v>
      </c>
      <c r="B31" t="s">
        <v>632</v>
      </c>
      <c r="C31" s="240" t="s">
        <v>148</v>
      </c>
      <c r="D31" s="145">
        <f>VLOOKUP($A31&amp;" CP",'2018 SUBSEQUENT'!$A$13:$R$196,'2018 SUBSEQUENT'!C$9,FALSE)</f>
        <v>698388.79686254682</v>
      </c>
      <c r="E31" s="145">
        <f>VLOOKUP($A31&amp;" CP",'2018 SUBSEQUENT'!$A$13:$R$196,'2018 SUBSEQUENT'!D$9,FALSE)</f>
        <v>1045276.209628881</v>
      </c>
      <c r="F31" s="145">
        <f>VLOOKUP($A31&amp;" CP",'2018 SUBSEQUENT'!$A$13:$R$196,'2018 SUBSEQUENT'!E$9,FALSE)</f>
        <v>682749.59508606733</v>
      </c>
      <c r="G31" s="145">
        <f>VLOOKUP($A31&amp;" CP",'2018 SUBSEQUENT'!$A$13:$R$196,'2018 SUBSEQUENT'!F$9,FALSE)</f>
        <v>1057906.844032916</v>
      </c>
      <c r="H31" s="145">
        <f>VLOOKUP($A31&amp;" CP",'2018 SUBSEQUENT'!$A$13:$R$196,'2018 SUBSEQUENT'!G$9,FALSE)</f>
        <v>1160990.2290927269</v>
      </c>
      <c r="I31" s="145">
        <f>VLOOKUP($A31&amp;" CP",'2018 SUBSEQUENT'!$A$13:$R$196,'2018 SUBSEQUENT'!H$9,FALSE)</f>
        <v>1300351.4494133252</v>
      </c>
      <c r="J31" s="145">
        <f>VLOOKUP($A31&amp;" CP",'2018 SUBSEQUENT'!$A$13:$R$196,'2018 SUBSEQUENT'!I$9,FALSE)</f>
        <v>1292281.4120257662</v>
      </c>
      <c r="K31" s="145">
        <f>VLOOKUP($A31&amp;" CP",'2018 SUBSEQUENT'!$A$13:$R$196,'2018 SUBSEQUENT'!J$9,FALSE)</f>
        <v>1319438.5177063679</v>
      </c>
      <c r="L31" s="145">
        <f>VLOOKUP($A31&amp;" CP",'2018 SUBSEQUENT'!$A$13:$R$196,'2018 SUBSEQUENT'!K$9,FALSE)</f>
        <v>1162923.0268580697</v>
      </c>
      <c r="M31" s="145">
        <f>VLOOKUP($A31&amp;" CP",'2018 SUBSEQUENT'!$A$13:$R$196,'2018 SUBSEQUENT'!L$9,FALSE)</f>
        <v>1118592.4969217153</v>
      </c>
      <c r="N31" s="145">
        <f>VLOOKUP($A31&amp;" CP",'2018 SUBSEQUENT'!$A$13:$R$196,'2018 SUBSEQUENT'!M$9,FALSE)</f>
        <v>1016830.6016671542</v>
      </c>
      <c r="O31" s="145">
        <f>VLOOKUP($A31&amp;" CP",'2018 SUBSEQUENT'!$A$13:$R$196,'2018 SUBSEQUENT'!N$9,FALSE)</f>
        <v>905518.90608711855</v>
      </c>
      <c r="S31" s="492"/>
      <c r="V31" s="492"/>
    </row>
    <row r="32" spans="1:22" s="240" customFormat="1">
      <c r="A32" t="s">
        <v>49</v>
      </c>
      <c r="B32" t="s">
        <v>632</v>
      </c>
      <c r="C32" s="240" t="s">
        <v>147</v>
      </c>
      <c r="D32" s="145">
        <f>VLOOKUP($A32&amp;" GNCP",'2018 SUBSEQUENT'!$A$13:$R$196,'2018 SUBSEQUENT'!C$9,FALSE)</f>
        <v>1037266.4961644633</v>
      </c>
      <c r="E32" s="145">
        <f>VLOOKUP($A32&amp;" GNCP",'2018 SUBSEQUENT'!$A$13:$R$196,'2018 SUBSEQUENT'!D$9,FALSE)</f>
        <v>1047194.8134079314</v>
      </c>
      <c r="F32" s="145">
        <f>VLOOKUP($A32&amp;" GNCP",'2018 SUBSEQUENT'!$A$13:$R$196,'2018 SUBSEQUENT'!E$9,FALSE)</f>
        <v>949726.58097520657</v>
      </c>
      <c r="G32" s="145">
        <f>VLOOKUP($A32&amp;" GNCP",'2018 SUBSEQUENT'!$A$13:$R$196,'2018 SUBSEQUENT'!F$9,FALSE)</f>
        <v>1097668.0865012596</v>
      </c>
      <c r="H32" s="145">
        <f>VLOOKUP($A32&amp;" GNCP",'2018 SUBSEQUENT'!$A$13:$R$196,'2018 SUBSEQUENT'!G$9,FALSE)</f>
        <v>1160990.2290927269</v>
      </c>
      <c r="I32" s="145">
        <f>VLOOKUP($A32&amp;" GNCP",'2018 SUBSEQUENT'!$A$13:$R$196,'2018 SUBSEQUENT'!H$9,FALSE)</f>
        <v>1300351.4494133252</v>
      </c>
      <c r="J32" s="145">
        <f>VLOOKUP($A32&amp;" GNCP",'2018 SUBSEQUENT'!$A$13:$R$196,'2018 SUBSEQUENT'!I$9,FALSE)</f>
        <v>1292281.4120257662</v>
      </c>
      <c r="K32" s="145">
        <f>VLOOKUP($A32&amp;" GNCP",'2018 SUBSEQUENT'!$A$13:$R$196,'2018 SUBSEQUENT'!J$9,FALSE)</f>
        <v>1319438.5177063679</v>
      </c>
      <c r="L32" s="145">
        <f>VLOOKUP($A32&amp;" GNCP",'2018 SUBSEQUENT'!$A$13:$R$196,'2018 SUBSEQUENT'!K$9,FALSE)</f>
        <v>1306475.6038530883</v>
      </c>
      <c r="M32" s="145">
        <f>VLOOKUP($A32&amp;" GNCP",'2018 SUBSEQUENT'!$A$13:$R$196,'2018 SUBSEQUENT'!L$9,FALSE)</f>
        <v>1192498.2355266109</v>
      </c>
      <c r="N32" s="145">
        <f>VLOOKUP($A32&amp;" GNCP",'2018 SUBSEQUENT'!$A$13:$R$196,'2018 SUBSEQUENT'!M$9,FALSE)</f>
        <v>1108262.1057331755</v>
      </c>
      <c r="O32" s="145">
        <f>VLOOKUP($A32&amp;" GNCP",'2018 SUBSEQUENT'!$A$13:$R$196,'2018 SUBSEQUENT'!N$9,FALSE)</f>
        <v>1057443.4326390622</v>
      </c>
      <c r="V32" s="492"/>
    </row>
    <row r="33" spans="1:26" s="240" customFormat="1">
      <c r="A33" t="s">
        <v>49</v>
      </c>
      <c r="B33" t="s">
        <v>632</v>
      </c>
      <c r="C33" s="240" t="s">
        <v>133</v>
      </c>
      <c r="D33" s="145">
        <f>VLOOKUP($A33&amp;" NCP",'2018 SUBSEQUENT'!$A$13:$R$196,'2018 SUBSEQUENT'!C$9,FALSE)</f>
        <v>2113843.1806581612</v>
      </c>
      <c r="E33" s="145">
        <f>VLOOKUP($A33&amp;" NCP",'2018 SUBSEQUENT'!$A$13:$R$196,'2018 SUBSEQUENT'!D$9,FALSE)</f>
        <v>1992184.8410122355</v>
      </c>
      <c r="F33" s="145">
        <f>VLOOKUP($A33&amp;" NCP",'2018 SUBSEQUENT'!$A$13:$R$196,'2018 SUBSEQUENT'!E$9,FALSE)</f>
        <v>1850305.0630319999</v>
      </c>
      <c r="G33" s="145">
        <f>VLOOKUP($A33&amp;" NCP",'2018 SUBSEQUENT'!$A$13:$R$196,'2018 SUBSEQUENT'!F$9,FALSE)</f>
        <v>1862090.9876254874</v>
      </c>
      <c r="H33" s="145">
        <f>VLOOKUP($A33&amp;" NCP",'2018 SUBSEQUENT'!$A$13:$R$196,'2018 SUBSEQUENT'!G$9,FALSE)</f>
        <v>1941571.7759636147</v>
      </c>
      <c r="I33" s="145">
        <f>VLOOKUP($A33&amp;" NCP",'2018 SUBSEQUENT'!$A$13:$R$196,'2018 SUBSEQUENT'!H$9,FALSE)</f>
        <v>2117281.5335707809</v>
      </c>
      <c r="J33" s="145">
        <f>VLOOKUP($A33&amp;" NCP",'2018 SUBSEQUENT'!$A$13:$R$196,'2018 SUBSEQUENT'!I$9,FALSE)</f>
        <v>2084785.0724951217</v>
      </c>
      <c r="K33" s="145">
        <f>VLOOKUP($A33&amp;" NCP",'2018 SUBSEQUENT'!$A$13:$R$196,'2018 SUBSEQUENT'!J$9,FALSE)</f>
        <v>2055201.4303375741</v>
      </c>
      <c r="L33" s="145">
        <f>VLOOKUP($A33&amp;" NCP",'2018 SUBSEQUENT'!$A$13:$R$196,'2018 SUBSEQUENT'!K$9,FALSE)</f>
        <v>2155409.6075348491</v>
      </c>
      <c r="M33" s="145">
        <f>VLOOKUP($A33&amp;" NCP",'2018 SUBSEQUENT'!$A$13:$R$196,'2018 SUBSEQUENT'!L$9,FALSE)</f>
        <v>2010013.7668199763</v>
      </c>
      <c r="N33" s="145">
        <f>VLOOKUP($A33&amp;" NCP",'2018 SUBSEQUENT'!$A$13:$R$196,'2018 SUBSEQUENT'!M$9,FALSE)</f>
        <v>2056997.6213624156</v>
      </c>
      <c r="O33" s="145">
        <f>VLOOKUP($A33&amp;" NCP",'2018 SUBSEQUENT'!$A$13:$R$196,'2018 SUBSEQUENT'!N$9,FALSE)</f>
        <v>2007596.6533741408</v>
      </c>
      <c r="V33" s="496"/>
    </row>
    <row r="34" spans="1:26">
      <c r="D34" s="241"/>
      <c r="E34" s="241"/>
      <c r="F34" s="241"/>
      <c r="G34" s="241"/>
      <c r="H34" s="241"/>
      <c r="I34" s="241"/>
      <c r="J34" s="241"/>
      <c r="K34" s="241"/>
      <c r="L34" s="241"/>
      <c r="M34" s="241"/>
      <c r="N34" s="241"/>
      <c r="O34" s="241"/>
      <c r="P34" s="241"/>
      <c r="Q34" s="242"/>
      <c r="S34" s="44"/>
      <c r="T34" s="44"/>
      <c r="U34" s="243"/>
      <c r="V34" s="496"/>
    </row>
    <row r="35" spans="1:26">
      <c r="A35" t="s">
        <v>325</v>
      </c>
      <c r="B35" t="s">
        <v>640</v>
      </c>
      <c r="C35" t="s">
        <v>1112</v>
      </c>
      <c r="V35" s="496"/>
      <c r="Z35" s="240"/>
    </row>
    <row r="36" spans="1:26">
      <c r="A36" t="s">
        <v>325</v>
      </c>
      <c r="B36" t="s">
        <v>640</v>
      </c>
      <c r="C36" t="s">
        <v>557</v>
      </c>
      <c r="D36" s="4">
        <f>$D$8</f>
        <v>43101</v>
      </c>
      <c r="E36" s="4">
        <f>$E$8</f>
        <v>43132</v>
      </c>
      <c r="F36" s="4">
        <f>$F$8</f>
        <v>43160</v>
      </c>
      <c r="G36" s="4">
        <f>$G$8</f>
        <v>43191</v>
      </c>
      <c r="H36" s="4">
        <f>$H$8</f>
        <v>43221</v>
      </c>
      <c r="I36" s="4">
        <f>$I$8</f>
        <v>43252</v>
      </c>
      <c r="J36" s="4">
        <f>$J$8</f>
        <v>43282</v>
      </c>
      <c r="K36" s="4">
        <f>$K$8</f>
        <v>43313</v>
      </c>
      <c r="L36" s="4">
        <f>$L$8</f>
        <v>43344</v>
      </c>
      <c r="M36" s="4">
        <f>$M$8</f>
        <v>43374</v>
      </c>
      <c r="N36" s="4">
        <f>$N$8</f>
        <v>43405</v>
      </c>
      <c r="O36" s="4">
        <f>$O$8</f>
        <v>43435</v>
      </c>
      <c r="V36" s="496"/>
      <c r="W36" s="240"/>
    </row>
    <row r="37" spans="1:26" s="240" customFormat="1">
      <c r="A37" t="s">
        <v>325</v>
      </c>
      <c r="B37" t="s">
        <v>640</v>
      </c>
      <c r="C37" s="240" t="s">
        <v>148</v>
      </c>
      <c r="D37" s="145">
        <f>VLOOKUP($A37&amp;" CP",'2018 SUBSEQUENT'!$A$13:$R$196,'2018 SUBSEQUENT'!C$9,FALSE)</f>
        <v>8531.748535400835</v>
      </c>
      <c r="E37" s="145">
        <f>VLOOKUP($A37&amp;" CP",'2018 SUBSEQUENT'!$A$13:$R$196,'2018 SUBSEQUENT'!D$9,FALSE)</f>
        <v>9067.9539690662405</v>
      </c>
      <c r="F37" s="145">
        <f>VLOOKUP($A37&amp;" CP",'2018 SUBSEQUENT'!$A$13:$R$196,'2018 SUBSEQUENT'!E$9,FALSE)</f>
        <v>8949.1726749414593</v>
      </c>
      <c r="G37" s="145">
        <f>VLOOKUP($A37&amp;" CP",'2018 SUBSEQUENT'!$A$13:$R$196,'2018 SUBSEQUENT'!F$9,FALSE)</f>
        <v>8663.9866414519947</v>
      </c>
      <c r="H37" s="145">
        <f>VLOOKUP($A37&amp;" CP",'2018 SUBSEQUENT'!$A$13:$R$196,'2018 SUBSEQUENT'!G$9,FALSE)</f>
        <v>8821.7218010160232</v>
      </c>
      <c r="I37" s="145">
        <f>VLOOKUP($A37&amp;" CP",'2018 SUBSEQUENT'!$A$13:$R$196,'2018 SUBSEQUENT'!H$9,FALSE)</f>
        <v>8721.7268171029773</v>
      </c>
      <c r="J37" s="145">
        <f>VLOOKUP($A37&amp;" CP",'2018 SUBSEQUENT'!$A$13:$R$196,'2018 SUBSEQUENT'!I$9,FALSE)</f>
        <v>8548.9609338665232</v>
      </c>
      <c r="K37" s="145">
        <f>VLOOKUP($A37&amp;" CP",'2018 SUBSEQUENT'!$A$13:$R$196,'2018 SUBSEQUENT'!J$9,FALSE)</f>
        <v>8851.5968546986278</v>
      </c>
      <c r="L37" s="145">
        <f>VLOOKUP($A37&amp;" CP",'2018 SUBSEQUENT'!$A$13:$R$196,'2018 SUBSEQUENT'!K$9,FALSE)</f>
        <v>8415.6707327519671</v>
      </c>
      <c r="M37" s="145">
        <f>VLOOKUP($A37&amp;" CP",'2018 SUBSEQUENT'!$A$13:$R$196,'2018 SUBSEQUENT'!L$9,FALSE)</f>
        <v>8231.2436242605145</v>
      </c>
      <c r="N37" s="145">
        <f>VLOOKUP($A37&amp;" CP",'2018 SUBSEQUENT'!$A$13:$R$196,'2018 SUBSEQUENT'!M$9,FALSE)</f>
        <v>8208.580694640661</v>
      </c>
      <c r="O37" s="145">
        <f>VLOOKUP($A37&amp;" CP",'2018 SUBSEQUENT'!$A$13:$R$196,'2018 SUBSEQUENT'!N$9,FALSE)</f>
        <v>8287.4191306817102</v>
      </c>
      <c r="V37" s="496"/>
    </row>
    <row r="38" spans="1:26" s="240" customFormat="1">
      <c r="A38" t="s">
        <v>325</v>
      </c>
      <c r="B38" t="s">
        <v>640</v>
      </c>
      <c r="C38" s="240" t="s">
        <v>147</v>
      </c>
      <c r="D38" s="145">
        <f>VLOOKUP($A38&amp;" GNCP",'2018 SUBSEQUENT'!$A$13:$R$196,'2018 SUBSEQUENT'!C$9,FALSE)</f>
        <v>8531.748535400835</v>
      </c>
      <c r="E38" s="145">
        <f>VLOOKUP($A38&amp;" GNCP",'2018 SUBSEQUENT'!$A$13:$R$196,'2018 SUBSEQUENT'!D$9,FALSE)</f>
        <v>9067.9539690662405</v>
      </c>
      <c r="F38" s="145">
        <f>VLOOKUP($A38&amp;" GNCP",'2018 SUBSEQUENT'!$A$13:$R$196,'2018 SUBSEQUENT'!E$9,FALSE)</f>
        <v>8949.1726749414593</v>
      </c>
      <c r="G38" s="145">
        <f>VLOOKUP($A38&amp;" GNCP",'2018 SUBSEQUENT'!$A$13:$R$196,'2018 SUBSEQUENT'!F$9,FALSE)</f>
        <v>8663.9866414519947</v>
      </c>
      <c r="H38" s="145">
        <f>VLOOKUP($A38&amp;" GNCP",'2018 SUBSEQUENT'!$A$13:$R$196,'2018 SUBSEQUENT'!G$9,FALSE)</f>
        <v>8821.7218010160232</v>
      </c>
      <c r="I38" s="145">
        <f>VLOOKUP($A38&amp;" GNCP",'2018 SUBSEQUENT'!$A$13:$R$196,'2018 SUBSEQUENT'!H$9,FALSE)</f>
        <v>8721.7268171029773</v>
      </c>
      <c r="J38" s="145">
        <f>VLOOKUP($A38&amp;" GNCP",'2018 SUBSEQUENT'!$A$13:$R$196,'2018 SUBSEQUENT'!I$9,FALSE)</f>
        <v>8548.9609338665232</v>
      </c>
      <c r="K38" s="145">
        <f>VLOOKUP($A38&amp;" GNCP",'2018 SUBSEQUENT'!$A$13:$R$196,'2018 SUBSEQUENT'!J$9,FALSE)</f>
        <v>8851.5968546986278</v>
      </c>
      <c r="L38" s="145">
        <f>VLOOKUP($A38&amp;" GNCP",'2018 SUBSEQUENT'!$A$13:$R$196,'2018 SUBSEQUENT'!K$9,FALSE)</f>
        <v>8415.6707327519671</v>
      </c>
      <c r="M38" s="145">
        <f>VLOOKUP($A38&amp;" GNCP",'2018 SUBSEQUENT'!$A$13:$R$196,'2018 SUBSEQUENT'!L$9,FALSE)</f>
        <v>8231.2436242605145</v>
      </c>
      <c r="N38" s="145">
        <f>VLOOKUP($A38&amp;" GNCP",'2018 SUBSEQUENT'!$A$13:$R$196,'2018 SUBSEQUENT'!M$9,FALSE)</f>
        <v>8412.0904963775683</v>
      </c>
      <c r="O38" s="145">
        <f>VLOOKUP($A38&amp;" GNCP",'2018 SUBSEQUENT'!$A$13:$R$196,'2018 SUBSEQUENT'!N$9,FALSE)</f>
        <v>8346.6997791423055</v>
      </c>
      <c r="V38" s="492"/>
    </row>
    <row r="39" spans="1:26" s="240" customFormat="1">
      <c r="A39" t="s">
        <v>325</v>
      </c>
      <c r="B39" t="s">
        <v>640</v>
      </c>
      <c r="C39" s="240" t="s">
        <v>133</v>
      </c>
      <c r="D39" s="145">
        <f>VLOOKUP($A39&amp;" NCP",'2018 SUBSEQUENT'!$A$13:$R$196,'2018 SUBSEQUENT'!C$9,FALSE)</f>
        <v>8588.0002967091095</v>
      </c>
      <c r="E39" s="145">
        <f>VLOOKUP($A39&amp;" NCP",'2018 SUBSEQUENT'!$A$13:$R$196,'2018 SUBSEQUENT'!D$9,FALSE)</f>
        <v>9393.4142669052762</v>
      </c>
      <c r="F39" s="145">
        <f>VLOOKUP($A39&amp;" NCP",'2018 SUBSEQUENT'!$A$13:$R$196,'2018 SUBSEQUENT'!E$9,FALSE)</f>
        <v>8949.1726749414593</v>
      </c>
      <c r="G39" s="145">
        <f>VLOOKUP($A39&amp;" NCP",'2018 SUBSEQUENT'!$A$13:$R$196,'2018 SUBSEQUENT'!F$9,FALSE)</f>
        <v>8686.2252227215868</v>
      </c>
      <c r="H39" s="145">
        <f>VLOOKUP($A39&amp;" NCP",'2018 SUBSEQUENT'!$A$13:$R$196,'2018 SUBSEQUENT'!G$9,FALSE)</f>
        <v>8821.7218010160232</v>
      </c>
      <c r="I39" s="145">
        <f>VLOOKUP($A39&amp;" NCP",'2018 SUBSEQUENT'!$A$13:$R$196,'2018 SUBSEQUENT'!H$9,FALSE)</f>
        <v>8998.6858175474536</v>
      </c>
      <c r="J39" s="145">
        <f>VLOOKUP($A39&amp;" NCP",'2018 SUBSEQUENT'!$A$13:$R$196,'2018 SUBSEQUENT'!I$9,FALSE)</f>
        <v>8548.9609338665232</v>
      </c>
      <c r="K39" s="145">
        <f>VLOOKUP($A39&amp;" NCP",'2018 SUBSEQUENT'!$A$13:$R$196,'2018 SUBSEQUENT'!J$9,FALSE)</f>
        <v>8851.5968546986278</v>
      </c>
      <c r="L39" s="145">
        <f>VLOOKUP($A39&amp;" NCP",'2018 SUBSEQUENT'!$A$13:$R$196,'2018 SUBSEQUENT'!K$9,FALSE)</f>
        <v>8952.3178796201628</v>
      </c>
      <c r="M39" s="145">
        <f>VLOOKUP($A39&amp;" NCP",'2018 SUBSEQUENT'!$A$13:$R$196,'2018 SUBSEQUENT'!L$9,FALSE)</f>
        <v>8937.2300570708412</v>
      </c>
      <c r="N39" s="145">
        <f>VLOOKUP($A39&amp;" NCP",'2018 SUBSEQUENT'!$A$13:$R$196,'2018 SUBSEQUENT'!M$9,FALSE)</f>
        <v>8822.2815033718252</v>
      </c>
      <c r="O39" s="145">
        <f>VLOOKUP($A39&amp;" NCP",'2018 SUBSEQUENT'!$A$13:$R$196,'2018 SUBSEQUENT'!N$9,FALSE)</f>
        <v>8870.6852978329098</v>
      </c>
      <c r="V39" s="496"/>
    </row>
    <row r="40" spans="1:26">
      <c r="C40" s="240"/>
      <c r="D40" s="241"/>
      <c r="E40" s="241"/>
      <c r="F40" s="241"/>
      <c r="G40" s="241"/>
      <c r="H40" s="241"/>
      <c r="I40" s="241"/>
      <c r="J40" s="241"/>
      <c r="K40" s="241"/>
      <c r="L40" s="241"/>
      <c r="M40" s="241"/>
      <c r="N40" s="241"/>
      <c r="O40" s="241"/>
      <c r="P40" s="241"/>
      <c r="Q40" s="242"/>
      <c r="S40" s="44"/>
      <c r="T40" s="44"/>
      <c r="U40" s="243"/>
      <c r="V40" s="496"/>
      <c r="W40" s="240"/>
    </row>
    <row r="41" spans="1:26">
      <c r="A41" t="s">
        <v>67</v>
      </c>
      <c r="B41" t="s">
        <v>651</v>
      </c>
      <c r="C41" t="s">
        <v>1111</v>
      </c>
    </row>
    <row r="42" spans="1:26">
      <c r="A42" t="s">
        <v>67</v>
      </c>
      <c r="B42" t="s">
        <v>651</v>
      </c>
      <c r="C42" t="s">
        <v>557</v>
      </c>
      <c r="D42" s="4">
        <f>$D$8</f>
        <v>43101</v>
      </c>
      <c r="E42" s="4">
        <f>$E$8</f>
        <v>43132</v>
      </c>
      <c r="F42" s="4">
        <f>$F$8</f>
        <v>43160</v>
      </c>
      <c r="G42" s="4">
        <f>$G$8</f>
        <v>43191</v>
      </c>
      <c r="H42" s="4">
        <f>$H$8</f>
        <v>43221</v>
      </c>
      <c r="I42" s="4">
        <f>$I$8</f>
        <v>43252</v>
      </c>
      <c r="J42" s="4">
        <f>$J$8</f>
        <v>43282</v>
      </c>
      <c r="K42" s="4">
        <f>$K$8</f>
        <v>43313</v>
      </c>
      <c r="L42" s="4">
        <f>$L$8</f>
        <v>43344</v>
      </c>
      <c r="M42" s="4">
        <f>$M$8</f>
        <v>43374</v>
      </c>
      <c r="N42" s="4">
        <f>$N$8</f>
        <v>43405</v>
      </c>
      <c r="O42" s="4">
        <f>$O$8</f>
        <v>43435</v>
      </c>
    </row>
    <row r="43" spans="1:26" s="240" customFormat="1">
      <c r="A43" t="s">
        <v>67</v>
      </c>
      <c r="B43" t="s">
        <v>651</v>
      </c>
      <c r="C43" s="240" t="s">
        <v>148</v>
      </c>
      <c r="D43" s="145">
        <f>VLOOKUP($A43&amp;" CP",'2018 SUBSEQUENT'!$A$13:$R$196,'2018 SUBSEQUENT'!C$9,FALSE)</f>
        <v>3398141.6433676942</v>
      </c>
      <c r="E43" s="145">
        <f>VLOOKUP($A43&amp;" CP",'2018 SUBSEQUENT'!$A$13:$R$196,'2018 SUBSEQUENT'!D$9,FALSE)</f>
        <v>4006471.3723642332</v>
      </c>
      <c r="F43" s="145">
        <f>VLOOKUP($A43&amp;" CP",'2018 SUBSEQUENT'!$A$13:$R$196,'2018 SUBSEQUENT'!E$9,FALSE)</f>
        <v>3310986.9986908417</v>
      </c>
      <c r="G43" s="145">
        <f>VLOOKUP($A43&amp;" CP",'2018 SUBSEQUENT'!$A$13:$R$196,'2018 SUBSEQUENT'!F$9,FALSE)</f>
        <v>4027006.3795206537</v>
      </c>
      <c r="H43" s="145">
        <f>VLOOKUP($A43&amp;" CP",'2018 SUBSEQUENT'!$A$13:$R$196,'2018 SUBSEQUENT'!G$9,FALSE)</f>
        <v>4359904.1155952932</v>
      </c>
      <c r="I43" s="145">
        <f>VLOOKUP($A43&amp;" CP",'2018 SUBSEQUENT'!$A$13:$R$196,'2018 SUBSEQUENT'!H$9,FALSE)</f>
        <v>4584118.0830018204</v>
      </c>
      <c r="J43" s="145">
        <f>VLOOKUP($A43&amp;" CP",'2018 SUBSEQUENT'!$A$13:$R$196,'2018 SUBSEQUENT'!I$9,FALSE)</f>
        <v>4629134.3161336724</v>
      </c>
      <c r="K43" s="145">
        <f>VLOOKUP($A43&amp;" CP",'2018 SUBSEQUENT'!$A$13:$R$196,'2018 SUBSEQUENT'!J$9,FALSE)</f>
        <v>4640186.6403206792</v>
      </c>
      <c r="L43" s="145">
        <f>VLOOKUP($A43&amp;" CP",'2018 SUBSEQUENT'!$A$13:$R$196,'2018 SUBSEQUENT'!K$9,FALSE)</f>
        <v>4339386.8120165234</v>
      </c>
      <c r="M43" s="145">
        <f>VLOOKUP($A43&amp;" CP",'2018 SUBSEQUENT'!$A$13:$R$196,'2018 SUBSEQUENT'!L$9,FALSE)</f>
        <v>4257396.1907815654</v>
      </c>
      <c r="N43" s="145">
        <f>VLOOKUP($A43&amp;" CP",'2018 SUBSEQUENT'!$A$13:$R$196,'2018 SUBSEQUENT'!M$9,FALSE)</f>
        <v>3993425.9239700236</v>
      </c>
      <c r="O43" s="145">
        <f>VLOOKUP($A43&amp;" CP",'2018 SUBSEQUENT'!$A$13:$R$196,'2018 SUBSEQUENT'!N$9,FALSE)</f>
        <v>3759950.3183885794</v>
      </c>
    </row>
    <row r="44" spans="1:26" s="240" customFormat="1">
      <c r="A44" t="s">
        <v>67</v>
      </c>
      <c r="B44" t="s">
        <v>651</v>
      </c>
      <c r="C44" s="240" t="s">
        <v>147</v>
      </c>
      <c r="D44" s="145">
        <f>VLOOKUP($A44&amp;" GNCP",'2018 SUBSEQUENT'!$A$13:$R$196,'2018 SUBSEQUENT'!C$9,FALSE)</f>
        <v>4166776.1468367078</v>
      </c>
      <c r="E44" s="145">
        <f>VLOOKUP($A44&amp;" GNCP",'2018 SUBSEQUENT'!$A$13:$R$196,'2018 SUBSEQUENT'!D$9,FALSE)</f>
        <v>4065345.095823904</v>
      </c>
      <c r="F44" s="145">
        <f>VLOOKUP($A44&amp;" GNCP",'2018 SUBSEQUENT'!$A$13:$R$196,'2018 SUBSEQUENT'!E$9,FALSE)</f>
        <v>3750526.2354018199</v>
      </c>
      <c r="G44" s="145">
        <f>VLOOKUP($A44&amp;" GNCP",'2018 SUBSEQUENT'!$A$13:$R$196,'2018 SUBSEQUENT'!F$9,FALSE)</f>
        <v>4088080.918029733</v>
      </c>
      <c r="H44" s="145">
        <f>VLOOKUP($A44&amp;" GNCP",'2018 SUBSEQUENT'!$A$13:$R$196,'2018 SUBSEQUENT'!G$9,FALSE)</f>
        <v>4359904.1155952932</v>
      </c>
      <c r="I44" s="145">
        <f>VLOOKUP($A44&amp;" GNCP",'2018 SUBSEQUENT'!$A$13:$R$196,'2018 SUBSEQUENT'!H$9,FALSE)</f>
        <v>4584118.0830018204</v>
      </c>
      <c r="J44" s="145">
        <f>VLOOKUP($A44&amp;" GNCP",'2018 SUBSEQUENT'!$A$13:$R$196,'2018 SUBSEQUENT'!I$9,FALSE)</f>
        <v>4629134.3161336724</v>
      </c>
      <c r="K44" s="145">
        <f>VLOOKUP($A44&amp;" GNCP",'2018 SUBSEQUENT'!$A$13:$R$196,'2018 SUBSEQUENT'!J$9,FALSE)</f>
        <v>4640186.6403206792</v>
      </c>
      <c r="L44" s="145">
        <f>VLOOKUP($A44&amp;" GNCP",'2018 SUBSEQUENT'!$A$13:$R$196,'2018 SUBSEQUENT'!K$9,FALSE)</f>
        <v>4701965.3420960875</v>
      </c>
      <c r="M44" s="145">
        <f>VLOOKUP($A44&amp;" GNCP",'2018 SUBSEQUENT'!$A$13:$R$196,'2018 SUBSEQUENT'!L$9,FALSE)</f>
        <v>4400092.8306087535</v>
      </c>
      <c r="N44" s="145">
        <f>VLOOKUP($A44&amp;" GNCP",'2018 SUBSEQUENT'!$A$13:$R$196,'2018 SUBSEQUENT'!M$9,FALSE)</f>
        <v>4262855.6137539707</v>
      </c>
      <c r="O44" s="145">
        <f>VLOOKUP($A44&amp;" GNCP",'2018 SUBSEQUENT'!$A$13:$R$196,'2018 SUBSEQUENT'!N$9,FALSE)</f>
        <v>4128154.8597730217</v>
      </c>
    </row>
    <row r="45" spans="1:26" s="240" customFormat="1">
      <c r="A45" t="s">
        <v>67</v>
      </c>
      <c r="B45" t="s">
        <v>651</v>
      </c>
      <c r="C45" s="240" t="s">
        <v>133</v>
      </c>
      <c r="D45" s="145">
        <f>VLOOKUP($A45&amp;" NCP",'2018 SUBSEQUENT'!$A$13:$R$196,'2018 SUBSEQUENT'!C$9,FALSE)</f>
        <v>6053326.5818369249</v>
      </c>
      <c r="E45" s="145">
        <f>VLOOKUP($A45&amp;" NCP",'2018 SUBSEQUENT'!$A$13:$R$196,'2018 SUBSEQUENT'!D$9,FALSE)</f>
        <v>5825079.8050292209</v>
      </c>
      <c r="F45" s="145">
        <f>VLOOKUP($A45&amp;" NCP",'2018 SUBSEQUENT'!$A$13:$R$196,'2018 SUBSEQUENT'!E$9,FALSE)</f>
        <v>5435621.7020224277</v>
      </c>
      <c r="G45" s="145">
        <f>VLOOKUP($A45&amp;" NCP",'2018 SUBSEQUENT'!$A$13:$R$196,'2018 SUBSEQUENT'!F$9,FALSE)</f>
        <v>5598465.471879676</v>
      </c>
      <c r="H45" s="145">
        <f>VLOOKUP($A45&amp;" NCP",'2018 SUBSEQUENT'!$A$13:$R$196,'2018 SUBSEQUENT'!G$9,FALSE)</f>
        <v>5773509.3970357897</v>
      </c>
      <c r="I45" s="145">
        <f>VLOOKUP($A45&amp;" NCP",'2018 SUBSEQUENT'!$A$13:$R$196,'2018 SUBSEQUENT'!H$9,FALSE)</f>
        <v>6157330.4697028408</v>
      </c>
      <c r="J45" s="145">
        <f>VLOOKUP($A45&amp;" NCP",'2018 SUBSEQUENT'!$A$13:$R$196,'2018 SUBSEQUENT'!I$9,FALSE)</f>
        <v>6043728.3967083758</v>
      </c>
      <c r="K45" s="145">
        <f>VLOOKUP($A45&amp;" NCP",'2018 SUBSEQUENT'!$A$13:$R$196,'2018 SUBSEQUENT'!J$9,FALSE)</f>
        <v>6003184.6555039501</v>
      </c>
      <c r="L45" s="145">
        <f>VLOOKUP($A45&amp;" NCP",'2018 SUBSEQUENT'!$A$13:$R$196,'2018 SUBSEQUENT'!K$9,FALSE)</f>
        <v>6267740.1214928403</v>
      </c>
      <c r="M45" s="145">
        <f>VLOOKUP($A45&amp;" NCP",'2018 SUBSEQUENT'!$A$13:$R$196,'2018 SUBSEQUENT'!L$9,FALSE)</f>
        <v>5954281.4551962418</v>
      </c>
      <c r="N45" s="145">
        <f>VLOOKUP($A45&amp;" NCP",'2018 SUBSEQUENT'!$A$13:$R$196,'2018 SUBSEQUENT'!M$9,FALSE)</f>
        <v>5969309.5047002584</v>
      </c>
      <c r="O45" s="145">
        <f>VLOOKUP($A45&amp;" NCP",'2018 SUBSEQUENT'!$A$13:$R$196,'2018 SUBSEQUENT'!N$9,FALSE)</f>
        <v>5793763.2245934522</v>
      </c>
    </row>
    <row r="46" spans="1:26">
      <c r="D46" s="241"/>
      <c r="E46" s="241"/>
      <c r="F46" s="241"/>
      <c r="G46" s="241"/>
      <c r="H46" s="241"/>
      <c r="I46" s="241"/>
      <c r="J46" s="241"/>
      <c r="K46" s="241"/>
      <c r="L46" s="241"/>
      <c r="M46" s="241"/>
      <c r="N46" s="241"/>
      <c r="O46" s="241"/>
      <c r="P46" s="241"/>
      <c r="Q46" s="242"/>
      <c r="S46" s="44"/>
      <c r="T46" s="44"/>
      <c r="U46" s="243"/>
    </row>
    <row r="47" spans="1:26">
      <c r="A47" t="s">
        <v>68</v>
      </c>
      <c r="B47" t="s">
        <v>656</v>
      </c>
      <c r="C47" t="s">
        <v>1110</v>
      </c>
    </row>
    <row r="48" spans="1:26">
      <c r="A48" t="s">
        <v>68</v>
      </c>
      <c r="B48" t="s">
        <v>656</v>
      </c>
      <c r="C48" t="s">
        <v>557</v>
      </c>
      <c r="D48" s="4">
        <f>$D$8</f>
        <v>43101</v>
      </c>
      <c r="E48" s="4">
        <f>$E$8</f>
        <v>43132</v>
      </c>
      <c r="F48" s="4">
        <f>$F$8</f>
        <v>43160</v>
      </c>
      <c r="G48" s="4">
        <f>$G$8</f>
        <v>43191</v>
      </c>
      <c r="H48" s="4">
        <f>$H$8</f>
        <v>43221</v>
      </c>
      <c r="I48" s="4">
        <f>$I$8</f>
        <v>43252</v>
      </c>
      <c r="J48" s="4">
        <f>$J$8</f>
        <v>43282</v>
      </c>
      <c r="K48" s="4">
        <f>$K$8</f>
        <v>43313</v>
      </c>
      <c r="L48" s="4">
        <f>$L$8</f>
        <v>43344</v>
      </c>
      <c r="M48" s="4">
        <f>$M$8</f>
        <v>43374</v>
      </c>
      <c r="N48" s="4">
        <f>$N$8</f>
        <v>43405</v>
      </c>
      <c r="O48" s="4">
        <f>$O$8</f>
        <v>43435</v>
      </c>
    </row>
    <row r="49" spans="1:21" s="240" customFormat="1">
      <c r="A49" t="s">
        <v>68</v>
      </c>
      <c r="B49" t="s">
        <v>656</v>
      </c>
      <c r="C49" s="240" t="s">
        <v>148</v>
      </c>
      <c r="D49" s="145">
        <f>VLOOKUP($A49&amp;" CP",'2018 SUBSEQUENT'!$A$13:$R$196,'2018 SUBSEQUENT'!C$9,FALSE)</f>
        <v>1465290.5325141579</v>
      </c>
      <c r="E49" s="145">
        <f>VLOOKUP($A49&amp;" CP",'2018 SUBSEQUENT'!$A$13:$R$196,'2018 SUBSEQUENT'!D$9,FALSE)</f>
        <v>1706370.3543894158</v>
      </c>
      <c r="F49" s="145">
        <f>VLOOKUP($A49&amp;" CP",'2018 SUBSEQUENT'!$A$13:$R$196,'2018 SUBSEQUENT'!E$9,FALSE)</f>
        <v>1427294.3552634828</v>
      </c>
      <c r="G49" s="145">
        <f>VLOOKUP($A49&amp;" CP",'2018 SUBSEQUENT'!$A$13:$R$196,'2018 SUBSEQUENT'!F$9,FALSE)</f>
        <v>1648082.1303820838</v>
      </c>
      <c r="H49" s="145">
        <f>VLOOKUP($A49&amp;" CP",'2018 SUBSEQUENT'!$A$13:$R$196,'2018 SUBSEQUENT'!G$9,FALSE)</f>
        <v>1743381.2687417087</v>
      </c>
      <c r="I49" s="145">
        <f>VLOOKUP($A49&amp;" CP",'2018 SUBSEQUENT'!$A$13:$R$196,'2018 SUBSEQUENT'!H$9,FALSE)</f>
        <v>1831843.6754303798</v>
      </c>
      <c r="J49" s="145">
        <f>VLOOKUP($A49&amp;" CP",'2018 SUBSEQUENT'!$A$13:$R$196,'2018 SUBSEQUENT'!I$9,FALSE)</f>
        <v>1759659.0978182687</v>
      </c>
      <c r="K49" s="145">
        <f>VLOOKUP($A49&amp;" CP",'2018 SUBSEQUENT'!$A$13:$R$196,'2018 SUBSEQUENT'!J$9,FALSE)</f>
        <v>1820958.3490329061</v>
      </c>
      <c r="L49" s="145">
        <f>VLOOKUP($A49&amp;" CP",'2018 SUBSEQUENT'!$A$13:$R$196,'2018 SUBSEQUENT'!K$9,FALSE)</f>
        <v>1642440.8767967934</v>
      </c>
      <c r="M49" s="145">
        <f>VLOOKUP($A49&amp;" CP",'2018 SUBSEQUENT'!$A$13:$R$196,'2018 SUBSEQUENT'!L$9,FALSE)</f>
        <v>1752718.1086424384</v>
      </c>
      <c r="N49" s="145">
        <f>VLOOKUP($A49&amp;" CP",'2018 SUBSEQUENT'!$A$13:$R$196,'2018 SUBSEQUENT'!M$9,FALSE)</f>
        <v>1607578.2087142812</v>
      </c>
      <c r="O49" s="145">
        <f>VLOOKUP($A49&amp;" CP",'2018 SUBSEQUENT'!$A$13:$R$196,'2018 SUBSEQUENT'!N$9,FALSE)</f>
        <v>1526885.3365716282</v>
      </c>
    </row>
    <row r="50" spans="1:21" s="240" customFormat="1">
      <c r="A50" t="s">
        <v>68</v>
      </c>
      <c r="B50" t="s">
        <v>656</v>
      </c>
      <c r="C50" s="240" t="s">
        <v>147</v>
      </c>
      <c r="D50" s="145">
        <f>VLOOKUP($A50&amp;" GNCP",'2018 SUBSEQUENT'!$A$13:$R$196,'2018 SUBSEQUENT'!C$9,FALSE)</f>
        <v>1767361.5925516135</v>
      </c>
      <c r="E50" s="145">
        <f>VLOOKUP($A50&amp;" GNCP",'2018 SUBSEQUENT'!$A$13:$R$196,'2018 SUBSEQUENT'!D$9,FALSE)</f>
        <v>1765052.2565956744</v>
      </c>
      <c r="F50" s="145">
        <f>VLOOKUP($A50&amp;" GNCP",'2018 SUBSEQUENT'!$A$13:$R$196,'2018 SUBSEQUENT'!E$9,FALSE)</f>
        <v>1643837.8453562816</v>
      </c>
      <c r="G50" s="145">
        <f>VLOOKUP($A50&amp;" GNCP",'2018 SUBSEQUENT'!$A$13:$R$196,'2018 SUBSEQUENT'!F$9,FALSE)</f>
        <v>1689945.7908110449</v>
      </c>
      <c r="H50" s="145">
        <f>VLOOKUP($A50&amp;" GNCP",'2018 SUBSEQUENT'!$A$13:$R$196,'2018 SUBSEQUENT'!G$9,FALSE)</f>
        <v>1769328.3133835248</v>
      </c>
      <c r="I50" s="145">
        <f>VLOOKUP($A50&amp;" GNCP",'2018 SUBSEQUENT'!$A$13:$R$196,'2018 SUBSEQUENT'!H$9,FALSE)</f>
        <v>1833451.5368590944</v>
      </c>
      <c r="J50" s="145">
        <f>VLOOKUP($A50&amp;" GNCP",'2018 SUBSEQUENT'!$A$13:$R$196,'2018 SUBSEQUENT'!I$9,FALSE)</f>
        <v>1759659.0978182687</v>
      </c>
      <c r="K50" s="145">
        <f>VLOOKUP($A50&amp;" GNCP",'2018 SUBSEQUENT'!$A$13:$R$196,'2018 SUBSEQUENT'!J$9,FALSE)</f>
        <v>1840238.2198085808</v>
      </c>
      <c r="L50" s="145">
        <f>VLOOKUP($A50&amp;" GNCP",'2018 SUBSEQUENT'!$A$13:$R$196,'2018 SUBSEQUENT'!K$9,FALSE)</f>
        <v>1935087.724463901</v>
      </c>
      <c r="M50" s="145">
        <f>VLOOKUP($A50&amp;" GNCP",'2018 SUBSEQUENT'!$A$13:$R$196,'2018 SUBSEQUENT'!L$9,FALSE)</f>
        <v>1837819.6864316307</v>
      </c>
      <c r="N50" s="145">
        <f>VLOOKUP($A50&amp;" GNCP",'2018 SUBSEQUENT'!$A$13:$R$196,'2018 SUBSEQUENT'!M$9,FALSE)</f>
        <v>1838505.1342197452</v>
      </c>
      <c r="O50" s="145">
        <f>VLOOKUP($A50&amp;" GNCP",'2018 SUBSEQUENT'!$A$13:$R$196,'2018 SUBSEQUENT'!N$9,FALSE)</f>
        <v>1862128.804482775</v>
      </c>
    </row>
    <row r="51" spans="1:21" s="240" customFormat="1">
      <c r="A51" t="s">
        <v>68</v>
      </c>
      <c r="B51" t="s">
        <v>656</v>
      </c>
      <c r="C51" s="240" t="s">
        <v>133</v>
      </c>
      <c r="D51" s="145">
        <f>VLOOKUP($A51&amp;" NCP",'2018 SUBSEQUENT'!$A$13:$R$196,'2018 SUBSEQUENT'!C$9,FALSE)</f>
        <v>2110577.4202683987</v>
      </c>
      <c r="E51" s="145">
        <f>VLOOKUP($A51&amp;" NCP",'2018 SUBSEQUENT'!$A$13:$R$196,'2018 SUBSEQUENT'!D$9,FALSE)</f>
        <v>2073082.0240497014</v>
      </c>
      <c r="F51" s="145">
        <f>VLOOKUP($A51&amp;" NCP",'2018 SUBSEQUENT'!$A$13:$R$196,'2018 SUBSEQUENT'!E$9,FALSE)</f>
        <v>1963441.6713403258</v>
      </c>
      <c r="G51" s="145">
        <f>VLOOKUP($A51&amp;" NCP",'2018 SUBSEQUENT'!$A$13:$R$196,'2018 SUBSEQUENT'!F$9,FALSE)</f>
        <v>1994339.0424477945</v>
      </c>
      <c r="H51" s="145">
        <f>VLOOKUP($A51&amp;" NCP",'2018 SUBSEQUENT'!$A$13:$R$196,'2018 SUBSEQUENT'!G$9,FALSE)</f>
        <v>2108868.4591746437</v>
      </c>
      <c r="I51" s="145">
        <f>VLOOKUP($A51&amp;" NCP",'2018 SUBSEQUENT'!$A$13:$R$196,'2018 SUBSEQUENT'!H$9,FALSE)</f>
        <v>2248788.7256974285</v>
      </c>
      <c r="J51" s="145">
        <f>VLOOKUP($A51&amp;" NCP",'2018 SUBSEQUENT'!$A$13:$R$196,'2018 SUBSEQUENT'!I$9,FALSE)</f>
        <v>2121829.2884894093</v>
      </c>
      <c r="K51" s="145">
        <f>VLOOKUP($A51&amp;" NCP",'2018 SUBSEQUENT'!$A$13:$R$196,'2018 SUBSEQUENT'!J$9,FALSE)</f>
        <v>2161908.0695812912</v>
      </c>
      <c r="L51" s="145">
        <f>VLOOKUP($A51&amp;" NCP",'2018 SUBSEQUENT'!$A$13:$R$196,'2018 SUBSEQUENT'!K$9,FALSE)</f>
        <v>2278363.6315221656</v>
      </c>
      <c r="M51" s="145">
        <f>VLOOKUP($A51&amp;" NCP",'2018 SUBSEQUENT'!$A$13:$R$196,'2018 SUBSEQUENT'!L$9,FALSE)</f>
        <v>2153798.5399206942</v>
      </c>
      <c r="N51" s="145">
        <f>VLOOKUP($A51&amp;" NCP",'2018 SUBSEQUENT'!$A$13:$R$196,'2018 SUBSEQUENT'!M$9,FALSE)</f>
        <v>2135373.6489866525</v>
      </c>
      <c r="O51" s="145">
        <f>VLOOKUP($A51&amp;" NCP",'2018 SUBSEQUENT'!$A$13:$R$196,'2018 SUBSEQUENT'!N$9,FALSE)</f>
        <v>2160837.2595794871</v>
      </c>
    </row>
    <row r="52" spans="1:21">
      <c r="D52" s="241"/>
      <c r="E52" s="241"/>
      <c r="F52" s="241"/>
      <c r="G52" s="241"/>
      <c r="H52" s="241"/>
      <c r="I52" s="241"/>
      <c r="J52" s="241"/>
      <c r="K52" s="241"/>
      <c r="L52" s="241"/>
      <c r="M52" s="241"/>
      <c r="N52" s="241"/>
      <c r="O52" s="241"/>
      <c r="P52" s="241"/>
      <c r="Q52" s="242"/>
      <c r="S52" s="44"/>
      <c r="T52" s="44"/>
      <c r="U52" s="243"/>
    </row>
    <row r="53" spans="1:21">
      <c r="A53" t="s">
        <v>15</v>
      </c>
      <c r="B53" t="s">
        <v>15</v>
      </c>
      <c r="C53" t="s">
        <v>1108</v>
      </c>
      <c r="S53" t="s">
        <v>539</v>
      </c>
    </row>
    <row r="54" spans="1:21">
      <c r="A54" t="s">
        <v>15</v>
      </c>
      <c r="B54" t="s">
        <v>15</v>
      </c>
      <c r="C54" t="s">
        <v>557</v>
      </c>
      <c r="D54" s="4">
        <f>$D$8</f>
        <v>43101</v>
      </c>
      <c r="E54" s="4">
        <f>$E$8</f>
        <v>43132</v>
      </c>
      <c r="F54" s="4">
        <f>$F$8</f>
        <v>43160</v>
      </c>
      <c r="G54" s="4">
        <f>$G$8</f>
        <v>43191</v>
      </c>
      <c r="H54" s="4">
        <f>$H$8</f>
        <v>43221</v>
      </c>
      <c r="I54" s="4">
        <f>$I$8</f>
        <v>43252</v>
      </c>
      <c r="J54" s="4">
        <f>$J$8</f>
        <v>43282</v>
      </c>
      <c r="K54" s="4">
        <f>$K$8</f>
        <v>43313</v>
      </c>
      <c r="L54" s="4">
        <f>$L$8</f>
        <v>43344</v>
      </c>
      <c r="M54" s="4">
        <f>$M$8</f>
        <v>43374</v>
      </c>
      <c r="N54" s="4">
        <f>$N$8</f>
        <v>43405</v>
      </c>
      <c r="O54" s="4">
        <f>$O$8</f>
        <v>43435</v>
      </c>
    </row>
    <row r="55" spans="1:21" s="240" customFormat="1">
      <c r="A55" t="s">
        <v>15</v>
      </c>
      <c r="B55" t="s">
        <v>15</v>
      </c>
      <c r="C55" s="240" t="s">
        <v>148</v>
      </c>
      <c r="D55" s="145">
        <f>VLOOKUP($A55&amp;" CP",'2018 SUBSEQUENT'!$A$13:$R$196,'2018 SUBSEQUENT'!C$9,FALSE)</f>
        <v>15822.838692788855</v>
      </c>
      <c r="E55" s="145">
        <f>VLOOKUP($A55&amp;" CP",'2018 SUBSEQUENT'!$A$13:$R$196,'2018 SUBSEQUENT'!D$9,FALSE)</f>
        <v>13949.797490312923</v>
      </c>
      <c r="F55" s="145">
        <f>VLOOKUP($A55&amp;" CP",'2018 SUBSEQUENT'!$A$13:$R$196,'2018 SUBSEQUENT'!E$9,FALSE)</f>
        <v>12268.751694524557</v>
      </c>
      <c r="G55" s="145">
        <f>VLOOKUP($A55&amp;" CP",'2018 SUBSEQUENT'!$A$13:$R$196,'2018 SUBSEQUENT'!F$9,FALSE)</f>
        <v>15674.143769544473</v>
      </c>
      <c r="H55" s="145">
        <f>VLOOKUP($A55&amp;" CP",'2018 SUBSEQUENT'!$A$13:$R$196,'2018 SUBSEQUENT'!G$9,FALSE)</f>
        <v>16279.185770652499</v>
      </c>
      <c r="I55" s="145">
        <f>VLOOKUP($A55&amp;" CP",'2018 SUBSEQUENT'!$A$13:$R$196,'2018 SUBSEQUENT'!H$9,FALSE)</f>
        <v>15337.583152045403</v>
      </c>
      <c r="J55" s="145">
        <f>VLOOKUP($A55&amp;" CP",'2018 SUBSEQUENT'!$A$13:$R$196,'2018 SUBSEQUENT'!I$9,FALSE)</f>
        <v>15837.323546937088</v>
      </c>
      <c r="K55" s="145">
        <f>VLOOKUP($A55&amp;" CP",'2018 SUBSEQUENT'!$A$13:$R$196,'2018 SUBSEQUENT'!J$9,FALSE)</f>
        <v>16485.648609040738</v>
      </c>
      <c r="L55" s="145">
        <f>VLOOKUP($A55&amp;" CP",'2018 SUBSEQUENT'!$A$13:$R$196,'2018 SUBSEQUENT'!K$9,FALSE)</f>
        <v>14151.079674803599</v>
      </c>
      <c r="M55" s="145">
        <f>VLOOKUP($A55&amp;" CP",'2018 SUBSEQUENT'!$A$13:$R$196,'2018 SUBSEQUENT'!L$9,FALSE)</f>
        <v>14028.611964977883</v>
      </c>
      <c r="N55" s="145">
        <f>VLOOKUP($A55&amp;" CP",'2018 SUBSEQUENT'!$A$13:$R$196,'2018 SUBSEQUENT'!M$9,FALSE)</f>
        <v>13890.154713914797</v>
      </c>
      <c r="O55" s="145">
        <f>VLOOKUP($A55&amp;" CP",'2018 SUBSEQUENT'!$A$13:$R$196,'2018 SUBSEQUENT'!N$9,FALSE)</f>
        <v>12296.955439030145</v>
      </c>
    </row>
    <row r="56" spans="1:21" s="240" customFormat="1">
      <c r="A56" t="s">
        <v>15</v>
      </c>
      <c r="B56" t="s">
        <v>15</v>
      </c>
      <c r="C56" s="240" t="s">
        <v>147</v>
      </c>
      <c r="D56" s="145">
        <f>VLOOKUP($A56&amp;" GNCP",'2018 SUBSEQUENT'!$A$13:$R$196,'2018 SUBSEQUENT'!C$9,FALSE)</f>
        <v>16405.469354029377</v>
      </c>
      <c r="E56" s="145">
        <f>VLOOKUP($A56&amp;" GNCP",'2018 SUBSEQUENT'!$A$13:$R$196,'2018 SUBSEQUENT'!D$9,FALSE)</f>
        <v>16798.917464913317</v>
      </c>
      <c r="F56" s="145">
        <f>VLOOKUP($A56&amp;" GNCP",'2018 SUBSEQUENT'!$A$13:$R$196,'2018 SUBSEQUENT'!E$9,FALSE)</f>
        <v>13915.632510781281</v>
      </c>
      <c r="G56" s="145">
        <f>VLOOKUP($A56&amp;" GNCP",'2018 SUBSEQUENT'!$A$13:$R$196,'2018 SUBSEQUENT'!F$9,FALSE)</f>
        <v>16098.389643861741</v>
      </c>
      <c r="H56" s="145">
        <f>VLOOKUP($A56&amp;" GNCP",'2018 SUBSEQUENT'!$A$13:$R$196,'2018 SUBSEQUENT'!G$9,FALSE)</f>
        <v>16279.185770652499</v>
      </c>
      <c r="I56" s="145">
        <f>VLOOKUP($A56&amp;" GNCP",'2018 SUBSEQUENT'!$A$13:$R$196,'2018 SUBSEQUENT'!H$9,FALSE)</f>
        <v>16561.655336237865</v>
      </c>
      <c r="J56" s="145">
        <f>VLOOKUP($A56&amp;" GNCP",'2018 SUBSEQUENT'!$A$13:$R$196,'2018 SUBSEQUENT'!I$9,FALSE)</f>
        <v>16631.643389014404</v>
      </c>
      <c r="K56" s="145">
        <f>VLOOKUP($A56&amp;" GNCP",'2018 SUBSEQUENT'!$A$13:$R$196,'2018 SUBSEQUENT'!J$9,FALSE)</f>
        <v>16485.648609040738</v>
      </c>
      <c r="L56" s="145">
        <f>VLOOKUP($A56&amp;" GNCP",'2018 SUBSEQUENT'!$A$13:$R$196,'2018 SUBSEQUENT'!K$9,FALSE)</f>
        <v>17101.002680929632</v>
      </c>
      <c r="M56" s="145">
        <f>VLOOKUP($A56&amp;" GNCP",'2018 SUBSEQUENT'!$A$13:$R$196,'2018 SUBSEQUENT'!L$9,FALSE)</f>
        <v>16292.090442886734</v>
      </c>
      <c r="N56" s="145">
        <f>VLOOKUP($A56&amp;" GNCP",'2018 SUBSEQUENT'!$A$13:$R$196,'2018 SUBSEQUENT'!M$9,FALSE)</f>
        <v>16315.577978963482</v>
      </c>
      <c r="O56" s="145">
        <f>VLOOKUP($A56&amp;" GNCP",'2018 SUBSEQUENT'!$A$13:$R$196,'2018 SUBSEQUENT'!N$9,FALSE)</f>
        <v>14675.784831056417</v>
      </c>
    </row>
    <row r="57" spans="1:21" s="240" customFormat="1">
      <c r="A57" t="s">
        <v>15</v>
      </c>
      <c r="B57" t="s">
        <v>15</v>
      </c>
      <c r="C57" s="240" t="s">
        <v>133</v>
      </c>
      <c r="D57" s="145">
        <f>VLOOKUP($A57&amp;" NCP",'2018 SUBSEQUENT'!$A$13:$R$196,'2018 SUBSEQUENT'!C$9,FALSE)</f>
        <v>18782.4875102281</v>
      </c>
      <c r="E57" s="145">
        <f>VLOOKUP($A57&amp;" NCP",'2018 SUBSEQUENT'!$A$13:$R$196,'2018 SUBSEQUENT'!D$9,FALSE)</f>
        <v>19920.86989770017</v>
      </c>
      <c r="F57" s="145">
        <f>VLOOKUP($A57&amp;" NCP",'2018 SUBSEQUENT'!$A$13:$R$196,'2018 SUBSEQUENT'!E$9,FALSE)</f>
        <v>16355.792394271068</v>
      </c>
      <c r="G57" s="145">
        <f>VLOOKUP($A57&amp;" NCP",'2018 SUBSEQUENT'!$A$13:$R$196,'2018 SUBSEQUENT'!F$9,FALSE)</f>
        <v>19332.078915559985</v>
      </c>
      <c r="H57" s="145">
        <f>VLOOKUP($A57&amp;" NCP",'2018 SUBSEQUENT'!$A$13:$R$196,'2018 SUBSEQUENT'!G$9,FALSE)</f>
        <v>18783.854756211113</v>
      </c>
      <c r="I57" s="145">
        <f>VLOOKUP($A57&amp;" NCP",'2018 SUBSEQUENT'!$A$13:$R$196,'2018 SUBSEQUENT'!H$9,FALSE)</f>
        <v>19898.022935342375</v>
      </c>
      <c r="J57" s="145">
        <f>VLOOKUP($A57&amp;" NCP",'2018 SUBSEQUENT'!$A$13:$R$196,'2018 SUBSEQUENT'!I$9,FALSE)</f>
        <v>20696.794304219256</v>
      </c>
      <c r="K57" s="145">
        <f>VLOOKUP($A57&amp;" NCP",'2018 SUBSEQUENT'!$A$13:$R$196,'2018 SUBSEQUENT'!J$9,FALSE)</f>
        <v>20379.9660969711</v>
      </c>
      <c r="L57" s="145">
        <f>VLOOKUP($A57&amp;" NCP",'2018 SUBSEQUENT'!$A$13:$R$196,'2018 SUBSEQUENT'!K$9,FALSE)</f>
        <v>21114.022004504906</v>
      </c>
      <c r="M57" s="145">
        <f>VLOOKUP($A57&amp;" NCP",'2018 SUBSEQUENT'!$A$13:$R$196,'2018 SUBSEQUENT'!L$9,FALSE)</f>
        <v>19967.213776121618</v>
      </c>
      <c r="N57" s="145">
        <f>VLOOKUP($A57&amp;" NCP",'2018 SUBSEQUENT'!$A$13:$R$196,'2018 SUBSEQUENT'!M$9,FALSE)</f>
        <v>18688.810824983462</v>
      </c>
      <c r="O57" s="145">
        <f>VLOOKUP($A57&amp;" NCP",'2018 SUBSEQUENT'!$A$13:$R$196,'2018 SUBSEQUENT'!N$9,FALSE)</f>
        <v>16594.849116187648</v>
      </c>
    </row>
    <row r="58" spans="1:21" s="240" customFormat="1">
      <c r="A58"/>
      <c r="B58"/>
    </row>
    <row r="59" spans="1:21">
      <c r="A59" t="s">
        <v>56</v>
      </c>
      <c r="B59" t="s">
        <v>19</v>
      </c>
      <c r="C59" t="s">
        <v>1106</v>
      </c>
    </row>
    <row r="60" spans="1:21">
      <c r="A60" t="s">
        <v>56</v>
      </c>
      <c r="B60" t="s">
        <v>19</v>
      </c>
      <c r="C60" t="s">
        <v>557</v>
      </c>
      <c r="D60" s="4">
        <f>$D$8</f>
        <v>43101</v>
      </c>
      <c r="E60" s="4">
        <f>$E$8</f>
        <v>43132</v>
      </c>
      <c r="F60" s="4">
        <f>$F$8</f>
        <v>43160</v>
      </c>
      <c r="G60" s="4">
        <f>$G$8</f>
        <v>43191</v>
      </c>
      <c r="H60" s="4">
        <f>$H$8</f>
        <v>43221</v>
      </c>
      <c r="I60" s="4">
        <f>$I$8</f>
        <v>43252</v>
      </c>
      <c r="J60" s="4">
        <f>$J$8</f>
        <v>43282</v>
      </c>
      <c r="K60" s="4">
        <f>$K$8</f>
        <v>43313</v>
      </c>
      <c r="L60" s="4">
        <f>$L$8</f>
        <v>43344</v>
      </c>
      <c r="M60" s="4">
        <f>$M$8</f>
        <v>43374</v>
      </c>
      <c r="N60" s="4">
        <f>$N$8</f>
        <v>43405</v>
      </c>
      <c r="O60" s="4">
        <f>$O$8</f>
        <v>43435</v>
      </c>
    </row>
    <row r="61" spans="1:21" s="240" customFormat="1">
      <c r="A61" t="s">
        <v>56</v>
      </c>
      <c r="B61" t="s">
        <v>19</v>
      </c>
      <c r="C61" s="240" t="s">
        <v>148</v>
      </c>
      <c r="D61" s="145">
        <f>VLOOKUP($A61&amp;" CP",'2018 SUBSEQUENT'!$A$13:$R$196,'2018 SUBSEQUENT'!C$9,FALSE)</f>
        <v>8987.5190980299012</v>
      </c>
      <c r="E61" s="145">
        <f>VLOOKUP($A61&amp;" CP",'2018 SUBSEQUENT'!$A$13:$R$196,'2018 SUBSEQUENT'!D$9,FALSE)</f>
        <v>0</v>
      </c>
      <c r="F61" s="145">
        <f>VLOOKUP($A61&amp;" CP",'2018 SUBSEQUENT'!$A$13:$R$196,'2018 SUBSEQUENT'!E$9,FALSE)</f>
        <v>0</v>
      </c>
      <c r="G61" s="145">
        <f>VLOOKUP($A61&amp;" CP",'2018 SUBSEQUENT'!$A$13:$R$196,'2018 SUBSEQUENT'!F$9,FALSE)</f>
        <v>0</v>
      </c>
      <c r="H61" s="145">
        <f>VLOOKUP($A61&amp;" CP",'2018 SUBSEQUENT'!$A$13:$R$196,'2018 SUBSEQUENT'!G$9,FALSE)</f>
        <v>0</v>
      </c>
      <c r="I61" s="145">
        <f>VLOOKUP($A61&amp;" CP",'2018 SUBSEQUENT'!$A$13:$R$196,'2018 SUBSEQUENT'!H$9,FALSE)</f>
        <v>0</v>
      </c>
      <c r="J61" s="145">
        <f>VLOOKUP($A61&amp;" CP",'2018 SUBSEQUENT'!$A$13:$R$196,'2018 SUBSEQUENT'!I$9,FALSE)</f>
        <v>0</v>
      </c>
      <c r="K61" s="145">
        <f>VLOOKUP($A61&amp;" CP",'2018 SUBSEQUENT'!$A$13:$R$196,'2018 SUBSEQUENT'!J$9,FALSE)</f>
        <v>0</v>
      </c>
      <c r="L61" s="145">
        <f>VLOOKUP($A61&amp;" CP",'2018 SUBSEQUENT'!$A$13:$R$196,'2018 SUBSEQUENT'!K$9,FALSE)</f>
        <v>0</v>
      </c>
      <c r="M61" s="145">
        <f>VLOOKUP($A61&amp;" CP",'2018 SUBSEQUENT'!$A$13:$R$196,'2018 SUBSEQUENT'!L$9,FALSE)</f>
        <v>0</v>
      </c>
      <c r="N61" s="145">
        <f>VLOOKUP($A61&amp;" CP",'2018 SUBSEQUENT'!$A$13:$R$196,'2018 SUBSEQUENT'!M$9,FALSE)</f>
        <v>6753.1442852286291</v>
      </c>
      <c r="O61" s="145">
        <f>VLOOKUP($A61&amp;" CP",'2018 SUBSEQUENT'!$A$13:$R$196,'2018 SUBSEQUENT'!N$9,FALSE)</f>
        <v>6678.9655183355871</v>
      </c>
    </row>
    <row r="62" spans="1:21" s="240" customFormat="1">
      <c r="A62" t="s">
        <v>56</v>
      </c>
      <c r="B62" t="s">
        <v>19</v>
      </c>
      <c r="C62" s="240" t="s">
        <v>147</v>
      </c>
      <c r="D62" s="145">
        <f>VLOOKUP($A62&amp;" GNCP",'2018 SUBSEQUENT'!$A$13:$R$196,'2018 SUBSEQUENT'!C$9,FALSE)</f>
        <v>19792.981217630091</v>
      </c>
      <c r="E62" s="145">
        <f>VLOOKUP($A62&amp;" GNCP",'2018 SUBSEQUENT'!$A$13:$R$196,'2018 SUBSEQUENT'!D$9,FALSE)</f>
        <v>22823.105336463726</v>
      </c>
      <c r="F62" s="145">
        <f>VLOOKUP($A62&amp;" GNCP",'2018 SUBSEQUENT'!$A$13:$R$196,'2018 SUBSEQUENT'!E$9,FALSE)</f>
        <v>21903.874691940029</v>
      </c>
      <c r="G62" s="145">
        <f>VLOOKUP($A62&amp;" GNCP",'2018 SUBSEQUENT'!$A$13:$R$196,'2018 SUBSEQUENT'!F$9,FALSE)</f>
        <v>24097.062742550355</v>
      </c>
      <c r="H62" s="145">
        <f>VLOOKUP($A62&amp;" GNCP",'2018 SUBSEQUENT'!$A$13:$R$196,'2018 SUBSEQUENT'!G$9,FALSE)</f>
        <v>24674.871451979074</v>
      </c>
      <c r="I62" s="145">
        <f>VLOOKUP($A62&amp;" GNCP",'2018 SUBSEQUENT'!$A$13:$R$196,'2018 SUBSEQUENT'!H$9,FALSE)</f>
        <v>26235.774346634145</v>
      </c>
      <c r="J62" s="145">
        <f>VLOOKUP($A62&amp;" GNCP",'2018 SUBSEQUENT'!$A$13:$R$196,'2018 SUBSEQUENT'!I$9,FALSE)</f>
        <v>25042.26452525302</v>
      </c>
      <c r="K62" s="145">
        <f>VLOOKUP($A62&amp;" GNCP",'2018 SUBSEQUENT'!$A$13:$R$196,'2018 SUBSEQUENT'!J$9,FALSE)</f>
        <v>23834.288611680935</v>
      </c>
      <c r="L62" s="145">
        <f>VLOOKUP($A62&amp;" GNCP",'2018 SUBSEQUENT'!$A$13:$R$196,'2018 SUBSEQUENT'!K$9,FALSE)</f>
        <v>23097.633564711916</v>
      </c>
      <c r="M62" s="145">
        <f>VLOOKUP($A62&amp;" GNCP",'2018 SUBSEQUENT'!$A$13:$R$196,'2018 SUBSEQUENT'!L$9,FALSE)</f>
        <v>20977.530499756325</v>
      </c>
      <c r="N62" s="145">
        <f>VLOOKUP($A62&amp;" GNCP",'2018 SUBSEQUENT'!$A$13:$R$196,'2018 SUBSEQUENT'!M$9,FALSE)</f>
        <v>20600.331814892688</v>
      </c>
      <c r="O62" s="145">
        <f>VLOOKUP($A62&amp;" GNCP",'2018 SUBSEQUENT'!$A$13:$R$196,'2018 SUBSEQUENT'!N$9,FALSE)</f>
        <v>19457.810679410817</v>
      </c>
    </row>
    <row r="63" spans="1:21" s="240" customFormat="1">
      <c r="A63" t="s">
        <v>56</v>
      </c>
      <c r="B63" t="s">
        <v>19</v>
      </c>
      <c r="C63" s="240" t="s">
        <v>133</v>
      </c>
      <c r="D63" s="145">
        <f>VLOOKUP($A63&amp;" NCP",'2018 SUBSEQUENT'!$A$13:$R$196,'2018 SUBSEQUENT'!C$9,FALSE)</f>
        <v>19792.981217630091</v>
      </c>
      <c r="E63" s="145">
        <f>VLOOKUP($A63&amp;" NCP",'2018 SUBSEQUENT'!$A$13:$R$196,'2018 SUBSEQUENT'!D$9,FALSE)</f>
        <v>22823.105336463726</v>
      </c>
      <c r="F63" s="145">
        <f>VLOOKUP($A63&amp;" NCP",'2018 SUBSEQUENT'!$A$13:$R$196,'2018 SUBSEQUENT'!E$9,FALSE)</f>
        <v>21903.874691940029</v>
      </c>
      <c r="G63" s="145">
        <f>VLOOKUP($A63&amp;" NCP",'2018 SUBSEQUENT'!$A$13:$R$196,'2018 SUBSEQUENT'!F$9,FALSE)</f>
        <v>24097.062742550355</v>
      </c>
      <c r="H63" s="145">
        <f>VLOOKUP($A63&amp;" NCP",'2018 SUBSEQUENT'!$A$13:$R$196,'2018 SUBSEQUENT'!G$9,FALSE)</f>
        <v>24674.871451979074</v>
      </c>
      <c r="I63" s="145">
        <f>VLOOKUP($A63&amp;" NCP",'2018 SUBSEQUENT'!$A$13:$R$196,'2018 SUBSEQUENT'!H$9,FALSE)</f>
        <v>26235.774346634145</v>
      </c>
      <c r="J63" s="145">
        <f>VLOOKUP($A63&amp;" NCP",'2018 SUBSEQUENT'!$A$13:$R$196,'2018 SUBSEQUENT'!I$9,FALSE)</f>
        <v>25042.26452525302</v>
      </c>
      <c r="K63" s="145">
        <f>VLOOKUP($A63&amp;" NCP",'2018 SUBSEQUENT'!$A$13:$R$196,'2018 SUBSEQUENT'!J$9,FALSE)</f>
        <v>23834.288611680935</v>
      </c>
      <c r="L63" s="145">
        <f>VLOOKUP($A63&amp;" NCP",'2018 SUBSEQUENT'!$A$13:$R$196,'2018 SUBSEQUENT'!K$9,FALSE)</f>
        <v>23097.633564711916</v>
      </c>
      <c r="M63" s="145">
        <f>VLOOKUP($A63&amp;" NCP",'2018 SUBSEQUENT'!$A$13:$R$196,'2018 SUBSEQUENT'!L$9,FALSE)</f>
        <v>20977.530499756325</v>
      </c>
      <c r="N63" s="145">
        <f>VLOOKUP($A63&amp;" NCP",'2018 SUBSEQUENT'!$A$13:$R$196,'2018 SUBSEQUENT'!M$9,FALSE)</f>
        <v>20600.331814892688</v>
      </c>
      <c r="O63" s="145">
        <f>VLOOKUP($A63&amp;" NCP",'2018 SUBSEQUENT'!$A$13:$R$196,'2018 SUBSEQUENT'!N$9,FALSE)</f>
        <v>19457.810679410817</v>
      </c>
    </row>
    <row r="65" spans="1:21">
      <c r="A65" t="s">
        <v>57</v>
      </c>
      <c r="B65" t="s">
        <v>22</v>
      </c>
      <c r="C65" t="s">
        <v>1105</v>
      </c>
    </row>
    <row r="66" spans="1:21">
      <c r="A66" t="s">
        <v>57</v>
      </c>
      <c r="B66" t="s">
        <v>22</v>
      </c>
      <c r="C66" t="s">
        <v>557</v>
      </c>
      <c r="D66" s="4">
        <f>$D$8</f>
        <v>43101</v>
      </c>
      <c r="E66" s="4">
        <f>$E$8</f>
        <v>43132</v>
      </c>
      <c r="F66" s="4">
        <f>$F$8</f>
        <v>43160</v>
      </c>
      <c r="G66" s="4">
        <f>$G$8</f>
        <v>43191</v>
      </c>
      <c r="H66" s="4">
        <f>$H$8</f>
        <v>43221</v>
      </c>
      <c r="I66" s="4">
        <f>$I$8</f>
        <v>43252</v>
      </c>
      <c r="J66" s="4">
        <f>$J$8</f>
        <v>43282</v>
      </c>
      <c r="K66" s="4">
        <f>$K$8</f>
        <v>43313</v>
      </c>
      <c r="L66" s="4">
        <f>$L$8</f>
        <v>43344</v>
      </c>
      <c r="M66" s="4">
        <f>$M$8</f>
        <v>43374</v>
      </c>
      <c r="N66" s="4">
        <f>$N$8</f>
        <v>43405</v>
      </c>
      <c r="O66" s="4">
        <f>$O$8</f>
        <v>43435</v>
      </c>
    </row>
    <row r="67" spans="1:21" s="240" customFormat="1">
      <c r="A67" t="s">
        <v>57</v>
      </c>
      <c r="B67" t="s">
        <v>22</v>
      </c>
      <c r="C67" s="240" t="s">
        <v>148</v>
      </c>
      <c r="D67" s="145">
        <f>VLOOKUP($A67&amp;" CP",'2018 SUBSEQUENT'!$A$13:$R$196,'2018 SUBSEQUENT'!C$9,FALSE)</f>
        <v>2456.3528167616623</v>
      </c>
      <c r="E67" s="145">
        <f>VLOOKUP($A67&amp;" CP",'2018 SUBSEQUENT'!$A$13:$R$196,'2018 SUBSEQUENT'!D$9,FALSE)</f>
        <v>604.1688781476746</v>
      </c>
      <c r="F67" s="145">
        <f>VLOOKUP($A67&amp;" CP",'2018 SUBSEQUENT'!$A$13:$R$196,'2018 SUBSEQUENT'!E$9,FALSE)</f>
        <v>944.45276821490859</v>
      </c>
      <c r="G67" s="145">
        <f>VLOOKUP($A67&amp;" CP",'2018 SUBSEQUENT'!$A$13:$R$196,'2018 SUBSEQUENT'!F$9,FALSE)</f>
        <v>985.1573860512359</v>
      </c>
      <c r="H67" s="145">
        <f>VLOOKUP($A67&amp;" CP",'2018 SUBSEQUENT'!$A$13:$R$196,'2018 SUBSEQUENT'!G$9,FALSE)</f>
        <v>961.362510372629</v>
      </c>
      <c r="I67" s="145">
        <f>VLOOKUP($A67&amp;" CP",'2018 SUBSEQUENT'!$A$13:$R$196,'2018 SUBSEQUENT'!H$9,FALSE)</f>
        <v>946.02830314816902</v>
      </c>
      <c r="J67" s="145">
        <f>VLOOKUP($A67&amp;" CP",'2018 SUBSEQUENT'!$A$13:$R$196,'2018 SUBSEQUENT'!I$9,FALSE)</f>
        <v>812.47663284751911</v>
      </c>
      <c r="K67" s="145">
        <f>VLOOKUP($A67&amp;" CP",'2018 SUBSEQUENT'!$A$13:$R$196,'2018 SUBSEQUENT'!J$9,FALSE)</f>
        <v>966.6482443452652</v>
      </c>
      <c r="L67" s="145">
        <f>VLOOKUP($A67&amp;" CP",'2018 SUBSEQUENT'!$A$13:$R$196,'2018 SUBSEQUENT'!K$9,FALSE)</f>
        <v>951.02962729381125</v>
      </c>
      <c r="M67" s="145">
        <f>VLOOKUP($A67&amp;" CP",'2018 SUBSEQUENT'!$A$13:$R$196,'2018 SUBSEQUENT'!L$9,FALSE)</f>
        <v>818.30588149386813</v>
      </c>
      <c r="N67" s="145">
        <f>VLOOKUP($A67&amp;" CP",'2018 SUBSEQUENT'!$A$13:$R$196,'2018 SUBSEQUENT'!M$9,FALSE)</f>
        <v>2688.7861774663033</v>
      </c>
      <c r="O67" s="145">
        <f>VLOOKUP($A67&amp;" CP",'2018 SUBSEQUENT'!$A$13:$R$196,'2018 SUBSEQUENT'!N$9,FALSE)</f>
        <v>3073.662215580418</v>
      </c>
    </row>
    <row r="68" spans="1:21" s="240" customFormat="1">
      <c r="A68" t="s">
        <v>57</v>
      </c>
      <c r="B68" t="s">
        <v>22</v>
      </c>
      <c r="C68" s="240" t="s">
        <v>147</v>
      </c>
      <c r="D68" s="145">
        <f>VLOOKUP($A68&amp;" GNCP",'2018 SUBSEQUENT'!$A$13:$R$196,'2018 SUBSEQUENT'!C$9,FALSE)</f>
        <v>8216.8380060371746</v>
      </c>
      <c r="E68" s="145">
        <f>VLOOKUP($A68&amp;" GNCP",'2018 SUBSEQUENT'!$A$13:$R$196,'2018 SUBSEQUENT'!D$9,FALSE)</f>
        <v>10718.203231117248</v>
      </c>
      <c r="F68" s="145">
        <f>VLOOKUP($A68&amp;" GNCP",'2018 SUBSEQUENT'!$A$13:$R$196,'2018 SUBSEQUENT'!E$9,FALSE)</f>
        <v>11798.451777802586</v>
      </c>
      <c r="G68" s="145">
        <f>VLOOKUP($A68&amp;" GNCP",'2018 SUBSEQUENT'!$A$13:$R$196,'2018 SUBSEQUENT'!F$9,FALSE)</f>
        <v>9068.2953246131638</v>
      </c>
      <c r="H68" s="145">
        <f>VLOOKUP($A68&amp;" GNCP",'2018 SUBSEQUENT'!$A$13:$R$196,'2018 SUBSEQUENT'!G$9,FALSE)</f>
        <v>8016.0459346508678</v>
      </c>
      <c r="I68" s="145">
        <f>VLOOKUP($A68&amp;" GNCP",'2018 SUBSEQUENT'!$A$13:$R$196,'2018 SUBSEQUENT'!H$9,FALSE)</f>
        <v>6668.8211994000994</v>
      </c>
      <c r="J68" s="145">
        <f>VLOOKUP($A68&amp;" GNCP",'2018 SUBSEQUENT'!$A$13:$R$196,'2018 SUBSEQUENT'!I$9,FALSE)</f>
        <v>5057.1337967218778</v>
      </c>
      <c r="K68" s="145">
        <f>VLOOKUP($A68&amp;" GNCP",'2018 SUBSEQUENT'!$A$13:$R$196,'2018 SUBSEQUENT'!J$9,FALSE)</f>
        <v>5686.8920436015987</v>
      </c>
      <c r="L68" s="145">
        <f>VLOOKUP($A68&amp;" GNCP",'2018 SUBSEQUENT'!$A$13:$R$196,'2018 SUBSEQUENT'!K$9,FALSE)</f>
        <v>8721.4854584730601</v>
      </c>
      <c r="M68" s="145">
        <f>VLOOKUP($A68&amp;" GNCP",'2018 SUBSEQUENT'!$A$13:$R$196,'2018 SUBSEQUENT'!L$9,FALSE)</f>
        <v>9180.7064710501545</v>
      </c>
      <c r="N68" s="145">
        <f>VLOOKUP($A68&amp;" GNCP",'2018 SUBSEQUENT'!$A$13:$R$196,'2018 SUBSEQUENT'!M$9,FALSE)</f>
        <v>11020.777723533552</v>
      </c>
      <c r="O68" s="145">
        <f>VLOOKUP($A68&amp;" GNCP",'2018 SUBSEQUENT'!$A$13:$R$196,'2018 SUBSEQUENT'!N$9,FALSE)</f>
        <v>9218.7365682158252</v>
      </c>
    </row>
    <row r="69" spans="1:21" s="240" customFormat="1">
      <c r="A69" t="s">
        <v>57</v>
      </c>
      <c r="B69" t="s">
        <v>22</v>
      </c>
      <c r="C69" s="240" t="s">
        <v>133</v>
      </c>
      <c r="D69" s="145">
        <f>VLOOKUP($A69&amp;" NCP",'2018 SUBSEQUENT'!$A$13:$R$196,'2018 SUBSEQUENT'!C$9,FALSE)</f>
        <v>11988.672916169391</v>
      </c>
      <c r="E69" s="145">
        <f>VLOOKUP($A69&amp;" NCP",'2018 SUBSEQUENT'!$A$13:$R$196,'2018 SUBSEQUENT'!D$9,FALSE)</f>
        <v>13851.744780732981</v>
      </c>
      <c r="F69" s="145">
        <f>VLOOKUP($A69&amp;" NCP",'2018 SUBSEQUENT'!$A$13:$R$196,'2018 SUBSEQUENT'!E$9,FALSE)</f>
        <v>14855.154125307121</v>
      </c>
      <c r="G69" s="145">
        <f>VLOOKUP($A69&amp;" NCP",'2018 SUBSEQUENT'!$A$13:$R$196,'2018 SUBSEQUENT'!F$9,FALSE)</f>
        <v>14187.045654667081</v>
      </c>
      <c r="H69" s="145">
        <f>VLOOKUP($A69&amp;" NCP",'2018 SUBSEQUENT'!$A$13:$R$196,'2018 SUBSEQUENT'!G$9,FALSE)</f>
        <v>13656.510023027973</v>
      </c>
      <c r="I69" s="145">
        <f>VLOOKUP($A69&amp;" NCP",'2018 SUBSEQUENT'!$A$13:$R$196,'2018 SUBSEQUENT'!H$9,FALSE)</f>
        <v>12001.802564129723</v>
      </c>
      <c r="J69" s="145">
        <f>VLOOKUP($A69&amp;" NCP",'2018 SUBSEQUENT'!$A$13:$R$196,'2018 SUBSEQUENT'!I$9,FALSE)</f>
        <v>9330.2207395825717</v>
      </c>
      <c r="K69" s="145">
        <f>VLOOKUP($A69&amp;" NCP",'2018 SUBSEQUENT'!$A$13:$R$196,'2018 SUBSEQUENT'!J$9,FALSE)</f>
        <v>9963.6962274949237</v>
      </c>
      <c r="L69" s="145">
        <f>VLOOKUP($A69&amp;" NCP",'2018 SUBSEQUENT'!$A$13:$R$196,'2018 SUBSEQUENT'!K$9,FALSE)</f>
        <v>14341.507868376289</v>
      </c>
      <c r="M69" s="145">
        <f>VLOOKUP($A69&amp;" NCP",'2018 SUBSEQUENT'!$A$13:$R$196,'2018 SUBSEQUENT'!L$9,FALSE)</f>
        <v>12812.573926581301</v>
      </c>
      <c r="N69" s="145">
        <f>VLOOKUP($A69&amp;" NCP",'2018 SUBSEQUENT'!$A$13:$R$196,'2018 SUBSEQUENT'!M$9,FALSE)</f>
        <v>14797.470115580363</v>
      </c>
      <c r="O69" s="145">
        <f>VLOOKUP($A69&amp;" NCP",'2018 SUBSEQUENT'!$A$13:$R$196,'2018 SUBSEQUENT'!N$9,FALSE)</f>
        <v>13883.962441806383</v>
      </c>
    </row>
    <row r="71" spans="1:21">
      <c r="A71" t="s">
        <v>48</v>
      </c>
      <c r="B71" t="s">
        <v>687</v>
      </c>
      <c r="C71" t="s">
        <v>558</v>
      </c>
    </row>
    <row r="72" spans="1:21">
      <c r="A72" t="s">
        <v>48</v>
      </c>
      <c r="B72" t="s">
        <v>687</v>
      </c>
      <c r="C72" t="s">
        <v>557</v>
      </c>
      <c r="D72" s="4">
        <f>$D$8</f>
        <v>43101</v>
      </c>
      <c r="E72" s="4">
        <f>$E$8</f>
        <v>43132</v>
      </c>
      <c r="F72" s="4">
        <f>$F$8</f>
        <v>43160</v>
      </c>
      <c r="G72" s="4">
        <f>$G$8</f>
        <v>43191</v>
      </c>
      <c r="H72" s="4">
        <f>$H$8</f>
        <v>43221</v>
      </c>
      <c r="I72" s="4">
        <f>$I$8</f>
        <v>43252</v>
      </c>
      <c r="J72" s="4">
        <f>$J$8</f>
        <v>43282</v>
      </c>
      <c r="K72" s="4">
        <f>$K$8</f>
        <v>43313</v>
      </c>
      <c r="L72" s="4">
        <f>$L$8</f>
        <v>43344</v>
      </c>
      <c r="M72" s="4">
        <f>$M$8</f>
        <v>43374</v>
      </c>
      <c r="N72" s="4">
        <f>$N$8</f>
        <v>43405</v>
      </c>
      <c r="O72" s="4">
        <f>$O$8</f>
        <v>43435</v>
      </c>
    </row>
    <row r="73" spans="1:21" s="240" customFormat="1">
      <c r="A73" t="s">
        <v>48</v>
      </c>
      <c r="B73" t="s">
        <v>687</v>
      </c>
      <c r="C73" s="240" t="s">
        <v>148</v>
      </c>
      <c r="D73" s="145">
        <f>VLOOKUP($A73&amp;" CP",'2018 SUBSEQUENT'!$A$13:$R$196,'2018 SUBSEQUENT'!C$9,FALSE)</f>
        <v>12436715.479783271</v>
      </c>
      <c r="E73" s="145">
        <f>VLOOKUP($A73&amp;" CP",'2018 SUBSEQUENT'!$A$13:$R$196,'2018 SUBSEQUENT'!D$9,FALSE)</f>
        <v>8804289.4707257971</v>
      </c>
      <c r="F73" s="145">
        <f>VLOOKUP($A73&amp;" CP",'2018 SUBSEQUENT'!$A$13:$R$196,'2018 SUBSEQUENT'!E$9,FALSE)</f>
        <v>10208714.097423151</v>
      </c>
      <c r="G73" s="145">
        <f>VLOOKUP($A73&amp;" CP",'2018 SUBSEQUENT'!$A$13:$R$196,'2018 SUBSEQUENT'!F$9,FALSE)</f>
        <v>10344494.673365265</v>
      </c>
      <c r="H73" s="145">
        <f>VLOOKUP($A73&amp;" CP",'2018 SUBSEQUENT'!$A$13:$R$196,'2018 SUBSEQUENT'!G$9,FALSE)</f>
        <v>11445348.265144141</v>
      </c>
      <c r="I73" s="145">
        <f>VLOOKUP($A73&amp;" CP",'2018 SUBSEQUENT'!$A$13:$R$196,'2018 SUBSEQUENT'!H$9,FALSE)</f>
        <v>12300186.666364992</v>
      </c>
      <c r="J73" s="145">
        <f>VLOOKUP($A73&amp;" CP",'2018 SUBSEQUENT'!$A$13:$R$196,'2018 SUBSEQUENT'!I$9,FALSE)</f>
        <v>12735059.301057592</v>
      </c>
      <c r="K73" s="145">
        <f>VLOOKUP($A73&amp;" CP",'2018 SUBSEQUENT'!$A$13:$R$196,'2018 SUBSEQUENT'!J$9,FALSE)</f>
        <v>13173312.797917232</v>
      </c>
      <c r="L73" s="145">
        <f>VLOOKUP($A73&amp;" CP",'2018 SUBSEQUENT'!$A$13:$R$196,'2018 SUBSEQUENT'!K$9,FALSE)</f>
        <v>12622476.509656837</v>
      </c>
      <c r="M73" s="145">
        <f>VLOOKUP($A73&amp;" CP",'2018 SUBSEQUENT'!$A$13:$R$196,'2018 SUBSEQUENT'!L$9,FALSE)</f>
        <v>11344658.573166814</v>
      </c>
      <c r="N73" s="145">
        <f>VLOOKUP($A73&amp;" CP",'2018 SUBSEQUENT'!$A$13:$R$196,'2018 SUBSEQUENT'!M$9,FALSE)</f>
        <v>9452192.0060957503</v>
      </c>
      <c r="O73" s="145">
        <f>VLOOKUP($A73&amp;" CP",'2018 SUBSEQUENT'!$A$13:$R$196,'2018 SUBSEQUENT'!N$9,FALSE)</f>
        <v>9221765.9555183072</v>
      </c>
    </row>
    <row r="74" spans="1:21" s="240" customFormat="1">
      <c r="A74" t="s">
        <v>48</v>
      </c>
      <c r="B74" t="s">
        <v>687</v>
      </c>
      <c r="C74" s="240" t="s">
        <v>147</v>
      </c>
      <c r="D74" s="145">
        <f>VLOOKUP($A74&amp;" GNCP",'2018 SUBSEQUENT'!$A$13:$R$196,'2018 SUBSEQUENT'!C$9,FALSE)</f>
        <v>12436715.479783271</v>
      </c>
      <c r="E74" s="145">
        <f>VLOOKUP($A74&amp;" GNCP",'2018 SUBSEQUENT'!$A$13:$R$196,'2018 SUBSEQUENT'!D$9,FALSE)</f>
        <v>10717692.831553455</v>
      </c>
      <c r="F74" s="145">
        <f>VLOOKUP($A74&amp;" GNCP",'2018 SUBSEQUENT'!$A$13:$R$196,'2018 SUBSEQUENT'!E$9,FALSE)</f>
        <v>10208714.097423151</v>
      </c>
      <c r="G74" s="145">
        <f>VLOOKUP($A74&amp;" GNCP",'2018 SUBSEQUENT'!$A$13:$R$196,'2018 SUBSEQUENT'!F$9,FALSE)</f>
        <v>10344494.673365265</v>
      </c>
      <c r="H74" s="145">
        <f>VLOOKUP($A74&amp;" GNCP",'2018 SUBSEQUENT'!$A$13:$R$196,'2018 SUBSEQUENT'!G$9,FALSE)</f>
        <v>11445348.265144141</v>
      </c>
      <c r="I74" s="145">
        <f>VLOOKUP($A74&amp;" GNCP",'2018 SUBSEQUENT'!$A$13:$R$196,'2018 SUBSEQUENT'!H$9,FALSE)</f>
        <v>12300186.666364992</v>
      </c>
      <c r="J74" s="145">
        <f>VLOOKUP($A74&amp;" GNCP",'2018 SUBSEQUENT'!$A$13:$R$196,'2018 SUBSEQUENT'!I$9,FALSE)</f>
        <v>12735059.301057592</v>
      </c>
      <c r="K74" s="145">
        <f>VLOOKUP($A74&amp;" GNCP",'2018 SUBSEQUENT'!$A$13:$R$196,'2018 SUBSEQUENT'!J$9,FALSE)</f>
        <v>13173312.797917232</v>
      </c>
      <c r="L74" s="145">
        <f>VLOOKUP($A74&amp;" GNCP",'2018 SUBSEQUENT'!$A$13:$R$196,'2018 SUBSEQUENT'!K$9,FALSE)</f>
        <v>13277759.346655909</v>
      </c>
      <c r="M74" s="145">
        <f>VLOOKUP($A74&amp;" GNCP",'2018 SUBSEQUENT'!$A$13:$R$196,'2018 SUBSEQUENT'!L$9,FALSE)</f>
        <v>11785612.851307558</v>
      </c>
      <c r="N74" s="145">
        <f>VLOOKUP($A74&amp;" GNCP",'2018 SUBSEQUENT'!$A$13:$R$196,'2018 SUBSEQUENT'!M$9,FALSE)</f>
        <v>9985389.4595095515</v>
      </c>
      <c r="O74" s="145">
        <f>VLOOKUP($A74&amp;" GNCP",'2018 SUBSEQUENT'!$A$13:$R$196,'2018 SUBSEQUENT'!N$9,FALSE)</f>
        <v>9221765.9555183072</v>
      </c>
    </row>
    <row r="75" spans="1:21" s="240" customFormat="1">
      <c r="A75" t="s">
        <v>48</v>
      </c>
      <c r="B75" t="s">
        <v>687</v>
      </c>
      <c r="C75" s="240" t="s">
        <v>133</v>
      </c>
      <c r="D75" s="145">
        <f>VLOOKUP($A75&amp;" NCP",'2018 SUBSEQUENT'!$A$13:$R$196,'2018 SUBSEQUENT'!C$9,FALSE)</f>
        <v>33400925.359279197</v>
      </c>
      <c r="E75" s="145">
        <f>VLOOKUP($A75&amp;" NCP",'2018 SUBSEQUENT'!$A$13:$R$196,'2018 SUBSEQUENT'!D$9,FALSE)</f>
        <v>30920216.677756939</v>
      </c>
      <c r="F75" s="145">
        <f>VLOOKUP($A75&amp;" NCP",'2018 SUBSEQUENT'!$A$13:$R$196,'2018 SUBSEQUENT'!E$9,FALSE)</f>
        <v>27011252.676266547</v>
      </c>
      <c r="G75" s="145">
        <f>VLOOKUP($A75&amp;" NCP",'2018 SUBSEQUENT'!$A$13:$R$196,'2018 SUBSEQUENT'!F$9,FALSE)</f>
        <v>24395968.823495604</v>
      </c>
      <c r="H75" s="145">
        <f>VLOOKUP($A75&amp;" NCP",'2018 SUBSEQUENT'!$A$13:$R$196,'2018 SUBSEQUENT'!G$9,FALSE)</f>
        <v>24378777.304491904</v>
      </c>
      <c r="I75" s="145">
        <f>VLOOKUP($A75&amp;" NCP",'2018 SUBSEQUENT'!$A$13:$R$196,'2018 SUBSEQUENT'!H$9,FALSE)</f>
        <v>25706291.317125693</v>
      </c>
      <c r="J75" s="145">
        <f>VLOOKUP($A75&amp;" NCP",'2018 SUBSEQUENT'!$A$13:$R$196,'2018 SUBSEQUENT'!I$9,FALSE)</f>
        <v>26185684.648148429</v>
      </c>
      <c r="K75" s="145">
        <f>VLOOKUP($A75&amp;" NCP",'2018 SUBSEQUENT'!$A$13:$R$196,'2018 SUBSEQUENT'!J$9,FALSE)</f>
        <v>25888128.311549827</v>
      </c>
      <c r="L75" s="145">
        <f>VLOOKUP($A75&amp;" NCP",'2018 SUBSEQUENT'!$A$13:$R$196,'2018 SUBSEQUENT'!K$9,FALSE)</f>
        <v>27818080.530982319</v>
      </c>
      <c r="M75" s="145">
        <f>VLOOKUP($A75&amp;" NCP",'2018 SUBSEQUENT'!$A$13:$R$196,'2018 SUBSEQUENT'!L$9,FALSE)</f>
        <v>27296845.58914189</v>
      </c>
      <c r="N75" s="145">
        <f>VLOOKUP($A75&amp;" NCP",'2018 SUBSEQUENT'!$A$13:$R$196,'2018 SUBSEQUENT'!M$9,FALSE)</f>
        <v>29948734.01752409</v>
      </c>
      <c r="O75" s="145">
        <f>VLOOKUP($A75&amp;" NCP",'2018 SUBSEQUENT'!$A$13:$R$196,'2018 SUBSEQUENT'!N$9,FALSE)</f>
        <v>28748611.737518813</v>
      </c>
    </row>
    <row r="76" spans="1:21">
      <c r="D76" s="241"/>
      <c r="E76" s="241"/>
      <c r="F76" s="241"/>
      <c r="G76" s="241"/>
      <c r="H76" s="241"/>
      <c r="I76" s="241"/>
      <c r="J76" s="241"/>
      <c r="K76" s="241"/>
      <c r="L76" s="241"/>
      <c r="M76" s="241"/>
      <c r="N76" s="241"/>
      <c r="O76" s="241"/>
      <c r="P76" s="241"/>
      <c r="Q76" s="242"/>
      <c r="S76" s="44"/>
      <c r="T76" s="44"/>
      <c r="U76" s="243"/>
    </row>
    <row r="77" spans="1:21">
      <c r="A77" t="s">
        <v>53</v>
      </c>
      <c r="B77" t="s">
        <v>35</v>
      </c>
      <c r="C77" t="s">
        <v>1103</v>
      </c>
    </row>
    <row r="78" spans="1:21">
      <c r="A78" t="s">
        <v>53</v>
      </c>
      <c r="B78" t="s">
        <v>35</v>
      </c>
      <c r="C78" t="s">
        <v>557</v>
      </c>
      <c r="D78" s="4">
        <f>$D$8</f>
        <v>43101</v>
      </c>
      <c r="E78" s="4">
        <f>$E$8</f>
        <v>43132</v>
      </c>
      <c r="F78" s="4">
        <f>$F$8</f>
        <v>43160</v>
      </c>
      <c r="G78" s="4">
        <f>$G$8</f>
        <v>43191</v>
      </c>
      <c r="H78" s="4">
        <f>$H$8</f>
        <v>43221</v>
      </c>
      <c r="I78" s="4">
        <f>$I$8</f>
        <v>43252</v>
      </c>
      <c r="J78" s="4">
        <f>$J$8</f>
        <v>43282</v>
      </c>
      <c r="K78" s="4">
        <f>$K$8</f>
        <v>43313</v>
      </c>
      <c r="L78" s="4">
        <f>$L$8</f>
        <v>43344</v>
      </c>
      <c r="M78" s="4">
        <f>$M$8</f>
        <v>43374</v>
      </c>
      <c r="N78" s="4">
        <f>$N$8</f>
        <v>43405</v>
      </c>
      <c r="O78" s="4">
        <f>$O$8</f>
        <v>43435</v>
      </c>
    </row>
    <row r="79" spans="1:21" s="240" customFormat="1">
      <c r="A79" t="s">
        <v>53</v>
      </c>
      <c r="B79" t="s">
        <v>35</v>
      </c>
      <c r="C79" s="240" t="s">
        <v>148</v>
      </c>
      <c r="D79" s="145">
        <f>VLOOKUP($A79&amp;" CP",'2018 SUBSEQUENT'!$A$13:$R$196,'2018 SUBSEQUENT'!C$9,FALSE)</f>
        <v>55467.77652848899</v>
      </c>
      <c r="E79" s="145">
        <f>VLOOKUP($A79&amp;" CP",'2018 SUBSEQUENT'!$A$13:$R$196,'2018 SUBSEQUENT'!D$9,FALSE)</f>
        <v>0</v>
      </c>
      <c r="F79" s="145">
        <f>VLOOKUP($A79&amp;" CP",'2018 SUBSEQUENT'!$A$13:$R$196,'2018 SUBSEQUENT'!E$9,FALSE)</f>
        <v>0</v>
      </c>
      <c r="G79" s="145">
        <f>VLOOKUP($A79&amp;" CP",'2018 SUBSEQUENT'!$A$13:$R$196,'2018 SUBSEQUENT'!F$9,FALSE)</f>
        <v>0</v>
      </c>
      <c r="H79" s="145">
        <f>VLOOKUP($A79&amp;" CP",'2018 SUBSEQUENT'!$A$13:$R$196,'2018 SUBSEQUENT'!G$9,FALSE)</f>
        <v>0</v>
      </c>
      <c r="I79" s="145">
        <f>VLOOKUP($A79&amp;" CP",'2018 SUBSEQUENT'!$A$13:$R$196,'2018 SUBSEQUENT'!H$9,FALSE)</f>
        <v>0</v>
      </c>
      <c r="J79" s="145">
        <f>VLOOKUP($A79&amp;" CP",'2018 SUBSEQUENT'!$A$13:$R$196,'2018 SUBSEQUENT'!I$9,FALSE)</f>
        <v>0</v>
      </c>
      <c r="K79" s="145">
        <f>VLOOKUP($A79&amp;" CP",'2018 SUBSEQUENT'!$A$13:$R$196,'2018 SUBSEQUENT'!J$9,FALSE)</f>
        <v>0</v>
      </c>
      <c r="L79" s="145">
        <f>VLOOKUP($A79&amp;" CP",'2018 SUBSEQUENT'!$A$13:$R$196,'2018 SUBSEQUENT'!K$9,FALSE)</f>
        <v>0</v>
      </c>
      <c r="M79" s="145">
        <f>VLOOKUP($A79&amp;" CP",'2018 SUBSEQUENT'!$A$13:$R$196,'2018 SUBSEQUENT'!L$9,FALSE)</f>
        <v>0</v>
      </c>
      <c r="N79" s="145">
        <f>VLOOKUP($A79&amp;" CP",'2018 SUBSEQUENT'!$A$13:$R$196,'2018 SUBSEQUENT'!M$9,FALSE)</f>
        <v>39583.030255968602</v>
      </c>
      <c r="O79" s="145">
        <f>VLOOKUP($A79&amp;" CP",'2018 SUBSEQUENT'!$A$13:$R$196,'2018 SUBSEQUENT'!N$9,FALSE)</f>
        <v>39957.723614630529</v>
      </c>
    </row>
    <row r="80" spans="1:21" s="240" customFormat="1">
      <c r="A80" t="s">
        <v>53</v>
      </c>
      <c r="B80" t="s">
        <v>35</v>
      </c>
      <c r="C80" s="240" t="s">
        <v>147</v>
      </c>
      <c r="D80" s="145">
        <f>VLOOKUP($A80&amp;" GNCP",'2018 SUBSEQUENT'!$A$13:$R$196,'2018 SUBSEQUENT'!C$9,FALSE)</f>
        <v>121588.62886739362</v>
      </c>
      <c r="E80" s="145">
        <f>VLOOKUP($A80&amp;" GNCP",'2018 SUBSEQUENT'!$A$13:$R$196,'2018 SUBSEQUENT'!D$9,FALSE)</f>
        <v>129896.03650813719</v>
      </c>
      <c r="F80" s="145">
        <f>VLOOKUP($A80&amp;" GNCP",'2018 SUBSEQUENT'!$A$13:$R$196,'2018 SUBSEQUENT'!E$9,FALSE)</f>
        <v>125445.352761663</v>
      </c>
      <c r="G80" s="145">
        <f>VLOOKUP($A80&amp;" GNCP",'2018 SUBSEQUENT'!$A$13:$R$196,'2018 SUBSEQUENT'!F$9,FALSE)</f>
        <v>142562.10900091712</v>
      </c>
      <c r="H80" s="145">
        <f>VLOOKUP($A80&amp;" GNCP",'2018 SUBSEQUENT'!$A$13:$R$196,'2018 SUBSEQUENT'!G$9,FALSE)</f>
        <v>145476.63276528814</v>
      </c>
      <c r="I80" s="145">
        <f>VLOOKUP($A80&amp;" GNCP",'2018 SUBSEQUENT'!$A$13:$R$196,'2018 SUBSEQUENT'!H$9,FALSE)</f>
        <v>146386.42192705124</v>
      </c>
      <c r="J80" s="145">
        <f>VLOOKUP($A80&amp;" GNCP",'2018 SUBSEQUENT'!$A$13:$R$196,'2018 SUBSEQUENT'!I$9,FALSE)</f>
        <v>144598.50127513421</v>
      </c>
      <c r="K80" s="145">
        <f>VLOOKUP($A80&amp;" GNCP",'2018 SUBSEQUENT'!$A$13:$R$196,'2018 SUBSEQUENT'!J$9,FALSE)</f>
        <v>157002.30975241194</v>
      </c>
      <c r="L80" s="145">
        <f>VLOOKUP($A80&amp;" GNCP",'2018 SUBSEQUENT'!$A$13:$R$196,'2018 SUBSEQUENT'!K$9,FALSE)</f>
        <v>134950.17456363016</v>
      </c>
      <c r="M80" s="145">
        <f>VLOOKUP($A80&amp;" GNCP",'2018 SUBSEQUENT'!$A$13:$R$196,'2018 SUBSEQUENT'!L$9,FALSE)</f>
        <v>115656.6941546076</v>
      </c>
      <c r="N80" s="145">
        <f>VLOOKUP($A80&amp;" GNCP",'2018 SUBSEQUENT'!$A$13:$R$196,'2018 SUBSEQUENT'!M$9,FALSE)</f>
        <v>112464.68398081642</v>
      </c>
      <c r="O80" s="145">
        <f>VLOOKUP($A80&amp;" GNCP",'2018 SUBSEQUENT'!$A$13:$R$196,'2018 SUBSEQUENT'!N$9,FALSE)</f>
        <v>122039.48507816791</v>
      </c>
    </row>
    <row r="81" spans="1:21" s="240" customFormat="1">
      <c r="A81" t="s">
        <v>53</v>
      </c>
      <c r="B81" t="s">
        <v>35</v>
      </c>
      <c r="C81" s="240" t="s">
        <v>133</v>
      </c>
      <c r="D81" s="145">
        <f>VLOOKUP($A81&amp;" NCP",'2018 SUBSEQUENT'!$A$13:$R$196,'2018 SUBSEQUENT'!C$9,FALSE)</f>
        <v>121588.62886739362</v>
      </c>
      <c r="E81" s="145">
        <f>VLOOKUP($A81&amp;" NCP",'2018 SUBSEQUENT'!$A$13:$R$196,'2018 SUBSEQUENT'!D$9,FALSE)</f>
        <v>129896.03650813719</v>
      </c>
      <c r="F81" s="145">
        <f>VLOOKUP($A81&amp;" NCP",'2018 SUBSEQUENT'!$A$13:$R$196,'2018 SUBSEQUENT'!E$9,FALSE)</f>
        <v>125445.352761663</v>
      </c>
      <c r="G81" s="145">
        <f>VLOOKUP($A81&amp;" NCP",'2018 SUBSEQUENT'!$A$13:$R$196,'2018 SUBSEQUENT'!F$9,FALSE)</f>
        <v>142562.10900091712</v>
      </c>
      <c r="H81" s="145">
        <f>VLOOKUP($A81&amp;" NCP",'2018 SUBSEQUENT'!$A$13:$R$196,'2018 SUBSEQUENT'!G$9,FALSE)</f>
        <v>145476.63276528814</v>
      </c>
      <c r="I81" s="145">
        <f>VLOOKUP($A81&amp;" NCP",'2018 SUBSEQUENT'!$A$13:$R$196,'2018 SUBSEQUENT'!H$9,FALSE)</f>
        <v>146386.42192705124</v>
      </c>
      <c r="J81" s="145">
        <f>VLOOKUP($A81&amp;" NCP",'2018 SUBSEQUENT'!$A$13:$R$196,'2018 SUBSEQUENT'!I$9,FALSE)</f>
        <v>144598.50127513421</v>
      </c>
      <c r="K81" s="145">
        <f>VLOOKUP($A81&amp;" NCP",'2018 SUBSEQUENT'!$A$13:$R$196,'2018 SUBSEQUENT'!J$9,FALSE)</f>
        <v>157002.30975241194</v>
      </c>
      <c r="L81" s="145">
        <f>VLOOKUP($A81&amp;" NCP",'2018 SUBSEQUENT'!$A$13:$R$196,'2018 SUBSEQUENT'!K$9,FALSE)</f>
        <v>134950.17456363016</v>
      </c>
      <c r="M81" s="145">
        <f>VLOOKUP($A81&amp;" NCP",'2018 SUBSEQUENT'!$A$13:$R$196,'2018 SUBSEQUENT'!L$9,FALSE)</f>
        <v>115656.6941546076</v>
      </c>
      <c r="N81" s="145">
        <f>VLOOKUP($A81&amp;" NCP",'2018 SUBSEQUENT'!$A$13:$R$196,'2018 SUBSEQUENT'!M$9,FALSE)</f>
        <v>112464.68398081642</v>
      </c>
      <c r="O81" s="145">
        <f>VLOOKUP($A81&amp;" NCP",'2018 SUBSEQUENT'!$A$13:$R$196,'2018 SUBSEQUENT'!N$9,FALSE)</f>
        <v>122039.48507816791</v>
      </c>
    </row>
    <row r="83" spans="1:21">
      <c r="A83" t="s">
        <v>55</v>
      </c>
      <c r="B83" t="s">
        <v>38</v>
      </c>
      <c r="C83" t="s">
        <v>1102</v>
      </c>
    </row>
    <row r="84" spans="1:21">
      <c r="A84" t="s">
        <v>55</v>
      </c>
      <c r="B84" t="s">
        <v>38</v>
      </c>
      <c r="C84" t="s">
        <v>557</v>
      </c>
      <c r="D84" s="4">
        <f>$D$8</f>
        <v>43101</v>
      </c>
      <c r="E84" s="4">
        <f>$E$8</f>
        <v>43132</v>
      </c>
      <c r="F84" s="4">
        <f>$F$8</f>
        <v>43160</v>
      </c>
      <c r="G84" s="4">
        <f>$G$8</f>
        <v>43191</v>
      </c>
      <c r="H84" s="4">
        <f>$H$8</f>
        <v>43221</v>
      </c>
      <c r="I84" s="4">
        <f>$I$8</f>
        <v>43252</v>
      </c>
      <c r="J84" s="4">
        <f>$J$8</f>
        <v>43282</v>
      </c>
      <c r="K84" s="4">
        <f>$K$8</f>
        <v>43313</v>
      </c>
      <c r="L84" s="4">
        <f>$L$8</f>
        <v>43344</v>
      </c>
      <c r="M84" s="4">
        <f>$M$8</f>
        <v>43374</v>
      </c>
      <c r="N84" s="4">
        <f>$N$8</f>
        <v>43405</v>
      </c>
      <c r="O84" s="4">
        <f>$O$8</f>
        <v>43435</v>
      </c>
    </row>
    <row r="85" spans="1:21" s="240" customFormat="1">
      <c r="A85" t="s">
        <v>55</v>
      </c>
      <c r="B85" t="s">
        <v>38</v>
      </c>
      <c r="C85" s="240" t="s">
        <v>148</v>
      </c>
      <c r="D85" s="145">
        <f>VLOOKUP($A85&amp;" CP",'2018 SUBSEQUENT'!$A$13:$R$196,'2018 SUBSEQUENT'!C$9,FALSE)</f>
        <v>4082.4174626986128</v>
      </c>
      <c r="E85" s="145">
        <f>VLOOKUP($A85&amp;" CP",'2018 SUBSEQUENT'!$A$13:$R$196,'2018 SUBSEQUENT'!D$9,FALSE)</f>
        <v>4175.8718451179866</v>
      </c>
      <c r="F85" s="145">
        <f>VLOOKUP($A85&amp;" CP",'2018 SUBSEQUENT'!$A$13:$R$196,'2018 SUBSEQUENT'!E$9,FALSE)</f>
        <v>4193.4220486998647</v>
      </c>
      <c r="G85" s="145">
        <f>VLOOKUP($A85&amp;" CP",'2018 SUBSEQUENT'!$A$13:$R$196,'2018 SUBSEQUENT'!F$9,FALSE)</f>
        <v>4176.6809373448541</v>
      </c>
      <c r="H85" s="145">
        <f>VLOOKUP($A85&amp;" CP",'2018 SUBSEQUENT'!$A$13:$R$196,'2018 SUBSEQUENT'!G$9,FALSE)</f>
        <v>4129.8977679217123</v>
      </c>
      <c r="I85" s="145">
        <f>VLOOKUP($A85&amp;" CP",'2018 SUBSEQUENT'!$A$13:$R$196,'2018 SUBSEQUENT'!H$9,FALSE)</f>
        <v>4089.2996824841457</v>
      </c>
      <c r="J85" s="145">
        <f>VLOOKUP($A85&amp;" CP",'2018 SUBSEQUENT'!$A$13:$R$196,'2018 SUBSEQUENT'!I$9,FALSE)</f>
        <v>4015.0511741078994</v>
      </c>
      <c r="K85" s="145">
        <f>VLOOKUP($A85&amp;" CP",'2018 SUBSEQUENT'!$A$13:$R$196,'2018 SUBSEQUENT'!J$9,FALSE)</f>
        <v>4154.4975651873465</v>
      </c>
      <c r="L85" s="145">
        <f>VLOOKUP($A85&amp;" CP",'2018 SUBSEQUENT'!$A$13:$R$196,'2018 SUBSEQUENT'!K$9,FALSE)</f>
        <v>3947.8805294235653</v>
      </c>
      <c r="M85" s="145">
        <f>VLOOKUP($A85&amp;" CP",'2018 SUBSEQUENT'!$A$13:$R$196,'2018 SUBSEQUENT'!L$9,FALSE)</f>
        <v>3870.8395149901908</v>
      </c>
      <c r="N85" s="145">
        <f>VLOOKUP($A85&amp;" CP",'2018 SUBSEQUENT'!$A$13:$R$196,'2018 SUBSEQUENT'!M$9,FALSE)</f>
        <v>3848.5541689872525</v>
      </c>
      <c r="O85" s="145">
        <f>VLOOKUP($A85&amp;" CP",'2018 SUBSEQUENT'!$A$13:$R$196,'2018 SUBSEQUENT'!N$9,FALSE)</f>
        <v>3898.09989429098</v>
      </c>
    </row>
    <row r="86" spans="1:21" s="240" customFormat="1">
      <c r="A86" t="s">
        <v>55</v>
      </c>
      <c r="B86" t="s">
        <v>38</v>
      </c>
      <c r="C86" s="240" t="s">
        <v>147</v>
      </c>
      <c r="D86" s="145">
        <f>VLOOKUP($A86&amp;" GNCP",'2018 SUBSEQUENT'!$A$13:$R$196,'2018 SUBSEQUENT'!C$9,FALSE)</f>
        <v>4082.4174626986128</v>
      </c>
      <c r="E86" s="145">
        <f>VLOOKUP($A86&amp;" GNCP",'2018 SUBSEQUENT'!$A$13:$R$196,'2018 SUBSEQUENT'!D$9,FALSE)</f>
        <v>4175.8718451179866</v>
      </c>
      <c r="F86" s="145">
        <f>VLOOKUP($A86&amp;" GNCP",'2018 SUBSEQUENT'!$A$13:$R$196,'2018 SUBSEQUENT'!E$9,FALSE)</f>
        <v>4193.4220486998647</v>
      </c>
      <c r="G86" s="145">
        <f>VLOOKUP($A86&amp;" GNCP",'2018 SUBSEQUENT'!$A$13:$R$196,'2018 SUBSEQUENT'!F$9,FALSE)</f>
        <v>4176.6809373448541</v>
      </c>
      <c r="H86" s="145">
        <f>VLOOKUP($A86&amp;" GNCP",'2018 SUBSEQUENT'!$A$13:$R$196,'2018 SUBSEQUENT'!G$9,FALSE)</f>
        <v>4129.8977679217123</v>
      </c>
      <c r="I86" s="145">
        <f>VLOOKUP($A86&amp;" GNCP",'2018 SUBSEQUENT'!$A$13:$R$196,'2018 SUBSEQUENT'!H$9,FALSE)</f>
        <v>4089.2996824841457</v>
      </c>
      <c r="J86" s="145">
        <f>VLOOKUP($A86&amp;" GNCP",'2018 SUBSEQUENT'!$A$13:$R$196,'2018 SUBSEQUENT'!I$9,FALSE)</f>
        <v>4015.0511741078994</v>
      </c>
      <c r="K86" s="145">
        <f>VLOOKUP($A86&amp;" GNCP",'2018 SUBSEQUENT'!$A$13:$R$196,'2018 SUBSEQUENT'!J$9,FALSE)</f>
        <v>4154.4975651873465</v>
      </c>
      <c r="L86" s="145">
        <f>VLOOKUP($A86&amp;" GNCP",'2018 SUBSEQUENT'!$A$13:$R$196,'2018 SUBSEQUENT'!K$9,FALSE)</f>
        <v>3947.8805294235653</v>
      </c>
      <c r="M86" s="145">
        <f>VLOOKUP($A86&amp;" GNCP",'2018 SUBSEQUENT'!$A$13:$R$196,'2018 SUBSEQUENT'!L$9,FALSE)</f>
        <v>3870.8395149901908</v>
      </c>
      <c r="N86" s="145">
        <f>VLOOKUP($A86&amp;" GNCP",'2018 SUBSEQUENT'!$A$13:$R$196,'2018 SUBSEQUENT'!M$9,FALSE)</f>
        <v>3911.2214500870864</v>
      </c>
      <c r="O86" s="145">
        <f>VLOOKUP($A86&amp;" GNCP",'2018 SUBSEQUENT'!$A$13:$R$196,'2018 SUBSEQUENT'!N$9,FALSE)</f>
        <v>3898.09989429098</v>
      </c>
    </row>
    <row r="87" spans="1:21" s="240" customFormat="1">
      <c r="A87" t="s">
        <v>55</v>
      </c>
      <c r="B87" t="s">
        <v>38</v>
      </c>
      <c r="C87" s="240" t="s">
        <v>133</v>
      </c>
      <c r="D87" s="145">
        <f>VLOOKUP($A87&amp;" NCP",'2018 SUBSEQUENT'!$A$13:$R$196,'2018 SUBSEQUENT'!C$9,FALSE)</f>
        <v>4082.4174626986128</v>
      </c>
      <c r="E87" s="145">
        <f>VLOOKUP($A87&amp;" NCP",'2018 SUBSEQUENT'!$A$13:$R$196,'2018 SUBSEQUENT'!D$9,FALSE)</f>
        <v>4175.8718451179866</v>
      </c>
      <c r="F87" s="145">
        <f>VLOOKUP($A87&amp;" NCP",'2018 SUBSEQUENT'!$A$13:$R$196,'2018 SUBSEQUENT'!E$9,FALSE)</f>
        <v>4193.4220486998647</v>
      </c>
      <c r="G87" s="145">
        <f>VLOOKUP($A87&amp;" NCP",'2018 SUBSEQUENT'!$A$13:$R$196,'2018 SUBSEQUENT'!F$9,FALSE)</f>
        <v>4176.6809373448541</v>
      </c>
      <c r="H87" s="145">
        <f>VLOOKUP($A87&amp;" NCP",'2018 SUBSEQUENT'!$A$13:$R$196,'2018 SUBSEQUENT'!G$9,FALSE)</f>
        <v>4129.8977679217123</v>
      </c>
      <c r="I87" s="145">
        <f>VLOOKUP($A87&amp;" NCP",'2018 SUBSEQUENT'!$A$13:$R$196,'2018 SUBSEQUENT'!H$9,FALSE)</f>
        <v>4089.2996824841457</v>
      </c>
      <c r="J87" s="145">
        <f>VLOOKUP($A87&amp;" NCP",'2018 SUBSEQUENT'!$A$13:$R$196,'2018 SUBSEQUENT'!I$9,FALSE)</f>
        <v>4015.0511741078994</v>
      </c>
      <c r="K87" s="145">
        <f>VLOOKUP($A87&amp;" NCP",'2018 SUBSEQUENT'!$A$13:$R$196,'2018 SUBSEQUENT'!J$9,FALSE)</f>
        <v>4154.4975651873465</v>
      </c>
      <c r="L87" s="145">
        <f>VLOOKUP($A87&amp;" NCP",'2018 SUBSEQUENT'!$A$13:$R$196,'2018 SUBSEQUENT'!K$9,FALSE)</f>
        <v>3947.8805294235653</v>
      </c>
      <c r="M87" s="145">
        <f>VLOOKUP($A87&amp;" NCP",'2018 SUBSEQUENT'!$A$13:$R$196,'2018 SUBSEQUENT'!L$9,FALSE)</f>
        <v>3870.8395149901908</v>
      </c>
      <c r="N87" s="145">
        <f>VLOOKUP($A87&amp;" NCP",'2018 SUBSEQUENT'!$A$13:$R$196,'2018 SUBSEQUENT'!M$9,FALSE)</f>
        <v>3911.2214500870864</v>
      </c>
      <c r="O87" s="145">
        <f>VLOOKUP($A87&amp;" NCP",'2018 SUBSEQUENT'!$A$13:$R$196,'2018 SUBSEQUENT'!N$9,FALSE)</f>
        <v>3898.09989429098</v>
      </c>
    </row>
    <row r="89" spans="1:21">
      <c r="A89" t="s">
        <v>87</v>
      </c>
      <c r="B89" t="s">
        <v>40</v>
      </c>
      <c r="C89" t="s">
        <v>1101</v>
      </c>
    </row>
    <row r="90" spans="1:21">
      <c r="A90" t="s">
        <v>87</v>
      </c>
      <c r="B90" t="s">
        <v>40</v>
      </c>
      <c r="C90" t="s">
        <v>557</v>
      </c>
      <c r="D90" s="4">
        <f>$D$8</f>
        <v>43101</v>
      </c>
      <c r="E90" s="4">
        <f>$E$8</f>
        <v>43132</v>
      </c>
      <c r="F90" s="4">
        <f>$F$8</f>
        <v>43160</v>
      </c>
      <c r="G90" s="4">
        <f>$G$8</f>
        <v>43191</v>
      </c>
      <c r="H90" s="4">
        <f>$H$8</f>
        <v>43221</v>
      </c>
      <c r="I90" s="4">
        <f>$I$8</f>
        <v>43252</v>
      </c>
      <c r="J90" s="4">
        <f>$J$8</f>
        <v>43282</v>
      </c>
      <c r="K90" s="4">
        <f>$K$8</f>
        <v>43313</v>
      </c>
      <c r="L90" s="4">
        <f>$L$8</f>
        <v>43344</v>
      </c>
      <c r="M90" s="4">
        <f>$M$8</f>
        <v>43374</v>
      </c>
      <c r="N90" s="4">
        <f>$N$8</f>
        <v>43405</v>
      </c>
      <c r="O90" s="4">
        <f>$O$8</f>
        <v>43435</v>
      </c>
    </row>
    <row r="91" spans="1:21" s="240" customFormat="1">
      <c r="A91" t="s">
        <v>87</v>
      </c>
      <c r="B91" t="s">
        <v>40</v>
      </c>
      <c r="C91" s="240" t="s">
        <v>148</v>
      </c>
      <c r="D91" s="145">
        <f>VLOOKUP($A91&amp;" CP",'2018 SUBSEQUENT'!$A$13:$R$196,'2018 SUBSEQUENT'!C$9,FALSE)</f>
        <v>1085.6822210455634</v>
      </c>
      <c r="E91" s="145">
        <f>VLOOKUP($A91&amp;" CP",'2018 SUBSEQUENT'!$A$13:$R$196,'2018 SUBSEQUENT'!D$9,FALSE)</f>
        <v>1512.8341091982998</v>
      </c>
      <c r="F91" s="145">
        <f>VLOOKUP($A91&amp;" CP",'2018 SUBSEQUENT'!$A$13:$R$196,'2018 SUBSEQUENT'!E$9,FALSE)</f>
        <v>1174.6045923760191</v>
      </c>
      <c r="G91" s="145">
        <f>VLOOKUP($A91&amp;" CP",'2018 SUBSEQUENT'!$A$13:$R$196,'2018 SUBSEQUENT'!F$9,FALSE)</f>
        <v>2159.7247780484176</v>
      </c>
      <c r="H91" s="145">
        <f>VLOOKUP($A91&amp;" CP",'2018 SUBSEQUENT'!$A$13:$R$196,'2018 SUBSEQUENT'!G$9,FALSE)</f>
        <v>1896.5084914924219</v>
      </c>
      <c r="I91" s="145">
        <f>VLOOKUP($A91&amp;" CP",'2018 SUBSEQUENT'!$A$13:$R$196,'2018 SUBSEQUENT'!H$9,FALSE)</f>
        <v>2236.1116648501552</v>
      </c>
      <c r="J91" s="145">
        <f>VLOOKUP($A91&amp;" CP",'2018 SUBSEQUENT'!$A$13:$R$196,'2018 SUBSEQUENT'!I$9,FALSE)</f>
        <v>2133.581641346801</v>
      </c>
      <c r="K91" s="145">
        <f>VLOOKUP($A91&amp;" CP",'2018 SUBSEQUENT'!$A$13:$R$196,'2018 SUBSEQUENT'!J$9,FALSE)</f>
        <v>1719.5274694945347</v>
      </c>
      <c r="L91" s="145">
        <f>VLOOKUP($A91&amp;" CP",'2018 SUBSEQUENT'!$A$13:$R$196,'2018 SUBSEQUENT'!K$9,FALSE)</f>
        <v>1240.6262840323066</v>
      </c>
      <c r="M91" s="145">
        <f>VLOOKUP($A91&amp;" CP",'2018 SUBSEQUENT'!$A$13:$R$196,'2018 SUBSEQUENT'!L$9,FALSE)</f>
        <v>2611.6989883816514</v>
      </c>
      <c r="N91" s="145">
        <f>VLOOKUP($A91&amp;" CP",'2018 SUBSEQUENT'!$A$13:$R$196,'2018 SUBSEQUENT'!M$9,FALSE)</f>
        <v>2603.8677344965945</v>
      </c>
      <c r="O91" s="145">
        <f>VLOOKUP($A91&amp;" CP",'2018 SUBSEQUENT'!$A$13:$R$196,'2018 SUBSEQUENT'!N$9,FALSE)</f>
        <v>564.90736509667909</v>
      </c>
    </row>
    <row r="92" spans="1:21" s="240" customFormat="1">
      <c r="A92" t="s">
        <v>87</v>
      </c>
      <c r="B92" t="s">
        <v>40</v>
      </c>
      <c r="C92" s="240" t="s">
        <v>147</v>
      </c>
      <c r="D92" s="145">
        <f>VLOOKUP($A92&amp;" GNCP",'2018 SUBSEQUENT'!$A$13:$R$196,'2018 SUBSEQUENT'!C$9,FALSE)</f>
        <v>2094.8997814579911</v>
      </c>
      <c r="E92" s="145">
        <f>VLOOKUP($A92&amp;" GNCP",'2018 SUBSEQUENT'!$A$13:$R$196,'2018 SUBSEQUENT'!D$9,FALSE)</f>
        <v>3688.2855722195604</v>
      </c>
      <c r="F92" s="145">
        <f>VLOOKUP($A92&amp;" GNCP",'2018 SUBSEQUENT'!$A$13:$R$196,'2018 SUBSEQUENT'!E$9,FALSE)</f>
        <v>1559.5730910102195</v>
      </c>
      <c r="G92" s="145">
        <f>VLOOKUP($A92&amp;" GNCP",'2018 SUBSEQUENT'!$A$13:$R$196,'2018 SUBSEQUENT'!F$9,FALSE)</f>
        <v>3752.7793593986644</v>
      </c>
      <c r="H92" s="145">
        <f>VLOOKUP($A92&amp;" GNCP",'2018 SUBSEQUENT'!$A$13:$R$196,'2018 SUBSEQUENT'!G$9,FALSE)</f>
        <v>3780.5827207051971</v>
      </c>
      <c r="I92" s="145">
        <f>VLOOKUP($A92&amp;" GNCP",'2018 SUBSEQUENT'!$A$13:$R$196,'2018 SUBSEQUENT'!H$9,FALSE)</f>
        <v>3297.8128041258406</v>
      </c>
      <c r="J92" s="145">
        <f>VLOOKUP($A92&amp;" GNCP",'2018 SUBSEQUENT'!$A$13:$R$196,'2018 SUBSEQUENT'!I$9,FALSE)</f>
        <v>3153.7324038724792</v>
      </c>
      <c r="K92" s="145">
        <f>VLOOKUP($A92&amp;" GNCP",'2018 SUBSEQUENT'!$A$13:$R$196,'2018 SUBSEQUENT'!J$9,FALSE)</f>
        <v>3347.9186106707912</v>
      </c>
      <c r="L92" s="145">
        <f>VLOOKUP($A92&amp;" GNCP",'2018 SUBSEQUENT'!$A$13:$R$196,'2018 SUBSEQUENT'!K$9,FALSE)</f>
        <v>3632.0019128777417</v>
      </c>
      <c r="M92" s="145">
        <f>VLOOKUP($A92&amp;" GNCP",'2018 SUBSEQUENT'!$A$13:$R$196,'2018 SUBSEQUENT'!L$9,FALSE)</f>
        <v>5011.848283997344</v>
      </c>
      <c r="N92" s="145">
        <f>VLOOKUP($A92&amp;" GNCP",'2018 SUBSEQUENT'!$A$13:$R$196,'2018 SUBSEQUENT'!M$9,FALSE)</f>
        <v>8201.2538466420629</v>
      </c>
      <c r="O92" s="145">
        <f>VLOOKUP($A92&amp;" GNCP",'2018 SUBSEQUENT'!$A$13:$R$196,'2018 SUBSEQUENT'!N$9,FALSE)</f>
        <v>2237.9847529906792</v>
      </c>
    </row>
    <row r="93" spans="1:21" s="240" customFormat="1">
      <c r="A93" t="s">
        <v>87</v>
      </c>
      <c r="B93" t="s">
        <v>40</v>
      </c>
      <c r="C93" s="240" t="s">
        <v>133</v>
      </c>
      <c r="D93" s="145">
        <f>VLOOKUP($A93&amp;" NCP",'2018 SUBSEQUENT'!$A$13:$R$196,'2018 SUBSEQUENT'!C$9,FALSE)</f>
        <v>2593.5189042567208</v>
      </c>
      <c r="E93" s="145">
        <f>VLOOKUP($A93&amp;" NCP",'2018 SUBSEQUENT'!$A$13:$R$196,'2018 SUBSEQUENT'!D$9,FALSE)</f>
        <v>4194.7799959621143</v>
      </c>
      <c r="F93" s="145">
        <f>VLOOKUP($A93&amp;" NCP",'2018 SUBSEQUENT'!$A$13:$R$196,'2018 SUBSEQUENT'!E$9,FALSE)</f>
        <v>2074.4309236034824</v>
      </c>
      <c r="G93" s="145">
        <f>VLOOKUP($A93&amp;" NCP",'2018 SUBSEQUENT'!$A$13:$R$196,'2018 SUBSEQUENT'!F$9,FALSE)</f>
        <v>4502.7040479529442</v>
      </c>
      <c r="H93" s="145">
        <f>VLOOKUP($A93&amp;" NCP",'2018 SUBSEQUENT'!$A$13:$R$196,'2018 SUBSEQUENT'!G$9,FALSE)</f>
        <v>4384.7171398394057</v>
      </c>
      <c r="I93" s="145">
        <f>VLOOKUP($A93&amp;" NCP",'2018 SUBSEQUENT'!$A$13:$R$196,'2018 SUBSEQUENT'!H$9,FALSE)</f>
        <v>4269.2452020185001</v>
      </c>
      <c r="J93" s="145">
        <f>VLOOKUP($A93&amp;" NCP",'2018 SUBSEQUENT'!$A$13:$R$196,'2018 SUBSEQUENT'!I$9,FALSE)</f>
        <v>3783.8880214331339</v>
      </c>
      <c r="K93" s="145">
        <f>VLOOKUP($A93&amp;" NCP",'2018 SUBSEQUENT'!$A$13:$R$196,'2018 SUBSEQUENT'!J$9,FALSE)</f>
        <v>4125.9206866137783</v>
      </c>
      <c r="L93" s="145">
        <f>VLOOKUP($A93&amp;" NCP",'2018 SUBSEQUENT'!$A$13:$R$196,'2018 SUBSEQUENT'!K$9,FALSE)</f>
        <v>4196.8912214794764</v>
      </c>
      <c r="M93" s="145">
        <f>VLOOKUP($A93&amp;" NCP",'2018 SUBSEQUENT'!$A$13:$R$196,'2018 SUBSEQUENT'!L$9,FALSE)</f>
        <v>7191.7662933466336</v>
      </c>
      <c r="N93" s="145">
        <f>VLOOKUP($A93&amp;" NCP",'2018 SUBSEQUENT'!$A$13:$R$196,'2018 SUBSEQUENT'!M$9,FALSE)</f>
        <v>9915.8901043602818</v>
      </c>
      <c r="O93" s="145">
        <f>VLOOKUP($A93&amp;" NCP",'2018 SUBSEQUENT'!$A$13:$R$196,'2018 SUBSEQUENT'!N$9,FALSE)</f>
        <v>3484.258878399472</v>
      </c>
    </row>
    <row r="94" spans="1:21">
      <c r="D94" s="241"/>
      <c r="E94" s="241"/>
      <c r="F94" s="241"/>
      <c r="G94" s="241"/>
      <c r="H94" s="241"/>
      <c r="I94" s="241"/>
      <c r="J94" s="241"/>
      <c r="K94" s="241"/>
      <c r="L94" s="241"/>
      <c r="M94" s="241"/>
      <c r="N94" s="241"/>
      <c r="O94" s="241"/>
      <c r="P94" s="241"/>
      <c r="Q94" s="242"/>
      <c r="S94" s="44"/>
      <c r="T94" s="44"/>
      <c r="U94" s="243"/>
    </row>
    <row r="95" spans="1:21">
      <c r="A95" t="s">
        <v>88</v>
      </c>
      <c r="B95" t="s">
        <v>45</v>
      </c>
      <c r="C95" t="s">
        <v>559</v>
      </c>
      <c r="P95" s="241"/>
      <c r="Q95" s="242"/>
      <c r="S95" s="44"/>
      <c r="T95" s="44"/>
      <c r="U95" s="243"/>
    </row>
    <row r="96" spans="1:21">
      <c r="A96" t="s">
        <v>88</v>
      </c>
      <c r="B96" t="s">
        <v>45</v>
      </c>
      <c r="C96" t="s">
        <v>557</v>
      </c>
      <c r="D96" s="4">
        <f>$D$8</f>
        <v>43101</v>
      </c>
      <c r="E96" s="4">
        <f>$E$8</f>
        <v>43132</v>
      </c>
      <c r="F96" s="4">
        <f>$F$8</f>
        <v>43160</v>
      </c>
      <c r="G96" s="4">
        <f>$G$8</f>
        <v>43191</v>
      </c>
      <c r="H96" s="4">
        <f>$H$8</f>
        <v>43221</v>
      </c>
      <c r="I96" s="4">
        <f>$I$8</f>
        <v>43252</v>
      </c>
      <c r="J96" s="4">
        <f>$J$8</f>
        <v>43282</v>
      </c>
      <c r="K96" s="4">
        <f>$K$8</f>
        <v>43313</v>
      </c>
      <c r="L96" s="4">
        <f>$L$8</f>
        <v>43344</v>
      </c>
      <c r="M96" s="4">
        <f>$M$8</f>
        <v>43374</v>
      </c>
      <c r="N96" s="4">
        <f>$N$8</f>
        <v>43405</v>
      </c>
      <c r="O96" s="4">
        <f>$O$8</f>
        <v>43435</v>
      </c>
      <c r="P96" s="241"/>
      <c r="Q96" s="242"/>
      <c r="S96" s="44"/>
      <c r="T96" s="44"/>
      <c r="U96" s="243"/>
    </row>
    <row r="97" spans="1:21">
      <c r="A97" t="s">
        <v>88</v>
      </c>
      <c r="B97" t="s">
        <v>45</v>
      </c>
      <c r="C97" s="240" t="s">
        <v>148</v>
      </c>
      <c r="D97" s="145">
        <f>VLOOKUP($A97&amp;" CP",'2018 SUBSEQUENT'!$A$13:$R$196,'2018 SUBSEQUENT'!C$9,FALSE)</f>
        <v>11120.440250218409</v>
      </c>
      <c r="E97" s="145">
        <f>VLOOKUP($A97&amp;" CP",'2018 SUBSEQUENT'!$A$13:$R$196,'2018 SUBSEQUENT'!D$9,FALSE)</f>
        <v>9785.6928706935432</v>
      </c>
      <c r="F97" s="145">
        <f>VLOOKUP($A97&amp;" CP",'2018 SUBSEQUENT'!$A$13:$R$196,'2018 SUBSEQUENT'!E$9,FALSE)</f>
        <v>8616.4974915890762</v>
      </c>
      <c r="G97" s="145">
        <f>VLOOKUP($A97&amp;" CP",'2018 SUBSEQUENT'!$A$13:$R$196,'2018 SUBSEQUENT'!F$9,FALSE)</f>
        <v>9264.6487011463614</v>
      </c>
      <c r="H97" s="145">
        <f>VLOOKUP($A97&amp;" CP",'2018 SUBSEQUENT'!$A$13:$R$196,'2018 SUBSEQUENT'!G$9,FALSE)</f>
        <v>10192.66656638389</v>
      </c>
      <c r="I97" s="145">
        <f>VLOOKUP($A97&amp;" CP",'2018 SUBSEQUENT'!$A$13:$R$196,'2018 SUBSEQUENT'!H$9,FALSE)</f>
        <v>8201.3028948306674</v>
      </c>
      <c r="J97" s="145">
        <f>VLOOKUP($A97&amp;" CP",'2018 SUBSEQUENT'!$A$13:$R$196,'2018 SUBSEQUENT'!I$9,FALSE)</f>
        <v>6962.3302332130543</v>
      </c>
      <c r="K97" s="145">
        <f>VLOOKUP($A97&amp;" CP",'2018 SUBSEQUENT'!$A$13:$R$196,'2018 SUBSEQUENT'!J$9,FALSE)</f>
        <v>6174.797850171517</v>
      </c>
      <c r="L97" s="145">
        <f>VLOOKUP($A97&amp;" CP",'2018 SUBSEQUENT'!$A$13:$R$196,'2018 SUBSEQUENT'!K$9,FALSE)</f>
        <v>10879.762938366943</v>
      </c>
      <c r="M97" s="145">
        <f>VLOOKUP($A97&amp;" CP",'2018 SUBSEQUENT'!$A$13:$R$196,'2018 SUBSEQUENT'!L$9,FALSE)</f>
        <v>7257.4918971712459</v>
      </c>
      <c r="N97" s="145">
        <f>VLOOKUP($A97&amp;" CP",'2018 SUBSEQUENT'!$A$13:$R$196,'2018 SUBSEQUENT'!M$9,FALSE)</f>
        <v>18932.245718157494</v>
      </c>
      <c r="O97" s="145">
        <f>VLOOKUP($A97&amp;" CP",'2018 SUBSEQUENT'!$A$13:$R$196,'2018 SUBSEQUENT'!N$9,FALSE)</f>
        <v>8028.7118544502764</v>
      </c>
      <c r="P97" s="241"/>
      <c r="Q97" s="242"/>
      <c r="S97" s="44"/>
      <c r="T97" s="44"/>
      <c r="U97" s="243"/>
    </row>
    <row r="98" spans="1:21">
      <c r="A98" t="s">
        <v>88</v>
      </c>
      <c r="B98" t="s">
        <v>45</v>
      </c>
      <c r="C98" s="240" t="s">
        <v>147</v>
      </c>
      <c r="D98" s="145">
        <f>VLOOKUP($A98&amp;" GNCP",'2018 SUBSEQUENT'!$A$13:$R$196,'2018 SUBSEQUENT'!C$9,FALSE)</f>
        <v>27161.062652635697</v>
      </c>
      <c r="E98" s="145">
        <f>VLOOKUP($A98&amp;" GNCP",'2018 SUBSEQUENT'!$A$13:$R$196,'2018 SUBSEQUENT'!D$9,FALSE)</f>
        <v>35824.269817482767</v>
      </c>
      <c r="F98" s="145">
        <f>VLOOKUP($A98&amp;" GNCP",'2018 SUBSEQUENT'!$A$13:$R$196,'2018 SUBSEQUENT'!E$9,FALSE)</f>
        <v>51499.060994838066</v>
      </c>
      <c r="G98" s="145">
        <f>VLOOKUP($A98&amp;" GNCP",'2018 SUBSEQUENT'!$A$13:$R$196,'2018 SUBSEQUENT'!F$9,FALSE)</f>
        <v>38254.510631621291</v>
      </c>
      <c r="H98" s="145">
        <f>VLOOKUP($A98&amp;" GNCP",'2018 SUBSEQUENT'!$A$13:$R$196,'2018 SUBSEQUENT'!G$9,FALSE)</f>
        <v>51961.080237677292</v>
      </c>
      <c r="I98" s="145">
        <f>VLOOKUP($A98&amp;" GNCP",'2018 SUBSEQUENT'!$A$13:$R$196,'2018 SUBSEQUENT'!H$9,FALSE)</f>
        <v>42020.066943799779</v>
      </c>
      <c r="J98" s="145">
        <f>VLOOKUP($A98&amp;" GNCP",'2018 SUBSEQUENT'!$A$13:$R$196,'2018 SUBSEQUENT'!I$9,FALSE)</f>
        <v>27417.529125675705</v>
      </c>
      <c r="K98" s="145">
        <f>VLOOKUP($A98&amp;" GNCP",'2018 SUBSEQUENT'!$A$13:$R$196,'2018 SUBSEQUENT'!J$9,FALSE)</f>
        <v>33207.601247620143</v>
      </c>
      <c r="L98" s="145">
        <f>VLOOKUP($A98&amp;" GNCP",'2018 SUBSEQUENT'!$A$13:$R$196,'2018 SUBSEQUENT'!K$9,FALSE)</f>
        <v>25998.538042951033</v>
      </c>
      <c r="M98" s="145">
        <f>VLOOKUP($A98&amp;" GNCP",'2018 SUBSEQUENT'!$A$13:$R$196,'2018 SUBSEQUENT'!L$9,FALSE)</f>
        <v>35228.26656812647</v>
      </c>
      <c r="N98" s="145">
        <f>VLOOKUP($A98&amp;" GNCP",'2018 SUBSEQUENT'!$A$13:$R$196,'2018 SUBSEQUENT'!M$9,FALSE)</f>
        <v>57625.579904252954</v>
      </c>
      <c r="O98" s="145">
        <f>VLOOKUP($A98&amp;" GNCP",'2018 SUBSEQUENT'!$A$13:$R$196,'2018 SUBSEQUENT'!N$9,FALSE)</f>
        <v>29998.785873165416</v>
      </c>
      <c r="P98" s="241"/>
      <c r="Q98" s="242"/>
      <c r="S98" s="44"/>
      <c r="T98" s="44"/>
      <c r="U98" s="243"/>
    </row>
    <row r="99" spans="1:21">
      <c r="A99" t="s">
        <v>88</v>
      </c>
      <c r="B99" t="s">
        <v>45</v>
      </c>
      <c r="C99" s="240" t="s">
        <v>133</v>
      </c>
      <c r="D99" s="145">
        <f>VLOOKUP($A99&amp;" NCP",'2018 SUBSEQUENT'!$A$13:$R$196,'2018 SUBSEQUENT'!C$9,FALSE)</f>
        <v>77165.349050049161</v>
      </c>
      <c r="E99" s="145">
        <f>VLOOKUP($A99&amp;" NCP",'2018 SUBSEQUENT'!$A$13:$R$196,'2018 SUBSEQUENT'!D$9,FALSE)</f>
        <v>79339.846464051327</v>
      </c>
      <c r="F99" s="145">
        <f>VLOOKUP($A99&amp;" NCP",'2018 SUBSEQUENT'!$A$13:$R$196,'2018 SUBSEQUENT'!E$9,FALSE)</f>
        <v>126194.63538322384</v>
      </c>
      <c r="G99" s="145">
        <f>VLOOKUP($A99&amp;" NCP",'2018 SUBSEQUENT'!$A$13:$R$196,'2018 SUBSEQUENT'!F$9,FALSE)</f>
        <v>85236.757496452658</v>
      </c>
      <c r="H99" s="145">
        <f>VLOOKUP($A99&amp;" NCP",'2018 SUBSEQUENT'!$A$13:$R$196,'2018 SUBSEQUENT'!G$9,FALSE)</f>
        <v>130358.62287063993</v>
      </c>
      <c r="I99" s="145">
        <f>VLOOKUP($A99&amp;" NCP",'2018 SUBSEQUENT'!$A$13:$R$196,'2018 SUBSEQUENT'!H$9,FALSE)</f>
        <v>93864.854941203899</v>
      </c>
      <c r="J99" s="145">
        <f>VLOOKUP($A99&amp;" NCP",'2018 SUBSEQUENT'!$A$13:$R$196,'2018 SUBSEQUENT'!I$9,FALSE)</f>
        <v>69829.322856681159</v>
      </c>
      <c r="K99" s="145">
        <f>VLOOKUP($A99&amp;" NCP",'2018 SUBSEQUENT'!$A$13:$R$196,'2018 SUBSEQUENT'!J$9,FALSE)</f>
        <v>81030.196231143462</v>
      </c>
      <c r="L99" s="145">
        <f>VLOOKUP($A99&amp;" NCP",'2018 SUBSEQUENT'!$A$13:$R$196,'2018 SUBSEQUENT'!K$9,FALSE)</f>
        <v>54470.549108778621</v>
      </c>
      <c r="M99" s="145">
        <f>VLOOKUP($A99&amp;" NCP",'2018 SUBSEQUENT'!$A$13:$R$196,'2018 SUBSEQUENT'!L$9,FALSE)</f>
        <v>75766.052788883608</v>
      </c>
      <c r="N99" s="145">
        <f>VLOOKUP($A99&amp;" NCP",'2018 SUBSEQUENT'!$A$13:$R$196,'2018 SUBSEQUENT'!M$9,FALSE)</f>
        <v>143697.9946725058</v>
      </c>
      <c r="O99" s="145">
        <f>VLOOKUP($A99&amp;" NCP",'2018 SUBSEQUENT'!$A$13:$R$196,'2018 SUBSEQUENT'!N$9,FALSE)</f>
        <v>68168.578564909767</v>
      </c>
      <c r="P99" s="241"/>
      <c r="Q99" s="242"/>
      <c r="S99" s="44"/>
      <c r="T99" s="44"/>
      <c r="U99" s="243"/>
    </row>
    <row r="100" spans="1:21">
      <c r="D100" s="241"/>
      <c r="E100" s="241"/>
      <c r="F100" s="241"/>
      <c r="G100" s="241"/>
      <c r="H100" s="241"/>
      <c r="I100" s="241"/>
      <c r="J100" s="241"/>
      <c r="K100" s="241"/>
      <c r="L100" s="241"/>
      <c r="M100" s="241"/>
      <c r="N100" s="241"/>
      <c r="O100" s="241"/>
      <c r="P100" s="241"/>
      <c r="Q100" s="242"/>
      <c r="S100" s="44"/>
      <c r="T100" s="44"/>
      <c r="U100" s="243"/>
    </row>
    <row r="101" spans="1:21">
      <c r="A101" t="s">
        <v>69</v>
      </c>
      <c r="B101" t="s">
        <v>713</v>
      </c>
      <c r="C101" t="s">
        <v>1100</v>
      </c>
    </row>
    <row r="102" spans="1:21">
      <c r="A102" t="s">
        <v>69</v>
      </c>
      <c r="B102" t="s">
        <v>713</v>
      </c>
      <c r="C102" t="s">
        <v>557</v>
      </c>
      <c r="D102" s="4">
        <f>$D$8</f>
        <v>43101</v>
      </c>
      <c r="E102" s="4">
        <f>$E$8</f>
        <v>43132</v>
      </c>
      <c r="F102" s="4">
        <f>$F$8</f>
        <v>43160</v>
      </c>
      <c r="G102" s="4">
        <f>$G$8</f>
        <v>43191</v>
      </c>
      <c r="H102" s="4">
        <f>$H$8</f>
        <v>43221</v>
      </c>
      <c r="I102" s="4">
        <f>$I$8</f>
        <v>43252</v>
      </c>
      <c r="J102" s="4">
        <f>$J$8</f>
        <v>43282</v>
      </c>
      <c r="K102" s="4">
        <f>$K$8</f>
        <v>43313</v>
      </c>
      <c r="L102" s="4">
        <f>$L$8</f>
        <v>43344</v>
      </c>
      <c r="M102" s="4">
        <f>$M$8</f>
        <v>43374</v>
      </c>
      <c r="N102" s="4">
        <f>$N$8</f>
        <v>43405</v>
      </c>
      <c r="O102" s="4">
        <f>$O$8</f>
        <v>43435</v>
      </c>
    </row>
    <row r="103" spans="1:21" s="240" customFormat="1">
      <c r="A103" t="s">
        <v>69</v>
      </c>
      <c r="B103" t="s">
        <v>713</v>
      </c>
      <c r="C103" s="240" t="s">
        <v>148</v>
      </c>
      <c r="D103" s="145">
        <f>VLOOKUP($A103&amp;" CP",'2018 SUBSEQUENT'!$A$13:$R$196,'2018 SUBSEQUENT'!C$9,FALSE)</f>
        <v>306325.56955002289</v>
      </c>
      <c r="E103" s="145">
        <f>VLOOKUP($A103&amp;" CP",'2018 SUBSEQUENT'!$A$13:$R$196,'2018 SUBSEQUENT'!D$9,FALSE)</f>
        <v>344549.13822153688</v>
      </c>
      <c r="F103" s="145">
        <f>VLOOKUP($A103&amp;" CP",'2018 SUBSEQUENT'!$A$13:$R$196,'2018 SUBSEQUENT'!E$9,FALSE)</f>
        <v>309951.94873697363</v>
      </c>
      <c r="G103" s="145">
        <f>VLOOKUP($A103&amp;" CP",'2018 SUBSEQUENT'!$A$13:$R$196,'2018 SUBSEQUENT'!F$9,FALSE)</f>
        <v>320700.9764646776</v>
      </c>
      <c r="H103" s="145">
        <f>VLOOKUP($A103&amp;" CP",'2018 SUBSEQUENT'!$A$13:$R$196,'2018 SUBSEQUENT'!G$9,FALSE)</f>
        <v>334659.02347613667</v>
      </c>
      <c r="I103" s="145">
        <f>VLOOKUP($A103&amp;" CP",'2018 SUBSEQUENT'!$A$13:$R$196,'2018 SUBSEQUENT'!H$9,FALSE)</f>
        <v>336530.56730394077</v>
      </c>
      <c r="J103" s="145">
        <f>VLOOKUP($A103&amp;" CP",'2018 SUBSEQUENT'!$A$13:$R$196,'2018 SUBSEQUENT'!I$9,FALSE)</f>
        <v>344117.04519037978</v>
      </c>
      <c r="K103" s="145">
        <f>VLOOKUP($A103&amp;" CP",'2018 SUBSEQUENT'!$A$13:$R$196,'2018 SUBSEQUENT'!J$9,FALSE)</f>
        <v>349260.67174394475</v>
      </c>
      <c r="L103" s="145">
        <f>VLOOKUP($A103&amp;" CP",'2018 SUBSEQUENT'!$A$13:$R$196,'2018 SUBSEQUENT'!K$9,FALSE)</f>
        <v>327498.98899022304</v>
      </c>
      <c r="M103" s="145">
        <f>VLOOKUP($A103&amp;" CP",'2018 SUBSEQUENT'!$A$13:$R$196,'2018 SUBSEQUENT'!L$9,FALSE)</f>
        <v>325543.3149252967</v>
      </c>
      <c r="N103" s="145">
        <f>VLOOKUP($A103&amp;" CP",'2018 SUBSEQUENT'!$A$13:$R$196,'2018 SUBSEQUENT'!M$9,FALSE)</f>
        <v>332058.35253853607</v>
      </c>
      <c r="O103" s="145">
        <f>VLOOKUP($A103&amp;" CP",'2018 SUBSEQUENT'!$A$13:$R$196,'2018 SUBSEQUENT'!N$9,FALSE)</f>
        <v>330392.23330520146</v>
      </c>
    </row>
    <row r="104" spans="1:21" s="240" customFormat="1">
      <c r="A104" t="s">
        <v>69</v>
      </c>
      <c r="B104" t="s">
        <v>713</v>
      </c>
      <c r="C104" s="240" t="s">
        <v>147</v>
      </c>
      <c r="D104" s="145">
        <f>VLOOKUP($A104&amp;" GNCP",'2018 SUBSEQUENT'!$A$13:$R$196,'2018 SUBSEQUENT'!C$9,FALSE)</f>
        <v>363685.80627934641</v>
      </c>
      <c r="E104" s="145">
        <f>VLOOKUP($A104&amp;" GNCP",'2018 SUBSEQUENT'!$A$13:$R$196,'2018 SUBSEQUENT'!D$9,FALSE)</f>
        <v>352139.64892819215</v>
      </c>
      <c r="F104" s="145">
        <f>VLOOKUP($A104&amp;" GNCP",'2018 SUBSEQUENT'!$A$13:$R$196,'2018 SUBSEQUENT'!E$9,FALSE)</f>
        <v>327179.15437755245</v>
      </c>
      <c r="G104" s="145">
        <f>VLOOKUP($A104&amp;" GNCP",'2018 SUBSEQUENT'!$A$13:$R$196,'2018 SUBSEQUENT'!F$9,FALSE)</f>
        <v>334873.32986210642</v>
      </c>
      <c r="H104" s="145">
        <f>VLOOKUP($A104&amp;" GNCP",'2018 SUBSEQUENT'!$A$13:$R$196,'2018 SUBSEQUENT'!G$9,FALSE)</f>
        <v>338427.08149301959</v>
      </c>
      <c r="I104" s="145">
        <f>VLOOKUP($A104&amp;" GNCP",'2018 SUBSEQUENT'!$A$13:$R$196,'2018 SUBSEQUENT'!H$9,FALSE)</f>
        <v>351856.50356811011</v>
      </c>
      <c r="J104" s="145">
        <f>VLOOKUP($A104&amp;" GNCP",'2018 SUBSEQUENT'!$A$13:$R$196,'2018 SUBSEQUENT'!I$9,FALSE)</f>
        <v>356057.56071883789</v>
      </c>
      <c r="K104" s="145">
        <f>VLOOKUP($A104&amp;" GNCP",'2018 SUBSEQUENT'!$A$13:$R$196,'2018 SUBSEQUENT'!J$9,FALSE)</f>
        <v>351664.65686761087</v>
      </c>
      <c r="L104" s="145">
        <f>VLOOKUP($A104&amp;" GNCP",'2018 SUBSEQUENT'!$A$13:$R$196,'2018 SUBSEQUENT'!K$9,FALSE)</f>
        <v>366698.48301689303</v>
      </c>
      <c r="M104" s="145">
        <f>VLOOKUP($A104&amp;" GNCP",'2018 SUBSEQUENT'!$A$13:$R$196,'2018 SUBSEQUENT'!L$9,FALSE)</f>
        <v>345943.56519292278</v>
      </c>
      <c r="N104" s="145">
        <f>VLOOKUP($A104&amp;" GNCP",'2018 SUBSEQUENT'!$A$13:$R$196,'2018 SUBSEQUENT'!M$9,FALSE)</f>
        <v>360740.98819996353</v>
      </c>
      <c r="O104" s="145">
        <f>VLOOKUP($A104&amp;" GNCP",'2018 SUBSEQUENT'!$A$13:$R$196,'2018 SUBSEQUENT'!N$9,FALSE)</f>
        <v>358968.3223592217</v>
      </c>
    </row>
    <row r="105" spans="1:21" s="240" customFormat="1">
      <c r="A105" t="s">
        <v>69</v>
      </c>
      <c r="B105" t="s">
        <v>713</v>
      </c>
      <c r="C105" s="240" t="s">
        <v>133</v>
      </c>
      <c r="D105" s="145">
        <f>VLOOKUP($A105&amp;" NCP",'2018 SUBSEQUENT'!$A$13:$R$196,'2018 SUBSEQUENT'!C$9,FALSE)</f>
        <v>449266.43708169082</v>
      </c>
      <c r="E105" s="145">
        <f>VLOOKUP($A105&amp;" NCP",'2018 SUBSEQUENT'!$A$13:$R$196,'2018 SUBSEQUENT'!D$9,FALSE)</f>
        <v>436481.0853330142</v>
      </c>
      <c r="F105" s="145">
        <f>VLOOKUP($A105&amp;" NCP",'2018 SUBSEQUENT'!$A$13:$R$196,'2018 SUBSEQUENT'!E$9,FALSE)</f>
        <v>406792.58776793798</v>
      </c>
      <c r="G105" s="145">
        <f>VLOOKUP($A105&amp;" NCP",'2018 SUBSEQUENT'!$A$13:$R$196,'2018 SUBSEQUENT'!F$9,FALSE)</f>
        <v>414913.51785381761</v>
      </c>
      <c r="H105" s="145">
        <f>VLOOKUP($A105&amp;" NCP",'2018 SUBSEQUENT'!$A$13:$R$196,'2018 SUBSEQUENT'!G$9,FALSE)</f>
        <v>421827.55374563584</v>
      </c>
      <c r="I105" s="145">
        <f>VLOOKUP($A105&amp;" NCP",'2018 SUBSEQUENT'!$A$13:$R$196,'2018 SUBSEQUENT'!H$9,FALSE)</f>
        <v>437682.08387955517</v>
      </c>
      <c r="J105" s="145">
        <f>VLOOKUP($A105&amp;" NCP",'2018 SUBSEQUENT'!$A$13:$R$196,'2018 SUBSEQUENT'!I$9,FALSE)</f>
        <v>444336.02734733146</v>
      </c>
      <c r="K105" s="145">
        <f>VLOOKUP($A105&amp;" NCP",'2018 SUBSEQUENT'!$A$13:$R$196,'2018 SUBSEQUENT'!J$9,FALSE)</f>
        <v>439600.18250594579</v>
      </c>
      <c r="L105" s="145">
        <f>VLOOKUP($A105&amp;" NCP",'2018 SUBSEQUENT'!$A$13:$R$196,'2018 SUBSEQUENT'!K$9,FALSE)</f>
        <v>457843.27157036646</v>
      </c>
      <c r="M105" s="145">
        <f>VLOOKUP($A105&amp;" NCP",'2018 SUBSEQUENT'!$A$13:$R$196,'2018 SUBSEQUENT'!L$9,FALSE)</f>
        <v>435646.47432562406</v>
      </c>
      <c r="N105" s="145">
        <f>VLOOKUP($A105&amp;" NCP",'2018 SUBSEQUENT'!$A$13:$R$196,'2018 SUBSEQUENT'!M$9,FALSE)</f>
        <v>442300.90097210009</v>
      </c>
      <c r="O105" s="145">
        <f>VLOOKUP($A105&amp;" NCP",'2018 SUBSEQUENT'!$A$13:$R$196,'2018 SUBSEQUENT'!N$9,FALSE)</f>
        <v>442713.68422670598</v>
      </c>
    </row>
    <row r="107" spans="1:21">
      <c r="A107" t="s">
        <v>52</v>
      </c>
      <c r="B107" t="s">
        <v>717</v>
      </c>
      <c r="C107" t="s">
        <v>1099</v>
      </c>
    </row>
    <row r="108" spans="1:21">
      <c r="A108" t="s">
        <v>52</v>
      </c>
      <c r="B108" t="s">
        <v>717</v>
      </c>
      <c r="C108" t="s">
        <v>557</v>
      </c>
      <c r="D108" s="4">
        <f>$D$8</f>
        <v>43101</v>
      </c>
      <c r="E108" s="4">
        <f>$E$8</f>
        <v>43132</v>
      </c>
      <c r="F108" s="4">
        <f>$F$8</f>
        <v>43160</v>
      </c>
      <c r="G108" s="4">
        <f>$G$8</f>
        <v>43191</v>
      </c>
      <c r="H108" s="4">
        <f>$H$8</f>
        <v>43221</v>
      </c>
      <c r="I108" s="4">
        <f>$I$8</f>
        <v>43252</v>
      </c>
      <c r="J108" s="4">
        <f>$J$8</f>
        <v>43282</v>
      </c>
      <c r="K108" s="4">
        <f>$K$8</f>
        <v>43313</v>
      </c>
      <c r="L108" s="4">
        <f>$L$8</f>
        <v>43344</v>
      </c>
      <c r="M108" s="4">
        <f>$M$8</f>
        <v>43374</v>
      </c>
      <c r="N108" s="4">
        <f>$N$8</f>
        <v>43405</v>
      </c>
      <c r="O108" s="4">
        <f>$O$8</f>
        <v>43435</v>
      </c>
    </row>
    <row r="109" spans="1:21">
      <c r="A109" t="s">
        <v>52</v>
      </c>
      <c r="B109" t="s">
        <v>717</v>
      </c>
      <c r="C109" s="240" t="s">
        <v>148</v>
      </c>
      <c r="D109" s="145">
        <f>VLOOKUP($A109&amp;" CP",'2018 SUBSEQUENT'!$A$13:$R$196,'2018 SUBSEQUENT'!C$9,FALSE)</f>
        <v>23165.48104411742</v>
      </c>
      <c r="E109" s="145">
        <f>VLOOKUP($A109&amp;" CP",'2018 SUBSEQUENT'!$A$13:$R$196,'2018 SUBSEQUENT'!D$9,FALSE)</f>
        <v>27048.622753068437</v>
      </c>
      <c r="F109" s="145">
        <f>VLOOKUP($A109&amp;" CP",'2018 SUBSEQUENT'!$A$13:$R$196,'2018 SUBSEQUENT'!E$9,FALSE)</f>
        <v>25915.162707454678</v>
      </c>
      <c r="G109" s="145">
        <f>VLOOKUP($A109&amp;" CP",'2018 SUBSEQUENT'!$A$13:$R$196,'2018 SUBSEQUENT'!F$9,FALSE)</f>
        <v>27616.336604310727</v>
      </c>
      <c r="H109" s="145">
        <f>VLOOKUP($A109&amp;" CP",'2018 SUBSEQUENT'!$A$13:$R$196,'2018 SUBSEQUENT'!G$9,FALSE)</f>
        <v>25458.303023398716</v>
      </c>
      <c r="I109" s="145">
        <f>VLOOKUP($A109&amp;" CP",'2018 SUBSEQUENT'!$A$13:$R$196,'2018 SUBSEQUENT'!H$9,FALSE)</f>
        <v>27155.051708630894</v>
      </c>
      <c r="J109" s="145">
        <f>VLOOKUP($A109&amp;" CP",'2018 SUBSEQUENT'!$A$13:$R$196,'2018 SUBSEQUENT'!I$9,FALSE)</f>
        <v>23158.88716181169</v>
      </c>
      <c r="K109" s="145">
        <f>VLOOKUP($A109&amp;" CP",'2018 SUBSEQUENT'!$A$13:$R$196,'2018 SUBSEQUENT'!J$9,FALSE)</f>
        <v>26210.127863961945</v>
      </c>
      <c r="L109" s="145">
        <f>VLOOKUP($A109&amp;" CP",'2018 SUBSEQUENT'!$A$13:$R$196,'2018 SUBSEQUENT'!K$9,FALSE)</f>
        <v>19357.439222751524</v>
      </c>
      <c r="M109" s="145">
        <f>VLOOKUP($A109&amp;" CP",'2018 SUBSEQUENT'!$A$13:$R$196,'2018 SUBSEQUENT'!L$9,FALSE)</f>
        <v>21710.413972268983</v>
      </c>
      <c r="N109" s="145">
        <f>VLOOKUP($A109&amp;" CP",'2018 SUBSEQUENT'!$A$13:$R$196,'2018 SUBSEQUENT'!M$9,FALSE)</f>
        <v>18008.354814466064</v>
      </c>
      <c r="O109" s="145">
        <f>VLOOKUP($A109&amp;" CP",'2018 SUBSEQUENT'!$A$13:$R$196,'2018 SUBSEQUENT'!N$9,FALSE)</f>
        <v>17499.523647236445</v>
      </c>
    </row>
    <row r="110" spans="1:21">
      <c r="A110" t="s">
        <v>52</v>
      </c>
      <c r="B110" t="s">
        <v>717</v>
      </c>
      <c r="C110" s="240" t="s">
        <v>147</v>
      </c>
      <c r="D110" s="145">
        <f>VLOOKUP($A110&amp;" GNCP",'2018 SUBSEQUENT'!$A$13:$R$196,'2018 SUBSEQUENT'!C$9,FALSE)</f>
        <v>27881.268154221616</v>
      </c>
      <c r="E110" s="145">
        <f>VLOOKUP($A110&amp;" GNCP",'2018 SUBSEQUENT'!$A$13:$R$196,'2018 SUBSEQUENT'!D$9,FALSE)</f>
        <v>36855.415748213207</v>
      </c>
      <c r="F110" s="145">
        <f>VLOOKUP($A110&amp;" GNCP",'2018 SUBSEQUENT'!$A$13:$R$196,'2018 SUBSEQUENT'!E$9,FALSE)</f>
        <v>29381.307671426475</v>
      </c>
      <c r="G110" s="145">
        <f>VLOOKUP($A110&amp;" GNCP",'2018 SUBSEQUENT'!$A$13:$R$196,'2018 SUBSEQUENT'!F$9,FALSE)</f>
        <v>32465.421397408139</v>
      </c>
      <c r="H110" s="145">
        <f>VLOOKUP($A110&amp;" GNCP",'2018 SUBSEQUENT'!$A$13:$R$196,'2018 SUBSEQUENT'!G$9,FALSE)</f>
        <v>31697.44111915513</v>
      </c>
      <c r="I110" s="145">
        <f>VLOOKUP($A110&amp;" GNCP",'2018 SUBSEQUENT'!$A$13:$R$196,'2018 SUBSEQUENT'!H$9,FALSE)</f>
        <v>34499.978206049956</v>
      </c>
      <c r="J110" s="145">
        <f>VLOOKUP($A110&amp;" GNCP",'2018 SUBSEQUENT'!$A$13:$R$196,'2018 SUBSEQUENT'!I$9,FALSE)</f>
        <v>26204.764947597349</v>
      </c>
      <c r="K110" s="145">
        <f>VLOOKUP($A110&amp;" GNCP",'2018 SUBSEQUENT'!$A$13:$R$196,'2018 SUBSEQUENT'!J$9,FALSE)</f>
        <v>29315.491542922355</v>
      </c>
      <c r="L110" s="145">
        <f>VLOOKUP($A110&amp;" GNCP",'2018 SUBSEQUENT'!$A$13:$R$196,'2018 SUBSEQUENT'!K$9,FALSE)</f>
        <v>27882.980887254183</v>
      </c>
      <c r="M110" s="145">
        <f>VLOOKUP($A110&amp;" GNCP",'2018 SUBSEQUENT'!$A$13:$R$196,'2018 SUBSEQUENT'!L$9,FALSE)</f>
        <v>27504.311042038007</v>
      </c>
      <c r="N110" s="145">
        <f>VLOOKUP($A110&amp;" GNCP",'2018 SUBSEQUENT'!$A$13:$R$196,'2018 SUBSEQUENT'!M$9,FALSE)</f>
        <v>25662.405035626318</v>
      </c>
      <c r="O110" s="145">
        <f>VLOOKUP($A110&amp;" GNCP",'2018 SUBSEQUENT'!$A$13:$R$196,'2018 SUBSEQUENT'!N$9,FALSE)</f>
        <v>25758.351743340467</v>
      </c>
    </row>
    <row r="111" spans="1:21">
      <c r="A111" t="s">
        <v>52</v>
      </c>
      <c r="B111" t="s">
        <v>717</v>
      </c>
      <c r="C111" s="240" t="s">
        <v>133</v>
      </c>
      <c r="D111" s="145">
        <f>VLOOKUP($A111&amp;" NCP",'2018 SUBSEQUENT'!$A$13:$R$196,'2018 SUBSEQUENT'!C$9,FALSE)</f>
        <v>35571.105007258411</v>
      </c>
      <c r="E111" s="145">
        <f>VLOOKUP($A111&amp;" NCP",'2018 SUBSEQUENT'!$A$13:$R$196,'2018 SUBSEQUENT'!D$9,FALSE)</f>
        <v>43612.119502022644</v>
      </c>
      <c r="F111" s="145">
        <f>VLOOKUP($A111&amp;" NCP",'2018 SUBSEQUENT'!$A$13:$R$196,'2018 SUBSEQUENT'!E$9,FALSE)</f>
        <v>37021.299709719096</v>
      </c>
      <c r="G111" s="145">
        <f>VLOOKUP($A111&amp;" NCP",'2018 SUBSEQUENT'!$A$13:$R$196,'2018 SUBSEQUENT'!F$9,FALSE)</f>
        <v>38357.147523327163</v>
      </c>
      <c r="H111" s="145">
        <f>VLOOKUP($A111&amp;" NCP",'2018 SUBSEQUENT'!$A$13:$R$196,'2018 SUBSEQUENT'!G$9,FALSE)</f>
        <v>38798.099941724882</v>
      </c>
      <c r="I111" s="145">
        <f>VLOOKUP($A111&amp;" NCP",'2018 SUBSEQUENT'!$A$13:$R$196,'2018 SUBSEQUENT'!H$9,FALSE)</f>
        <v>42238.228394773621</v>
      </c>
      <c r="J111" s="145">
        <f>VLOOKUP($A111&amp;" NCP",'2018 SUBSEQUENT'!$A$13:$R$196,'2018 SUBSEQUENT'!I$9,FALSE)</f>
        <v>33914.297132359825</v>
      </c>
      <c r="K111" s="145">
        <f>VLOOKUP($A111&amp;" NCP",'2018 SUBSEQUENT'!$A$13:$R$196,'2018 SUBSEQUENT'!J$9,FALSE)</f>
        <v>33141.989966329362</v>
      </c>
      <c r="L111" s="145">
        <f>VLOOKUP($A111&amp;" NCP",'2018 SUBSEQUENT'!$A$13:$R$196,'2018 SUBSEQUENT'!K$9,FALSE)</f>
        <v>33641.250674188552</v>
      </c>
      <c r="M111" s="145">
        <f>VLOOKUP($A111&amp;" NCP",'2018 SUBSEQUENT'!$A$13:$R$196,'2018 SUBSEQUENT'!L$9,FALSE)</f>
        <v>33233.678117677147</v>
      </c>
      <c r="N111" s="145">
        <f>VLOOKUP($A111&amp;" NCP",'2018 SUBSEQUENT'!$A$13:$R$196,'2018 SUBSEQUENT'!M$9,FALSE)</f>
        <v>34585.537375051186</v>
      </c>
      <c r="O111" s="145">
        <f>VLOOKUP($A111&amp;" NCP",'2018 SUBSEQUENT'!$A$13:$R$196,'2018 SUBSEQUENT'!N$9,FALSE)</f>
        <v>32713.0663788694</v>
      </c>
    </row>
    <row r="113" spans="1:15">
      <c r="A113" t="s">
        <v>983</v>
      </c>
      <c r="B113" t="s">
        <v>245</v>
      </c>
      <c r="C113" t="s">
        <v>1114</v>
      </c>
    </row>
    <row r="114" spans="1:15">
      <c r="A114" t="s">
        <v>983</v>
      </c>
      <c r="B114" t="s">
        <v>245</v>
      </c>
      <c r="C114" t="s">
        <v>557</v>
      </c>
      <c r="D114" s="4">
        <f>$D$8</f>
        <v>43101</v>
      </c>
      <c r="E114" s="4">
        <f>$E$8</f>
        <v>43132</v>
      </c>
      <c r="F114" s="4">
        <f>$F$8</f>
        <v>43160</v>
      </c>
      <c r="G114" s="4">
        <f>$G$8</f>
        <v>43191</v>
      </c>
      <c r="H114" s="4">
        <f>$H$8</f>
        <v>43221</v>
      </c>
      <c r="I114" s="4">
        <f>$I$8</f>
        <v>43252</v>
      </c>
      <c r="J114" s="4">
        <f>$J$8</f>
        <v>43282</v>
      </c>
      <c r="K114" s="4">
        <f>$K$8</f>
        <v>43313</v>
      </c>
      <c r="L114" s="4">
        <f>$L$8</f>
        <v>43344</v>
      </c>
      <c r="M114" s="4">
        <f>$M$8</f>
        <v>43374</v>
      </c>
      <c r="N114" s="4">
        <f>$N$8</f>
        <v>43405</v>
      </c>
      <c r="O114" s="4">
        <f>$O$8</f>
        <v>43435</v>
      </c>
    </row>
    <row r="115" spans="1:15">
      <c r="A115" t="s">
        <v>983</v>
      </c>
      <c r="B115" t="s">
        <v>245</v>
      </c>
      <c r="C115" s="240" t="s">
        <v>148</v>
      </c>
      <c r="D115" s="145">
        <f>VLOOKUP($A115&amp;" CP",'2018 SUBSEQUENT'!$A$13:$R$196,'2018 SUBSEQUENT'!C$9,FALSE)</f>
        <v>111029.50077166939</v>
      </c>
      <c r="E115" s="145">
        <f>VLOOKUP($A115&amp;" CP",'2018 SUBSEQUENT'!$A$13:$R$196,'2018 SUBSEQUENT'!D$9,FALSE)</f>
        <v>118139.37409264322</v>
      </c>
      <c r="F115" s="145">
        <f>VLOOKUP($A115&amp;" CP",'2018 SUBSEQUENT'!$A$13:$R$196,'2018 SUBSEQUENT'!E$9,FALSE)</f>
        <v>112110.77957793939</v>
      </c>
      <c r="G115" s="145">
        <f>VLOOKUP($A115&amp;" CP",'2018 SUBSEQUENT'!$A$13:$R$196,'2018 SUBSEQUENT'!F$9,FALSE)</f>
        <v>133137.4559094577</v>
      </c>
      <c r="H115" s="145">
        <f>VLOOKUP($A115&amp;" CP",'2018 SUBSEQUENT'!$A$13:$R$196,'2018 SUBSEQUENT'!G$9,FALSE)</f>
        <v>141523.75609180695</v>
      </c>
      <c r="I115" s="145">
        <f>VLOOKUP($A115&amp;" CP",'2018 SUBSEQUENT'!$A$13:$R$196,'2018 SUBSEQUENT'!H$9,FALSE)</f>
        <v>145649.9099679607</v>
      </c>
      <c r="J115" s="145">
        <f>VLOOKUP($A115&amp;" CP",'2018 SUBSEQUENT'!$A$13:$R$196,'2018 SUBSEQUENT'!I$9,FALSE)</f>
        <v>157775.88540399523</v>
      </c>
      <c r="K115" s="145">
        <f>VLOOKUP($A115&amp;" CP",'2018 SUBSEQUENT'!$A$13:$R$196,'2018 SUBSEQUENT'!J$9,FALSE)</f>
        <v>153908.71718101701</v>
      </c>
      <c r="L115" s="145">
        <f>VLOOKUP($A115&amp;" CP",'2018 SUBSEQUENT'!$A$13:$R$196,'2018 SUBSEQUENT'!K$9,FALSE)</f>
        <v>141987.24973742448</v>
      </c>
      <c r="M115" s="145">
        <f>VLOOKUP($A115&amp;" CP",'2018 SUBSEQUENT'!$A$13:$R$196,'2018 SUBSEQUENT'!L$9,FALSE)</f>
        <v>135751.33785682029</v>
      </c>
      <c r="N115" s="145">
        <f>VLOOKUP($A115&amp;" CP",'2018 SUBSEQUENT'!$A$13:$R$196,'2018 SUBSEQUENT'!M$9,FALSE)</f>
        <v>120435.32504668142</v>
      </c>
      <c r="O115" s="145">
        <f>VLOOKUP($A115&amp;" CP",'2018 SUBSEQUENT'!$A$13:$R$196,'2018 SUBSEQUENT'!N$9,FALSE)</f>
        <v>114792.82662533609</v>
      </c>
    </row>
    <row r="116" spans="1:15">
      <c r="A116" t="s">
        <v>983</v>
      </c>
      <c r="B116" t="s">
        <v>245</v>
      </c>
      <c r="C116" s="240" t="s">
        <v>147</v>
      </c>
      <c r="D116" s="145">
        <f>VLOOKUP($A116&amp;" GNCP",'2018 SUBSEQUENT'!$A$13:$R$196,'2018 SUBSEQUENT'!C$9,FALSE)</f>
        <v>128262.45306079926</v>
      </c>
      <c r="E116" s="145">
        <f>VLOOKUP($A116&amp;" GNCP",'2018 SUBSEQUENT'!$A$13:$R$196,'2018 SUBSEQUENT'!D$9,FALSE)</f>
        <v>126863.56778393018</v>
      </c>
      <c r="F116" s="145">
        <f>VLOOKUP($A116&amp;" GNCP",'2018 SUBSEQUENT'!$A$13:$R$196,'2018 SUBSEQUENT'!E$9,FALSE)</f>
        <v>134261.20984418743</v>
      </c>
      <c r="G116" s="145">
        <f>VLOOKUP($A116&amp;" GNCP",'2018 SUBSEQUENT'!$A$13:$R$196,'2018 SUBSEQUENT'!F$9,FALSE)</f>
        <v>139556.88389403324</v>
      </c>
      <c r="H116" s="145">
        <f>VLOOKUP($A116&amp;" GNCP",'2018 SUBSEQUENT'!$A$13:$R$196,'2018 SUBSEQUENT'!G$9,FALSE)</f>
        <v>152800.28208346051</v>
      </c>
      <c r="I116" s="145">
        <f>VLOOKUP($A116&amp;" GNCP",'2018 SUBSEQUENT'!$A$13:$R$196,'2018 SUBSEQUENT'!H$9,FALSE)</f>
        <v>156287.82770856516</v>
      </c>
      <c r="J116" s="145">
        <f>VLOOKUP($A116&amp;" GNCP",'2018 SUBSEQUENT'!$A$13:$R$196,'2018 SUBSEQUENT'!I$9,FALSE)</f>
        <v>165140</v>
      </c>
      <c r="K116" s="145">
        <f>VLOOKUP($A116&amp;" GNCP",'2018 SUBSEQUENT'!$A$13:$R$196,'2018 SUBSEQUENT'!J$9,FALSE)</f>
        <v>163543.32227292401</v>
      </c>
      <c r="L116" s="145">
        <f>VLOOKUP($A116&amp;" GNCP",'2018 SUBSEQUENT'!$A$13:$R$196,'2018 SUBSEQUENT'!K$9,FALSE)</f>
        <v>154353.87632611097</v>
      </c>
      <c r="M116" s="145">
        <f>VLOOKUP($A116&amp;" GNCP",'2018 SUBSEQUENT'!$A$13:$R$196,'2018 SUBSEQUENT'!L$9,FALSE)</f>
        <v>139448.18924483523</v>
      </c>
      <c r="N116" s="145">
        <f>VLOOKUP($A116&amp;" GNCP",'2018 SUBSEQUENT'!$A$13:$R$196,'2018 SUBSEQUENT'!M$9,FALSE)</f>
        <v>124588.83865612792</v>
      </c>
      <c r="O116" s="145">
        <f>VLOOKUP($A116&amp;" GNCP",'2018 SUBSEQUENT'!$A$13:$R$196,'2018 SUBSEQUENT'!N$9,FALSE)</f>
        <v>129312.56236045343</v>
      </c>
    </row>
    <row r="117" spans="1:15">
      <c r="A117" t="s">
        <v>983</v>
      </c>
      <c r="B117" t="s">
        <v>245</v>
      </c>
      <c r="C117" s="240" t="s">
        <v>133</v>
      </c>
      <c r="D117" s="145">
        <f>VLOOKUP($A117&amp;" NCP",'2018 SUBSEQUENT'!$A$13:$R$196,'2018 SUBSEQUENT'!C$9,FALSE)</f>
        <v>128262.45306079926</v>
      </c>
      <c r="E117" s="145">
        <f>VLOOKUP($A117&amp;" NCP",'2018 SUBSEQUENT'!$A$13:$R$196,'2018 SUBSEQUENT'!D$9,FALSE)</f>
        <v>126863.56778393018</v>
      </c>
      <c r="F117" s="145">
        <f>VLOOKUP($A117&amp;" NCP",'2018 SUBSEQUENT'!$A$13:$R$196,'2018 SUBSEQUENT'!E$9,FALSE)</f>
        <v>134261.20984418743</v>
      </c>
      <c r="G117" s="145">
        <f>VLOOKUP($A117&amp;" NCP",'2018 SUBSEQUENT'!$A$13:$R$196,'2018 SUBSEQUENT'!F$9,FALSE)</f>
        <v>139556.88389403324</v>
      </c>
      <c r="H117" s="145">
        <f>VLOOKUP($A117&amp;" NCP",'2018 SUBSEQUENT'!$A$13:$R$196,'2018 SUBSEQUENT'!G$9,FALSE)</f>
        <v>152800.28208346051</v>
      </c>
      <c r="I117" s="145">
        <f>VLOOKUP($A117&amp;" NCP",'2018 SUBSEQUENT'!$A$13:$R$196,'2018 SUBSEQUENT'!H$9,FALSE)</f>
        <v>156287.82770856516</v>
      </c>
      <c r="J117" s="145">
        <f>VLOOKUP($A117&amp;" NCP",'2018 SUBSEQUENT'!$A$13:$R$196,'2018 SUBSEQUENT'!I$9,FALSE)</f>
        <v>165140</v>
      </c>
      <c r="K117" s="145">
        <f>VLOOKUP($A117&amp;" NCP",'2018 SUBSEQUENT'!$A$13:$R$196,'2018 SUBSEQUENT'!J$9,FALSE)</f>
        <v>163543.32227292401</v>
      </c>
      <c r="L117" s="145">
        <f>VLOOKUP($A117&amp;" NCP",'2018 SUBSEQUENT'!$A$13:$R$196,'2018 SUBSEQUENT'!K$9,FALSE)</f>
        <v>154353.87632611097</v>
      </c>
      <c r="M117" s="145">
        <f>VLOOKUP($A117&amp;" NCP",'2018 SUBSEQUENT'!$A$13:$R$196,'2018 SUBSEQUENT'!L$9,FALSE)</f>
        <v>139448.18924483523</v>
      </c>
      <c r="N117" s="145">
        <f>VLOOKUP($A117&amp;" NCP",'2018 SUBSEQUENT'!$A$13:$R$196,'2018 SUBSEQUENT'!M$9,FALSE)</f>
        <v>124588.83865612792</v>
      </c>
      <c r="O117" s="145">
        <f>VLOOKUP($A117&amp;" NCP",'2018 SUBSEQUENT'!$A$13:$R$196,'2018 SUBSEQUENT'!N$9,FALSE)</f>
        <v>129312.56236045343</v>
      </c>
    </row>
    <row r="119" spans="1:15">
      <c r="A119" t="s">
        <v>1192</v>
      </c>
      <c r="B119" t="s">
        <v>1192</v>
      </c>
      <c r="C119" t="s">
        <v>1114</v>
      </c>
    </row>
    <row r="120" spans="1:15">
      <c r="A120" t="s">
        <v>1192</v>
      </c>
      <c r="B120" t="s">
        <v>1192</v>
      </c>
      <c r="C120" t="s">
        <v>557</v>
      </c>
      <c r="D120" s="4">
        <f>$D$8</f>
        <v>43101</v>
      </c>
      <c r="E120" s="4">
        <f>$E$8</f>
        <v>43132</v>
      </c>
      <c r="F120" s="4">
        <f>$F$8</f>
        <v>43160</v>
      </c>
      <c r="G120" s="4">
        <f>$G$8</f>
        <v>43191</v>
      </c>
      <c r="H120" s="4">
        <f>$H$8</f>
        <v>43221</v>
      </c>
      <c r="I120" s="4">
        <f>$I$8</f>
        <v>43252</v>
      </c>
      <c r="J120" s="4">
        <f>$J$8</f>
        <v>43282</v>
      </c>
      <c r="K120" s="4">
        <f>$K$8</f>
        <v>43313</v>
      </c>
      <c r="L120" s="4">
        <f>$L$8</f>
        <v>43344</v>
      </c>
      <c r="M120" s="4">
        <f>$M$8</f>
        <v>43374</v>
      </c>
      <c r="N120" s="4">
        <f>$N$8</f>
        <v>43405</v>
      </c>
      <c r="O120" s="4">
        <f>$O$8</f>
        <v>43435</v>
      </c>
    </row>
    <row r="121" spans="1:15">
      <c r="A121" t="s">
        <v>1192</v>
      </c>
      <c r="B121" t="s">
        <v>1192</v>
      </c>
      <c r="C121" s="240" t="s">
        <v>148</v>
      </c>
      <c r="D121" s="145">
        <f>VLOOKUP($A121&amp;" CP",'2018 SUBSEQUENT'!$A$13:$R$196,'2018 SUBSEQUENT'!C$9,FALSE)</f>
        <v>23485.287564417671</v>
      </c>
      <c r="E121" s="145">
        <f>VLOOKUP($A121&amp;" CP",'2018 SUBSEQUENT'!$A$13:$R$196,'2018 SUBSEQUENT'!D$9,FALSE)</f>
        <v>0</v>
      </c>
      <c r="F121" s="145">
        <f>VLOOKUP($A121&amp;" CP",'2018 SUBSEQUENT'!$A$13:$R$196,'2018 SUBSEQUENT'!E$9,FALSE)</f>
        <v>0</v>
      </c>
      <c r="G121" s="145">
        <f>VLOOKUP($A121&amp;" CP",'2018 SUBSEQUENT'!$A$13:$R$196,'2018 SUBSEQUENT'!F$9,FALSE)</f>
        <v>0</v>
      </c>
      <c r="H121" s="145">
        <f>VLOOKUP($A121&amp;" CP",'2018 SUBSEQUENT'!$A$13:$R$196,'2018 SUBSEQUENT'!G$9,FALSE)</f>
        <v>0</v>
      </c>
      <c r="I121" s="145">
        <f>VLOOKUP($A121&amp;" CP",'2018 SUBSEQUENT'!$A$13:$R$196,'2018 SUBSEQUENT'!H$9,FALSE)</f>
        <v>0</v>
      </c>
      <c r="J121" s="145">
        <f>VLOOKUP($A121&amp;" CP",'2018 SUBSEQUENT'!$A$13:$R$196,'2018 SUBSEQUENT'!I$9,FALSE)</f>
        <v>0</v>
      </c>
      <c r="K121" s="145">
        <f>VLOOKUP($A121&amp;" CP",'2018 SUBSEQUENT'!$A$13:$R$196,'2018 SUBSEQUENT'!J$9,FALSE)</f>
        <v>23485.287564417671</v>
      </c>
      <c r="L121" s="145">
        <f>VLOOKUP($A121&amp;" CP",'2018 SUBSEQUENT'!$A$13:$R$196,'2018 SUBSEQUENT'!K$9,FALSE)</f>
        <v>0</v>
      </c>
      <c r="M121" s="145">
        <f>VLOOKUP($A121&amp;" CP",'2018 SUBSEQUENT'!$A$13:$R$196,'2018 SUBSEQUENT'!L$9,FALSE)</f>
        <v>0</v>
      </c>
      <c r="N121" s="145">
        <f>VLOOKUP($A121&amp;" CP",'2018 SUBSEQUENT'!$A$13:$R$196,'2018 SUBSEQUENT'!M$9,FALSE)</f>
        <v>0</v>
      </c>
      <c r="O121" s="145">
        <f>VLOOKUP($A121&amp;" CP",'2018 SUBSEQUENT'!$A$13:$R$196,'2018 SUBSEQUENT'!N$9,FALSE)</f>
        <v>0</v>
      </c>
    </row>
    <row r="122" spans="1:15">
      <c r="A122" t="s">
        <v>1192</v>
      </c>
      <c r="B122" t="s">
        <v>1192</v>
      </c>
      <c r="C122" s="240" t="s">
        <v>147</v>
      </c>
      <c r="D122" s="145">
        <f>VLOOKUP($A122&amp;" GNCP",'2018 SUBSEQUENT'!$A$13:$R$196,'2018 SUBSEQUENT'!C$9,FALSE)</f>
        <v>24000</v>
      </c>
      <c r="E122" s="145">
        <f>VLOOKUP($A122&amp;" GNCP",'2018 SUBSEQUENT'!$A$13:$R$196,'2018 SUBSEQUENT'!D$9,FALSE)</f>
        <v>0</v>
      </c>
      <c r="F122" s="145">
        <f>VLOOKUP($A122&amp;" GNCP",'2018 SUBSEQUENT'!$A$13:$R$196,'2018 SUBSEQUENT'!E$9,FALSE)</f>
        <v>0</v>
      </c>
      <c r="G122" s="145">
        <f>VLOOKUP($A122&amp;" GNCP",'2018 SUBSEQUENT'!$A$13:$R$196,'2018 SUBSEQUENT'!F$9,FALSE)</f>
        <v>0</v>
      </c>
      <c r="H122" s="145">
        <f>VLOOKUP($A122&amp;" GNCP",'2018 SUBSEQUENT'!$A$13:$R$196,'2018 SUBSEQUENT'!G$9,FALSE)</f>
        <v>0</v>
      </c>
      <c r="I122" s="145">
        <f>VLOOKUP($A122&amp;" GNCP",'2018 SUBSEQUENT'!$A$13:$R$196,'2018 SUBSEQUENT'!H$9,FALSE)</f>
        <v>0</v>
      </c>
      <c r="J122" s="145">
        <f>VLOOKUP($A122&amp;" GNCP",'2018 SUBSEQUENT'!$A$13:$R$196,'2018 SUBSEQUENT'!I$9,FALSE)</f>
        <v>0</v>
      </c>
      <c r="K122" s="145">
        <f>VLOOKUP($A122&amp;" GNCP",'2018 SUBSEQUENT'!$A$13:$R$196,'2018 SUBSEQUENT'!J$9,FALSE)</f>
        <v>24000</v>
      </c>
      <c r="L122" s="145">
        <f>VLOOKUP($A122&amp;" GNCP",'2018 SUBSEQUENT'!$A$13:$R$196,'2018 SUBSEQUENT'!K$9,FALSE)</f>
        <v>0</v>
      </c>
      <c r="M122" s="145">
        <f>VLOOKUP($A122&amp;" GNCP",'2018 SUBSEQUENT'!$A$13:$R$196,'2018 SUBSEQUENT'!L$9,FALSE)</f>
        <v>0</v>
      </c>
      <c r="N122" s="145">
        <f>VLOOKUP($A122&amp;" GNCP",'2018 SUBSEQUENT'!$A$13:$R$196,'2018 SUBSEQUENT'!M$9,FALSE)</f>
        <v>0</v>
      </c>
      <c r="O122" s="145">
        <f>VLOOKUP($A122&amp;" GNCP",'2018 SUBSEQUENT'!$A$13:$R$196,'2018 SUBSEQUENT'!N$9,FALSE)</f>
        <v>0</v>
      </c>
    </row>
    <row r="123" spans="1:15">
      <c r="A123" t="s">
        <v>1192</v>
      </c>
      <c r="B123" t="s">
        <v>1192</v>
      </c>
      <c r="C123" s="240" t="s">
        <v>133</v>
      </c>
      <c r="D123" s="145">
        <f>VLOOKUP($A123&amp;" NCP",'2018 SUBSEQUENT'!$A$13:$R$196,'2018 SUBSEQUENT'!C$9,FALSE)</f>
        <v>24000</v>
      </c>
      <c r="E123" s="145">
        <f>VLOOKUP($A123&amp;" NCP",'2018 SUBSEQUENT'!$A$13:$R$196,'2018 SUBSEQUENT'!D$9,FALSE)</f>
        <v>0</v>
      </c>
      <c r="F123" s="145">
        <f>VLOOKUP($A123&amp;" NCP",'2018 SUBSEQUENT'!$A$13:$R$196,'2018 SUBSEQUENT'!E$9,FALSE)</f>
        <v>0</v>
      </c>
      <c r="G123" s="145">
        <f>VLOOKUP($A123&amp;" NCP",'2018 SUBSEQUENT'!$A$13:$R$196,'2018 SUBSEQUENT'!F$9,FALSE)</f>
        <v>0</v>
      </c>
      <c r="H123" s="145">
        <f>VLOOKUP($A123&amp;" NCP",'2018 SUBSEQUENT'!$A$13:$R$196,'2018 SUBSEQUENT'!G$9,FALSE)</f>
        <v>0</v>
      </c>
      <c r="I123" s="145">
        <f>VLOOKUP($A123&amp;" NCP",'2018 SUBSEQUENT'!$A$13:$R$196,'2018 SUBSEQUENT'!H$9,FALSE)</f>
        <v>0</v>
      </c>
      <c r="J123" s="145">
        <f>VLOOKUP($A123&amp;" NCP",'2018 SUBSEQUENT'!$A$13:$R$196,'2018 SUBSEQUENT'!I$9,FALSE)</f>
        <v>0</v>
      </c>
      <c r="K123" s="145">
        <f>VLOOKUP($A123&amp;" NCP",'2018 SUBSEQUENT'!$A$13:$R$196,'2018 SUBSEQUENT'!J$9,FALSE)</f>
        <v>24000</v>
      </c>
      <c r="L123" s="145">
        <f>VLOOKUP($A123&amp;" NCP",'2018 SUBSEQUENT'!$A$13:$R$196,'2018 SUBSEQUENT'!K$9,FALSE)</f>
        <v>0</v>
      </c>
      <c r="M123" s="145">
        <f>VLOOKUP($A123&amp;" NCP",'2018 SUBSEQUENT'!$A$13:$R$196,'2018 SUBSEQUENT'!L$9,FALSE)</f>
        <v>0</v>
      </c>
      <c r="N123" s="145">
        <f>VLOOKUP($A123&amp;" NCP",'2018 SUBSEQUENT'!$A$13:$R$196,'2018 SUBSEQUENT'!M$9,FALSE)</f>
        <v>0</v>
      </c>
      <c r="O123" s="145">
        <f>VLOOKUP($A123&amp;" NCP",'2018 SUBSEQUENT'!$A$13:$R$196,'2018 SUBSEQUENT'!N$9,FALSE)</f>
        <v>0</v>
      </c>
    </row>
    <row r="125" spans="1:15">
      <c r="A125" t="s">
        <v>984</v>
      </c>
      <c r="B125" t="s">
        <v>661</v>
      </c>
      <c r="C125" t="s">
        <v>1109</v>
      </c>
    </row>
    <row r="126" spans="1:15">
      <c r="A126" t="s">
        <v>984</v>
      </c>
      <c r="B126" t="s">
        <v>661</v>
      </c>
      <c r="C126" t="s">
        <v>557</v>
      </c>
      <c r="D126" s="4">
        <f>$D$8</f>
        <v>43101</v>
      </c>
      <c r="E126" s="4">
        <f>$E$8</f>
        <v>43132</v>
      </c>
      <c r="F126" s="4">
        <f>$F$8</f>
        <v>43160</v>
      </c>
      <c r="G126" s="4">
        <f>$G$8</f>
        <v>43191</v>
      </c>
      <c r="H126" s="4">
        <f>$H$8</f>
        <v>43221</v>
      </c>
      <c r="I126" s="4">
        <f>$I$8</f>
        <v>43252</v>
      </c>
      <c r="J126" s="4">
        <f>$J$8</f>
        <v>43282</v>
      </c>
      <c r="K126" s="4">
        <f>$K$8</f>
        <v>43313</v>
      </c>
      <c r="L126" s="4">
        <f>$L$8</f>
        <v>43344</v>
      </c>
      <c r="M126" s="4">
        <f>$M$8</f>
        <v>43374</v>
      </c>
      <c r="N126" s="4">
        <f>$N$8</f>
        <v>43405</v>
      </c>
      <c r="O126" s="4">
        <f>$O$8</f>
        <v>43435</v>
      </c>
    </row>
    <row r="127" spans="1:15">
      <c r="A127" t="s">
        <v>984</v>
      </c>
      <c r="B127" t="s">
        <v>661</v>
      </c>
      <c r="C127" s="240" t="s">
        <v>148</v>
      </c>
      <c r="D127" s="145">
        <f>VLOOKUP($A127&amp;" CP",'2018 SUBSEQUENT'!$A$13:$R$196,'2018 SUBSEQUENT'!C$9,FALSE)</f>
        <v>729914.85590419127</v>
      </c>
      <c r="E127" s="145">
        <f>VLOOKUP($A127&amp;" CP",'2018 SUBSEQUENT'!$A$13:$R$196,'2018 SUBSEQUENT'!D$9,FALSE)</f>
        <v>655255.24176510237</v>
      </c>
      <c r="F127" s="145">
        <f>VLOOKUP($A127&amp;" CP",'2018 SUBSEQUENT'!$A$13:$R$196,'2018 SUBSEQUENT'!E$9,FALSE)</f>
        <v>603892.65869103943</v>
      </c>
      <c r="G127" s="145">
        <f>VLOOKUP($A127&amp;" CP",'2018 SUBSEQUENT'!$A$13:$R$196,'2018 SUBSEQUENT'!F$9,FALSE)</f>
        <v>594680.21114026208</v>
      </c>
      <c r="H127" s="145">
        <f>VLOOKUP($A127&amp;" CP",'2018 SUBSEQUENT'!$A$13:$R$196,'2018 SUBSEQUENT'!G$9,FALSE)</f>
        <v>688347.42195884278</v>
      </c>
      <c r="I127" s="145">
        <f>VLOOKUP($A127&amp;" CP",'2018 SUBSEQUENT'!$A$13:$R$196,'2018 SUBSEQUENT'!H$9,FALSE)</f>
        <v>754689.23449373618</v>
      </c>
      <c r="J127" s="145">
        <f>VLOOKUP($A127&amp;" CP",'2018 SUBSEQUENT'!$A$13:$R$196,'2018 SUBSEQUENT'!I$9,FALSE)</f>
        <v>737213.65395021671</v>
      </c>
      <c r="K127" s="145">
        <f>VLOOKUP($A127&amp;" CP",'2018 SUBSEQUENT'!$A$13:$R$196,'2018 SUBSEQUENT'!J$9,FALSE)</f>
        <v>771038.22085824702</v>
      </c>
      <c r="L127" s="145">
        <f>VLOOKUP($A127&amp;" CP",'2018 SUBSEQUENT'!$A$13:$R$196,'2018 SUBSEQUENT'!K$9,FALSE)</f>
        <v>662144.29077524377</v>
      </c>
      <c r="M127" s="145">
        <f>VLOOKUP($A127&amp;" CP",'2018 SUBSEQUENT'!$A$13:$R$196,'2018 SUBSEQUENT'!L$9,FALSE)</f>
        <v>695825.65304306929</v>
      </c>
      <c r="N127" s="145">
        <f>VLOOKUP($A127&amp;" CP",'2018 SUBSEQUENT'!$A$13:$R$196,'2018 SUBSEQUENT'!M$9,FALSE)</f>
        <v>570797.87001558079</v>
      </c>
      <c r="O127" s="145">
        <f>VLOOKUP($A127&amp;" CP",'2018 SUBSEQUENT'!$A$13:$R$196,'2018 SUBSEQUENT'!N$9,FALSE)</f>
        <v>536929.95518244593</v>
      </c>
    </row>
    <row r="128" spans="1:15">
      <c r="A128" t="s">
        <v>984</v>
      </c>
      <c r="B128" t="s">
        <v>661</v>
      </c>
      <c r="C128" s="240" t="s">
        <v>147</v>
      </c>
      <c r="D128" s="145">
        <f>VLOOKUP($A128&amp;" GNCP",'2018 SUBSEQUENT'!$A$13:$R$196,'2018 SUBSEQUENT'!C$9,FALSE)</f>
        <v>752853</v>
      </c>
      <c r="E128" s="145">
        <f>VLOOKUP($A128&amp;" GNCP",'2018 SUBSEQUENT'!$A$13:$R$196,'2018 SUBSEQUENT'!D$9,FALSE)</f>
        <v>673351</v>
      </c>
      <c r="F128" s="145">
        <f>VLOOKUP($A128&amp;" GNCP",'2018 SUBSEQUENT'!$A$13:$R$196,'2018 SUBSEQUENT'!E$9,FALSE)</f>
        <v>620165</v>
      </c>
      <c r="G128" s="145">
        <f>VLOOKUP($A128&amp;" GNCP",'2018 SUBSEQUENT'!$A$13:$R$196,'2018 SUBSEQUENT'!F$9,FALSE)</f>
        <v>636181</v>
      </c>
      <c r="H128" s="145">
        <f>VLOOKUP($A128&amp;" GNCP",'2018 SUBSEQUENT'!$A$13:$R$196,'2018 SUBSEQUENT'!G$9,FALSE)</f>
        <v>724836</v>
      </c>
      <c r="I128" s="145">
        <f>VLOOKUP($A128&amp;" GNCP",'2018 SUBSEQUENT'!$A$13:$R$196,'2018 SUBSEQUENT'!H$9,FALSE)</f>
        <v>779270</v>
      </c>
      <c r="J128" s="145">
        <f>VLOOKUP($A128&amp;" GNCP",'2018 SUBSEQUENT'!$A$13:$R$196,'2018 SUBSEQUENT'!I$9,FALSE)</f>
        <v>787301</v>
      </c>
      <c r="K128" s="145">
        <f>VLOOKUP($A128&amp;" GNCP",'2018 SUBSEQUENT'!$A$13:$R$196,'2018 SUBSEQUENT'!J$9,FALSE)</f>
        <v>799787</v>
      </c>
      <c r="L128" s="145">
        <f>VLOOKUP($A128&amp;" GNCP",'2018 SUBSEQUENT'!$A$13:$R$196,'2018 SUBSEQUENT'!K$9,FALSE)</f>
        <v>764382</v>
      </c>
      <c r="M128" s="145">
        <f>VLOOKUP($A128&amp;" GNCP",'2018 SUBSEQUENT'!$A$13:$R$196,'2018 SUBSEQUENT'!L$9,FALSE)</f>
        <v>715634</v>
      </c>
      <c r="N128" s="145">
        <f>VLOOKUP($A128&amp;" GNCP",'2018 SUBSEQUENT'!$A$13:$R$196,'2018 SUBSEQUENT'!M$9,FALSE)</f>
        <v>586948</v>
      </c>
      <c r="O128" s="145">
        <f>VLOOKUP($A128&amp;" GNCP",'2018 SUBSEQUENT'!$A$13:$R$196,'2018 SUBSEQUENT'!N$9,FALSE)</f>
        <v>555803</v>
      </c>
    </row>
    <row r="129" spans="1:15">
      <c r="A129" t="s">
        <v>984</v>
      </c>
      <c r="B129" t="s">
        <v>661</v>
      </c>
      <c r="C129" s="240" t="s">
        <v>133</v>
      </c>
      <c r="D129" s="145">
        <f>VLOOKUP($A129&amp;" NCP",'2018 SUBSEQUENT'!$A$13:$R$196,'2018 SUBSEQUENT'!C$9,FALSE)</f>
        <v>752853</v>
      </c>
      <c r="E129" s="145">
        <f>VLOOKUP($A129&amp;" NCP",'2018 SUBSEQUENT'!$A$13:$R$196,'2018 SUBSEQUENT'!D$9,FALSE)</f>
        <v>673351</v>
      </c>
      <c r="F129" s="145">
        <f>VLOOKUP($A129&amp;" NCP",'2018 SUBSEQUENT'!$A$13:$R$196,'2018 SUBSEQUENT'!E$9,FALSE)</f>
        <v>620165</v>
      </c>
      <c r="G129" s="145">
        <f>VLOOKUP($A129&amp;" NCP",'2018 SUBSEQUENT'!$A$13:$R$196,'2018 SUBSEQUENT'!F$9,FALSE)</f>
        <v>636181</v>
      </c>
      <c r="H129" s="145">
        <f>VLOOKUP($A129&amp;" NCP",'2018 SUBSEQUENT'!$A$13:$R$196,'2018 SUBSEQUENT'!G$9,FALSE)</f>
        <v>724836</v>
      </c>
      <c r="I129" s="145">
        <f>VLOOKUP($A129&amp;" NCP",'2018 SUBSEQUENT'!$A$13:$R$196,'2018 SUBSEQUENT'!H$9,FALSE)</f>
        <v>779270</v>
      </c>
      <c r="J129" s="145">
        <f>VLOOKUP($A129&amp;" NCP",'2018 SUBSEQUENT'!$A$13:$R$196,'2018 SUBSEQUENT'!I$9,FALSE)</f>
        <v>787301</v>
      </c>
      <c r="K129" s="145">
        <f>VLOOKUP($A129&amp;" NCP",'2018 SUBSEQUENT'!$A$13:$R$196,'2018 SUBSEQUENT'!J$9,FALSE)</f>
        <v>799787</v>
      </c>
      <c r="L129" s="145">
        <f>VLOOKUP($A129&amp;" NCP",'2018 SUBSEQUENT'!$A$13:$R$196,'2018 SUBSEQUENT'!K$9,FALSE)</f>
        <v>764382</v>
      </c>
      <c r="M129" s="145">
        <f>VLOOKUP($A129&amp;" NCP",'2018 SUBSEQUENT'!$A$13:$R$196,'2018 SUBSEQUENT'!L$9,FALSE)</f>
        <v>715634</v>
      </c>
      <c r="N129" s="145">
        <f>VLOOKUP($A129&amp;" NCP",'2018 SUBSEQUENT'!$A$13:$R$196,'2018 SUBSEQUENT'!M$9,FALSE)</f>
        <v>586948</v>
      </c>
      <c r="O129" s="145">
        <f>VLOOKUP($A129&amp;" NCP",'2018 SUBSEQUENT'!$A$13:$R$196,'2018 SUBSEQUENT'!N$9,FALSE)</f>
        <v>555803</v>
      </c>
    </row>
    <row r="131" spans="1:15">
      <c r="A131" t="s">
        <v>1193</v>
      </c>
      <c r="B131" t="s">
        <v>1193</v>
      </c>
      <c r="C131" t="s">
        <v>1107</v>
      </c>
    </row>
    <row r="132" spans="1:15">
      <c r="A132" t="s">
        <v>1193</v>
      </c>
      <c r="B132" t="s">
        <v>1193</v>
      </c>
      <c r="C132" t="s">
        <v>557</v>
      </c>
      <c r="D132" s="4">
        <f>$D$8</f>
        <v>43101</v>
      </c>
      <c r="E132" s="4">
        <f>$E$8</f>
        <v>43132</v>
      </c>
      <c r="F132" s="4">
        <f>$F$8</f>
        <v>43160</v>
      </c>
      <c r="G132" s="4">
        <f>$G$8</f>
        <v>43191</v>
      </c>
      <c r="H132" s="4">
        <f>$H$8</f>
        <v>43221</v>
      </c>
      <c r="I132" s="4">
        <f>$I$8</f>
        <v>43252</v>
      </c>
      <c r="J132" s="4">
        <f>$J$8</f>
        <v>43282</v>
      </c>
      <c r="K132" s="4">
        <f>$K$8</f>
        <v>43313</v>
      </c>
      <c r="L132" s="4">
        <f>$L$8</f>
        <v>43344</v>
      </c>
      <c r="M132" s="4">
        <f>$M$8</f>
        <v>43374</v>
      </c>
      <c r="N132" s="4">
        <f>$N$8</f>
        <v>43405</v>
      </c>
      <c r="O132" s="4">
        <f>$O$8</f>
        <v>43435</v>
      </c>
    </row>
    <row r="133" spans="1:15">
      <c r="A133" t="s">
        <v>1193</v>
      </c>
      <c r="B133" t="s">
        <v>1193</v>
      </c>
      <c r="C133" s="240" t="s">
        <v>148</v>
      </c>
      <c r="D133" s="145">
        <f>VLOOKUP($A133&amp;" CP",'2018 SUBSEQUENT'!$A$13:$R$196,'2018 SUBSEQUENT'!C$9,FALSE)</f>
        <v>18592.519321830656</v>
      </c>
      <c r="E133" s="145">
        <f>VLOOKUP($A133&amp;" CP",'2018 SUBSEQUENT'!$A$13:$R$196,'2018 SUBSEQUENT'!D$9,FALSE)</f>
        <v>0</v>
      </c>
      <c r="F133" s="145">
        <f>VLOOKUP($A133&amp;" CP",'2018 SUBSEQUENT'!$A$13:$R$196,'2018 SUBSEQUENT'!E$9,FALSE)</f>
        <v>0</v>
      </c>
      <c r="G133" s="145">
        <f>VLOOKUP($A133&amp;" CP",'2018 SUBSEQUENT'!$A$13:$R$196,'2018 SUBSEQUENT'!F$9,FALSE)</f>
        <v>0</v>
      </c>
      <c r="H133" s="145">
        <f>VLOOKUP($A133&amp;" CP",'2018 SUBSEQUENT'!$A$13:$R$196,'2018 SUBSEQUENT'!G$9,FALSE)</f>
        <v>0</v>
      </c>
      <c r="I133" s="145">
        <f>VLOOKUP($A133&amp;" CP",'2018 SUBSEQUENT'!$A$13:$R$196,'2018 SUBSEQUENT'!H$9,FALSE)</f>
        <v>0</v>
      </c>
      <c r="J133" s="145">
        <f>VLOOKUP($A133&amp;" CP",'2018 SUBSEQUENT'!$A$13:$R$196,'2018 SUBSEQUENT'!I$9,FALSE)</f>
        <v>0</v>
      </c>
      <c r="K133" s="145">
        <f>VLOOKUP($A133&amp;" CP",'2018 SUBSEQUENT'!$A$13:$R$196,'2018 SUBSEQUENT'!J$9,FALSE)</f>
        <v>18592.519321830656</v>
      </c>
      <c r="L133" s="145">
        <f>VLOOKUP($A133&amp;" CP",'2018 SUBSEQUENT'!$A$13:$R$196,'2018 SUBSEQUENT'!K$9,FALSE)</f>
        <v>0</v>
      </c>
      <c r="M133" s="145">
        <f>VLOOKUP($A133&amp;" CP",'2018 SUBSEQUENT'!$A$13:$R$196,'2018 SUBSEQUENT'!L$9,FALSE)</f>
        <v>0</v>
      </c>
      <c r="N133" s="145">
        <f>VLOOKUP($A133&amp;" CP",'2018 SUBSEQUENT'!$A$13:$R$196,'2018 SUBSEQUENT'!M$9,FALSE)</f>
        <v>0</v>
      </c>
      <c r="O133" s="145">
        <f>VLOOKUP($A133&amp;" CP",'2018 SUBSEQUENT'!$A$13:$R$196,'2018 SUBSEQUENT'!N$9,FALSE)</f>
        <v>0</v>
      </c>
    </row>
    <row r="134" spans="1:15">
      <c r="A134" t="s">
        <v>1193</v>
      </c>
      <c r="B134" t="s">
        <v>1193</v>
      </c>
      <c r="C134" s="240" t="s">
        <v>147</v>
      </c>
      <c r="D134" s="145">
        <f>VLOOKUP($A134&amp;" GNCP",'2018 SUBSEQUENT'!$A$13:$R$196,'2018 SUBSEQUENT'!C$9,FALSE)</f>
        <v>19000</v>
      </c>
      <c r="E134" s="145">
        <f>VLOOKUP($A134&amp;" GNCP",'2018 SUBSEQUENT'!$A$13:$R$196,'2018 SUBSEQUENT'!D$9,FALSE)</f>
        <v>0</v>
      </c>
      <c r="F134" s="145">
        <f>VLOOKUP($A134&amp;" GNCP",'2018 SUBSEQUENT'!$A$13:$R$196,'2018 SUBSEQUENT'!E$9,FALSE)</f>
        <v>0</v>
      </c>
      <c r="G134" s="145">
        <f>VLOOKUP($A134&amp;" GNCP",'2018 SUBSEQUENT'!$A$13:$R$196,'2018 SUBSEQUENT'!F$9,FALSE)</f>
        <v>0</v>
      </c>
      <c r="H134" s="145">
        <f>VLOOKUP($A134&amp;" GNCP",'2018 SUBSEQUENT'!$A$13:$R$196,'2018 SUBSEQUENT'!G$9,FALSE)</f>
        <v>0</v>
      </c>
      <c r="I134" s="145">
        <f>VLOOKUP($A134&amp;" GNCP",'2018 SUBSEQUENT'!$A$13:$R$196,'2018 SUBSEQUENT'!H$9,FALSE)</f>
        <v>0</v>
      </c>
      <c r="J134" s="145">
        <f>VLOOKUP($A134&amp;" GNCP",'2018 SUBSEQUENT'!$A$13:$R$196,'2018 SUBSEQUENT'!I$9,FALSE)</f>
        <v>0</v>
      </c>
      <c r="K134" s="145">
        <f>VLOOKUP($A134&amp;" GNCP",'2018 SUBSEQUENT'!$A$13:$R$196,'2018 SUBSEQUENT'!J$9,FALSE)</f>
        <v>19000</v>
      </c>
      <c r="L134" s="145">
        <f>VLOOKUP($A134&amp;" GNCP",'2018 SUBSEQUENT'!$A$13:$R$196,'2018 SUBSEQUENT'!K$9,FALSE)</f>
        <v>0</v>
      </c>
      <c r="M134" s="145">
        <f>VLOOKUP($A134&amp;" GNCP",'2018 SUBSEQUENT'!$A$13:$R$196,'2018 SUBSEQUENT'!L$9,FALSE)</f>
        <v>0</v>
      </c>
      <c r="N134" s="145">
        <f>VLOOKUP($A134&amp;" GNCP",'2018 SUBSEQUENT'!$A$13:$R$196,'2018 SUBSEQUENT'!M$9,FALSE)</f>
        <v>0</v>
      </c>
      <c r="O134" s="145">
        <f>VLOOKUP($A134&amp;" GNCP",'2018 SUBSEQUENT'!$A$13:$R$196,'2018 SUBSEQUENT'!N$9,FALSE)</f>
        <v>0</v>
      </c>
    </row>
    <row r="135" spans="1:15">
      <c r="A135" t="s">
        <v>1193</v>
      </c>
      <c r="B135" t="s">
        <v>1193</v>
      </c>
      <c r="C135" s="240" t="s">
        <v>133</v>
      </c>
      <c r="D135" s="145">
        <f>VLOOKUP($A135&amp;" NCP",'2018 SUBSEQUENT'!$A$13:$R$196,'2018 SUBSEQUENT'!C$9,FALSE)</f>
        <v>19000</v>
      </c>
      <c r="E135" s="145">
        <f>VLOOKUP($A135&amp;" NCP",'2018 SUBSEQUENT'!$A$13:$R$196,'2018 SUBSEQUENT'!D$9,FALSE)</f>
        <v>0</v>
      </c>
      <c r="F135" s="145">
        <f>VLOOKUP($A135&amp;" NCP",'2018 SUBSEQUENT'!$A$13:$R$196,'2018 SUBSEQUENT'!E$9,FALSE)</f>
        <v>0</v>
      </c>
      <c r="G135" s="145">
        <f>VLOOKUP($A135&amp;" NCP",'2018 SUBSEQUENT'!$A$13:$R$196,'2018 SUBSEQUENT'!F$9,FALSE)</f>
        <v>0</v>
      </c>
      <c r="H135" s="145">
        <f>VLOOKUP($A135&amp;" NCP",'2018 SUBSEQUENT'!$A$13:$R$196,'2018 SUBSEQUENT'!G$9,FALSE)</f>
        <v>0</v>
      </c>
      <c r="I135" s="145">
        <f>VLOOKUP($A135&amp;" NCP",'2018 SUBSEQUENT'!$A$13:$R$196,'2018 SUBSEQUENT'!H$9,FALSE)</f>
        <v>0</v>
      </c>
      <c r="J135" s="145">
        <f>VLOOKUP($A135&amp;" NCP",'2018 SUBSEQUENT'!$A$13:$R$196,'2018 SUBSEQUENT'!I$9,FALSE)</f>
        <v>0</v>
      </c>
      <c r="K135" s="145">
        <f>VLOOKUP($A135&amp;" NCP",'2018 SUBSEQUENT'!$A$13:$R$196,'2018 SUBSEQUENT'!J$9,FALSE)</f>
        <v>19000</v>
      </c>
      <c r="L135" s="145">
        <f>VLOOKUP($A135&amp;" NCP",'2018 SUBSEQUENT'!$A$13:$R$196,'2018 SUBSEQUENT'!K$9,FALSE)</f>
        <v>0</v>
      </c>
      <c r="M135" s="145">
        <f>VLOOKUP($A135&amp;" NCP",'2018 SUBSEQUENT'!$A$13:$R$196,'2018 SUBSEQUENT'!L$9,FALSE)</f>
        <v>0</v>
      </c>
      <c r="N135" s="145">
        <f>VLOOKUP($A135&amp;" NCP",'2018 SUBSEQUENT'!$A$13:$R$196,'2018 SUBSEQUENT'!M$9,FALSE)</f>
        <v>0</v>
      </c>
      <c r="O135" s="145">
        <f>VLOOKUP($A135&amp;" NCP",'2018 SUBSEQUENT'!$A$13:$R$196,'2018 SUBSEQUENT'!N$9,FALSE)</f>
        <v>0</v>
      </c>
    </row>
    <row r="137" spans="1:15">
      <c r="A137" t="s">
        <v>1060</v>
      </c>
      <c r="B137" t="s">
        <v>691</v>
      </c>
      <c r="C137" t="s">
        <v>1104</v>
      </c>
    </row>
    <row r="138" spans="1:15">
      <c r="A138" t="s">
        <v>1060</v>
      </c>
      <c r="B138" t="s">
        <v>691</v>
      </c>
      <c r="C138" t="s">
        <v>557</v>
      </c>
      <c r="D138" s="4">
        <f>$D$8</f>
        <v>43101</v>
      </c>
      <c r="E138" s="4">
        <f>$E$8</f>
        <v>43132</v>
      </c>
      <c r="F138" s="4">
        <f>$F$8</f>
        <v>43160</v>
      </c>
      <c r="G138" s="4">
        <f>$G$8</f>
        <v>43191</v>
      </c>
      <c r="H138" s="4">
        <f>$H$8</f>
        <v>43221</v>
      </c>
      <c r="I138" s="4">
        <f>$I$8</f>
        <v>43252</v>
      </c>
      <c r="J138" s="4">
        <f>$J$8</f>
        <v>43282</v>
      </c>
      <c r="K138" s="4">
        <f>$K$8</f>
        <v>43313</v>
      </c>
      <c r="L138" s="4">
        <f>$L$8</f>
        <v>43344</v>
      </c>
      <c r="M138" s="4">
        <f>$M$8</f>
        <v>43374</v>
      </c>
      <c r="N138" s="4">
        <f>$N$8</f>
        <v>43405</v>
      </c>
      <c r="O138" s="4">
        <f>$O$8</f>
        <v>43435</v>
      </c>
    </row>
    <row r="139" spans="1:15">
      <c r="A139" t="s">
        <v>1060</v>
      </c>
      <c r="B139" t="s">
        <v>691</v>
      </c>
      <c r="C139" s="240" t="s">
        <v>148</v>
      </c>
      <c r="D139" s="145">
        <f>VLOOKUP($A139&amp;" CP",'2018 SUBSEQUENT'!$A$13:$R$196,'2018 SUBSEQUENT'!C$9,FALSE)</f>
        <v>195710.72970348061</v>
      </c>
      <c r="E139" s="145">
        <f>VLOOKUP($A139&amp;" CP",'2018 SUBSEQUENT'!$A$13:$R$196,'2018 SUBSEQUENT'!D$9,FALSE)</f>
        <v>195710.72970348058</v>
      </c>
      <c r="F139" s="145">
        <f>VLOOKUP($A139&amp;" CP",'2018 SUBSEQUENT'!$A$13:$R$196,'2018 SUBSEQUENT'!E$9,FALSE)</f>
        <v>195710.72970348052</v>
      </c>
      <c r="G139" s="145">
        <f>VLOOKUP($A139&amp;" CP",'2018 SUBSEQUENT'!$A$13:$R$196,'2018 SUBSEQUENT'!F$9,FALSE)</f>
        <v>195710.72970348055</v>
      </c>
      <c r="H139" s="145">
        <f>VLOOKUP($A139&amp;" CP",'2018 SUBSEQUENT'!$A$13:$R$196,'2018 SUBSEQUENT'!G$9,FALSE)</f>
        <v>195710.72970348052</v>
      </c>
      <c r="I139" s="145">
        <f>VLOOKUP($A139&amp;" CP",'2018 SUBSEQUENT'!$A$13:$R$196,'2018 SUBSEQUENT'!H$9,FALSE)</f>
        <v>195710.72970348058</v>
      </c>
      <c r="J139" s="145">
        <f>VLOOKUP($A139&amp;" CP",'2018 SUBSEQUENT'!$A$13:$R$196,'2018 SUBSEQUENT'!I$9,FALSE)</f>
        <v>195710.72970348061</v>
      </c>
      <c r="K139" s="145">
        <f>VLOOKUP($A139&amp;" CP",'2018 SUBSEQUENT'!$A$13:$R$196,'2018 SUBSEQUENT'!J$9,FALSE)</f>
        <v>195710.72970348058</v>
      </c>
      <c r="L139" s="145">
        <f>VLOOKUP($A139&amp;" CP",'2018 SUBSEQUENT'!$A$13:$R$196,'2018 SUBSEQUENT'!K$9,FALSE)</f>
        <v>195710.72970348052</v>
      </c>
      <c r="M139" s="145">
        <f>VLOOKUP($A139&amp;" CP",'2018 SUBSEQUENT'!$A$13:$R$196,'2018 SUBSEQUENT'!L$9,FALSE)</f>
        <v>195710.72970348055</v>
      </c>
      <c r="N139" s="145">
        <f>VLOOKUP($A139&amp;" CP",'2018 SUBSEQUENT'!$A$13:$R$196,'2018 SUBSEQUENT'!M$9,FALSE)</f>
        <v>195710.72970348055</v>
      </c>
      <c r="O139" s="145">
        <f>VLOOKUP($A139&amp;" CP",'2018 SUBSEQUENT'!$A$13:$R$196,'2018 SUBSEQUENT'!N$9,FALSE)</f>
        <v>195710.72970348055</v>
      </c>
    </row>
    <row r="140" spans="1:15">
      <c r="A140" t="s">
        <v>1060</v>
      </c>
      <c r="B140" t="s">
        <v>691</v>
      </c>
      <c r="C140" s="240" t="s">
        <v>147</v>
      </c>
      <c r="D140" s="145">
        <f>VLOOKUP($A140&amp;" GNCP",'2018 SUBSEQUENT'!$A$13:$R$196,'2018 SUBSEQUENT'!C$9,FALSE)</f>
        <v>200000</v>
      </c>
      <c r="E140" s="145">
        <f>VLOOKUP($A140&amp;" GNCP",'2018 SUBSEQUENT'!$A$13:$R$196,'2018 SUBSEQUENT'!D$9,FALSE)</f>
        <v>200000</v>
      </c>
      <c r="F140" s="145">
        <f>VLOOKUP($A140&amp;" GNCP",'2018 SUBSEQUENT'!$A$13:$R$196,'2018 SUBSEQUENT'!E$9,FALSE)</f>
        <v>200000</v>
      </c>
      <c r="G140" s="145">
        <f>VLOOKUP($A140&amp;" GNCP",'2018 SUBSEQUENT'!$A$13:$R$196,'2018 SUBSEQUENT'!F$9,FALSE)</f>
        <v>200000</v>
      </c>
      <c r="H140" s="145">
        <f>VLOOKUP($A140&amp;" GNCP",'2018 SUBSEQUENT'!$A$13:$R$196,'2018 SUBSEQUENT'!G$9,FALSE)</f>
        <v>200000</v>
      </c>
      <c r="I140" s="145">
        <f>VLOOKUP($A140&amp;" GNCP",'2018 SUBSEQUENT'!$A$13:$R$196,'2018 SUBSEQUENT'!H$9,FALSE)</f>
        <v>200000</v>
      </c>
      <c r="J140" s="145">
        <f>VLOOKUP($A140&amp;" GNCP",'2018 SUBSEQUENT'!$A$13:$R$196,'2018 SUBSEQUENT'!I$9,FALSE)</f>
        <v>200000</v>
      </c>
      <c r="K140" s="145">
        <f>VLOOKUP($A140&amp;" GNCP",'2018 SUBSEQUENT'!$A$13:$R$196,'2018 SUBSEQUENT'!J$9,FALSE)</f>
        <v>200000</v>
      </c>
      <c r="L140" s="145">
        <f>VLOOKUP($A140&amp;" GNCP",'2018 SUBSEQUENT'!$A$13:$R$196,'2018 SUBSEQUENT'!K$9,FALSE)</f>
        <v>200000</v>
      </c>
      <c r="M140" s="145">
        <f>VLOOKUP($A140&amp;" GNCP",'2018 SUBSEQUENT'!$A$13:$R$196,'2018 SUBSEQUENT'!L$9,FALSE)</f>
        <v>200000</v>
      </c>
      <c r="N140" s="145">
        <f>VLOOKUP($A140&amp;" GNCP",'2018 SUBSEQUENT'!$A$13:$R$196,'2018 SUBSEQUENT'!M$9,FALSE)</f>
        <v>200000</v>
      </c>
      <c r="O140" s="145">
        <f>VLOOKUP($A140&amp;" GNCP",'2018 SUBSEQUENT'!$A$13:$R$196,'2018 SUBSEQUENT'!N$9,FALSE)</f>
        <v>200000</v>
      </c>
    </row>
    <row r="141" spans="1:15">
      <c r="A141" t="s">
        <v>1060</v>
      </c>
      <c r="B141" t="s">
        <v>691</v>
      </c>
      <c r="C141" s="240" t="s">
        <v>133</v>
      </c>
      <c r="D141" s="145">
        <f>VLOOKUP($A141&amp;" NCP",'2018 SUBSEQUENT'!$A$13:$R$196,'2018 SUBSEQUENT'!C$9,FALSE)</f>
        <v>200000</v>
      </c>
      <c r="E141" s="145">
        <f>VLOOKUP($A141&amp;" NCP",'2018 SUBSEQUENT'!$A$13:$R$196,'2018 SUBSEQUENT'!D$9,FALSE)</f>
        <v>200000</v>
      </c>
      <c r="F141" s="145">
        <f>VLOOKUP($A141&amp;" NCP",'2018 SUBSEQUENT'!$A$13:$R$196,'2018 SUBSEQUENT'!E$9,FALSE)</f>
        <v>200000</v>
      </c>
      <c r="G141" s="145">
        <f>VLOOKUP($A141&amp;" NCP",'2018 SUBSEQUENT'!$A$13:$R$196,'2018 SUBSEQUENT'!F$9,FALSE)</f>
        <v>200000</v>
      </c>
      <c r="H141" s="145">
        <f>VLOOKUP($A141&amp;" NCP",'2018 SUBSEQUENT'!$A$13:$R$196,'2018 SUBSEQUENT'!G$9,FALSE)</f>
        <v>200000</v>
      </c>
      <c r="I141" s="145">
        <f>VLOOKUP($A141&amp;" NCP",'2018 SUBSEQUENT'!$A$13:$R$196,'2018 SUBSEQUENT'!H$9,FALSE)</f>
        <v>200000</v>
      </c>
      <c r="J141" s="145">
        <f>VLOOKUP($A141&amp;" NCP",'2018 SUBSEQUENT'!$A$13:$R$196,'2018 SUBSEQUENT'!I$9,FALSE)</f>
        <v>200000</v>
      </c>
      <c r="K141" s="145">
        <f>VLOOKUP($A141&amp;" NCP",'2018 SUBSEQUENT'!$A$13:$R$196,'2018 SUBSEQUENT'!J$9,FALSE)</f>
        <v>200000</v>
      </c>
      <c r="L141" s="145">
        <f>VLOOKUP($A141&amp;" NCP",'2018 SUBSEQUENT'!$A$13:$R$196,'2018 SUBSEQUENT'!K$9,FALSE)</f>
        <v>200000</v>
      </c>
      <c r="M141" s="145">
        <f>VLOOKUP($A141&amp;" NCP",'2018 SUBSEQUENT'!$A$13:$R$196,'2018 SUBSEQUENT'!L$9,FALSE)</f>
        <v>200000</v>
      </c>
      <c r="N141" s="145">
        <f>VLOOKUP($A141&amp;" NCP",'2018 SUBSEQUENT'!$A$13:$R$196,'2018 SUBSEQUENT'!M$9,FALSE)</f>
        <v>200000</v>
      </c>
      <c r="O141" s="145">
        <f>VLOOKUP($A141&amp;" NCP",'2018 SUBSEQUENT'!$A$13:$R$196,'2018 SUBSEQUENT'!N$9,FALSE)</f>
        <v>200000</v>
      </c>
    </row>
    <row r="143" spans="1:15">
      <c r="A143" t="s">
        <v>986</v>
      </c>
      <c r="B143" t="s">
        <v>727</v>
      </c>
      <c r="C143" s="240" t="s">
        <v>1097</v>
      </c>
    </row>
    <row r="144" spans="1:15">
      <c r="A144" t="s">
        <v>986</v>
      </c>
      <c r="B144" t="s">
        <v>727</v>
      </c>
      <c r="C144" t="s">
        <v>557</v>
      </c>
      <c r="D144" s="4">
        <f>$D$8</f>
        <v>43101</v>
      </c>
      <c r="E144" s="4">
        <f>$E$8</f>
        <v>43132</v>
      </c>
      <c r="F144" s="4">
        <f>$F$8</f>
        <v>43160</v>
      </c>
      <c r="G144" s="4">
        <f>$G$8</f>
        <v>43191</v>
      </c>
      <c r="H144" s="4">
        <f>$H$8</f>
        <v>43221</v>
      </c>
      <c r="I144" s="4">
        <f>$I$8</f>
        <v>43252</v>
      </c>
      <c r="J144" s="4">
        <f>$J$8</f>
        <v>43282</v>
      </c>
      <c r="K144" s="4">
        <f>$K$8</f>
        <v>43313</v>
      </c>
      <c r="L144" s="4">
        <f>$L$8</f>
        <v>43344</v>
      </c>
      <c r="M144" s="4">
        <f>$M$8</f>
        <v>43374</v>
      </c>
      <c r="N144" s="4">
        <f>$N$8</f>
        <v>43405</v>
      </c>
      <c r="O144" s="4">
        <f>$O$8</f>
        <v>43435</v>
      </c>
    </row>
    <row r="145" spans="1:15">
      <c r="A145" t="s">
        <v>986</v>
      </c>
      <c r="B145" t="s">
        <v>727</v>
      </c>
      <c r="C145" s="240" t="s">
        <v>148</v>
      </c>
      <c r="D145" s="145">
        <f>VLOOKUP($A145&amp;" CP",'2018 SUBSEQUENT'!$A$13:$R$196,'2018 SUBSEQUENT'!C$9,FALSE)</f>
        <v>58713.218911044183</v>
      </c>
      <c r="E145" s="145">
        <f>VLOOKUP($A145&amp;" CP",'2018 SUBSEQUENT'!$A$13:$R$196,'2018 SUBSEQUENT'!D$9,FALSE)</f>
        <v>0</v>
      </c>
      <c r="F145" s="145">
        <f>VLOOKUP($A145&amp;" CP",'2018 SUBSEQUENT'!$A$13:$R$196,'2018 SUBSEQUENT'!E$9,FALSE)</f>
        <v>0</v>
      </c>
      <c r="G145" s="145">
        <f>VLOOKUP($A145&amp;" CP",'2018 SUBSEQUENT'!$A$13:$R$196,'2018 SUBSEQUENT'!F$9,FALSE)</f>
        <v>0</v>
      </c>
      <c r="H145" s="145">
        <f>VLOOKUP($A145&amp;" CP",'2018 SUBSEQUENT'!$A$13:$R$196,'2018 SUBSEQUENT'!G$9,FALSE)</f>
        <v>0</v>
      </c>
      <c r="I145" s="145">
        <f>VLOOKUP($A145&amp;" CP",'2018 SUBSEQUENT'!$A$13:$R$196,'2018 SUBSEQUENT'!H$9,FALSE)</f>
        <v>0</v>
      </c>
      <c r="J145" s="145">
        <f>VLOOKUP($A145&amp;" CP",'2018 SUBSEQUENT'!$A$13:$R$196,'2018 SUBSEQUENT'!I$9,FALSE)</f>
        <v>0</v>
      </c>
      <c r="K145" s="145">
        <f>VLOOKUP($A145&amp;" CP",'2018 SUBSEQUENT'!$A$13:$R$196,'2018 SUBSEQUENT'!J$9,FALSE)</f>
        <v>58713.218911044176</v>
      </c>
      <c r="L145" s="145">
        <f>VLOOKUP($A145&amp;" CP",'2018 SUBSEQUENT'!$A$13:$R$196,'2018 SUBSEQUENT'!K$9,FALSE)</f>
        <v>0</v>
      </c>
      <c r="M145" s="145">
        <f>VLOOKUP($A145&amp;" CP",'2018 SUBSEQUENT'!$A$13:$R$196,'2018 SUBSEQUENT'!L$9,FALSE)</f>
        <v>0</v>
      </c>
      <c r="N145" s="145">
        <f>VLOOKUP($A145&amp;" CP",'2018 SUBSEQUENT'!$A$13:$R$196,'2018 SUBSEQUENT'!M$9,FALSE)</f>
        <v>0</v>
      </c>
      <c r="O145" s="145">
        <f>VLOOKUP($A145&amp;" CP",'2018 SUBSEQUENT'!$A$13:$R$196,'2018 SUBSEQUENT'!N$9,FALSE)</f>
        <v>0</v>
      </c>
    </row>
    <row r="146" spans="1:15">
      <c r="A146" t="s">
        <v>986</v>
      </c>
      <c r="B146" t="s">
        <v>727</v>
      </c>
      <c r="C146" s="240" t="s">
        <v>147</v>
      </c>
      <c r="D146" s="145">
        <f>VLOOKUP($A146&amp;" GNCP",'2018 SUBSEQUENT'!$A$13:$R$196,'2018 SUBSEQUENT'!C$9,FALSE)</f>
        <v>60000</v>
      </c>
      <c r="E146" s="145">
        <f>VLOOKUP($A146&amp;" GNCP",'2018 SUBSEQUENT'!$A$13:$R$196,'2018 SUBSEQUENT'!D$9,FALSE)</f>
        <v>0</v>
      </c>
      <c r="F146" s="145">
        <f>VLOOKUP($A146&amp;" GNCP",'2018 SUBSEQUENT'!$A$13:$R$196,'2018 SUBSEQUENT'!E$9,FALSE)</f>
        <v>0</v>
      </c>
      <c r="G146" s="145">
        <f>VLOOKUP($A146&amp;" GNCP",'2018 SUBSEQUENT'!$A$13:$R$196,'2018 SUBSEQUENT'!F$9,FALSE)</f>
        <v>0</v>
      </c>
      <c r="H146" s="145">
        <f>VLOOKUP($A146&amp;" GNCP",'2018 SUBSEQUENT'!$A$13:$R$196,'2018 SUBSEQUENT'!G$9,FALSE)</f>
        <v>0</v>
      </c>
      <c r="I146" s="145">
        <f>VLOOKUP($A146&amp;" GNCP",'2018 SUBSEQUENT'!$A$13:$R$196,'2018 SUBSEQUENT'!H$9,FALSE)</f>
        <v>0</v>
      </c>
      <c r="J146" s="145">
        <f>VLOOKUP($A146&amp;" GNCP",'2018 SUBSEQUENT'!$A$13:$R$196,'2018 SUBSEQUENT'!I$9,FALSE)</f>
        <v>0</v>
      </c>
      <c r="K146" s="145">
        <f>VLOOKUP($A146&amp;" GNCP",'2018 SUBSEQUENT'!$A$13:$R$196,'2018 SUBSEQUENT'!J$9,FALSE)</f>
        <v>60000</v>
      </c>
      <c r="L146" s="145">
        <f>VLOOKUP($A146&amp;" GNCP",'2018 SUBSEQUENT'!$A$13:$R$196,'2018 SUBSEQUENT'!K$9,FALSE)</f>
        <v>0</v>
      </c>
      <c r="M146" s="145">
        <f>VLOOKUP($A146&amp;" GNCP",'2018 SUBSEQUENT'!$A$13:$R$196,'2018 SUBSEQUENT'!L$9,FALSE)</f>
        <v>0</v>
      </c>
      <c r="N146" s="145">
        <f>VLOOKUP($A146&amp;" GNCP",'2018 SUBSEQUENT'!$A$13:$R$196,'2018 SUBSEQUENT'!M$9,FALSE)</f>
        <v>0</v>
      </c>
      <c r="O146" s="145">
        <f>VLOOKUP($A146&amp;" GNCP",'2018 SUBSEQUENT'!$A$13:$R$196,'2018 SUBSEQUENT'!N$9,FALSE)</f>
        <v>0</v>
      </c>
    </row>
    <row r="147" spans="1:15">
      <c r="A147" t="s">
        <v>986</v>
      </c>
      <c r="B147" t="s">
        <v>727</v>
      </c>
      <c r="C147" s="240" t="s">
        <v>133</v>
      </c>
      <c r="D147" s="145">
        <f>VLOOKUP($A147&amp;" NCP",'2018 SUBSEQUENT'!$A$13:$R$196,'2018 SUBSEQUENT'!C$9,FALSE)</f>
        <v>60000</v>
      </c>
      <c r="E147" s="145">
        <f>VLOOKUP($A147&amp;" NCP",'2018 SUBSEQUENT'!$A$13:$R$196,'2018 SUBSEQUENT'!D$9,FALSE)</f>
        <v>0</v>
      </c>
      <c r="F147" s="145">
        <f>VLOOKUP($A147&amp;" NCP",'2018 SUBSEQUENT'!$A$13:$R$196,'2018 SUBSEQUENT'!E$9,FALSE)</f>
        <v>0</v>
      </c>
      <c r="G147" s="145">
        <f>VLOOKUP($A147&amp;" NCP",'2018 SUBSEQUENT'!$A$13:$R$196,'2018 SUBSEQUENT'!F$9,FALSE)</f>
        <v>0</v>
      </c>
      <c r="H147" s="145">
        <f>VLOOKUP($A147&amp;" NCP",'2018 SUBSEQUENT'!$A$13:$R$196,'2018 SUBSEQUENT'!G$9,FALSE)</f>
        <v>0</v>
      </c>
      <c r="I147" s="145">
        <f>VLOOKUP($A147&amp;" NCP",'2018 SUBSEQUENT'!$A$13:$R$196,'2018 SUBSEQUENT'!H$9,FALSE)</f>
        <v>0</v>
      </c>
      <c r="J147" s="145">
        <f>VLOOKUP($A147&amp;" NCP",'2018 SUBSEQUENT'!$A$13:$R$196,'2018 SUBSEQUENT'!I$9,FALSE)</f>
        <v>0</v>
      </c>
      <c r="K147" s="145">
        <f>VLOOKUP($A147&amp;" NCP",'2018 SUBSEQUENT'!$A$13:$R$196,'2018 SUBSEQUENT'!J$9,FALSE)</f>
        <v>60000</v>
      </c>
      <c r="L147" s="145">
        <f>VLOOKUP($A147&amp;" NCP",'2018 SUBSEQUENT'!$A$13:$R$196,'2018 SUBSEQUENT'!K$9,FALSE)</f>
        <v>0</v>
      </c>
      <c r="M147" s="145">
        <f>VLOOKUP($A147&amp;" NCP",'2018 SUBSEQUENT'!$A$13:$R$196,'2018 SUBSEQUENT'!L$9,FALSE)</f>
        <v>0</v>
      </c>
      <c r="N147" s="145">
        <f>VLOOKUP($A147&amp;" NCP",'2018 SUBSEQUENT'!$A$13:$R$196,'2018 SUBSEQUENT'!M$9,FALSE)</f>
        <v>0</v>
      </c>
      <c r="O147" s="145">
        <f>VLOOKUP($A147&amp;" NCP",'2018 SUBSEQUENT'!$A$13:$R$196,'2018 SUBSEQUENT'!N$9,FALSE)</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tint="4.9989318521683403E-2"/>
  </sheetPr>
  <dimension ref="A1:U223"/>
  <sheetViews>
    <sheetView showGridLines="0" zoomScale="75" zoomScaleNormal="75" workbookViewId="0">
      <pane xSplit="1" topLeftCell="B1" activePane="topRight" state="frozen"/>
      <selection activeCell="B3" sqref="A1:XFD3"/>
      <selection pane="topRight" activeCell="A2" sqref="A1:A2"/>
    </sheetView>
  </sheetViews>
  <sheetFormatPr defaultColWidth="9.109375" defaultRowHeight="13.2"/>
  <cols>
    <col min="1" max="1" width="22.44140625" style="154" customWidth="1"/>
    <col min="2" max="14" width="17.109375" style="155" customWidth="1"/>
    <col min="15" max="15" width="17.109375" style="154" customWidth="1"/>
    <col min="16" max="16" width="11.44140625" style="154" bestFit="1" customWidth="1"/>
    <col min="17" max="17" width="1.6640625" style="154" customWidth="1"/>
    <col min="18" max="18" width="14.5546875" style="154" hidden="1" customWidth="1"/>
    <col min="19" max="19" width="9.6640625" style="154" hidden="1" customWidth="1"/>
    <col min="20" max="16384" width="9.109375" style="154"/>
  </cols>
  <sheetData>
    <row r="1" spans="1:21" s="164" customFormat="1">
      <c r="A1" s="158" t="s">
        <v>1276</v>
      </c>
      <c r="C1" s="158"/>
      <c r="D1" s="158"/>
      <c r="E1" s="158"/>
      <c r="F1" s="158"/>
      <c r="G1" s="158"/>
      <c r="H1" s="158"/>
      <c r="I1" s="158"/>
      <c r="J1" s="158"/>
      <c r="K1" s="158"/>
      <c r="L1" s="158"/>
      <c r="M1" s="158"/>
      <c r="N1" s="158"/>
    </row>
    <row r="2" spans="1:21" s="164" customFormat="1">
      <c r="A2" s="158" t="s">
        <v>1267</v>
      </c>
      <c r="C2" s="158"/>
      <c r="D2" s="158"/>
      <c r="E2" s="158"/>
      <c r="F2" s="158"/>
      <c r="G2" s="158"/>
      <c r="H2" s="158"/>
      <c r="I2" s="158"/>
      <c r="J2" s="158"/>
      <c r="K2" s="158"/>
      <c r="L2" s="158"/>
      <c r="M2" s="158"/>
      <c r="N2" s="158"/>
    </row>
    <row r="3" spans="1:21" s="164" customFormat="1">
      <c r="B3" s="158"/>
      <c r="C3" s="158"/>
      <c r="D3" s="158"/>
      <c r="E3" s="158"/>
      <c r="F3" s="158"/>
      <c r="G3" s="158"/>
      <c r="H3" s="158"/>
      <c r="I3" s="158"/>
      <c r="J3" s="158"/>
      <c r="K3" s="158"/>
      <c r="L3" s="158"/>
      <c r="M3" s="158"/>
      <c r="N3" s="158"/>
    </row>
    <row r="4" spans="1:21" s="172" customFormat="1" ht="21">
      <c r="A4" s="124" t="s">
        <v>532</v>
      </c>
      <c r="B4" s="165"/>
      <c r="C4" s="165"/>
      <c r="D4" s="165"/>
      <c r="E4" s="165"/>
      <c r="F4" s="165"/>
      <c r="G4" s="165"/>
      <c r="H4" s="165"/>
      <c r="I4" s="165"/>
      <c r="J4" s="165"/>
      <c r="K4" s="165"/>
      <c r="L4" s="165"/>
      <c r="M4" s="165"/>
      <c r="N4" s="165"/>
      <c r="O4" s="165"/>
    </row>
    <row r="5" spans="1:21" s="172" customFormat="1" ht="21">
      <c r="A5" s="124" t="str">
        <f>MANUAL!$B$9&amp;" - PRIOR YEAR"</f>
        <v>2016 - PRIOR YEAR</v>
      </c>
      <c r="B5" s="165"/>
      <c r="C5" s="165"/>
      <c r="D5" s="165"/>
      <c r="E5" s="165"/>
      <c r="F5" s="165"/>
      <c r="G5" s="165"/>
      <c r="H5" s="165"/>
      <c r="I5" s="165"/>
      <c r="J5" s="165"/>
      <c r="K5" s="165"/>
      <c r="L5" s="165"/>
      <c r="M5" s="165"/>
      <c r="N5" s="165"/>
      <c r="O5" s="165"/>
    </row>
    <row r="6" spans="1:21" s="172" customFormat="1" ht="21.6" thickBot="1">
      <c r="A6" s="124"/>
      <c r="B6" s="165"/>
      <c r="C6" s="165"/>
      <c r="D6" s="165"/>
      <c r="E6" s="165"/>
      <c r="F6" s="165"/>
      <c r="G6" s="165"/>
      <c r="H6" s="165"/>
      <c r="I6" s="165"/>
      <c r="J6" s="165"/>
      <c r="K6" s="165"/>
      <c r="L6" s="165"/>
      <c r="M6" s="165"/>
      <c r="N6" s="165"/>
      <c r="O6" s="165"/>
    </row>
    <row r="7" spans="1:21" s="164" customFormat="1" ht="13.8" thickBot="1">
      <c r="A7" s="168"/>
      <c r="B7" s="572" t="s">
        <v>339</v>
      </c>
      <c r="C7" s="573"/>
      <c r="D7" s="574"/>
      <c r="E7" s="575" t="s">
        <v>340</v>
      </c>
      <c r="F7" s="576"/>
      <c r="G7" s="576"/>
      <c r="H7" s="576"/>
      <c r="I7" s="576"/>
      <c r="J7" s="576"/>
      <c r="K7" s="577"/>
      <c r="L7" s="572" t="s">
        <v>339</v>
      </c>
      <c r="M7" s="574"/>
      <c r="N7" s="166"/>
    </row>
    <row r="8" spans="1:21" s="165" customFormat="1" ht="13.8" thickBot="1">
      <c r="A8" s="171" t="s">
        <v>454</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133</v>
      </c>
      <c r="P8" s="169" t="s">
        <v>455</v>
      </c>
      <c r="R8" s="580" t="s">
        <v>495</v>
      </c>
      <c r="S8" s="581"/>
    </row>
    <row r="9" spans="1:21" s="164" customFormat="1">
      <c r="A9" s="168"/>
      <c r="B9" s="167"/>
      <c r="C9" s="167"/>
      <c r="D9" s="167"/>
      <c r="E9" s="167"/>
      <c r="F9" s="167"/>
      <c r="G9" s="167"/>
      <c r="H9" s="167"/>
      <c r="I9" s="167"/>
      <c r="J9" s="167"/>
      <c r="K9" s="167"/>
      <c r="L9" s="167"/>
      <c r="M9" s="167"/>
      <c r="N9" s="166"/>
      <c r="O9" s="165"/>
    </row>
    <row r="10" spans="1:21" s="164" customFormat="1">
      <c r="A10" s="168"/>
      <c r="B10" s="167"/>
      <c r="C10" s="167"/>
      <c r="D10" s="167"/>
      <c r="E10" s="167"/>
      <c r="F10" s="167"/>
      <c r="G10" s="167"/>
      <c r="H10" s="167"/>
      <c r="I10" s="167"/>
      <c r="J10" s="167"/>
      <c r="K10" s="167"/>
      <c r="L10" s="167"/>
      <c r="M10" s="167"/>
      <c r="N10" s="166"/>
      <c r="O10" s="165"/>
    </row>
    <row r="11" spans="1:21" s="81" customFormat="1">
      <c r="A11" s="42" t="s">
        <v>83</v>
      </c>
    </row>
    <row r="12" spans="1:21">
      <c r="A12" s="163" t="s">
        <v>98</v>
      </c>
      <c r="B12" s="162">
        <f>+'CILC-1D'!C$60</f>
        <v>440421.45257350209</v>
      </c>
      <c r="C12" s="162">
        <f>+'CILC-1D'!D$60</f>
        <v>430373.00654546777</v>
      </c>
      <c r="D12" s="162">
        <f>+'CILC-1D'!E$60</f>
        <v>407068.04688708117</v>
      </c>
      <c r="E12" s="162">
        <f>+'CILC-1D'!F$60</f>
        <v>420289.30707446818</v>
      </c>
      <c r="F12" s="162">
        <f>+'CILC-1D'!G$60</f>
        <v>419851.97913825046</v>
      </c>
      <c r="G12" s="162">
        <f>+'CILC-1D'!H$60</f>
        <v>444977.62438453489</v>
      </c>
      <c r="H12" s="162">
        <f>+'CILC-1D'!I$60</f>
        <v>441421.22793474764</v>
      </c>
      <c r="I12" s="162">
        <f>+'CILC-1D'!J$60</f>
        <v>437922.83644533617</v>
      </c>
      <c r="J12" s="162">
        <f>+'CILC-1D'!K$60</f>
        <v>448936.18122906407</v>
      </c>
      <c r="K12" s="162">
        <f>+'CILC-1D'!L$60</f>
        <v>425542.9770315683</v>
      </c>
      <c r="L12" s="162">
        <f>+'CILC-1D'!M$60</f>
        <v>428641.98865677975</v>
      </c>
      <c r="M12" s="162">
        <f>+'CILC-1D'!N$60</f>
        <v>431524.62050190015</v>
      </c>
      <c r="N12" s="162">
        <f t="shared" ref="N12:N28" si="0">SUM(B12:M12)</f>
        <v>5176971.2484027008</v>
      </c>
      <c r="O12" s="158">
        <f t="shared" ref="O12:O28" si="1">MAX(B12:M12)</f>
        <v>448936.18122906407</v>
      </c>
      <c r="P12" s="495">
        <f>+O12/$O$45</f>
        <v>9.6601296250036096E-3</v>
      </c>
      <c r="R12" s="197">
        <v>526119.69013527338</v>
      </c>
      <c r="S12" s="198">
        <f t="shared" ref="S12:S28" si="2">+R12/$R$45</f>
        <v>1.319121999098148E-2</v>
      </c>
      <c r="U12" s="43"/>
    </row>
    <row r="13" spans="1:21">
      <c r="A13" s="163" t="s">
        <v>99</v>
      </c>
      <c r="B13" s="162">
        <f>+'CILC-1G'!C$60</f>
        <v>17274.55753043744</v>
      </c>
      <c r="C13" s="162">
        <f>+'CILC-1G'!D$60</f>
        <v>17062.979562432509</v>
      </c>
      <c r="D13" s="162">
        <f>+'CILC-1G'!E$60</f>
        <v>15788.46165504622</v>
      </c>
      <c r="E13" s="162">
        <f>+'CILC-1G'!F$60</f>
        <v>16263.719745368575</v>
      </c>
      <c r="F13" s="162">
        <f>+'CILC-1G'!G$60</f>
        <v>16719.536568011245</v>
      </c>
      <c r="G13" s="162">
        <f>+'CILC-1G'!H$60</f>
        <v>17603.025296904932</v>
      </c>
      <c r="H13" s="162">
        <f>+'CILC-1G'!I$60</f>
        <v>17298.340423654157</v>
      </c>
      <c r="I13" s="162">
        <f>+'CILC-1G'!J$60</f>
        <v>17405.608726582705</v>
      </c>
      <c r="J13" s="162">
        <f>+'CILC-1G'!K$60</f>
        <v>17837.940203103299</v>
      </c>
      <c r="K13" s="162">
        <f>+'CILC-1G'!L$60</f>
        <v>16739.165049843221</v>
      </c>
      <c r="L13" s="162">
        <f>+'CILC-1G'!M$60</f>
        <v>16866.196776264263</v>
      </c>
      <c r="M13" s="162">
        <f>+'CILC-1G'!N$60</f>
        <v>17213.125648610538</v>
      </c>
      <c r="N13" s="162">
        <f t="shared" si="0"/>
        <v>204072.65718625908</v>
      </c>
      <c r="O13" s="158">
        <f t="shared" si="1"/>
        <v>17837.940203103299</v>
      </c>
      <c r="P13" s="159">
        <f t="shared" ref="P13:P28" si="3">+O13/$O$45</f>
        <v>3.8383365344554082E-4</v>
      </c>
      <c r="R13" s="197">
        <v>34155.053867445218</v>
      </c>
      <c r="S13" s="198">
        <f t="shared" si="2"/>
        <v>8.5635804516924702E-4</v>
      </c>
      <c r="U13" s="43"/>
    </row>
    <row r="14" spans="1:21">
      <c r="A14" s="163" t="s">
        <v>50</v>
      </c>
      <c r="B14" s="162">
        <f>+'CILC-1T'!C$60</f>
        <v>223784.1068264567</v>
      </c>
      <c r="C14" s="162">
        <f>+'CILC-1T'!D$60</f>
        <v>229024.46153605607</v>
      </c>
      <c r="D14" s="162">
        <f>+'CILC-1T'!E$60</f>
        <v>217328.62729093328</v>
      </c>
      <c r="E14" s="162">
        <f>+'CILC-1T'!F$60</f>
        <v>225784.95481467768</v>
      </c>
      <c r="F14" s="162">
        <f>+'CILC-1T'!G$60</f>
        <v>213828.76605608175</v>
      </c>
      <c r="G14" s="162">
        <f>+'CILC-1T'!H$60</f>
        <v>236628.50416488794</v>
      </c>
      <c r="H14" s="162">
        <f>+'CILC-1T'!I$60</f>
        <v>226991.34665196994</v>
      </c>
      <c r="I14" s="162">
        <f>+'CILC-1T'!J$60</f>
        <v>223325.04010157057</v>
      </c>
      <c r="J14" s="162">
        <f>+'CILC-1T'!K$60</f>
        <v>244815.19348573271</v>
      </c>
      <c r="K14" s="162">
        <f>+'CILC-1T'!L$60</f>
        <v>225276.72282148991</v>
      </c>
      <c r="L14" s="162">
        <f>+'CILC-1T'!M$60</f>
        <v>241657.46834816775</v>
      </c>
      <c r="M14" s="162">
        <f>+'CILC-1T'!N$60</f>
        <v>231665.58383727225</v>
      </c>
      <c r="N14" s="162">
        <f t="shared" si="0"/>
        <v>2740110.7759352964</v>
      </c>
      <c r="O14" s="158">
        <f t="shared" si="1"/>
        <v>244815.19348573271</v>
      </c>
      <c r="P14" s="159">
        <f t="shared" si="3"/>
        <v>5.2678901860125039E-3</v>
      </c>
      <c r="R14" s="197">
        <v>279555.84530863696</v>
      </c>
      <c r="S14" s="198">
        <f t="shared" si="2"/>
        <v>7.0092085971594385E-3</v>
      </c>
      <c r="U14" s="43"/>
    </row>
    <row r="15" spans="1:21">
      <c r="A15" s="163" t="s">
        <v>49</v>
      </c>
      <c r="B15" s="162">
        <f>+'GS(T)-1'!C$61</f>
        <v>2095363.1888433669</v>
      </c>
      <c r="C15" s="162">
        <f>+'GS(T)-1'!D$61</f>
        <v>1916697.7617173141</v>
      </c>
      <c r="D15" s="162">
        <f>+'GS(T)-1'!E$61</f>
        <v>1842612.0274330236</v>
      </c>
      <c r="E15" s="162">
        <f>+'GS(T)-1'!F$61</f>
        <v>1841312.018186498</v>
      </c>
      <c r="F15" s="162">
        <f>+'GS(T)-1'!G$61</f>
        <v>1927994.7668184894</v>
      </c>
      <c r="G15" s="162">
        <f>+'GS(T)-1'!H$61</f>
        <v>2101496.5398850385</v>
      </c>
      <c r="H15" s="162">
        <f>+'GS(T)-1'!I$61</f>
        <v>2071496.2154338998</v>
      </c>
      <c r="I15" s="162">
        <f>+'GS(T)-1'!J$61</f>
        <v>2041765.152169775</v>
      </c>
      <c r="J15" s="162">
        <f>+'GS(T)-1'!K$61</f>
        <v>2146053.5755057577</v>
      </c>
      <c r="K15" s="162">
        <f>+'GS(T)-1'!L$61</f>
        <v>1994437.4381940479</v>
      </c>
      <c r="L15" s="162">
        <f>+'GS(T)-1'!M$61</f>
        <v>2038846.1277103559</v>
      </c>
      <c r="M15" s="162">
        <f>+'GS(T)-1'!N$61</f>
        <v>1991367.2242881842</v>
      </c>
      <c r="N15" s="162">
        <f t="shared" si="0"/>
        <v>24009442.036185753</v>
      </c>
      <c r="O15" s="158">
        <f t="shared" si="1"/>
        <v>2146053.5755057577</v>
      </c>
      <c r="P15" s="159">
        <f t="shared" si="3"/>
        <v>4.61784026068736E-2</v>
      </c>
      <c r="R15" s="197">
        <v>2074480.5262111593</v>
      </c>
      <c r="S15" s="198">
        <f t="shared" si="2"/>
        <v>5.2012744440761163E-2</v>
      </c>
      <c r="U15" s="43"/>
    </row>
    <row r="16" spans="1:21">
      <c r="A16" s="163" t="s">
        <v>325</v>
      </c>
      <c r="B16" s="162">
        <f>+'GSCU-1'!C$61</f>
        <v>8375.4765015846315</v>
      </c>
      <c r="C16" s="162">
        <f>+'GSCU-1'!D$61</f>
        <v>8846.0962659761117</v>
      </c>
      <c r="D16" s="162">
        <f>+'GSCU-1'!E$61</f>
        <v>8251.2041621908756</v>
      </c>
      <c r="E16" s="162">
        <f>+'GSCU-1'!F$61</f>
        <v>8473.4787431702698</v>
      </c>
      <c r="F16" s="162">
        <f>+'GSCU-1'!G$61</f>
        <v>8111.2742326241614</v>
      </c>
      <c r="G16" s="162">
        <f>+'GSCU-1'!H$61</f>
        <v>8780.3822455607951</v>
      </c>
      <c r="H16" s="162">
        <f>+'GSCU-1'!I$61</f>
        <v>8241.1886657472769</v>
      </c>
      <c r="I16" s="162">
        <f>+'GSCU-1'!J$61</f>
        <v>8544.4900145058637</v>
      </c>
      <c r="J16" s="162">
        <f>+'GSCU-1'!K$61</f>
        <v>8738.2019238111643</v>
      </c>
      <c r="K16" s="162">
        <f>+'GSCU-1'!L$61</f>
        <v>8724.4773864508534</v>
      </c>
      <c r="L16" s="162">
        <f>+'GSCU-1'!M$61</f>
        <v>8613.2529490325742</v>
      </c>
      <c r="M16" s="162">
        <f>+'GSCU-1'!N$61</f>
        <v>8661.5012661438632</v>
      </c>
      <c r="N16" s="162">
        <f t="shared" si="0"/>
        <v>102361.02435679846</v>
      </c>
      <c r="O16" s="158">
        <f t="shared" si="1"/>
        <v>8846.0962659761117</v>
      </c>
      <c r="P16" s="159">
        <f t="shared" si="3"/>
        <v>1.9034874037249315E-4</v>
      </c>
      <c r="R16" s="197">
        <v>4160.8841435064141</v>
      </c>
      <c r="S16" s="198">
        <f t="shared" si="2"/>
        <v>1.0432443248772413E-4</v>
      </c>
      <c r="U16" s="46"/>
    </row>
    <row r="17" spans="1:21">
      <c r="A17" s="163" t="s">
        <v>67</v>
      </c>
      <c r="B17" s="162">
        <f>+'GSD(T)-1'!C$61</f>
        <v>6011791.3492032457</v>
      </c>
      <c r="C17" s="162">
        <f>+'GSD(T)-1'!D$61</f>
        <v>5616198.6254109694</v>
      </c>
      <c r="D17" s="162">
        <f>+'GSD(T)-1'!E$61</f>
        <v>5424261.3202618919</v>
      </c>
      <c r="E17" s="162">
        <f>+'GSD(T)-1'!F$61</f>
        <v>5547175.7921332689</v>
      </c>
      <c r="F17" s="162">
        <f>+'GSD(T)-1'!G$61</f>
        <v>5743818.5934529975</v>
      </c>
      <c r="G17" s="162">
        <f>+'GSD(T)-1'!H$61</f>
        <v>6123103.2085875003</v>
      </c>
      <c r="H17" s="162">
        <f>+'GSD(T)-1'!I$61</f>
        <v>6017189.4203604097</v>
      </c>
      <c r="I17" s="162">
        <f>+'GSD(T)-1'!J$61</f>
        <v>5975585.2614922514</v>
      </c>
      <c r="J17" s="162">
        <f>+'GSD(T)-1'!K$61</f>
        <v>6252158.274678397</v>
      </c>
      <c r="K17" s="162">
        <f>+'GSD(T)-1'!L$61</f>
        <v>5918258.2366450606</v>
      </c>
      <c r="L17" s="162">
        <f>+'GSD(T)-1'!M$61</f>
        <v>5925389.3875999954</v>
      </c>
      <c r="M17" s="162">
        <f>+'GSD(T)-1'!N$61</f>
        <v>5754534.3045162093</v>
      </c>
      <c r="N17" s="162">
        <f t="shared" si="0"/>
        <v>70309463.774342194</v>
      </c>
      <c r="O17" s="158">
        <f t="shared" si="1"/>
        <v>6252158.274678397</v>
      </c>
      <c r="P17" s="159">
        <f t="shared" si="3"/>
        <v>0.13453283984392339</v>
      </c>
      <c r="R17" s="197">
        <v>5731269.9821208594</v>
      </c>
      <c r="S17" s="198">
        <f t="shared" si="2"/>
        <v>0.14369818233266696</v>
      </c>
      <c r="U17" s="43"/>
    </row>
    <row r="18" spans="1:21">
      <c r="A18" s="163" t="s">
        <v>68</v>
      </c>
      <c r="B18" s="162">
        <f>+'GSLD(T)-1'!C$60</f>
        <v>2094707.9040527949</v>
      </c>
      <c r="C18" s="162">
        <f>+'GSLD(T)-1'!D$60</f>
        <v>1997214.5215777173</v>
      </c>
      <c r="D18" s="162">
        <f>+'GSLD(T)-1'!E$60</f>
        <v>1957804.7448479398</v>
      </c>
      <c r="E18" s="162">
        <f>+'GSLD(T)-1'!F$60</f>
        <v>1975902.0669592677</v>
      </c>
      <c r="F18" s="162">
        <f>+'GSLD(T)-1'!G$60</f>
        <v>2096657.5425912722</v>
      </c>
      <c r="G18" s="162">
        <f>+'GSLD(T)-1'!H$60</f>
        <v>2235406.2192565436</v>
      </c>
      <c r="H18" s="162">
        <f>+'GSLD(T)-1'!I$60</f>
        <v>2111037.7011014572</v>
      </c>
      <c r="I18" s="162">
        <f>+'GSLD(T)-1'!J$60</f>
        <v>2149295.9534328952</v>
      </c>
      <c r="J18" s="162">
        <f>+'GSLD(T)-1'!K$60</f>
        <v>2271007.4470676472</v>
      </c>
      <c r="K18" s="162">
        <f>+'GSLD(T)-1'!L$60</f>
        <v>2138602.5500743468</v>
      </c>
      <c r="L18" s="162">
        <f>+'GSLD(T)-1'!M$60</f>
        <v>2117462.5284032319</v>
      </c>
      <c r="M18" s="162">
        <f>+'GSLD(T)-1'!N$60</f>
        <v>2144420.1658218629</v>
      </c>
      <c r="N18" s="162">
        <f t="shared" si="0"/>
        <v>25289519.345186975</v>
      </c>
      <c r="O18" s="158">
        <f t="shared" si="1"/>
        <v>2271007.4470676472</v>
      </c>
      <c r="P18" s="159">
        <f t="shared" si="3"/>
        <v>4.8867137992667807E-2</v>
      </c>
      <c r="R18" s="197">
        <v>1124192.7109425867</v>
      </c>
      <c r="S18" s="198">
        <f t="shared" si="2"/>
        <v>2.8186501361484172E-2</v>
      </c>
      <c r="U18" s="43"/>
    </row>
    <row r="19" spans="1:21">
      <c r="A19" s="163" t="s">
        <v>69</v>
      </c>
      <c r="B19" s="162">
        <f>+'GSLD(T)-2'!C$60</f>
        <v>443206.55806448543</v>
      </c>
      <c r="C19" s="162">
        <f>+'GSLD(T)-2'!D$60</f>
        <v>417594.15614291467</v>
      </c>
      <c r="D19" s="162">
        <f>+'GSLD(T)-2'!E$60</f>
        <v>402827.38503525796</v>
      </c>
      <c r="E19" s="162">
        <f>+'GSLD(T)-2'!F$60</f>
        <v>410699.9199473515</v>
      </c>
      <c r="F19" s="162">
        <f>+'GSLD(T)-2'!G$60</f>
        <v>419217.19838487863</v>
      </c>
      <c r="G19" s="162">
        <f>+'GSLD(T)-2'!H$60</f>
        <v>434917.06197134714</v>
      </c>
      <c r="H19" s="162">
        <f>+'GSLD(T)-2'!I$60</f>
        <v>442108.0114029618</v>
      </c>
      <c r="I19" s="162">
        <f>+'GSLD(T)-2'!J$60</f>
        <v>437328.6236678444</v>
      </c>
      <c r="J19" s="162">
        <f>+'GSLD(T)-2'!K$60</f>
        <v>458553.90741364477</v>
      </c>
      <c r="K19" s="162">
        <f>+'GSLD(T)-2'!L$60</f>
        <v>439392.40734356863</v>
      </c>
      <c r="L19" s="162">
        <f>+'GSLD(T)-2'!M$60</f>
        <v>442887.55636423564</v>
      </c>
      <c r="M19" s="162">
        <f>+'GSLD(T)-2'!N$60</f>
        <v>443493.86154914979</v>
      </c>
      <c r="N19" s="162">
        <f t="shared" si="0"/>
        <v>5192226.6472876407</v>
      </c>
      <c r="O19" s="158">
        <f t="shared" si="1"/>
        <v>458553.90741364477</v>
      </c>
      <c r="P19" s="159">
        <f t="shared" si="3"/>
        <v>9.867082161968849E-3</v>
      </c>
      <c r="R19" s="197">
        <v>172999.84371528454</v>
      </c>
      <c r="S19" s="198">
        <f t="shared" si="2"/>
        <v>4.3375662223684806E-3</v>
      </c>
      <c r="U19" s="43"/>
    </row>
    <row r="20" spans="1:21">
      <c r="A20" s="163" t="s">
        <v>52</v>
      </c>
      <c r="B20" s="162">
        <f>+'GSLD(T)-3'!C$60</f>
        <v>34167.844540610349</v>
      </c>
      <c r="C20" s="162">
        <f>+'GSLD(T)-3'!D$60</f>
        <v>40441.026214514146</v>
      </c>
      <c r="D20" s="162">
        <f>+'GSLD(T)-3'!E$60</f>
        <v>35560.190467100452</v>
      </c>
      <c r="E20" s="162">
        <f>+'GSLD(T)-3'!F$60</f>
        <v>36901.464479298986</v>
      </c>
      <c r="F20" s="162">
        <f>+'GSLD(T)-3'!G$60</f>
        <v>37611.17914696956</v>
      </c>
      <c r="G20" s="162">
        <f>+'GSLD(T)-3'!H$60</f>
        <v>40798.709962277142</v>
      </c>
      <c r="H20" s="162">
        <f>+'GSLD(T)-3'!I$60</f>
        <v>32881.384867279623</v>
      </c>
      <c r="I20" s="162">
        <f>+'GSLD(T)-3'!J$60</f>
        <v>32098.219173590944</v>
      </c>
      <c r="J20" s="162">
        <f>+'GSLD(T)-3'!K$60</f>
        <v>32689.520478589446</v>
      </c>
      <c r="K20" s="162">
        <f>+'GSLD(T)-3'!L$60</f>
        <v>32229.541978275745</v>
      </c>
      <c r="L20" s="162">
        <f>+'GSLD(T)-3'!M$60</f>
        <v>33527.087689575899</v>
      </c>
      <c r="M20" s="162">
        <f>+'GSLD(T)-3'!N$60</f>
        <v>31748.717356108817</v>
      </c>
      <c r="N20" s="162">
        <f t="shared" si="0"/>
        <v>420654.88635419117</v>
      </c>
      <c r="O20" s="158">
        <f t="shared" si="1"/>
        <v>40798.709962277142</v>
      </c>
      <c r="P20" s="159">
        <f t="shared" si="3"/>
        <v>8.7789945040635546E-4</v>
      </c>
      <c r="R20" s="197">
        <v>52718.584247981082</v>
      </c>
      <c r="S20" s="198">
        <f t="shared" si="2"/>
        <v>1.321795126598295E-3</v>
      </c>
      <c r="U20" s="43"/>
    </row>
    <row r="21" spans="1:21">
      <c r="A21" s="163" t="s">
        <v>15</v>
      </c>
      <c r="B21" s="162">
        <f>+MET!C$60</f>
        <v>18821.246862617107</v>
      </c>
      <c r="C21" s="162">
        <f>+MET!D$60</f>
        <v>19320.058933636446</v>
      </c>
      <c r="D21" s="162">
        <f>+MET!E$60</f>
        <v>16302.285686353969</v>
      </c>
      <c r="E21" s="162">
        <f>+MET!F$60</f>
        <v>19104.954170370009</v>
      </c>
      <c r="F21" s="162">
        <f>+MET!G$60</f>
        <v>19010.901772942467</v>
      </c>
      <c r="G21" s="162">
        <f>+MET!H$60</f>
        <v>19938.383660276424</v>
      </c>
      <c r="H21" s="162">
        <f>+MET!I$60</f>
        <v>20781.392959935798</v>
      </c>
      <c r="I21" s="162">
        <f>+MET!J$60</f>
        <v>20306.942882983905</v>
      </c>
      <c r="J21" s="162">
        <f>+MET!K$60</f>
        <v>21066.861040148448</v>
      </c>
      <c r="K21" s="162">
        <f>+MET!L$60</f>
        <v>19958.347138652523</v>
      </c>
      <c r="L21" s="162">
        <f>+MET!M$60</f>
        <v>18718.040164284957</v>
      </c>
      <c r="M21" s="162">
        <f>+MET!N$60</f>
        <v>16577.434645652731</v>
      </c>
      <c r="N21" s="162">
        <f t="shared" si="0"/>
        <v>229906.84991785482</v>
      </c>
      <c r="O21" s="158">
        <f t="shared" si="1"/>
        <v>21066.861040148448</v>
      </c>
      <c r="P21" s="159">
        <f t="shared" si="3"/>
        <v>4.5331300293645669E-4</v>
      </c>
      <c r="R21" s="197">
        <v>23922.005479982858</v>
      </c>
      <c r="S21" s="198">
        <f t="shared" si="2"/>
        <v>5.997883045030742E-4</v>
      </c>
      <c r="U21" s="206"/>
    </row>
    <row r="22" spans="1:21">
      <c r="A22" s="163" t="s">
        <v>56</v>
      </c>
      <c r="B22" s="162">
        <f>+'OL-1'!C$60</f>
        <v>20030.382614304966</v>
      </c>
      <c r="C22" s="162">
        <f>+'OL-1'!D$60</f>
        <v>22300.539739684591</v>
      </c>
      <c r="D22" s="162">
        <f>+'OL-1'!E$60</f>
        <v>22166.857468195769</v>
      </c>
      <c r="E22" s="162">
        <f>+'OL-1'!F$60</f>
        <v>24386.522225613746</v>
      </c>
      <c r="F22" s="162">
        <f>+'OL-1'!G$60</f>
        <v>24971.420132177631</v>
      </c>
      <c r="G22" s="162">
        <f>+'OL-1'!H$60</f>
        <v>26551.240314943381</v>
      </c>
      <c r="H22" s="162">
        <f>+'OL-1'!I$60</f>
        <v>25343.530349764729</v>
      </c>
      <c r="I22" s="162">
        <f>+'OL-1'!J$60</f>
        <v>24121.165930629923</v>
      </c>
      <c r="J22" s="162">
        <f>+'OL-1'!K$60</f>
        <v>23375.783757907335</v>
      </c>
      <c r="K22" s="162">
        <f>+'OL-1'!L$60</f>
        <v>21230.276451726746</v>
      </c>
      <c r="L22" s="162">
        <f>+'OL-1'!M$60</f>
        <v>20848.657785221396</v>
      </c>
      <c r="M22" s="162">
        <f>+'OL-1'!N$60</f>
        <v>19692.482037405021</v>
      </c>
      <c r="N22" s="162">
        <f t="shared" si="0"/>
        <v>275018.85880757525</v>
      </c>
      <c r="O22" s="158">
        <f t="shared" si="1"/>
        <v>26551.240314943381</v>
      </c>
      <c r="P22" s="159">
        <f t="shared" si="3"/>
        <v>5.7132490957797122E-4</v>
      </c>
      <c r="R22" s="197">
        <v>27424.432034561854</v>
      </c>
      <c r="S22" s="198">
        <f t="shared" si="2"/>
        <v>6.8760345388824129E-4</v>
      </c>
      <c r="U22" s="43"/>
    </row>
    <row r="23" spans="1:21">
      <c r="A23" s="163" t="s">
        <v>57</v>
      </c>
      <c r="B23" s="162">
        <f>+'OS-2'!C$60</f>
        <v>12106.630658432199</v>
      </c>
      <c r="C23" s="162">
        <f>+'OS-2'!D$60</f>
        <v>13566.990337901774</v>
      </c>
      <c r="D23" s="162">
        <f>+'OS-2'!E$60</f>
        <v>15043.046684091218</v>
      </c>
      <c r="E23" s="162">
        <f>+'OS-2'!F$60</f>
        <v>14276.193879351697</v>
      </c>
      <c r="F23" s="162">
        <f>+'OS-2'!G$60</f>
        <v>13896.293991349627</v>
      </c>
      <c r="G23" s="162">
        <f>+'OS-2'!H$60</f>
        <v>12165.199549564923</v>
      </c>
      <c r="H23" s="162">
        <f>+'OS-2'!I$60</f>
        <v>9455.9282222220281</v>
      </c>
      <c r="I23" s="162">
        <f>+'OS-2'!J$60</f>
        <v>10073.238108101292</v>
      </c>
      <c r="J23" s="162">
        <f>+'OS-2'!K$60</f>
        <v>14557.445670447492</v>
      </c>
      <c r="K23" s="162">
        <f>+'OS-2'!L$60</f>
        <v>12957.09754889002</v>
      </c>
      <c r="L23" s="162">
        <f>+'OS-2'!M$60</f>
        <v>15008.292596672609</v>
      </c>
      <c r="M23" s="162">
        <f>+'OS-2'!N$60</f>
        <v>14021.329135272987</v>
      </c>
      <c r="N23" s="162">
        <f t="shared" si="0"/>
        <v>157127.68638229783</v>
      </c>
      <c r="O23" s="158">
        <f t="shared" si="1"/>
        <v>15043.046684091218</v>
      </c>
      <c r="P23" s="159">
        <f t="shared" si="3"/>
        <v>3.2369362728898725E-4</v>
      </c>
      <c r="R23" s="197">
        <v>17364.747674030845</v>
      </c>
      <c r="S23" s="198">
        <f t="shared" si="2"/>
        <v>4.3538041048630865E-4</v>
      </c>
      <c r="U23" s="43"/>
    </row>
    <row r="24" spans="1:21">
      <c r="A24" s="163" t="s">
        <v>48</v>
      </c>
      <c r="B24" s="162">
        <f>+'RS(T)-1'!C$60</f>
        <v>32895763.962227426</v>
      </c>
      <c r="C24" s="162">
        <f>+'RS(T)-1'!D$60</f>
        <v>30157812.637330309</v>
      </c>
      <c r="D24" s="162">
        <f>+'RS(T)-1'!E$60</f>
        <v>27156389.278709557</v>
      </c>
      <c r="E24" s="162">
        <f>+'RS(T)-1'!F$60</f>
        <v>24265828.037870485</v>
      </c>
      <c r="F24" s="162">
        <f>+'RS(T)-1'!G$60</f>
        <v>24292334.635005925</v>
      </c>
      <c r="G24" s="162">
        <f>+'RS(T)-1'!H$60</f>
        <v>25639424.792793684</v>
      </c>
      <c r="H24" s="162">
        <f>+'RS(T)-1'!I$60</f>
        <v>26110494.910559721</v>
      </c>
      <c r="I24" s="162">
        <f>+'RS(T)-1'!J$60</f>
        <v>25806215.217712793</v>
      </c>
      <c r="J24" s="162">
        <f>+'RS(T)-1'!K$60</f>
        <v>27679268.903883524</v>
      </c>
      <c r="K24" s="162">
        <f>+'RS(T)-1'!L$60</f>
        <v>27210483.979959015</v>
      </c>
      <c r="L24" s="162">
        <f>+'RS(T)-1'!M$60</f>
        <v>29864632.000071343</v>
      </c>
      <c r="M24" s="162">
        <f>+'RS(T)-1'!N$60</f>
        <v>28665045.154029503</v>
      </c>
      <c r="N24" s="162">
        <f t="shared" si="0"/>
        <v>329743693.51015329</v>
      </c>
      <c r="O24" s="158">
        <f t="shared" si="1"/>
        <v>32895763.962227426</v>
      </c>
      <c r="P24" s="159">
        <f t="shared" si="3"/>
        <v>0.70784525123070308</v>
      </c>
      <c r="R24" s="197">
        <v>29299549.913602639</v>
      </c>
      <c r="S24" s="198">
        <f t="shared" si="2"/>
        <v>0.73461764650492478</v>
      </c>
      <c r="U24" s="43"/>
    </row>
    <row r="25" spans="1:21">
      <c r="A25" s="163" t="s">
        <v>53</v>
      </c>
      <c r="B25" s="162">
        <f>+'SL-1'!C$60</f>
        <v>117255.11378672396</v>
      </c>
      <c r="C25" s="162">
        <f>+'SL-1'!D$60</f>
        <v>121114.28883906103</v>
      </c>
      <c r="D25" s="162">
        <f>+'SL-1'!E$60</f>
        <v>121146.36620608423</v>
      </c>
      <c r="E25" s="162">
        <f>+'SL-1'!F$60</f>
        <v>137431.01478214009</v>
      </c>
      <c r="F25" s="162">
        <f>+'SL-1'!G$60</f>
        <v>140367.07971371114</v>
      </c>
      <c r="G25" s="162">
        <f>+'SL-1'!H$60</f>
        <v>141322.2820267452</v>
      </c>
      <c r="H25" s="162">
        <f>+'SL-1'!I$60</f>
        <v>139614.79998537476</v>
      </c>
      <c r="I25" s="162">
        <f>+'SL-1'!J$60</f>
        <v>151424.30634080211</v>
      </c>
      <c r="J25" s="162">
        <f>+'SL-1'!K$60</f>
        <v>130311.54279554907</v>
      </c>
      <c r="K25" s="162">
        <f>+'SL-1'!L$60</f>
        <v>111683.58295983166</v>
      </c>
      <c r="L25" s="162">
        <f>+'SL-1'!M$60</f>
        <v>108584.53124152191</v>
      </c>
      <c r="M25" s="162">
        <f>+'SL-1'!N$60</f>
        <v>117789.13973260531</v>
      </c>
      <c r="N25" s="162">
        <f t="shared" si="0"/>
        <v>1538044.0484101505</v>
      </c>
      <c r="O25" s="158">
        <f t="shared" si="1"/>
        <v>151424.30634080211</v>
      </c>
      <c r="P25" s="333">
        <f t="shared" si="3"/>
        <v>3.2583215360894248E-3</v>
      </c>
      <c r="R25" s="197">
        <v>135131.28458759366</v>
      </c>
      <c r="S25" s="198">
        <f t="shared" si="2"/>
        <v>3.3881007232414231E-3</v>
      </c>
      <c r="U25" s="43"/>
    </row>
    <row r="26" spans="1:21">
      <c r="A26" s="163" t="s">
        <v>55</v>
      </c>
      <c r="B26" s="162">
        <f>+'SL-2'!C$60</f>
        <v>3547.14617263438</v>
      </c>
      <c r="C26" s="162">
        <f>+'SL-2'!D$60</f>
        <v>3801.5273754637124</v>
      </c>
      <c r="D26" s="162">
        <f>+'SL-2'!E$60</f>
        <v>3570.7796747896041</v>
      </c>
      <c r="E26" s="162">
        <f>+'SL-2'!F$60</f>
        <v>3688.905695682176</v>
      </c>
      <c r="F26" s="162">
        <f>+'SL-2'!G$60</f>
        <v>3581.5188575220513</v>
      </c>
      <c r="G26" s="162">
        <f>+'SL-2'!H$60</f>
        <v>3711.5033153802701</v>
      </c>
      <c r="H26" s="162">
        <f>+'SL-2'!I$60</f>
        <v>3596.3568242886977</v>
      </c>
      <c r="I26" s="162">
        <f>+'SL-2'!J$60</f>
        <v>3604.1318817441688</v>
      </c>
      <c r="J26" s="162">
        <f>+'SL-2'!K$60</f>
        <v>3726.4562890058628</v>
      </c>
      <c r="K26" s="162">
        <f>+'SL-2'!L$60</f>
        <v>3616.4355711845537</v>
      </c>
      <c r="L26" s="162">
        <f>+'SL-2'!M$60</f>
        <v>3751.8722899392988</v>
      </c>
      <c r="M26" s="162">
        <f>+'SL-2'!N$60</f>
        <v>3627.3765909684826</v>
      </c>
      <c r="N26" s="162">
        <f t="shared" si="0"/>
        <v>43824.010538603259</v>
      </c>
      <c r="O26" s="158">
        <f t="shared" si="1"/>
        <v>3801.5273754637124</v>
      </c>
      <c r="P26" s="159">
        <f t="shared" si="3"/>
        <v>8.1800596065661398E-5</v>
      </c>
      <c r="R26" s="197">
        <v>4506.3056390642214</v>
      </c>
      <c r="S26" s="198">
        <f t="shared" si="2"/>
        <v>1.1298506812435143E-4</v>
      </c>
      <c r="U26" s="43"/>
    </row>
    <row r="27" spans="1:21">
      <c r="A27" s="163" t="s">
        <v>87</v>
      </c>
      <c r="B27" s="162">
        <f>+'SST-1D'!C$60</f>
        <v>2593.5189042567204</v>
      </c>
      <c r="C27" s="162">
        <f>+'SST-1D'!D$60</f>
        <v>4050.1324098944556</v>
      </c>
      <c r="D27" s="162">
        <f>+'SST-1D'!E$60</f>
        <v>2074.4309236034824</v>
      </c>
      <c r="E27" s="162">
        <f>+'SST-1D'!F$60</f>
        <v>4502.7040479529442</v>
      </c>
      <c r="F27" s="162">
        <f>+'SST-1D'!G$60</f>
        <v>4384.7171398394057</v>
      </c>
      <c r="G27" s="162">
        <f>+'SST-1D'!H$60</f>
        <v>4269.2452020184992</v>
      </c>
      <c r="H27" s="162">
        <f>+'SST-1D'!I$60</f>
        <v>3783.8880214331334</v>
      </c>
      <c r="I27" s="162">
        <f>+'SST-1D'!J$60</f>
        <v>4125.9206866137783</v>
      </c>
      <c r="J27" s="162">
        <f>+'SST-1D'!K$60</f>
        <v>4196.8912214794764</v>
      </c>
      <c r="K27" s="162">
        <f>+'SST-1D'!L$60</f>
        <v>7191.7662933466345</v>
      </c>
      <c r="L27" s="162">
        <f>+'SST-1D'!M$60</f>
        <v>9915.8901043602818</v>
      </c>
      <c r="M27" s="162">
        <f>+'SST-1D'!N$60</f>
        <v>3484.258878399472</v>
      </c>
      <c r="N27" s="162">
        <f t="shared" si="0"/>
        <v>54573.363833198287</v>
      </c>
      <c r="O27" s="158">
        <f t="shared" si="1"/>
        <v>9915.8901043602818</v>
      </c>
      <c r="P27" s="159">
        <f t="shared" si="3"/>
        <v>2.1336837564120471E-4</v>
      </c>
      <c r="R27" s="197">
        <v>2860.7895039685072</v>
      </c>
      <c r="S27" s="198">
        <f t="shared" si="2"/>
        <v>7.1727601917040068E-5</v>
      </c>
      <c r="U27" s="43"/>
    </row>
    <row r="28" spans="1:21">
      <c r="A28" s="163" t="s">
        <v>88</v>
      </c>
      <c r="B28" s="162">
        <f>+'SST-1T'!C$60</f>
        <v>77165.349050049161</v>
      </c>
      <c r="C28" s="162">
        <f>+'SST-1T'!D$60</f>
        <v>76603.989689428869</v>
      </c>
      <c r="D28" s="162">
        <f>+'SST-1T'!E$60</f>
        <v>126194.63538322384</v>
      </c>
      <c r="E28" s="162">
        <f>+'SST-1T'!F$60</f>
        <v>85236.757496452658</v>
      </c>
      <c r="F28" s="162">
        <f>+'SST-1T'!G$60</f>
        <v>130358.62287063993</v>
      </c>
      <c r="G28" s="162">
        <f>+'SST-1T'!H$60</f>
        <v>93864.854941203899</v>
      </c>
      <c r="H28" s="162">
        <f>+'SST-1T'!I$60</f>
        <v>69829.322856681159</v>
      </c>
      <c r="I28" s="162">
        <f>+'SST-1T'!J$60</f>
        <v>81030.196231143462</v>
      </c>
      <c r="J28" s="162">
        <f>+'SST-1T'!K$60</f>
        <v>54470.549108778629</v>
      </c>
      <c r="K28" s="162">
        <f>+'SST-1T'!L$60</f>
        <v>75766.052788883608</v>
      </c>
      <c r="L28" s="162">
        <f>+'SST-1T'!M$60</f>
        <v>143697.99467250583</v>
      </c>
      <c r="M28" s="162">
        <f>+'SST-1T'!N$60</f>
        <v>68168.578564909767</v>
      </c>
      <c r="N28" s="162">
        <f t="shared" si="0"/>
        <v>1082386.9036539008</v>
      </c>
      <c r="O28" s="158">
        <f t="shared" si="1"/>
        <v>143697.99467250583</v>
      </c>
      <c r="P28" s="159">
        <f t="shared" si="3"/>
        <v>3.0920681233335542E-3</v>
      </c>
      <c r="R28" s="197">
        <v>143585.07499380058</v>
      </c>
      <c r="S28" s="198">
        <f t="shared" si="2"/>
        <v>3.6000597338940211E-3</v>
      </c>
      <c r="U28" s="43"/>
    </row>
    <row r="29" spans="1:21">
      <c r="O29" s="164"/>
      <c r="R29" s="199"/>
      <c r="S29" s="199"/>
    </row>
    <row r="30" spans="1:21">
      <c r="A30" s="126" t="s">
        <v>453</v>
      </c>
      <c r="B30" s="161">
        <f t="shared" ref="B30:O30" si="4">SUM(B12:B29)</f>
        <v>44516375.788412929</v>
      </c>
      <c r="C30" s="161">
        <f t="shared" si="4"/>
        <v>41092022.799628749</v>
      </c>
      <c r="D30" s="161">
        <f t="shared" si="4"/>
        <v>37774389.688776374</v>
      </c>
      <c r="E30" s="161">
        <f t="shared" si="4"/>
        <v>35037257.812251426</v>
      </c>
      <c r="F30" s="161">
        <f t="shared" si="4"/>
        <v>35512716.025873683</v>
      </c>
      <c r="G30" s="161">
        <f t="shared" si="4"/>
        <v>37584958.777558416</v>
      </c>
      <c r="H30" s="161">
        <f t="shared" si="4"/>
        <v>37751564.96662154</v>
      </c>
      <c r="I30" s="161">
        <f t="shared" si="4"/>
        <v>37424172.304999158</v>
      </c>
      <c r="J30" s="161">
        <f t="shared" si="4"/>
        <v>39811764.675752595</v>
      </c>
      <c r="K30" s="161">
        <f t="shared" si="4"/>
        <v>38662091.055236183</v>
      </c>
      <c r="L30" s="161">
        <f t="shared" si="4"/>
        <v>41439048.873423494</v>
      </c>
      <c r="M30" s="161">
        <f t="shared" si="4"/>
        <v>39963034.858400166</v>
      </c>
      <c r="N30" s="161">
        <f t="shared" si="4"/>
        <v>466569397.62693471</v>
      </c>
      <c r="O30" s="161">
        <f t="shared" si="4"/>
        <v>45156272.154571339</v>
      </c>
      <c r="P30" s="159">
        <f>+O30/$O$45</f>
        <v>0.97166470566231045</v>
      </c>
      <c r="Q30" s="126"/>
      <c r="R30" s="200">
        <f>SUM(R12:R29)</f>
        <v>39653997.674208373</v>
      </c>
      <c r="S30" s="198">
        <f>+R30/$R$45</f>
        <v>0.99423119235065616</v>
      </c>
    </row>
    <row r="31" spans="1:21">
      <c r="A31" s="125"/>
      <c r="O31" s="157"/>
      <c r="P31" s="125"/>
      <c r="Q31" s="125"/>
      <c r="R31" s="201"/>
      <c r="S31" s="202"/>
    </row>
    <row r="32" spans="1:21">
      <c r="A32" s="42" t="s">
        <v>86</v>
      </c>
      <c r="O32" s="157"/>
      <c r="P32" s="125"/>
      <c r="Q32" s="125"/>
      <c r="R32" s="201"/>
      <c r="S32" s="202"/>
    </row>
    <row r="33" spans="1:19">
      <c r="A33" s="163" t="s">
        <v>1055</v>
      </c>
      <c r="B33" s="336">
        <f>BLOUNTSTOWN!C55</f>
        <v>9000</v>
      </c>
      <c r="C33" s="336">
        <f>BLOUNTSTOWN!D55</f>
        <v>9000</v>
      </c>
      <c r="D33" s="336">
        <f>BLOUNTSTOWN!E55</f>
        <v>9000</v>
      </c>
      <c r="E33" s="336">
        <f>BLOUNTSTOWN!F55</f>
        <v>9000</v>
      </c>
      <c r="F33" s="336">
        <f>BLOUNTSTOWN!G55</f>
        <v>9000</v>
      </c>
      <c r="G33" s="336">
        <f>BLOUNTSTOWN!H55</f>
        <v>9000</v>
      </c>
      <c r="H33" s="336">
        <f>BLOUNTSTOWN!I55</f>
        <v>9000</v>
      </c>
      <c r="I33" s="336">
        <f>BLOUNTSTOWN!J55</f>
        <v>9000</v>
      </c>
      <c r="J33" s="336">
        <f>BLOUNTSTOWN!K55</f>
        <v>9000</v>
      </c>
      <c r="K33" s="336">
        <f>BLOUNTSTOWN!L55</f>
        <v>9000</v>
      </c>
      <c r="L33" s="336">
        <f>BLOUNTSTOWN!M55</f>
        <v>9000</v>
      </c>
      <c r="M33" s="336">
        <f>BLOUNTSTOWN!N55</f>
        <v>9000</v>
      </c>
      <c r="N33" s="162">
        <f t="shared" ref="N33:N39" si="5">SUM(B33:M33)</f>
        <v>108000</v>
      </c>
      <c r="O33" s="158">
        <f t="shared" ref="O33:O38" si="6">MAX(B33:M33)</f>
        <v>9000</v>
      </c>
      <c r="P33" s="159">
        <f t="shared" ref="P33:P38" si="7">+O33/$O$45</f>
        <v>1.936604137964809E-4</v>
      </c>
      <c r="R33" s="203">
        <f>191652.593101914-45000</f>
        <v>146652.59310191401</v>
      </c>
      <c r="S33" s="198">
        <f t="shared" ref="S33:S38" si="8">+R33/$R$45</f>
        <v>3.6769705717682693E-3</v>
      </c>
    </row>
    <row r="34" spans="1:19">
      <c r="A34" s="163" t="s">
        <v>485</v>
      </c>
      <c r="B34" s="336">
        <f>FKEC!C55</f>
        <v>125878.30577434346</v>
      </c>
      <c r="C34" s="336">
        <f>FKEC!D55</f>
        <v>124505.42302944943</v>
      </c>
      <c r="D34" s="336">
        <f>FKEC!E55</f>
        <v>131765.55744172979</v>
      </c>
      <c r="E34" s="336">
        <f>FKEC!F55</f>
        <v>136962.79530378565</v>
      </c>
      <c r="F34" s="336">
        <f>FKEC!G55</f>
        <v>149960.02471113132</v>
      </c>
      <c r="G34" s="336">
        <f>FKEC!H55</f>
        <v>153382.74370739752</v>
      </c>
      <c r="H34" s="336">
        <f>FKEC!I55</f>
        <v>162070</v>
      </c>
      <c r="I34" s="336">
        <f>FKEC!J55</f>
        <v>160503.3728667628</v>
      </c>
      <c r="J34" s="336">
        <f>FKEC!K55</f>
        <v>151484.74068575026</v>
      </c>
      <c r="K34" s="336">
        <f>FKEC!L55</f>
        <v>136856.12107480227</v>
      </c>
      <c r="L34" s="336">
        <f>FKEC!M55</f>
        <v>122272.97665196148</v>
      </c>
      <c r="M34" s="336">
        <f>FKEC!N55</f>
        <v>126908.89560296378</v>
      </c>
      <c r="N34" s="162">
        <f t="shared" si="5"/>
        <v>1682550.9568500777</v>
      </c>
      <c r="O34" s="158">
        <f t="shared" si="6"/>
        <v>162070</v>
      </c>
      <c r="P34" s="159">
        <f t="shared" si="7"/>
        <v>3.4873936959995177E-3</v>
      </c>
      <c r="Q34" s="125"/>
      <c r="R34" s="203">
        <v>45000</v>
      </c>
      <c r="S34" s="198">
        <f t="shared" si="8"/>
        <v>1.1282696898143876E-3</v>
      </c>
    </row>
    <row r="35" spans="1:19">
      <c r="A35" s="163" t="s">
        <v>1057</v>
      </c>
      <c r="B35" s="336">
        <f>HOMESTEAD!C55</f>
        <v>18000</v>
      </c>
      <c r="C35" s="336">
        <f>HOMESTEAD!D55</f>
        <v>0</v>
      </c>
      <c r="D35" s="336">
        <f>HOMESTEAD!E55</f>
        <v>0</v>
      </c>
      <c r="E35" s="336">
        <f>HOMESTEAD!F55</f>
        <v>0</v>
      </c>
      <c r="F35" s="336">
        <f>HOMESTEAD!G55</f>
        <v>0</v>
      </c>
      <c r="G35" s="336">
        <f>HOMESTEAD!H55</f>
        <v>0</v>
      </c>
      <c r="H35" s="336">
        <f>HOMESTEAD!I55</f>
        <v>0</v>
      </c>
      <c r="I35" s="336">
        <f>HOMESTEAD!J55</f>
        <v>18000</v>
      </c>
      <c r="J35" s="336">
        <f>HOMESTEAD!K55</f>
        <v>0</v>
      </c>
      <c r="K35" s="336">
        <f>HOMESTEAD!L55</f>
        <v>0</v>
      </c>
      <c r="L35" s="336">
        <f>HOMESTEAD!M55</f>
        <v>0</v>
      </c>
      <c r="M35" s="336">
        <f>HOMESTEAD!N55</f>
        <v>0</v>
      </c>
      <c r="N35" s="162">
        <f t="shared" si="5"/>
        <v>36000</v>
      </c>
      <c r="O35" s="158">
        <f t="shared" si="6"/>
        <v>18000</v>
      </c>
      <c r="P35" s="159">
        <f t="shared" si="7"/>
        <v>3.873208275929618E-4</v>
      </c>
      <c r="Q35" s="125"/>
      <c r="R35" s="203">
        <v>45000</v>
      </c>
      <c r="S35" s="198">
        <f t="shared" si="8"/>
        <v>1.1282696898143876E-3</v>
      </c>
    </row>
    <row r="36" spans="1:19">
      <c r="A36" s="163" t="s">
        <v>487</v>
      </c>
      <c r="B36" s="336">
        <f>LCEC!C56</f>
        <v>751351</v>
      </c>
      <c r="C36" s="336">
        <f>LCEC!D56</f>
        <v>672007</v>
      </c>
      <c r="D36" s="336">
        <f>LCEC!E56</f>
        <v>618802</v>
      </c>
      <c r="E36" s="336">
        <f>LCEC!F56</f>
        <v>628268</v>
      </c>
      <c r="F36" s="336">
        <f>LCEC!G56</f>
        <v>717500</v>
      </c>
      <c r="G36" s="336">
        <f>LCEC!H56</f>
        <v>773832</v>
      </c>
      <c r="H36" s="336">
        <f>LCEC!I56</f>
        <v>778453</v>
      </c>
      <c r="I36" s="336">
        <f>LCEC!J56</f>
        <v>790759</v>
      </c>
      <c r="J36" s="336">
        <f>LCEC!K56</f>
        <v>755733</v>
      </c>
      <c r="K36" s="336">
        <f>LCEC!L56</f>
        <v>710798</v>
      </c>
      <c r="L36" s="336">
        <f>LCEC!M56</f>
        <v>584560</v>
      </c>
      <c r="M36" s="336">
        <f>LCEC!N56</f>
        <v>552739</v>
      </c>
      <c r="N36" s="162">
        <f t="shared" si="5"/>
        <v>8334802</v>
      </c>
      <c r="O36" s="158">
        <f t="shared" si="6"/>
        <v>790759</v>
      </c>
      <c r="P36" s="159">
        <f t="shared" si="7"/>
        <v>1.7015412794810159E-2</v>
      </c>
      <c r="Q36" s="125"/>
      <c r="R36" s="197">
        <v>1314</v>
      </c>
      <c r="S36" s="198">
        <f t="shared" si="8"/>
        <v>3.2945474942580114E-5</v>
      </c>
    </row>
    <row r="37" spans="1:19">
      <c r="A37" s="163" t="s">
        <v>1053</v>
      </c>
      <c r="B37" s="336">
        <f>'NEW SMYRNA'!C55</f>
        <v>40000</v>
      </c>
      <c r="C37" s="336">
        <f>'NEW SMYRNA'!D55</f>
        <v>40000</v>
      </c>
      <c r="D37" s="336">
        <f>'NEW SMYRNA'!E55</f>
        <v>25000</v>
      </c>
      <c r="E37" s="336">
        <f>'NEW SMYRNA'!F55</f>
        <v>20000</v>
      </c>
      <c r="F37" s="336">
        <f>'NEW SMYRNA'!G55</f>
        <v>30000</v>
      </c>
      <c r="G37" s="336">
        <f>'NEW SMYRNA'!H55</f>
        <v>40000</v>
      </c>
      <c r="H37" s="336">
        <f>'NEW SMYRNA'!I55</f>
        <v>45000</v>
      </c>
      <c r="I37" s="336">
        <f>'NEW SMYRNA'!J55</f>
        <v>45000</v>
      </c>
      <c r="J37" s="336">
        <f>'NEW SMYRNA'!K55</f>
        <v>35000</v>
      </c>
      <c r="K37" s="336">
        <f>'NEW SMYRNA'!L55</f>
        <v>25000</v>
      </c>
      <c r="L37" s="336">
        <f>'NEW SMYRNA'!M55</f>
        <v>20000</v>
      </c>
      <c r="M37" s="336">
        <f>'NEW SMYRNA'!N55</f>
        <v>25000</v>
      </c>
      <c r="N37" s="162">
        <f t="shared" si="5"/>
        <v>390000</v>
      </c>
      <c r="O37" s="158">
        <f t="shared" si="6"/>
        <v>45000</v>
      </c>
      <c r="P37" s="159">
        <f t="shared" si="7"/>
        <v>9.6830206898240452E-4</v>
      </c>
      <c r="Q37" s="125"/>
      <c r="R37" s="197">
        <v>0</v>
      </c>
      <c r="S37" s="198">
        <f t="shared" si="8"/>
        <v>0</v>
      </c>
    </row>
    <row r="38" spans="1:19">
      <c r="A38" s="163" t="s">
        <v>1058</v>
      </c>
      <c r="B38" s="336">
        <f>QUINCY!C55</f>
        <v>19000</v>
      </c>
      <c r="C38" s="336">
        <f>QUINCY!D55</f>
        <v>0</v>
      </c>
      <c r="D38" s="336">
        <f>QUINCY!E55</f>
        <v>0</v>
      </c>
      <c r="E38" s="336">
        <f>QUINCY!F55</f>
        <v>0</v>
      </c>
      <c r="F38" s="336">
        <f>QUINCY!G55</f>
        <v>0</v>
      </c>
      <c r="G38" s="336">
        <f>QUINCY!H55</f>
        <v>0</v>
      </c>
      <c r="H38" s="336">
        <f>QUINCY!I55</f>
        <v>0</v>
      </c>
      <c r="I38" s="336">
        <f>QUINCY!J55</f>
        <v>19000</v>
      </c>
      <c r="J38" s="336">
        <f>QUINCY!K55</f>
        <v>0</v>
      </c>
      <c r="K38" s="336">
        <f>QUINCY!L55</f>
        <v>0</v>
      </c>
      <c r="L38" s="336">
        <f>QUINCY!M55</f>
        <v>0</v>
      </c>
      <c r="M38" s="336">
        <f>QUINCY!N55</f>
        <v>0</v>
      </c>
      <c r="N38" s="162">
        <f t="shared" si="5"/>
        <v>38000</v>
      </c>
      <c r="O38" s="158">
        <f t="shared" si="6"/>
        <v>19000</v>
      </c>
      <c r="P38" s="159">
        <f t="shared" si="7"/>
        <v>4.0883865134812633E-4</v>
      </c>
      <c r="Q38" s="125"/>
      <c r="R38" s="197">
        <v>1</v>
      </c>
      <c r="S38" s="198">
        <f t="shared" si="8"/>
        <v>2.5072659773653056E-8</v>
      </c>
    </row>
    <row r="39" spans="1:19">
      <c r="A39" s="163" t="s">
        <v>489</v>
      </c>
      <c r="B39" s="336">
        <f>SEMINOLE!C56</f>
        <v>200000</v>
      </c>
      <c r="C39" s="336">
        <f>SEMINOLE!D56</f>
        <v>200000</v>
      </c>
      <c r="D39" s="336">
        <f>SEMINOLE!E56</f>
        <v>200000</v>
      </c>
      <c r="E39" s="336">
        <f>SEMINOLE!F56</f>
        <v>200000</v>
      </c>
      <c r="F39" s="336">
        <f>SEMINOLE!G56</f>
        <v>200000</v>
      </c>
      <c r="G39" s="336">
        <f>SEMINOLE!H56</f>
        <v>200000</v>
      </c>
      <c r="H39" s="336">
        <f>SEMINOLE!I56</f>
        <v>200000</v>
      </c>
      <c r="I39" s="336">
        <f>SEMINOLE!J56</f>
        <v>200000</v>
      </c>
      <c r="J39" s="336">
        <f>SEMINOLE!K56</f>
        <v>200000</v>
      </c>
      <c r="K39" s="336">
        <f>SEMINOLE!L56</f>
        <v>200000</v>
      </c>
      <c r="L39" s="336">
        <f>SEMINOLE!M56</f>
        <v>200000</v>
      </c>
      <c r="M39" s="336">
        <f>SEMINOLE!N56</f>
        <v>200000</v>
      </c>
      <c r="N39" s="162">
        <f t="shared" si="5"/>
        <v>2400000</v>
      </c>
      <c r="O39" s="158">
        <f t="shared" ref="O39:O41" si="9">MAX(B39:M39)</f>
        <v>200000</v>
      </c>
      <c r="P39" s="159">
        <f t="shared" ref="P39:P41" si="10">+O39/$O$45</f>
        <v>4.3035647510329088E-3</v>
      </c>
      <c r="Q39" s="125"/>
      <c r="R39" s="197">
        <v>-1314</v>
      </c>
      <c r="S39" s="198">
        <f t="shared" ref="S39:S41" si="11">+R39/$R$45</f>
        <v>-3.2945474942580114E-5</v>
      </c>
    </row>
    <row r="40" spans="1:19">
      <c r="A40" s="163" t="s">
        <v>1054</v>
      </c>
      <c r="B40" s="336">
        <f>WAUCHULA!C55</f>
        <v>13000</v>
      </c>
      <c r="C40" s="336">
        <f>WAUCHULA!D55</f>
        <v>13000</v>
      </c>
      <c r="D40" s="336">
        <f>WAUCHULA!E55</f>
        <v>13000</v>
      </c>
      <c r="E40" s="336">
        <f>WAUCHULA!F55</f>
        <v>13000</v>
      </c>
      <c r="F40" s="336">
        <f>WAUCHULA!G55</f>
        <v>13000</v>
      </c>
      <c r="G40" s="336">
        <f>WAUCHULA!H55</f>
        <v>13000</v>
      </c>
      <c r="H40" s="336">
        <f>WAUCHULA!I55</f>
        <v>13000</v>
      </c>
      <c r="I40" s="336">
        <f>WAUCHULA!J55</f>
        <v>13000</v>
      </c>
      <c r="J40" s="336">
        <f>WAUCHULA!K55</f>
        <v>13000</v>
      </c>
      <c r="K40" s="336">
        <f>WAUCHULA!L55</f>
        <v>13000</v>
      </c>
      <c r="L40" s="336">
        <f>WAUCHULA!M55</f>
        <v>13000</v>
      </c>
      <c r="M40" s="336">
        <f>WAUCHULA!N55</f>
        <v>13000</v>
      </c>
      <c r="N40" s="162">
        <f t="shared" ref="N40:N41" si="12">SUM(B40:M40)</f>
        <v>156000</v>
      </c>
      <c r="O40" s="158">
        <f t="shared" si="9"/>
        <v>13000</v>
      </c>
      <c r="P40" s="159">
        <f t="shared" si="10"/>
        <v>2.7973170881713907E-4</v>
      </c>
      <c r="Q40" s="125"/>
      <c r="R40" s="197">
        <v>-2628</v>
      </c>
      <c r="S40" s="198">
        <f t="shared" si="11"/>
        <v>-6.5890949885160228E-5</v>
      </c>
    </row>
    <row r="41" spans="1:19">
      <c r="A41" s="163" t="s">
        <v>1056</v>
      </c>
      <c r="B41" s="336">
        <f>'WINTER PARK'!C55</f>
        <v>60000</v>
      </c>
      <c r="C41" s="336">
        <f>'WINTER PARK'!D55</f>
        <v>60000</v>
      </c>
      <c r="D41" s="336">
        <f>'WINTER PARK'!E55</f>
        <v>60000</v>
      </c>
      <c r="E41" s="336">
        <f>'WINTER PARK'!F55</f>
        <v>60000</v>
      </c>
      <c r="F41" s="336">
        <f>'WINTER PARK'!G55</f>
        <v>60000</v>
      </c>
      <c r="G41" s="336">
        <f>'WINTER PARK'!H55</f>
        <v>60000</v>
      </c>
      <c r="H41" s="336">
        <f>'WINTER PARK'!I55</f>
        <v>60000</v>
      </c>
      <c r="I41" s="336">
        <f>'WINTER PARK'!J55</f>
        <v>60000</v>
      </c>
      <c r="J41" s="336">
        <f>'WINTER PARK'!K55</f>
        <v>60000</v>
      </c>
      <c r="K41" s="336">
        <f>'WINTER PARK'!L55</f>
        <v>60000</v>
      </c>
      <c r="L41" s="336">
        <f>'WINTER PARK'!M55</f>
        <v>60000</v>
      </c>
      <c r="M41" s="336">
        <f>'WINTER PARK'!N55</f>
        <v>60000</v>
      </c>
      <c r="N41" s="162">
        <f t="shared" si="12"/>
        <v>720000</v>
      </c>
      <c r="O41" s="158">
        <f t="shared" si="9"/>
        <v>60000</v>
      </c>
      <c r="P41" s="159">
        <f t="shared" si="10"/>
        <v>1.2910694253098728E-3</v>
      </c>
      <c r="Q41" s="125"/>
      <c r="R41" s="197">
        <v>-3942</v>
      </c>
      <c r="S41" s="198">
        <f t="shared" si="11"/>
        <v>-9.8836424827740356E-5</v>
      </c>
    </row>
    <row r="42" spans="1:19">
      <c r="A42" s="195"/>
      <c r="B42" s="156"/>
      <c r="C42" s="156"/>
      <c r="D42" s="156"/>
      <c r="E42" s="156"/>
      <c r="F42" s="156"/>
      <c r="G42" s="156"/>
      <c r="H42" s="156"/>
      <c r="I42" s="156"/>
      <c r="J42" s="156"/>
      <c r="K42" s="156"/>
      <c r="L42" s="156"/>
      <c r="M42" s="156"/>
      <c r="N42" s="156"/>
      <c r="O42" s="112"/>
      <c r="Q42" s="112"/>
      <c r="R42" s="197"/>
      <c r="S42" s="198"/>
    </row>
    <row r="43" spans="1:19" s="126" customFormat="1">
      <c r="A43" s="126" t="s">
        <v>509</v>
      </c>
      <c r="B43" s="161">
        <f t="shared" ref="B43:O43" si="13">SUM(B33:B42)</f>
        <v>1236229.3057743434</v>
      </c>
      <c r="C43" s="161">
        <f t="shared" si="13"/>
        <v>1118512.4230294493</v>
      </c>
      <c r="D43" s="161">
        <f t="shared" si="13"/>
        <v>1057567.5574417298</v>
      </c>
      <c r="E43" s="161">
        <f t="shared" si="13"/>
        <v>1067230.7953037857</v>
      </c>
      <c r="F43" s="161">
        <f t="shared" si="13"/>
        <v>1179460.0247111314</v>
      </c>
      <c r="G43" s="161">
        <f t="shared" si="13"/>
        <v>1249214.7437073975</v>
      </c>
      <c r="H43" s="161">
        <f t="shared" si="13"/>
        <v>1267523</v>
      </c>
      <c r="I43" s="161">
        <f t="shared" si="13"/>
        <v>1315262.3728667628</v>
      </c>
      <c r="J43" s="161">
        <f t="shared" si="13"/>
        <v>1224217.7406857503</v>
      </c>
      <c r="K43" s="161">
        <f t="shared" si="13"/>
        <v>1154654.1210748022</v>
      </c>
      <c r="L43" s="161">
        <f t="shared" si="13"/>
        <v>1008832.9766519614</v>
      </c>
      <c r="M43" s="161">
        <f t="shared" si="13"/>
        <v>986647.89560296375</v>
      </c>
      <c r="N43" s="161">
        <f t="shared" si="13"/>
        <v>13865352.956850078</v>
      </c>
      <c r="O43" s="161">
        <f t="shared" si="13"/>
        <v>1316829</v>
      </c>
      <c r="P43" s="159">
        <f>+O43/$O$45</f>
        <v>2.8335294337689571E-2</v>
      </c>
      <c r="R43" s="200">
        <f>SUM(R33:R42)</f>
        <v>230083.59310191401</v>
      </c>
      <c r="S43" s="198">
        <f>+R43/$R$45</f>
        <v>5.7688076493439171E-3</v>
      </c>
    </row>
    <row r="44" spans="1:19" s="125" customFormat="1">
      <c r="B44" s="155"/>
      <c r="C44" s="155"/>
      <c r="D44" s="155"/>
      <c r="E44" s="155"/>
      <c r="F44" s="155"/>
      <c r="G44" s="155"/>
      <c r="H44" s="155"/>
      <c r="I44" s="155"/>
      <c r="J44" s="155"/>
      <c r="K44" s="155"/>
      <c r="L44" s="155"/>
      <c r="M44" s="155"/>
      <c r="N44" s="155"/>
      <c r="O44" s="157"/>
      <c r="R44" s="201"/>
      <c r="S44" s="202"/>
    </row>
    <row r="45" spans="1:19" s="125" customFormat="1" ht="13.8" thickBot="1">
      <c r="A45" s="126" t="s">
        <v>452</v>
      </c>
      <c r="B45" s="160">
        <f t="shared" ref="B45:O45" si="14">+B30+B43</f>
        <v>45752605.094187275</v>
      </c>
      <c r="C45" s="160">
        <f t="shared" si="14"/>
        <v>42210535.222658202</v>
      </c>
      <c r="D45" s="160">
        <f t="shared" si="14"/>
        <v>38831957.2462181</v>
      </c>
      <c r="E45" s="160">
        <f t="shared" si="14"/>
        <v>36104488.607555211</v>
      </c>
      <c r="F45" s="160">
        <f t="shared" si="14"/>
        <v>36692176.050584815</v>
      </c>
      <c r="G45" s="160">
        <f t="shared" si="14"/>
        <v>38834173.521265812</v>
      </c>
      <c r="H45" s="160">
        <f t="shared" si="14"/>
        <v>39019087.96662154</v>
      </c>
      <c r="I45" s="160">
        <f t="shared" si="14"/>
        <v>38739434.677865922</v>
      </c>
      <c r="J45" s="160">
        <f t="shared" si="14"/>
        <v>41035982.416438349</v>
      </c>
      <c r="K45" s="160">
        <f t="shared" si="14"/>
        <v>39816745.176310986</v>
      </c>
      <c r="L45" s="160">
        <f t="shared" si="14"/>
        <v>42447881.850075454</v>
      </c>
      <c r="M45" s="160">
        <f t="shared" si="14"/>
        <v>40949682.75400313</v>
      </c>
      <c r="N45" s="160">
        <f t="shared" si="14"/>
        <v>480434750.58378476</v>
      </c>
      <c r="O45" s="160">
        <f t="shared" si="14"/>
        <v>46473101.154571339</v>
      </c>
      <c r="P45" s="159">
        <f>+O45/$O$45</f>
        <v>1</v>
      </c>
      <c r="R45" s="204">
        <f>+R30+R43</f>
        <v>39884081.267310284</v>
      </c>
      <c r="S45" s="198">
        <f>+R45/$R$45</f>
        <v>1</v>
      </c>
    </row>
    <row r="46" spans="1:19" ht="13.8" thickTop="1">
      <c r="A46" s="126"/>
      <c r="B46" s="158"/>
      <c r="C46" s="158"/>
      <c r="D46" s="158"/>
      <c r="E46" s="158"/>
      <c r="F46" s="158"/>
      <c r="G46" s="158"/>
      <c r="H46" s="158"/>
      <c r="I46" s="158"/>
      <c r="J46" s="158"/>
      <c r="K46" s="158"/>
      <c r="L46" s="158"/>
      <c r="M46" s="158"/>
      <c r="N46" s="158"/>
      <c r="O46" s="158"/>
      <c r="P46" s="125"/>
      <c r="Q46" s="125"/>
      <c r="R46" s="155"/>
      <c r="S46" s="125"/>
    </row>
    <row r="47" spans="1:19" s="125" customFormat="1">
      <c r="B47" s="155"/>
      <c r="C47" s="155"/>
      <c r="D47" s="155"/>
      <c r="E47" s="155"/>
      <c r="F47" s="155"/>
      <c r="G47" s="155"/>
      <c r="H47" s="155"/>
      <c r="I47" s="155"/>
      <c r="J47" s="155"/>
      <c r="K47" s="155"/>
      <c r="L47" s="155"/>
      <c r="M47" s="155"/>
      <c r="N47" s="155"/>
      <c r="O47" s="157"/>
      <c r="R47" s="196"/>
    </row>
    <row r="48" spans="1:19" s="125" customFormat="1">
      <c r="A48" s="112"/>
      <c r="B48" s="156"/>
      <c r="C48" s="156"/>
      <c r="D48" s="156"/>
      <c r="E48" s="156"/>
      <c r="F48" s="156"/>
      <c r="G48" s="156"/>
      <c r="H48" s="156"/>
      <c r="I48" s="156"/>
      <c r="J48" s="156"/>
      <c r="K48" s="156"/>
      <c r="L48" s="156"/>
      <c r="M48" s="156"/>
      <c r="N48" s="156"/>
      <c r="O48" s="112"/>
      <c r="P48" s="154"/>
      <c r="Q48" s="112"/>
      <c r="R48" s="112"/>
      <c r="S48" s="112"/>
    </row>
    <row r="49" spans="1:19" s="125" customFormat="1">
      <c r="A49" s="112"/>
      <c r="B49" s="156"/>
      <c r="C49" s="156"/>
      <c r="D49" s="156"/>
      <c r="E49" s="156"/>
      <c r="F49" s="156"/>
      <c r="G49" s="156"/>
      <c r="H49" s="156"/>
      <c r="I49" s="156"/>
      <c r="J49" s="156"/>
      <c r="K49" s="156"/>
      <c r="L49" s="156"/>
      <c r="M49" s="156"/>
      <c r="N49" s="156"/>
      <c r="O49" s="112"/>
      <c r="P49" s="154"/>
      <c r="Q49" s="112"/>
      <c r="R49" s="112"/>
      <c r="S49" s="112"/>
    </row>
    <row r="50" spans="1:19" s="112" customFormat="1" ht="21">
      <c r="A50" s="124" t="s">
        <v>532</v>
      </c>
      <c r="B50" s="165"/>
      <c r="C50" s="165"/>
      <c r="D50" s="165"/>
      <c r="E50" s="165"/>
      <c r="F50" s="165"/>
      <c r="G50" s="165"/>
      <c r="H50" s="165"/>
      <c r="I50" s="165"/>
      <c r="J50" s="165"/>
      <c r="K50" s="165"/>
      <c r="L50" s="165"/>
      <c r="M50" s="165"/>
      <c r="N50" s="165"/>
      <c r="O50" s="165"/>
      <c r="P50" s="172"/>
      <c r="Q50" s="172"/>
      <c r="R50" s="172"/>
      <c r="S50" s="172"/>
    </row>
    <row r="51" spans="1:19" s="125" customFormat="1" ht="21">
      <c r="A51" s="124" t="str">
        <f>MANUAL!$B$10&amp;" - TEST YEAR"</f>
        <v>2017 - TEST YEAR</v>
      </c>
      <c r="B51" s="165"/>
      <c r="C51" s="165"/>
      <c r="D51" s="165"/>
      <c r="E51" s="165"/>
      <c r="F51" s="165"/>
      <c r="G51" s="165"/>
      <c r="H51" s="165"/>
      <c r="I51" s="165"/>
      <c r="J51" s="165"/>
      <c r="K51" s="165"/>
      <c r="L51" s="165"/>
      <c r="M51" s="165"/>
      <c r="N51" s="165"/>
      <c r="O51" s="165"/>
      <c r="P51" s="172"/>
      <c r="Q51" s="172"/>
      <c r="R51" s="172"/>
      <c r="S51" s="172"/>
    </row>
    <row r="52" spans="1:19" s="126" customFormat="1" ht="21.6" thickBot="1">
      <c r="A52" s="124"/>
      <c r="B52" s="165"/>
      <c r="C52" s="165"/>
      <c r="D52" s="165"/>
      <c r="E52" s="165"/>
      <c r="F52" s="165"/>
      <c r="G52" s="165"/>
      <c r="H52" s="165"/>
      <c r="I52" s="165"/>
      <c r="J52" s="165"/>
      <c r="K52" s="165"/>
      <c r="L52" s="165"/>
      <c r="M52" s="165"/>
      <c r="N52" s="165"/>
      <c r="O52" s="165"/>
      <c r="P52" s="172"/>
      <c r="Q52" s="172"/>
      <c r="R52" s="172"/>
      <c r="S52" s="172"/>
    </row>
    <row r="53" spans="1:19" s="125" customFormat="1" ht="13.8" thickBot="1">
      <c r="A53" s="168"/>
      <c r="B53" s="572" t="s">
        <v>339</v>
      </c>
      <c r="C53" s="573"/>
      <c r="D53" s="574"/>
      <c r="E53" s="575" t="s">
        <v>340</v>
      </c>
      <c r="F53" s="576"/>
      <c r="G53" s="576"/>
      <c r="H53" s="576"/>
      <c r="I53" s="576"/>
      <c r="J53" s="576"/>
      <c r="K53" s="577"/>
      <c r="L53" s="572" t="s">
        <v>339</v>
      </c>
      <c r="M53" s="574"/>
      <c r="N53" s="166"/>
      <c r="O53" s="164"/>
      <c r="P53" s="164"/>
      <c r="Q53" s="164"/>
      <c r="R53" s="154"/>
      <c r="S53" s="154"/>
    </row>
    <row r="54" spans="1:19" s="125" customFormat="1" ht="13.8" thickBot="1">
      <c r="A54" s="171" t="s">
        <v>454</v>
      </c>
      <c r="B54" s="100" t="s">
        <v>70</v>
      </c>
      <c r="C54" s="100" t="s">
        <v>71</v>
      </c>
      <c r="D54" s="100" t="s">
        <v>72</v>
      </c>
      <c r="E54" s="103" t="s">
        <v>73</v>
      </c>
      <c r="F54" s="103" t="s">
        <v>74</v>
      </c>
      <c r="G54" s="103" t="s">
        <v>75</v>
      </c>
      <c r="H54" s="103" t="s">
        <v>76</v>
      </c>
      <c r="I54" s="103" t="s">
        <v>77</v>
      </c>
      <c r="J54" s="103" t="s">
        <v>78</v>
      </c>
      <c r="K54" s="103" t="s">
        <v>79</v>
      </c>
      <c r="L54" s="100" t="s">
        <v>80</v>
      </c>
      <c r="M54" s="100" t="s">
        <v>81</v>
      </c>
      <c r="N54" s="170" t="s">
        <v>60</v>
      </c>
      <c r="O54" s="169" t="s">
        <v>133</v>
      </c>
      <c r="P54" s="169" t="s">
        <v>455</v>
      </c>
      <c r="Q54" s="165"/>
      <c r="R54" s="578" t="s">
        <v>456</v>
      </c>
      <c r="S54" s="579"/>
    </row>
    <row r="55" spans="1:19" s="125" customFormat="1">
      <c r="A55" s="168"/>
      <c r="B55" s="167"/>
      <c r="C55" s="167"/>
      <c r="D55" s="167"/>
      <c r="E55" s="167"/>
      <c r="F55" s="167"/>
      <c r="G55" s="167"/>
      <c r="H55" s="167"/>
      <c r="I55" s="167"/>
      <c r="J55" s="167"/>
      <c r="K55" s="167"/>
      <c r="L55" s="167"/>
      <c r="M55" s="167"/>
      <c r="N55" s="166"/>
      <c r="O55" s="165"/>
      <c r="P55" s="164"/>
      <c r="Q55" s="164"/>
      <c r="R55" s="154"/>
      <c r="S55" s="154"/>
    </row>
    <row r="56" spans="1:19" s="125" customFormat="1">
      <c r="A56" s="42" t="s">
        <v>83</v>
      </c>
      <c r="B56" s="81"/>
      <c r="C56" s="81"/>
      <c r="D56" s="81"/>
      <c r="E56" s="81"/>
      <c r="F56" s="81"/>
      <c r="G56" s="81"/>
      <c r="H56" s="81"/>
      <c r="I56" s="81"/>
      <c r="J56" s="81"/>
      <c r="K56" s="81"/>
      <c r="L56" s="81"/>
      <c r="M56" s="81"/>
      <c r="N56" s="81"/>
      <c r="O56" s="81"/>
      <c r="P56" s="81"/>
      <c r="Q56" s="81"/>
      <c r="R56" s="81"/>
      <c r="S56" s="81"/>
    </row>
    <row r="57" spans="1:19" s="112" customFormat="1">
      <c r="A57" s="163" t="s">
        <v>84</v>
      </c>
      <c r="B57" s="162">
        <f>+'CILC-1D'!C$65</f>
        <v>441187.87422161771</v>
      </c>
      <c r="C57" s="162">
        <f>+'CILC-1D'!D$65</f>
        <v>444576.5986038316</v>
      </c>
      <c r="D57" s="162">
        <f>+'CILC-1D'!E$65</f>
        <v>405587.96750005666</v>
      </c>
      <c r="E57" s="162">
        <f>+'CILC-1D'!F$65</f>
        <v>420343.03698422993</v>
      </c>
      <c r="F57" s="162">
        <f>+'CILC-1D'!G$65</f>
        <v>418402.24621374981</v>
      </c>
      <c r="G57" s="162">
        <f>+'CILC-1D'!H$65</f>
        <v>443442.77833741478</v>
      </c>
      <c r="H57" s="162">
        <f>+'CILC-1D'!I$65</f>
        <v>439596.1110203524</v>
      </c>
      <c r="I57" s="162">
        <f>+'CILC-1D'!J$65</f>
        <v>436277.96724435309</v>
      </c>
      <c r="J57" s="162">
        <f>+'CILC-1D'!K$65</f>
        <v>446830.92124796787</v>
      </c>
      <c r="K57" s="162">
        <f>+'CILC-1D'!L$65</f>
        <v>424423.14888141421</v>
      </c>
      <c r="L57" s="162">
        <f>+'CILC-1D'!M$65</f>
        <v>427844.68879164715</v>
      </c>
      <c r="M57" s="162">
        <f>+'CILC-1D'!N$65</f>
        <v>430232.69976587879</v>
      </c>
      <c r="N57" s="162">
        <f t="shared" ref="N57:N73" si="15">SUM(B57:M57)</f>
        <v>5178746.0388125144</v>
      </c>
      <c r="O57" s="158">
        <f t="shared" ref="O57:O73" si="16">MAX(B57:M57)</f>
        <v>446830.92124796787</v>
      </c>
      <c r="P57" s="159">
        <f>+O57/$O$91</f>
        <v>9.5468897332129862E-3</v>
      </c>
      <c r="Q57" s="154"/>
      <c r="R57" s="197">
        <v>526119.69013527338</v>
      </c>
      <c r="S57" s="198">
        <f t="shared" ref="S57:S73" si="17">+R57/$R$91</f>
        <v>1.2828004200352065E-2</v>
      </c>
    </row>
    <row r="58" spans="1:19" s="112" customFormat="1">
      <c r="A58" s="163" t="s">
        <v>85</v>
      </c>
      <c r="B58" s="162">
        <f>+'CILC-1G'!C$65</f>
        <v>17282.834545722744</v>
      </c>
      <c r="C58" s="162">
        <f>+'CILC-1G'!D$65</f>
        <v>17596.220364477271</v>
      </c>
      <c r="D58" s="162">
        <f>+'CILC-1G'!E$65</f>
        <v>15702.707558153619</v>
      </c>
      <c r="E58" s="162">
        <f>+'CILC-1G'!F$65</f>
        <v>16241.580726507063</v>
      </c>
      <c r="F58" s="162">
        <f>+'CILC-1G'!G$65</f>
        <v>16637.102910716356</v>
      </c>
      <c r="G58" s="162">
        <f>+'CILC-1G'!H$65</f>
        <v>17520.463002891</v>
      </c>
      <c r="H58" s="162">
        <f>+'CILC-1G'!I$65</f>
        <v>17208.942905055224</v>
      </c>
      <c r="I58" s="162">
        <f>+'CILC-1G'!J$65</f>
        <v>17321.857737646511</v>
      </c>
      <c r="J58" s="162">
        <f>+'CILC-1G'!K$65</f>
        <v>17734.266855229602</v>
      </c>
      <c r="K58" s="162">
        <f>+'CILC-1G'!L$65</f>
        <v>16674.458826114642</v>
      </c>
      <c r="L58" s="162">
        <f>+'CILC-1G'!M$65</f>
        <v>16812.66722012444</v>
      </c>
      <c r="M58" s="162">
        <f>+'CILC-1G'!N$65</f>
        <v>17139.444337034918</v>
      </c>
      <c r="N58" s="162">
        <f t="shared" si="15"/>
        <v>203872.54698967337</v>
      </c>
      <c r="O58" s="158">
        <f t="shared" si="16"/>
        <v>17734.266855229602</v>
      </c>
      <c r="P58" s="159">
        <f t="shared" ref="P58:P73" si="18">+O58/$O$91</f>
        <v>3.7890638743932008E-4</v>
      </c>
      <c r="Q58" s="154"/>
      <c r="R58" s="197">
        <v>34155.053867445218</v>
      </c>
      <c r="S58" s="198">
        <f t="shared" si="17"/>
        <v>8.3277851540242782E-4</v>
      </c>
    </row>
    <row r="59" spans="1:19" s="112" customFormat="1">
      <c r="A59" s="163" t="s">
        <v>50</v>
      </c>
      <c r="B59" s="162">
        <f>+'CILC-1T'!C$65</f>
        <v>228933.21533313606</v>
      </c>
      <c r="C59" s="162">
        <f>+'CILC-1T'!D$65</f>
        <v>242387.91869907276</v>
      </c>
      <c r="D59" s="162">
        <f>+'CILC-1T'!E$65</f>
        <v>222089.05574353845</v>
      </c>
      <c r="E59" s="162">
        <f>+'CILC-1T'!F$65</f>
        <v>230730.948406432</v>
      </c>
      <c r="F59" s="162">
        <f>+'CILC-1T'!G$65</f>
        <v>218425.85194730497</v>
      </c>
      <c r="G59" s="162">
        <f>+'CILC-1T'!H$65</f>
        <v>241521.38111059309</v>
      </c>
      <c r="H59" s="162">
        <f>+'CILC-1T'!I$65</f>
        <v>231568.84282359079</v>
      </c>
      <c r="I59" s="162">
        <f>+'CILC-1T'!J$65</f>
        <v>227643.11582501823</v>
      </c>
      <c r="J59" s="162">
        <f>+'CILC-1T'!K$65</f>
        <v>249350.39315840468</v>
      </c>
      <c r="K59" s="162">
        <f>+'CILC-1T'!L$65</f>
        <v>229519.27714811172</v>
      </c>
      <c r="L59" s="162">
        <f>+'CILC-1T'!M$65</f>
        <v>246171.72360688169</v>
      </c>
      <c r="M59" s="162">
        <f>+'CILC-1T'!N$65</f>
        <v>235858.97955450081</v>
      </c>
      <c r="N59" s="162">
        <f t="shared" si="15"/>
        <v>2804200.7033565855</v>
      </c>
      <c r="O59" s="158">
        <f t="shared" si="16"/>
        <v>249350.39315840468</v>
      </c>
      <c r="P59" s="159">
        <f t="shared" si="18"/>
        <v>5.3275648466045399E-3</v>
      </c>
      <c r="Q59" s="154"/>
      <c r="R59" s="197">
        <v>279555.84530863696</v>
      </c>
      <c r="S59" s="198">
        <f t="shared" si="17"/>
        <v>6.8162124039305863E-3</v>
      </c>
    </row>
    <row r="60" spans="1:19" s="112" customFormat="1">
      <c r="A60" s="163" t="s">
        <v>49</v>
      </c>
      <c r="B60" s="162">
        <f>+'GS(T)-1'!C$66</f>
        <v>2109951.0515894201</v>
      </c>
      <c r="C60" s="162">
        <f>+'GS(T)-1'!D$66</f>
        <v>1984682.9736098244</v>
      </c>
      <c r="D60" s="162">
        <f>+'GS(T)-1'!E$66</f>
        <v>1839956.6340179285</v>
      </c>
      <c r="E60" s="162">
        <f>+'GS(T)-1'!F$66</f>
        <v>1848986.7097845688</v>
      </c>
      <c r="F60" s="162">
        <f>+'GS(T)-1'!G$66</f>
        <v>1928490.0783310693</v>
      </c>
      <c r="G60" s="162">
        <f>+'GS(T)-1'!H$66</f>
        <v>2103521.8359939246</v>
      </c>
      <c r="H60" s="162">
        <f>+'GS(T)-1'!I$66</f>
        <v>2072248.3596219746</v>
      </c>
      <c r="I60" s="162">
        <f>+'GS(T)-1'!J$66</f>
        <v>2043890.106807213</v>
      </c>
      <c r="J60" s="162">
        <f>+'GS(T)-1'!K$66</f>
        <v>2146000.5103850211</v>
      </c>
      <c r="K60" s="162">
        <f>+'GS(T)-1'!L$66</f>
        <v>1999008.9527433044</v>
      </c>
      <c r="L60" s="162">
        <f>+'GS(T)-1'!M$66</f>
        <v>2044494.6187718154</v>
      </c>
      <c r="M60" s="162">
        <f>+'GS(T)-1'!N$66</f>
        <v>1993855.7786780596</v>
      </c>
      <c r="N60" s="162">
        <f t="shared" si="15"/>
        <v>24115087.610334124</v>
      </c>
      <c r="O60" s="158">
        <f t="shared" si="16"/>
        <v>2146000.5103850211</v>
      </c>
      <c r="P60" s="159">
        <f t="shared" si="18"/>
        <v>4.5850967929533727E-2</v>
      </c>
      <c r="Q60" s="154"/>
      <c r="R60" s="197">
        <v>2076304.5902797044</v>
      </c>
      <c r="S60" s="198">
        <f t="shared" si="17"/>
        <v>5.0625065939786627E-2</v>
      </c>
    </row>
    <row r="61" spans="1:19" s="112" customFormat="1">
      <c r="A61" s="163" t="s">
        <v>325</v>
      </c>
      <c r="B61" s="162">
        <f>+'GSCU-1'!C$66</f>
        <v>8482.9147301161938</v>
      </c>
      <c r="C61" s="162">
        <f>+'GSCU-1'!D$66</f>
        <v>9279.4352414971563</v>
      </c>
      <c r="D61" s="162">
        <f>+'GSCU-1'!E$66</f>
        <v>8787.0483368337991</v>
      </c>
      <c r="E61" s="162">
        <f>+'GSCU-1'!F$66</f>
        <v>8581.8291807112746</v>
      </c>
      <c r="F61" s="162">
        <f>+'GSCU-1'!G$66</f>
        <v>8682.739079162664</v>
      </c>
      <c r="G61" s="162">
        <f>+'GSCU-1'!H$66</f>
        <v>8891.5780724903289</v>
      </c>
      <c r="H61" s="162">
        <f>+'GSCU-1'!I$66</f>
        <v>8404.21576573938</v>
      </c>
      <c r="I61" s="162">
        <f>+'GSCU-1'!J$66</f>
        <v>8683.4211337929682</v>
      </c>
      <c r="J61" s="162">
        <f>+'GSCU-1'!K$66</f>
        <v>8848.504082864285</v>
      </c>
      <c r="K61" s="162">
        <f>+'GSCU-1'!L$66</f>
        <v>8834.4939765813415</v>
      </c>
      <c r="L61" s="162">
        <f>+'GSCU-1'!M$66</f>
        <v>8720.9585018409671</v>
      </c>
      <c r="M61" s="162">
        <f>+'GSCU-1'!N$66</f>
        <v>8768.8984318386229</v>
      </c>
      <c r="N61" s="162">
        <f t="shared" si="15"/>
        <v>104966.036533469</v>
      </c>
      <c r="O61" s="158">
        <f t="shared" si="16"/>
        <v>9279.4352414971563</v>
      </c>
      <c r="P61" s="159">
        <f t="shared" si="18"/>
        <v>1.9826234225160365E-4</v>
      </c>
      <c r="Q61" s="154"/>
      <c r="R61" s="197">
        <v>4241.0553106032148</v>
      </c>
      <c r="S61" s="198">
        <f t="shared" si="17"/>
        <v>1.0340665129707521E-4</v>
      </c>
    </row>
    <row r="62" spans="1:19" s="112" customFormat="1">
      <c r="A62" s="163" t="s">
        <v>67</v>
      </c>
      <c r="B62" s="162">
        <f>+'GSD(T)-1'!C$66</f>
        <v>6047828.5659530647</v>
      </c>
      <c r="C62" s="162">
        <f>+'GSD(T)-1'!D$66</f>
        <v>5809093.5543667004</v>
      </c>
      <c r="D62" s="162">
        <f>+'GSD(T)-1'!E$66</f>
        <v>5410039.2042280966</v>
      </c>
      <c r="E62" s="162">
        <f>+'GSD(T)-1'!F$66</f>
        <v>5563624.4375873804</v>
      </c>
      <c r="F62" s="162">
        <f>+'GSD(T)-1'!G$66</f>
        <v>5738762.9851899119</v>
      </c>
      <c r="G62" s="162">
        <f>+'GSD(T)-1'!H$66</f>
        <v>6121520.9779870743</v>
      </c>
      <c r="H62" s="162">
        <f>+'GSD(T)-1'!I$66</f>
        <v>6011736.3191369297</v>
      </c>
      <c r="I62" s="162">
        <f>+'GSD(T)-1'!J$66</f>
        <v>5974400.8057077946</v>
      </c>
      <c r="J62" s="162">
        <f>+'GSD(T)-1'!K$66</f>
        <v>6244346.132533839</v>
      </c>
      <c r="K62" s="162">
        <f>+'GSD(T)-1'!L$66</f>
        <v>5924812.1289751818</v>
      </c>
      <c r="L62" s="162">
        <f>+'GSD(T)-1'!M$66</f>
        <v>5935624.1522393478</v>
      </c>
      <c r="M62" s="162">
        <f>+'GSD(T)-1'!N$66</f>
        <v>5756206.6721373517</v>
      </c>
      <c r="N62" s="162">
        <f t="shared" si="15"/>
        <v>70537995.936042681</v>
      </c>
      <c r="O62" s="158">
        <f t="shared" si="16"/>
        <v>6244346.132533839</v>
      </c>
      <c r="P62" s="159">
        <f t="shared" si="18"/>
        <v>0.1334153057644657</v>
      </c>
      <c r="Q62" s="154"/>
      <c r="R62" s="197">
        <v>5763794.1248429315</v>
      </c>
      <c r="S62" s="198">
        <f t="shared" si="17"/>
        <v>0.14053451454067248</v>
      </c>
    </row>
    <row r="63" spans="1:19" s="112" customFormat="1">
      <c r="A63" s="163" t="s">
        <v>68</v>
      </c>
      <c r="B63" s="162">
        <f>+'GSLD(T)-1'!C$65</f>
        <v>2107551.3936853614</v>
      </c>
      <c r="C63" s="162">
        <f>+'GSLD(T)-1'!D$65</f>
        <v>2067523.063458496</v>
      </c>
      <c r="D63" s="162">
        <f>+'GSLD(T)-1'!E$65</f>
        <v>1954010.1463722526</v>
      </c>
      <c r="E63" s="162">
        <f>+'GSLD(T)-1'!F$65</f>
        <v>1981357.4846518303</v>
      </c>
      <c r="F63" s="162">
        <f>+'GSLD(T)-1'!G$65</f>
        <v>2094924.1740699273</v>
      </c>
      <c r="G63" s="162">
        <f>+'GSLD(T)-1'!H$65</f>
        <v>2235802.3347024834</v>
      </c>
      <c r="H63" s="162">
        <f>+'GSLD(T)-1'!I$65</f>
        <v>2111453.5208494668</v>
      </c>
      <c r="I63" s="162">
        <f>+'GSLD(T)-1'!J$65</f>
        <v>2150047.1152855954</v>
      </c>
      <c r="J63" s="162">
        <f>+'GSLD(T)-1'!K$65</f>
        <v>2269087.3066900261</v>
      </c>
      <c r="K63" s="162">
        <f>+'GSLD(T)-1'!L$65</f>
        <v>2141850.8493044241</v>
      </c>
      <c r="L63" s="162">
        <f>+'GSLD(T)-1'!M$65</f>
        <v>2121576.9280349398</v>
      </c>
      <c r="M63" s="162">
        <f>+'GSLD(T)-1'!N$65</f>
        <v>2145573.065998822</v>
      </c>
      <c r="N63" s="162">
        <f t="shared" si="15"/>
        <v>25380757.383103624</v>
      </c>
      <c r="O63" s="158">
        <f t="shared" si="16"/>
        <v>2269087.3066900261</v>
      </c>
      <c r="P63" s="159">
        <f t="shared" si="18"/>
        <v>4.8480812947099584E-2</v>
      </c>
      <c r="Q63" s="154"/>
      <c r="R63" s="197">
        <v>1129352.4073638895</v>
      </c>
      <c r="S63" s="198">
        <f t="shared" si="17"/>
        <v>2.7536200786586747E-2</v>
      </c>
    </row>
    <row r="64" spans="1:19" s="112" customFormat="1">
      <c r="A64" s="163" t="s">
        <v>69</v>
      </c>
      <c r="B64" s="162">
        <f>+'GSLD(T)-2'!C$65</f>
        <v>450751.00525824953</v>
      </c>
      <c r="C64" s="162">
        <f>+'GSLD(T)-2'!D$65</f>
        <v>437031.83343359036</v>
      </c>
      <c r="D64" s="162">
        <f>+'GSLD(T)-2'!E$65</f>
        <v>406580.36542430503</v>
      </c>
      <c r="E64" s="162">
        <f>+'GSLD(T)-2'!F$65</f>
        <v>414178.38995005778</v>
      </c>
      <c r="F64" s="162">
        <f>+'GSLD(T)-2'!G$65</f>
        <v>421205.70278192882</v>
      </c>
      <c r="G64" s="162">
        <f>+'GSLD(T)-2'!H$65</f>
        <v>437137.93302910629</v>
      </c>
      <c r="H64" s="162">
        <f>+'GSLD(T)-2'!I$65</f>
        <v>446577.44094397483</v>
      </c>
      <c r="I64" s="162">
        <f>+'GSLD(T)-2'!J$65</f>
        <v>441975.42238874774</v>
      </c>
      <c r="J64" s="162">
        <f>+'GSLD(T)-2'!K$65</f>
        <v>460738.40953069774</v>
      </c>
      <c r="K64" s="162">
        <f>+'GSLD(T)-2'!L$65</f>
        <v>437853.24669540901</v>
      </c>
      <c r="L64" s="162">
        <f>+'GSLD(T)-2'!M$65</f>
        <v>441706.24083108903</v>
      </c>
      <c r="M64" s="162">
        <f>+'GSLD(T)-2'!N$65</f>
        <v>441763.67475281918</v>
      </c>
      <c r="N64" s="162">
        <f t="shared" si="15"/>
        <v>5237499.665019976</v>
      </c>
      <c r="O64" s="158">
        <f t="shared" si="16"/>
        <v>460738.40953069774</v>
      </c>
      <c r="P64" s="159">
        <f t="shared" si="18"/>
        <v>9.8440340237879245E-3</v>
      </c>
      <c r="Q64" s="154"/>
      <c r="R64" s="197">
        <v>173063.67417569636</v>
      </c>
      <c r="S64" s="198">
        <f t="shared" si="17"/>
        <v>4.2196891332528961E-3</v>
      </c>
    </row>
    <row r="65" spans="1:19" s="112" customFormat="1">
      <c r="A65" s="163" t="s">
        <v>52</v>
      </c>
      <c r="B65" s="162">
        <f>+'GSLD(T)-3'!C$65</f>
        <v>34932.455366929462</v>
      </c>
      <c r="C65" s="162">
        <f>+'GSLD(T)-3'!D$65</f>
        <v>42817.111829887137</v>
      </c>
      <c r="D65" s="162">
        <f>+'GSLD(T)-3'!E$65</f>
        <v>36442.631007449134</v>
      </c>
      <c r="E65" s="162">
        <f>+'GSLD(T)-3'!F$65</f>
        <v>37758.092011112749</v>
      </c>
      <c r="F65" s="162">
        <f>+'GSLD(T)-3'!G$65</f>
        <v>37992.026316302392</v>
      </c>
      <c r="G65" s="162">
        <f>+'GSLD(T)-3'!H$65</f>
        <v>41596.436313306571</v>
      </c>
      <c r="H65" s="162">
        <f>+'GSLD(T)-3'!I$65</f>
        <v>33414.648319386113</v>
      </c>
      <c r="I65" s="162">
        <f>+'GSLD(T)-3'!J$65</f>
        <v>32680.020319588162</v>
      </c>
      <c r="J65" s="162">
        <f>+'GSLD(T)-3'!K$65</f>
        <v>33164.308317758558</v>
      </c>
      <c r="K65" s="162">
        <f>+'GSLD(T)-3'!L$65</f>
        <v>32760.129617737512</v>
      </c>
      <c r="L65" s="162">
        <f>+'GSLD(T)-3'!M$65</f>
        <v>34101.238985656164</v>
      </c>
      <c r="M65" s="162">
        <f>+'GSLD(T)-3'!N$65</f>
        <v>32251.040804944627</v>
      </c>
      <c r="N65" s="162">
        <f t="shared" si="15"/>
        <v>429910.13921005861</v>
      </c>
      <c r="O65" s="158">
        <f t="shared" si="16"/>
        <v>42817.111829887137</v>
      </c>
      <c r="P65" s="159">
        <f t="shared" si="18"/>
        <v>9.1482085481666038E-4</v>
      </c>
      <c r="Q65" s="154"/>
      <c r="R65" s="197">
        <v>52506.217302616191</v>
      </c>
      <c r="S65" s="198">
        <f t="shared" si="17"/>
        <v>1.280221950882277E-3</v>
      </c>
    </row>
    <row r="66" spans="1:19" s="112" customFormat="1">
      <c r="A66" s="163" t="s">
        <v>15</v>
      </c>
      <c r="B66" s="162">
        <f>+MET!C$65</f>
        <v>18743.730585001242</v>
      </c>
      <c r="C66" s="162">
        <f>+MET!D$65</f>
        <v>19831.678756991161</v>
      </c>
      <c r="D66" s="162">
        <f>+MET!E$65</f>
        <v>16409.299102188164</v>
      </c>
      <c r="E66" s="162">
        <f>+MET!F$65</f>
        <v>19559.206177200336</v>
      </c>
      <c r="F66" s="162">
        <f>+MET!G$65</f>
        <v>18556.807739479758</v>
      </c>
      <c r="G66" s="162">
        <f>+MET!H$65</f>
        <v>19857.659633424224</v>
      </c>
      <c r="H66" s="162">
        <f>+MET!I$65</f>
        <v>20612.193098891323</v>
      </c>
      <c r="I66" s="162">
        <f>+MET!J$65</f>
        <v>20452.989310958295</v>
      </c>
      <c r="J66" s="162">
        <f>+MET!K$65</f>
        <v>21161.182968861365</v>
      </c>
      <c r="K66" s="162">
        <f>+MET!L$65</f>
        <v>19976.080413590713</v>
      </c>
      <c r="L66" s="162">
        <f>+MET!M$65</f>
        <v>18659.581485681971</v>
      </c>
      <c r="M66" s="162">
        <f>+MET!N$65</f>
        <v>16612.261189025947</v>
      </c>
      <c r="N66" s="162">
        <f t="shared" si="15"/>
        <v>230432.6704612945</v>
      </c>
      <c r="O66" s="158">
        <f t="shared" si="16"/>
        <v>21161.182968861365</v>
      </c>
      <c r="P66" s="159">
        <f t="shared" si="18"/>
        <v>4.5212511225460058E-4</v>
      </c>
      <c r="Q66" s="154"/>
      <c r="R66" s="197">
        <v>23922.005479982858</v>
      </c>
      <c r="S66" s="198">
        <f t="shared" si="17"/>
        <v>5.8327333595738239E-4</v>
      </c>
    </row>
    <row r="67" spans="1:19" s="112" customFormat="1">
      <c r="A67" s="163" t="s">
        <v>56</v>
      </c>
      <c r="B67" s="162">
        <f>+'OL-1'!C$65</f>
        <v>19911.681915967529</v>
      </c>
      <c r="C67" s="162">
        <f>+'OL-1'!D$65</f>
        <v>22960.046461997095</v>
      </c>
      <c r="D67" s="162">
        <f>+'OL-1'!E$65</f>
        <v>22035.366080067903</v>
      </c>
      <c r="E67" s="162">
        <f>+'OL-1'!F$65</f>
        <v>24241.792484082052</v>
      </c>
      <c r="F67" s="162">
        <f>+'OL-1'!G$65</f>
        <v>24823.14579207835</v>
      </c>
      <c r="G67" s="162">
        <f>+'OL-1'!H$65</f>
        <v>26393.507330788761</v>
      </c>
      <c r="H67" s="162">
        <f>+'OL-1'!I$65</f>
        <v>25192.897437508876</v>
      </c>
      <c r="I67" s="162">
        <f>+'OL-1'!J$65</f>
        <v>23977.727271155429</v>
      </c>
      <c r="J67" s="162">
        <f>+'OL-1'!K$65</f>
        <v>23236.708661309625</v>
      </c>
      <c r="K67" s="162">
        <f>+'OL-1'!L$65</f>
        <v>21103.903475741536</v>
      </c>
      <c r="L67" s="162">
        <f>+'OL-1'!M$65</f>
        <v>20724.494800057044</v>
      </c>
      <c r="M67" s="162">
        <f>+'OL-1'!N$65</f>
        <v>19575.146358407917</v>
      </c>
      <c r="N67" s="162">
        <f t="shared" si="15"/>
        <v>274176.41806916211</v>
      </c>
      <c r="O67" s="158">
        <f t="shared" si="16"/>
        <v>26393.507330788761</v>
      </c>
      <c r="P67" s="159">
        <f t="shared" si="18"/>
        <v>5.639177867459075E-4</v>
      </c>
      <c r="Q67" s="154"/>
      <c r="R67" s="197">
        <v>27401.630423001348</v>
      </c>
      <c r="S67" s="198">
        <f t="shared" si="17"/>
        <v>6.6811456927677072E-4</v>
      </c>
    </row>
    <row r="68" spans="1:19" s="112" customFormat="1">
      <c r="A68" s="163" t="s">
        <v>57</v>
      </c>
      <c r="B68" s="162">
        <f>+'OS-2'!C$65</f>
        <v>11991.200878089297</v>
      </c>
      <c r="C68" s="162">
        <f>+'OS-2'!D$65</f>
        <v>13791.184649160266</v>
      </c>
      <c r="D68" s="162">
        <f>+'OS-2'!E$65</f>
        <v>14816.577729433437</v>
      </c>
      <c r="E68" s="162">
        <f>+'OS-2'!F$65</f>
        <v>14240.468751154714</v>
      </c>
      <c r="F68" s="162">
        <f>+'OS-2'!G$65</f>
        <v>13553.988327650901</v>
      </c>
      <c r="G68" s="162">
        <f>+'OS-2'!H$65</f>
        <v>11959.033348750592</v>
      </c>
      <c r="H68" s="162">
        <f>+'OS-2'!I$65</f>
        <v>9298.2927570898646</v>
      </c>
      <c r="I68" s="162">
        <f>+'OS-2'!J$65</f>
        <v>9954.2867899705889</v>
      </c>
      <c r="J68" s="162">
        <f>+'OS-2'!K$65</f>
        <v>14269.732730704134</v>
      </c>
      <c r="K68" s="162">
        <f>+'OS-2'!L$65</f>
        <v>12796.831565301076</v>
      </c>
      <c r="L68" s="162">
        <f>+'OS-2'!M$65</f>
        <v>14735.372465397017</v>
      </c>
      <c r="M68" s="162">
        <f>+'OS-2'!N$65</f>
        <v>13886.153603066048</v>
      </c>
      <c r="N68" s="162">
        <f t="shared" si="15"/>
        <v>155293.12359576795</v>
      </c>
      <c r="O68" s="158">
        <f t="shared" si="16"/>
        <v>14816.577729433437</v>
      </c>
      <c r="P68" s="159">
        <f t="shared" si="18"/>
        <v>3.1656769278950959E-4</v>
      </c>
      <c r="Q68" s="154"/>
      <c r="R68" s="197">
        <v>16404.671307489232</v>
      </c>
      <c r="S68" s="198">
        <f t="shared" si="17"/>
        <v>3.9998349497955449E-4</v>
      </c>
    </row>
    <row r="69" spans="1:19" s="112" customFormat="1">
      <c r="A69" s="163" t="s">
        <v>48</v>
      </c>
      <c r="B69" s="162">
        <f>+'RS(T)-1'!C$65</f>
        <v>33240569.502738744</v>
      </c>
      <c r="C69" s="162">
        <f>+'RS(T)-1'!D$65</f>
        <v>30841388.279193997</v>
      </c>
      <c r="D69" s="162">
        <f>+'RS(T)-1'!E$65</f>
        <v>26868871.895199031</v>
      </c>
      <c r="E69" s="162">
        <f>+'RS(T)-1'!F$65</f>
        <v>24206423.468358532</v>
      </c>
      <c r="F69" s="162">
        <f>+'RS(T)-1'!G$65</f>
        <v>24180258.305432726</v>
      </c>
      <c r="G69" s="162">
        <f>+'RS(T)-1'!H$65</f>
        <v>25527480.436159562</v>
      </c>
      <c r="H69" s="162">
        <f>+'RS(T)-1'!I$65</f>
        <v>26017220.015527923</v>
      </c>
      <c r="I69" s="162">
        <f>+'RS(T)-1'!J$65</f>
        <v>25729592.504112281</v>
      </c>
      <c r="J69" s="162">
        <f>+'RS(T)-1'!K$65</f>
        <v>27628681.680564873</v>
      </c>
      <c r="K69" s="162">
        <f>+'RS(T)-1'!L$65</f>
        <v>27124751.866285715</v>
      </c>
      <c r="L69" s="162">
        <f>+'RS(T)-1'!M$65</f>
        <v>29740365.650586989</v>
      </c>
      <c r="M69" s="162">
        <f>+'RS(T)-1'!N$65</f>
        <v>28509269.619979188</v>
      </c>
      <c r="N69" s="162">
        <f t="shared" si="15"/>
        <v>329614873.22413957</v>
      </c>
      <c r="O69" s="158">
        <f t="shared" si="16"/>
        <v>33240569.502738744</v>
      </c>
      <c r="P69" s="159">
        <f t="shared" si="18"/>
        <v>0.7102105888856779</v>
      </c>
      <c r="Q69" s="154"/>
      <c r="R69" s="197">
        <v>30099200.603381019</v>
      </c>
      <c r="S69" s="198">
        <f t="shared" si="17"/>
        <v>0.73388751458462942</v>
      </c>
    </row>
    <row r="70" spans="1:19" s="112" customFormat="1">
      <c r="A70" s="163" t="s">
        <v>53</v>
      </c>
      <c r="B70" s="162">
        <f>+'SL-1'!C$65</f>
        <v>119483.88445949471</v>
      </c>
      <c r="C70" s="162">
        <f>+'SL-1'!D$65</f>
        <v>127621.49050286223</v>
      </c>
      <c r="D70" s="162">
        <f>+'SL-1'!E$65</f>
        <v>123213.8151418301</v>
      </c>
      <c r="E70" s="162">
        <f>+'SL-1'!F$65</f>
        <v>139960.60055607607</v>
      </c>
      <c r="F70" s="162">
        <f>+'SL-1'!G$65</f>
        <v>142845.08839493283</v>
      </c>
      <c r="G70" s="162">
        <f>+'SL-1'!H$65</f>
        <v>143774.11424105286</v>
      </c>
      <c r="H70" s="162">
        <f>+'SL-1'!I$65</f>
        <v>142026.89631069452</v>
      </c>
      <c r="I70" s="162">
        <f>+'SL-1'!J$65</f>
        <v>154156.97344601792</v>
      </c>
      <c r="J70" s="162">
        <f>+'SL-1'!K$65</f>
        <v>132575.29153453262</v>
      </c>
      <c r="K70" s="162">
        <f>+'SL-1'!L$65</f>
        <v>113636.47497520296</v>
      </c>
      <c r="L70" s="162">
        <f>+'SL-1'!M$65</f>
        <v>110486.38803361877</v>
      </c>
      <c r="M70" s="162">
        <f>+'SL-1'!N$65</f>
        <v>119847.20146159657</v>
      </c>
      <c r="N70" s="162">
        <f t="shared" si="15"/>
        <v>1569628.219057912</v>
      </c>
      <c r="O70" s="158">
        <f t="shared" si="16"/>
        <v>154156.97344601792</v>
      </c>
      <c r="P70" s="159">
        <f t="shared" si="18"/>
        <v>3.2936834876703793E-3</v>
      </c>
      <c r="Q70" s="154"/>
      <c r="R70" s="197">
        <v>137726.17695053734</v>
      </c>
      <c r="S70" s="198">
        <f t="shared" si="17"/>
        <v>3.3580799379807776E-3</v>
      </c>
    </row>
    <row r="71" spans="1:19" s="112" customFormat="1">
      <c r="A71" s="163" t="s">
        <v>55</v>
      </c>
      <c r="B71" s="162">
        <f>+'SL-2'!C$65</f>
        <v>3962.0823928458581</v>
      </c>
      <c r="C71" s="162">
        <f>+'SL-2'!D$65</f>
        <v>4054.539319730723</v>
      </c>
      <c r="D71" s="162">
        <f>+'SL-2'!E$65</f>
        <v>4081.4998214886623</v>
      </c>
      <c r="E71" s="162">
        <f>+'SL-2'!F$65</f>
        <v>4074.5319442008267</v>
      </c>
      <c r="F71" s="162">
        <f>+'SL-2'!G$65</f>
        <v>4025.1455470028263</v>
      </c>
      <c r="G71" s="162">
        <f>+'SL-2'!H$65</f>
        <v>3986.4576620040561</v>
      </c>
      <c r="H71" s="162">
        <f>+'SL-2'!I$65</f>
        <v>3912.3106958443718</v>
      </c>
      <c r="I71" s="162">
        <f>+'SL-2'!J$65</f>
        <v>4039.3490313857428</v>
      </c>
      <c r="J71" s="162">
        <f>+'SL-2'!K$65</f>
        <v>3845.8361742166671</v>
      </c>
      <c r="K71" s="162">
        <f>+'SL-2'!L$65</f>
        <v>3766.9366092699011</v>
      </c>
      <c r="L71" s="162">
        <f>+'SL-2'!M$65</f>
        <v>3831.5468700131928</v>
      </c>
      <c r="M71" s="162">
        <f>+'SL-2'!N$65</f>
        <v>3804.8424594890562</v>
      </c>
      <c r="N71" s="162">
        <f t="shared" si="15"/>
        <v>47385.078527491882</v>
      </c>
      <c r="O71" s="158">
        <f t="shared" si="16"/>
        <v>4081.4998214886623</v>
      </c>
      <c r="P71" s="159">
        <f t="shared" si="18"/>
        <v>8.7204414217915895E-5</v>
      </c>
      <c r="Q71" s="154"/>
      <c r="R71" s="197">
        <v>3964.9065758260822</v>
      </c>
      <c r="S71" s="198">
        <f t="shared" si="17"/>
        <v>9.6673512058868493E-5</v>
      </c>
    </row>
    <row r="72" spans="1:19" s="112" customFormat="1">
      <c r="A72" s="163" t="s">
        <v>87</v>
      </c>
      <c r="B72" s="162">
        <f>+'SST-1D'!C$65</f>
        <v>2593.5189042567204</v>
      </c>
      <c r="C72" s="162">
        <f>+'SST-1D'!D$65</f>
        <v>4194.7799959621143</v>
      </c>
      <c r="D72" s="162">
        <f>+'SST-1D'!E$65</f>
        <v>2074.4309236034824</v>
      </c>
      <c r="E72" s="162">
        <f>+'SST-1D'!F$65</f>
        <v>4502.7040479529442</v>
      </c>
      <c r="F72" s="162">
        <f>+'SST-1D'!G$65</f>
        <v>4384.7171398394057</v>
      </c>
      <c r="G72" s="162">
        <f>+'SST-1D'!H$65</f>
        <v>4269.2452020184992</v>
      </c>
      <c r="H72" s="162">
        <f>+'SST-1D'!I$65</f>
        <v>3783.8880214331334</v>
      </c>
      <c r="I72" s="162">
        <f>+'SST-1D'!J$65</f>
        <v>4125.9206866137783</v>
      </c>
      <c r="J72" s="162">
        <f>+'SST-1D'!K$65</f>
        <v>4196.8912214794764</v>
      </c>
      <c r="K72" s="162">
        <f>+'SST-1D'!L$65</f>
        <v>7191.7662933466345</v>
      </c>
      <c r="L72" s="162">
        <f>+'SST-1D'!M$65</f>
        <v>9915.8901043602818</v>
      </c>
      <c r="M72" s="162">
        <f>+'SST-1D'!N$65</f>
        <v>3484.258878399472</v>
      </c>
      <c r="N72" s="162">
        <f t="shared" si="15"/>
        <v>54718.011419265946</v>
      </c>
      <c r="O72" s="158">
        <f t="shared" si="16"/>
        <v>9915.8901043602818</v>
      </c>
      <c r="P72" s="159">
        <f t="shared" si="18"/>
        <v>2.1186069479835925E-4</v>
      </c>
      <c r="Q72" s="154"/>
      <c r="R72" s="197">
        <v>2860.7895039685072</v>
      </c>
      <c r="S72" s="198">
        <f t="shared" si="17"/>
        <v>6.9752606605153741E-5</v>
      </c>
    </row>
    <row r="73" spans="1:19" s="112" customFormat="1">
      <c r="A73" s="163" t="s">
        <v>88</v>
      </c>
      <c r="B73" s="162">
        <f>+'SST-1T'!C$65</f>
        <v>77165.349050049161</v>
      </c>
      <c r="C73" s="162">
        <f>+'SST-1T'!D$65</f>
        <v>79339.846464051327</v>
      </c>
      <c r="D73" s="162">
        <f>+'SST-1T'!E$65</f>
        <v>126194.63538322384</v>
      </c>
      <c r="E73" s="162">
        <f>+'SST-1T'!F$65</f>
        <v>85236.757496452658</v>
      </c>
      <c r="F73" s="162">
        <f>+'SST-1T'!G$65</f>
        <v>130358.62287063993</v>
      </c>
      <c r="G73" s="162">
        <f>+'SST-1T'!H$65</f>
        <v>93864.854941203899</v>
      </c>
      <c r="H73" s="162">
        <f>+'SST-1T'!I$65</f>
        <v>69829.322856681159</v>
      </c>
      <c r="I73" s="162">
        <f>+'SST-1T'!J$65</f>
        <v>81030.196231143462</v>
      </c>
      <c r="J73" s="162">
        <f>+'SST-1T'!K$65</f>
        <v>54470.549108778629</v>
      </c>
      <c r="K73" s="162">
        <f>+'SST-1T'!L$65</f>
        <v>75766.052788883608</v>
      </c>
      <c r="L73" s="162">
        <f>+'SST-1T'!M$65</f>
        <v>143697.99467250583</v>
      </c>
      <c r="M73" s="162">
        <f>+'SST-1T'!N$65</f>
        <v>68168.578564909767</v>
      </c>
      <c r="N73" s="162">
        <f t="shared" si="15"/>
        <v>1085122.7604285232</v>
      </c>
      <c r="O73" s="158">
        <f t="shared" si="16"/>
        <v>143697.99467250583</v>
      </c>
      <c r="P73" s="159">
        <f t="shared" si="18"/>
        <v>3.0702192815812864E-3</v>
      </c>
      <c r="Q73" s="154"/>
      <c r="R73" s="197">
        <v>143585.07499380058</v>
      </c>
      <c r="S73" s="198">
        <f t="shared" si="17"/>
        <v>3.5009333040828734E-3</v>
      </c>
    </row>
    <row r="74" spans="1:19" s="112" customFormat="1">
      <c r="A74" s="154"/>
      <c r="B74" s="155"/>
      <c r="C74" s="155"/>
      <c r="D74" s="155"/>
      <c r="E74" s="155"/>
      <c r="F74" s="155"/>
      <c r="G74" s="155"/>
      <c r="H74" s="155"/>
      <c r="I74" s="155"/>
      <c r="J74" s="155"/>
      <c r="K74" s="155"/>
      <c r="L74" s="155"/>
      <c r="M74" s="155"/>
      <c r="N74" s="155"/>
      <c r="O74" s="164"/>
      <c r="P74" s="154"/>
      <c r="Q74" s="154"/>
      <c r="R74" s="199"/>
      <c r="S74" s="199"/>
    </row>
    <row r="75" spans="1:19" s="112" customFormat="1">
      <c r="A75" s="126" t="s">
        <v>453</v>
      </c>
      <c r="B75" s="161">
        <f t="shared" ref="B75:O75" si="19">SUM(B57:B74)</f>
        <v>44941322.261608072</v>
      </c>
      <c r="C75" s="161">
        <f t="shared" si="19"/>
        <v>42168170.554952137</v>
      </c>
      <c r="D75" s="161">
        <f t="shared" si="19"/>
        <v>37476893.279569484</v>
      </c>
      <c r="E75" s="161">
        <f t="shared" si="19"/>
        <v>35020042.039098486</v>
      </c>
      <c r="F75" s="161">
        <f t="shared" si="19"/>
        <v>35402328.728084423</v>
      </c>
      <c r="G75" s="161">
        <f t="shared" si="19"/>
        <v>37482541.027068093</v>
      </c>
      <c r="H75" s="161">
        <f t="shared" si="19"/>
        <v>37664084.218092531</v>
      </c>
      <c r="I75" s="161">
        <f t="shared" si="19"/>
        <v>37360249.779329278</v>
      </c>
      <c r="J75" s="161">
        <f t="shared" si="19"/>
        <v>39758538.625766568</v>
      </c>
      <c r="K75" s="161">
        <f t="shared" si="19"/>
        <v>38594726.598575331</v>
      </c>
      <c r="L75" s="161">
        <f t="shared" si="19"/>
        <v>41339470.136001967</v>
      </c>
      <c r="M75" s="161">
        <f t="shared" si="19"/>
        <v>39816298.316955343</v>
      </c>
      <c r="N75" s="161">
        <f t="shared" si="19"/>
        <v>467024665.56510174</v>
      </c>
      <c r="O75" s="161">
        <f t="shared" si="19"/>
        <v>45500977.616284773</v>
      </c>
      <c r="P75" s="159">
        <f>+O75/$O$91</f>
        <v>0.97216373218494789</v>
      </c>
      <c r="Q75" s="126"/>
      <c r="R75" s="200">
        <f>SUM(R57:R74)</f>
        <v>40494158.517202429</v>
      </c>
      <c r="S75" s="198">
        <f>+R75/$R$91</f>
        <v>0.9873404194677341</v>
      </c>
    </row>
    <row r="76" spans="1:19" s="112" customFormat="1">
      <c r="A76" s="125"/>
      <c r="B76" s="155"/>
      <c r="C76" s="155"/>
      <c r="D76" s="155"/>
      <c r="E76" s="155"/>
      <c r="F76" s="155"/>
      <c r="G76" s="155"/>
      <c r="H76" s="155"/>
      <c r="I76" s="155"/>
      <c r="J76" s="155"/>
      <c r="K76" s="155"/>
      <c r="L76" s="155"/>
      <c r="M76" s="155"/>
      <c r="N76" s="155"/>
      <c r="O76" s="157"/>
      <c r="P76" s="125"/>
      <c r="Q76" s="125"/>
      <c r="R76" s="201"/>
      <c r="S76" s="202"/>
    </row>
    <row r="77" spans="1:19" s="112" customFormat="1">
      <c r="A77" s="42" t="s">
        <v>86</v>
      </c>
      <c r="B77" s="155"/>
      <c r="C77" s="155"/>
      <c r="D77" s="155"/>
      <c r="E77" s="155"/>
      <c r="F77" s="155"/>
      <c r="G77" s="155"/>
      <c r="H77" s="155"/>
      <c r="I77" s="155"/>
      <c r="J77" s="155"/>
      <c r="K77" s="155"/>
      <c r="L77" s="155"/>
      <c r="M77" s="155"/>
      <c r="N77" s="155"/>
      <c r="O77" s="157"/>
      <c r="P77" s="125"/>
      <c r="Q77" s="125"/>
      <c r="R77" s="201"/>
      <c r="S77" s="202"/>
    </row>
    <row r="78" spans="1:19" s="112" customFormat="1">
      <c r="A78" s="163" t="s">
        <v>1055</v>
      </c>
      <c r="B78" s="336">
        <f>BLOUNTSTOWN!C60</f>
        <v>0</v>
      </c>
      <c r="C78" s="336">
        <f>BLOUNTSTOWN!D60</f>
        <v>0</v>
      </c>
      <c r="D78" s="336">
        <f>BLOUNTSTOWN!E60</f>
        <v>0</v>
      </c>
      <c r="E78" s="336">
        <f>BLOUNTSTOWN!F60</f>
        <v>0</v>
      </c>
      <c r="F78" s="336">
        <f>BLOUNTSTOWN!G60</f>
        <v>0</v>
      </c>
      <c r="G78" s="336">
        <f>BLOUNTSTOWN!H60</f>
        <v>0</v>
      </c>
      <c r="H78" s="336">
        <f>BLOUNTSTOWN!I60</f>
        <v>0</v>
      </c>
      <c r="I78" s="336">
        <f>BLOUNTSTOWN!J60</f>
        <v>0</v>
      </c>
      <c r="J78" s="336">
        <f>BLOUNTSTOWN!K60</f>
        <v>0</v>
      </c>
      <c r="K78" s="336">
        <f>BLOUNTSTOWN!L60</f>
        <v>0</v>
      </c>
      <c r="L78" s="336">
        <f>BLOUNTSTOWN!M60</f>
        <v>0</v>
      </c>
      <c r="M78" s="336">
        <f>BLOUNTSTOWN!N60</f>
        <v>0</v>
      </c>
      <c r="N78" s="162">
        <f>SUM(B78:M78)</f>
        <v>0</v>
      </c>
      <c r="O78" s="158">
        <f>MAX(B78:M78)</f>
        <v>0</v>
      </c>
      <c r="P78" s="159">
        <f>+O78/$O$91</f>
        <v>0</v>
      </c>
      <c r="Q78" s="154"/>
      <c r="R78" s="203">
        <f>193266.867317667-45000</f>
        <v>148266.867317667</v>
      </c>
      <c r="S78" s="198">
        <f>+R78/$R$91</f>
        <v>3.6150861341742403E-3</v>
      </c>
    </row>
    <row r="79" spans="1:19" s="112" customFormat="1">
      <c r="A79" s="163" t="s">
        <v>485</v>
      </c>
      <c r="B79" s="336">
        <f>FKEC!C60</f>
        <v>127064.78774922132</v>
      </c>
      <c r="C79" s="336">
        <f>FKEC!D60</f>
        <v>125678.96472347097</v>
      </c>
      <c r="D79" s="336">
        <f>FKEC!E60</f>
        <v>133007.53045568668</v>
      </c>
      <c r="E79" s="336">
        <f>FKEC!F60</f>
        <v>138253.75554397303</v>
      </c>
      <c r="F79" s="336">
        <f>FKEC!G60</f>
        <v>151373.4919895276</v>
      </c>
      <c r="G79" s="336">
        <f>FKEC!H60</f>
        <v>154828.47225884761</v>
      </c>
      <c r="H79" s="336">
        <f>FKEC!I60</f>
        <v>162584.70506904923</v>
      </c>
      <c r="I79" s="336">
        <f>FKEC!J60</f>
        <v>162016.21781365061</v>
      </c>
      <c r="J79" s="336">
        <f>FKEC!K60</f>
        <v>152912.57936841325</v>
      </c>
      <c r="K79" s="336">
        <f>FKEC!L60</f>
        <v>138146.0758434821</v>
      </c>
      <c r="L79" s="336">
        <f>FKEC!M60</f>
        <v>123425.47613882527</v>
      </c>
      <c r="M79" s="336">
        <f>FKEC!N60</f>
        <v>128105.0915332975</v>
      </c>
      <c r="N79" s="162">
        <f>SUM(B79:M79)</f>
        <v>1697397.148487445</v>
      </c>
      <c r="O79" s="158">
        <f>MAX(B79:M79)</f>
        <v>162584.70506904923</v>
      </c>
      <c r="P79" s="159">
        <f t="shared" ref="P79:P86" si="20">+O79/$O$91</f>
        <v>3.473748520505342E-3</v>
      </c>
      <c r="Q79" s="125"/>
      <c r="R79" s="203">
        <v>45000</v>
      </c>
      <c r="S79" s="198">
        <f>+R79/$R$91</f>
        <v>1.0972031646780233E-3</v>
      </c>
    </row>
    <row r="80" spans="1:19" s="112" customFormat="1">
      <c r="A80" s="163" t="s">
        <v>1057</v>
      </c>
      <c r="B80" s="336">
        <f>HOMESTEAD!C60</f>
        <v>21000</v>
      </c>
      <c r="C80" s="336">
        <f>HOMESTEAD!D60</f>
        <v>0</v>
      </c>
      <c r="D80" s="336">
        <f>HOMESTEAD!E60</f>
        <v>0</v>
      </c>
      <c r="E80" s="336">
        <f>HOMESTEAD!F60</f>
        <v>0</v>
      </c>
      <c r="F80" s="336">
        <f>HOMESTEAD!G60</f>
        <v>0</v>
      </c>
      <c r="G80" s="336">
        <f>HOMESTEAD!H60</f>
        <v>0</v>
      </c>
      <c r="H80" s="336">
        <f>HOMESTEAD!I60</f>
        <v>0</v>
      </c>
      <c r="I80" s="336">
        <f>HOMESTEAD!J60</f>
        <v>21000</v>
      </c>
      <c r="J80" s="336">
        <f>HOMESTEAD!K60</f>
        <v>0</v>
      </c>
      <c r="K80" s="336">
        <f>HOMESTEAD!L60</f>
        <v>0</v>
      </c>
      <c r="L80" s="336">
        <f>HOMESTEAD!M60</f>
        <v>0</v>
      </c>
      <c r="M80" s="336">
        <f>HOMESTEAD!N60</f>
        <v>0</v>
      </c>
      <c r="N80" s="162">
        <f>SUM(B80:M80)</f>
        <v>42000</v>
      </c>
      <c r="O80" s="158">
        <f>MAX(B80:M80)</f>
        <v>21000</v>
      </c>
      <c r="P80" s="159">
        <f t="shared" si="20"/>
        <v>4.4868131291704892E-4</v>
      </c>
      <c r="Q80" s="125"/>
      <c r="R80" s="203"/>
      <c r="S80" s="198"/>
    </row>
    <row r="81" spans="1:19" s="112" customFormat="1">
      <c r="A81" s="163" t="s">
        <v>487</v>
      </c>
      <c r="B81" s="336">
        <f>LCEC!C61</f>
        <v>752102</v>
      </c>
      <c r="C81" s="336">
        <f>LCEC!D61</f>
        <v>672677</v>
      </c>
      <c r="D81" s="336">
        <f>LCEC!E61</f>
        <v>619483</v>
      </c>
      <c r="E81" s="336">
        <f>LCEC!F61</f>
        <v>632208</v>
      </c>
      <c r="F81" s="336">
        <f>LCEC!G61</f>
        <v>721094</v>
      </c>
      <c r="G81" s="336">
        <f>LCEC!H61</f>
        <v>776545</v>
      </c>
      <c r="H81" s="336">
        <f>LCEC!I61</f>
        <v>782863</v>
      </c>
      <c r="I81" s="336">
        <f>LCEC!J61</f>
        <v>795259</v>
      </c>
      <c r="J81" s="336">
        <f>LCEC!K61</f>
        <v>760044</v>
      </c>
      <c r="K81" s="336">
        <f>LCEC!L61</f>
        <v>713212</v>
      </c>
      <c r="L81" s="336">
        <f>LCEC!M61</f>
        <v>585750</v>
      </c>
      <c r="M81" s="336">
        <f>LCEC!N61</f>
        <v>554266</v>
      </c>
      <c r="N81" s="162">
        <f t="shared" ref="N81:N85" si="21">SUM(B81:M81)</f>
        <v>8365503</v>
      </c>
      <c r="O81" s="158">
        <f t="shared" ref="O81:O85" si="22">MAX(B81:M81)</f>
        <v>795259</v>
      </c>
      <c r="P81" s="159">
        <f t="shared" si="20"/>
        <v>1.6991326296623782E-2</v>
      </c>
      <c r="Q81" s="125"/>
      <c r="R81" s="197">
        <v>1360.840019478341</v>
      </c>
      <c r="S81" s="198">
        <f>+R81/$R$91</f>
        <v>3.3180399466491966E-5</v>
      </c>
    </row>
    <row r="82" spans="1:19" s="112" customFormat="1">
      <c r="A82" s="163" t="s">
        <v>1053</v>
      </c>
      <c r="B82" s="336">
        <f>'NEW SMYRNA'!C60</f>
        <v>45000</v>
      </c>
      <c r="C82" s="336">
        <f>'NEW SMYRNA'!D60</f>
        <v>0</v>
      </c>
      <c r="D82" s="336">
        <f>'NEW SMYRNA'!E60</f>
        <v>0</v>
      </c>
      <c r="E82" s="336">
        <f>'NEW SMYRNA'!F60</f>
        <v>0</v>
      </c>
      <c r="F82" s="336">
        <f>'NEW SMYRNA'!G60</f>
        <v>0</v>
      </c>
      <c r="G82" s="336">
        <f>'NEW SMYRNA'!H60</f>
        <v>0</v>
      </c>
      <c r="H82" s="336">
        <f>'NEW SMYRNA'!I60</f>
        <v>0</v>
      </c>
      <c r="I82" s="336">
        <f>'NEW SMYRNA'!J60</f>
        <v>45000</v>
      </c>
      <c r="J82" s="336">
        <f>'NEW SMYRNA'!K60</f>
        <v>0</v>
      </c>
      <c r="K82" s="336">
        <f>'NEW SMYRNA'!L60</f>
        <v>0</v>
      </c>
      <c r="L82" s="336">
        <f>'NEW SMYRNA'!M60</f>
        <v>0</v>
      </c>
      <c r="M82" s="336">
        <f>'NEW SMYRNA'!N60</f>
        <v>0</v>
      </c>
      <c r="N82" s="162">
        <f t="shared" si="21"/>
        <v>90000</v>
      </c>
      <c r="O82" s="158">
        <f t="shared" si="22"/>
        <v>45000</v>
      </c>
      <c r="P82" s="159">
        <f t="shared" si="20"/>
        <v>9.614599562508191E-4</v>
      </c>
      <c r="Q82" s="125"/>
      <c r="R82" s="197">
        <v>249584.36048361912</v>
      </c>
      <c r="S82" s="198">
        <f>+R82/$R$91</f>
        <v>6.085438892817055E-3</v>
      </c>
    </row>
    <row r="83" spans="1:19" s="112" customFormat="1">
      <c r="A83" s="163" t="s">
        <v>1058</v>
      </c>
      <c r="B83" s="336">
        <f>QUINCY!C60</f>
        <v>19000</v>
      </c>
      <c r="C83" s="336">
        <f>QUINCY!D60</f>
        <v>0</v>
      </c>
      <c r="D83" s="336">
        <f>QUINCY!E60</f>
        <v>0</v>
      </c>
      <c r="E83" s="336">
        <f>QUINCY!F60</f>
        <v>0</v>
      </c>
      <c r="F83" s="336">
        <f>QUINCY!G60</f>
        <v>0</v>
      </c>
      <c r="G83" s="336">
        <f>QUINCY!H60</f>
        <v>0</v>
      </c>
      <c r="H83" s="336">
        <f>QUINCY!I60</f>
        <v>0</v>
      </c>
      <c r="I83" s="336">
        <f>QUINCY!J60</f>
        <v>19000</v>
      </c>
      <c r="J83" s="336">
        <f>QUINCY!K60</f>
        <v>0</v>
      </c>
      <c r="K83" s="336">
        <f>QUINCY!L60</f>
        <v>0</v>
      </c>
      <c r="L83" s="336">
        <f>QUINCY!M60</f>
        <v>0</v>
      </c>
      <c r="M83" s="336">
        <f>QUINCY!N60</f>
        <v>0</v>
      </c>
      <c r="N83" s="162">
        <f t="shared" si="21"/>
        <v>38000</v>
      </c>
      <c r="O83" s="158">
        <f t="shared" si="22"/>
        <v>19000</v>
      </c>
      <c r="P83" s="159">
        <f t="shared" si="20"/>
        <v>4.0594975930590137E-4</v>
      </c>
      <c r="Q83" s="125"/>
      <c r="R83" s="197"/>
      <c r="S83" s="198"/>
    </row>
    <row r="84" spans="1:19" s="112" customFormat="1">
      <c r="A84" s="163" t="s">
        <v>489</v>
      </c>
      <c r="B84" s="336">
        <f>SEMINOLE!C61</f>
        <v>200000</v>
      </c>
      <c r="C84" s="336">
        <f>SEMINOLE!D61</f>
        <v>200000</v>
      </c>
      <c r="D84" s="336">
        <f>SEMINOLE!E61</f>
        <v>200000</v>
      </c>
      <c r="E84" s="336">
        <f>SEMINOLE!F61</f>
        <v>200000</v>
      </c>
      <c r="F84" s="336">
        <f>SEMINOLE!G61</f>
        <v>200000</v>
      </c>
      <c r="G84" s="336">
        <f>SEMINOLE!H61</f>
        <v>200000</v>
      </c>
      <c r="H84" s="336">
        <f>SEMINOLE!I61</f>
        <v>200000</v>
      </c>
      <c r="I84" s="336">
        <f>SEMINOLE!J61</f>
        <v>200000</v>
      </c>
      <c r="J84" s="336">
        <f>SEMINOLE!K61</f>
        <v>200000</v>
      </c>
      <c r="K84" s="336">
        <f>SEMINOLE!L61</f>
        <v>200000</v>
      </c>
      <c r="L84" s="336">
        <f>SEMINOLE!M61</f>
        <v>200000</v>
      </c>
      <c r="M84" s="336">
        <f>SEMINOLE!N61</f>
        <v>200000</v>
      </c>
      <c r="N84" s="162">
        <f t="shared" si="21"/>
        <v>2400000</v>
      </c>
      <c r="O84" s="158">
        <f t="shared" si="22"/>
        <v>200000</v>
      </c>
      <c r="P84" s="159">
        <f t="shared" si="20"/>
        <v>4.2731553611147517E-3</v>
      </c>
      <c r="Q84" s="125"/>
      <c r="R84" s="197">
        <v>75000</v>
      </c>
      <c r="S84" s="198">
        <f>+R84/$R$91</f>
        <v>1.8286719411300387E-3</v>
      </c>
    </row>
    <row r="85" spans="1:19" s="112" customFormat="1">
      <c r="A85" s="163" t="s">
        <v>1054</v>
      </c>
      <c r="B85" s="336">
        <f>WAUCHULA!C60</f>
        <v>0</v>
      </c>
      <c r="C85" s="336">
        <f>WAUCHULA!D60</f>
        <v>0</v>
      </c>
      <c r="D85" s="336">
        <f>WAUCHULA!E60</f>
        <v>0</v>
      </c>
      <c r="E85" s="336">
        <f>WAUCHULA!F60</f>
        <v>0</v>
      </c>
      <c r="F85" s="336">
        <f>WAUCHULA!G60</f>
        <v>0</v>
      </c>
      <c r="G85" s="336">
        <f>WAUCHULA!H60</f>
        <v>0</v>
      </c>
      <c r="H85" s="336">
        <f>WAUCHULA!I60</f>
        <v>0</v>
      </c>
      <c r="I85" s="336">
        <f>WAUCHULA!J60</f>
        <v>0</v>
      </c>
      <c r="J85" s="336">
        <f>WAUCHULA!K60</f>
        <v>0</v>
      </c>
      <c r="K85" s="336">
        <f>WAUCHULA!L60</f>
        <v>0</v>
      </c>
      <c r="L85" s="336">
        <f>WAUCHULA!M60</f>
        <v>0</v>
      </c>
      <c r="M85" s="336">
        <f>WAUCHULA!N60</f>
        <v>0</v>
      </c>
      <c r="N85" s="162">
        <f t="shared" si="21"/>
        <v>0</v>
      </c>
      <c r="O85" s="158">
        <f t="shared" si="22"/>
        <v>0</v>
      </c>
      <c r="P85" s="159">
        <f t="shared" si="20"/>
        <v>0</v>
      </c>
      <c r="Q85" s="125"/>
      <c r="R85" s="197"/>
      <c r="S85" s="198"/>
    </row>
    <row r="86" spans="1:19" s="112" customFormat="1">
      <c r="A86" s="163" t="s">
        <v>1056</v>
      </c>
      <c r="B86" s="336">
        <f>'WINTER PARK'!C60</f>
        <v>60000</v>
      </c>
      <c r="C86" s="336">
        <f>'WINTER PARK'!D60</f>
        <v>0</v>
      </c>
      <c r="D86" s="336">
        <f>'WINTER PARK'!E60</f>
        <v>0</v>
      </c>
      <c r="E86" s="336">
        <f>'WINTER PARK'!F60</f>
        <v>0</v>
      </c>
      <c r="F86" s="336">
        <f>'WINTER PARK'!G60</f>
        <v>0</v>
      </c>
      <c r="G86" s="336">
        <f>'WINTER PARK'!H60</f>
        <v>0</v>
      </c>
      <c r="H86" s="336">
        <f>'WINTER PARK'!I60</f>
        <v>0</v>
      </c>
      <c r="I86" s="336">
        <f>'WINTER PARK'!J60</f>
        <v>60000</v>
      </c>
      <c r="J86" s="336">
        <f>'WINTER PARK'!K60</f>
        <v>0</v>
      </c>
      <c r="K86" s="336">
        <f>'WINTER PARK'!L60</f>
        <v>0</v>
      </c>
      <c r="L86" s="336">
        <f>'WINTER PARK'!M60</f>
        <v>0</v>
      </c>
      <c r="M86" s="336">
        <f>'WINTER PARK'!N60</f>
        <v>0</v>
      </c>
      <c r="N86" s="162">
        <f t="shared" ref="N86" si="23">SUM(B86:M86)</f>
        <v>120000</v>
      </c>
      <c r="O86" s="158">
        <f t="shared" ref="O86" si="24">MAX(B86:M86)</f>
        <v>60000</v>
      </c>
      <c r="P86" s="159">
        <f t="shared" si="20"/>
        <v>1.2819466083344255E-3</v>
      </c>
      <c r="Q86" s="125"/>
      <c r="R86" s="197"/>
      <c r="S86" s="198"/>
    </row>
    <row r="87" spans="1:19" s="112" customFormat="1">
      <c r="A87" s="195"/>
      <c r="B87" s="162"/>
      <c r="C87" s="162"/>
      <c r="D87" s="162"/>
      <c r="E87" s="162"/>
      <c r="F87" s="162"/>
      <c r="G87" s="162"/>
      <c r="H87" s="162"/>
      <c r="I87" s="162"/>
      <c r="J87" s="162"/>
      <c r="K87" s="162"/>
      <c r="L87" s="162"/>
      <c r="M87" s="162"/>
      <c r="N87" s="162"/>
      <c r="O87" s="158"/>
      <c r="P87" s="159"/>
      <c r="Q87" s="125"/>
      <c r="R87" s="197"/>
      <c r="S87" s="198"/>
    </row>
    <row r="88" spans="1:19" s="112" customFormat="1">
      <c r="A88" s="125"/>
      <c r="B88" s="155"/>
      <c r="C88" s="155"/>
      <c r="D88" s="155"/>
      <c r="E88" s="155"/>
      <c r="F88" s="155"/>
      <c r="G88" s="155"/>
      <c r="H88" s="155"/>
      <c r="I88" s="155"/>
      <c r="J88" s="155"/>
      <c r="K88" s="155"/>
      <c r="L88" s="155"/>
      <c r="M88" s="155"/>
      <c r="N88" s="155"/>
      <c r="O88" s="157"/>
      <c r="P88" s="125"/>
      <c r="Q88" s="125"/>
      <c r="R88" s="201"/>
      <c r="S88" s="198"/>
    </row>
    <row r="89" spans="1:19" s="112" customFormat="1">
      <c r="A89" s="126" t="s">
        <v>509</v>
      </c>
      <c r="B89" s="161">
        <f t="shared" ref="B89:O89" si="25">SUM(B78:B88)</f>
        <v>1224166.7877492213</v>
      </c>
      <c r="C89" s="161">
        <f t="shared" si="25"/>
        <v>998355.96472347097</v>
      </c>
      <c r="D89" s="161">
        <f t="shared" si="25"/>
        <v>952490.53045568662</v>
      </c>
      <c r="E89" s="161">
        <f t="shared" si="25"/>
        <v>970461.75554397306</v>
      </c>
      <c r="F89" s="161">
        <f t="shared" si="25"/>
        <v>1072467.4919895276</v>
      </c>
      <c r="G89" s="161">
        <f t="shared" si="25"/>
        <v>1131373.4722588477</v>
      </c>
      <c r="H89" s="161">
        <f t="shared" si="25"/>
        <v>1145447.7050690493</v>
      </c>
      <c r="I89" s="161">
        <f t="shared" si="25"/>
        <v>1302275.2178136506</v>
      </c>
      <c r="J89" s="161">
        <f t="shared" si="25"/>
        <v>1112956.5793684132</v>
      </c>
      <c r="K89" s="161">
        <f t="shared" si="25"/>
        <v>1051358.075843482</v>
      </c>
      <c r="L89" s="161">
        <f t="shared" si="25"/>
        <v>909175.4761388253</v>
      </c>
      <c r="M89" s="161">
        <f t="shared" si="25"/>
        <v>882371.09153329744</v>
      </c>
      <c r="N89" s="161">
        <f t="shared" si="25"/>
        <v>12752900.148487445</v>
      </c>
      <c r="O89" s="161">
        <f t="shared" si="25"/>
        <v>1302843.7050690493</v>
      </c>
      <c r="P89" s="159">
        <f>+O89/$O$91</f>
        <v>2.7836267815052069E-2</v>
      </c>
      <c r="Q89" s="126"/>
      <c r="R89" s="200">
        <f>SUM(R78:R88)</f>
        <v>519212.0678207645</v>
      </c>
      <c r="S89" s="198">
        <f>+R89/$R$91</f>
        <v>1.265958053226585E-2</v>
      </c>
    </row>
    <row r="90" spans="1:19" s="112" customFormat="1">
      <c r="A90" s="125"/>
      <c r="B90" s="155"/>
      <c r="C90" s="155"/>
      <c r="D90" s="155"/>
      <c r="E90" s="155"/>
      <c r="F90" s="155"/>
      <c r="G90" s="155"/>
      <c r="H90" s="155"/>
      <c r="I90" s="155"/>
      <c r="J90" s="155"/>
      <c r="K90" s="155"/>
      <c r="L90" s="155"/>
      <c r="M90" s="155"/>
      <c r="N90" s="155"/>
      <c r="O90" s="157"/>
      <c r="P90" s="125"/>
      <c r="Q90" s="125"/>
      <c r="R90" s="201"/>
      <c r="S90" s="198"/>
    </row>
    <row r="91" spans="1:19" s="112" customFormat="1" ht="13.8" thickBot="1">
      <c r="A91" s="126" t="s">
        <v>452</v>
      </c>
      <c r="B91" s="160">
        <f t="shared" ref="B91:O91" si="26">+B75+B89</f>
        <v>46165489.049357295</v>
      </c>
      <c r="C91" s="160">
        <f t="shared" si="26"/>
        <v>43166526.519675605</v>
      </c>
      <c r="D91" s="160">
        <f t="shared" si="26"/>
        <v>38429383.81002517</v>
      </c>
      <c r="E91" s="160">
        <f t="shared" si="26"/>
        <v>35990503.794642456</v>
      </c>
      <c r="F91" s="160">
        <f t="shared" si="26"/>
        <v>36474796.220073953</v>
      </c>
      <c r="G91" s="160">
        <f t="shared" si="26"/>
        <v>38613914.499326944</v>
      </c>
      <c r="H91" s="160">
        <f t="shared" si="26"/>
        <v>38809531.923161581</v>
      </c>
      <c r="I91" s="160">
        <f t="shared" si="26"/>
        <v>38662524.997142926</v>
      </c>
      <c r="J91" s="160">
        <f t="shared" si="26"/>
        <v>40871495.20513498</v>
      </c>
      <c r="K91" s="160">
        <f t="shared" si="26"/>
        <v>39646084.674418814</v>
      </c>
      <c r="L91" s="160">
        <f t="shared" si="26"/>
        <v>42248645.61214079</v>
      </c>
      <c r="M91" s="160">
        <f t="shared" si="26"/>
        <v>40698669.408488639</v>
      </c>
      <c r="N91" s="160">
        <f t="shared" si="26"/>
        <v>479777565.71358919</v>
      </c>
      <c r="O91" s="160">
        <f t="shared" si="26"/>
        <v>46803821.321353823</v>
      </c>
      <c r="P91" s="159">
        <f>+O91/$O$91</f>
        <v>1</v>
      </c>
      <c r="Q91" s="125"/>
      <c r="R91" s="204">
        <f>+R75+R89</f>
        <v>41013370.585023195</v>
      </c>
      <c r="S91" s="198">
        <f>+R91/$R$91</f>
        <v>1</v>
      </c>
    </row>
    <row r="92" spans="1:19" s="112" customFormat="1" ht="13.8" thickTop="1">
      <c r="B92" s="156"/>
      <c r="C92" s="156"/>
      <c r="D92" s="156"/>
      <c r="E92" s="156"/>
      <c r="F92" s="156"/>
      <c r="G92" s="156"/>
      <c r="H92" s="156"/>
      <c r="I92" s="156"/>
      <c r="J92" s="156"/>
      <c r="K92" s="156"/>
      <c r="L92" s="156"/>
      <c r="M92" s="156"/>
      <c r="N92" s="156"/>
      <c r="S92" s="198"/>
    </row>
    <row r="93" spans="1:19" s="112" customFormat="1">
      <c r="B93" s="156"/>
      <c r="C93" s="156"/>
      <c r="D93" s="156"/>
      <c r="E93" s="156"/>
      <c r="F93" s="156"/>
      <c r="G93" s="156"/>
      <c r="H93" s="156"/>
      <c r="I93" s="156"/>
      <c r="J93" s="156"/>
      <c r="K93" s="156"/>
      <c r="L93" s="156"/>
      <c r="M93" s="156"/>
      <c r="N93" s="156"/>
    </row>
    <row r="94" spans="1:19" s="112" customFormat="1">
      <c r="B94" s="156"/>
      <c r="C94" s="156"/>
      <c r="D94" s="156"/>
      <c r="E94" s="156"/>
      <c r="F94" s="156"/>
      <c r="G94" s="156"/>
      <c r="H94" s="156"/>
      <c r="I94" s="156"/>
      <c r="J94" s="156"/>
      <c r="K94" s="156"/>
      <c r="L94" s="156"/>
      <c r="M94" s="156"/>
      <c r="N94" s="156"/>
    </row>
    <row r="95" spans="1:19" s="112" customFormat="1">
      <c r="B95" s="156"/>
      <c r="C95" s="156"/>
      <c r="D95" s="156"/>
      <c r="E95" s="156"/>
      <c r="F95" s="156"/>
      <c r="G95" s="156"/>
      <c r="H95" s="156"/>
      <c r="I95" s="156"/>
      <c r="J95" s="156"/>
      <c r="K95" s="156"/>
      <c r="L95" s="156"/>
      <c r="M95" s="156"/>
      <c r="N95" s="156"/>
    </row>
    <row r="96" spans="1:19" s="112" customFormat="1" ht="21">
      <c r="A96" s="124" t="s">
        <v>532</v>
      </c>
      <c r="B96" s="165"/>
      <c r="C96" s="165"/>
      <c r="D96" s="165"/>
      <c r="E96" s="165"/>
      <c r="F96" s="165"/>
      <c r="G96" s="165"/>
      <c r="H96" s="165"/>
      <c r="I96" s="165"/>
      <c r="J96" s="165"/>
      <c r="K96" s="165"/>
      <c r="L96" s="165"/>
      <c r="M96" s="165"/>
      <c r="N96" s="165"/>
      <c r="O96" s="165"/>
      <c r="P96" s="172"/>
      <c r="Q96" s="172"/>
      <c r="R96" s="172"/>
      <c r="S96" s="172"/>
    </row>
    <row r="97" spans="1:19" s="112" customFormat="1" ht="21">
      <c r="A97" s="124" t="str">
        <f>MANUAL!$B$11&amp;" - SUBSEQUENT YEAR"</f>
        <v>2018 - SUBSEQUENT YEAR</v>
      </c>
      <c r="B97" s="165"/>
      <c r="C97" s="165"/>
      <c r="D97" s="165"/>
      <c r="E97" s="165"/>
      <c r="F97" s="165"/>
      <c r="G97" s="165"/>
      <c r="H97" s="165"/>
      <c r="I97" s="165"/>
      <c r="J97" s="165"/>
      <c r="K97" s="165"/>
      <c r="L97" s="165"/>
      <c r="M97" s="165"/>
      <c r="N97" s="165"/>
      <c r="O97" s="165"/>
      <c r="P97" s="172"/>
      <c r="Q97" s="172"/>
      <c r="R97" s="172"/>
      <c r="S97" s="172"/>
    </row>
    <row r="98" spans="1:19" s="112" customFormat="1" ht="21.6" thickBot="1">
      <c r="A98" s="124"/>
      <c r="B98" s="165"/>
      <c r="C98" s="165"/>
      <c r="D98" s="165"/>
      <c r="E98" s="165"/>
      <c r="F98" s="165"/>
      <c r="G98" s="165"/>
      <c r="H98" s="165"/>
      <c r="I98" s="165"/>
      <c r="J98" s="165"/>
      <c r="K98" s="165"/>
      <c r="L98" s="165"/>
      <c r="M98" s="165"/>
      <c r="N98" s="165"/>
      <c r="O98" s="165"/>
      <c r="P98" s="172"/>
      <c r="Q98" s="172"/>
      <c r="R98" s="172"/>
      <c r="S98" s="172"/>
    </row>
    <row r="99" spans="1:19" s="112" customFormat="1" ht="13.8" thickBot="1">
      <c r="A99" s="168"/>
      <c r="B99" s="572" t="s">
        <v>339</v>
      </c>
      <c r="C99" s="573"/>
      <c r="D99" s="574"/>
      <c r="E99" s="575" t="s">
        <v>340</v>
      </c>
      <c r="F99" s="576"/>
      <c r="G99" s="576"/>
      <c r="H99" s="576"/>
      <c r="I99" s="576"/>
      <c r="J99" s="576"/>
      <c r="K99" s="577"/>
      <c r="L99" s="572" t="s">
        <v>339</v>
      </c>
      <c r="M99" s="574"/>
      <c r="N99" s="166"/>
      <c r="O99" s="164"/>
      <c r="P99" s="164"/>
      <c r="Q99" s="164"/>
      <c r="R99" s="154"/>
      <c r="S99" s="154"/>
    </row>
    <row r="100" spans="1:19" s="112" customFormat="1" ht="13.8" thickBot="1">
      <c r="A100" s="171" t="s">
        <v>454</v>
      </c>
      <c r="B100" s="100" t="s">
        <v>70</v>
      </c>
      <c r="C100" s="100" t="s">
        <v>71</v>
      </c>
      <c r="D100" s="100" t="s">
        <v>72</v>
      </c>
      <c r="E100" s="103" t="s">
        <v>73</v>
      </c>
      <c r="F100" s="103" t="s">
        <v>74</v>
      </c>
      <c r="G100" s="103" t="s">
        <v>75</v>
      </c>
      <c r="H100" s="103" t="s">
        <v>76</v>
      </c>
      <c r="I100" s="103" t="s">
        <v>77</v>
      </c>
      <c r="J100" s="103" t="s">
        <v>78</v>
      </c>
      <c r="K100" s="103" t="s">
        <v>79</v>
      </c>
      <c r="L100" s="100" t="s">
        <v>80</v>
      </c>
      <c r="M100" s="100" t="s">
        <v>81</v>
      </c>
      <c r="N100" s="170" t="s">
        <v>60</v>
      </c>
      <c r="O100" s="348" t="s">
        <v>133</v>
      </c>
      <c r="P100" s="348" t="s">
        <v>455</v>
      </c>
      <c r="Q100" s="165"/>
      <c r="R100" s="578" t="s">
        <v>456</v>
      </c>
      <c r="S100" s="579"/>
    </row>
    <row r="101" spans="1:19" s="112" customFormat="1">
      <c r="A101" s="168"/>
      <c r="B101" s="167"/>
      <c r="C101" s="167"/>
      <c r="D101" s="167"/>
      <c r="E101" s="167"/>
      <c r="F101" s="167"/>
      <c r="G101" s="167"/>
      <c r="H101" s="167"/>
      <c r="I101" s="167"/>
      <c r="J101" s="167"/>
      <c r="K101" s="167"/>
      <c r="L101" s="167"/>
      <c r="M101" s="167"/>
      <c r="N101" s="166"/>
      <c r="O101" s="165"/>
      <c r="P101" s="164"/>
      <c r="Q101" s="164"/>
      <c r="R101" s="154"/>
      <c r="S101" s="154"/>
    </row>
    <row r="102" spans="1:19" s="112" customFormat="1">
      <c r="A102" s="42" t="s">
        <v>83</v>
      </c>
      <c r="B102" s="81"/>
      <c r="C102" s="81"/>
      <c r="D102" s="81"/>
      <c r="E102" s="81"/>
      <c r="F102" s="81"/>
      <c r="G102" s="81"/>
      <c r="H102" s="81"/>
      <c r="I102" s="81"/>
      <c r="J102" s="81"/>
      <c r="K102" s="81"/>
      <c r="L102" s="81"/>
      <c r="M102" s="81"/>
      <c r="N102" s="81"/>
      <c r="O102" s="81"/>
      <c r="P102" s="81"/>
      <c r="Q102" s="81"/>
      <c r="R102" s="81"/>
      <c r="S102" s="81"/>
    </row>
    <row r="103" spans="1:19" s="112" customFormat="1">
      <c r="A103" s="163" t="s">
        <v>84</v>
      </c>
      <c r="B103" s="162">
        <f>+'CILC-1D'!C$73</f>
        <v>439976.49719360896</v>
      </c>
      <c r="C103" s="162">
        <f>+'CILC-1D'!D$73</f>
        <v>444334.37262267567</v>
      </c>
      <c r="D103" s="162">
        <f>+'CILC-1D'!E$73</f>
        <v>405842.34870388365</v>
      </c>
      <c r="E103" s="162">
        <f>+'CILC-1D'!F$73</f>
        <v>420958.33952216589</v>
      </c>
      <c r="F103" s="162">
        <f>+'CILC-1D'!G$73</f>
        <v>418688.51125754014</v>
      </c>
      <c r="G103" s="162">
        <f>+'CILC-1D'!H$73</f>
        <v>443525.32008949743</v>
      </c>
      <c r="H103" s="162">
        <f>+'CILC-1D'!I$73</f>
        <v>439459.74787267635</v>
      </c>
      <c r="I103" s="162">
        <f>+'CILC-1D'!J$73</f>
        <v>435990.34391469735</v>
      </c>
      <c r="J103" s="162">
        <f>+'CILC-1D'!K$73</f>
        <v>446181.21917275118</v>
      </c>
      <c r="K103" s="162">
        <f>+'CILC-1D'!L$73</f>
        <v>424300.84902003105</v>
      </c>
      <c r="L103" s="162">
        <f>+'CILC-1D'!M$73</f>
        <v>428014.13418541849</v>
      </c>
      <c r="M103" s="162">
        <f>+'CILC-1D'!N$73</f>
        <v>430600.60257030284</v>
      </c>
      <c r="N103" s="162">
        <f t="shared" ref="N103:N119" si="27">SUM(B103:M103)</f>
        <v>5177872.2861252492</v>
      </c>
      <c r="O103" s="158">
        <f t="shared" ref="O103:O119" si="28">MAX(B103:M103)</f>
        <v>446181.21917275118</v>
      </c>
      <c r="P103" s="159">
        <f>+O103/$O$137</f>
        <v>9.498252297173387E-3</v>
      </c>
      <c r="Q103" s="154"/>
      <c r="R103" s="197">
        <v>526119.69013527338</v>
      </c>
      <c r="S103" s="198">
        <f t="shared" ref="S103:S119" si="29">+R103/$R$91</f>
        <v>1.2828004200352065E-2</v>
      </c>
    </row>
    <row r="104" spans="1:19" s="112" customFormat="1">
      <c r="A104" s="163" t="s">
        <v>85</v>
      </c>
      <c r="B104" s="162">
        <f>+'CILC-1G'!C$73</f>
        <v>17213.830583137551</v>
      </c>
      <c r="C104" s="162">
        <f>+'CILC-1G'!D$73</f>
        <v>17563.855236879048</v>
      </c>
      <c r="D104" s="162">
        <f>+'CILC-1G'!E$73</f>
        <v>15693.132474603843</v>
      </c>
      <c r="E104" s="162">
        <f>+'CILC-1G'!F$73</f>
        <v>16247.407313743797</v>
      </c>
      <c r="F104" s="162">
        <f>+'CILC-1G'!G$73</f>
        <v>16632.217245948472</v>
      </c>
      <c r="G104" s="162">
        <f>+'CILC-1G'!H$73</f>
        <v>17509.081160062131</v>
      </c>
      <c r="H104" s="162">
        <f>+'CILC-1G'!I$73</f>
        <v>17191.716453297566</v>
      </c>
      <c r="I104" s="162">
        <f>+'CILC-1G'!J$73</f>
        <v>17297.776178609831</v>
      </c>
      <c r="J104" s="162">
        <f>+'CILC-1G'!K$73</f>
        <v>17694.411938536574</v>
      </c>
      <c r="K104" s="162">
        <f>+'CILC-1G'!L$73</f>
        <v>16654.782503893177</v>
      </c>
      <c r="L104" s="162">
        <f>+'CILC-1G'!M$73</f>
        <v>16803.705276804441</v>
      </c>
      <c r="M104" s="162">
        <f>+'CILC-1G'!N$73</f>
        <v>17139.835287756217</v>
      </c>
      <c r="N104" s="162">
        <f t="shared" si="27"/>
        <v>203641.75165327266</v>
      </c>
      <c r="O104" s="158">
        <f t="shared" si="28"/>
        <v>17694.411938536574</v>
      </c>
      <c r="P104" s="159">
        <f t="shared" ref="P104:P119" si="30">+O104/$O$137</f>
        <v>3.766765198094676E-4</v>
      </c>
      <c r="Q104" s="154"/>
      <c r="R104" s="197">
        <v>34155.053867445218</v>
      </c>
      <c r="S104" s="198">
        <f t="shared" si="29"/>
        <v>8.3277851540242782E-4</v>
      </c>
    </row>
    <row r="105" spans="1:19" s="112" customFormat="1">
      <c r="A105" s="163" t="s">
        <v>50</v>
      </c>
      <c r="B105" s="162">
        <f>+'CILC-1T'!C$73</f>
        <v>233013.00815124941</v>
      </c>
      <c r="C105" s="162">
        <f>+'CILC-1T'!D$73</f>
        <v>246679.31018013397</v>
      </c>
      <c r="D105" s="162">
        <f>+'CILC-1T'!E$73</f>
        <v>226031.10440446486</v>
      </c>
      <c r="E105" s="162">
        <f>+'CILC-1T'!F$73</f>
        <v>234712.90394632716</v>
      </c>
      <c r="F105" s="162">
        <f>+'CILC-1T'!G$73</f>
        <v>222089.45405944609</v>
      </c>
      <c r="G105" s="162">
        <f>+'CILC-1T'!H$73</f>
        <v>245393.14342016069</v>
      </c>
      <c r="H105" s="162">
        <f>+'CILC-1T'!I$73</f>
        <v>235166.01081140072</v>
      </c>
      <c r="I105" s="162">
        <f>+'CILC-1T'!J$73</f>
        <v>231046.81561098265</v>
      </c>
      <c r="J105" s="162">
        <f>+'CILC-1T'!K$73</f>
        <v>252981.3465033937</v>
      </c>
      <c r="K105" s="162">
        <f>+'CILC-1T'!L$73</f>
        <v>232933.67691099556</v>
      </c>
      <c r="L105" s="162">
        <f>+'CILC-1T'!M$73</f>
        <v>249768.43936623551</v>
      </c>
      <c r="M105" s="162">
        <f>+'CILC-1T'!N$73</f>
        <v>239208.20884994659</v>
      </c>
      <c r="N105" s="162">
        <f t="shared" si="27"/>
        <v>2849023.4222147367</v>
      </c>
      <c r="O105" s="158">
        <f t="shared" si="28"/>
        <v>252981.3465033937</v>
      </c>
      <c r="P105" s="159">
        <f t="shared" si="30"/>
        <v>5.3854365722138002E-3</v>
      </c>
      <c r="Q105" s="154"/>
      <c r="R105" s="197">
        <v>279555.84530863696</v>
      </c>
      <c r="S105" s="198">
        <f t="shared" si="29"/>
        <v>6.8162124039305863E-3</v>
      </c>
    </row>
    <row r="106" spans="1:19" s="112" customFormat="1">
      <c r="A106" s="163" t="s">
        <v>49</v>
      </c>
      <c r="B106" s="162">
        <f>+'GS(T)-1'!C$74</f>
        <v>2113843.1806581612</v>
      </c>
      <c r="C106" s="162">
        <f>+'GS(T)-1'!D$74</f>
        <v>1992184.8410122355</v>
      </c>
      <c r="D106" s="162">
        <f>+'GS(T)-1'!E$74</f>
        <v>1850305.0630319999</v>
      </c>
      <c r="E106" s="162">
        <f>+'GS(T)-1'!F$74</f>
        <v>1862090.9876254874</v>
      </c>
      <c r="F106" s="162">
        <f>+'GS(T)-1'!G$74</f>
        <v>1941571.7759636147</v>
      </c>
      <c r="G106" s="162">
        <f>+'GS(T)-1'!H$74</f>
        <v>2117281.5335707809</v>
      </c>
      <c r="H106" s="162">
        <f>+'GS(T)-1'!I$74</f>
        <v>2084785.0724951217</v>
      </c>
      <c r="I106" s="162">
        <f>+'GS(T)-1'!J$74</f>
        <v>2055201.4303375741</v>
      </c>
      <c r="J106" s="162">
        <f>+'GS(T)-1'!K$74</f>
        <v>2155409.6075348491</v>
      </c>
      <c r="K106" s="162">
        <f>+'GS(T)-1'!L$74</f>
        <v>2010013.7668199763</v>
      </c>
      <c r="L106" s="162">
        <f>+'GS(T)-1'!M$74</f>
        <v>2056997.6213624156</v>
      </c>
      <c r="M106" s="162">
        <f>+'GS(T)-1'!N$74</f>
        <v>2007596.6533741408</v>
      </c>
      <c r="N106" s="162">
        <f t="shared" si="27"/>
        <v>24247281.533786353</v>
      </c>
      <c r="O106" s="158">
        <f t="shared" si="28"/>
        <v>2155409.6075348491</v>
      </c>
      <c r="P106" s="159">
        <f t="shared" si="30"/>
        <v>4.5884101294256706E-2</v>
      </c>
      <c r="Q106" s="154"/>
      <c r="R106" s="197">
        <v>2076304.5902797044</v>
      </c>
      <c r="S106" s="198">
        <f t="shared" si="29"/>
        <v>5.0625065939786627E-2</v>
      </c>
    </row>
    <row r="107" spans="1:19" s="112" customFormat="1">
      <c r="A107" s="163" t="s">
        <v>325</v>
      </c>
      <c r="B107" s="162">
        <f>+'GSCU-1'!C$74</f>
        <v>8588.0002967091095</v>
      </c>
      <c r="C107" s="162">
        <f>+'GSCU-1'!D$74</f>
        <v>9393.4142669052762</v>
      </c>
      <c r="D107" s="162">
        <f>+'GSCU-1'!E$74</f>
        <v>8949.1726749414593</v>
      </c>
      <c r="E107" s="162">
        <f>+'GSCU-1'!F$74</f>
        <v>8686.2252227215868</v>
      </c>
      <c r="F107" s="162">
        <f>+'GSCU-1'!G$74</f>
        <v>8821.7218010160232</v>
      </c>
      <c r="G107" s="162">
        <f>+'GSCU-1'!H$74</f>
        <v>8998.6858175474536</v>
      </c>
      <c r="H107" s="162">
        <f>+'GSCU-1'!I$74</f>
        <v>8548.9609338665232</v>
      </c>
      <c r="I107" s="162">
        <f>+'GSCU-1'!J$74</f>
        <v>8851.5968546986278</v>
      </c>
      <c r="J107" s="162">
        <f>+'GSCU-1'!K$74</f>
        <v>8952.3178796201628</v>
      </c>
      <c r="K107" s="162">
        <f>+'GSCU-1'!L$74</f>
        <v>8937.2300570708412</v>
      </c>
      <c r="L107" s="162">
        <f>+'GSCU-1'!M$74</f>
        <v>8822.2815033718252</v>
      </c>
      <c r="M107" s="162">
        <f>+'GSCU-1'!N$74</f>
        <v>8870.6852978329098</v>
      </c>
      <c r="N107" s="162">
        <f t="shared" si="27"/>
        <v>106420.29260630181</v>
      </c>
      <c r="O107" s="158">
        <f t="shared" si="28"/>
        <v>9393.4142669052762</v>
      </c>
      <c r="P107" s="159">
        <f t="shared" si="30"/>
        <v>1.9996587665513092E-4</v>
      </c>
      <c r="Q107" s="154"/>
      <c r="R107" s="197">
        <v>4241.0553106032148</v>
      </c>
      <c r="S107" s="198">
        <f t="shared" si="29"/>
        <v>1.0340665129707521E-4</v>
      </c>
    </row>
    <row r="108" spans="1:19" s="112" customFormat="1">
      <c r="A108" s="163" t="s">
        <v>67</v>
      </c>
      <c r="B108" s="162">
        <f>+'GSD(T)-1'!C$74</f>
        <v>6053326.5818369249</v>
      </c>
      <c r="C108" s="162">
        <f>+'GSD(T)-1'!D$74</f>
        <v>5825079.8050292209</v>
      </c>
      <c r="D108" s="162">
        <f>+'GSD(T)-1'!E$74</f>
        <v>5435621.7020224277</v>
      </c>
      <c r="E108" s="162">
        <f>+'GSD(T)-1'!F$74</f>
        <v>5598465.471879676</v>
      </c>
      <c r="F108" s="162">
        <f>+'GSD(T)-1'!G$74</f>
        <v>5773509.3970357897</v>
      </c>
      <c r="G108" s="162">
        <f>+'GSD(T)-1'!H$74</f>
        <v>6157330.4697028408</v>
      </c>
      <c r="H108" s="162">
        <f>+'GSD(T)-1'!I$74</f>
        <v>6043728.3967083758</v>
      </c>
      <c r="I108" s="162">
        <f>+'GSD(T)-1'!J$74</f>
        <v>6003184.6555039501</v>
      </c>
      <c r="J108" s="162">
        <f>+'GSD(T)-1'!K$74</f>
        <v>6267740.1214928403</v>
      </c>
      <c r="K108" s="162">
        <f>+'GSD(T)-1'!L$74</f>
        <v>5954281.4551962418</v>
      </c>
      <c r="L108" s="162">
        <f>+'GSD(T)-1'!M$74</f>
        <v>5969309.5047002584</v>
      </c>
      <c r="M108" s="162">
        <f>+'GSD(T)-1'!N$74</f>
        <v>5793763.2245934522</v>
      </c>
      <c r="N108" s="162">
        <f t="shared" si="27"/>
        <v>70875340.78570199</v>
      </c>
      <c r="O108" s="158">
        <f t="shared" si="28"/>
        <v>6267740.1214928403</v>
      </c>
      <c r="P108" s="159">
        <f t="shared" si="30"/>
        <v>0.13342690021205378</v>
      </c>
      <c r="Q108" s="154"/>
      <c r="R108" s="197">
        <v>5763794.1248429315</v>
      </c>
      <c r="S108" s="198">
        <f t="shared" si="29"/>
        <v>0.14053451454067248</v>
      </c>
    </row>
    <row r="109" spans="1:19" s="112" customFormat="1">
      <c r="A109" s="163" t="s">
        <v>68</v>
      </c>
      <c r="B109" s="162">
        <f>+'GSLD(T)-1'!C$73</f>
        <v>2110577.4202683987</v>
      </c>
      <c r="C109" s="162">
        <f>+'GSLD(T)-1'!D$73</f>
        <v>2073082.0240497014</v>
      </c>
      <c r="D109" s="162">
        <f>+'GSLD(T)-1'!E$73</f>
        <v>1963441.6713403258</v>
      </c>
      <c r="E109" s="162">
        <f>+'GSLD(T)-1'!F$73</f>
        <v>1994339.0424477945</v>
      </c>
      <c r="F109" s="162">
        <f>+'GSLD(T)-1'!G$73</f>
        <v>2108868.4591746437</v>
      </c>
      <c r="G109" s="162">
        <f>+'GSLD(T)-1'!H$73</f>
        <v>2248788.7256974285</v>
      </c>
      <c r="H109" s="162">
        <f>+'GSLD(T)-1'!I$73</f>
        <v>2121829.2884894093</v>
      </c>
      <c r="I109" s="162">
        <f>+'GSLD(T)-1'!J$73</f>
        <v>2161908.0695812912</v>
      </c>
      <c r="J109" s="162">
        <f>+'GSLD(T)-1'!K$73</f>
        <v>2278363.6315221656</v>
      </c>
      <c r="K109" s="162">
        <f>+'GSLD(T)-1'!L$73</f>
        <v>2153798.5399206942</v>
      </c>
      <c r="L109" s="162">
        <f>+'GSLD(T)-1'!M$73</f>
        <v>2135373.6489866525</v>
      </c>
      <c r="M109" s="162">
        <f>+'GSLD(T)-1'!N$73</f>
        <v>2160837.2595794871</v>
      </c>
      <c r="N109" s="162">
        <f t="shared" si="27"/>
        <v>25511207.781057991</v>
      </c>
      <c r="O109" s="158">
        <f t="shared" si="28"/>
        <v>2278363.6315221656</v>
      </c>
      <c r="P109" s="159">
        <f t="shared" si="30"/>
        <v>4.8501531814863351E-2</v>
      </c>
      <c r="Q109" s="154"/>
      <c r="R109" s="197">
        <v>1129352.4073638895</v>
      </c>
      <c r="S109" s="198">
        <f t="shared" si="29"/>
        <v>2.7536200786586747E-2</v>
      </c>
    </row>
    <row r="110" spans="1:19" s="112" customFormat="1">
      <c r="A110" s="163" t="s">
        <v>69</v>
      </c>
      <c r="B110" s="162">
        <f>+'GSLD(T)-2'!C$73</f>
        <v>449266.43708169082</v>
      </c>
      <c r="C110" s="162">
        <f>+'GSLD(T)-2'!D$73</f>
        <v>436481.0853330142</v>
      </c>
      <c r="D110" s="162">
        <f>+'GSLD(T)-2'!E$73</f>
        <v>406792.58776793798</v>
      </c>
      <c r="E110" s="162">
        <f>+'GSLD(T)-2'!F$73</f>
        <v>414913.51785381761</v>
      </c>
      <c r="F110" s="162">
        <f>+'GSLD(T)-2'!G$73</f>
        <v>421827.55374563584</v>
      </c>
      <c r="G110" s="162">
        <f>+'GSLD(T)-2'!H$73</f>
        <v>437682.08387955517</v>
      </c>
      <c r="H110" s="162">
        <f>+'GSLD(T)-2'!I$73</f>
        <v>444336.02734733146</v>
      </c>
      <c r="I110" s="162">
        <f>+'GSLD(T)-2'!J$73</f>
        <v>439600.18250594579</v>
      </c>
      <c r="J110" s="162">
        <f>+'GSLD(T)-2'!K$73</f>
        <v>457843.27157036646</v>
      </c>
      <c r="K110" s="162">
        <f>+'GSLD(T)-2'!L$73</f>
        <v>435646.47432562406</v>
      </c>
      <c r="L110" s="162">
        <f>+'GSLD(T)-2'!M$73</f>
        <v>442300.90097210009</v>
      </c>
      <c r="M110" s="162">
        <f>+'GSLD(T)-2'!N$73</f>
        <v>442713.68422670598</v>
      </c>
      <c r="N110" s="162">
        <f t="shared" si="27"/>
        <v>5229403.8066097246</v>
      </c>
      <c r="O110" s="158">
        <f t="shared" si="28"/>
        <v>457843.27157036646</v>
      </c>
      <c r="P110" s="159">
        <f t="shared" si="30"/>
        <v>9.7465126703481664E-3</v>
      </c>
      <c r="Q110" s="154"/>
      <c r="R110" s="197">
        <v>173063.67417569636</v>
      </c>
      <c r="S110" s="198">
        <f t="shared" si="29"/>
        <v>4.2196891332528961E-3</v>
      </c>
    </row>
    <row r="111" spans="1:19" s="112" customFormat="1">
      <c r="A111" s="163" t="s">
        <v>52</v>
      </c>
      <c r="B111" s="162">
        <f>+'GSLD(T)-3'!C$73</f>
        <v>35571.105007258411</v>
      </c>
      <c r="C111" s="162">
        <f>+'GSLD(T)-3'!D$73</f>
        <v>43612.119502022644</v>
      </c>
      <c r="D111" s="162">
        <f>+'GSLD(T)-3'!E$73</f>
        <v>37021.299709719096</v>
      </c>
      <c r="E111" s="162">
        <f>+'GSLD(T)-3'!F$73</f>
        <v>38357.147523327163</v>
      </c>
      <c r="F111" s="162">
        <f>+'GSLD(T)-3'!G$73</f>
        <v>38798.099941724882</v>
      </c>
      <c r="G111" s="162">
        <f>+'GSLD(T)-3'!H$73</f>
        <v>42238.228394773621</v>
      </c>
      <c r="H111" s="162">
        <f>+'GSLD(T)-3'!I$73</f>
        <v>33914.297132359825</v>
      </c>
      <c r="I111" s="162">
        <f>+'GSLD(T)-3'!J$73</f>
        <v>33141.989966329362</v>
      </c>
      <c r="J111" s="162">
        <f>+'GSLD(T)-3'!K$73</f>
        <v>33641.250674188552</v>
      </c>
      <c r="K111" s="162">
        <f>+'GSLD(T)-3'!L$73</f>
        <v>33233.678117677147</v>
      </c>
      <c r="L111" s="162">
        <f>+'GSLD(T)-3'!M$73</f>
        <v>34585.537375051186</v>
      </c>
      <c r="M111" s="162">
        <f>+'GSLD(T)-3'!N$73</f>
        <v>32713.0663788694</v>
      </c>
      <c r="N111" s="162">
        <f t="shared" si="27"/>
        <v>436827.81972330128</v>
      </c>
      <c r="O111" s="158">
        <f t="shared" si="28"/>
        <v>43612.119502022644</v>
      </c>
      <c r="P111" s="159">
        <f t="shared" si="30"/>
        <v>9.2840957091988889E-4</v>
      </c>
      <c r="Q111" s="154"/>
      <c r="R111" s="197">
        <v>52506.217302616191</v>
      </c>
      <c r="S111" s="198">
        <f t="shared" si="29"/>
        <v>1.280221950882277E-3</v>
      </c>
    </row>
    <row r="112" spans="1:19" s="112" customFormat="1">
      <c r="A112" s="163" t="s">
        <v>15</v>
      </c>
      <c r="B112" s="162">
        <f>+MET!C$73</f>
        <v>18782.4875102281</v>
      </c>
      <c r="C112" s="162">
        <f>+MET!D$73</f>
        <v>19920.86989770017</v>
      </c>
      <c r="D112" s="162">
        <f>+MET!E$73</f>
        <v>16355.792394271068</v>
      </c>
      <c r="E112" s="162">
        <f>+MET!F$73</f>
        <v>19332.078915559985</v>
      </c>
      <c r="F112" s="162">
        <f>+MET!G$73</f>
        <v>18783.854756211113</v>
      </c>
      <c r="G112" s="162">
        <f>+MET!H$73</f>
        <v>19898.022935342375</v>
      </c>
      <c r="H112" s="162">
        <f>+MET!I$73</f>
        <v>20696.794304219256</v>
      </c>
      <c r="I112" s="162">
        <f>+MET!J$73</f>
        <v>20379.9660969711</v>
      </c>
      <c r="J112" s="162">
        <f>+MET!K$73</f>
        <v>21114.022004504906</v>
      </c>
      <c r="K112" s="162">
        <f>+MET!L$73</f>
        <v>19967.213776121618</v>
      </c>
      <c r="L112" s="162">
        <f>+MET!M$73</f>
        <v>18688.810824983462</v>
      </c>
      <c r="M112" s="162">
        <f>+MET!N$73</f>
        <v>16594.849116187648</v>
      </c>
      <c r="N112" s="162">
        <f t="shared" si="27"/>
        <v>230514.76253230084</v>
      </c>
      <c r="O112" s="158">
        <f t="shared" si="28"/>
        <v>21114.022004504906</v>
      </c>
      <c r="P112" s="159">
        <f t="shared" si="30"/>
        <v>4.4947276888678543E-4</v>
      </c>
      <c r="Q112" s="154"/>
      <c r="R112" s="197">
        <v>23922.005479982858</v>
      </c>
      <c r="S112" s="198">
        <f t="shared" si="29"/>
        <v>5.8327333595738239E-4</v>
      </c>
    </row>
    <row r="113" spans="1:19" s="112" customFormat="1">
      <c r="A113" s="163" t="s">
        <v>56</v>
      </c>
      <c r="B113" s="162">
        <f>+'OL-1'!C$73</f>
        <v>19792.981217630091</v>
      </c>
      <c r="C113" s="162">
        <f>+'OL-1'!D$73</f>
        <v>22823.105336463726</v>
      </c>
      <c r="D113" s="162">
        <f>+'OL-1'!E$73</f>
        <v>21903.874691940029</v>
      </c>
      <c r="E113" s="162">
        <f>+'OL-1'!F$73</f>
        <v>24097.062742550355</v>
      </c>
      <c r="F113" s="162">
        <f>+'OL-1'!G$73</f>
        <v>24674.871451979074</v>
      </c>
      <c r="G113" s="162">
        <f>+'OL-1'!H$73</f>
        <v>26235.774346634145</v>
      </c>
      <c r="H113" s="162">
        <f>+'OL-1'!I$73</f>
        <v>25042.26452525302</v>
      </c>
      <c r="I113" s="162">
        <f>+'OL-1'!J$73</f>
        <v>23834.288611680935</v>
      </c>
      <c r="J113" s="162">
        <f>+'OL-1'!K$73</f>
        <v>23097.633564711916</v>
      </c>
      <c r="K113" s="162">
        <f>+'OL-1'!L$73</f>
        <v>20977.530499756325</v>
      </c>
      <c r="L113" s="162">
        <f>+'OL-1'!M$73</f>
        <v>20600.331814892688</v>
      </c>
      <c r="M113" s="162">
        <f>+'OL-1'!N$73</f>
        <v>19457.810679410817</v>
      </c>
      <c r="N113" s="162">
        <f t="shared" si="27"/>
        <v>272537.52948290308</v>
      </c>
      <c r="O113" s="158">
        <f t="shared" si="28"/>
        <v>26235.774346634145</v>
      </c>
      <c r="P113" s="159">
        <f t="shared" si="30"/>
        <v>5.5850401865426371E-4</v>
      </c>
      <c r="Q113" s="154"/>
      <c r="R113" s="197">
        <v>27401.630423001348</v>
      </c>
      <c r="S113" s="198">
        <f t="shared" si="29"/>
        <v>6.6811456927677072E-4</v>
      </c>
    </row>
    <row r="114" spans="1:19" s="112" customFormat="1">
      <c r="A114" s="163" t="s">
        <v>57</v>
      </c>
      <c r="B114" s="162">
        <f>+'OS-2'!C$73</f>
        <v>11988.672916169391</v>
      </c>
      <c r="C114" s="162">
        <f>+'OS-2'!D$73</f>
        <v>13851.744780732981</v>
      </c>
      <c r="D114" s="162">
        <f>+'OS-2'!E$73</f>
        <v>14855.154125307121</v>
      </c>
      <c r="E114" s="162">
        <f>+'OS-2'!F$73</f>
        <v>14187.045654667081</v>
      </c>
      <c r="F114" s="162">
        <f>+'OS-2'!G$73</f>
        <v>13656.510023027973</v>
      </c>
      <c r="G114" s="162">
        <f>+'OS-2'!H$73</f>
        <v>12001.802564129723</v>
      </c>
      <c r="H114" s="162">
        <f>+'OS-2'!I$73</f>
        <v>9330.2207395825717</v>
      </c>
      <c r="I114" s="162">
        <f>+'OS-2'!J$73</f>
        <v>9963.6962274949237</v>
      </c>
      <c r="J114" s="162">
        <f>+'OS-2'!K$73</f>
        <v>14341.507868376289</v>
      </c>
      <c r="K114" s="162">
        <f>+'OS-2'!L$73</f>
        <v>12812.573926581301</v>
      </c>
      <c r="L114" s="162">
        <f>+'OS-2'!M$73</f>
        <v>14797.470115580363</v>
      </c>
      <c r="M114" s="162">
        <f>+'OS-2'!N$73</f>
        <v>13883.962441806383</v>
      </c>
      <c r="N114" s="162">
        <f t="shared" si="27"/>
        <v>155670.3613834561</v>
      </c>
      <c r="O114" s="158">
        <f t="shared" si="28"/>
        <v>14855.154125307121</v>
      </c>
      <c r="P114" s="159">
        <f t="shared" si="30"/>
        <v>3.1623473990493792E-4</v>
      </c>
      <c r="Q114" s="154"/>
      <c r="R114" s="197">
        <v>16404.671307489232</v>
      </c>
      <c r="S114" s="198">
        <f t="shared" si="29"/>
        <v>3.9998349497955449E-4</v>
      </c>
    </row>
    <row r="115" spans="1:19" s="112" customFormat="1">
      <c r="A115" s="163" t="s">
        <v>48</v>
      </c>
      <c r="B115" s="162">
        <f>+'RS(T)-1'!C$73</f>
        <v>33400925.359279197</v>
      </c>
      <c r="C115" s="162">
        <f>+'RS(T)-1'!D$73</f>
        <v>30920216.677756939</v>
      </c>
      <c r="D115" s="162">
        <f>+'RS(T)-1'!E$73</f>
        <v>27011252.676266547</v>
      </c>
      <c r="E115" s="162">
        <f>+'RS(T)-1'!F$73</f>
        <v>24395968.823495604</v>
      </c>
      <c r="F115" s="162">
        <f>+'RS(T)-1'!G$73</f>
        <v>24378777.304491904</v>
      </c>
      <c r="G115" s="162">
        <f>+'RS(T)-1'!H$73</f>
        <v>25706291.317125693</v>
      </c>
      <c r="H115" s="162">
        <f>+'RS(T)-1'!I$73</f>
        <v>26185684.648148429</v>
      </c>
      <c r="I115" s="162">
        <f>+'RS(T)-1'!J$73</f>
        <v>25888128.311549827</v>
      </c>
      <c r="J115" s="162">
        <f>+'RS(T)-1'!K$73</f>
        <v>27818080.530982319</v>
      </c>
      <c r="K115" s="162">
        <f>+'RS(T)-1'!L$73</f>
        <v>27296845.58914189</v>
      </c>
      <c r="L115" s="162">
        <f>+'RS(T)-1'!M$73</f>
        <v>29948734.01752409</v>
      </c>
      <c r="M115" s="162">
        <f>+'RS(T)-1'!N$73</f>
        <v>28748611.737518813</v>
      </c>
      <c r="N115" s="162">
        <f t="shared" si="27"/>
        <v>331699516.99328125</v>
      </c>
      <c r="O115" s="158">
        <f t="shared" si="28"/>
        <v>33400925.359279197</v>
      </c>
      <c r="P115" s="159">
        <f t="shared" si="30"/>
        <v>0.71103489431871025</v>
      </c>
      <c r="Q115" s="154"/>
      <c r="R115" s="197">
        <v>30099200.603381019</v>
      </c>
      <c r="S115" s="198">
        <f t="shared" si="29"/>
        <v>0.73388751458462942</v>
      </c>
    </row>
    <row r="116" spans="1:19" s="112" customFormat="1">
      <c r="A116" s="163" t="s">
        <v>53</v>
      </c>
      <c r="B116" s="162">
        <f>+'SL-1'!C$73</f>
        <v>121588.62886739362</v>
      </c>
      <c r="C116" s="162">
        <f>+'SL-1'!D$73</f>
        <v>129896.03650813719</v>
      </c>
      <c r="D116" s="162">
        <f>+'SL-1'!E$73</f>
        <v>125445.352761663</v>
      </c>
      <c r="E116" s="162">
        <f>+'SL-1'!F$73</f>
        <v>142562.10900091712</v>
      </c>
      <c r="F116" s="162">
        <f>+'SL-1'!G$73</f>
        <v>145476.63276528814</v>
      </c>
      <c r="G116" s="162">
        <f>+'SL-1'!H$73</f>
        <v>146386.42192705124</v>
      </c>
      <c r="H116" s="162">
        <f>+'SL-1'!I$73</f>
        <v>144598.50127513421</v>
      </c>
      <c r="I116" s="162">
        <f>+'SL-1'!J$73</f>
        <v>157002.30975241194</v>
      </c>
      <c r="J116" s="162">
        <f>+'SL-1'!K$73</f>
        <v>134950.17456363016</v>
      </c>
      <c r="K116" s="162">
        <f>+'SL-1'!L$73</f>
        <v>115656.6941546076</v>
      </c>
      <c r="L116" s="162">
        <f>+'SL-1'!M$73</f>
        <v>112464.68398081642</v>
      </c>
      <c r="M116" s="162">
        <f>+'SL-1'!N$73</f>
        <v>122039.48507816791</v>
      </c>
      <c r="N116" s="162">
        <f t="shared" si="27"/>
        <v>1598067.0306352186</v>
      </c>
      <c r="O116" s="158">
        <f t="shared" si="28"/>
        <v>157002.30975241194</v>
      </c>
      <c r="P116" s="159">
        <f t="shared" si="30"/>
        <v>3.3422463456266572E-3</v>
      </c>
      <c r="Q116" s="154"/>
      <c r="R116" s="197">
        <v>137726.17695053734</v>
      </c>
      <c r="S116" s="198">
        <f t="shared" si="29"/>
        <v>3.3580799379807776E-3</v>
      </c>
    </row>
    <row r="117" spans="1:19" s="112" customFormat="1">
      <c r="A117" s="163" t="s">
        <v>55</v>
      </c>
      <c r="B117" s="162">
        <f>+'SL-2'!C$73</f>
        <v>4082.4174626986128</v>
      </c>
      <c r="C117" s="162">
        <f>+'SL-2'!D$73</f>
        <v>4175.8718451179866</v>
      </c>
      <c r="D117" s="162">
        <f>+'SL-2'!E$73</f>
        <v>4193.4220486998647</v>
      </c>
      <c r="E117" s="162">
        <f>+'SL-2'!F$73</f>
        <v>4176.6809373448541</v>
      </c>
      <c r="F117" s="162">
        <f>+'SL-2'!G$73</f>
        <v>4129.8977679217123</v>
      </c>
      <c r="G117" s="162">
        <f>+'SL-2'!H$73</f>
        <v>4089.2996824841457</v>
      </c>
      <c r="H117" s="162">
        <f>+'SL-2'!I$73</f>
        <v>4015.0511741078994</v>
      </c>
      <c r="I117" s="162">
        <f>+'SL-2'!J$73</f>
        <v>4154.4975651873465</v>
      </c>
      <c r="J117" s="162">
        <f>+'SL-2'!K$73</f>
        <v>3947.8805294235653</v>
      </c>
      <c r="K117" s="162">
        <f>+'SL-2'!L$73</f>
        <v>3870.8395149901908</v>
      </c>
      <c r="L117" s="162">
        <f>+'SL-2'!M$73</f>
        <v>3911.2214500870864</v>
      </c>
      <c r="M117" s="162">
        <f>+'SL-2'!N$73</f>
        <v>3898.09989429098</v>
      </c>
      <c r="N117" s="162">
        <f t="shared" si="27"/>
        <v>48645.179872354238</v>
      </c>
      <c r="O117" s="158">
        <f t="shared" si="28"/>
        <v>4193.4220486998647</v>
      </c>
      <c r="P117" s="159">
        <f t="shared" si="30"/>
        <v>8.9269065786607392E-5</v>
      </c>
      <c r="Q117" s="154"/>
      <c r="R117" s="197">
        <v>3964.9065758260822</v>
      </c>
      <c r="S117" s="198">
        <f t="shared" si="29"/>
        <v>9.6673512058868493E-5</v>
      </c>
    </row>
    <row r="118" spans="1:19" s="112" customFormat="1">
      <c r="A118" s="163" t="s">
        <v>87</v>
      </c>
      <c r="B118" s="162">
        <f>+'SST-1D'!C$73</f>
        <v>2593.5189042567208</v>
      </c>
      <c r="C118" s="162">
        <f>+'SST-1D'!D$73</f>
        <v>4194.7799959621143</v>
      </c>
      <c r="D118" s="162">
        <f>+'SST-1D'!E$73</f>
        <v>2074.4309236034824</v>
      </c>
      <c r="E118" s="162">
        <f>+'SST-1D'!F$73</f>
        <v>4502.7040479529442</v>
      </c>
      <c r="F118" s="162">
        <f>+'SST-1D'!G$73</f>
        <v>4384.7171398394057</v>
      </c>
      <c r="G118" s="162">
        <f>+'SST-1D'!H$73</f>
        <v>4269.2452020185001</v>
      </c>
      <c r="H118" s="162">
        <f>+'SST-1D'!I$73</f>
        <v>3783.8880214331339</v>
      </c>
      <c r="I118" s="162">
        <f>+'SST-1D'!J$73</f>
        <v>4125.9206866137783</v>
      </c>
      <c r="J118" s="162">
        <f>+'SST-1D'!K$73</f>
        <v>4196.8912214794764</v>
      </c>
      <c r="K118" s="162">
        <f>+'SST-1D'!L$73</f>
        <v>7191.7662933466336</v>
      </c>
      <c r="L118" s="162">
        <f>+'SST-1D'!M$73</f>
        <v>9915.8901043602818</v>
      </c>
      <c r="M118" s="162">
        <f>+'SST-1D'!N$73</f>
        <v>3484.258878399472</v>
      </c>
      <c r="N118" s="162">
        <f t="shared" si="27"/>
        <v>54718.011419265946</v>
      </c>
      <c r="O118" s="158">
        <f t="shared" si="28"/>
        <v>9915.8901043602818</v>
      </c>
      <c r="P118" s="159">
        <f t="shared" si="30"/>
        <v>2.1108827963866662E-4</v>
      </c>
      <c r="Q118" s="154"/>
      <c r="R118" s="197">
        <v>2860.7895039685072</v>
      </c>
      <c r="S118" s="198">
        <f t="shared" si="29"/>
        <v>6.9752606605153741E-5</v>
      </c>
    </row>
    <row r="119" spans="1:19" s="112" customFormat="1">
      <c r="A119" s="163" t="s">
        <v>88</v>
      </c>
      <c r="B119" s="162">
        <f>+'SST-1T'!C$73</f>
        <v>77165.349050049161</v>
      </c>
      <c r="C119" s="162">
        <f>+'SST-1T'!D$73</f>
        <v>79339.846464051327</v>
      </c>
      <c r="D119" s="162">
        <f>+'SST-1T'!E$73</f>
        <v>126194.63538322384</v>
      </c>
      <c r="E119" s="162">
        <f>+'SST-1T'!F$73</f>
        <v>85236.757496452658</v>
      </c>
      <c r="F119" s="162">
        <f>+'SST-1T'!G$73</f>
        <v>130358.62287063993</v>
      </c>
      <c r="G119" s="162">
        <f>+'SST-1T'!H$73</f>
        <v>93864.854941203899</v>
      </c>
      <c r="H119" s="162">
        <f>+'SST-1T'!I$73</f>
        <v>69829.322856681159</v>
      </c>
      <c r="I119" s="162">
        <f>+'SST-1T'!J$73</f>
        <v>81030.196231143462</v>
      </c>
      <c r="J119" s="162">
        <f>+'SST-1T'!K$73</f>
        <v>54470.549108778621</v>
      </c>
      <c r="K119" s="162">
        <f>+'SST-1T'!L$73</f>
        <v>75766.052788883608</v>
      </c>
      <c r="L119" s="162">
        <f>+'SST-1T'!M$73</f>
        <v>143697.9946725058</v>
      </c>
      <c r="M119" s="162">
        <f>+'SST-1T'!N$73</f>
        <v>68168.578564909767</v>
      </c>
      <c r="N119" s="162">
        <f t="shared" si="27"/>
        <v>1085122.7604285232</v>
      </c>
      <c r="O119" s="158">
        <f t="shared" si="28"/>
        <v>143697.9946725058</v>
      </c>
      <c r="P119" s="159">
        <f t="shared" si="30"/>
        <v>3.0590256813765324E-3</v>
      </c>
      <c r="Q119" s="154"/>
      <c r="R119" s="197">
        <v>143585.07499380058</v>
      </c>
      <c r="S119" s="198">
        <f t="shared" si="29"/>
        <v>3.5009333040828734E-3</v>
      </c>
    </row>
    <row r="120" spans="1:19" s="112" customFormat="1">
      <c r="A120" s="154"/>
      <c r="B120" s="155"/>
      <c r="C120" s="155"/>
      <c r="D120" s="155"/>
      <c r="E120" s="155"/>
      <c r="F120" s="155"/>
      <c r="G120" s="155"/>
      <c r="H120" s="155"/>
      <c r="I120" s="155"/>
      <c r="J120" s="155"/>
      <c r="K120" s="155"/>
      <c r="L120" s="155"/>
      <c r="M120" s="155"/>
      <c r="N120" s="155"/>
      <c r="O120" s="164"/>
      <c r="P120" s="154"/>
      <c r="Q120" s="154"/>
      <c r="R120" s="199"/>
      <c r="S120" s="199"/>
    </row>
    <row r="121" spans="1:19" s="112" customFormat="1">
      <c r="A121" s="126" t="s">
        <v>453</v>
      </c>
      <c r="B121" s="161">
        <f t="shared" ref="B121:O121" si="31">SUM(B103:B120)</f>
        <v>45118295.476284765</v>
      </c>
      <c r="C121" s="161">
        <f t="shared" si="31"/>
        <v>42282829.759817898</v>
      </c>
      <c r="D121" s="161">
        <f t="shared" si="31"/>
        <v>37671973.420725562</v>
      </c>
      <c r="E121" s="161">
        <f t="shared" si="31"/>
        <v>35278834.305626109</v>
      </c>
      <c r="F121" s="161">
        <f t="shared" si="31"/>
        <v>35671049.601492174</v>
      </c>
      <c r="G121" s="161">
        <f t="shared" si="31"/>
        <v>37731784.010457203</v>
      </c>
      <c r="H121" s="161">
        <f t="shared" si="31"/>
        <v>37891940.209288679</v>
      </c>
      <c r="I121" s="161">
        <f t="shared" si="31"/>
        <v>37574842.047175407</v>
      </c>
      <c r="J121" s="161">
        <f t="shared" si="31"/>
        <v>39993006.368131943</v>
      </c>
      <c r="K121" s="161">
        <f t="shared" si="31"/>
        <v>38822888.712968387</v>
      </c>
      <c r="L121" s="161">
        <f t="shared" si="31"/>
        <v>41614786.194215626</v>
      </c>
      <c r="M121" s="161">
        <f t="shared" si="31"/>
        <v>40129582.002330489</v>
      </c>
      <c r="N121" s="161">
        <f t="shared" si="31"/>
        <v>469781812.10851419</v>
      </c>
      <c r="O121" s="161">
        <f t="shared" si="31"/>
        <v>45707159.069837458</v>
      </c>
      <c r="P121" s="159">
        <f>+O121/$O$137</f>
        <v>0.9730085220468786</v>
      </c>
      <c r="Q121" s="126"/>
      <c r="R121" s="200">
        <f>SUM(R103:R120)</f>
        <v>40494158.517202429</v>
      </c>
      <c r="S121" s="198">
        <f>+R121/$R$91</f>
        <v>0.9873404194677341</v>
      </c>
    </row>
    <row r="122" spans="1:19" s="112" customFormat="1">
      <c r="A122" s="125"/>
      <c r="B122" s="155"/>
      <c r="C122" s="155"/>
      <c r="D122" s="155"/>
      <c r="E122" s="155"/>
      <c r="F122" s="155"/>
      <c r="G122" s="155"/>
      <c r="H122" s="155"/>
      <c r="I122" s="155"/>
      <c r="J122" s="155"/>
      <c r="K122" s="155"/>
      <c r="L122" s="155"/>
      <c r="M122" s="155"/>
      <c r="N122" s="155"/>
      <c r="O122" s="157"/>
      <c r="P122" s="125"/>
      <c r="Q122" s="125"/>
      <c r="R122" s="201"/>
      <c r="S122" s="202"/>
    </row>
    <row r="123" spans="1:19" s="112" customFormat="1">
      <c r="A123" s="42" t="s">
        <v>86</v>
      </c>
      <c r="B123" s="155"/>
      <c r="C123" s="155"/>
      <c r="D123" s="155"/>
      <c r="E123" s="155"/>
      <c r="F123" s="155"/>
      <c r="G123" s="155"/>
      <c r="H123" s="155"/>
      <c r="I123" s="155"/>
      <c r="J123" s="155"/>
      <c r="K123" s="155"/>
      <c r="L123" s="155"/>
      <c r="M123" s="155"/>
      <c r="N123" s="155"/>
      <c r="O123" s="157"/>
      <c r="P123" s="125"/>
      <c r="Q123" s="125"/>
      <c r="R123" s="201"/>
      <c r="S123" s="202"/>
    </row>
    <row r="124" spans="1:19" s="112" customFormat="1">
      <c r="A124" s="163" t="s">
        <v>1055</v>
      </c>
      <c r="B124" s="336">
        <f>BLOUNTSTOWN!C68</f>
        <v>0</v>
      </c>
      <c r="C124" s="336">
        <f>BLOUNTSTOWN!D68</f>
        <v>0</v>
      </c>
      <c r="D124" s="336">
        <f>BLOUNTSTOWN!E68</f>
        <v>0</v>
      </c>
      <c r="E124" s="336">
        <f>BLOUNTSTOWN!F68</f>
        <v>0</v>
      </c>
      <c r="F124" s="336">
        <f>BLOUNTSTOWN!G68</f>
        <v>0</v>
      </c>
      <c r="G124" s="336">
        <f>BLOUNTSTOWN!H68</f>
        <v>0</v>
      </c>
      <c r="H124" s="336">
        <f>BLOUNTSTOWN!I68</f>
        <v>0</v>
      </c>
      <c r="I124" s="336">
        <f>BLOUNTSTOWN!J68</f>
        <v>0</v>
      </c>
      <c r="J124" s="336">
        <f>BLOUNTSTOWN!K68</f>
        <v>0</v>
      </c>
      <c r="K124" s="336">
        <f>BLOUNTSTOWN!L68</f>
        <v>0</v>
      </c>
      <c r="L124" s="336">
        <f>BLOUNTSTOWN!M68</f>
        <v>0</v>
      </c>
      <c r="M124" s="336">
        <f>BLOUNTSTOWN!N68</f>
        <v>0</v>
      </c>
      <c r="N124" s="162">
        <f>SUM(B124:M124)</f>
        <v>0</v>
      </c>
      <c r="O124" s="158">
        <f>MAX(B124:M124)</f>
        <v>0</v>
      </c>
      <c r="P124" s="159">
        <f t="shared" ref="P124:P132" si="32">+O124/$O$137</f>
        <v>0</v>
      </c>
      <c r="Q124" s="154"/>
      <c r="R124" s="203">
        <f>193266.867317667-45000</f>
        <v>148266.867317667</v>
      </c>
      <c r="S124" s="198">
        <f>+R124/$R$91</f>
        <v>3.6150861341742403E-3</v>
      </c>
    </row>
    <row r="125" spans="1:19" s="112" customFormat="1">
      <c r="A125" s="163" t="s">
        <v>485</v>
      </c>
      <c r="B125" s="336">
        <f>FKEC!C68</f>
        <v>128262.45306079926</v>
      </c>
      <c r="C125" s="336">
        <f>FKEC!D68</f>
        <v>126863.56778393018</v>
      </c>
      <c r="D125" s="336">
        <f>FKEC!E68</f>
        <v>134261.20984418743</v>
      </c>
      <c r="E125" s="336">
        <f>FKEC!F68</f>
        <v>139556.88389403324</v>
      </c>
      <c r="F125" s="336">
        <f>FKEC!G68</f>
        <v>152800.28208346051</v>
      </c>
      <c r="G125" s="336">
        <f>FKEC!H68</f>
        <v>156287.82770856516</v>
      </c>
      <c r="H125" s="336">
        <f>FKEC!I68</f>
        <v>165140</v>
      </c>
      <c r="I125" s="336">
        <f>FKEC!J68</f>
        <v>163543.32227292401</v>
      </c>
      <c r="J125" s="336">
        <f>FKEC!K68</f>
        <v>154353.87632611097</v>
      </c>
      <c r="K125" s="336">
        <f>FKEC!L68</f>
        <v>139448.18924483523</v>
      </c>
      <c r="L125" s="336">
        <f>FKEC!M68</f>
        <v>124588.83865612792</v>
      </c>
      <c r="M125" s="336">
        <f>FKEC!N68</f>
        <v>129312.56236045343</v>
      </c>
      <c r="N125" s="162">
        <f>SUM(B125:M125)</f>
        <v>1714419.0132354272</v>
      </c>
      <c r="O125" s="158">
        <f>MAX(B125:M125)</f>
        <v>165140</v>
      </c>
      <c r="P125" s="159">
        <f t="shared" si="32"/>
        <v>3.5154805199183194E-3</v>
      </c>
      <c r="Q125" s="125"/>
      <c r="R125" s="203">
        <v>45000</v>
      </c>
      <c r="S125" s="198">
        <f>+R125/$R$91</f>
        <v>1.0972031646780233E-3</v>
      </c>
    </row>
    <row r="126" spans="1:19" s="112" customFormat="1">
      <c r="A126" s="163" t="s">
        <v>1057</v>
      </c>
      <c r="B126" s="336">
        <f>HOMESTEAD!C68</f>
        <v>24000</v>
      </c>
      <c r="C126" s="336">
        <f>HOMESTEAD!D68</f>
        <v>0</v>
      </c>
      <c r="D126" s="336">
        <f>HOMESTEAD!E68</f>
        <v>0</v>
      </c>
      <c r="E126" s="336">
        <f>HOMESTEAD!F68</f>
        <v>0</v>
      </c>
      <c r="F126" s="336">
        <f>HOMESTEAD!G68</f>
        <v>0</v>
      </c>
      <c r="G126" s="336">
        <f>HOMESTEAD!H68</f>
        <v>0</v>
      </c>
      <c r="H126" s="336">
        <f>HOMESTEAD!I68</f>
        <v>0</v>
      </c>
      <c r="I126" s="336">
        <f>HOMESTEAD!J68</f>
        <v>24000</v>
      </c>
      <c r="J126" s="336">
        <f>HOMESTEAD!K68</f>
        <v>0</v>
      </c>
      <c r="K126" s="336">
        <f>HOMESTEAD!L68</f>
        <v>0</v>
      </c>
      <c r="L126" s="336">
        <f>HOMESTEAD!M68</f>
        <v>0</v>
      </c>
      <c r="M126" s="336">
        <f>HOMESTEAD!N68</f>
        <v>0</v>
      </c>
      <c r="N126" s="162">
        <f t="shared" ref="N126:N132" si="33">SUM(B126:M126)</f>
        <v>48000</v>
      </c>
      <c r="O126" s="158">
        <f t="shared" ref="O126:O132" si="34">MAX(B126:M126)</f>
        <v>24000</v>
      </c>
      <c r="P126" s="159">
        <f t="shared" si="32"/>
        <v>5.1090912242969402E-4</v>
      </c>
      <c r="Q126" s="125"/>
      <c r="R126" s="203"/>
      <c r="S126" s="198"/>
    </row>
    <row r="127" spans="1:19" s="112" customFormat="1">
      <c r="A127" s="163" t="s">
        <v>487</v>
      </c>
      <c r="B127" s="336">
        <f>LCEC!C69</f>
        <v>752853</v>
      </c>
      <c r="C127" s="336">
        <f>LCEC!D69</f>
        <v>673351</v>
      </c>
      <c r="D127" s="336">
        <f>LCEC!E69</f>
        <v>620165</v>
      </c>
      <c r="E127" s="336">
        <f>LCEC!F69</f>
        <v>636181</v>
      </c>
      <c r="F127" s="336">
        <f>LCEC!G69</f>
        <v>724836</v>
      </c>
      <c r="G127" s="336">
        <f>LCEC!H69</f>
        <v>779270</v>
      </c>
      <c r="H127" s="336">
        <f>LCEC!I69</f>
        <v>787301</v>
      </c>
      <c r="I127" s="336">
        <f>LCEC!J69</f>
        <v>799787</v>
      </c>
      <c r="J127" s="336">
        <f>LCEC!K69</f>
        <v>764382</v>
      </c>
      <c r="K127" s="336">
        <f>LCEC!L69</f>
        <v>715634</v>
      </c>
      <c r="L127" s="336">
        <f>LCEC!M69</f>
        <v>586948</v>
      </c>
      <c r="M127" s="336">
        <f>LCEC!N69</f>
        <v>555803</v>
      </c>
      <c r="N127" s="162">
        <f t="shared" si="33"/>
        <v>8396511</v>
      </c>
      <c r="O127" s="158">
        <f t="shared" si="34"/>
        <v>799787</v>
      </c>
      <c r="P127" s="159">
        <f t="shared" si="32"/>
        <v>1.7025769762528238E-2</v>
      </c>
      <c r="Q127" s="125"/>
      <c r="R127" s="197">
        <v>1360.840019478341</v>
      </c>
      <c r="S127" s="198">
        <f>+R127/$R$91</f>
        <v>3.3180399466491966E-5</v>
      </c>
    </row>
    <row r="128" spans="1:19" s="112" customFormat="1">
      <c r="A128" s="163" t="s">
        <v>1053</v>
      </c>
      <c r="B128" s="336">
        <f>'NEW SMYRNA'!C68</f>
        <v>0</v>
      </c>
      <c r="C128" s="336">
        <f>'NEW SMYRNA'!D68</f>
        <v>0</v>
      </c>
      <c r="D128" s="336">
        <f>'NEW SMYRNA'!E68</f>
        <v>0</v>
      </c>
      <c r="E128" s="336">
        <f>'NEW SMYRNA'!F68</f>
        <v>0</v>
      </c>
      <c r="F128" s="336">
        <f>'NEW SMYRNA'!G68</f>
        <v>0</v>
      </c>
      <c r="G128" s="336">
        <f>'NEW SMYRNA'!H68</f>
        <v>0</v>
      </c>
      <c r="H128" s="336">
        <f>'NEW SMYRNA'!I68</f>
        <v>0</v>
      </c>
      <c r="I128" s="336">
        <f>'NEW SMYRNA'!J68</f>
        <v>0</v>
      </c>
      <c r="J128" s="336">
        <f>'NEW SMYRNA'!K68</f>
        <v>0</v>
      </c>
      <c r="K128" s="336">
        <f>'NEW SMYRNA'!L68</f>
        <v>0</v>
      </c>
      <c r="L128" s="336">
        <f>'NEW SMYRNA'!M68</f>
        <v>0</v>
      </c>
      <c r="M128" s="336">
        <f>'NEW SMYRNA'!N68</f>
        <v>0</v>
      </c>
      <c r="N128" s="162">
        <f t="shared" si="33"/>
        <v>0</v>
      </c>
      <c r="O128" s="158">
        <f t="shared" si="34"/>
        <v>0</v>
      </c>
      <c r="P128" s="159">
        <f t="shared" si="32"/>
        <v>0</v>
      </c>
      <c r="Q128" s="125"/>
      <c r="R128" s="197">
        <v>249584.36048361912</v>
      </c>
      <c r="S128" s="198">
        <f>+R128/$R$91</f>
        <v>6.085438892817055E-3</v>
      </c>
    </row>
    <row r="129" spans="1:19" s="112" customFormat="1">
      <c r="A129" s="163" t="s">
        <v>1058</v>
      </c>
      <c r="B129" s="336">
        <f>QUINCY!C68</f>
        <v>19000</v>
      </c>
      <c r="C129" s="336">
        <f>QUINCY!D68</f>
        <v>0</v>
      </c>
      <c r="D129" s="336">
        <f>QUINCY!E68</f>
        <v>0</v>
      </c>
      <c r="E129" s="336">
        <f>QUINCY!F68</f>
        <v>0</v>
      </c>
      <c r="F129" s="336">
        <f>QUINCY!G68</f>
        <v>0</v>
      </c>
      <c r="G129" s="336">
        <f>QUINCY!H68</f>
        <v>0</v>
      </c>
      <c r="H129" s="336">
        <f>QUINCY!I68</f>
        <v>0</v>
      </c>
      <c r="I129" s="336">
        <f>QUINCY!J68</f>
        <v>19000</v>
      </c>
      <c r="J129" s="336">
        <f>QUINCY!K68</f>
        <v>0</v>
      </c>
      <c r="K129" s="336">
        <f>QUINCY!L68</f>
        <v>0</v>
      </c>
      <c r="L129" s="336">
        <f>QUINCY!M68</f>
        <v>0</v>
      </c>
      <c r="M129" s="336">
        <f>QUINCY!N68</f>
        <v>0</v>
      </c>
      <c r="N129" s="162">
        <f t="shared" si="33"/>
        <v>38000</v>
      </c>
      <c r="O129" s="158">
        <f t="shared" si="34"/>
        <v>19000</v>
      </c>
      <c r="P129" s="159">
        <f t="shared" si="32"/>
        <v>4.0446972192350776E-4</v>
      </c>
      <c r="Q129" s="125"/>
      <c r="R129" s="197"/>
      <c r="S129" s="198"/>
    </row>
    <row r="130" spans="1:19" s="112" customFormat="1">
      <c r="A130" s="163" t="s">
        <v>489</v>
      </c>
      <c r="B130" s="336">
        <f>SEMINOLE!C69</f>
        <v>200000</v>
      </c>
      <c r="C130" s="336">
        <f>SEMINOLE!D69</f>
        <v>200000</v>
      </c>
      <c r="D130" s="336">
        <f>SEMINOLE!E69</f>
        <v>200000</v>
      </c>
      <c r="E130" s="336">
        <f>SEMINOLE!F69</f>
        <v>200000</v>
      </c>
      <c r="F130" s="336">
        <f>SEMINOLE!G69</f>
        <v>200000</v>
      </c>
      <c r="G130" s="336">
        <f>SEMINOLE!H69</f>
        <v>200000</v>
      </c>
      <c r="H130" s="336">
        <f>SEMINOLE!I69</f>
        <v>200000</v>
      </c>
      <c r="I130" s="336">
        <f>SEMINOLE!J69</f>
        <v>200000</v>
      </c>
      <c r="J130" s="336">
        <f>SEMINOLE!K69</f>
        <v>200000</v>
      </c>
      <c r="K130" s="336">
        <f>SEMINOLE!L69</f>
        <v>200000</v>
      </c>
      <c r="L130" s="336">
        <f>SEMINOLE!M69</f>
        <v>200000</v>
      </c>
      <c r="M130" s="336">
        <f>SEMINOLE!N69</f>
        <v>200000</v>
      </c>
      <c r="N130" s="162">
        <f t="shared" si="33"/>
        <v>2400000</v>
      </c>
      <c r="O130" s="158">
        <f t="shared" si="34"/>
        <v>200000</v>
      </c>
      <c r="P130" s="159">
        <f t="shared" si="32"/>
        <v>4.2575760202474503E-3</v>
      </c>
      <c r="Q130" s="125"/>
      <c r="R130" s="197">
        <v>75000</v>
      </c>
      <c r="S130" s="198">
        <f>+R130/$R$91</f>
        <v>1.8286719411300387E-3</v>
      </c>
    </row>
    <row r="131" spans="1:19" s="112" customFormat="1">
      <c r="A131" s="163" t="s">
        <v>1054</v>
      </c>
      <c r="B131" s="336">
        <f>WAUCHULA!C65</f>
        <v>0</v>
      </c>
      <c r="C131" s="336">
        <f>WAUCHULA!D65</f>
        <v>0</v>
      </c>
      <c r="D131" s="336">
        <f>WAUCHULA!E65</f>
        <v>0</v>
      </c>
      <c r="E131" s="336">
        <f>WAUCHULA!F65</f>
        <v>0</v>
      </c>
      <c r="F131" s="336">
        <f>WAUCHULA!G65</f>
        <v>0</v>
      </c>
      <c r="G131" s="336">
        <f>WAUCHULA!H65</f>
        <v>0</v>
      </c>
      <c r="H131" s="336">
        <f>WAUCHULA!I65</f>
        <v>0</v>
      </c>
      <c r="I131" s="336">
        <f>WAUCHULA!J65</f>
        <v>0</v>
      </c>
      <c r="J131" s="336">
        <f>WAUCHULA!K65</f>
        <v>0</v>
      </c>
      <c r="K131" s="336">
        <f>WAUCHULA!L65</f>
        <v>0</v>
      </c>
      <c r="L131" s="336">
        <f>WAUCHULA!M65</f>
        <v>0</v>
      </c>
      <c r="M131" s="336">
        <f>WAUCHULA!N65</f>
        <v>0</v>
      </c>
      <c r="N131" s="162">
        <f t="shared" si="33"/>
        <v>0</v>
      </c>
      <c r="O131" s="158">
        <f t="shared" si="34"/>
        <v>0</v>
      </c>
      <c r="P131" s="159">
        <f t="shared" si="32"/>
        <v>0</v>
      </c>
      <c r="Q131" s="125"/>
      <c r="R131" s="197"/>
      <c r="S131" s="198"/>
    </row>
    <row r="132" spans="1:19" s="112" customFormat="1">
      <c r="A132" s="163" t="s">
        <v>1056</v>
      </c>
      <c r="B132" s="336">
        <f>'WINTER PARK'!C68</f>
        <v>60000</v>
      </c>
      <c r="C132" s="336">
        <f>'WINTER PARK'!D68</f>
        <v>0</v>
      </c>
      <c r="D132" s="336">
        <f>'WINTER PARK'!E68</f>
        <v>0</v>
      </c>
      <c r="E132" s="336">
        <f>'WINTER PARK'!F68</f>
        <v>0</v>
      </c>
      <c r="F132" s="336">
        <f>'WINTER PARK'!G68</f>
        <v>0</v>
      </c>
      <c r="G132" s="336">
        <f>'WINTER PARK'!H68</f>
        <v>0</v>
      </c>
      <c r="H132" s="336">
        <f>'WINTER PARK'!I68</f>
        <v>0</v>
      </c>
      <c r="I132" s="336">
        <f>'WINTER PARK'!J68</f>
        <v>60000</v>
      </c>
      <c r="J132" s="336">
        <f>'WINTER PARK'!K68</f>
        <v>0</v>
      </c>
      <c r="K132" s="336">
        <f>'WINTER PARK'!L68</f>
        <v>0</v>
      </c>
      <c r="L132" s="336">
        <f>'WINTER PARK'!M68</f>
        <v>0</v>
      </c>
      <c r="M132" s="336">
        <f>'WINTER PARK'!N68</f>
        <v>0</v>
      </c>
      <c r="N132" s="162">
        <f t="shared" si="33"/>
        <v>120000</v>
      </c>
      <c r="O132" s="158">
        <f t="shared" si="34"/>
        <v>60000</v>
      </c>
      <c r="P132" s="159">
        <f t="shared" si="32"/>
        <v>1.277272806074235E-3</v>
      </c>
      <c r="Q132" s="125"/>
      <c r="R132" s="197"/>
      <c r="S132" s="198"/>
    </row>
    <row r="133" spans="1:19" s="112" customFormat="1">
      <c r="A133" s="195"/>
      <c r="B133" s="162"/>
      <c r="C133" s="162"/>
      <c r="D133" s="162"/>
      <c r="E133" s="162"/>
      <c r="F133" s="162"/>
      <c r="G133" s="162"/>
      <c r="H133" s="162"/>
      <c r="I133" s="162"/>
      <c r="J133" s="162"/>
      <c r="K133" s="162"/>
      <c r="L133" s="162"/>
      <c r="M133" s="162"/>
      <c r="N133" s="162"/>
      <c r="O133" s="158"/>
      <c r="P133" s="159"/>
      <c r="Q133" s="125"/>
      <c r="R133" s="197"/>
      <c r="S133" s="198"/>
    </row>
    <row r="134" spans="1:19" s="112" customFormat="1">
      <c r="A134" s="125"/>
      <c r="B134" s="155"/>
      <c r="C134" s="155"/>
      <c r="D134" s="155"/>
      <c r="E134" s="155"/>
      <c r="F134" s="155"/>
      <c r="G134" s="155"/>
      <c r="H134" s="155"/>
      <c r="I134" s="155"/>
      <c r="J134" s="155"/>
      <c r="K134" s="155"/>
      <c r="L134" s="155"/>
      <c r="M134" s="155"/>
      <c r="N134" s="155"/>
      <c r="O134" s="157"/>
      <c r="P134" s="125"/>
      <c r="Q134" s="125"/>
      <c r="R134" s="201"/>
      <c r="S134" s="198"/>
    </row>
    <row r="135" spans="1:19" s="112" customFormat="1">
      <c r="A135" s="126" t="s">
        <v>509</v>
      </c>
      <c r="B135" s="161">
        <f t="shared" ref="B135:O135" si="35">SUM(B124:B134)</f>
        <v>1184115.4530607993</v>
      </c>
      <c r="C135" s="161">
        <f t="shared" si="35"/>
        <v>1000214.5677839302</v>
      </c>
      <c r="D135" s="161">
        <f t="shared" si="35"/>
        <v>954426.20984418737</v>
      </c>
      <c r="E135" s="161">
        <f t="shared" si="35"/>
        <v>975737.88389403326</v>
      </c>
      <c r="F135" s="161">
        <f t="shared" si="35"/>
        <v>1077636.2820834606</v>
      </c>
      <c r="G135" s="161">
        <f t="shared" si="35"/>
        <v>1135557.8277085652</v>
      </c>
      <c r="H135" s="161">
        <f t="shared" si="35"/>
        <v>1152441</v>
      </c>
      <c r="I135" s="161">
        <f t="shared" si="35"/>
        <v>1266330.322272924</v>
      </c>
      <c r="J135" s="161">
        <f t="shared" si="35"/>
        <v>1118735.8763261109</v>
      </c>
      <c r="K135" s="161">
        <f t="shared" si="35"/>
        <v>1055082.1892448352</v>
      </c>
      <c r="L135" s="161">
        <f t="shared" si="35"/>
        <v>911536.83865612792</v>
      </c>
      <c r="M135" s="161">
        <f t="shared" si="35"/>
        <v>885115.56236045342</v>
      </c>
      <c r="N135" s="161">
        <f t="shared" si="35"/>
        <v>12716930.013235427</v>
      </c>
      <c r="O135" s="161">
        <f t="shared" si="35"/>
        <v>1267927</v>
      </c>
      <c r="P135" s="159">
        <f>+O135/$O$137</f>
        <v>2.6991477953121443E-2</v>
      </c>
      <c r="Q135" s="126"/>
      <c r="R135" s="200">
        <f>SUM(R124:R134)</f>
        <v>519212.0678207645</v>
      </c>
      <c r="S135" s="198">
        <f>+R135/$R$91</f>
        <v>1.265958053226585E-2</v>
      </c>
    </row>
    <row r="136" spans="1:19" s="112" customFormat="1">
      <c r="A136" s="125"/>
      <c r="B136" s="155"/>
      <c r="C136" s="155"/>
      <c r="D136" s="155"/>
      <c r="E136" s="155"/>
      <c r="F136" s="155"/>
      <c r="G136" s="155"/>
      <c r="H136" s="155"/>
      <c r="I136" s="155"/>
      <c r="J136" s="155"/>
      <c r="K136" s="155"/>
      <c r="L136" s="155"/>
      <c r="M136" s="155"/>
      <c r="N136" s="155"/>
      <c r="O136" s="157"/>
      <c r="P136" s="125"/>
      <c r="Q136" s="125"/>
      <c r="R136" s="201"/>
      <c r="S136" s="198"/>
    </row>
    <row r="137" spans="1:19" s="112" customFormat="1" ht="13.8" thickBot="1">
      <c r="A137" s="126" t="s">
        <v>452</v>
      </c>
      <c r="B137" s="160">
        <f t="shared" ref="B137:O137" si="36">+B121+B135</f>
        <v>46302410.929345563</v>
      </c>
      <c r="C137" s="160">
        <f t="shared" si="36"/>
        <v>43283044.327601828</v>
      </c>
      <c r="D137" s="160">
        <f t="shared" si="36"/>
        <v>38626399.630569749</v>
      </c>
      <c r="E137" s="160">
        <f t="shared" si="36"/>
        <v>36254572.189520143</v>
      </c>
      <c r="F137" s="160">
        <f t="shared" si="36"/>
        <v>36748685.883575633</v>
      </c>
      <c r="G137" s="160">
        <f t="shared" si="36"/>
        <v>38867341.838165767</v>
      </c>
      <c r="H137" s="160">
        <f t="shared" si="36"/>
        <v>39044381.209288679</v>
      </c>
      <c r="I137" s="160">
        <f t="shared" si="36"/>
        <v>38841172.369448334</v>
      </c>
      <c r="J137" s="160">
        <f t="shared" si="36"/>
        <v>41111742.244458057</v>
      </c>
      <c r="K137" s="160">
        <f t="shared" si="36"/>
        <v>39877970.902213223</v>
      </c>
      <c r="L137" s="160">
        <f t="shared" si="36"/>
        <v>42526323.032871753</v>
      </c>
      <c r="M137" s="160">
        <f t="shared" si="36"/>
        <v>41014697.56469094</v>
      </c>
      <c r="N137" s="160">
        <f t="shared" si="36"/>
        <v>482498742.12174964</v>
      </c>
      <c r="O137" s="160">
        <f t="shared" si="36"/>
        <v>46975086.069837458</v>
      </c>
      <c r="P137" s="159">
        <f>+O137/$O$137</f>
        <v>1</v>
      </c>
      <c r="Q137" s="125"/>
      <c r="R137" s="204">
        <f>+R121+R135</f>
        <v>41013370.585023195</v>
      </c>
      <c r="S137" s="198">
        <f>+R137/$R$91</f>
        <v>1</v>
      </c>
    </row>
    <row r="138" spans="1:19" s="112" customFormat="1" ht="13.8" thickTop="1">
      <c r="B138" s="156"/>
      <c r="C138" s="156"/>
      <c r="D138" s="156"/>
      <c r="E138" s="156"/>
      <c r="F138" s="156"/>
      <c r="G138" s="156"/>
      <c r="H138" s="156"/>
      <c r="I138" s="156"/>
      <c r="J138" s="156"/>
      <c r="K138" s="156"/>
      <c r="L138" s="156"/>
      <c r="M138" s="156"/>
      <c r="N138" s="156"/>
    </row>
    <row r="139" spans="1:19" s="112" customFormat="1">
      <c r="B139" s="156"/>
      <c r="C139" s="156"/>
      <c r="D139" s="156"/>
      <c r="E139" s="156"/>
      <c r="F139" s="156"/>
      <c r="G139" s="156"/>
      <c r="H139" s="156"/>
      <c r="I139" s="156"/>
      <c r="J139" s="156"/>
      <c r="K139" s="156"/>
      <c r="L139" s="156"/>
      <c r="M139" s="156"/>
      <c r="N139" s="156"/>
    </row>
    <row r="140" spans="1:19" s="112" customFormat="1">
      <c r="B140" s="156"/>
      <c r="C140" s="156"/>
      <c r="D140" s="156"/>
      <c r="E140" s="156"/>
      <c r="F140" s="156"/>
      <c r="G140" s="156"/>
      <c r="H140" s="156"/>
      <c r="I140" s="156"/>
      <c r="J140" s="156"/>
      <c r="K140" s="156"/>
      <c r="L140" s="156"/>
      <c r="M140" s="156"/>
      <c r="N140" s="156"/>
    </row>
    <row r="141" spans="1:19" s="112" customFormat="1">
      <c r="B141" s="156"/>
      <c r="C141" s="156"/>
      <c r="D141" s="156"/>
      <c r="E141" s="156"/>
      <c r="F141" s="156"/>
      <c r="G141" s="156"/>
      <c r="H141" s="156"/>
      <c r="I141" s="156"/>
      <c r="J141" s="156"/>
      <c r="K141" s="156"/>
      <c r="L141" s="156"/>
      <c r="M141" s="156"/>
      <c r="N141" s="156"/>
    </row>
    <row r="142" spans="1:19" s="112" customFormat="1">
      <c r="B142" s="156"/>
      <c r="C142" s="156"/>
      <c r="D142" s="156"/>
      <c r="E142" s="156"/>
      <c r="F142" s="156"/>
      <c r="G142" s="156"/>
      <c r="H142" s="156"/>
      <c r="I142" s="156"/>
      <c r="J142" s="156"/>
      <c r="K142" s="156"/>
      <c r="L142" s="156"/>
      <c r="M142" s="156"/>
      <c r="N142" s="156"/>
    </row>
    <row r="143" spans="1:19" s="112" customFormat="1">
      <c r="B143" s="156"/>
      <c r="C143" s="156"/>
      <c r="D143" s="156"/>
      <c r="E143" s="156"/>
      <c r="F143" s="156"/>
      <c r="G143" s="156"/>
      <c r="H143" s="156"/>
      <c r="I143" s="156"/>
      <c r="J143" s="156"/>
      <c r="K143" s="156"/>
      <c r="L143" s="156"/>
      <c r="M143" s="156"/>
      <c r="N143" s="156"/>
    </row>
    <row r="144" spans="1:19"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1:19" s="112" customFormat="1">
      <c r="B193" s="156"/>
      <c r="C193" s="156"/>
      <c r="D193" s="156"/>
      <c r="E193" s="156"/>
      <c r="F193" s="156"/>
      <c r="G193" s="156"/>
      <c r="H193" s="156"/>
      <c r="I193" s="156"/>
      <c r="J193" s="156"/>
      <c r="K193" s="156"/>
      <c r="L193" s="156"/>
      <c r="M193" s="156"/>
      <c r="N193" s="156"/>
    </row>
    <row r="194" spans="1:19" s="112" customFormat="1">
      <c r="B194" s="156"/>
      <c r="C194" s="156"/>
      <c r="D194" s="156"/>
      <c r="E194" s="156"/>
      <c r="F194" s="156"/>
      <c r="G194" s="156"/>
      <c r="H194" s="156"/>
      <c r="I194" s="156"/>
      <c r="J194" s="156"/>
      <c r="K194" s="156"/>
      <c r="L194" s="156"/>
      <c r="M194" s="156"/>
      <c r="N194" s="156"/>
    </row>
    <row r="195" spans="1:19" s="112" customFormat="1">
      <c r="B195" s="156"/>
      <c r="C195" s="156"/>
      <c r="D195" s="156"/>
      <c r="E195" s="156"/>
      <c r="F195" s="156"/>
      <c r="G195" s="156"/>
      <c r="H195" s="156"/>
      <c r="I195" s="156"/>
      <c r="J195" s="156"/>
      <c r="K195" s="156"/>
      <c r="L195" s="156"/>
      <c r="M195" s="156"/>
      <c r="N195" s="156"/>
    </row>
    <row r="196" spans="1:19" s="112" customFormat="1">
      <c r="B196" s="156"/>
      <c r="C196" s="156"/>
      <c r="D196" s="156"/>
      <c r="E196" s="156"/>
      <c r="F196" s="156"/>
      <c r="G196" s="156"/>
      <c r="H196" s="156"/>
      <c r="I196" s="156"/>
      <c r="J196" s="156"/>
      <c r="K196" s="156"/>
      <c r="L196" s="156"/>
      <c r="M196" s="156"/>
      <c r="N196" s="156"/>
    </row>
    <row r="197" spans="1:19" s="112" customFormat="1">
      <c r="B197" s="156"/>
      <c r="C197" s="156"/>
      <c r="D197" s="156"/>
      <c r="E197" s="156"/>
      <c r="F197" s="156"/>
      <c r="G197" s="156"/>
      <c r="H197" s="156"/>
      <c r="I197" s="156"/>
      <c r="J197" s="156"/>
      <c r="K197" s="156"/>
      <c r="L197" s="156"/>
      <c r="M197" s="156"/>
      <c r="N197" s="156"/>
    </row>
    <row r="198" spans="1:19" s="112" customFormat="1">
      <c r="B198" s="156"/>
      <c r="C198" s="156"/>
      <c r="D198" s="156"/>
      <c r="E198" s="156"/>
      <c r="F198" s="156"/>
      <c r="G198" s="156"/>
      <c r="H198" s="156"/>
      <c r="I198" s="156"/>
      <c r="J198" s="156"/>
      <c r="K198" s="156"/>
      <c r="L198" s="156"/>
      <c r="M198" s="156"/>
      <c r="N198" s="156"/>
    </row>
    <row r="199" spans="1:19" s="112" customFormat="1">
      <c r="B199" s="156"/>
      <c r="C199" s="156"/>
      <c r="D199" s="156"/>
      <c r="E199" s="156"/>
      <c r="F199" s="156"/>
      <c r="G199" s="156"/>
      <c r="H199" s="156"/>
      <c r="I199" s="156"/>
      <c r="J199" s="156"/>
      <c r="K199" s="156"/>
      <c r="L199" s="156"/>
      <c r="M199" s="156"/>
      <c r="N199" s="156"/>
    </row>
    <row r="200" spans="1:19" s="112" customFormat="1">
      <c r="B200" s="156"/>
      <c r="C200" s="156"/>
      <c r="D200" s="156"/>
      <c r="E200" s="156"/>
      <c r="F200" s="156"/>
      <c r="G200" s="156"/>
      <c r="H200" s="156"/>
      <c r="I200" s="156"/>
      <c r="J200" s="156"/>
      <c r="K200" s="156"/>
      <c r="L200" s="156"/>
      <c r="M200" s="156"/>
      <c r="N200" s="156"/>
    </row>
    <row r="201" spans="1:19" s="112" customFormat="1">
      <c r="B201" s="156"/>
      <c r="C201" s="156"/>
      <c r="D201" s="156"/>
      <c r="E201" s="156"/>
      <c r="F201" s="156"/>
      <c r="G201" s="156"/>
      <c r="H201" s="156"/>
      <c r="I201" s="156"/>
      <c r="J201" s="156"/>
      <c r="K201" s="156"/>
      <c r="L201" s="156"/>
      <c r="M201" s="156"/>
      <c r="N201" s="156"/>
    </row>
    <row r="202" spans="1:19" s="112" customFormat="1">
      <c r="B202" s="156"/>
      <c r="C202" s="156"/>
      <c r="D202" s="156"/>
      <c r="E202" s="156"/>
      <c r="F202" s="156"/>
      <c r="G202" s="156"/>
      <c r="H202" s="156"/>
      <c r="I202" s="156"/>
      <c r="J202" s="156"/>
      <c r="K202" s="156"/>
      <c r="L202" s="156"/>
      <c r="M202" s="156"/>
      <c r="N202" s="156"/>
    </row>
    <row r="203" spans="1:19" s="112" customFormat="1">
      <c r="B203" s="156"/>
      <c r="C203" s="156"/>
      <c r="D203" s="156"/>
      <c r="E203" s="156"/>
      <c r="F203" s="156"/>
      <c r="G203" s="156"/>
      <c r="H203" s="156"/>
      <c r="I203" s="156"/>
      <c r="J203" s="156"/>
      <c r="K203" s="156"/>
      <c r="L203" s="156"/>
      <c r="M203" s="156"/>
      <c r="N203" s="156"/>
    </row>
    <row r="204" spans="1:19" s="112" customFormat="1">
      <c r="B204" s="156"/>
      <c r="C204" s="156"/>
      <c r="D204" s="156"/>
      <c r="E204" s="156"/>
      <c r="F204" s="156"/>
      <c r="G204" s="156"/>
      <c r="H204" s="156"/>
      <c r="I204" s="156"/>
      <c r="J204" s="156"/>
      <c r="K204" s="156"/>
      <c r="L204" s="156"/>
      <c r="M204" s="156"/>
      <c r="N204" s="156"/>
    </row>
    <row r="205" spans="1:19" s="112" customFormat="1">
      <c r="B205" s="156"/>
      <c r="C205" s="156"/>
      <c r="D205" s="156"/>
      <c r="E205" s="156"/>
      <c r="F205" s="156"/>
      <c r="G205" s="156"/>
      <c r="H205" s="156"/>
      <c r="I205" s="156"/>
      <c r="J205" s="156"/>
      <c r="K205" s="156"/>
      <c r="L205" s="156"/>
      <c r="M205" s="156"/>
      <c r="N205" s="156"/>
      <c r="R205" s="154"/>
    </row>
    <row r="206" spans="1:19" s="112" customFormat="1">
      <c r="A206" s="154"/>
      <c r="B206" s="155"/>
      <c r="C206" s="155"/>
      <c r="D206" s="155"/>
      <c r="E206" s="155"/>
      <c r="F206" s="155"/>
      <c r="G206" s="155"/>
      <c r="H206" s="155"/>
      <c r="I206" s="155"/>
      <c r="J206" s="155"/>
      <c r="K206" s="155"/>
      <c r="L206" s="155"/>
      <c r="M206" s="155"/>
      <c r="N206" s="155"/>
      <c r="O206" s="154"/>
      <c r="Q206" s="154"/>
      <c r="R206" s="154"/>
      <c r="S206" s="154"/>
    </row>
    <row r="207" spans="1:19" s="112" customFormat="1">
      <c r="A207" s="154"/>
      <c r="B207" s="155"/>
      <c r="C207" s="155"/>
      <c r="D207" s="155"/>
      <c r="E207" s="155"/>
      <c r="F207" s="155"/>
      <c r="G207" s="155"/>
      <c r="H207" s="155"/>
      <c r="I207" s="155"/>
      <c r="J207" s="155"/>
      <c r="K207" s="155"/>
      <c r="L207" s="155"/>
      <c r="M207" s="155"/>
      <c r="N207" s="155"/>
      <c r="O207" s="154"/>
      <c r="Q207" s="154"/>
      <c r="R207" s="154"/>
      <c r="S207" s="154"/>
    </row>
    <row r="208" spans="1:19" s="112" customFormat="1">
      <c r="A208" s="154"/>
      <c r="B208" s="154"/>
      <c r="C208" s="154"/>
      <c r="D208" s="154"/>
      <c r="E208" s="154"/>
      <c r="F208" s="154"/>
      <c r="G208" s="154"/>
      <c r="H208" s="154"/>
      <c r="I208" s="154"/>
      <c r="J208" s="154"/>
      <c r="K208" s="154"/>
      <c r="L208" s="154"/>
      <c r="M208" s="154"/>
      <c r="N208" s="154"/>
      <c r="O208" s="154"/>
      <c r="Q208" s="154"/>
      <c r="R208" s="154"/>
      <c r="S208" s="154"/>
    </row>
    <row r="209" spans="1:19" s="112" customFormat="1">
      <c r="A209" s="154"/>
      <c r="B209" s="154"/>
      <c r="C209" s="154"/>
      <c r="D209" s="154"/>
      <c r="E209" s="154"/>
      <c r="F209" s="154"/>
      <c r="G209" s="154"/>
      <c r="H209" s="154"/>
      <c r="I209" s="154"/>
      <c r="J209" s="154"/>
      <c r="K209" s="154"/>
      <c r="L209" s="154"/>
      <c r="M209" s="154"/>
      <c r="N209" s="154"/>
      <c r="O209" s="154"/>
      <c r="Q209" s="154"/>
      <c r="R209" s="154"/>
      <c r="S209" s="154"/>
    </row>
    <row r="210" spans="1:19" s="112" customFormat="1">
      <c r="A210" s="154"/>
      <c r="B210" s="155"/>
      <c r="C210" s="155"/>
      <c r="D210" s="155"/>
      <c r="E210" s="155"/>
      <c r="F210" s="155"/>
      <c r="G210" s="155"/>
      <c r="H210" s="155"/>
      <c r="I210" s="155"/>
      <c r="J210" s="155"/>
      <c r="K210" s="155"/>
      <c r="L210" s="155"/>
      <c r="M210" s="155"/>
      <c r="N210" s="155"/>
      <c r="O210" s="154"/>
      <c r="P210" s="154"/>
      <c r="Q210" s="154"/>
      <c r="R210" s="154"/>
      <c r="S210" s="154"/>
    </row>
    <row r="211" spans="1:19" s="112" customFormat="1">
      <c r="A211" s="154"/>
      <c r="B211" s="155"/>
      <c r="C211" s="155"/>
      <c r="D211" s="155"/>
      <c r="E211" s="155"/>
      <c r="F211" s="155"/>
      <c r="G211" s="155"/>
      <c r="H211" s="155"/>
      <c r="I211" s="155"/>
      <c r="J211" s="155"/>
      <c r="K211" s="155"/>
      <c r="L211" s="155"/>
      <c r="M211" s="155"/>
      <c r="N211" s="155"/>
      <c r="O211" s="154"/>
      <c r="P211" s="154"/>
      <c r="Q211" s="154"/>
      <c r="R211" s="154"/>
      <c r="S211" s="154"/>
    </row>
    <row r="212" spans="1:19" s="112" customFormat="1">
      <c r="A212" s="154"/>
      <c r="B212" s="155"/>
      <c r="C212" s="155"/>
      <c r="D212" s="155"/>
      <c r="E212" s="155"/>
      <c r="F212" s="155"/>
      <c r="G212" s="155"/>
      <c r="H212" s="155"/>
      <c r="I212" s="155"/>
      <c r="J212" s="155"/>
      <c r="K212" s="155"/>
      <c r="L212" s="155"/>
      <c r="M212" s="155"/>
      <c r="N212" s="155"/>
      <c r="O212" s="154"/>
      <c r="P212" s="154"/>
      <c r="Q212" s="154"/>
      <c r="R212" s="154"/>
      <c r="S212" s="154"/>
    </row>
    <row r="213" spans="1:19" s="112" customFormat="1">
      <c r="A213" s="154"/>
      <c r="B213" s="155"/>
      <c r="C213" s="155"/>
      <c r="D213" s="155"/>
      <c r="E213" s="155"/>
      <c r="F213" s="155"/>
      <c r="G213" s="155"/>
      <c r="H213" s="155"/>
      <c r="I213" s="155"/>
      <c r="J213" s="155"/>
      <c r="K213" s="155"/>
      <c r="L213" s="155"/>
      <c r="M213" s="155"/>
      <c r="N213" s="155"/>
      <c r="O213" s="154"/>
      <c r="P213" s="154"/>
      <c r="Q213" s="154"/>
      <c r="R213" s="154"/>
      <c r="S213" s="154"/>
    </row>
    <row r="214" spans="1:19" s="112" customFormat="1">
      <c r="A214" s="154"/>
      <c r="B214" s="155"/>
      <c r="C214" s="155"/>
      <c r="D214" s="155"/>
      <c r="E214" s="155"/>
      <c r="F214" s="155"/>
      <c r="G214" s="155"/>
      <c r="H214" s="155"/>
      <c r="I214" s="155"/>
      <c r="J214" s="155"/>
      <c r="K214" s="155"/>
      <c r="L214" s="155"/>
      <c r="M214" s="155"/>
      <c r="N214" s="155"/>
      <c r="O214" s="154"/>
      <c r="P214" s="154"/>
      <c r="Q214" s="154"/>
      <c r="R214" s="154"/>
      <c r="S214" s="154"/>
    </row>
    <row r="215" spans="1:19" s="112" customFormat="1">
      <c r="A215" s="154"/>
      <c r="B215" s="155"/>
      <c r="C215" s="155"/>
      <c r="D215" s="155"/>
      <c r="E215" s="155"/>
      <c r="F215" s="155"/>
      <c r="G215" s="155"/>
      <c r="H215" s="155"/>
      <c r="I215" s="155"/>
      <c r="J215" s="155"/>
      <c r="K215" s="155"/>
      <c r="L215" s="155"/>
      <c r="M215" s="155"/>
      <c r="N215" s="155"/>
      <c r="O215" s="154"/>
      <c r="P215" s="154"/>
      <c r="Q215" s="154"/>
      <c r="R215" s="154"/>
      <c r="S215" s="154"/>
    </row>
    <row r="216" spans="1:19" s="112" customFormat="1">
      <c r="A216" s="154"/>
      <c r="B216" s="155"/>
      <c r="C216" s="155"/>
      <c r="D216" s="155"/>
      <c r="E216" s="155"/>
      <c r="F216" s="155"/>
      <c r="G216" s="155"/>
      <c r="H216" s="155"/>
      <c r="I216" s="155"/>
      <c r="J216" s="155"/>
      <c r="K216" s="155"/>
      <c r="L216" s="155"/>
      <c r="M216" s="155"/>
      <c r="N216" s="155"/>
      <c r="O216" s="154"/>
      <c r="P216" s="154"/>
      <c r="Q216" s="154"/>
      <c r="R216" s="154"/>
      <c r="S216" s="154"/>
    </row>
    <row r="217" spans="1:19" s="112" customFormat="1">
      <c r="A217" s="154"/>
      <c r="B217" s="155"/>
      <c r="C217" s="155"/>
      <c r="D217" s="155"/>
      <c r="E217" s="155"/>
      <c r="F217" s="155"/>
      <c r="G217" s="155"/>
      <c r="H217" s="155"/>
      <c r="I217" s="155"/>
      <c r="J217" s="155"/>
      <c r="K217" s="155"/>
      <c r="L217" s="155"/>
      <c r="M217" s="155"/>
      <c r="N217" s="155"/>
      <c r="O217" s="154"/>
      <c r="P217" s="154"/>
      <c r="Q217" s="154"/>
      <c r="R217" s="154"/>
      <c r="S217" s="154"/>
    </row>
    <row r="218" spans="1:19" s="112" customFormat="1">
      <c r="A218" s="154"/>
      <c r="B218" s="155"/>
      <c r="C218" s="155"/>
      <c r="D218" s="155"/>
      <c r="E218" s="155"/>
      <c r="F218" s="155"/>
      <c r="G218" s="155"/>
      <c r="H218" s="155"/>
      <c r="I218" s="155"/>
      <c r="J218" s="155"/>
      <c r="K218" s="155"/>
      <c r="L218" s="155"/>
      <c r="M218" s="155"/>
      <c r="N218" s="155"/>
      <c r="O218" s="154"/>
      <c r="P218" s="154"/>
      <c r="Q218" s="154"/>
      <c r="R218" s="154"/>
      <c r="S218" s="154"/>
    </row>
    <row r="219" spans="1:19" s="112" customFormat="1">
      <c r="A219" s="154"/>
      <c r="B219" s="155"/>
      <c r="C219" s="155"/>
      <c r="D219" s="155"/>
      <c r="E219" s="155"/>
      <c r="F219" s="155"/>
      <c r="G219" s="155"/>
      <c r="H219" s="155"/>
      <c r="I219" s="155"/>
      <c r="J219" s="155"/>
      <c r="K219" s="155"/>
      <c r="L219" s="155"/>
      <c r="M219" s="155"/>
      <c r="N219" s="155"/>
      <c r="O219" s="154"/>
      <c r="P219" s="154"/>
      <c r="Q219" s="154"/>
      <c r="R219" s="154"/>
      <c r="S219" s="154"/>
    </row>
    <row r="220" spans="1:19" s="112" customFormat="1">
      <c r="A220" s="154"/>
      <c r="B220" s="155"/>
      <c r="C220" s="155"/>
      <c r="D220" s="155"/>
      <c r="E220" s="155"/>
      <c r="F220" s="155"/>
      <c r="G220" s="155"/>
      <c r="H220" s="155"/>
      <c r="I220" s="155"/>
      <c r="J220" s="155"/>
      <c r="K220" s="155"/>
      <c r="L220" s="155"/>
      <c r="M220" s="155"/>
      <c r="N220" s="155"/>
      <c r="O220" s="154"/>
      <c r="P220" s="154"/>
      <c r="Q220" s="154"/>
      <c r="R220" s="154"/>
      <c r="S220" s="154"/>
    </row>
    <row r="221" spans="1:19" s="112" customFormat="1" ht="409.6">
      <c r="A221" s="154"/>
      <c r="B221" s="155"/>
      <c r="C221" s="155"/>
      <c r="D221" s="155"/>
      <c r="E221" s="155"/>
      <c r="F221" s="155"/>
      <c r="G221" s="155"/>
      <c r="H221" s="155"/>
      <c r="I221" s="155"/>
      <c r="J221" s="155"/>
      <c r="K221" s="155"/>
      <c r="L221" s="155"/>
      <c r="M221" s="155"/>
      <c r="N221" s="155"/>
      <c r="O221" s="154"/>
      <c r="P221" s="154"/>
      <c r="Q221" s="154"/>
      <c r="R221" s="154"/>
      <c r="S221" s="154"/>
    </row>
    <row r="222" spans="1:19" s="112" customFormat="1" ht="409.6">
      <c r="A222" s="154"/>
      <c r="B222" s="155"/>
      <c r="C222" s="155"/>
      <c r="D222" s="155"/>
      <c r="E222" s="155"/>
      <c r="F222" s="155"/>
      <c r="G222" s="155"/>
      <c r="H222" s="155"/>
      <c r="I222" s="155"/>
      <c r="J222" s="155"/>
      <c r="K222" s="155"/>
      <c r="L222" s="155"/>
      <c r="M222" s="155"/>
      <c r="N222" s="155"/>
      <c r="O222" s="154"/>
      <c r="P222" s="154"/>
      <c r="Q222" s="154"/>
      <c r="R222" s="154"/>
      <c r="S222" s="154"/>
    </row>
    <row r="223" spans="1:19" s="112" customFormat="1">
      <c r="A223" s="154"/>
      <c r="B223" s="155"/>
      <c r="C223" s="155"/>
      <c r="D223" s="155"/>
      <c r="E223" s="155"/>
      <c r="F223" s="155"/>
      <c r="G223" s="155"/>
      <c r="H223" s="155"/>
      <c r="I223" s="155"/>
      <c r="J223" s="155"/>
      <c r="K223" s="155"/>
      <c r="L223" s="155"/>
      <c r="M223" s="155"/>
      <c r="N223" s="155"/>
      <c r="O223" s="154"/>
      <c r="P223" s="154"/>
      <c r="Q223" s="154"/>
      <c r="R223" s="154"/>
      <c r="S223" s="154"/>
    </row>
  </sheetData>
  <mergeCells count="12">
    <mergeCell ref="B99:D99"/>
    <mergeCell ref="E99:K99"/>
    <mergeCell ref="L99:M99"/>
    <mergeCell ref="R100:S100"/>
    <mergeCell ref="B7:D7"/>
    <mergeCell ref="E7:K7"/>
    <mergeCell ref="L7:M7"/>
    <mergeCell ref="R54:S54"/>
    <mergeCell ref="R8:S8"/>
    <mergeCell ref="B53:D53"/>
    <mergeCell ref="E53:K53"/>
    <mergeCell ref="L53:M53"/>
  </mergeCells>
  <conditionalFormatting sqref="B12:M12 B58:M73">
    <cfRule type="cellIs" dxfId="234" priority="91" operator="equal">
      <formula>$O12</formula>
    </cfRule>
  </conditionalFormatting>
  <conditionalFormatting sqref="B13:M13">
    <cfRule type="cellIs" dxfId="233" priority="89" operator="equal">
      <formula>$O13</formula>
    </cfRule>
  </conditionalFormatting>
  <conditionalFormatting sqref="B14:M14">
    <cfRule type="cellIs" dxfId="232" priority="87" operator="equal">
      <formula>$O14</formula>
    </cfRule>
  </conditionalFormatting>
  <conditionalFormatting sqref="B15:M15">
    <cfRule type="cellIs" dxfId="231" priority="79" operator="equal">
      <formula>$O15</formula>
    </cfRule>
  </conditionalFormatting>
  <conditionalFormatting sqref="B16:M16">
    <cfRule type="cellIs" dxfId="230" priority="77" operator="equal">
      <formula>$O16</formula>
    </cfRule>
  </conditionalFormatting>
  <conditionalFormatting sqref="B17:M17">
    <cfRule type="cellIs" dxfId="229" priority="75" operator="equal">
      <formula>$O17</formula>
    </cfRule>
  </conditionalFormatting>
  <conditionalFormatting sqref="B18:M18">
    <cfRule type="cellIs" dxfId="228" priority="73" operator="equal">
      <formula>$O18</formula>
    </cfRule>
  </conditionalFormatting>
  <conditionalFormatting sqref="B19:M19">
    <cfRule type="cellIs" dxfId="227" priority="71" operator="equal">
      <formula>$O19</formula>
    </cfRule>
  </conditionalFormatting>
  <conditionalFormatting sqref="B20:M20">
    <cfRule type="cellIs" dxfId="226" priority="69" operator="equal">
      <formula>$O20</formula>
    </cfRule>
  </conditionalFormatting>
  <conditionalFormatting sqref="B21:M21">
    <cfRule type="cellIs" dxfId="225" priority="61" operator="equal">
      <formula>$O21</formula>
    </cfRule>
  </conditionalFormatting>
  <conditionalFormatting sqref="B22:M22">
    <cfRule type="cellIs" dxfId="224" priority="59" operator="equal">
      <formula>$O22</formula>
    </cfRule>
  </conditionalFormatting>
  <conditionalFormatting sqref="B23:M23">
    <cfRule type="cellIs" dxfId="223" priority="57" operator="equal">
      <formula>$O23</formula>
    </cfRule>
  </conditionalFormatting>
  <conditionalFormatting sqref="B24:M24">
    <cfRule type="cellIs" dxfId="222" priority="55" operator="equal">
      <formula>$O24</formula>
    </cfRule>
  </conditionalFormatting>
  <conditionalFormatting sqref="B25:M25">
    <cfRule type="cellIs" dxfId="221" priority="47" operator="equal">
      <formula>$O25</formula>
    </cfRule>
  </conditionalFormatting>
  <conditionalFormatting sqref="B26:M26">
    <cfRule type="cellIs" dxfId="220" priority="45" operator="equal">
      <formula>$O26</formula>
    </cfRule>
  </conditionalFormatting>
  <conditionalFormatting sqref="B27:M27">
    <cfRule type="cellIs" dxfId="219" priority="43" operator="equal">
      <formula>$O27</formula>
    </cfRule>
  </conditionalFormatting>
  <conditionalFormatting sqref="B28:M28">
    <cfRule type="cellIs" dxfId="218" priority="41" operator="equal">
      <formula>$O28</formula>
    </cfRule>
  </conditionalFormatting>
  <conditionalFormatting sqref="B57:M57">
    <cfRule type="cellIs" dxfId="217" priority="39" operator="equal">
      <formula>$O57</formula>
    </cfRule>
  </conditionalFormatting>
  <conditionalFormatting sqref="B104:M119">
    <cfRule type="cellIs" dxfId="216" priority="2" operator="equal">
      <formula>$O104</formula>
    </cfRule>
  </conditionalFormatting>
  <conditionalFormatting sqref="B103:M103">
    <cfRule type="cellIs" dxfId="215" priority="1" operator="equal">
      <formula>$O103</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tint="4.9989318521683403E-2"/>
  </sheetPr>
  <dimension ref="A1:V210"/>
  <sheetViews>
    <sheetView showGridLines="0" zoomScale="75" zoomScaleNormal="75" workbookViewId="0">
      <selection activeCell="A2" sqref="A1:A2"/>
    </sheetView>
  </sheetViews>
  <sheetFormatPr defaultColWidth="9.109375" defaultRowHeight="13.2"/>
  <cols>
    <col min="1" max="1" width="25.6640625" style="154" customWidth="1"/>
    <col min="2" max="11" width="17.6640625" style="155" bestFit="1" customWidth="1"/>
    <col min="12" max="12" width="17.33203125" style="155" bestFit="1" customWidth="1"/>
    <col min="13" max="13" width="18.6640625" style="155" bestFit="1" customWidth="1"/>
    <col min="14" max="14" width="20" style="155" bestFit="1" customWidth="1"/>
    <col min="15" max="15" width="11.44140625" style="154" bestFit="1" customWidth="1"/>
    <col min="16" max="16384" width="9.109375" style="154"/>
  </cols>
  <sheetData>
    <row r="1" spans="1:15" s="164" customFormat="1">
      <c r="A1" s="158" t="s">
        <v>1277</v>
      </c>
      <c r="C1" s="158"/>
      <c r="D1" s="158"/>
      <c r="E1" s="158"/>
      <c r="F1" s="158"/>
      <c r="G1" s="158"/>
      <c r="H1" s="158"/>
      <c r="I1" s="158"/>
      <c r="J1" s="158"/>
      <c r="K1" s="158"/>
      <c r="L1" s="158"/>
      <c r="M1" s="158"/>
      <c r="N1" s="158"/>
    </row>
    <row r="2" spans="1:15" s="164" customFormat="1">
      <c r="A2" s="158" t="s">
        <v>1267</v>
      </c>
      <c r="C2" s="158"/>
      <c r="D2" s="158"/>
      <c r="E2" s="158"/>
      <c r="F2" s="158"/>
      <c r="G2" s="158"/>
      <c r="H2" s="158"/>
      <c r="I2" s="158"/>
      <c r="J2" s="158"/>
      <c r="K2" s="158"/>
      <c r="L2" s="158"/>
      <c r="M2" s="158"/>
      <c r="N2" s="158"/>
    </row>
    <row r="3" spans="1:15" s="164" customFormat="1">
      <c r="B3" s="158"/>
      <c r="C3" s="158"/>
      <c r="D3" s="158"/>
      <c r="E3" s="158"/>
      <c r="F3" s="158"/>
      <c r="G3" s="158"/>
      <c r="H3" s="158"/>
      <c r="I3" s="158"/>
      <c r="J3" s="158"/>
      <c r="K3" s="158"/>
      <c r="L3" s="158"/>
      <c r="M3" s="158"/>
      <c r="N3" s="158"/>
    </row>
    <row r="4" spans="1:15" s="172" customFormat="1" ht="21">
      <c r="A4" s="124" t="s">
        <v>457</v>
      </c>
      <c r="B4" s="165"/>
      <c r="C4" s="165"/>
      <c r="D4" s="165"/>
      <c r="E4" s="165"/>
      <c r="F4" s="165"/>
      <c r="G4" s="165"/>
      <c r="H4" s="165"/>
      <c r="I4" s="165"/>
      <c r="J4" s="165"/>
      <c r="K4" s="165"/>
      <c r="L4" s="165"/>
      <c r="M4" s="165"/>
      <c r="N4" s="165"/>
    </row>
    <row r="5" spans="1:15" s="172" customFormat="1" ht="21">
      <c r="A5" s="124" t="str">
        <f>MANUAL!$B$9&amp;" - PRIOR YEAR"</f>
        <v>2016 - PRIOR YEAR</v>
      </c>
      <c r="B5" s="165"/>
      <c r="C5" s="165"/>
      <c r="D5" s="165"/>
      <c r="E5" s="165"/>
      <c r="F5" s="165"/>
      <c r="G5" s="165"/>
      <c r="H5" s="165"/>
      <c r="I5" s="165"/>
      <c r="J5" s="165"/>
      <c r="K5" s="165"/>
      <c r="L5" s="165"/>
      <c r="M5" s="165"/>
      <c r="N5" s="165"/>
    </row>
    <row r="6" spans="1:15" s="172" customFormat="1" ht="21.6" thickBot="1">
      <c r="A6" s="124"/>
      <c r="B6" s="165"/>
      <c r="C6" s="165"/>
      <c r="D6" s="165"/>
      <c r="E6" s="165"/>
      <c r="F6" s="165"/>
      <c r="G6" s="165"/>
      <c r="H6" s="165"/>
      <c r="I6" s="165"/>
      <c r="J6" s="165"/>
      <c r="K6" s="165"/>
      <c r="L6" s="165"/>
      <c r="M6" s="165"/>
      <c r="N6" s="165"/>
    </row>
    <row r="7" spans="1:15" s="164" customFormat="1" ht="13.8" thickBot="1">
      <c r="A7" s="168"/>
      <c r="B7" s="572" t="s">
        <v>339</v>
      </c>
      <c r="C7" s="573"/>
      <c r="D7" s="574"/>
      <c r="E7" s="575" t="s">
        <v>340</v>
      </c>
      <c r="F7" s="576"/>
      <c r="G7" s="576"/>
      <c r="H7" s="576"/>
      <c r="I7" s="576"/>
      <c r="J7" s="576"/>
      <c r="K7" s="577"/>
      <c r="L7" s="572" t="s">
        <v>339</v>
      </c>
      <c r="M7" s="574"/>
      <c r="N7" s="166"/>
    </row>
    <row r="8" spans="1:15" s="165" customFormat="1" ht="13.8" thickBot="1">
      <c r="A8" s="171" t="s">
        <v>454</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455</v>
      </c>
    </row>
    <row r="9" spans="1:15" s="165" customFormat="1">
      <c r="A9" s="332"/>
      <c r="B9" s="122"/>
      <c r="C9" s="122"/>
      <c r="D9" s="122"/>
      <c r="E9" s="122"/>
      <c r="F9" s="122"/>
      <c r="G9" s="122"/>
      <c r="H9" s="122"/>
      <c r="I9" s="122"/>
      <c r="J9" s="122"/>
      <c r="K9" s="122"/>
      <c r="L9" s="122"/>
      <c r="M9" s="122"/>
      <c r="N9" s="166"/>
    </row>
    <row r="10" spans="1:15" s="164" customFormat="1">
      <c r="A10" s="168"/>
      <c r="B10" s="167">
        <v>1</v>
      </c>
      <c r="C10" s="167">
        <v>2</v>
      </c>
      <c r="D10" s="167">
        <v>3</v>
      </c>
      <c r="E10" s="167">
        <v>4</v>
      </c>
      <c r="F10" s="167">
        <v>5</v>
      </c>
      <c r="G10" s="167">
        <v>6</v>
      </c>
      <c r="H10" s="167">
        <v>7</v>
      </c>
      <c r="I10" s="167">
        <v>8</v>
      </c>
      <c r="J10" s="167">
        <v>9</v>
      </c>
      <c r="K10" s="167">
        <v>10</v>
      </c>
      <c r="L10" s="167">
        <v>11</v>
      </c>
      <c r="M10" s="167">
        <v>12</v>
      </c>
      <c r="N10" s="166"/>
    </row>
    <row r="11" spans="1:15" s="81" customFormat="1">
      <c r="A11" s="42" t="s">
        <v>83</v>
      </c>
    </row>
    <row r="12" spans="1:15">
      <c r="A12" s="163" t="s">
        <v>98</v>
      </c>
      <c r="B12" s="162">
        <f>+'CILC-1D'!C$27</f>
        <v>230380345</v>
      </c>
      <c r="C12" s="162">
        <f>+'CILC-1D'!D$27</f>
        <v>212389992</v>
      </c>
      <c r="D12" s="162">
        <f>+'CILC-1D'!E$27</f>
        <v>213700912</v>
      </c>
      <c r="E12" s="162">
        <f>+'CILC-1D'!F$27</f>
        <v>214408138</v>
      </c>
      <c r="F12" s="162">
        <f>+'CILC-1D'!G$27</f>
        <v>222223124</v>
      </c>
      <c r="G12" s="162">
        <f>+'CILC-1D'!H$27</f>
        <v>230063751</v>
      </c>
      <c r="H12" s="162">
        <f>+'CILC-1D'!I$27</f>
        <v>237298897</v>
      </c>
      <c r="I12" s="162">
        <f>+'CILC-1D'!J$27</f>
        <v>235681124</v>
      </c>
      <c r="J12" s="162">
        <f>+'CILC-1D'!K$27</f>
        <v>233817820</v>
      </c>
      <c r="K12" s="162">
        <f>+'CILC-1D'!L$27</f>
        <v>225569349</v>
      </c>
      <c r="L12" s="162">
        <f>+'CILC-1D'!M$27</f>
        <v>214908646</v>
      </c>
      <c r="M12" s="162">
        <f>+'CILC-1D'!N$27</f>
        <v>224070882</v>
      </c>
      <c r="N12" s="162">
        <f t="shared" ref="N12:N28" si="0">SUM(B12:M12)</f>
        <v>2694512980</v>
      </c>
      <c r="O12" s="159">
        <f t="shared" ref="O12:O28" si="1">+N12/$N$45</f>
        <v>2.365720202983037E-2</v>
      </c>
    </row>
    <row r="13" spans="1:15">
      <c r="A13" s="163" t="s">
        <v>99</v>
      </c>
      <c r="B13" s="162">
        <f>+'CILC-1G'!C$27</f>
        <v>8786487</v>
      </c>
      <c r="C13" s="162">
        <f>+'CILC-1G'!D$27</f>
        <v>8137504</v>
      </c>
      <c r="D13" s="162">
        <f>+'CILC-1G'!E$27</f>
        <v>8087909</v>
      </c>
      <c r="E13" s="162">
        <f>+'CILC-1G'!F$27</f>
        <v>8080797</v>
      </c>
      <c r="F13" s="162">
        <f>+'CILC-1G'!G$27</f>
        <v>8404830</v>
      </c>
      <c r="G13" s="162">
        <f>+'CILC-1G'!H$27</f>
        <v>8614497</v>
      </c>
      <c r="H13" s="162">
        <f>+'CILC-1G'!I$27</f>
        <v>8820657</v>
      </c>
      <c r="I13" s="162">
        <f>+'CILC-1G'!J$27</f>
        <v>8841737</v>
      </c>
      <c r="J13" s="162">
        <f>+'CILC-1G'!K$27</f>
        <v>8819404</v>
      </c>
      <c r="K13" s="162">
        <f>+'CILC-1G'!L$27</f>
        <v>8538740</v>
      </c>
      <c r="L13" s="162">
        <f>+'CILC-1G'!M$27</f>
        <v>8220488</v>
      </c>
      <c r="M13" s="162">
        <f>+'CILC-1G'!N$27</f>
        <v>8673691</v>
      </c>
      <c r="N13" s="162">
        <f t="shared" si="0"/>
        <v>102026741</v>
      </c>
      <c r="O13" s="159">
        <f t="shared" si="1"/>
        <v>8.9577123665671762E-4</v>
      </c>
    </row>
    <row r="14" spans="1:15">
      <c r="A14" s="163" t="s">
        <v>50</v>
      </c>
      <c r="B14" s="162">
        <f>+'CILC-1T'!C$27</f>
        <v>122922076</v>
      </c>
      <c r="C14" s="162">
        <f>+'CILC-1T'!D$27</f>
        <v>114714909</v>
      </c>
      <c r="D14" s="162">
        <f>+'CILC-1T'!E$27</f>
        <v>116221637</v>
      </c>
      <c r="E14" s="162">
        <f>+'CILC-1T'!F$27</f>
        <v>120806109</v>
      </c>
      <c r="F14" s="162">
        <f>+'CILC-1T'!G$27</f>
        <v>120216919</v>
      </c>
      <c r="G14" s="162">
        <f>+'CILC-1T'!H$27</f>
        <v>124953632</v>
      </c>
      <c r="H14" s="162">
        <f>+'CILC-1T'!I$27</f>
        <v>125659936</v>
      </c>
      <c r="I14" s="162">
        <f>+'CILC-1T'!J$27</f>
        <v>124952720</v>
      </c>
      <c r="J14" s="162">
        <f>+'CILC-1T'!K$27</f>
        <v>128138566</v>
      </c>
      <c r="K14" s="162">
        <f>+'CILC-1T'!L$27</f>
        <v>124447056</v>
      </c>
      <c r="L14" s="162">
        <f>+'CILC-1T'!M$27</f>
        <v>127389485</v>
      </c>
      <c r="M14" s="162">
        <f>+'CILC-1T'!N$27</f>
        <v>127855015</v>
      </c>
      <c r="N14" s="162">
        <f t="shared" si="0"/>
        <v>1478278060</v>
      </c>
      <c r="O14" s="159">
        <f t="shared" si="1"/>
        <v>1.2978940157744463E-2</v>
      </c>
    </row>
    <row r="15" spans="1:15">
      <c r="A15" s="163" t="s">
        <v>49</v>
      </c>
      <c r="B15" s="162">
        <f>+'GS(T)-1'!C$27</f>
        <v>470760059</v>
      </c>
      <c r="C15" s="162">
        <f>+'GS(T)-1'!D$27</f>
        <v>421592769</v>
      </c>
      <c r="D15" s="162">
        <f>+'GS(T)-1'!E$27</f>
        <v>436757867</v>
      </c>
      <c r="E15" s="162">
        <f>+'GS(T)-1'!F$27</f>
        <v>450298173</v>
      </c>
      <c r="F15" s="162">
        <f>+'GS(T)-1'!G$27</f>
        <v>505307392</v>
      </c>
      <c r="G15" s="162">
        <f>+'GS(T)-1'!H$27</f>
        <v>540288919</v>
      </c>
      <c r="H15" s="162">
        <f>+'GS(T)-1'!I$27</f>
        <v>570697968</v>
      </c>
      <c r="I15" s="162">
        <f>+'GS(T)-1'!J$27</f>
        <v>570537091</v>
      </c>
      <c r="J15" s="162">
        <f>+'GS(T)-1'!K$27</f>
        <v>555590633</v>
      </c>
      <c r="K15" s="162">
        <f>+'GS(T)-1'!L$27</f>
        <v>514010461</v>
      </c>
      <c r="L15" s="162">
        <f>+'GS(T)-1'!M$27</f>
        <v>462739213</v>
      </c>
      <c r="M15" s="162">
        <f>+'GS(T)-1'!N$27</f>
        <v>461311721</v>
      </c>
      <c r="N15" s="162">
        <f t="shared" si="0"/>
        <v>5959892266</v>
      </c>
      <c r="O15" s="159">
        <f t="shared" si="1"/>
        <v>5.2326478461716494E-2</v>
      </c>
    </row>
    <row r="16" spans="1:15">
      <c r="A16" s="163" t="s">
        <v>325</v>
      </c>
      <c r="B16" s="162">
        <f>+'GSCU-1'!C$27</f>
        <v>5745840</v>
      </c>
      <c r="C16" s="162">
        <f>+'GSCU-1'!D$27</f>
        <v>5751758</v>
      </c>
      <c r="D16" s="162">
        <f>+'GSCU-1'!E$27</f>
        <v>5757676</v>
      </c>
      <c r="E16" s="162">
        <f>+'GSCU-1'!F$27</f>
        <v>5764132</v>
      </c>
      <c r="F16" s="162">
        <f>+'GSCU-1'!G$27</f>
        <v>5771126</v>
      </c>
      <c r="G16" s="162">
        <f>+'GSCU-1'!H$27</f>
        <v>5777582</v>
      </c>
      <c r="H16" s="162">
        <f>+'GSCU-1'!I$27</f>
        <v>5783500</v>
      </c>
      <c r="I16" s="162">
        <f>+'GSCU-1'!J$27</f>
        <v>5789956</v>
      </c>
      <c r="J16" s="162">
        <f>+'GSCU-1'!K$27</f>
        <v>5796412</v>
      </c>
      <c r="K16" s="162">
        <f>+'GSCU-1'!L$27</f>
        <v>5802330</v>
      </c>
      <c r="L16" s="162">
        <f>+'GSCU-1'!M$27</f>
        <v>5808248</v>
      </c>
      <c r="M16" s="162">
        <f>+'GSCU-1'!N$27</f>
        <v>5814166</v>
      </c>
      <c r="N16" s="162">
        <f t="shared" si="0"/>
        <v>69362726</v>
      </c>
      <c r="O16" s="159">
        <f t="shared" si="1"/>
        <v>6.089887243080817E-4</v>
      </c>
    </row>
    <row r="17" spans="1:15">
      <c r="A17" s="163" t="s">
        <v>67</v>
      </c>
      <c r="B17" s="162">
        <f>+'GSD(T)-1'!C$27</f>
        <v>2112365487</v>
      </c>
      <c r="C17" s="162">
        <f>+'GSD(T)-1'!D$27</f>
        <v>1871127005</v>
      </c>
      <c r="D17" s="162">
        <f>+'GSD(T)-1'!E$27</f>
        <v>1926669163</v>
      </c>
      <c r="E17" s="162">
        <f>+'GSD(T)-1'!F$27</f>
        <v>1972846408</v>
      </c>
      <c r="F17" s="162">
        <f>+'GSD(T)-1'!G$27</f>
        <v>2177795095</v>
      </c>
      <c r="G17" s="162">
        <f>+'GSD(T)-1'!H$27</f>
        <v>2294095328</v>
      </c>
      <c r="H17" s="162">
        <f>+'GSD(T)-1'!I$27</f>
        <v>2384746771</v>
      </c>
      <c r="I17" s="162">
        <f>+'GSD(T)-1'!J$27</f>
        <v>2377352624</v>
      </c>
      <c r="J17" s="162">
        <f>+'GSD(T)-1'!K$27</f>
        <v>2360757443</v>
      </c>
      <c r="K17" s="162">
        <f>+'GSD(T)-1'!L$27</f>
        <v>2223054052</v>
      </c>
      <c r="L17" s="162">
        <f>+'GSD(T)-1'!M$27</f>
        <v>2043964770</v>
      </c>
      <c r="M17" s="162">
        <f>+'GSD(T)-1'!N$27</f>
        <v>2071163198</v>
      </c>
      <c r="N17" s="162">
        <f t="shared" si="0"/>
        <v>25815937344</v>
      </c>
      <c r="O17" s="159">
        <f t="shared" si="1"/>
        <v>0.2266579711694135</v>
      </c>
    </row>
    <row r="18" spans="1:15">
      <c r="A18" s="163" t="s">
        <v>68</v>
      </c>
      <c r="B18" s="162">
        <f>'GSLD(T)-1'!C27</f>
        <v>864051113</v>
      </c>
      <c r="C18" s="162">
        <f>'GSLD(T)-1'!D27</f>
        <v>782290115</v>
      </c>
      <c r="D18" s="162">
        <f>'GSLD(T)-1'!E27</f>
        <v>801428463</v>
      </c>
      <c r="E18" s="162">
        <f>'GSLD(T)-1'!F27</f>
        <v>811043342</v>
      </c>
      <c r="F18" s="162">
        <f>'GSLD(T)-1'!G27</f>
        <v>892700758</v>
      </c>
      <c r="G18" s="162">
        <f>'GSLD(T)-1'!H27</f>
        <v>918461617</v>
      </c>
      <c r="H18" s="162">
        <f>'GSLD(T)-1'!I27</f>
        <v>934371582</v>
      </c>
      <c r="I18" s="162">
        <f>'GSLD(T)-1'!J27</f>
        <v>940896934</v>
      </c>
      <c r="J18" s="162">
        <f>'GSLD(T)-1'!K27</f>
        <v>945979312</v>
      </c>
      <c r="K18" s="162">
        <f>'GSLD(T)-1'!L27</f>
        <v>908664346</v>
      </c>
      <c r="L18" s="162">
        <f>'GSLD(T)-1'!M27</f>
        <v>837707035</v>
      </c>
      <c r="M18" s="162">
        <f>'GSLD(T)-1'!N27</f>
        <v>861696302</v>
      </c>
      <c r="N18" s="162">
        <f t="shared" si="0"/>
        <v>10499290919</v>
      </c>
      <c r="O18" s="159">
        <f t="shared" si="1"/>
        <v>9.2181350872819465E-2</v>
      </c>
    </row>
    <row r="19" spans="1:15">
      <c r="A19" s="163" t="s">
        <v>69</v>
      </c>
      <c r="B19" s="162">
        <f>'GSLD(T)-2'!C27</f>
        <v>210472099</v>
      </c>
      <c r="C19" s="162">
        <f>'GSLD(T)-2'!D27</f>
        <v>186527721</v>
      </c>
      <c r="D19" s="162">
        <f>'GSLD(T)-2'!E27</f>
        <v>191178604</v>
      </c>
      <c r="E19" s="162">
        <f>'GSLD(T)-2'!F27</f>
        <v>192579721</v>
      </c>
      <c r="F19" s="162">
        <f>'GSLD(T)-2'!G27</f>
        <v>206847654</v>
      </c>
      <c r="G19" s="162">
        <f>'GSLD(T)-2'!H27</f>
        <v>218147951</v>
      </c>
      <c r="H19" s="162">
        <f>'GSLD(T)-2'!I27</f>
        <v>223831652</v>
      </c>
      <c r="I19" s="162">
        <f>'GSLD(T)-2'!J27</f>
        <v>226503406</v>
      </c>
      <c r="J19" s="162">
        <f>'GSLD(T)-2'!K27</f>
        <v>221401451</v>
      </c>
      <c r="K19" s="162">
        <f>'GSLD(T)-2'!L27</f>
        <v>214002591</v>
      </c>
      <c r="L19" s="162">
        <f>'GSLD(T)-2'!M27</f>
        <v>201615601</v>
      </c>
      <c r="M19" s="162">
        <f>'GSLD(T)-2'!N27</f>
        <v>207694974</v>
      </c>
      <c r="N19" s="162">
        <f t="shared" si="0"/>
        <v>2500803425</v>
      </c>
      <c r="O19" s="159">
        <f t="shared" si="1"/>
        <v>2.1956476848041289E-2</v>
      </c>
    </row>
    <row r="20" spans="1:15">
      <c r="A20" s="163" t="s">
        <v>52</v>
      </c>
      <c r="B20" s="162">
        <f>'GSLD(T)-3'!C27</f>
        <v>14816596</v>
      </c>
      <c r="C20" s="162">
        <f>'GSLD(T)-3'!D27</f>
        <v>16085768</v>
      </c>
      <c r="D20" s="162">
        <f>'GSLD(T)-3'!E27</f>
        <v>14598472</v>
      </c>
      <c r="E20" s="162">
        <f>'GSLD(T)-3'!F27</f>
        <v>14861473</v>
      </c>
      <c r="F20" s="162">
        <f>'GSLD(T)-3'!G27</f>
        <v>15954922</v>
      </c>
      <c r="G20" s="162">
        <f>'GSLD(T)-3'!H27</f>
        <v>15795233</v>
      </c>
      <c r="H20" s="162">
        <f>'GSLD(T)-3'!I27</f>
        <v>13524406</v>
      </c>
      <c r="I20" s="162">
        <f>'GSLD(T)-3'!J27</f>
        <v>13955305</v>
      </c>
      <c r="J20" s="162">
        <f>'GSLD(T)-3'!K27</f>
        <v>12638734</v>
      </c>
      <c r="K20" s="162">
        <f>'GSLD(T)-3'!L27</f>
        <v>12981288</v>
      </c>
      <c r="L20" s="162">
        <f>'GSLD(T)-3'!M27</f>
        <v>11802571</v>
      </c>
      <c r="M20" s="162">
        <f>'GSLD(T)-3'!N27</f>
        <v>12835667</v>
      </c>
      <c r="N20" s="162">
        <f t="shared" si="0"/>
        <v>169850435</v>
      </c>
      <c r="O20" s="159">
        <f t="shared" si="1"/>
        <v>1.4912476152367882E-3</v>
      </c>
    </row>
    <row r="21" spans="1:15">
      <c r="A21" s="163" t="s">
        <v>15</v>
      </c>
      <c r="B21" s="162">
        <f>MET!C27</f>
        <v>7754425</v>
      </c>
      <c r="C21" s="162">
        <f>MET!D27</f>
        <v>7096425</v>
      </c>
      <c r="D21" s="162">
        <f>MET!E27</f>
        <v>6611500</v>
      </c>
      <c r="E21" s="162">
        <f>MET!F27</f>
        <v>7592025</v>
      </c>
      <c r="F21" s="162">
        <f>MET!G27</f>
        <v>7956550</v>
      </c>
      <c r="G21" s="162">
        <f>MET!H27</f>
        <v>7737100</v>
      </c>
      <c r="H21" s="162">
        <f>MET!I27</f>
        <v>8150808</v>
      </c>
      <c r="I21" s="162">
        <f>MET!J27</f>
        <v>8111018</v>
      </c>
      <c r="J21" s="162">
        <f>MET!K27</f>
        <v>8063404</v>
      </c>
      <c r="K21" s="162">
        <f>MET!L27</f>
        <v>8004374</v>
      </c>
      <c r="L21" s="162">
        <f>MET!M27</f>
        <v>7282462</v>
      </c>
      <c r="M21" s="162">
        <f>MET!N27</f>
        <v>6913900</v>
      </c>
      <c r="N21" s="162">
        <f t="shared" si="0"/>
        <v>91273991</v>
      </c>
      <c r="O21" s="159">
        <f t="shared" si="1"/>
        <v>8.0136457355492821E-4</v>
      </c>
    </row>
    <row r="22" spans="1:15">
      <c r="A22" s="163" t="s">
        <v>56</v>
      </c>
      <c r="B22" s="162">
        <f>'OL-1'!C27</f>
        <v>8229452</v>
      </c>
      <c r="C22" s="162">
        <f>'OL-1'!D27</f>
        <v>8225388</v>
      </c>
      <c r="D22" s="162">
        <f>'OL-1'!E27</f>
        <v>8221324</v>
      </c>
      <c r="E22" s="162">
        <f>'OL-1'!F27</f>
        <v>8217260</v>
      </c>
      <c r="F22" s="162">
        <f>'OL-1'!G27</f>
        <v>8213196</v>
      </c>
      <c r="G22" s="162">
        <f>'OL-1'!H27</f>
        <v>8209132</v>
      </c>
      <c r="H22" s="162">
        <f>'OL-1'!I27</f>
        <v>8205068</v>
      </c>
      <c r="I22" s="162">
        <f>'OL-1'!J27</f>
        <v>8201004</v>
      </c>
      <c r="J22" s="162">
        <f>'OL-1'!K27</f>
        <v>8196940</v>
      </c>
      <c r="K22" s="162">
        <f>'OL-1'!L27</f>
        <v>8192876</v>
      </c>
      <c r="L22" s="162">
        <f>'OL-1'!M27</f>
        <v>8188812</v>
      </c>
      <c r="M22" s="162">
        <f>'OL-1'!N27</f>
        <v>8184748</v>
      </c>
      <c r="N22" s="162">
        <f t="shared" si="0"/>
        <v>98485200</v>
      </c>
      <c r="O22" s="159">
        <f t="shared" si="1"/>
        <v>8.6467732411823453E-4</v>
      </c>
    </row>
    <row r="23" spans="1:15">
      <c r="A23" s="163" t="s">
        <v>57</v>
      </c>
      <c r="B23" s="162">
        <f>'OS-2'!C27</f>
        <v>876403</v>
      </c>
      <c r="C23" s="162">
        <f>'OS-2'!D27</f>
        <v>999104</v>
      </c>
      <c r="D23" s="162">
        <f>'OS-2'!E27</f>
        <v>1067306</v>
      </c>
      <c r="E23" s="162">
        <f>'OS-2'!F27</f>
        <v>910716</v>
      </c>
      <c r="F23" s="162">
        <f>'OS-2'!G27</f>
        <v>882804</v>
      </c>
      <c r="G23" s="162">
        <f>'OS-2'!H27</f>
        <v>837955</v>
      </c>
      <c r="H23" s="162">
        <f>'OS-2'!I27</f>
        <v>726491</v>
      </c>
      <c r="I23" s="162">
        <f>'OS-2'!J27</f>
        <v>729042</v>
      </c>
      <c r="J23" s="162">
        <f>'OS-2'!K27</f>
        <v>927091</v>
      </c>
      <c r="K23" s="162">
        <f>'OS-2'!L27</f>
        <v>948179</v>
      </c>
      <c r="L23" s="162">
        <f>'OS-2'!M27</f>
        <v>1095816</v>
      </c>
      <c r="M23" s="162">
        <f>'OS-2'!N27</f>
        <v>953457</v>
      </c>
      <c r="N23" s="162">
        <f t="shared" si="0"/>
        <v>10954364</v>
      </c>
      <c r="O23" s="159">
        <f t="shared" si="1"/>
        <v>9.6176787486212343E-5</v>
      </c>
    </row>
    <row r="24" spans="1:15">
      <c r="A24" s="163" t="s">
        <v>48</v>
      </c>
      <c r="B24" s="162">
        <f>+'RS(T)-1'!C$27</f>
        <v>4412782486</v>
      </c>
      <c r="C24" s="162">
        <f>+'RS(T)-1'!D$27</f>
        <v>4011033989</v>
      </c>
      <c r="D24" s="162">
        <f>+'RS(T)-1'!E$27</f>
        <v>3919563463</v>
      </c>
      <c r="E24" s="162">
        <f>+'RS(T)-1'!F$27</f>
        <v>3982448080</v>
      </c>
      <c r="F24" s="162">
        <f>+'RS(T)-1'!G$27</f>
        <v>4652075043</v>
      </c>
      <c r="G24" s="162">
        <f>+'RS(T)-1'!H$27</f>
        <v>5313054838</v>
      </c>
      <c r="H24" s="162">
        <f>+'RS(T)-1'!I$27</f>
        <v>5780941741</v>
      </c>
      <c r="I24" s="162">
        <f>+'RS(T)-1'!J$27</f>
        <v>5909135128</v>
      </c>
      <c r="J24" s="162">
        <f>+'RS(T)-1'!K$27</f>
        <v>5714655770</v>
      </c>
      <c r="K24" s="162">
        <f>+'RS(T)-1'!L$27</f>
        <v>5150015263</v>
      </c>
      <c r="L24" s="162">
        <f>+'RS(T)-1'!M$27</f>
        <v>4257998507</v>
      </c>
      <c r="M24" s="162">
        <f>+'RS(T)-1'!N$27</f>
        <v>4094996381</v>
      </c>
      <c r="N24" s="162">
        <f t="shared" si="0"/>
        <v>57198700689</v>
      </c>
      <c r="O24" s="159">
        <f t="shared" si="1"/>
        <v>0.5021913897195146</v>
      </c>
    </row>
    <row r="25" spans="1:15">
      <c r="A25" s="163" t="s">
        <v>53</v>
      </c>
      <c r="B25" s="162">
        <f>+'SL-1'!C$27</f>
        <v>48174083</v>
      </c>
      <c r="C25" s="162">
        <f>+'SL-1'!D$27</f>
        <v>44675133</v>
      </c>
      <c r="D25" s="162">
        <f>+'SL-1'!E$27</f>
        <v>44932085</v>
      </c>
      <c r="E25" s="162">
        <f>+'SL-1'!F$27</f>
        <v>46308634</v>
      </c>
      <c r="F25" s="162">
        <f>+'SL-1'!G$27</f>
        <v>46167749</v>
      </c>
      <c r="G25" s="162">
        <f>+'SL-1'!H$27</f>
        <v>43695955</v>
      </c>
      <c r="H25" s="162">
        <f>+'SL-1'!I$27</f>
        <v>45197734</v>
      </c>
      <c r="I25" s="162">
        <f>+'SL-1'!J$27</f>
        <v>51483554</v>
      </c>
      <c r="J25" s="162">
        <f>+'SL-1'!K$27</f>
        <v>45694635</v>
      </c>
      <c r="K25" s="162">
        <f>+'SL-1'!L$27</f>
        <v>43097778</v>
      </c>
      <c r="L25" s="162">
        <f>+'SL-1'!M$27</f>
        <v>42650157</v>
      </c>
      <c r="M25" s="162">
        <f>+'SL-1'!N$27</f>
        <v>48984218</v>
      </c>
      <c r="N25" s="162">
        <f t="shared" si="0"/>
        <v>551061715</v>
      </c>
      <c r="O25" s="159">
        <f t="shared" si="1"/>
        <v>4.8381946642765128E-3</v>
      </c>
    </row>
    <row r="26" spans="1:15">
      <c r="A26" s="163" t="s">
        <v>55</v>
      </c>
      <c r="B26" s="162">
        <f>+'SL-2'!C$27</f>
        <v>2639277</v>
      </c>
      <c r="C26" s="162">
        <f>+'SL-2'!D$27</f>
        <v>2645291</v>
      </c>
      <c r="D26" s="162">
        <f>+'SL-2'!E$27</f>
        <v>2653067</v>
      </c>
      <c r="E26" s="162">
        <f>+'SL-2'!F$27</f>
        <v>2656076</v>
      </c>
      <c r="F26" s="162">
        <f>+'SL-2'!G$27</f>
        <v>2664746</v>
      </c>
      <c r="G26" s="162">
        <f>+'SL-2'!H$27</f>
        <v>2672542</v>
      </c>
      <c r="H26" s="162">
        <f>+'SL-2'!I$27</f>
        <v>2675556</v>
      </c>
      <c r="I26" s="162">
        <f>+'SL-2'!J$27</f>
        <v>2681584</v>
      </c>
      <c r="J26" s="162">
        <f>+'SL-2'!K$27</f>
        <v>2682818</v>
      </c>
      <c r="K26" s="162">
        <f>+'SL-2'!L$27</f>
        <v>2690626</v>
      </c>
      <c r="L26" s="162">
        <f>+'SL-2'!M$27</f>
        <v>2697548</v>
      </c>
      <c r="M26" s="162">
        <f>+'SL-2'!N$27</f>
        <v>2698773</v>
      </c>
      <c r="N26" s="162">
        <f t="shared" si="0"/>
        <v>32057904</v>
      </c>
      <c r="O26" s="159">
        <f>+N26/$N$45</f>
        <v>2.8146099766827143E-4</v>
      </c>
    </row>
    <row r="27" spans="1:15">
      <c r="A27" s="163" t="s">
        <v>87</v>
      </c>
      <c r="B27" s="162">
        <f>'SST-1D'!C27</f>
        <v>602856</v>
      </c>
      <c r="C27" s="162">
        <f>'SST-1D'!D27</f>
        <v>685784</v>
      </c>
      <c r="D27" s="162">
        <f>'SST-1D'!E27</f>
        <v>666585</v>
      </c>
      <c r="E27" s="162">
        <f>'SST-1D'!F27</f>
        <v>1230699</v>
      </c>
      <c r="F27" s="162">
        <f>'SST-1D'!G27</f>
        <v>1462083</v>
      </c>
      <c r="G27" s="162">
        <f>'SST-1D'!H27</f>
        <v>1187857</v>
      </c>
      <c r="H27" s="162">
        <f>'SST-1D'!I27</f>
        <v>1087713</v>
      </c>
      <c r="I27" s="162">
        <f>'SST-1D'!J27</f>
        <v>1181803</v>
      </c>
      <c r="J27" s="162">
        <f>'SST-1D'!K27</f>
        <v>1205075</v>
      </c>
      <c r="K27" s="162">
        <f>'SST-1D'!L27</f>
        <v>1239312</v>
      </c>
      <c r="L27" s="162">
        <f>'SST-1D'!M27</f>
        <v>799615</v>
      </c>
      <c r="M27" s="162">
        <f>'SST-1D'!N27</f>
        <v>507544</v>
      </c>
      <c r="N27" s="162">
        <f t="shared" si="0"/>
        <v>11856926</v>
      </c>
      <c r="O27" s="159">
        <f t="shared" si="1"/>
        <v>1.0410107352117802E-4</v>
      </c>
    </row>
    <row r="28" spans="1:15">
      <c r="A28" s="163" t="s">
        <v>88</v>
      </c>
      <c r="B28" s="162">
        <f>'SST-1T'!C27</f>
        <v>5811710</v>
      </c>
      <c r="C28" s="162">
        <f>'SST-1T'!D27</f>
        <v>6787344</v>
      </c>
      <c r="D28" s="162">
        <f>'SST-1T'!E27</f>
        <v>8318048</v>
      </c>
      <c r="E28" s="162">
        <f>'SST-1T'!F27</f>
        <v>7683818</v>
      </c>
      <c r="F28" s="162">
        <f>'SST-1T'!G27</f>
        <v>10687136</v>
      </c>
      <c r="G28" s="162">
        <f>'SST-1T'!H27</f>
        <v>7415962</v>
      </c>
      <c r="H28" s="162">
        <f>'SST-1T'!I27</f>
        <v>7202482</v>
      </c>
      <c r="I28" s="162">
        <f>'SST-1T'!J27</f>
        <v>6421378</v>
      </c>
      <c r="J28" s="162">
        <f>'SST-1T'!K27</f>
        <v>4740820</v>
      </c>
      <c r="K28" s="162">
        <f>'SST-1T'!L27</f>
        <v>9837782</v>
      </c>
      <c r="L28" s="162">
        <f>'SST-1T'!M27</f>
        <v>9758504</v>
      </c>
      <c r="M28" s="162">
        <f>'SST-1T'!N27</f>
        <v>5002770</v>
      </c>
      <c r="N28" s="162">
        <f t="shared" si="0"/>
        <v>89667754</v>
      </c>
      <c r="O28" s="159">
        <f t="shared" si="1"/>
        <v>7.8726218343885292E-4</v>
      </c>
    </row>
    <row r="30" spans="1:15" s="126" customFormat="1">
      <c r="A30" s="126" t="s">
        <v>453</v>
      </c>
      <c r="B30" s="161">
        <f>SUM(B12:B29)</f>
        <v>8527170794</v>
      </c>
      <c r="C30" s="161">
        <f t="shared" ref="C30:N30" si="2">SUM(C12:C29)</f>
        <v>7700765999</v>
      </c>
      <c r="D30" s="161">
        <f t="shared" si="2"/>
        <v>7706434081</v>
      </c>
      <c r="E30" s="161">
        <f t="shared" si="2"/>
        <v>7847735601</v>
      </c>
      <c r="F30" s="161">
        <f t="shared" si="2"/>
        <v>8885331127</v>
      </c>
      <c r="G30" s="161">
        <f t="shared" si="2"/>
        <v>9741009851</v>
      </c>
      <c r="H30" s="161">
        <f t="shared" si="2"/>
        <v>10358922962</v>
      </c>
      <c r="I30" s="161">
        <f t="shared" si="2"/>
        <v>10492455408</v>
      </c>
      <c r="J30" s="161">
        <f t="shared" si="2"/>
        <v>10259106328</v>
      </c>
      <c r="K30" s="161">
        <f t="shared" si="2"/>
        <v>9461096403</v>
      </c>
      <c r="L30" s="161">
        <f t="shared" si="2"/>
        <v>8244627478</v>
      </c>
      <c r="M30" s="161">
        <f t="shared" si="2"/>
        <v>8149357407</v>
      </c>
      <c r="N30" s="161">
        <f t="shared" si="2"/>
        <v>107374013439</v>
      </c>
      <c r="O30" s="191">
        <f>+N30/$N$45</f>
        <v>0.94271905443934589</v>
      </c>
    </row>
    <row r="31" spans="1:15" s="125" customFormat="1">
      <c r="B31" s="155"/>
      <c r="C31" s="155"/>
      <c r="D31" s="155"/>
      <c r="E31" s="155"/>
      <c r="F31" s="155"/>
      <c r="G31" s="155"/>
      <c r="H31" s="155"/>
      <c r="I31" s="155"/>
      <c r="J31" s="155"/>
      <c r="K31" s="155"/>
      <c r="L31" s="155"/>
      <c r="M31" s="155"/>
      <c r="N31" s="155"/>
    </row>
    <row r="32" spans="1:15" s="125" customFormat="1">
      <c r="A32" s="42" t="s">
        <v>86</v>
      </c>
      <c r="B32" s="155"/>
      <c r="C32" s="155"/>
      <c r="D32" s="155"/>
      <c r="E32" s="155"/>
      <c r="F32" s="155"/>
      <c r="G32" s="155"/>
      <c r="H32" s="155"/>
      <c r="I32" s="155"/>
      <c r="J32" s="155"/>
      <c r="K32" s="155"/>
      <c r="L32" s="155"/>
      <c r="M32" s="155"/>
      <c r="N32" s="155"/>
    </row>
    <row r="33" spans="1:22">
      <c r="A33" s="163" t="s">
        <v>1055</v>
      </c>
      <c r="B33" s="162">
        <f>HLOOKUP($A33,Summary_Delivered_Sales!$A$5:$N$161,96+B$10,FALSE)*1000</f>
        <v>2930251.3967729765</v>
      </c>
      <c r="C33" s="162">
        <f>HLOOKUP($A33,Summary_Delivered_Sales!$A$5:$N$161,96+C$10,FALSE)*1000</f>
        <v>3226721.7999024643</v>
      </c>
      <c r="D33" s="162">
        <f>HLOOKUP($A33,Summary_Delivered_Sales!$A$5:$N$161,96+D$10,FALSE)*1000</f>
        <v>3024364.8122403212</v>
      </c>
      <c r="E33" s="162">
        <f>HLOOKUP($A33,Summary_Delivered_Sales!$A$5:$N$161,96+E$10,FALSE)*1000</f>
        <v>2885799.3985291934</v>
      </c>
      <c r="F33" s="162">
        <f>HLOOKUP($A33,Summary_Delivered_Sales!$A$5:$N$161,96+F$10,FALSE)*1000</f>
        <v>2338675.6481099017</v>
      </c>
      <c r="G33" s="162">
        <f>HLOOKUP($A33,Summary_Delivered_Sales!$A$5:$N$161,96+G$10,FALSE)*1000</f>
        <v>3168991.3787030498</v>
      </c>
      <c r="H33" s="162">
        <f>HLOOKUP($A33,Summary_Delivered_Sales!$A$5:$N$161,96+H$10,FALSE)*1000</f>
        <v>3847139.3257777081</v>
      </c>
      <c r="I33" s="162">
        <f>HLOOKUP($A33,Summary_Delivered_Sales!$A$5:$N$161,96+I$10,FALSE)*1000</f>
        <v>3995566.5835242625</v>
      </c>
      <c r="J33" s="162">
        <f>HLOOKUP($A33,Summary_Delivered_Sales!$A$5:$N$161,96+J$10,FALSE)*1000</f>
        <v>3848245.7528714715</v>
      </c>
      <c r="K33" s="162">
        <f>HLOOKUP($A33,Summary_Delivered_Sales!$A$5:$N$161,96+K$10,FALSE)*1000</f>
        <v>3744320.3033932843</v>
      </c>
      <c r="L33" s="162">
        <f>HLOOKUP($A33,Summary_Delivered_Sales!$A$5:$N$161,96+L$10,FALSE)*1000</f>
        <v>3154249.5337255239</v>
      </c>
      <c r="M33" s="162">
        <f>HLOOKUP($A33,Summary_Delivered_Sales!$A$5:$N$161,96+M$10,FALSE)*1000</f>
        <v>2473687.27017977</v>
      </c>
      <c r="N33" s="162">
        <f t="shared" ref="N33:N38" si="3">SUM(B33:M33)</f>
        <v>38638013.203729928</v>
      </c>
      <c r="O33" s="159">
        <f t="shared" ref="O33:O38" si="4">+N33/$N$45</f>
        <v>3.392328376877562E-4</v>
      </c>
    </row>
    <row r="34" spans="1:22" s="125" customFormat="1">
      <c r="A34" s="163" t="s">
        <v>485</v>
      </c>
      <c r="B34" s="162">
        <f>HLOOKUP($A34,Summary_Delivered_Sales!$A$5:$N$161,96+B$10,FALSE)*1000</f>
        <v>56986291.477158248</v>
      </c>
      <c r="C34" s="162">
        <f>HLOOKUP($A34,Summary_Delivered_Sales!$A$5:$N$161,96+C$10,FALSE)*1000</f>
        <v>56207637.395501189</v>
      </c>
      <c r="D34" s="162">
        <f>HLOOKUP($A34,Summary_Delivered_Sales!$A$5:$N$161,96+D$10,FALSE)*1000</f>
        <v>53000332.000697315</v>
      </c>
      <c r="E34" s="162">
        <f>HLOOKUP($A34,Summary_Delivered_Sales!$A$5:$N$161,96+E$10,FALSE)*1000</f>
        <v>60565663.296123229</v>
      </c>
      <c r="F34" s="162">
        <f>HLOOKUP($A34,Summary_Delivered_Sales!$A$5:$N$161,96+F$10,FALSE)*1000</f>
        <v>63590757.468905807</v>
      </c>
      <c r="G34" s="162">
        <f>HLOOKUP($A34,Summary_Delivered_Sales!$A$5:$N$161,96+G$10,FALSE)*1000</f>
        <v>71967555.208850399</v>
      </c>
      <c r="H34" s="162">
        <f>HLOOKUP($A34,Summary_Delivered_Sales!$A$5:$N$161,96+H$10,FALSE)*1000</f>
        <v>78323079.537609711</v>
      </c>
      <c r="I34" s="162">
        <f>HLOOKUP($A34,Summary_Delivered_Sales!$A$5:$N$161,96+I$10,FALSE)*1000</f>
        <v>85649197.920255825</v>
      </c>
      <c r="J34" s="162">
        <f>HLOOKUP($A34,Summary_Delivered_Sales!$A$5:$N$161,96+J$10,FALSE)*1000</f>
        <v>84916971.984914213</v>
      </c>
      <c r="K34" s="162">
        <f>HLOOKUP($A34,Summary_Delivered_Sales!$A$5:$N$161,96+K$10,FALSE)*1000</f>
        <v>72248715.98786892</v>
      </c>
      <c r="L34" s="162">
        <f>HLOOKUP($A34,Summary_Delivered_Sales!$A$5:$N$161,96+L$10,FALSE)*1000</f>
        <v>66802227.60684292</v>
      </c>
      <c r="M34" s="162">
        <f>HLOOKUP($A34,Summary_Delivered_Sales!$A$5:$N$161,96+M$10,FALSE)*1000</f>
        <v>54976199.273675971</v>
      </c>
      <c r="N34" s="162">
        <f t="shared" si="3"/>
        <v>805234629.15840364</v>
      </c>
      <c r="O34" s="159">
        <f t="shared" si="4"/>
        <v>7.069774183613653E-3</v>
      </c>
    </row>
    <row r="35" spans="1:22" s="125" customFormat="1">
      <c r="A35" s="163" t="s">
        <v>1057</v>
      </c>
      <c r="B35" s="162">
        <f>HLOOKUP($A35,Summary_Delivered_Sales!$A$5:$N$161,96+B$10,FALSE)*1000</f>
        <v>0</v>
      </c>
      <c r="C35" s="162">
        <f>HLOOKUP($A35,Summary_Delivered_Sales!$A$5:$N$161,96+C$10,FALSE)*1000</f>
        <v>72000</v>
      </c>
      <c r="D35" s="162">
        <f>HLOOKUP($A35,Summary_Delivered_Sales!$A$5:$N$161,96+D$10,FALSE)*1000</f>
        <v>0</v>
      </c>
      <c r="E35" s="162">
        <f>HLOOKUP($A35,Summary_Delivered_Sales!$A$5:$N$161,96+E$10,FALSE)*1000</f>
        <v>0</v>
      </c>
      <c r="F35" s="162">
        <f>HLOOKUP($A35,Summary_Delivered_Sales!$A$5:$N$161,96+F$10,FALSE)*1000</f>
        <v>0</v>
      </c>
      <c r="G35" s="162">
        <f>HLOOKUP($A35,Summary_Delivered_Sales!$A$5:$N$161,96+G$10,FALSE)*1000</f>
        <v>0</v>
      </c>
      <c r="H35" s="162">
        <f>HLOOKUP($A35,Summary_Delivered_Sales!$A$5:$N$161,96+H$10,FALSE)*1000</f>
        <v>0</v>
      </c>
      <c r="I35" s="162">
        <f>HLOOKUP($A35,Summary_Delivered_Sales!$A$5:$N$161,96+I$10,FALSE)*1000</f>
        <v>0</v>
      </c>
      <c r="J35" s="162">
        <f>HLOOKUP($A35,Summary_Delivered_Sales!$A$5:$N$161,96+J$10,FALSE)*1000</f>
        <v>72000</v>
      </c>
      <c r="K35" s="162">
        <f>HLOOKUP($A35,Summary_Delivered_Sales!$A$5:$N$161,96+K$10,FALSE)*1000</f>
        <v>0</v>
      </c>
      <c r="L35" s="162">
        <f>HLOOKUP($A35,Summary_Delivered_Sales!$A$5:$N$161,96+L$10,FALSE)*1000</f>
        <v>0</v>
      </c>
      <c r="M35" s="162">
        <f>HLOOKUP($A35,Summary_Delivered_Sales!$A$5:$N$161,96+M$10,FALSE)*1000</f>
        <v>0</v>
      </c>
      <c r="N35" s="162">
        <f t="shared" si="3"/>
        <v>144000</v>
      </c>
      <c r="O35" s="159">
        <f>+N35/$N$45</f>
        <v>1.2642867626102783E-6</v>
      </c>
    </row>
    <row r="36" spans="1:22" s="125" customFormat="1">
      <c r="A36" s="163" t="s">
        <v>487</v>
      </c>
      <c r="B36" s="162">
        <f>HLOOKUP($A36,Summary_Delivered_Sales!$A$5:$N$161,96+B$10,FALSE)*1000</f>
        <v>278690861.05160964</v>
      </c>
      <c r="C36" s="162">
        <f>HLOOKUP($A36,Summary_Delivered_Sales!$A$5:$N$161,96+C$10,FALSE)*1000</f>
        <v>279779942</v>
      </c>
      <c r="D36" s="162">
        <f>HLOOKUP($A36,Summary_Delivered_Sales!$A$5:$N$161,96+D$10,FALSE)*1000</f>
        <v>271689087</v>
      </c>
      <c r="E36" s="162">
        <f>HLOOKUP($A36,Summary_Delivered_Sales!$A$5:$N$161,96+E$10,FALSE)*1000</f>
        <v>322430747</v>
      </c>
      <c r="F36" s="162">
        <f>HLOOKUP($A36,Summary_Delivered_Sales!$A$5:$N$161,96+F$10,FALSE)*1000</f>
        <v>352644260</v>
      </c>
      <c r="G36" s="162">
        <f>HLOOKUP($A36,Summary_Delivered_Sales!$A$5:$N$161,96+G$10,FALSE)*1000</f>
        <v>357421431</v>
      </c>
      <c r="H36" s="162">
        <f>HLOOKUP($A36,Summary_Delivered_Sales!$A$5:$N$161,96+H$10,FALSE)*1000</f>
        <v>369136080</v>
      </c>
      <c r="I36" s="162">
        <f>HLOOKUP($A36,Summary_Delivered_Sales!$A$5:$N$161,96+I$10,FALSE)*1000</f>
        <v>347333561</v>
      </c>
      <c r="J36" s="162">
        <f>HLOOKUP($A36,Summary_Delivered_Sales!$A$5:$N$161,96+J$10,FALSE)*1000</f>
        <v>372588691</v>
      </c>
      <c r="K36" s="162">
        <f>HLOOKUP($A36,Summary_Delivered_Sales!$A$5:$N$161,96+K$10,FALSE)*1000</f>
        <v>367780053</v>
      </c>
      <c r="L36" s="162">
        <f>HLOOKUP($A36,Summary_Delivered_Sales!$A$5:$N$161,96+L$10,FALSE)*1000</f>
        <v>336292253</v>
      </c>
      <c r="M36" s="162">
        <f>HLOOKUP($A36,Summary_Delivered_Sales!$A$5:$N$161,96+M$10,FALSE)*1000</f>
        <v>306122189</v>
      </c>
      <c r="N36" s="162">
        <f t="shared" si="3"/>
        <v>3961909155.0516095</v>
      </c>
      <c r="O36" s="159">
        <f t="shared" si="4"/>
        <v>3.4784647912473765E-2</v>
      </c>
    </row>
    <row r="37" spans="1:22" s="125" customFormat="1">
      <c r="A37" s="163" t="s">
        <v>1053</v>
      </c>
      <c r="B37" s="162">
        <f>HLOOKUP($A37,Summary_Delivered_Sales!$A$5:$N$161,96+B$10,FALSE)*1000</f>
        <v>14880000</v>
      </c>
      <c r="C37" s="162">
        <f>HLOOKUP($A37,Summary_Delivered_Sales!$A$5:$N$161,96+C$10,FALSE)*1000</f>
        <v>29760000</v>
      </c>
      <c r="D37" s="162">
        <f>HLOOKUP($A37,Summary_Delivered_Sales!$A$5:$N$161,96+D$10,FALSE)*1000</f>
        <v>27840000</v>
      </c>
      <c r="E37" s="162">
        <f>HLOOKUP($A37,Summary_Delivered_Sales!$A$5:$N$161,96+E$10,FALSE)*1000</f>
        <v>18600000</v>
      </c>
      <c r="F37" s="162">
        <f>HLOOKUP($A37,Summary_Delivered_Sales!$A$5:$N$161,96+F$10,FALSE)*1000</f>
        <v>14400000</v>
      </c>
      <c r="G37" s="162">
        <f>HLOOKUP($A37,Summary_Delivered_Sales!$A$5:$N$161,96+G$10,FALSE)*1000</f>
        <v>22320000</v>
      </c>
      <c r="H37" s="162">
        <f>HLOOKUP($A37,Summary_Delivered_Sales!$A$5:$N$161,96+H$10,FALSE)*1000</f>
        <v>28800000</v>
      </c>
      <c r="I37" s="162">
        <f>HLOOKUP($A37,Summary_Delivered_Sales!$A$5:$N$161,96+I$10,FALSE)*1000</f>
        <v>33480000</v>
      </c>
      <c r="J37" s="162">
        <f>HLOOKUP($A37,Summary_Delivered_Sales!$A$5:$N$161,96+J$10,FALSE)*1000</f>
        <v>33480000</v>
      </c>
      <c r="K37" s="162">
        <f>HLOOKUP($A37,Summary_Delivered_Sales!$A$5:$N$161,96+K$10,FALSE)*1000</f>
        <v>25200000</v>
      </c>
      <c r="L37" s="162">
        <f>HLOOKUP($A37,Summary_Delivered_Sales!$A$5:$N$161,96+L$10,FALSE)*1000</f>
        <v>18600000</v>
      </c>
      <c r="M37" s="162">
        <f>HLOOKUP($A37,Summary_Delivered_Sales!$A$5:$N$161,96+M$10,FALSE)*1000</f>
        <v>14400000</v>
      </c>
      <c r="N37" s="162">
        <f t="shared" si="3"/>
        <v>281760000</v>
      </c>
      <c r="O37" s="159">
        <f t="shared" si="4"/>
        <v>2.4737877655074442E-3</v>
      </c>
    </row>
    <row r="38" spans="1:22" s="125" customFormat="1">
      <c r="A38" s="163" t="s">
        <v>1058</v>
      </c>
      <c r="B38" s="162">
        <f>HLOOKUP($A38,Summary_Delivered_Sales!$A$5:$N$161,96+B$10,FALSE)*1000</f>
        <v>0</v>
      </c>
      <c r="C38" s="162">
        <f>HLOOKUP($A38,Summary_Delivered_Sales!$A$5:$N$161,96+C$10,FALSE)*1000</f>
        <v>76000</v>
      </c>
      <c r="D38" s="162">
        <f>HLOOKUP($A38,Summary_Delivered_Sales!$A$5:$N$161,96+D$10,FALSE)*1000</f>
        <v>0</v>
      </c>
      <c r="E38" s="162">
        <f>HLOOKUP($A38,Summary_Delivered_Sales!$A$5:$N$161,96+E$10,FALSE)*1000</f>
        <v>0</v>
      </c>
      <c r="F38" s="162">
        <f>HLOOKUP($A38,Summary_Delivered_Sales!$A$5:$N$161,96+F$10,FALSE)*1000</f>
        <v>0</v>
      </c>
      <c r="G38" s="162">
        <f>HLOOKUP($A38,Summary_Delivered_Sales!$A$5:$N$161,96+G$10,FALSE)*1000</f>
        <v>0</v>
      </c>
      <c r="H38" s="162">
        <f>HLOOKUP($A38,Summary_Delivered_Sales!$A$5:$N$161,96+H$10,FALSE)*1000</f>
        <v>0</v>
      </c>
      <c r="I38" s="162">
        <f>HLOOKUP($A38,Summary_Delivered_Sales!$A$5:$N$161,96+I$10,FALSE)*1000</f>
        <v>0</v>
      </c>
      <c r="J38" s="162">
        <f>HLOOKUP($A38,Summary_Delivered_Sales!$A$5:$N$161,96+J$10,FALSE)*1000</f>
        <v>76000</v>
      </c>
      <c r="K38" s="162">
        <f>HLOOKUP($A38,Summary_Delivered_Sales!$A$5:$N$161,96+K$10,FALSE)*1000</f>
        <v>0</v>
      </c>
      <c r="L38" s="162">
        <f>HLOOKUP($A38,Summary_Delivered_Sales!$A$5:$N$161,96+L$10,FALSE)*1000</f>
        <v>0</v>
      </c>
      <c r="M38" s="162">
        <f>HLOOKUP($A38,Summary_Delivered_Sales!$A$5:$N$161,96+M$10,FALSE)*1000</f>
        <v>0</v>
      </c>
      <c r="N38" s="162">
        <f t="shared" si="3"/>
        <v>152000</v>
      </c>
      <c r="O38" s="159">
        <f t="shared" si="4"/>
        <v>1.334524916088627E-6</v>
      </c>
    </row>
    <row r="39" spans="1:22" s="125" customFormat="1">
      <c r="A39" s="163" t="s">
        <v>489</v>
      </c>
      <c r="B39" s="162">
        <f>HLOOKUP($A39,Summary_Delivered_Sales!$A$5:$N$161,96+B$10,FALSE)*1000</f>
        <v>13575000</v>
      </c>
      <c r="C39" s="162">
        <f>HLOOKUP($A39,Summary_Delivered_Sales!$A$5:$N$161,96+C$10,FALSE)*1000</f>
        <v>73250000</v>
      </c>
      <c r="D39" s="162">
        <f>HLOOKUP($A39,Summary_Delivered_Sales!$A$5:$N$161,96+D$10,FALSE)*1000</f>
        <v>85800000</v>
      </c>
      <c r="E39" s="162">
        <f>HLOOKUP($A39,Summary_Delivered_Sales!$A$5:$N$161,96+E$10,FALSE)*1000</f>
        <v>111860000</v>
      </c>
      <c r="F39" s="162">
        <f>HLOOKUP($A39,Summary_Delivered_Sales!$A$5:$N$161,96+F$10,FALSE)*1000</f>
        <v>125830000</v>
      </c>
      <c r="G39" s="162">
        <f>HLOOKUP($A39,Summary_Delivered_Sales!$A$5:$N$161,96+G$10,FALSE)*1000</f>
        <v>113525000</v>
      </c>
      <c r="H39" s="162">
        <f>HLOOKUP($A39,Summary_Delivered_Sales!$A$5:$N$161,96+H$10,FALSE)*1000</f>
        <v>115975000</v>
      </c>
      <c r="I39" s="162">
        <f>HLOOKUP($A39,Summary_Delivered_Sales!$A$5:$N$161,96+I$10,FALSE)*1000</f>
        <v>144250000</v>
      </c>
      <c r="J39" s="162">
        <f>HLOOKUP($A39,Summary_Delivered_Sales!$A$5:$N$161,96+J$10,FALSE)*1000</f>
        <v>96050000</v>
      </c>
      <c r="K39" s="162">
        <f>HLOOKUP($A39,Summary_Delivered_Sales!$A$5:$N$161,96+K$10,FALSE)*1000</f>
        <v>91130000</v>
      </c>
      <c r="L39" s="162">
        <f>HLOOKUP($A39,Summary_Delivered_Sales!$A$5:$N$161,96+L$10,FALSE)*1000</f>
        <v>87075000</v>
      </c>
      <c r="M39" s="162">
        <f>HLOOKUP($A39,Summary_Delivered_Sales!$A$5:$N$161,96+M$10,FALSE)*1000</f>
        <v>44020000</v>
      </c>
      <c r="N39" s="162">
        <f t="shared" ref="N39:N41" si="5">SUM(B39:M39)</f>
        <v>1102340000</v>
      </c>
      <c r="O39" s="159">
        <f t="shared" ref="O39:O41" si="6">+N39/$N$45</f>
        <v>9.6782907631653755E-3</v>
      </c>
    </row>
    <row r="40" spans="1:22" s="125" customFormat="1">
      <c r="A40" s="163" t="s">
        <v>1054</v>
      </c>
      <c r="B40" s="162">
        <f>HLOOKUP($A40,Summary_Delivered_Sales!$A$5:$N$161,96+B$10,FALSE)*1000</f>
        <v>4533460.336049078</v>
      </c>
      <c r="C40" s="162">
        <f>HLOOKUP($A40,Summary_Delivered_Sales!$A$5:$N$161,96+C$10,FALSE)*1000</f>
        <v>4941609.804114826</v>
      </c>
      <c r="D40" s="162">
        <f>HLOOKUP($A40,Summary_Delivered_Sales!$A$5:$N$161,96+D$10,FALSE)*1000</f>
        <v>3011667.4362598946</v>
      </c>
      <c r="E40" s="162">
        <f>HLOOKUP($A40,Summary_Delivered_Sales!$A$5:$N$161,96+E$10,FALSE)*1000</f>
        <v>5646320.3654786283</v>
      </c>
      <c r="F40" s="162">
        <f>HLOOKUP($A40,Summary_Delivered_Sales!$A$5:$N$161,96+F$10,FALSE)*1000</f>
        <v>5479526.6777857468</v>
      </c>
      <c r="G40" s="162">
        <f>HLOOKUP($A40,Summary_Delivered_Sales!$A$5:$N$161,96+G$10,FALSE)*1000</f>
        <v>5963770.2536569545</v>
      </c>
      <c r="H40" s="162">
        <f>HLOOKUP($A40,Summary_Delivered_Sales!$A$5:$N$161,96+H$10,FALSE)*1000</f>
        <v>5928664.319031693</v>
      </c>
      <c r="I40" s="162">
        <f>HLOOKUP($A40,Summary_Delivered_Sales!$A$5:$N$161,96+I$10,FALSE)*1000</f>
        <v>6279645.1503097797</v>
      </c>
      <c r="J40" s="162">
        <f>HLOOKUP($A40,Summary_Delivered_Sales!$A$5:$N$161,96+J$10,FALSE)*1000</f>
        <v>6252167.9969719443</v>
      </c>
      <c r="K40" s="162">
        <f>HLOOKUP($A40,Summary_Delivered_Sales!$A$5:$N$161,96+K$10,FALSE)*1000</f>
        <v>6537691.9070096025</v>
      </c>
      <c r="L40" s="162">
        <f>HLOOKUP($A40,Summary_Delivered_Sales!$A$5:$N$161,96+L$10,FALSE)*1000</f>
        <v>5361599.0772232451</v>
      </c>
      <c r="M40" s="162">
        <f>HLOOKUP($A40,Summary_Delivered_Sales!$A$5:$N$161,96+M$10,FALSE)*1000</f>
        <v>3882952.2272739159</v>
      </c>
      <c r="N40" s="162">
        <f t="shared" si="5"/>
        <v>63819075.551165305</v>
      </c>
      <c r="O40" s="159">
        <f t="shared" si="6"/>
        <v>5.6031675292613566E-4</v>
      </c>
    </row>
    <row r="41" spans="1:22" s="125" customFormat="1">
      <c r="A41" s="163" t="s">
        <v>1056</v>
      </c>
      <c r="B41" s="162">
        <f>HLOOKUP($A41,Summary_Delivered_Sales!$A$5:$N$161,96+B$10,FALSE)*1000</f>
        <v>18631660.261500016</v>
      </c>
      <c r="C41" s="162">
        <f>HLOOKUP($A41,Summary_Delivered_Sales!$A$5:$N$161,96+C$10,FALSE)*1000</f>
        <v>19158070.717499994</v>
      </c>
      <c r="D41" s="162">
        <f>HLOOKUP($A41,Summary_Delivered_Sales!$A$5:$N$161,96+D$10,FALSE)*1000</f>
        <v>18016169.099500012</v>
      </c>
      <c r="E41" s="162">
        <f>HLOOKUP($A41,Summary_Delivered_Sales!$A$5:$N$161,96+E$10,FALSE)*1000</f>
        <v>18348208.477499995</v>
      </c>
      <c r="F41" s="162">
        <f>HLOOKUP($A41,Summary_Delivered_Sales!$A$5:$N$161,96+F$10,FALSE)*1000</f>
        <v>18832609.399999984</v>
      </c>
      <c r="G41" s="162">
        <f>HLOOKUP($A41,Summary_Delivered_Sales!$A$5:$N$161,96+G$10,FALSE)*1000</f>
        <v>24239112.666999981</v>
      </c>
      <c r="H41" s="162">
        <f>HLOOKUP($A41,Summary_Delivered_Sales!$A$5:$N$161,96+H$10,FALSE)*1000</f>
        <v>27847388.459000003</v>
      </c>
      <c r="I41" s="162">
        <f>HLOOKUP($A41,Summary_Delivered_Sales!$A$5:$N$161,96+I$10,FALSE)*1000</f>
        <v>27951824.873499971</v>
      </c>
      <c r="J41" s="162">
        <f>HLOOKUP($A41,Summary_Delivered_Sales!$A$5:$N$161,96+J$10,FALSE)*1000</f>
        <v>28556690.733999956</v>
      </c>
      <c r="K41" s="162">
        <f>HLOOKUP($A41,Summary_Delivered_Sales!$A$5:$N$161,96+K$10,FALSE)*1000</f>
        <v>27811956.98599996</v>
      </c>
      <c r="L41" s="162">
        <f>HLOOKUP($A41,Summary_Delivered_Sales!$A$5:$N$161,96+L$10,FALSE)*1000</f>
        <v>23220036.014999978</v>
      </c>
      <c r="M41" s="162">
        <f>HLOOKUP($A41,Summary_Delivered_Sales!$A$5:$N$161,96+M$10,FALSE)*1000</f>
        <v>17586602.599499986</v>
      </c>
      <c r="N41" s="162">
        <f t="shared" si="5"/>
        <v>270200330.28999984</v>
      </c>
      <c r="O41" s="159">
        <f t="shared" si="6"/>
        <v>2.372296533601193E-3</v>
      </c>
    </row>
    <row r="42" spans="1:22" s="125" customFormat="1">
      <c r="B42" s="155"/>
      <c r="C42" s="155"/>
      <c r="D42" s="155"/>
      <c r="E42" s="155"/>
      <c r="F42" s="155"/>
      <c r="G42" s="155"/>
      <c r="H42" s="155"/>
      <c r="I42" s="155"/>
      <c r="J42" s="155"/>
      <c r="K42" s="155"/>
      <c r="L42" s="155"/>
      <c r="M42" s="155"/>
      <c r="N42" s="155"/>
      <c r="O42" s="159"/>
    </row>
    <row r="43" spans="1:22" s="126" customFormat="1">
      <c r="A43" s="126" t="s">
        <v>453</v>
      </c>
      <c r="B43" s="161">
        <f t="shared" ref="B43:N43" si="7">SUM(B33:B42)</f>
        <v>390227524.52308995</v>
      </c>
      <c r="C43" s="161">
        <f t="shared" si="7"/>
        <v>466471981.71701843</v>
      </c>
      <c r="D43" s="161">
        <f t="shared" si="7"/>
        <v>462381620.34869748</v>
      </c>
      <c r="E43" s="161">
        <f t="shared" si="7"/>
        <v>540336738.53763103</v>
      </c>
      <c r="F43" s="161">
        <f t="shared" si="7"/>
        <v>583115829.19480145</v>
      </c>
      <c r="G43" s="161">
        <f t="shared" si="7"/>
        <v>598605860.50821042</v>
      </c>
      <c r="H43" s="161">
        <f t="shared" si="7"/>
        <v>629857351.64141905</v>
      </c>
      <c r="I43" s="161">
        <f t="shared" si="7"/>
        <v>648939795.52758992</v>
      </c>
      <c r="J43" s="161">
        <f t="shared" si="7"/>
        <v>625840767.46875763</v>
      </c>
      <c r="K43" s="161">
        <f t="shared" si="7"/>
        <v>594452738.18427169</v>
      </c>
      <c r="L43" s="161">
        <f t="shared" si="7"/>
        <v>540505365.23279166</v>
      </c>
      <c r="M43" s="161">
        <f t="shared" si="7"/>
        <v>443461630.37062967</v>
      </c>
      <c r="N43" s="161">
        <f t="shared" si="7"/>
        <v>6524197203.2549086</v>
      </c>
      <c r="O43" s="191">
        <f>+N43/$N$45</f>
        <v>5.7280945560654023E-2</v>
      </c>
    </row>
    <row r="44" spans="1:22" s="125" customFormat="1">
      <c r="B44" s="155"/>
      <c r="C44" s="155"/>
      <c r="D44" s="155"/>
      <c r="E44" s="155"/>
      <c r="F44" s="155"/>
      <c r="G44" s="155"/>
      <c r="H44" s="155"/>
      <c r="I44" s="155"/>
      <c r="J44" s="155"/>
      <c r="K44" s="155"/>
      <c r="L44" s="155"/>
      <c r="M44" s="155"/>
      <c r="N44" s="155"/>
      <c r="U44" s="126"/>
      <c r="V44" s="126"/>
    </row>
    <row r="45" spans="1:22" s="125" customFormat="1" ht="13.8" thickBot="1">
      <c r="A45" s="126" t="s">
        <v>452</v>
      </c>
      <c r="B45" s="160">
        <f t="shared" ref="B45:N45" si="8">+B30+B43</f>
        <v>8917398318.5230904</v>
      </c>
      <c r="C45" s="160">
        <f t="shared" si="8"/>
        <v>8167237980.7170181</v>
      </c>
      <c r="D45" s="160">
        <f t="shared" si="8"/>
        <v>8168815701.3486977</v>
      </c>
      <c r="E45" s="160">
        <f t="shared" si="8"/>
        <v>8388072339.537631</v>
      </c>
      <c r="F45" s="160">
        <f t="shared" si="8"/>
        <v>9468446956.1948013</v>
      </c>
      <c r="G45" s="160">
        <f t="shared" si="8"/>
        <v>10339615711.508211</v>
      </c>
      <c r="H45" s="160">
        <f t="shared" si="8"/>
        <v>10988780313.641418</v>
      </c>
      <c r="I45" s="160">
        <f t="shared" si="8"/>
        <v>11141395203.52759</v>
      </c>
      <c r="J45" s="160">
        <f t="shared" si="8"/>
        <v>10884947095.468758</v>
      </c>
      <c r="K45" s="160">
        <f t="shared" si="8"/>
        <v>10055549141.184271</v>
      </c>
      <c r="L45" s="160">
        <f t="shared" si="8"/>
        <v>8785132843.2327919</v>
      </c>
      <c r="M45" s="160">
        <f t="shared" si="8"/>
        <v>8592819037.3706303</v>
      </c>
      <c r="N45" s="160">
        <f t="shared" si="8"/>
        <v>113898210642.25491</v>
      </c>
      <c r="O45" s="192">
        <f>+N45/$N$45</f>
        <v>1</v>
      </c>
      <c r="U45" s="126"/>
      <c r="V45" s="126"/>
    </row>
    <row r="46" spans="1:22" s="125" customFormat="1" ht="13.8" thickTop="1">
      <c r="A46" s="126"/>
      <c r="B46" s="158"/>
      <c r="C46" s="158"/>
      <c r="D46" s="158"/>
      <c r="E46" s="158"/>
      <c r="F46" s="158"/>
      <c r="G46" s="158"/>
      <c r="H46" s="158"/>
      <c r="I46" s="158"/>
      <c r="J46" s="158"/>
      <c r="K46" s="158"/>
      <c r="L46" s="158"/>
      <c r="M46" s="158"/>
      <c r="N46" s="158"/>
      <c r="V46" s="260"/>
    </row>
    <row r="47" spans="1:22" s="125" customFormat="1">
      <c r="B47" s="155"/>
      <c r="C47"/>
      <c r="D47" s="155"/>
      <c r="E47" s="155"/>
      <c r="F47" s="155"/>
      <c r="G47" s="155"/>
      <c r="H47" s="155"/>
      <c r="I47" s="155"/>
      <c r="J47" s="155"/>
      <c r="K47" s="155"/>
      <c r="L47" s="155"/>
      <c r="M47" s="155"/>
      <c r="N47" s="155"/>
      <c r="V47" s="260"/>
    </row>
    <row r="48" spans="1:22" s="125" customFormat="1">
      <c r="B48" s="155"/>
      <c r="C48" s="155"/>
      <c r="D48" s="155"/>
      <c r="E48" s="155"/>
      <c r="F48" s="155"/>
      <c r="G48" s="155"/>
      <c r="H48" s="155"/>
      <c r="I48" s="155"/>
      <c r="J48" s="155"/>
      <c r="K48" s="155"/>
      <c r="L48" s="155"/>
      <c r="M48" s="155"/>
      <c r="N48" s="155"/>
      <c r="V48" s="260"/>
    </row>
    <row r="49" spans="1:22" s="112" customFormat="1">
      <c r="B49" s="156"/>
      <c r="C49"/>
      <c r="D49" s="156"/>
      <c r="E49" s="156"/>
      <c r="F49" s="156"/>
      <c r="G49" s="156"/>
      <c r="H49" s="156"/>
      <c r="I49" s="156"/>
      <c r="J49" s="156"/>
      <c r="K49" s="156"/>
      <c r="L49" s="156"/>
      <c r="M49" s="156"/>
      <c r="N49" s="156"/>
      <c r="O49" s="154"/>
      <c r="V49" s="253"/>
    </row>
    <row r="50" spans="1:22" s="112" customFormat="1">
      <c r="B50" s="156"/>
      <c r="C50"/>
      <c r="D50" s="156"/>
      <c r="E50" s="156"/>
      <c r="F50" s="156"/>
      <c r="G50" s="156"/>
      <c r="H50" s="156"/>
      <c r="I50" s="156"/>
      <c r="J50" s="156"/>
      <c r="K50" s="156"/>
      <c r="L50" s="156"/>
      <c r="M50" s="156"/>
      <c r="N50" s="156"/>
      <c r="O50" s="154"/>
      <c r="V50" s="253"/>
    </row>
    <row r="51" spans="1:22" s="112" customFormat="1" ht="21">
      <c r="A51" s="124" t="s">
        <v>457</v>
      </c>
      <c r="B51" s="165"/>
      <c r="C51"/>
      <c r="D51" s="165"/>
      <c r="E51" s="165"/>
      <c r="F51" s="165"/>
      <c r="G51" s="165"/>
      <c r="H51" s="165"/>
      <c r="I51" s="165"/>
      <c r="J51" s="165"/>
      <c r="K51" s="165"/>
      <c r="L51" s="165"/>
      <c r="M51" s="165"/>
      <c r="N51" s="165"/>
      <c r="O51" s="172"/>
      <c r="V51" s="253"/>
    </row>
    <row r="52" spans="1:22" s="112" customFormat="1" ht="21">
      <c r="A52" s="124" t="str">
        <f>MANUAL!$B$10&amp;" - TEST YEAR"</f>
        <v>2017 - TEST YEAR</v>
      </c>
      <c r="B52" s="165"/>
      <c r="C52"/>
      <c r="D52" s="165"/>
      <c r="E52" s="165"/>
      <c r="F52" s="165"/>
      <c r="G52" s="165"/>
      <c r="H52" s="165"/>
      <c r="I52" s="165"/>
      <c r="J52" s="165"/>
      <c r="K52" s="165"/>
      <c r="L52" s="165"/>
      <c r="M52" s="165"/>
      <c r="N52" s="165"/>
      <c r="O52" s="172"/>
      <c r="V52" s="253"/>
    </row>
    <row r="53" spans="1:22" s="112" customFormat="1" ht="21.6" thickBot="1">
      <c r="A53" s="124"/>
      <c r="B53" s="165"/>
      <c r="C53"/>
      <c r="D53" s="165"/>
      <c r="E53" s="165"/>
      <c r="F53" s="165"/>
      <c r="G53" s="165"/>
      <c r="H53" s="165"/>
      <c r="I53" s="165"/>
      <c r="J53" s="165"/>
      <c r="K53" s="165"/>
      <c r="L53" s="165"/>
      <c r="M53" s="165"/>
      <c r="N53" s="165"/>
      <c r="O53" s="172"/>
      <c r="V53" s="253"/>
    </row>
    <row r="54" spans="1:22" s="112" customFormat="1" ht="13.8" thickBot="1">
      <c r="A54" s="168"/>
      <c r="B54" s="572" t="s">
        <v>339</v>
      </c>
      <c r="C54" s="573"/>
      <c r="D54" s="574"/>
      <c r="E54" s="575" t="s">
        <v>340</v>
      </c>
      <c r="F54" s="576"/>
      <c r="G54" s="576"/>
      <c r="H54" s="576"/>
      <c r="I54" s="576"/>
      <c r="J54" s="576"/>
      <c r="K54" s="577"/>
      <c r="L54" s="572" t="s">
        <v>339</v>
      </c>
      <c r="M54" s="574"/>
      <c r="N54" s="166"/>
      <c r="O54" s="164"/>
      <c r="V54" s="253"/>
    </row>
    <row r="55" spans="1:22" s="112" customFormat="1" ht="13.8" thickBot="1">
      <c r="A55" s="171" t="s">
        <v>454</v>
      </c>
      <c r="B55" s="100" t="s">
        <v>70</v>
      </c>
      <c r="C55" s="100" t="s">
        <v>71</v>
      </c>
      <c r="D55" s="100" t="s">
        <v>72</v>
      </c>
      <c r="E55" s="103" t="s">
        <v>73</v>
      </c>
      <c r="F55" s="103" t="s">
        <v>74</v>
      </c>
      <c r="G55" s="103" t="s">
        <v>75</v>
      </c>
      <c r="H55" s="103" t="s">
        <v>76</v>
      </c>
      <c r="I55" s="103" t="s">
        <v>77</v>
      </c>
      <c r="J55" s="103" t="s">
        <v>78</v>
      </c>
      <c r="K55" s="103" t="s">
        <v>79</v>
      </c>
      <c r="L55" s="100" t="s">
        <v>80</v>
      </c>
      <c r="M55" s="100" t="s">
        <v>81</v>
      </c>
      <c r="N55" s="170" t="s">
        <v>60</v>
      </c>
      <c r="O55" s="169" t="s">
        <v>455</v>
      </c>
      <c r="V55" s="253"/>
    </row>
    <row r="56" spans="1:22" s="112" customFormat="1">
      <c r="A56" s="168"/>
      <c r="B56" s="167"/>
      <c r="C56" s="167"/>
      <c r="D56" s="167"/>
      <c r="E56" s="167"/>
      <c r="F56" s="167"/>
      <c r="G56" s="167"/>
      <c r="H56" s="167"/>
      <c r="I56" s="167"/>
      <c r="J56" s="167"/>
      <c r="K56" s="167"/>
      <c r="L56" s="167"/>
      <c r="M56" s="167"/>
      <c r="N56" s="166"/>
      <c r="O56" s="164"/>
      <c r="V56" s="253"/>
    </row>
    <row r="57" spans="1:22" s="112" customFormat="1">
      <c r="A57" s="42" t="s">
        <v>83</v>
      </c>
      <c r="B57" s="81"/>
      <c r="C57" s="81"/>
      <c r="D57" s="81"/>
      <c r="E57" s="81"/>
      <c r="F57" s="81"/>
      <c r="G57" s="81"/>
      <c r="H57" s="81"/>
      <c r="I57" s="81"/>
      <c r="J57" s="81"/>
      <c r="K57" s="81"/>
      <c r="L57" s="81"/>
      <c r="M57" s="81"/>
      <c r="N57" s="81"/>
      <c r="O57" s="81"/>
      <c r="V57" s="253"/>
    </row>
    <row r="58" spans="1:22" s="112" customFormat="1">
      <c r="A58" s="163" t="s">
        <v>84</v>
      </c>
      <c r="B58" s="162">
        <f>+'CILC-1D'!C$28</f>
        <v>230781253</v>
      </c>
      <c r="C58" s="162">
        <f>+'CILC-1D'!D$28</f>
        <v>211833995</v>
      </c>
      <c r="D58" s="162">
        <f>+'CILC-1D'!E$28</f>
        <v>212923906</v>
      </c>
      <c r="E58" s="162">
        <f>+'CILC-1D'!F$28</f>
        <v>214435548</v>
      </c>
      <c r="F58" s="162">
        <f>+'CILC-1D'!G$28</f>
        <v>221455796</v>
      </c>
      <c r="G58" s="162">
        <f>+'CILC-1D'!H$28</f>
        <v>229270200</v>
      </c>
      <c r="H58" s="162">
        <f>+'CILC-1D'!I$28</f>
        <v>236317752</v>
      </c>
      <c r="I58" s="162">
        <f>+'CILC-1D'!J$28</f>
        <v>234795889</v>
      </c>
      <c r="J58" s="162">
        <f>+'CILC-1D'!K$28</f>
        <v>232721345</v>
      </c>
      <c r="K58" s="162">
        <f>+'CILC-1D'!L$28</f>
        <v>224975757</v>
      </c>
      <c r="L58" s="162">
        <f>+'CILC-1D'!M$28</f>
        <v>214508903</v>
      </c>
      <c r="M58" s="162">
        <f>+'CILC-1D'!N$28</f>
        <v>223400047</v>
      </c>
      <c r="N58" s="162">
        <f>SUM(B58:M58)</f>
        <v>2687420391</v>
      </c>
      <c r="O58" s="159">
        <f>+N58/$N$91</f>
        <v>2.3733336660857862E-2</v>
      </c>
      <c r="V58" s="253"/>
    </row>
    <row r="59" spans="1:22" s="112" customFormat="1">
      <c r="A59" s="163" t="s">
        <v>85</v>
      </c>
      <c r="B59" s="162">
        <f>+'CILC-1G'!C$28</f>
        <v>8790697</v>
      </c>
      <c r="C59" s="162">
        <f>+'CILC-1G'!D$28</f>
        <v>8102439</v>
      </c>
      <c r="D59" s="162">
        <f>+'CILC-1G'!E$28</f>
        <v>8043980</v>
      </c>
      <c r="E59" s="162">
        <f>+'CILC-1G'!F$28</f>
        <v>8069797</v>
      </c>
      <c r="F59" s="162">
        <f>+'CILC-1G'!G$28</f>
        <v>8363391</v>
      </c>
      <c r="G59" s="162">
        <f>+'CILC-1G'!H$28</f>
        <v>8574093</v>
      </c>
      <c r="H59" s="162">
        <f>+'CILC-1G'!I$28</f>
        <v>8775072</v>
      </c>
      <c r="I59" s="162">
        <f>+'CILC-1G'!J$28</f>
        <v>8799193</v>
      </c>
      <c r="J59" s="162">
        <f>+'CILC-1G'!K$28</f>
        <v>8768146</v>
      </c>
      <c r="K59" s="162">
        <f>+'CILC-1G'!L$28</f>
        <v>8505733</v>
      </c>
      <c r="L59" s="162">
        <f>+'CILC-1G'!M$28</f>
        <v>8194398</v>
      </c>
      <c r="M59" s="162">
        <f>+'CILC-1G'!N$28</f>
        <v>8636563</v>
      </c>
      <c r="N59" s="162">
        <f t="shared" ref="N59:N74" si="9">SUM(B59:M59)</f>
        <v>101623502</v>
      </c>
      <c r="O59" s="159">
        <f>+N59/$N$91</f>
        <v>8.974646444220428E-4</v>
      </c>
      <c r="V59" s="253"/>
    </row>
    <row r="60" spans="1:22" s="112" customFormat="1">
      <c r="A60" s="163" t="s">
        <v>50</v>
      </c>
      <c r="B60" s="162">
        <f>+'CILC-1T'!C$28</f>
        <v>125750423</v>
      </c>
      <c r="C60" s="162">
        <f>+'CILC-1T'!D$28</f>
        <v>117221965</v>
      </c>
      <c r="D60" s="162">
        <f>+'CILC-1T'!E$28</f>
        <v>118767389</v>
      </c>
      <c r="E60" s="162">
        <f>+'CILC-1T'!F$28</f>
        <v>123452460</v>
      </c>
      <c r="F60" s="162">
        <f>+'CILC-1T'!G$28</f>
        <v>122801452</v>
      </c>
      <c r="G60" s="162">
        <f>+'CILC-1T'!H$28</f>
        <v>127537356</v>
      </c>
      <c r="H60" s="162">
        <f>+'CILC-1T'!I$28</f>
        <v>128193988</v>
      </c>
      <c r="I60" s="162">
        <f>+'CILC-1T'!J$28</f>
        <v>127368729</v>
      </c>
      <c r="J60" s="162">
        <f>+'CILC-1T'!K$28</f>
        <v>130512332</v>
      </c>
      <c r="K60" s="162">
        <f>+'CILC-1T'!L$28</f>
        <v>126790722</v>
      </c>
      <c r="L60" s="162">
        <f>+'CILC-1T'!M$28</f>
        <v>129769170</v>
      </c>
      <c r="M60" s="162">
        <f>+'CILC-1T'!N$28</f>
        <v>130169328</v>
      </c>
      <c r="N60" s="162">
        <f t="shared" si="9"/>
        <v>1508335314</v>
      </c>
      <c r="O60" s="159">
        <f t="shared" ref="O60:O74" si="10">+N60/$N$91</f>
        <v>1.3320517297742999E-2</v>
      </c>
      <c r="V60" s="253"/>
    </row>
    <row r="61" spans="1:22" s="112" customFormat="1">
      <c r="A61" s="163" t="s">
        <v>49</v>
      </c>
      <c r="B61" s="162">
        <f>+'GS(T)-1'!C$28</f>
        <v>474037478</v>
      </c>
      <c r="C61" s="162">
        <f>+'GS(T)-1'!D$28</f>
        <v>421493319</v>
      </c>
      <c r="D61" s="162">
        <f>+'GS(T)-1'!E$28</f>
        <v>436128454</v>
      </c>
      <c r="E61" s="162">
        <f>+'GS(T)-1'!F$28</f>
        <v>452175041</v>
      </c>
      <c r="F61" s="162">
        <f>+'GS(T)-1'!G$28</f>
        <v>505437208</v>
      </c>
      <c r="G61" s="162">
        <f>+'GS(T)-1'!H$28</f>
        <v>540809617</v>
      </c>
      <c r="H61" s="162">
        <f>+'GS(T)-1'!I$28</f>
        <v>570905184</v>
      </c>
      <c r="I61" s="162">
        <f>+'GS(T)-1'!J$28</f>
        <v>571130874</v>
      </c>
      <c r="J61" s="162">
        <f>+'GS(T)-1'!K$28</f>
        <v>555576895</v>
      </c>
      <c r="K61" s="162">
        <f>+'GS(T)-1'!L$28</f>
        <v>515188641</v>
      </c>
      <c r="L61" s="162">
        <f>+'GS(T)-1'!M$28</f>
        <v>464021202</v>
      </c>
      <c r="M61" s="162">
        <f>+'GS(T)-1'!N$28</f>
        <v>461888209</v>
      </c>
      <c r="N61" s="162">
        <f t="shared" si="9"/>
        <v>5968792122</v>
      </c>
      <c r="O61" s="159">
        <f t="shared" si="10"/>
        <v>5.271201832229537E-2</v>
      </c>
      <c r="V61" s="253"/>
    </row>
    <row r="62" spans="1:22" s="112" customFormat="1">
      <c r="A62" s="163" t="s">
        <v>325</v>
      </c>
      <c r="B62" s="162">
        <f>+'GSCU-1'!C$28</f>
        <v>5819546</v>
      </c>
      <c r="C62" s="162">
        <f>+'GSCU-1'!D$28</f>
        <v>5825464</v>
      </c>
      <c r="D62" s="162">
        <f>+'GSCU-1'!E$28</f>
        <v>5831382</v>
      </c>
      <c r="E62" s="162">
        <f>+'GSCU-1'!F$28</f>
        <v>5837838</v>
      </c>
      <c r="F62" s="162">
        <f>+'GSCU-1'!G$28</f>
        <v>5844294</v>
      </c>
      <c r="G62" s="162">
        <f>+'GSCU-1'!H$28</f>
        <v>5850750</v>
      </c>
      <c r="H62" s="162">
        <f>+'GSCU-1'!I$28</f>
        <v>5857206</v>
      </c>
      <c r="I62" s="162">
        <f>+'GSCU-1'!J$28</f>
        <v>5863124</v>
      </c>
      <c r="J62" s="162">
        <f>+'GSCU-1'!K$28</f>
        <v>5869580</v>
      </c>
      <c r="K62" s="162">
        <f>+'GSCU-1'!L$28</f>
        <v>5875498</v>
      </c>
      <c r="L62" s="162">
        <f>+'GSCU-1'!M$28</f>
        <v>5880878</v>
      </c>
      <c r="M62" s="162">
        <f>+'GSCU-1'!N$28</f>
        <v>5886258</v>
      </c>
      <c r="N62" s="162">
        <f t="shared" si="9"/>
        <v>70241818</v>
      </c>
      <c r="O62" s="159">
        <f t="shared" si="10"/>
        <v>6.2032450146156E-4</v>
      </c>
      <c r="V62" s="253"/>
    </row>
    <row r="63" spans="1:22" s="112" customFormat="1">
      <c r="A63" s="163" t="s">
        <v>67</v>
      </c>
      <c r="B63" s="162">
        <f>+'GSD(T)-1'!C$28</f>
        <v>2125027898</v>
      </c>
      <c r="C63" s="162">
        <f>+'GSD(T)-1'!D$28</f>
        <v>1868655365</v>
      </c>
      <c r="D63" s="162">
        <f>+'GSD(T)-1'!E$28</f>
        <v>1921617542</v>
      </c>
      <c r="E63" s="162">
        <f>+'GSD(T)-1'!F$28</f>
        <v>1978696349</v>
      </c>
      <c r="F63" s="162">
        <f>+'GSD(T)-1'!G$28</f>
        <v>2175878238</v>
      </c>
      <c r="G63" s="162">
        <f>+'GSD(T)-1'!H$28</f>
        <v>2293502526</v>
      </c>
      <c r="H63" s="162">
        <f>+'GSD(T)-1'!I$28</f>
        <v>2382585585</v>
      </c>
      <c r="I63" s="162">
        <f>+'GSD(T)-1'!J$28</f>
        <v>2376881395</v>
      </c>
      <c r="J63" s="162">
        <f>+'GSD(T)-1'!K$28</f>
        <v>2357807650</v>
      </c>
      <c r="K63" s="162">
        <f>+'GSD(T)-1'!L$28</f>
        <v>2225515867</v>
      </c>
      <c r="L63" s="162">
        <f>+'GSD(T)-1'!M$28</f>
        <v>2047495255</v>
      </c>
      <c r="M63" s="162">
        <f>+'GSD(T)-1'!N$28</f>
        <v>2071765114</v>
      </c>
      <c r="N63" s="162">
        <f t="shared" si="9"/>
        <v>25825428784</v>
      </c>
      <c r="O63" s="159">
        <f t="shared" si="10"/>
        <v>0.22807134968325879</v>
      </c>
      <c r="V63" s="253"/>
    </row>
    <row r="64" spans="1:22" s="112" customFormat="1">
      <c r="A64" s="163" t="s">
        <v>68</v>
      </c>
      <c r="B64" s="162">
        <f>+'GSLD(T)-1'!C$28</f>
        <v>869348955</v>
      </c>
      <c r="C64" s="162">
        <f>+'GSLD(T)-1'!D$28</f>
        <v>781904160</v>
      </c>
      <c r="D64" s="162">
        <f>+'GSLD(T)-1'!E$28</f>
        <v>799875142</v>
      </c>
      <c r="E64" s="162">
        <f>+'GSLD(T)-1'!F$28</f>
        <v>813282613</v>
      </c>
      <c r="F64" s="162">
        <f>+'GSLD(T)-1'!G$28</f>
        <v>891962736</v>
      </c>
      <c r="G64" s="162">
        <f>+'GSLD(T)-1'!H$28</f>
        <v>918624369</v>
      </c>
      <c r="H64" s="162">
        <f>+'GSLD(T)-1'!I$28</f>
        <v>934555629</v>
      </c>
      <c r="I64" s="162">
        <f>+'GSLD(T)-1'!J$28</f>
        <v>941225770</v>
      </c>
      <c r="J64" s="162">
        <f>+'GSLD(T)-1'!K$28</f>
        <v>945179485</v>
      </c>
      <c r="K64" s="162">
        <f>+'GSLD(T)-1'!L$28</f>
        <v>910044506</v>
      </c>
      <c r="L64" s="162">
        <f>+'GSLD(T)-1'!M$28</f>
        <v>839334767</v>
      </c>
      <c r="M64" s="162">
        <f>+'GSLD(T)-1'!N$28</f>
        <v>862159574</v>
      </c>
      <c r="N64" s="162">
        <f t="shared" si="9"/>
        <v>10507497706</v>
      </c>
      <c r="O64" s="159">
        <f t="shared" si="10"/>
        <v>9.279455546100665E-2</v>
      </c>
      <c r="V64" s="253"/>
    </row>
    <row r="65" spans="1:22" s="112" customFormat="1">
      <c r="A65" s="163" t="s">
        <v>69</v>
      </c>
      <c r="B65" s="162">
        <f>+'GSLD(T)-2'!C$28</f>
        <v>214054843</v>
      </c>
      <c r="C65" s="162">
        <f>+'GSLD(T)-2'!D$28</f>
        <v>188478613</v>
      </c>
      <c r="D65" s="162">
        <f>+'GSLD(T)-2'!E$28</f>
        <v>192959738</v>
      </c>
      <c r="E65" s="162">
        <f>+'GSLD(T)-2'!F$28</f>
        <v>194210797</v>
      </c>
      <c r="F65" s="162">
        <f>+'GSLD(T)-2'!G$28</f>
        <v>207828810</v>
      </c>
      <c r="G65" s="162">
        <f>+'GSLD(T)-2'!H$28</f>
        <v>219261907</v>
      </c>
      <c r="H65" s="162">
        <f>+'GSLD(T)-2'!I$28</f>
        <v>226094447</v>
      </c>
      <c r="I65" s="162">
        <f>+'GSLD(T)-2'!J$28</f>
        <v>228910099</v>
      </c>
      <c r="J65" s="162">
        <f>+'GSLD(T)-2'!K$28</f>
        <v>222456184</v>
      </c>
      <c r="K65" s="162">
        <f>+'GSLD(T)-2'!L$28</f>
        <v>213252955</v>
      </c>
      <c r="L65" s="162">
        <f>+'GSLD(T)-2'!M$28</f>
        <v>201077831</v>
      </c>
      <c r="M65" s="162">
        <f>+'GSLD(T)-2'!N$28</f>
        <v>206884701</v>
      </c>
      <c r="N65" s="162">
        <f t="shared" si="9"/>
        <v>2515470925</v>
      </c>
      <c r="O65" s="159">
        <f t="shared" si="10"/>
        <v>2.2214804398879229E-2</v>
      </c>
      <c r="V65" s="253"/>
    </row>
    <row r="66" spans="1:22" s="112" customFormat="1">
      <c r="A66" s="163" t="s">
        <v>52</v>
      </c>
      <c r="B66" s="162">
        <f>+'GSLD(T)-3'!C$28</f>
        <v>15148163</v>
      </c>
      <c r="C66" s="162">
        <f>+'GSLD(T)-3'!D$28</f>
        <v>16443605</v>
      </c>
      <c r="D66" s="162">
        <f>+'GSLD(T)-3'!E$28</f>
        <v>14960739</v>
      </c>
      <c r="E66" s="162">
        <f>+'GSLD(T)-3'!F$28</f>
        <v>15206466</v>
      </c>
      <c r="F66" s="162">
        <f>+'GSLD(T)-3'!G$28</f>
        <v>16116480</v>
      </c>
      <c r="G66" s="162">
        <f>+'GSLD(T)-3'!H$28</f>
        <v>16104073</v>
      </c>
      <c r="H66" s="162">
        <f>+'GSLD(T)-3'!I$28</f>
        <v>13743742</v>
      </c>
      <c r="I66" s="162">
        <f>+'GSLD(T)-3'!J$28</f>
        <v>14208254</v>
      </c>
      <c r="J66" s="162">
        <f>+'GSLD(T)-3'!K$28</f>
        <v>12822301</v>
      </c>
      <c r="K66" s="162">
        <f>+'GSLD(T)-3'!L$28</f>
        <v>13194996</v>
      </c>
      <c r="L66" s="162">
        <f>+'GSLD(T)-3'!M$28</f>
        <v>12004690</v>
      </c>
      <c r="M66" s="162">
        <f>+'GSLD(T)-3'!N$28</f>
        <v>13038751</v>
      </c>
      <c r="N66" s="162">
        <f t="shared" si="9"/>
        <v>172992260</v>
      </c>
      <c r="O66" s="159">
        <f t="shared" si="10"/>
        <v>1.5277414579618165E-3</v>
      </c>
      <c r="V66" s="253"/>
    </row>
    <row r="67" spans="1:22" s="112" customFormat="1">
      <c r="A67" s="163" t="s">
        <v>15</v>
      </c>
      <c r="B67" s="162">
        <f>+MET!C$28</f>
        <v>7722488</v>
      </c>
      <c r="C67" s="162">
        <f>+MET!D$28</f>
        <v>7033163</v>
      </c>
      <c r="D67" s="162">
        <f>+MET!E$28</f>
        <v>6654900</v>
      </c>
      <c r="E67" s="162">
        <f>+MET!F$28</f>
        <v>7772538</v>
      </c>
      <c r="F67" s="162">
        <f>+MET!G$28</f>
        <v>7766500</v>
      </c>
      <c r="G67" s="162">
        <f>+MET!H$28</f>
        <v>7705775</v>
      </c>
      <c r="H67" s="162">
        <f>+MET!I$28</f>
        <v>8084445</v>
      </c>
      <c r="I67" s="162">
        <f>+MET!J$28</f>
        <v>8169352</v>
      </c>
      <c r="J67" s="162">
        <f>+MET!K$28</f>
        <v>8099506</v>
      </c>
      <c r="K67" s="162">
        <f>+MET!L$28</f>
        <v>8011486</v>
      </c>
      <c r="L67" s="162">
        <f>+MET!M$28</f>
        <v>7259718</v>
      </c>
      <c r="M67" s="162">
        <f>+MET!N$28</f>
        <v>6928425</v>
      </c>
      <c r="N67" s="162">
        <f t="shared" si="9"/>
        <v>91208296</v>
      </c>
      <c r="O67" s="159">
        <f t="shared" si="10"/>
        <v>8.0548514198989553E-4</v>
      </c>
      <c r="V67" s="253"/>
    </row>
    <row r="68" spans="1:22" s="112" customFormat="1">
      <c r="A68" s="163" t="s">
        <v>56</v>
      </c>
      <c r="B68" s="162">
        <f>+'OL-1'!C$28</f>
        <v>8180684</v>
      </c>
      <c r="C68" s="162">
        <f>+'OL-1'!D$28</f>
        <v>8176620</v>
      </c>
      <c r="D68" s="162">
        <f>+'OL-1'!E$28</f>
        <v>8172556</v>
      </c>
      <c r="E68" s="162">
        <f>+'OL-1'!F$28</f>
        <v>8168492</v>
      </c>
      <c r="F68" s="162">
        <f>+'OL-1'!G$28</f>
        <v>8164428</v>
      </c>
      <c r="G68" s="162">
        <f>+'OL-1'!H$28</f>
        <v>8160364</v>
      </c>
      <c r="H68" s="162">
        <f>+'OL-1'!I$28</f>
        <v>8156300</v>
      </c>
      <c r="I68" s="162">
        <f>+'OL-1'!J$28</f>
        <v>8152236</v>
      </c>
      <c r="J68" s="162">
        <f>+'OL-1'!K$28</f>
        <v>8148172</v>
      </c>
      <c r="K68" s="162">
        <f>+'OL-1'!L$28</f>
        <v>8144108</v>
      </c>
      <c r="L68" s="162">
        <f>+'OL-1'!M$28</f>
        <v>8140044</v>
      </c>
      <c r="M68" s="162">
        <f>+'OL-1'!N$28</f>
        <v>8135980</v>
      </c>
      <c r="N68" s="162">
        <f t="shared" si="9"/>
        <v>97899984</v>
      </c>
      <c r="O68" s="159">
        <f t="shared" si="10"/>
        <v>8.6458124941889603E-4</v>
      </c>
      <c r="V68" s="253"/>
    </row>
    <row r="69" spans="1:22" s="112" customFormat="1">
      <c r="A69" s="163" t="s">
        <v>57</v>
      </c>
      <c r="B69" s="162">
        <f>+'OS-2'!C$28</f>
        <v>868047</v>
      </c>
      <c r="C69" s="162">
        <f>+'OS-2'!D$28</f>
        <v>980593</v>
      </c>
      <c r="D69" s="162">
        <f>+'OS-2'!E$28</f>
        <v>1051238</v>
      </c>
      <c r="E69" s="162">
        <f>+'OS-2'!F$28</f>
        <v>908437</v>
      </c>
      <c r="F69" s="162">
        <f>+'OS-2'!G$28</f>
        <v>861058</v>
      </c>
      <c r="G69" s="162">
        <f>+'OS-2'!H$28</f>
        <v>823754</v>
      </c>
      <c r="H69" s="162">
        <f>+'OS-2'!I$28</f>
        <v>714380</v>
      </c>
      <c r="I69" s="162">
        <f>+'OS-2'!J$28</f>
        <v>720433</v>
      </c>
      <c r="J69" s="162">
        <f>+'OS-2'!K$28</f>
        <v>908768</v>
      </c>
      <c r="K69" s="162">
        <f>+'OS-2'!L$28</f>
        <v>936451</v>
      </c>
      <c r="L69" s="162">
        <f>+'OS-2'!M$28</f>
        <v>1075889</v>
      </c>
      <c r="M69" s="162">
        <f>+'OS-2'!N$28</f>
        <v>944265</v>
      </c>
      <c r="N69" s="162">
        <f t="shared" si="9"/>
        <v>10793313</v>
      </c>
      <c r="O69" s="159">
        <f t="shared" si="10"/>
        <v>9.5318667660959096E-5</v>
      </c>
      <c r="V69" s="253"/>
    </row>
    <row r="70" spans="1:22" s="112" customFormat="1">
      <c r="A70" s="163" t="s">
        <v>48</v>
      </c>
      <c r="B70" s="162">
        <f>+'RS(T)-1'!C$28</f>
        <v>4459036218</v>
      </c>
      <c r="C70" s="162">
        <f>+'RS(T)-1'!D$28</f>
        <v>3960503996</v>
      </c>
      <c r="D70" s="162">
        <f>+'RS(T)-1'!E$28</f>
        <v>3878065213</v>
      </c>
      <c r="E70" s="162">
        <f>+'RS(T)-1'!F$28</f>
        <v>3972698748</v>
      </c>
      <c r="F70" s="162">
        <f>+'RS(T)-1'!G$28</f>
        <v>4630611997</v>
      </c>
      <c r="G70" s="162">
        <f>+'RS(T)-1'!H$28</f>
        <v>5289857496</v>
      </c>
      <c r="H70" s="162">
        <f>+'RS(T)-1'!I$28</f>
        <v>5760290400</v>
      </c>
      <c r="I70" s="162">
        <f>+'RS(T)-1'!J$28</f>
        <v>5891589976</v>
      </c>
      <c r="J70" s="162">
        <f>+'RS(T)-1'!K$28</f>
        <v>5704211543</v>
      </c>
      <c r="K70" s="162">
        <f>+'RS(T)-1'!L$28</f>
        <v>5133789102</v>
      </c>
      <c r="L70" s="162">
        <f>+'RS(T)-1'!M$28</f>
        <v>4240281030</v>
      </c>
      <c r="M70" s="162">
        <f>+'RS(T)-1'!N$28</f>
        <v>4072742788</v>
      </c>
      <c r="N70" s="162">
        <f t="shared" si="9"/>
        <v>56993678507</v>
      </c>
      <c r="O70" s="159">
        <f t="shared" si="10"/>
        <v>0.50332659679046465</v>
      </c>
      <c r="V70" s="253"/>
    </row>
    <row r="71" spans="1:22" s="112" customFormat="1">
      <c r="A71" s="163" t="s">
        <v>53</v>
      </c>
      <c r="B71" s="162">
        <f>+'SL-1'!C$28</f>
        <v>49089770</v>
      </c>
      <c r="C71" s="162">
        <f>+'SL-1'!D$28</f>
        <v>45452138</v>
      </c>
      <c r="D71" s="162">
        <f>+'SL-1'!E$28</f>
        <v>45698883</v>
      </c>
      <c r="E71" s="162">
        <f>+'SL-1'!F$28</f>
        <v>47161001</v>
      </c>
      <c r="F71" s="162">
        <f>+'SL-1'!G$28</f>
        <v>46982784</v>
      </c>
      <c r="G71" s="162">
        <f>+'SL-1'!H$28</f>
        <v>44454046</v>
      </c>
      <c r="H71" s="162">
        <f>+'SL-1'!I$28</f>
        <v>45978606</v>
      </c>
      <c r="I71" s="162">
        <f>+'SL-1'!J$28</f>
        <v>52412648</v>
      </c>
      <c r="J71" s="162">
        <f>+'SL-1'!K$28</f>
        <v>46488434</v>
      </c>
      <c r="K71" s="162">
        <f>+'SL-1'!L$28</f>
        <v>43851383</v>
      </c>
      <c r="L71" s="162">
        <f>+'SL-1'!M$28</f>
        <v>43397174</v>
      </c>
      <c r="M71" s="162">
        <f>+'SL-1'!N$28</f>
        <v>49840091</v>
      </c>
      <c r="N71" s="162">
        <f t="shared" si="9"/>
        <v>560806958</v>
      </c>
      <c r="O71" s="159">
        <f t="shared" si="10"/>
        <v>4.9526379946134656E-3</v>
      </c>
    </row>
    <row r="72" spans="1:22" s="112" customFormat="1">
      <c r="A72" s="163" t="s">
        <v>55</v>
      </c>
      <c r="B72" s="162">
        <f>+'SL-2'!C$28</f>
        <v>2699417</v>
      </c>
      <c r="C72" s="162">
        <f>+'SL-2'!D$28</f>
        <v>2705431</v>
      </c>
      <c r="D72" s="162">
        <f>+'SL-2'!E$28</f>
        <v>2710238</v>
      </c>
      <c r="E72" s="162">
        <f>+'SL-2'!F$28</f>
        <v>2716256</v>
      </c>
      <c r="F72" s="162">
        <f>+'SL-2'!G$28</f>
        <v>2721974</v>
      </c>
      <c r="G72" s="162">
        <f>+'SL-2'!H$28</f>
        <v>2729808</v>
      </c>
      <c r="H72" s="162">
        <f>+'SL-2'!I$28</f>
        <v>2735836</v>
      </c>
      <c r="I72" s="162">
        <f>+'SL-2'!J$28</f>
        <v>2738850</v>
      </c>
      <c r="J72" s="162">
        <f>+'SL-2'!K$28</f>
        <v>2743058</v>
      </c>
      <c r="K72" s="162">
        <f>+'SL-2'!L$28</f>
        <v>2747892</v>
      </c>
      <c r="L72" s="162">
        <f>+'SL-2'!M$28</f>
        <v>2754833</v>
      </c>
      <c r="M72" s="162">
        <f>+'SL-2'!N$28</f>
        <v>2759033</v>
      </c>
      <c r="N72" s="162">
        <f t="shared" si="9"/>
        <v>32762626</v>
      </c>
      <c r="O72" s="159">
        <f t="shared" si="10"/>
        <v>2.8933561543098931E-4</v>
      </c>
    </row>
    <row r="73" spans="1:22" s="112" customFormat="1">
      <c r="A73" s="163" t="s">
        <v>87</v>
      </c>
      <c r="B73" s="162">
        <f>+'SST-1D'!C$28</f>
        <v>602856</v>
      </c>
      <c r="C73" s="162">
        <f>+'SST-1D'!D$28</f>
        <v>685784</v>
      </c>
      <c r="D73" s="162">
        <f>+'SST-1D'!E$28</f>
        <v>666585</v>
      </c>
      <c r="E73" s="162">
        <f>+'SST-1D'!F$28</f>
        <v>1230699</v>
      </c>
      <c r="F73" s="162">
        <f>+'SST-1D'!G$28</f>
        <v>1462083</v>
      </c>
      <c r="G73" s="162">
        <f>+'SST-1D'!H$28</f>
        <v>1187857</v>
      </c>
      <c r="H73" s="162">
        <f>+'SST-1D'!I$28</f>
        <v>1087713</v>
      </c>
      <c r="I73" s="162">
        <f>+'SST-1D'!J$28</f>
        <v>1181803</v>
      </c>
      <c r="J73" s="162">
        <f>+'SST-1D'!K$28</f>
        <v>1205075</v>
      </c>
      <c r="K73" s="162">
        <f>+'SST-1D'!L$28</f>
        <v>1239312</v>
      </c>
      <c r="L73" s="162">
        <f>+'SST-1D'!M$28</f>
        <v>799615</v>
      </c>
      <c r="M73" s="162">
        <f>+'SST-1D'!N$28</f>
        <v>507544</v>
      </c>
      <c r="N73" s="162">
        <f t="shared" si="9"/>
        <v>11856926</v>
      </c>
      <c r="O73" s="159">
        <f t="shared" si="10"/>
        <v>1.0471172186654692E-4</v>
      </c>
    </row>
    <row r="74" spans="1:22" s="112" customFormat="1">
      <c r="A74" s="163" t="s">
        <v>88</v>
      </c>
      <c r="B74" s="162">
        <f>+'SST-1T'!C$28</f>
        <v>5811710</v>
      </c>
      <c r="C74" s="162">
        <f>+'SST-1T'!D$28</f>
        <v>6787344</v>
      </c>
      <c r="D74" s="162">
        <f>+'SST-1T'!E$28</f>
        <v>8318048</v>
      </c>
      <c r="E74" s="162">
        <f>+'SST-1T'!F$28</f>
        <v>7683818</v>
      </c>
      <c r="F74" s="162">
        <f>+'SST-1T'!G$28</f>
        <v>10687136</v>
      </c>
      <c r="G74" s="162">
        <f>+'SST-1T'!H$28</f>
        <v>7415962</v>
      </c>
      <c r="H74" s="162">
        <f>+'SST-1T'!I$28</f>
        <v>7202482</v>
      </c>
      <c r="I74" s="162">
        <f>+'SST-1T'!J$28</f>
        <v>6421378</v>
      </c>
      <c r="J74" s="162">
        <f>+'SST-1T'!K$28</f>
        <v>4740820</v>
      </c>
      <c r="K74" s="162">
        <f>+'SST-1T'!L$28</f>
        <v>9837782</v>
      </c>
      <c r="L74" s="162">
        <f>+'SST-1T'!M$28</f>
        <v>9758504</v>
      </c>
      <c r="M74" s="162">
        <f>+'SST-1T'!N$28</f>
        <v>5002770</v>
      </c>
      <c r="N74" s="162">
        <f t="shared" si="9"/>
        <v>89667754</v>
      </c>
      <c r="O74" s="159">
        <f t="shared" si="10"/>
        <v>7.9188019873329307E-4</v>
      </c>
    </row>
    <row r="75" spans="1:22" s="112" customFormat="1">
      <c r="A75" s="154"/>
      <c r="B75" s="155"/>
      <c r="C75" s="155"/>
      <c r="D75" s="155"/>
      <c r="E75" s="155"/>
      <c r="F75" s="155"/>
      <c r="G75" s="155"/>
      <c r="H75" s="155"/>
      <c r="I75" s="155"/>
      <c r="J75" s="155"/>
      <c r="K75" s="155"/>
      <c r="L75" s="155"/>
      <c r="M75" s="155"/>
      <c r="N75" s="155"/>
      <c r="O75" s="154"/>
    </row>
    <row r="76" spans="1:22" s="112" customFormat="1">
      <c r="A76" s="126" t="s">
        <v>453</v>
      </c>
      <c r="B76" s="161">
        <f t="shared" ref="B76:N76" si="11">SUM(B58:B75)</f>
        <v>8602770446</v>
      </c>
      <c r="C76" s="161">
        <f t="shared" si="11"/>
        <v>7652283994</v>
      </c>
      <c r="D76" s="161">
        <f t="shared" si="11"/>
        <v>7662445933</v>
      </c>
      <c r="E76" s="161">
        <f t="shared" si="11"/>
        <v>7853706898</v>
      </c>
      <c r="F76" s="161">
        <f t="shared" si="11"/>
        <v>8864946365</v>
      </c>
      <c r="G76" s="161">
        <f t="shared" si="11"/>
        <v>9721869953</v>
      </c>
      <c r="H76" s="161">
        <f t="shared" si="11"/>
        <v>10341278767</v>
      </c>
      <c r="I76" s="161">
        <f t="shared" si="11"/>
        <v>10480570003</v>
      </c>
      <c r="J76" s="161">
        <f t="shared" si="11"/>
        <v>10248259294</v>
      </c>
      <c r="K76" s="161">
        <f t="shared" si="11"/>
        <v>9451902191</v>
      </c>
      <c r="L76" s="161">
        <f t="shared" si="11"/>
        <v>8235753901</v>
      </c>
      <c r="M76" s="161">
        <f t="shared" si="11"/>
        <v>8130689441</v>
      </c>
      <c r="N76" s="161">
        <f t="shared" si="11"/>
        <v>107246477186</v>
      </c>
      <c r="O76" s="191">
        <f>+N76/$N$91</f>
        <v>0.94712265980806498</v>
      </c>
    </row>
    <row r="77" spans="1:22" s="112" customFormat="1">
      <c r="A77" s="125"/>
      <c r="B77" s="155"/>
      <c r="C77" s="155"/>
      <c r="D77" s="155"/>
      <c r="E77" s="155"/>
      <c r="F77" s="155"/>
      <c r="G77" s="155"/>
      <c r="H77" s="155"/>
      <c r="I77" s="155"/>
      <c r="J77" s="155"/>
      <c r="K77" s="155"/>
      <c r="L77" s="155"/>
      <c r="M77" s="155"/>
      <c r="N77" s="155"/>
      <c r="O77" s="125"/>
    </row>
    <row r="78" spans="1:22" s="112" customFormat="1">
      <c r="A78" s="42" t="s">
        <v>86</v>
      </c>
      <c r="B78" s="155"/>
      <c r="C78" s="155"/>
      <c r="D78" s="155"/>
      <c r="E78" s="155"/>
      <c r="F78" s="155"/>
      <c r="G78" s="155"/>
      <c r="H78" s="155"/>
      <c r="I78" s="155"/>
      <c r="J78" s="155"/>
      <c r="K78" s="155"/>
      <c r="L78" s="155"/>
      <c r="M78" s="155"/>
      <c r="N78" s="155"/>
      <c r="O78" s="125"/>
    </row>
    <row r="79" spans="1:22" s="112" customFormat="1">
      <c r="A79" s="163" t="s">
        <v>1055</v>
      </c>
      <c r="B79" s="162">
        <f>HLOOKUP($A79,Summary_Delivered_Sales!$A$5:$N$161,96+12+B$10,FALSE)*1000</f>
        <v>2927123.998252566</v>
      </c>
      <c r="C79" s="162">
        <f>HLOOKUP($A79,Summary_Delivered_Sales!$A$5:$N$161,96+12+C$10,FALSE)*1000</f>
        <v>0</v>
      </c>
      <c r="D79" s="162">
        <f>HLOOKUP($A79,Summary_Delivered_Sales!$A$5:$N$161,96+12+D$10,FALSE)*1000</f>
        <v>0</v>
      </c>
      <c r="E79" s="162">
        <f>HLOOKUP($A79,Summary_Delivered_Sales!$A$5:$N$161,96+12+E$10,FALSE)*1000</f>
        <v>0</v>
      </c>
      <c r="F79" s="162">
        <f>HLOOKUP($A79,Summary_Delivered_Sales!$A$5:$N$161,96+12+F$10,FALSE)*1000</f>
        <v>0</v>
      </c>
      <c r="G79" s="162">
        <f>HLOOKUP($A79,Summary_Delivered_Sales!$A$5:$N$161,96+12+G$10,FALSE)*1000</f>
        <v>0</v>
      </c>
      <c r="H79" s="162">
        <f>HLOOKUP($A79,Summary_Delivered_Sales!$A$5:$N$161,96+12+H$10,FALSE)*1000</f>
        <v>0</v>
      </c>
      <c r="I79" s="162">
        <f>HLOOKUP($A79,Summary_Delivered_Sales!$A$5:$N$161,96+12+I$10,FALSE)*1000</f>
        <v>0</v>
      </c>
      <c r="J79" s="162">
        <f>HLOOKUP($A79,Summary_Delivered_Sales!$A$5:$N$161,96+12+J$10,FALSE)*1000</f>
        <v>0</v>
      </c>
      <c r="K79" s="162">
        <f>HLOOKUP($A79,Summary_Delivered_Sales!$A$5:$N$161,96+12+K$10,FALSE)*1000</f>
        <v>0</v>
      </c>
      <c r="L79" s="162">
        <f>HLOOKUP($A79,Summary_Delivered_Sales!$A$5:$N$161,96+12+L$10,FALSE)*1000</f>
        <v>0</v>
      </c>
      <c r="M79" s="162">
        <f>HLOOKUP($A79,Summary_Delivered_Sales!$A$5:$N$161,96+12+M$10,FALSE)*1000</f>
        <v>0</v>
      </c>
      <c r="N79" s="162">
        <f t="shared" ref="N79:N84" si="12">SUM(B79:M79)</f>
        <v>2927123.998252566</v>
      </c>
      <c r="O79" s="159">
        <f>+N79/$N$91</f>
        <v>2.5850224077802074E-5</v>
      </c>
    </row>
    <row r="80" spans="1:22" s="112" customFormat="1">
      <c r="A80" s="163" t="s">
        <v>485</v>
      </c>
      <c r="B80" s="162">
        <f>HLOOKUP($A80,Summary_Delivered_Sales!$A$5:$N$161,96+12+B$10,FALSE)*1000</f>
        <v>56726099.68626795</v>
      </c>
      <c r="C80" s="162">
        <f>HLOOKUP($A80,Summary_Delivered_Sales!$A$5:$N$161,96+12+C$10,FALSE)*1000</f>
        <v>56898680.068652593</v>
      </c>
      <c r="D80" s="162">
        <f>HLOOKUP($A80,Summary_Delivered_Sales!$A$5:$N$161,96+12+D$10,FALSE)*1000</f>
        <v>53651942.578917503</v>
      </c>
      <c r="E80" s="162">
        <f>HLOOKUP($A80,Summary_Delivered_Sales!$A$5:$N$161,96+12+E$10,FALSE)*1000</f>
        <v>61310285.553964131</v>
      </c>
      <c r="F80" s="162">
        <f>HLOOKUP($A80,Summary_Delivered_Sales!$A$5:$N$161,96+12+F$10,FALSE)*1000</f>
        <v>64372571.632696867</v>
      </c>
      <c r="G80" s="162">
        <f>HLOOKUP($A80,Summary_Delivered_Sales!$A$5:$N$161,96+12+G$10,FALSE)*1000</f>
        <v>72852357.595788568</v>
      </c>
      <c r="H80" s="162">
        <f>HLOOKUP($A80,Summary_Delivered_Sales!$A$5:$N$161,96+12+H$10,FALSE)*1000</f>
        <v>79286019.678151041</v>
      </c>
      <c r="I80" s="162">
        <f>HLOOKUP($A80,Summary_Delivered_Sales!$A$5:$N$161,96+12+I$10,FALSE)*1000</f>
        <v>86702208.746304601</v>
      </c>
      <c r="J80" s="162">
        <f>HLOOKUP($A80,Summary_Delivered_Sales!$A$5:$N$161,96+12+J$10,FALSE)*1000</f>
        <v>85960980.486881137</v>
      </c>
      <c r="K80" s="162">
        <f>HLOOKUP($A80,Summary_Delivered_Sales!$A$5:$N$161,96+12+K$10,FALSE)*1000</f>
        <v>73136975.095376074</v>
      </c>
      <c r="L80" s="162">
        <f>HLOOKUP($A80,Summary_Delivered_Sales!$A$5:$N$161,96+12+L$10,FALSE)*1000</f>
        <v>67623525.068842202</v>
      </c>
      <c r="M80" s="162">
        <f>HLOOKUP($A80,Summary_Delivered_Sales!$A$5:$N$161,96+12+M$10,FALSE)*1000</f>
        <v>55652102.077390432</v>
      </c>
      <c r="N80" s="162">
        <f t="shared" si="12"/>
        <v>814173748.26923299</v>
      </c>
      <c r="O80" s="159">
        <f t="shared" ref="O80:O87" si="13">+N80/$N$91</f>
        <v>7.1901886778927273E-3</v>
      </c>
    </row>
    <row r="81" spans="1:15" s="112" customFormat="1">
      <c r="A81" s="163" t="s">
        <v>1057</v>
      </c>
      <c r="B81" s="162">
        <f>HLOOKUP($A81,Summary_Delivered_Sales!$A$5:$N$161,96+12+B$10,FALSE)*1000</f>
        <v>0</v>
      </c>
      <c r="C81" s="162">
        <f>HLOOKUP($A81,Summary_Delivered_Sales!$A$5:$N$161,96+12+C$10,FALSE)*1000</f>
        <v>84000</v>
      </c>
      <c r="D81" s="162">
        <f>HLOOKUP($A81,Summary_Delivered_Sales!$A$5:$N$161,96+12+D$10,FALSE)*1000</f>
        <v>0</v>
      </c>
      <c r="E81" s="162">
        <f>HLOOKUP($A81,Summary_Delivered_Sales!$A$5:$N$161,96+12+E$10,FALSE)*1000</f>
        <v>0</v>
      </c>
      <c r="F81" s="162">
        <f>HLOOKUP($A81,Summary_Delivered_Sales!$A$5:$N$161,96+12+F$10,FALSE)*1000</f>
        <v>0</v>
      </c>
      <c r="G81" s="162">
        <f>HLOOKUP($A81,Summary_Delivered_Sales!$A$5:$N$161,96+12+G$10,FALSE)*1000</f>
        <v>0</v>
      </c>
      <c r="H81" s="162">
        <f>HLOOKUP($A81,Summary_Delivered_Sales!$A$5:$N$161,96+12+H$10,FALSE)*1000</f>
        <v>0</v>
      </c>
      <c r="I81" s="162">
        <f>HLOOKUP($A81,Summary_Delivered_Sales!$A$5:$N$161,96+12+I$10,FALSE)*1000</f>
        <v>0</v>
      </c>
      <c r="J81" s="162">
        <f>HLOOKUP($A81,Summary_Delivered_Sales!$A$5:$N$161,96+12+J$10,FALSE)*1000</f>
        <v>84000</v>
      </c>
      <c r="K81" s="162">
        <f>HLOOKUP($A81,Summary_Delivered_Sales!$A$5:$N$161,96+12+K$10,FALSE)*1000</f>
        <v>0</v>
      </c>
      <c r="L81" s="162">
        <f>HLOOKUP($A81,Summary_Delivered_Sales!$A$5:$N$161,96+12+L$10,FALSE)*1000</f>
        <v>0</v>
      </c>
      <c r="M81" s="162">
        <f>HLOOKUP($A81,Summary_Delivered_Sales!$A$5:$N$161,96+12+M$10,FALSE)*1000</f>
        <v>0</v>
      </c>
      <c r="N81" s="162">
        <f t="shared" si="12"/>
        <v>168000</v>
      </c>
      <c r="O81" s="159">
        <f t="shared" si="13"/>
        <v>1.4836534590483134E-6</v>
      </c>
    </row>
    <row r="82" spans="1:15" s="112" customFormat="1">
      <c r="A82" s="163" t="s">
        <v>487</v>
      </c>
      <c r="B82" s="162">
        <f>HLOOKUP($A82,Summary_Delivered_Sales!$A$5:$N$161,96+12+B$10,FALSE)*1000</f>
        <v>286734034</v>
      </c>
      <c r="C82" s="162">
        <f>HLOOKUP($A82,Summary_Delivered_Sales!$A$5:$N$161,96+12+C$10,FALSE)*1000</f>
        <v>283976641</v>
      </c>
      <c r="D82" s="162">
        <f>HLOOKUP($A82,Summary_Delivered_Sales!$A$5:$N$161,96+12+D$10,FALSE)*1000</f>
        <v>275764422</v>
      </c>
      <c r="E82" s="162">
        <f>HLOOKUP($A82,Summary_Delivered_Sales!$A$5:$N$161,96+12+E$10,FALSE)*1000</f>
        <v>327267208</v>
      </c>
      <c r="F82" s="162">
        <f>HLOOKUP($A82,Summary_Delivered_Sales!$A$5:$N$161,96+12+F$10,FALSE)*1000</f>
        <v>357933924</v>
      </c>
      <c r="G82" s="162">
        <f>HLOOKUP($A82,Summary_Delivered_Sales!$A$5:$N$161,96+12+G$10,FALSE)*1000</f>
        <v>362782752</v>
      </c>
      <c r="H82" s="162">
        <f>HLOOKUP($A82,Summary_Delivered_Sales!$A$5:$N$161,96+12+H$10,FALSE)*1000</f>
        <v>374673121</v>
      </c>
      <c r="I82" s="162">
        <f>HLOOKUP($A82,Summary_Delivered_Sales!$A$5:$N$161,96+12+I$10,FALSE)*1000</f>
        <v>352543565</v>
      </c>
      <c r="J82" s="162">
        <f>HLOOKUP($A82,Summary_Delivered_Sales!$A$5:$N$161,96+12+J$10,FALSE)*1000</f>
        <v>378177521</v>
      </c>
      <c r="K82" s="162">
        <f>HLOOKUP($A82,Summary_Delivered_Sales!$A$5:$N$161,96+12+K$10,FALSE)*1000</f>
        <v>373296754</v>
      </c>
      <c r="L82" s="162">
        <f>HLOOKUP($A82,Summary_Delivered_Sales!$A$5:$N$161,96+12+L$10,FALSE)*1000</f>
        <v>341336638</v>
      </c>
      <c r="M82" s="162">
        <f>HLOOKUP($A82,Summary_Delivered_Sales!$A$5:$N$161,96+12+M$10,FALSE)*1000</f>
        <v>310714022</v>
      </c>
      <c r="N82" s="162">
        <f t="shared" si="12"/>
        <v>4025200602</v>
      </c>
      <c r="O82" s="159">
        <f t="shared" si="13"/>
        <v>3.5547635693575316E-2</v>
      </c>
    </row>
    <row r="83" spans="1:15" s="112" customFormat="1">
      <c r="A83" s="163" t="s">
        <v>1053</v>
      </c>
      <c r="B83" s="162">
        <f>HLOOKUP($A83,Summary_Delivered_Sales!$A$5:$N$161,96+12+B$10,FALSE)*1000</f>
        <v>18600000</v>
      </c>
      <c r="C83" s="162">
        <f>HLOOKUP($A83,Summary_Delivered_Sales!$A$5:$N$161,96+12+C$10,FALSE)*1000</f>
        <v>180000</v>
      </c>
      <c r="D83" s="162">
        <f>HLOOKUP($A83,Summary_Delivered_Sales!$A$5:$N$161,96+12+D$10,FALSE)*1000</f>
        <v>0</v>
      </c>
      <c r="E83" s="162">
        <f>HLOOKUP($A83,Summary_Delivered_Sales!$A$5:$N$161,96+12+E$10,FALSE)*1000</f>
        <v>0</v>
      </c>
      <c r="F83" s="162">
        <f>HLOOKUP($A83,Summary_Delivered_Sales!$A$5:$N$161,96+12+F$10,FALSE)*1000</f>
        <v>0</v>
      </c>
      <c r="G83" s="162">
        <f>HLOOKUP($A83,Summary_Delivered_Sales!$A$5:$N$161,96+12+G$10,FALSE)*1000</f>
        <v>0</v>
      </c>
      <c r="H83" s="162">
        <f>HLOOKUP($A83,Summary_Delivered_Sales!$A$5:$N$161,96+12+H$10,FALSE)*1000</f>
        <v>0</v>
      </c>
      <c r="I83" s="162">
        <f>HLOOKUP($A83,Summary_Delivered_Sales!$A$5:$N$161,96+12+I$10,FALSE)*1000</f>
        <v>0</v>
      </c>
      <c r="J83" s="162">
        <f>HLOOKUP($A83,Summary_Delivered_Sales!$A$5:$N$161,96+12+J$10,FALSE)*1000</f>
        <v>180000</v>
      </c>
      <c r="K83" s="162">
        <f>HLOOKUP($A83,Summary_Delivered_Sales!$A$5:$N$161,96+12+K$10,FALSE)*1000</f>
        <v>0</v>
      </c>
      <c r="L83" s="162">
        <f>HLOOKUP($A83,Summary_Delivered_Sales!$A$5:$N$161,96+12+L$10,FALSE)*1000</f>
        <v>0</v>
      </c>
      <c r="M83" s="162">
        <f>HLOOKUP($A83,Summary_Delivered_Sales!$A$5:$N$161,96+12+M$10,FALSE)*1000</f>
        <v>0</v>
      </c>
      <c r="N83" s="162">
        <f t="shared" si="12"/>
        <v>18960000</v>
      </c>
      <c r="O83" s="159">
        <f t="shared" si="13"/>
        <v>1.6744089037830964E-4</v>
      </c>
    </row>
    <row r="84" spans="1:15" s="112" customFormat="1">
      <c r="A84" s="163" t="s">
        <v>1058</v>
      </c>
      <c r="B84" s="162">
        <f>HLOOKUP($A84,Summary_Delivered_Sales!$A$5:$N$161,96+12+B$10,FALSE)*1000</f>
        <v>0</v>
      </c>
      <c r="C84" s="162">
        <f>HLOOKUP($A84,Summary_Delivered_Sales!$A$5:$N$161,96+12+C$10,FALSE)*1000</f>
        <v>76000</v>
      </c>
      <c r="D84" s="162">
        <f>HLOOKUP($A84,Summary_Delivered_Sales!$A$5:$N$161,96+12+D$10,FALSE)*1000</f>
        <v>0</v>
      </c>
      <c r="E84" s="162">
        <f>HLOOKUP($A84,Summary_Delivered_Sales!$A$5:$N$161,96+12+E$10,FALSE)*1000</f>
        <v>0</v>
      </c>
      <c r="F84" s="162">
        <f>HLOOKUP($A84,Summary_Delivered_Sales!$A$5:$N$161,96+12+F$10,FALSE)*1000</f>
        <v>0</v>
      </c>
      <c r="G84" s="162">
        <f>HLOOKUP($A84,Summary_Delivered_Sales!$A$5:$N$161,96+12+G$10,FALSE)*1000</f>
        <v>0</v>
      </c>
      <c r="H84" s="162">
        <f>HLOOKUP($A84,Summary_Delivered_Sales!$A$5:$N$161,96+12+H$10,FALSE)*1000</f>
        <v>0</v>
      </c>
      <c r="I84" s="162">
        <f>HLOOKUP($A84,Summary_Delivered_Sales!$A$5:$N$161,96+12+I$10,FALSE)*1000</f>
        <v>0</v>
      </c>
      <c r="J84" s="162">
        <f>HLOOKUP($A84,Summary_Delivered_Sales!$A$5:$N$161,96+12+J$10,FALSE)*1000</f>
        <v>76000</v>
      </c>
      <c r="K84" s="162">
        <f>HLOOKUP($A84,Summary_Delivered_Sales!$A$5:$N$161,96+12+K$10,FALSE)*1000</f>
        <v>0</v>
      </c>
      <c r="L84" s="162">
        <f>HLOOKUP($A84,Summary_Delivered_Sales!$A$5:$N$161,96+12+L$10,FALSE)*1000</f>
        <v>0</v>
      </c>
      <c r="M84" s="162">
        <f>HLOOKUP($A84,Summary_Delivered_Sales!$A$5:$N$161,96+12+M$10,FALSE)*1000</f>
        <v>0</v>
      </c>
      <c r="N84" s="162">
        <f t="shared" si="12"/>
        <v>152000</v>
      </c>
      <c r="O84" s="159">
        <f>+N84/$N$91</f>
        <v>1.3423531296151407E-6</v>
      </c>
    </row>
    <row r="85" spans="1:15" s="112" customFormat="1">
      <c r="A85" s="163" t="s">
        <v>489</v>
      </c>
      <c r="B85" s="162">
        <f>HLOOKUP($A85,Summary_Delivered_Sales!$A$5:$N$161,96+12+B$10,FALSE)*1000</f>
        <v>13575000</v>
      </c>
      <c r="C85" s="162">
        <f>HLOOKUP($A85,Summary_Delivered_Sales!$A$5:$N$161,96+12+C$10,FALSE)*1000</f>
        <v>73250000</v>
      </c>
      <c r="D85" s="162">
        <f>HLOOKUP($A85,Summary_Delivered_Sales!$A$5:$N$161,96+12+D$10,FALSE)*1000</f>
        <v>85800000</v>
      </c>
      <c r="E85" s="162">
        <f>HLOOKUP($A85,Summary_Delivered_Sales!$A$5:$N$161,96+12+E$10,FALSE)*1000</f>
        <v>111860000</v>
      </c>
      <c r="F85" s="162">
        <f>HLOOKUP($A85,Summary_Delivered_Sales!$A$5:$N$161,96+12+F$10,FALSE)*1000</f>
        <v>125830000</v>
      </c>
      <c r="G85" s="162">
        <f>HLOOKUP($A85,Summary_Delivered_Sales!$A$5:$N$161,96+12+G$10,FALSE)*1000</f>
        <v>113525000</v>
      </c>
      <c r="H85" s="162">
        <f>HLOOKUP($A85,Summary_Delivered_Sales!$A$5:$N$161,96+12+H$10,FALSE)*1000</f>
        <v>115975000</v>
      </c>
      <c r="I85" s="162">
        <f>HLOOKUP($A85,Summary_Delivered_Sales!$A$5:$N$161,96+12+I$10,FALSE)*1000</f>
        <v>144250000</v>
      </c>
      <c r="J85" s="162">
        <f>HLOOKUP($A85,Summary_Delivered_Sales!$A$5:$N$161,96+12+J$10,FALSE)*1000</f>
        <v>96050000</v>
      </c>
      <c r="K85" s="162">
        <f>HLOOKUP($A85,Summary_Delivered_Sales!$A$5:$N$161,96+12+K$10,FALSE)*1000</f>
        <v>91130000</v>
      </c>
      <c r="L85" s="162">
        <f>HLOOKUP($A85,Summary_Delivered_Sales!$A$5:$N$161,96+12+L$10,FALSE)*1000</f>
        <v>87075000</v>
      </c>
      <c r="M85" s="162">
        <f>HLOOKUP($A85,Summary_Delivered_Sales!$A$5:$N$161,96+12+M$10,FALSE)*1000</f>
        <v>44020000</v>
      </c>
      <c r="N85" s="162">
        <f t="shared" ref="N85:N86" si="14">SUM(B85:M85)</f>
        <v>1102340000</v>
      </c>
      <c r="O85" s="159">
        <f t="shared" si="13"/>
        <v>9.7350628217102251E-3</v>
      </c>
    </row>
    <row r="86" spans="1:15" s="112" customFormat="1">
      <c r="A86" s="163" t="s">
        <v>1054</v>
      </c>
      <c r="B86" s="162">
        <f>HLOOKUP($A86,Summary_Delivered_Sales!$A$5:$N$161,96+12+B$10,FALSE)*1000</f>
        <v>4479042.2992308391</v>
      </c>
      <c r="C86" s="162">
        <f>HLOOKUP($A86,Summary_Delivered_Sales!$A$5:$N$161,96+12+C$10,FALSE)*1000</f>
        <v>0</v>
      </c>
      <c r="D86" s="162">
        <f>HLOOKUP($A86,Summary_Delivered_Sales!$A$5:$N$161,96+12+D$10,FALSE)*1000</f>
        <v>0</v>
      </c>
      <c r="E86" s="162">
        <f>HLOOKUP($A86,Summary_Delivered_Sales!$A$5:$N$161,96+12+E$10,FALSE)*1000</f>
        <v>0</v>
      </c>
      <c r="F86" s="162">
        <f>HLOOKUP($A86,Summary_Delivered_Sales!$A$5:$N$161,96+12+F$10,FALSE)*1000</f>
        <v>0</v>
      </c>
      <c r="G86" s="162">
        <f>HLOOKUP($A86,Summary_Delivered_Sales!$A$5:$N$161,96+12+G$10,FALSE)*1000</f>
        <v>0</v>
      </c>
      <c r="H86" s="162">
        <f>HLOOKUP($A86,Summary_Delivered_Sales!$A$5:$N$161,96+12+H$10,FALSE)*1000</f>
        <v>0</v>
      </c>
      <c r="I86" s="162">
        <f>HLOOKUP($A86,Summary_Delivered_Sales!$A$5:$N$161,96+12+I$10,FALSE)*1000</f>
        <v>0</v>
      </c>
      <c r="J86" s="162">
        <f>HLOOKUP($A86,Summary_Delivered_Sales!$A$5:$N$161,96+12+J$10,FALSE)*1000</f>
        <v>0</v>
      </c>
      <c r="K86" s="162">
        <f>HLOOKUP($A86,Summary_Delivered_Sales!$A$5:$N$161,96+12+K$10,FALSE)*1000</f>
        <v>0</v>
      </c>
      <c r="L86" s="162">
        <f>HLOOKUP($A86,Summary_Delivered_Sales!$A$5:$N$161,96+12+L$10,FALSE)*1000</f>
        <v>0</v>
      </c>
      <c r="M86" s="162">
        <f>HLOOKUP($A86,Summary_Delivered_Sales!$A$5:$N$161,96+12+M$10,FALSE)*1000</f>
        <v>0</v>
      </c>
      <c r="N86" s="162">
        <f t="shared" si="14"/>
        <v>4479042.2992308391</v>
      </c>
      <c r="O86" s="159">
        <f t="shared" si="13"/>
        <v>3.955563452665205E-5</v>
      </c>
    </row>
    <row r="87" spans="1:15" s="112" customFormat="1">
      <c r="A87" s="163" t="s">
        <v>1056</v>
      </c>
      <c r="B87" s="162">
        <f>HLOOKUP($A87,Summary_Delivered_Sales!$A$5:$N$161,96+12+B$10,FALSE)*1000</f>
        <v>18631660.261500016</v>
      </c>
      <c r="C87" s="162">
        <f>HLOOKUP($A87,Summary_Delivered_Sales!$A$5:$N$161,96+12+C$10,FALSE)*1000</f>
        <v>240000</v>
      </c>
      <c r="D87" s="162">
        <f>HLOOKUP($A87,Summary_Delivered_Sales!$A$5:$N$161,96+12+D$10,FALSE)*1000</f>
        <v>0</v>
      </c>
      <c r="E87" s="162">
        <f>HLOOKUP($A87,Summary_Delivered_Sales!$A$5:$N$161,96+12+E$10,FALSE)*1000</f>
        <v>0</v>
      </c>
      <c r="F87" s="162">
        <f>HLOOKUP($A87,Summary_Delivered_Sales!$A$5:$N$161,96+12+F$10,FALSE)*1000</f>
        <v>0</v>
      </c>
      <c r="G87" s="162">
        <f>HLOOKUP($A87,Summary_Delivered_Sales!$A$5:$N$161,96+12+G$10,FALSE)*1000</f>
        <v>0</v>
      </c>
      <c r="H87" s="162">
        <f>HLOOKUP($A87,Summary_Delivered_Sales!$A$5:$N$161,96+12+H$10,FALSE)*1000</f>
        <v>0</v>
      </c>
      <c r="I87" s="162">
        <f>HLOOKUP($A87,Summary_Delivered_Sales!$A$5:$N$161,96+12+I$10,FALSE)*1000</f>
        <v>0</v>
      </c>
      <c r="J87" s="162">
        <f>HLOOKUP($A87,Summary_Delivered_Sales!$A$5:$N$161,96+12+J$10,FALSE)*1000</f>
        <v>240000</v>
      </c>
      <c r="K87" s="162">
        <f>HLOOKUP($A87,Summary_Delivered_Sales!$A$5:$N$161,96+12+K$10,FALSE)*1000</f>
        <v>0</v>
      </c>
      <c r="L87" s="162">
        <f>HLOOKUP($A87,Summary_Delivered_Sales!$A$5:$N$161,96+12+L$10,FALSE)*1000</f>
        <v>0</v>
      </c>
      <c r="M87" s="162">
        <f>HLOOKUP($A87,Summary_Delivered_Sales!$A$5:$N$161,96+12+M$10,FALSE)*1000</f>
        <v>0</v>
      </c>
      <c r="N87" s="162">
        <f>SUM(B87:M87)</f>
        <v>19111660.261500016</v>
      </c>
      <c r="O87" s="159">
        <f t="shared" si="13"/>
        <v>1.6878024318530172E-4</v>
      </c>
    </row>
    <row r="88" spans="1:15" s="112" customFormat="1">
      <c r="A88" s="125"/>
      <c r="B88" s="155"/>
      <c r="C88" s="155"/>
      <c r="D88" s="155"/>
      <c r="E88" s="155"/>
      <c r="F88" s="155"/>
      <c r="G88" s="155"/>
      <c r="H88" s="155"/>
      <c r="I88" s="155"/>
      <c r="J88" s="155"/>
      <c r="K88" s="155"/>
      <c r="L88" s="155"/>
      <c r="M88" s="155"/>
      <c r="N88" s="155"/>
      <c r="O88" s="159"/>
    </row>
    <row r="89" spans="1:15" s="112" customFormat="1">
      <c r="A89" s="126" t="s">
        <v>453</v>
      </c>
      <c r="B89" s="161">
        <f t="shared" ref="B89:N89" si="15">SUM(B79:B88)</f>
        <v>401672960.2452513</v>
      </c>
      <c r="C89" s="161">
        <f t="shared" si="15"/>
        <v>414705321.06865257</v>
      </c>
      <c r="D89" s="161">
        <f t="shared" si="15"/>
        <v>415216364.5789175</v>
      </c>
      <c r="E89" s="161">
        <f t="shared" si="15"/>
        <v>500437493.55396414</v>
      </c>
      <c r="F89" s="161">
        <f t="shared" si="15"/>
        <v>548136495.63269687</v>
      </c>
      <c r="G89" s="161">
        <f t="shared" si="15"/>
        <v>549160109.5957886</v>
      </c>
      <c r="H89" s="161">
        <f t="shared" si="15"/>
        <v>569934140.67815101</v>
      </c>
      <c r="I89" s="161">
        <f t="shared" si="15"/>
        <v>583495773.74630463</v>
      </c>
      <c r="J89" s="161">
        <f t="shared" si="15"/>
        <v>560768501.48688114</v>
      </c>
      <c r="K89" s="161">
        <f t="shared" si="15"/>
        <v>537563729.09537601</v>
      </c>
      <c r="L89" s="161">
        <f t="shared" si="15"/>
        <v>496035163.06884217</v>
      </c>
      <c r="M89" s="161">
        <f t="shared" si="15"/>
        <v>410386124.07739043</v>
      </c>
      <c r="N89" s="161">
        <f t="shared" si="15"/>
        <v>5987512176.8282166</v>
      </c>
      <c r="O89" s="191">
        <f>+N89/$N$91</f>
        <v>5.2877340191934998E-2</v>
      </c>
    </row>
    <row r="90" spans="1:15" s="112" customFormat="1">
      <c r="A90" s="125"/>
      <c r="B90" s="155"/>
      <c r="C90" s="155"/>
      <c r="D90" s="155"/>
      <c r="E90" s="155"/>
      <c r="F90" s="155"/>
      <c r="G90" s="155"/>
      <c r="H90" s="155"/>
      <c r="I90" s="155"/>
      <c r="J90" s="155"/>
      <c r="K90" s="155"/>
      <c r="L90" s="155"/>
      <c r="M90" s="155"/>
      <c r="N90" s="155"/>
      <c r="O90" s="125"/>
    </row>
    <row r="91" spans="1:15" s="112" customFormat="1" ht="13.8" thickBot="1">
      <c r="A91" s="126" t="s">
        <v>452</v>
      </c>
      <c r="B91" s="160">
        <f t="shared" ref="B91:N91" si="16">+B76+B89</f>
        <v>9004443406.2452507</v>
      </c>
      <c r="C91" s="160">
        <f t="shared" si="16"/>
        <v>8066989315.0686522</v>
      </c>
      <c r="D91" s="160">
        <f t="shared" si="16"/>
        <v>8077662297.5789175</v>
      </c>
      <c r="E91" s="160">
        <f t="shared" si="16"/>
        <v>8354144391.5539646</v>
      </c>
      <c r="F91" s="160">
        <f t="shared" si="16"/>
        <v>9413082860.6326962</v>
      </c>
      <c r="G91" s="160">
        <f t="shared" si="16"/>
        <v>10271030062.595789</v>
      </c>
      <c r="H91" s="160">
        <f t="shared" si="16"/>
        <v>10911212907.67815</v>
      </c>
      <c r="I91" s="160">
        <f t="shared" si="16"/>
        <v>11064065776.746305</v>
      </c>
      <c r="J91" s="160">
        <f t="shared" si="16"/>
        <v>10809027795.486881</v>
      </c>
      <c r="K91" s="160">
        <f t="shared" si="16"/>
        <v>9989465920.0953751</v>
      </c>
      <c r="L91" s="160">
        <f t="shared" si="16"/>
        <v>8731789064.0688419</v>
      </c>
      <c r="M91" s="160">
        <f t="shared" si="16"/>
        <v>8541075565.0773907</v>
      </c>
      <c r="N91" s="160">
        <f t="shared" si="16"/>
        <v>113233989362.82822</v>
      </c>
      <c r="O91" s="192">
        <f>+N91/$N$91</f>
        <v>1</v>
      </c>
    </row>
    <row r="92" spans="1:15" s="112" customFormat="1" ht="13.8" thickTop="1">
      <c r="B92" s="156"/>
      <c r="C92" s="156"/>
      <c r="D92" s="156"/>
      <c r="E92" s="156"/>
      <c r="F92" s="156"/>
      <c r="G92" s="156"/>
      <c r="H92" s="156"/>
      <c r="I92" s="156"/>
      <c r="J92" s="156"/>
      <c r="K92" s="156"/>
      <c r="L92" s="156"/>
      <c r="M92" s="156"/>
      <c r="N92" s="156"/>
    </row>
    <row r="93" spans="1:15" s="112" customFormat="1">
      <c r="B93" s="156"/>
      <c r="C93" s="156"/>
      <c r="D93" s="156"/>
      <c r="E93" s="156"/>
      <c r="F93" s="156"/>
      <c r="G93" s="156"/>
      <c r="H93" s="156"/>
      <c r="I93" s="156"/>
      <c r="J93" s="156"/>
      <c r="K93" s="156"/>
      <c r="L93" s="156"/>
      <c r="M93" s="156"/>
      <c r="N93" s="156"/>
    </row>
    <row r="94" spans="1:15" s="112" customFormat="1">
      <c r="B94" s="156"/>
      <c r="C94" s="156"/>
      <c r="D94" s="156"/>
      <c r="E94" s="156"/>
      <c r="F94" s="156"/>
      <c r="G94" s="156"/>
      <c r="H94" s="156"/>
      <c r="I94" s="156"/>
      <c r="J94" s="156"/>
      <c r="K94" s="156"/>
      <c r="L94" s="156"/>
      <c r="M94" s="156"/>
      <c r="N94" s="156"/>
    </row>
    <row r="95" spans="1:15" s="112" customFormat="1">
      <c r="B95" s="156"/>
      <c r="C95" s="156"/>
      <c r="D95" s="156"/>
      <c r="E95" s="156"/>
      <c r="F95" s="156"/>
      <c r="G95" s="156"/>
      <c r="H95" s="156"/>
      <c r="I95" s="156"/>
      <c r="J95" s="156"/>
      <c r="K95" s="156"/>
      <c r="L95" s="156"/>
      <c r="M95" s="156"/>
      <c r="N95" s="156"/>
    </row>
    <row r="96" spans="1:15" s="112" customFormat="1">
      <c r="B96" s="156"/>
      <c r="C96" s="156"/>
      <c r="D96" s="156"/>
      <c r="E96" s="156"/>
      <c r="F96" s="156"/>
      <c r="G96" s="156"/>
      <c r="H96" s="156"/>
      <c r="I96" s="156"/>
      <c r="J96" s="156"/>
      <c r="K96" s="156"/>
      <c r="L96" s="156"/>
      <c r="M96" s="156"/>
      <c r="N96" s="156"/>
    </row>
    <row r="97" spans="1:15" s="112" customFormat="1" ht="21">
      <c r="A97" s="124" t="s">
        <v>457</v>
      </c>
      <c r="B97" s="165"/>
      <c r="C97"/>
      <c r="D97" s="165"/>
      <c r="E97" s="165"/>
      <c r="F97" s="165"/>
      <c r="G97" s="165"/>
      <c r="H97" s="165"/>
      <c r="I97" s="165"/>
      <c r="J97" s="165"/>
      <c r="K97" s="165"/>
      <c r="L97" s="165"/>
      <c r="M97" s="165"/>
      <c r="N97" s="165"/>
      <c r="O97" s="172"/>
    </row>
    <row r="98" spans="1:15" s="112" customFormat="1" ht="21">
      <c r="A98" s="124" t="str">
        <f>MANUAL!$B$11&amp;" - SUBSEQUENT YEAR"</f>
        <v>2018 - SUBSEQUENT YEAR</v>
      </c>
      <c r="B98" s="165"/>
      <c r="C98"/>
      <c r="D98" s="165"/>
      <c r="E98" s="165"/>
      <c r="F98" s="165"/>
      <c r="G98" s="165"/>
      <c r="H98" s="165"/>
      <c r="I98" s="165"/>
      <c r="J98" s="165"/>
      <c r="K98" s="165"/>
      <c r="L98" s="165"/>
      <c r="M98" s="165"/>
      <c r="N98" s="165"/>
      <c r="O98" s="172"/>
    </row>
    <row r="99" spans="1:15" s="112" customFormat="1" ht="21.6" thickBot="1">
      <c r="A99" s="124"/>
      <c r="B99" s="165"/>
      <c r="C99"/>
      <c r="D99" s="165"/>
      <c r="E99" s="165"/>
      <c r="F99" s="165"/>
      <c r="G99" s="165"/>
      <c r="H99" s="165"/>
      <c r="I99" s="165"/>
      <c r="J99" s="165"/>
      <c r="K99" s="165"/>
      <c r="L99" s="165"/>
      <c r="M99" s="165"/>
      <c r="N99" s="165"/>
      <c r="O99" s="172"/>
    </row>
    <row r="100" spans="1:15" s="112" customFormat="1" ht="13.8" thickBot="1">
      <c r="A100" s="168"/>
      <c r="B100" s="572" t="s">
        <v>339</v>
      </c>
      <c r="C100" s="573"/>
      <c r="D100" s="574"/>
      <c r="E100" s="575" t="s">
        <v>340</v>
      </c>
      <c r="F100" s="576"/>
      <c r="G100" s="576"/>
      <c r="H100" s="576"/>
      <c r="I100" s="576"/>
      <c r="J100" s="576"/>
      <c r="K100" s="577"/>
      <c r="L100" s="572" t="s">
        <v>339</v>
      </c>
      <c r="M100" s="574"/>
      <c r="N100" s="166"/>
      <c r="O100" s="164"/>
    </row>
    <row r="101" spans="1:15" s="112" customFormat="1" ht="13.8" thickBot="1">
      <c r="A101" s="171" t="s">
        <v>454</v>
      </c>
      <c r="B101" s="100" t="s">
        <v>70</v>
      </c>
      <c r="C101" s="100" t="s">
        <v>71</v>
      </c>
      <c r="D101" s="100" t="s">
        <v>72</v>
      </c>
      <c r="E101" s="103" t="s">
        <v>73</v>
      </c>
      <c r="F101" s="103" t="s">
        <v>74</v>
      </c>
      <c r="G101" s="103" t="s">
        <v>75</v>
      </c>
      <c r="H101" s="103" t="s">
        <v>76</v>
      </c>
      <c r="I101" s="103" t="s">
        <v>77</v>
      </c>
      <c r="J101" s="103" t="s">
        <v>78</v>
      </c>
      <c r="K101" s="103" t="s">
        <v>79</v>
      </c>
      <c r="L101" s="100" t="s">
        <v>80</v>
      </c>
      <c r="M101" s="100" t="s">
        <v>81</v>
      </c>
      <c r="N101" s="170" t="s">
        <v>60</v>
      </c>
      <c r="O101" s="348" t="s">
        <v>455</v>
      </c>
    </row>
    <row r="102" spans="1:15" s="112" customFormat="1">
      <c r="A102" s="168"/>
      <c r="B102" s="167"/>
      <c r="C102" s="167"/>
      <c r="D102" s="167"/>
      <c r="E102" s="167"/>
      <c r="F102" s="167"/>
      <c r="G102" s="167"/>
      <c r="H102" s="167"/>
      <c r="I102" s="167"/>
      <c r="J102" s="167"/>
      <c r="K102" s="167"/>
      <c r="L102" s="167"/>
      <c r="M102" s="167"/>
      <c r="N102" s="166"/>
      <c r="O102" s="164"/>
    </row>
    <row r="103" spans="1:15" s="112" customFormat="1">
      <c r="A103" s="42" t="s">
        <v>83</v>
      </c>
      <c r="B103" s="81"/>
      <c r="C103" s="81"/>
      <c r="D103" s="81"/>
      <c r="E103" s="81"/>
      <c r="F103" s="81"/>
      <c r="G103" s="81"/>
      <c r="H103" s="81"/>
      <c r="I103" s="81"/>
      <c r="J103" s="81"/>
      <c r="K103" s="81"/>
      <c r="L103" s="81"/>
      <c r="M103" s="81"/>
      <c r="N103" s="81"/>
      <c r="O103" s="81"/>
    </row>
    <row r="104" spans="1:15" s="112" customFormat="1">
      <c r="A104" s="163" t="s">
        <v>84</v>
      </c>
      <c r="B104" s="162">
        <f>+'CILC-1D'!C$29</f>
        <v>230147593</v>
      </c>
      <c r="C104" s="162">
        <f>+'CILC-1D'!D$29</f>
        <v>211718578</v>
      </c>
      <c r="D104" s="162">
        <f>+'CILC-1D'!E$29</f>
        <v>213057450</v>
      </c>
      <c r="E104" s="162">
        <f>+'CILC-1D'!F$29</f>
        <v>214749441</v>
      </c>
      <c r="F104" s="162">
        <f>+'CILC-1D'!G$29</f>
        <v>221607313</v>
      </c>
      <c r="G104" s="162">
        <f>+'CILC-1D'!H$29</f>
        <v>229312876</v>
      </c>
      <c r="H104" s="162">
        <f>+'CILC-1D'!I$29</f>
        <v>236244446</v>
      </c>
      <c r="I104" s="162">
        <f>+'CILC-1D'!J$29</f>
        <v>234641096</v>
      </c>
      <c r="J104" s="162">
        <f>+'CILC-1D'!K$29</f>
        <v>232382963</v>
      </c>
      <c r="K104" s="162">
        <f>+'CILC-1D'!L$29</f>
        <v>224910929</v>
      </c>
      <c r="L104" s="162">
        <f>+'CILC-1D'!M$29</f>
        <v>214593858</v>
      </c>
      <c r="M104" s="162">
        <f>+'CILC-1D'!N$29</f>
        <v>223591082</v>
      </c>
      <c r="N104" s="162">
        <f t="shared" ref="N104:N120" si="17">SUM(B104:M104)</f>
        <v>2686957625</v>
      </c>
      <c r="O104" s="159">
        <f>+N104/$N$137</f>
        <v>2.3596338770469696E-2</v>
      </c>
    </row>
    <row r="105" spans="1:15" s="112" customFormat="1">
      <c r="A105" s="163" t="s">
        <v>85</v>
      </c>
      <c r="B105" s="162">
        <f>+'CILC-1G'!C$29</f>
        <v>8755599</v>
      </c>
      <c r="C105" s="162">
        <f>+'CILC-1G'!D$29</f>
        <v>8087536</v>
      </c>
      <c r="D105" s="162">
        <f>+'CILC-1G'!E$29</f>
        <v>8039075</v>
      </c>
      <c r="E105" s="162">
        <f>+'CILC-1G'!F$29</f>
        <v>8072692</v>
      </c>
      <c r="F105" s="162">
        <f>+'CILC-1G'!G$29</f>
        <v>8360935</v>
      </c>
      <c r="G105" s="162">
        <f>+'CILC-1G'!H$29</f>
        <v>8568523</v>
      </c>
      <c r="H105" s="162">
        <f>+'CILC-1G'!I$29</f>
        <v>8766288</v>
      </c>
      <c r="I105" s="162">
        <f>+'CILC-1G'!J$29</f>
        <v>8786960</v>
      </c>
      <c r="J105" s="162">
        <f>+'CILC-1G'!K$29</f>
        <v>8748441</v>
      </c>
      <c r="K105" s="162">
        <f>+'CILC-1G'!L$29</f>
        <v>8495696</v>
      </c>
      <c r="L105" s="162">
        <f>+'CILC-1G'!M$29</f>
        <v>8190030</v>
      </c>
      <c r="M105" s="162">
        <f>+'CILC-1G'!N$29</f>
        <v>8636760</v>
      </c>
      <c r="N105" s="162">
        <f t="shared" si="17"/>
        <v>101508535</v>
      </c>
      <c r="O105" s="159">
        <f t="shared" ref="O105:O120" si="18">+N105/$N$137</f>
        <v>8.9142819286332437E-4</v>
      </c>
    </row>
    <row r="106" spans="1:15" s="112" customFormat="1">
      <c r="A106" s="163" t="s">
        <v>50</v>
      </c>
      <c r="B106" s="162">
        <f>+'CILC-1T'!C$29</f>
        <v>127991407</v>
      </c>
      <c r="C106" s="162">
        <f>+'CILC-1T'!D$29</f>
        <v>119297338</v>
      </c>
      <c r="D106" s="162">
        <f>+'CILC-1T'!E$29</f>
        <v>120875493</v>
      </c>
      <c r="E106" s="162">
        <f>+'CILC-1T'!F$29</f>
        <v>125583003</v>
      </c>
      <c r="F106" s="162">
        <f>+'CILC-1T'!G$29</f>
        <v>124861170</v>
      </c>
      <c r="G106" s="162">
        <f>+'CILC-1T'!H$29</f>
        <v>129581872</v>
      </c>
      <c r="H106" s="162">
        <f>+'CILC-1T'!I$29</f>
        <v>130185341</v>
      </c>
      <c r="I106" s="162">
        <f>+'CILC-1T'!J$29</f>
        <v>129273135</v>
      </c>
      <c r="J106" s="162">
        <f>+'CILC-1T'!K$29</f>
        <v>132412807</v>
      </c>
      <c r="K106" s="162">
        <f>+'CILC-1T'!L$29</f>
        <v>128676900</v>
      </c>
      <c r="L106" s="162">
        <f>+'CILC-1T'!M$29</f>
        <v>131665175</v>
      </c>
      <c r="M106" s="162">
        <f>+'CILC-1T'!N$29</f>
        <v>132017750</v>
      </c>
      <c r="N106" s="162">
        <f t="shared" si="17"/>
        <v>1532421391</v>
      </c>
      <c r="O106" s="159">
        <f t="shared" si="18"/>
        <v>1.3457426326606249E-2</v>
      </c>
    </row>
    <row r="107" spans="1:15" s="112" customFormat="1">
      <c r="A107" s="163" t="s">
        <v>49</v>
      </c>
      <c r="B107" s="162">
        <f>+'GS(T)-1'!C$29</f>
        <v>474911913</v>
      </c>
      <c r="C107" s="162">
        <f>+'GS(T)-1'!D$29</f>
        <v>423086514</v>
      </c>
      <c r="D107" s="162">
        <f>+'GS(T)-1'!E$29</f>
        <v>438581362</v>
      </c>
      <c r="E107" s="162">
        <f>+'GS(T)-1'!F$29</f>
        <v>455379730</v>
      </c>
      <c r="F107" s="162">
        <f>+'GS(T)-1'!G$29</f>
        <v>508865785</v>
      </c>
      <c r="G107" s="162">
        <f>+'GS(T)-1'!H$29</f>
        <v>544347197</v>
      </c>
      <c r="H107" s="162">
        <f>+'GS(T)-1'!I$29</f>
        <v>574359053</v>
      </c>
      <c r="I107" s="162">
        <f>+'GS(T)-1'!J$29</f>
        <v>574291634</v>
      </c>
      <c r="J107" s="162">
        <f>+'GS(T)-1'!K$29</f>
        <v>558012811</v>
      </c>
      <c r="K107" s="162">
        <f>+'GS(T)-1'!L$29</f>
        <v>518024824</v>
      </c>
      <c r="L107" s="162">
        <f>+'GS(T)-1'!M$29</f>
        <v>466858900</v>
      </c>
      <c r="M107" s="162">
        <f>+'GS(T)-1'!N$29</f>
        <v>465071362</v>
      </c>
      <c r="N107" s="162">
        <f t="shared" si="17"/>
        <v>6001791085</v>
      </c>
      <c r="O107" s="159">
        <f t="shared" si="18"/>
        <v>5.270656089012378E-2</v>
      </c>
    </row>
    <row r="108" spans="1:15" s="112" customFormat="1">
      <c r="A108" s="163" t="s">
        <v>325</v>
      </c>
      <c r="B108" s="162">
        <f>+'GSCU-1'!C$29</f>
        <v>5891638</v>
      </c>
      <c r="C108" s="162">
        <f>+'GSCU-1'!D$29</f>
        <v>5897018</v>
      </c>
      <c r="D108" s="162">
        <f>+'GSCU-1'!E$29</f>
        <v>5902398</v>
      </c>
      <c r="E108" s="162">
        <f>+'GSCU-1'!F$29</f>
        <v>5908854</v>
      </c>
      <c r="F108" s="162">
        <f>+'GSCU-1'!G$29</f>
        <v>5915310</v>
      </c>
      <c r="G108" s="162">
        <f>+'GSCU-1'!H$29</f>
        <v>5921228</v>
      </c>
      <c r="H108" s="162">
        <f>+'GSCU-1'!I$29</f>
        <v>5927146</v>
      </c>
      <c r="I108" s="162">
        <f>+'GSCU-1'!J$29</f>
        <v>5932526</v>
      </c>
      <c r="J108" s="162">
        <f>+'GSCU-1'!K$29</f>
        <v>5938444</v>
      </c>
      <c r="K108" s="162">
        <f>+'GSCU-1'!L$29</f>
        <v>5943824</v>
      </c>
      <c r="L108" s="162">
        <f>+'GSCU-1'!M$29</f>
        <v>5949204</v>
      </c>
      <c r="M108" s="162">
        <f>+'GSCU-1'!N$29</f>
        <v>5954584</v>
      </c>
      <c r="N108" s="162">
        <f t="shared" si="17"/>
        <v>71082174</v>
      </c>
      <c r="O108" s="159">
        <f t="shared" si="18"/>
        <v>6.2422981391285358E-4</v>
      </c>
    </row>
    <row r="109" spans="1:15" s="112" customFormat="1">
      <c r="A109" s="163" t="s">
        <v>67</v>
      </c>
      <c r="B109" s="162">
        <f>+'GSD(T)-1'!C$29</f>
        <v>2126959738</v>
      </c>
      <c r="C109" s="162">
        <f>+'GSD(T)-1'!D$29</f>
        <v>1873797784</v>
      </c>
      <c r="D109" s="162">
        <f>+'GSD(T)-1'!E$29</f>
        <v>1930704311</v>
      </c>
      <c r="E109" s="162">
        <f>+'GSD(T)-1'!F$29</f>
        <v>1991087521</v>
      </c>
      <c r="F109" s="162">
        <f>+'GSD(T)-1'!G$29</f>
        <v>2189052499</v>
      </c>
      <c r="G109" s="162">
        <f>+'GSD(T)-1'!H$29</f>
        <v>2306918989</v>
      </c>
      <c r="H109" s="162">
        <f>+'GSD(T)-1'!I$29</f>
        <v>2395264761</v>
      </c>
      <c r="I109" s="162">
        <f>+'GSD(T)-1'!J$29</f>
        <v>2388332886</v>
      </c>
      <c r="J109" s="162">
        <f>+'GSD(T)-1'!K$29</f>
        <v>2366641005</v>
      </c>
      <c r="K109" s="162">
        <f>+'GSD(T)-1'!L$29</f>
        <v>2236585324</v>
      </c>
      <c r="L109" s="162">
        <f>+'GSD(T)-1'!M$29</f>
        <v>2059115027</v>
      </c>
      <c r="M109" s="162">
        <f>+'GSD(T)-1'!N$29</f>
        <v>2085282411</v>
      </c>
      <c r="N109" s="162">
        <f t="shared" si="17"/>
        <v>25949742256</v>
      </c>
      <c r="O109" s="159">
        <f t="shared" si="18"/>
        <v>0.22788558464108588</v>
      </c>
    </row>
    <row r="110" spans="1:15" s="112" customFormat="1">
      <c r="A110" s="163" t="s">
        <v>68</v>
      </c>
      <c r="B110" s="162">
        <f>+'GSLD(T)-1'!C$29</f>
        <v>870597168</v>
      </c>
      <c r="C110" s="162">
        <f>+'GSLD(T)-1'!D$29</f>
        <v>784006470</v>
      </c>
      <c r="D110" s="162">
        <f>+'GSLD(T)-1'!E$29</f>
        <v>803735942</v>
      </c>
      <c r="E110" s="162">
        <f>+'GSLD(T)-1'!F$29</f>
        <v>818611119</v>
      </c>
      <c r="F110" s="162">
        <f>+'GSLD(T)-1'!G$29</f>
        <v>897899840</v>
      </c>
      <c r="G110" s="162">
        <f>+'GSLD(T)-1'!H$29</f>
        <v>923960089</v>
      </c>
      <c r="H110" s="162">
        <f>+'GSLD(T)-1'!I$29</f>
        <v>939148073</v>
      </c>
      <c r="I110" s="162">
        <f>+'GSLD(T)-1'!J$29</f>
        <v>946418138</v>
      </c>
      <c r="J110" s="162">
        <f>+'GSLD(T)-1'!K$29</f>
        <v>949043502</v>
      </c>
      <c r="K110" s="162">
        <f>+'GSLD(T)-1'!L$29</f>
        <v>915120924</v>
      </c>
      <c r="L110" s="162">
        <f>+'GSLD(T)-1'!M$29</f>
        <v>844793003</v>
      </c>
      <c r="M110" s="162">
        <f>+'GSLD(T)-1'!N$29</f>
        <v>868293213</v>
      </c>
      <c r="N110" s="162">
        <f t="shared" si="17"/>
        <v>10561627481</v>
      </c>
      <c r="O110" s="159">
        <f t="shared" si="18"/>
        <v>9.2750156418703655E-2</v>
      </c>
    </row>
    <row r="111" spans="1:15" s="112" customFormat="1">
      <c r="A111" s="163" t="s">
        <v>69</v>
      </c>
      <c r="B111" s="162">
        <f>+'GSLD(T)-2'!C$29</f>
        <v>213349844</v>
      </c>
      <c r="C111" s="162">
        <f>+'GSLD(T)-2'!D$29</f>
        <v>188241092</v>
      </c>
      <c r="D111" s="162">
        <f>+'GSLD(T)-2'!E$29</f>
        <v>193060457</v>
      </c>
      <c r="E111" s="162">
        <f>+'GSLD(T)-2'!F$29</f>
        <v>194555503</v>
      </c>
      <c r="F111" s="162">
        <f>+'GSLD(T)-2'!G$29</f>
        <v>208135640</v>
      </c>
      <c r="G111" s="162">
        <f>+'GSLD(T)-2'!H$29</f>
        <v>219534845</v>
      </c>
      <c r="H111" s="162">
        <f>+'GSLD(T)-2'!I$29</f>
        <v>224959658</v>
      </c>
      <c r="I111" s="162">
        <f>+'GSLD(T)-2'!J$29</f>
        <v>227679903</v>
      </c>
      <c r="J111" s="162">
        <f>+'GSLD(T)-2'!K$29</f>
        <v>221058338</v>
      </c>
      <c r="K111" s="162">
        <f>+'GSLD(T)-2'!L$29</f>
        <v>212178164</v>
      </c>
      <c r="L111" s="162">
        <f>+'GSLD(T)-2'!M$29</f>
        <v>201348538</v>
      </c>
      <c r="M111" s="162">
        <f>+'GSLD(T)-2'!N$29</f>
        <v>207329605</v>
      </c>
      <c r="N111" s="162">
        <f t="shared" si="17"/>
        <v>2511431587</v>
      </c>
      <c r="O111" s="159">
        <f t="shared" si="18"/>
        <v>2.2054903275860311E-2</v>
      </c>
    </row>
    <row r="112" spans="1:15" s="112" customFormat="1">
      <c r="A112" s="163" t="s">
        <v>52</v>
      </c>
      <c r="B112" s="162">
        <f>+'GSLD(T)-3'!C$29</f>
        <v>15425108</v>
      </c>
      <c r="C112" s="162">
        <f>+'GSLD(T)-3'!D$29</f>
        <v>16748922</v>
      </c>
      <c r="D112" s="162">
        <f>+'GSLD(T)-3'!E$29</f>
        <v>15198299</v>
      </c>
      <c r="E112" s="162">
        <f>+'GSLD(T)-3'!F$29</f>
        <v>15447726</v>
      </c>
      <c r="F112" s="162">
        <f>+'GSLD(T)-3'!G$29</f>
        <v>16458422</v>
      </c>
      <c r="G112" s="162">
        <f>+'GSLD(T)-3'!H$29</f>
        <v>16352543</v>
      </c>
      <c r="H112" s="162">
        <f>+'GSLD(T)-3'!I$29</f>
        <v>13949252</v>
      </c>
      <c r="I112" s="162">
        <f>+'GSLD(T)-3'!J$29</f>
        <v>14409104</v>
      </c>
      <c r="J112" s="162">
        <f>+'GSLD(T)-3'!K$29</f>
        <v>13006701</v>
      </c>
      <c r="K112" s="162">
        <f>+'GSLD(T)-3'!L$29</f>
        <v>13385730</v>
      </c>
      <c r="L112" s="162">
        <f>+'GSLD(T)-3'!M$29</f>
        <v>12175178</v>
      </c>
      <c r="M112" s="162">
        <f>+'GSLD(T)-3'!N$29</f>
        <v>13225543</v>
      </c>
      <c r="N112" s="162">
        <f t="shared" si="17"/>
        <v>175782528</v>
      </c>
      <c r="O112" s="159">
        <f t="shared" si="18"/>
        <v>1.5436879398563553E-3</v>
      </c>
    </row>
    <row r="113" spans="1:15" s="112" customFormat="1">
      <c r="A113" s="163" t="s">
        <v>15</v>
      </c>
      <c r="B113" s="162">
        <f>+MET!C$29</f>
        <v>7738456</v>
      </c>
      <c r="C113" s="162">
        <f>+MET!D$29</f>
        <v>7064794</v>
      </c>
      <c r="D113" s="162">
        <f>+MET!E$29</f>
        <v>6633200</v>
      </c>
      <c r="E113" s="162">
        <f>+MET!F$29</f>
        <v>7682281</v>
      </c>
      <c r="F113" s="162">
        <f>+MET!G$29</f>
        <v>7861525</v>
      </c>
      <c r="G113" s="162">
        <f>+MET!H$29</f>
        <v>7721438</v>
      </c>
      <c r="H113" s="162">
        <f>+MET!I$29</f>
        <v>8117627</v>
      </c>
      <c r="I113" s="162">
        <f>+MET!J$29</f>
        <v>8140185</v>
      </c>
      <c r="J113" s="162">
        <f>+MET!K$29</f>
        <v>8081455</v>
      </c>
      <c r="K113" s="162">
        <f>+MET!L$29</f>
        <v>8007930</v>
      </c>
      <c r="L113" s="162">
        <f>+MET!M$29</f>
        <v>7271090</v>
      </c>
      <c r="M113" s="162">
        <f>+MET!N$29</f>
        <v>6921163</v>
      </c>
      <c r="N113" s="162">
        <f>SUM(B113:M113)</f>
        <v>91241144</v>
      </c>
      <c r="O113" s="159">
        <f t="shared" si="18"/>
        <v>8.0126196393931167E-4</v>
      </c>
    </row>
    <row r="114" spans="1:15" s="112" customFormat="1">
      <c r="A114" s="163" t="s">
        <v>56</v>
      </c>
      <c r="B114" s="162">
        <f>+'OL-1'!C$29</f>
        <v>8131916</v>
      </c>
      <c r="C114" s="162">
        <f>+'OL-1'!D$29</f>
        <v>8127852</v>
      </c>
      <c r="D114" s="162">
        <f>+'OL-1'!E$29</f>
        <v>8123788</v>
      </c>
      <c r="E114" s="162">
        <f>+'OL-1'!F$29</f>
        <v>8119724</v>
      </c>
      <c r="F114" s="162">
        <f>+'OL-1'!G$29</f>
        <v>8115660</v>
      </c>
      <c r="G114" s="162">
        <f>+'OL-1'!H$29</f>
        <v>8111596</v>
      </c>
      <c r="H114" s="162">
        <f>+'OL-1'!I$29</f>
        <v>8107532</v>
      </c>
      <c r="I114" s="162">
        <f>+'OL-1'!J$29</f>
        <v>8103468</v>
      </c>
      <c r="J114" s="162">
        <f>+'OL-1'!K$29</f>
        <v>8099404</v>
      </c>
      <c r="K114" s="162">
        <f>+'OL-1'!L$29</f>
        <v>8095340</v>
      </c>
      <c r="L114" s="162">
        <f>+'OL-1'!M$29</f>
        <v>8091276</v>
      </c>
      <c r="M114" s="162">
        <f>+'OL-1'!N$29</f>
        <v>8087212</v>
      </c>
      <c r="N114" s="162">
        <f t="shared" si="17"/>
        <v>97314768</v>
      </c>
      <c r="O114" s="159">
        <f t="shared" si="18"/>
        <v>8.5459934750465737E-4</v>
      </c>
    </row>
    <row r="115" spans="1:15" s="112" customFormat="1">
      <c r="A115" s="163" t="s">
        <v>57</v>
      </c>
      <c r="B115" s="162">
        <f>+'OS-2'!C$29</f>
        <v>867864</v>
      </c>
      <c r="C115" s="162">
        <f>+'OS-2'!D$29</f>
        <v>984899</v>
      </c>
      <c r="D115" s="162">
        <f>+'OS-2'!E$29</f>
        <v>1053975</v>
      </c>
      <c r="E115" s="162">
        <f>+'OS-2'!F$29</f>
        <v>905029</v>
      </c>
      <c r="F115" s="162">
        <f>+'OS-2'!G$29</f>
        <v>867571</v>
      </c>
      <c r="G115" s="162">
        <f>+'OS-2'!H$29</f>
        <v>826700</v>
      </c>
      <c r="H115" s="162">
        <f>+'OS-2'!I$29</f>
        <v>716833</v>
      </c>
      <c r="I115" s="162">
        <f>+'OS-2'!J$29</f>
        <v>721114</v>
      </c>
      <c r="J115" s="162">
        <f>+'OS-2'!K$29</f>
        <v>913339</v>
      </c>
      <c r="K115" s="162">
        <f>+'OS-2'!L$29</f>
        <v>937603</v>
      </c>
      <c r="L115" s="162">
        <f>+'OS-2'!M$29</f>
        <v>1080423</v>
      </c>
      <c r="M115" s="162">
        <f>+'OS-2'!N$29</f>
        <v>944116</v>
      </c>
      <c r="N115" s="162">
        <f t="shared" si="17"/>
        <v>10819466</v>
      </c>
      <c r="O115" s="159">
        <f t="shared" si="18"/>
        <v>9.5014444097003091E-5</v>
      </c>
    </row>
    <row r="116" spans="1:15" s="112" customFormat="1">
      <c r="A116" s="163" t="s">
        <v>48</v>
      </c>
      <c r="B116" s="162">
        <f>+'RS(T)-1'!C$29</f>
        <v>4480547058</v>
      </c>
      <c r="C116" s="162">
        <f>+'RS(T)-1'!D$29</f>
        <v>3970626763</v>
      </c>
      <c r="D116" s="162">
        <f>+'RS(T)-1'!E$29</f>
        <v>3898615460</v>
      </c>
      <c r="E116" s="162">
        <f>+'RS(T)-1'!F$29</f>
        <v>4003806466</v>
      </c>
      <c r="F116" s="162">
        <f>+'RS(T)-1'!G$29</f>
        <v>4668629145</v>
      </c>
      <c r="G116" s="162">
        <f>+'RS(T)-1'!H$29</f>
        <v>5326911058</v>
      </c>
      <c r="H116" s="162">
        <f>+'RS(T)-1'!I$29</f>
        <v>5797588974</v>
      </c>
      <c r="I116" s="162">
        <f>+'RS(T)-1'!J$29</f>
        <v>5927891677</v>
      </c>
      <c r="J116" s="162">
        <f>+'RS(T)-1'!K$29</f>
        <v>5743314788</v>
      </c>
      <c r="K116" s="162">
        <f>+'RS(T)-1'!L$29</f>
        <v>5166360566</v>
      </c>
      <c r="L116" s="162">
        <f>+'RS(T)-1'!M$29</f>
        <v>4269989489</v>
      </c>
      <c r="M116" s="162">
        <f>+'RS(T)-1'!N$29</f>
        <v>4106934435</v>
      </c>
      <c r="N116" s="162">
        <f t="shared" si="17"/>
        <v>57361215879</v>
      </c>
      <c r="O116" s="159">
        <f t="shared" si="18"/>
        <v>0.50373503086671478</v>
      </c>
    </row>
    <row r="117" spans="1:15" s="112" customFormat="1">
      <c r="A117" s="163" t="s">
        <v>53</v>
      </c>
      <c r="B117" s="162">
        <f>+'SL-1'!C$29</f>
        <v>49954501</v>
      </c>
      <c r="C117" s="162">
        <f>+'SL-1'!D$29</f>
        <v>46262213</v>
      </c>
      <c r="D117" s="162">
        <f>+'SL-1'!E$29</f>
        <v>46526540</v>
      </c>
      <c r="E117" s="162">
        <f>+'SL-1'!F$29</f>
        <v>48037603</v>
      </c>
      <c r="F117" s="162">
        <f>+'SL-1'!G$29</f>
        <v>47848318</v>
      </c>
      <c r="G117" s="162">
        <f>+'SL-1'!H$29</f>
        <v>45261755</v>
      </c>
      <c r="H117" s="162">
        <f>+'SL-1'!I$29</f>
        <v>46811116</v>
      </c>
      <c r="I117" s="162">
        <f>+'SL-1'!J$29</f>
        <v>53380049</v>
      </c>
      <c r="J117" s="162">
        <f>+'SL-1'!K$29</f>
        <v>47321203</v>
      </c>
      <c r="K117" s="162">
        <f>+'SL-1'!L$29</f>
        <v>44630969</v>
      </c>
      <c r="L117" s="162">
        <f>+'SL-1'!M$29</f>
        <v>44174215</v>
      </c>
      <c r="M117" s="162">
        <f>+'SL-1'!N$29</f>
        <v>50751782</v>
      </c>
      <c r="N117" s="162">
        <f t="shared" si="17"/>
        <v>570960264</v>
      </c>
      <c r="O117" s="159">
        <f t="shared" si="18"/>
        <v>5.0140618848876764E-3</v>
      </c>
    </row>
    <row r="118" spans="1:15" s="112" customFormat="1">
      <c r="A118" s="163" t="s">
        <v>55</v>
      </c>
      <c r="B118" s="162">
        <f>+'SL-2'!C$29</f>
        <v>2756550</v>
      </c>
      <c r="C118" s="162">
        <f>+'SL-2'!D$29</f>
        <v>2762564</v>
      </c>
      <c r="D118" s="162">
        <f>+'SL-2'!E$29</f>
        <v>2767409</v>
      </c>
      <c r="E118" s="162">
        <f>+'SL-2'!F$29</f>
        <v>2773427</v>
      </c>
      <c r="F118" s="162">
        <f>+'SL-2'!G$29</f>
        <v>2782214</v>
      </c>
      <c r="G118" s="162">
        <f>+'SL-2'!H$29</f>
        <v>2787074</v>
      </c>
      <c r="H118" s="162">
        <f>+'SL-2'!I$29</f>
        <v>2793102</v>
      </c>
      <c r="I118" s="162">
        <f>+'SL-2'!J$29</f>
        <v>2796116</v>
      </c>
      <c r="J118" s="162">
        <f>+'SL-2'!K$29</f>
        <v>2800286</v>
      </c>
      <c r="K118" s="162">
        <f>+'SL-2'!L$29</f>
        <v>2808172</v>
      </c>
      <c r="L118" s="162">
        <f>+'SL-2'!M$29</f>
        <v>2812118</v>
      </c>
      <c r="M118" s="162">
        <f>+'SL-2'!N$29</f>
        <v>2816280</v>
      </c>
      <c r="N118" s="162">
        <f t="shared" si="17"/>
        <v>33455312</v>
      </c>
      <c r="O118" s="159">
        <f t="shared" si="18"/>
        <v>2.937980369615096E-4</v>
      </c>
    </row>
    <row r="119" spans="1:15" s="112" customFormat="1">
      <c r="A119" s="163" t="s">
        <v>87</v>
      </c>
      <c r="B119" s="162">
        <f>+'SST-1D'!C$29</f>
        <v>602856</v>
      </c>
      <c r="C119" s="162">
        <f>+'SST-1D'!D$29</f>
        <v>685784</v>
      </c>
      <c r="D119" s="162">
        <f>+'SST-1D'!E$29</f>
        <v>666585</v>
      </c>
      <c r="E119" s="162">
        <f>+'SST-1D'!F$29</f>
        <v>1230699</v>
      </c>
      <c r="F119" s="162">
        <f>+'SST-1D'!G$29</f>
        <v>1462083</v>
      </c>
      <c r="G119" s="162">
        <f>+'SST-1D'!H$29</f>
        <v>1187857</v>
      </c>
      <c r="H119" s="162">
        <f>+'SST-1D'!I$29</f>
        <v>1087713</v>
      </c>
      <c r="I119" s="162">
        <f>+'SST-1D'!J$29</f>
        <v>1181803</v>
      </c>
      <c r="J119" s="162">
        <f>+'SST-1D'!K$29</f>
        <v>1205075</v>
      </c>
      <c r="K119" s="162">
        <f>+'SST-1D'!L$29</f>
        <v>1239312</v>
      </c>
      <c r="L119" s="162">
        <f>+'SST-1D'!M$29</f>
        <v>799615</v>
      </c>
      <c r="M119" s="162">
        <f>+'SST-1D'!N$29</f>
        <v>507544</v>
      </c>
      <c r="N119" s="162">
        <f t="shared" si="17"/>
        <v>11856926</v>
      </c>
      <c r="O119" s="159">
        <f t="shared" si="18"/>
        <v>1.0412521584607803E-4</v>
      </c>
    </row>
    <row r="120" spans="1:15" s="112" customFormat="1">
      <c r="A120" s="163" t="s">
        <v>88</v>
      </c>
      <c r="B120" s="162">
        <f>+'SST-1T'!C$29</f>
        <v>5811710</v>
      </c>
      <c r="C120" s="162">
        <f>+'SST-1T'!D$29</f>
        <v>6787344</v>
      </c>
      <c r="D120" s="162">
        <f>+'SST-1T'!E$29</f>
        <v>8318048</v>
      </c>
      <c r="E120" s="162">
        <f>+'SST-1T'!F$29</f>
        <v>7683818</v>
      </c>
      <c r="F120" s="162">
        <f>+'SST-1T'!G$29</f>
        <v>10687136</v>
      </c>
      <c r="G120" s="162">
        <f>+'SST-1T'!H$29</f>
        <v>7415962</v>
      </c>
      <c r="H120" s="162">
        <f>+'SST-1T'!I$29</f>
        <v>7202482</v>
      </c>
      <c r="I120" s="162">
        <f>+'SST-1T'!J$29</f>
        <v>6421378</v>
      </c>
      <c r="J120" s="162">
        <f>+'SST-1T'!K$29</f>
        <v>4740820</v>
      </c>
      <c r="K120" s="162">
        <f>+'SST-1T'!L$29</f>
        <v>9837782</v>
      </c>
      <c r="L120" s="162">
        <f>+'SST-1T'!M$29</f>
        <v>9758504</v>
      </c>
      <c r="M120" s="162">
        <f>+'SST-1T'!N$29</f>
        <v>5002770</v>
      </c>
      <c r="N120" s="162">
        <f t="shared" si="17"/>
        <v>89667754</v>
      </c>
      <c r="O120" s="159">
        <f t="shared" si="18"/>
        <v>7.8744475926416564E-4</v>
      </c>
    </row>
    <row r="121" spans="1:15" s="112" customFormat="1">
      <c r="A121" s="154"/>
      <c r="B121" s="155"/>
      <c r="C121" s="155"/>
      <c r="D121" s="155"/>
      <c r="E121" s="155"/>
      <c r="F121" s="155"/>
      <c r="G121" s="155"/>
      <c r="H121" s="155"/>
      <c r="I121" s="155"/>
      <c r="J121" s="155"/>
      <c r="K121" s="155"/>
      <c r="L121" s="155"/>
      <c r="M121" s="155"/>
      <c r="N121" s="155"/>
      <c r="O121" s="154"/>
    </row>
    <row r="122" spans="1:15" s="112" customFormat="1">
      <c r="A122" s="126" t="s">
        <v>453</v>
      </c>
      <c r="B122" s="161">
        <f t="shared" ref="B122:N122" si="19">SUM(B104:B121)</f>
        <v>8630440919</v>
      </c>
      <c r="C122" s="161">
        <f t="shared" si="19"/>
        <v>7674183465</v>
      </c>
      <c r="D122" s="161">
        <f t="shared" si="19"/>
        <v>7701859792</v>
      </c>
      <c r="E122" s="161">
        <f t="shared" si="19"/>
        <v>7909634636</v>
      </c>
      <c r="F122" s="161">
        <f t="shared" si="19"/>
        <v>8929410566</v>
      </c>
      <c r="G122" s="161">
        <f t="shared" si="19"/>
        <v>9784721602</v>
      </c>
      <c r="H122" s="161">
        <f t="shared" si="19"/>
        <v>10401229397</v>
      </c>
      <c r="I122" s="161">
        <f t="shared" si="19"/>
        <v>10538401172</v>
      </c>
      <c r="J122" s="161">
        <f t="shared" si="19"/>
        <v>10303721382</v>
      </c>
      <c r="K122" s="161">
        <f t="shared" si="19"/>
        <v>9505239989</v>
      </c>
      <c r="L122" s="161">
        <f t="shared" si="19"/>
        <v>8288665643</v>
      </c>
      <c r="M122" s="161">
        <f t="shared" si="19"/>
        <v>8191367612</v>
      </c>
      <c r="N122" s="161">
        <f t="shared" si="19"/>
        <v>107858876175</v>
      </c>
      <c r="O122" s="191">
        <f>+N122/$N$137</f>
        <v>0.94719565278869733</v>
      </c>
    </row>
    <row r="123" spans="1:15" s="112" customFormat="1">
      <c r="A123" s="125"/>
      <c r="B123" s="155"/>
      <c r="C123" s="155"/>
      <c r="D123" s="155"/>
      <c r="E123" s="155"/>
      <c r="F123" s="155"/>
      <c r="G123" s="155"/>
      <c r="H123" s="155"/>
      <c r="I123" s="155"/>
      <c r="J123" s="155"/>
      <c r="K123" s="155"/>
      <c r="L123" s="155"/>
      <c r="M123" s="155"/>
      <c r="N123" s="155"/>
      <c r="O123" s="125"/>
    </row>
    <row r="124" spans="1:15" s="112" customFormat="1">
      <c r="A124" s="42" t="s">
        <v>86</v>
      </c>
      <c r="B124" s="155"/>
      <c r="C124" s="155"/>
      <c r="D124" s="155"/>
      <c r="E124" s="155"/>
      <c r="F124" s="155"/>
      <c r="G124" s="155"/>
      <c r="H124" s="155"/>
      <c r="I124" s="155"/>
      <c r="J124" s="155"/>
      <c r="K124" s="155"/>
      <c r="L124" s="155"/>
      <c r="M124" s="155"/>
      <c r="N124" s="155"/>
      <c r="O124" s="125"/>
    </row>
    <row r="125" spans="1:15" s="112" customFormat="1">
      <c r="A125" s="163" t="s">
        <v>1055</v>
      </c>
      <c r="B125" s="162">
        <f>HLOOKUP($A125,Summary_Delivered_Sales!$A$5:$N$161,96+24+B$10,FALSE)*1000</f>
        <v>0</v>
      </c>
      <c r="C125" s="162">
        <f>HLOOKUP($A125,Summary_Delivered_Sales!$A$5:$N$161,96+24+C$10,FALSE)*1000</f>
        <v>0</v>
      </c>
      <c r="D125" s="162">
        <f>HLOOKUP($A125,Summary_Delivered_Sales!$A$5:$N$161,96+24+D$10,FALSE)*1000</f>
        <v>0</v>
      </c>
      <c r="E125" s="162">
        <f>HLOOKUP($A125,Summary_Delivered_Sales!$A$5:$N$161,96+24+E$10,FALSE)*1000</f>
        <v>0</v>
      </c>
      <c r="F125" s="162">
        <f>HLOOKUP($A125,Summary_Delivered_Sales!$A$5:$N$161,96+24+F$10,FALSE)*1000</f>
        <v>0</v>
      </c>
      <c r="G125" s="162">
        <f>HLOOKUP($A125,Summary_Delivered_Sales!$A$5:$N$161,96+24+G$10,FALSE)*1000</f>
        <v>0</v>
      </c>
      <c r="H125" s="162">
        <f>HLOOKUP($A125,Summary_Delivered_Sales!$A$5:$N$161,96+24+H$10,FALSE)*1000</f>
        <v>0</v>
      </c>
      <c r="I125" s="162">
        <f>HLOOKUP($A125,Summary_Delivered_Sales!$A$5:$N$161,96+24+I$10,FALSE)*1000</f>
        <v>0</v>
      </c>
      <c r="J125" s="162">
        <f>HLOOKUP($A125,Summary_Delivered_Sales!$A$5:$N$161,96+24+J$10,FALSE)*1000</f>
        <v>0</v>
      </c>
      <c r="K125" s="162">
        <f>HLOOKUP($A125,Summary_Delivered_Sales!$A$5:$N$161,96+24+K$10,FALSE)*1000</f>
        <v>0</v>
      </c>
      <c r="L125" s="162">
        <f>HLOOKUP($A125,Summary_Delivered_Sales!$A$5:$N$161,96+24+L$10,FALSE)*1000</f>
        <v>0</v>
      </c>
      <c r="M125" s="162">
        <f>HLOOKUP($A125,Summary_Delivered_Sales!$A$5:$N$161,96+24+M$10,FALSE)*1000</f>
        <v>0</v>
      </c>
      <c r="N125" s="162">
        <f>SUM(B125:M125)</f>
        <v>0</v>
      </c>
      <c r="O125" s="159">
        <f>+N125/$N$137</f>
        <v>0</v>
      </c>
    </row>
    <row r="126" spans="1:15" s="112" customFormat="1">
      <c r="A126" s="163" t="s">
        <v>485</v>
      </c>
      <c r="B126" s="162">
        <f>HLOOKUP($A126,Summary_Delivered_Sales!$A$5:$N$161,96+24+B$10,FALSE)*1000</f>
        <v>57423516.574453846</v>
      </c>
      <c r="C126" s="162">
        <f>HLOOKUP($A126,Summary_Delivered_Sales!$A$5:$N$161,96+24+C$10,FALSE)*1000</f>
        <v>57598218.739825688</v>
      </c>
      <c r="D126" s="162">
        <f>HLOOKUP($A126,Summary_Delivered_Sales!$A$5:$N$161,96+24+D$10,FALSE)*1000</f>
        <v>54311564.358758911</v>
      </c>
      <c r="E126" s="162">
        <f>HLOOKUP($A126,Summary_Delivered_Sales!$A$5:$N$161,96+24+E$10,FALSE)*1000</f>
        <v>62064062.542005226</v>
      </c>
      <c r="F126" s="162">
        <f>HLOOKUP($A126,Summary_Delivered_Sales!$A$5:$N$161,96+24+F$10,FALSE)*1000</f>
        <v>65163997.781169876</v>
      </c>
      <c r="G126" s="162">
        <f>HLOOKUP($A126,Summary_Delivered_Sales!$A$5:$N$161,96+24+G$10,FALSE)*1000</f>
        <v>73748038.152224928</v>
      </c>
      <c r="H126" s="162">
        <f>HLOOKUP($A126,Summary_Delivered_Sales!$A$5:$N$161,96+24+H$10,FALSE)*1000</f>
        <v>80260798.649848387</v>
      </c>
      <c r="I126" s="162">
        <f>HLOOKUP($A126,Summary_Delivered_Sales!$A$5:$N$161,96+24+I$10,FALSE)*1000</f>
        <v>87768165.774147451</v>
      </c>
      <c r="J126" s="162">
        <f>HLOOKUP($A126,Summary_Delivered_Sales!$A$5:$N$161,96+24+J$10,FALSE)*1000</f>
        <v>87017824.511909038</v>
      </c>
      <c r="K126" s="162">
        <f>HLOOKUP($A126,Summary_Delivered_Sales!$A$5:$N$161,96+24+K$10,FALSE)*1000</f>
        <v>74036154.870901763</v>
      </c>
      <c r="L126" s="162">
        <f>HLOOKUP($A126,Summary_Delivered_Sales!$A$5:$N$161,96+24+L$10,FALSE)*1000</f>
        <v>68454919.941440672</v>
      </c>
      <c r="M126" s="162">
        <f>HLOOKUP($A126,Summary_Delivered_Sales!$A$5:$N$161,96+24+M$10,FALSE)*1000</f>
        <v>56336314.742574126</v>
      </c>
      <c r="N126" s="162">
        <f>SUM(B126:M126)</f>
        <v>824183576.63925982</v>
      </c>
      <c r="O126" s="159">
        <f t="shared" ref="O126:O133" si="20">+N126/$N$137</f>
        <v>7.2378197194075018E-3</v>
      </c>
    </row>
    <row r="127" spans="1:15" s="112" customFormat="1">
      <c r="A127" s="163" t="s">
        <v>1057</v>
      </c>
      <c r="B127" s="162">
        <f>HLOOKUP($A127,Summary_Delivered_Sales!$A$5:$N$161,96+24+B$10,FALSE)*1000</f>
        <v>0</v>
      </c>
      <c r="C127" s="162">
        <f>HLOOKUP($A127,Summary_Delivered_Sales!$A$5:$N$161,96+24+C$10,FALSE)*1000</f>
        <v>96000</v>
      </c>
      <c r="D127" s="162">
        <f>HLOOKUP($A127,Summary_Delivered_Sales!$A$5:$N$161,96+24+D$10,FALSE)*1000</f>
        <v>0</v>
      </c>
      <c r="E127" s="162">
        <f>HLOOKUP($A127,Summary_Delivered_Sales!$A$5:$N$161,96+24+E$10,FALSE)*1000</f>
        <v>0</v>
      </c>
      <c r="F127" s="162">
        <f>HLOOKUP($A127,Summary_Delivered_Sales!$A$5:$N$161,96+24+F$10,FALSE)*1000</f>
        <v>0</v>
      </c>
      <c r="G127" s="162">
        <f>HLOOKUP($A127,Summary_Delivered_Sales!$A$5:$N$161,96+24+G$10,FALSE)*1000</f>
        <v>0</v>
      </c>
      <c r="H127" s="162">
        <f>HLOOKUP($A127,Summary_Delivered_Sales!$A$5:$N$161,96+24+H$10,FALSE)*1000</f>
        <v>0</v>
      </c>
      <c r="I127" s="162">
        <f>HLOOKUP($A127,Summary_Delivered_Sales!$A$5:$N$161,96+24+I$10,FALSE)*1000</f>
        <v>0</v>
      </c>
      <c r="J127" s="162">
        <f>HLOOKUP($A127,Summary_Delivered_Sales!$A$5:$N$161,96+24+J$10,FALSE)*1000</f>
        <v>96000</v>
      </c>
      <c r="K127" s="162">
        <f>HLOOKUP($A127,Summary_Delivered_Sales!$A$5:$N$161,96+24+K$10,FALSE)*1000</f>
        <v>0</v>
      </c>
      <c r="L127" s="162">
        <f>HLOOKUP($A127,Summary_Delivered_Sales!$A$5:$N$161,96+24+L$10,FALSE)*1000</f>
        <v>0</v>
      </c>
      <c r="M127" s="162">
        <f>HLOOKUP($A127,Summary_Delivered_Sales!$A$5:$N$161,96+24+M$10,FALSE)*1000</f>
        <v>0</v>
      </c>
      <c r="N127" s="162">
        <f t="shared" ref="N127:N132" si="21">SUM(B127:M127)</f>
        <v>192000</v>
      </c>
      <c r="O127" s="159">
        <f t="shared" si="20"/>
        <v>1.6861066217708519E-6</v>
      </c>
    </row>
    <row r="128" spans="1:15" s="112" customFormat="1">
      <c r="A128" s="163" t="s">
        <v>487</v>
      </c>
      <c r="B128" s="162">
        <f>HLOOKUP($A128,Summary_Delivered_Sales!$A$5:$N$161,96+24+B$10,FALSE)*1000</f>
        <v>291035044</v>
      </c>
      <c r="C128" s="162">
        <f>HLOOKUP($A128,Summary_Delivered_Sales!$A$5:$N$161,96+24+C$10,FALSE)*1000</f>
        <v>288236292</v>
      </c>
      <c r="D128" s="162">
        <f>HLOOKUP($A128,Summary_Delivered_Sales!$A$5:$N$161,96+24+D$10,FALSE)*1000</f>
        <v>279900889</v>
      </c>
      <c r="E128" s="162">
        <f>HLOOKUP($A128,Summary_Delivered_Sales!$A$5:$N$161,96+24+E$10,FALSE)*1000</f>
        <v>332176215</v>
      </c>
      <c r="F128" s="162">
        <f>HLOOKUP($A128,Summary_Delivered_Sales!$A$5:$N$161,96+24+F$10,FALSE)*1000</f>
        <v>363302933</v>
      </c>
      <c r="G128" s="162">
        <f>HLOOKUP($A128,Summary_Delivered_Sales!$A$5:$N$161,96+24+G$10,FALSE)*1000</f>
        <v>368224494</v>
      </c>
      <c r="H128" s="162">
        <f>HLOOKUP($A128,Summary_Delivered_Sales!$A$5:$N$161,96+24+H$10,FALSE)*1000</f>
        <v>380293219</v>
      </c>
      <c r="I128" s="162">
        <f>HLOOKUP($A128,Summary_Delivered_Sales!$A$5:$N$161,96+24+I$10,FALSE)*1000</f>
        <v>357831718</v>
      </c>
      <c r="J128" s="162">
        <f>HLOOKUP($A128,Summary_Delivered_Sales!$A$5:$N$161,96+24+J$10,FALSE)*1000</f>
        <v>383850184</v>
      </c>
      <c r="K128" s="162">
        <f>HLOOKUP($A128,Summary_Delivered_Sales!$A$5:$N$161,96+24+K$10,FALSE)*1000</f>
        <v>378896205</v>
      </c>
      <c r="L128" s="162">
        <f>HLOOKUP($A128,Summary_Delivered_Sales!$A$5:$N$161,96+24+L$10,FALSE)*1000</f>
        <v>346456688</v>
      </c>
      <c r="M128" s="162">
        <f>HLOOKUP($A128,Summary_Delivered_Sales!$A$5:$N$161,96+24+M$10,FALSE)*1000</f>
        <v>315374732</v>
      </c>
      <c r="N128" s="162">
        <f t="shared" si="21"/>
        <v>4085578613</v>
      </c>
      <c r="O128" s="159">
        <f t="shared" si="20"/>
        <v>3.587875600596184E-2</v>
      </c>
    </row>
    <row r="129" spans="1:15" s="112" customFormat="1">
      <c r="A129" s="163" t="s">
        <v>1053</v>
      </c>
      <c r="B129" s="162">
        <f>HLOOKUP($A129,Summary_Delivered_Sales!$A$5:$N$161,96+24+B$10,FALSE)*1000</f>
        <v>0</v>
      </c>
      <c r="C129" s="162">
        <f>HLOOKUP($A129,Summary_Delivered_Sales!$A$5:$N$161,96+24+C$10,FALSE)*1000</f>
        <v>0</v>
      </c>
      <c r="D129" s="162">
        <f>HLOOKUP($A129,Summary_Delivered_Sales!$A$5:$N$161,96+24+D$10,FALSE)*1000</f>
        <v>0</v>
      </c>
      <c r="E129" s="162">
        <f>HLOOKUP($A129,Summary_Delivered_Sales!$A$5:$N$161,96+24+E$10,FALSE)*1000</f>
        <v>0</v>
      </c>
      <c r="F129" s="162">
        <f>HLOOKUP($A129,Summary_Delivered_Sales!$A$5:$N$161,96+24+F$10,FALSE)*1000</f>
        <v>0</v>
      </c>
      <c r="G129" s="162">
        <f>HLOOKUP($A129,Summary_Delivered_Sales!$A$5:$N$161,96+24+G$10,FALSE)*1000</f>
        <v>0</v>
      </c>
      <c r="H129" s="162">
        <f>HLOOKUP($A129,Summary_Delivered_Sales!$A$5:$N$161,96+24+H$10,FALSE)*1000</f>
        <v>0</v>
      </c>
      <c r="I129" s="162">
        <f>HLOOKUP($A129,Summary_Delivered_Sales!$A$5:$N$161,96+24+I$10,FALSE)*1000</f>
        <v>0</v>
      </c>
      <c r="J129" s="162">
        <f>HLOOKUP($A129,Summary_Delivered_Sales!$A$5:$N$161,96+24+J$10,FALSE)*1000</f>
        <v>0</v>
      </c>
      <c r="K129" s="162">
        <f>HLOOKUP($A129,Summary_Delivered_Sales!$A$5:$N$161,96+24+K$10,FALSE)*1000</f>
        <v>0</v>
      </c>
      <c r="L129" s="162">
        <f>HLOOKUP($A129,Summary_Delivered_Sales!$A$5:$N$161,96+24+L$10,FALSE)*1000</f>
        <v>0</v>
      </c>
      <c r="M129" s="162">
        <f>HLOOKUP($A129,Summary_Delivered_Sales!$A$5:$N$161,96+24+M$10,FALSE)*1000</f>
        <v>0</v>
      </c>
      <c r="N129" s="162">
        <f t="shared" si="21"/>
        <v>0</v>
      </c>
      <c r="O129" s="159">
        <f t="shared" si="20"/>
        <v>0</v>
      </c>
    </row>
    <row r="130" spans="1:15" s="112" customFormat="1">
      <c r="A130" s="163" t="s">
        <v>1058</v>
      </c>
      <c r="B130" s="162">
        <f>HLOOKUP($A130,Summary_Delivered_Sales!$A$5:$N$161,96+24+B$10,FALSE)*1000</f>
        <v>0</v>
      </c>
      <c r="C130" s="162">
        <f>HLOOKUP($A130,Summary_Delivered_Sales!$A$5:$N$161,96+24+C$10,FALSE)*1000</f>
        <v>76000</v>
      </c>
      <c r="D130" s="162">
        <f>HLOOKUP($A130,Summary_Delivered_Sales!$A$5:$N$161,96+24+D$10,FALSE)*1000</f>
        <v>0</v>
      </c>
      <c r="E130" s="162">
        <f>HLOOKUP($A130,Summary_Delivered_Sales!$A$5:$N$161,96+24+E$10,FALSE)*1000</f>
        <v>0</v>
      </c>
      <c r="F130" s="162">
        <f>HLOOKUP($A130,Summary_Delivered_Sales!$A$5:$N$161,96+24+F$10,FALSE)*1000</f>
        <v>0</v>
      </c>
      <c r="G130" s="162">
        <f>HLOOKUP($A130,Summary_Delivered_Sales!$A$5:$N$161,96+24+G$10,FALSE)*1000</f>
        <v>0</v>
      </c>
      <c r="H130" s="162">
        <f>HLOOKUP($A130,Summary_Delivered_Sales!$A$5:$N$161,96+24+H$10,FALSE)*1000</f>
        <v>0</v>
      </c>
      <c r="I130" s="162">
        <f>HLOOKUP($A130,Summary_Delivered_Sales!$A$5:$N$161,96+24+I$10,FALSE)*1000</f>
        <v>0</v>
      </c>
      <c r="J130" s="162">
        <f>HLOOKUP($A130,Summary_Delivered_Sales!$A$5:$N$161,96+24+J$10,FALSE)*1000</f>
        <v>76000</v>
      </c>
      <c r="K130" s="162">
        <f>HLOOKUP($A130,Summary_Delivered_Sales!$A$5:$N$161,96+24+K$10,FALSE)*1000</f>
        <v>0</v>
      </c>
      <c r="L130" s="162">
        <f>HLOOKUP($A130,Summary_Delivered_Sales!$A$5:$N$161,96+24+L$10,FALSE)*1000</f>
        <v>0</v>
      </c>
      <c r="M130" s="162">
        <f>HLOOKUP($A130,Summary_Delivered_Sales!$A$5:$N$161,96+24+M$10,FALSE)*1000</f>
        <v>0</v>
      </c>
      <c r="N130" s="162">
        <f t="shared" si="21"/>
        <v>152000</v>
      </c>
      <c r="O130" s="159">
        <f t="shared" si="20"/>
        <v>1.3348344089019245E-6</v>
      </c>
    </row>
    <row r="131" spans="1:15" s="112" customFormat="1">
      <c r="A131" s="163" t="s">
        <v>489</v>
      </c>
      <c r="B131" s="162">
        <f>HLOOKUP($A131,Summary_Delivered_Sales!$A$5:$N$161,96+24+B$10,FALSE)*1000</f>
        <v>13575000</v>
      </c>
      <c r="C131" s="162">
        <f>HLOOKUP($A131,Summary_Delivered_Sales!$A$5:$N$161,96+24+C$10,FALSE)*1000</f>
        <v>73250000</v>
      </c>
      <c r="D131" s="162">
        <f>HLOOKUP($A131,Summary_Delivered_Sales!$A$5:$N$161,96+24+D$10,FALSE)*1000</f>
        <v>85800000</v>
      </c>
      <c r="E131" s="162">
        <f>HLOOKUP($A131,Summary_Delivered_Sales!$A$5:$N$161,96+24+E$10,FALSE)*1000</f>
        <v>111860000</v>
      </c>
      <c r="F131" s="162">
        <f>HLOOKUP($A131,Summary_Delivered_Sales!$A$5:$N$161,96+24+F$10,FALSE)*1000</f>
        <v>125830000</v>
      </c>
      <c r="G131" s="162">
        <f>HLOOKUP($A131,Summary_Delivered_Sales!$A$5:$N$161,96+24+G$10,FALSE)*1000</f>
        <v>113525000</v>
      </c>
      <c r="H131" s="162">
        <f>HLOOKUP($A131,Summary_Delivered_Sales!$A$5:$N$161,96+24+H$10,FALSE)*1000</f>
        <v>115975000</v>
      </c>
      <c r="I131" s="162">
        <f>HLOOKUP($A131,Summary_Delivered_Sales!$A$5:$N$161,96+24+I$10,FALSE)*1000</f>
        <v>144250000</v>
      </c>
      <c r="J131" s="162">
        <f>HLOOKUP($A131,Summary_Delivered_Sales!$A$5:$N$161,96+24+J$10,FALSE)*1000</f>
        <v>96050000</v>
      </c>
      <c r="K131" s="162">
        <f>HLOOKUP($A131,Summary_Delivered_Sales!$A$5:$N$161,96+24+K$10,FALSE)*1000</f>
        <v>91130000</v>
      </c>
      <c r="L131" s="162">
        <f>HLOOKUP($A131,Summary_Delivered_Sales!$A$5:$N$161,96+24+L$10,FALSE)*1000</f>
        <v>87075000</v>
      </c>
      <c r="M131" s="162">
        <f>HLOOKUP($A131,Summary_Delivered_Sales!$A$5:$N$161,96+24+M$10,FALSE)*1000</f>
        <v>44020000</v>
      </c>
      <c r="N131" s="162">
        <f t="shared" si="21"/>
        <v>1102340000</v>
      </c>
      <c r="O131" s="159">
        <f t="shared" si="20"/>
        <v>9.680535278348338E-3</v>
      </c>
    </row>
    <row r="132" spans="1:15" s="112" customFormat="1">
      <c r="A132" s="163" t="s">
        <v>1054</v>
      </c>
      <c r="B132" s="162">
        <f>HLOOKUP($A132,Summary_Delivered_Sales!$A$5:$N$161,96+24+B$10,FALSE)*1000</f>
        <v>0</v>
      </c>
      <c r="C132" s="162">
        <f>HLOOKUP($A132,Summary_Delivered_Sales!$A$5:$N$161,96+24+C$10,FALSE)*1000</f>
        <v>0</v>
      </c>
      <c r="D132" s="162">
        <f>HLOOKUP($A132,Summary_Delivered_Sales!$A$5:$N$161,96+24+D$10,FALSE)*1000</f>
        <v>0</v>
      </c>
      <c r="E132" s="162">
        <f>HLOOKUP($A132,Summary_Delivered_Sales!$A$5:$N$161,96+24+E$10,FALSE)*1000</f>
        <v>0</v>
      </c>
      <c r="F132" s="162">
        <f>HLOOKUP($A132,Summary_Delivered_Sales!$A$5:$N$161,96+24+F$10,FALSE)*1000</f>
        <v>0</v>
      </c>
      <c r="G132" s="162">
        <f>HLOOKUP($A132,Summary_Delivered_Sales!$A$5:$N$161,96+24+G$10,FALSE)*1000</f>
        <v>0</v>
      </c>
      <c r="H132" s="162">
        <f>HLOOKUP($A132,Summary_Delivered_Sales!$A$5:$N$161,96+24+H$10,FALSE)*1000</f>
        <v>0</v>
      </c>
      <c r="I132" s="162">
        <f>HLOOKUP($A132,Summary_Delivered_Sales!$A$5:$N$161,96+24+I$10,FALSE)*1000</f>
        <v>0</v>
      </c>
      <c r="J132" s="162">
        <f>HLOOKUP($A132,Summary_Delivered_Sales!$A$5:$N$161,96+24+J$10,FALSE)*1000</f>
        <v>0</v>
      </c>
      <c r="K132" s="162">
        <f>HLOOKUP($A132,Summary_Delivered_Sales!$A$5:$N$161,96+24+K$10,FALSE)*1000</f>
        <v>0</v>
      </c>
      <c r="L132" s="162">
        <f>HLOOKUP($A132,Summary_Delivered_Sales!$A$5:$N$161,96+24+L$10,FALSE)*1000</f>
        <v>0</v>
      </c>
      <c r="M132" s="162">
        <f>HLOOKUP($A132,Summary_Delivered_Sales!$A$5:$N$161,96+24+M$10,FALSE)*1000</f>
        <v>0</v>
      </c>
      <c r="N132" s="162">
        <f t="shared" si="21"/>
        <v>0</v>
      </c>
      <c r="O132" s="159">
        <f t="shared" si="20"/>
        <v>0</v>
      </c>
    </row>
    <row r="133" spans="1:15" s="112" customFormat="1">
      <c r="A133" s="163" t="s">
        <v>1056</v>
      </c>
      <c r="B133" s="162">
        <f>HLOOKUP($A133,Summary_Delivered_Sales!$A$5:$N$161,96+24+B$10,FALSE)*1000</f>
        <v>0</v>
      </c>
      <c r="C133" s="162">
        <f>HLOOKUP($A133,Summary_Delivered_Sales!$A$5:$N$161,96+24+C$10,FALSE)*1000</f>
        <v>240000</v>
      </c>
      <c r="D133" s="162">
        <f>HLOOKUP($A133,Summary_Delivered_Sales!$A$5:$N$161,96+24+D$10,FALSE)*1000</f>
        <v>0</v>
      </c>
      <c r="E133" s="162">
        <f>HLOOKUP($A133,Summary_Delivered_Sales!$A$5:$N$161,96+24+E$10,FALSE)*1000</f>
        <v>0</v>
      </c>
      <c r="F133" s="162">
        <f>HLOOKUP($A133,Summary_Delivered_Sales!$A$5:$N$161,96+24+F$10,FALSE)*1000</f>
        <v>0</v>
      </c>
      <c r="G133" s="162">
        <f>HLOOKUP($A133,Summary_Delivered_Sales!$A$5:$N$161,96+24+G$10,FALSE)*1000</f>
        <v>0</v>
      </c>
      <c r="H133" s="162">
        <f>HLOOKUP($A133,Summary_Delivered_Sales!$A$5:$N$161,96+24+H$10,FALSE)*1000</f>
        <v>0</v>
      </c>
      <c r="I133" s="162">
        <f>HLOOKUP($A133,Summary_Delivered_Sales!$A$5:$N$161,96+24+I$10,FALSE)*1000</f>
        <v>0</v>
      </c>
      <c r="J133" s="162">
        <f>HLOOKUP($A133,Summary_Delivered_Sales!$A$5:$N$161,96+24+J$10,FALSE)*1000</f>
        <v>240000</v>
      </c>
      <c r="K133" s="162">
        <f>HLOOKUP($A133,Summary_Delivered_Sales!$A$5:$N$161,96+24+K$10,FALSE)*1000</f>
        <v>0</v>
      </c>
      <c r="L133" s="162">
        <f>HLOOKUP($A133,Summary_Delivered_Sales!$A$5:$N$161,96+24+L$10,FALSE)*1000</f>
        <v>0</v>
      </c>
      <c r="M133" s="162">
        <f>HLOOKUP($A133,Summary_Delivered_Sales!$A$5:$N$161,96+24+M$10,FALSE)*1000</f>
        <v>0</v>
      </c>
      <c r="N133" s="162">
        <f>SUM(B133:M133)</f>
        <v>480000</v>
      </c>
      <c r="O133" s="159">
        <f t="shared" si="20"/>
        <v>4.2152665544271296E-6</v>
      </c>
    </row>
    <row r="134" spans="1:15" s="112" customFormat="1">
      <c r="A134" s="125"/>
      <c r="B134" s="155"/>
      <c r="C134" s="155"/>
      <c r="D134" s="155"/>
      <c r="E134" s="155"/>
      <c r="F134" s="155"/>
      <c r="G134" s="155"/>
      <c r="H134" s="155"/>
      <c r="I134" s="155"/>
      <c r="J134" s="155"/>
      <c r="K134" s="155"/>
      <c r="L134" s="155"/>
      <c r="M134" s="155"/>
      <c r="N134" s="155"/>
      <c r="O134" s="159"/>
    </row>
    <row r="135" spans="1:15" s="112" customFormat="1">
      <c r="A135" s="126" t="s">
        <v>453</v>
      </c>
      <c r="B135" s="161">
        <f t="shared" ref="B135:N135" si="22">SUM(B125:B134)</f>
        <v>362033560.57445383</v>
      </c>
      <c r="C135" s="161">
        <f t="shared" si="22"/>
        <v>419496510.73982567</v>
      </c>
      <c r="D135" s="161">
        <f t="shared" si="22"/>
        <v>420012453.35875893</v>
      </c>
      <c r="E135" s="161">
        <f t="shared" si="22"/>
        <v>506100277.54200524</v>
      </c>
      <c r="F135" s="161">
        <f t="shared" si="22"/>
        <v>554296930.78116989</v>
      </c>
      <c r="G135" s="161">
        <f t="shared" si="22"/>
        <v>555497532.1522249</v>
      </c>
      <c r="H135" s="161">
        <f t="shared" si="22"/>
        <v>576529017.64984846</v>
      </c>
      <c r="I135" s="161">
        <f t="shared" si="22"/>
        <v>589849883.77414751</v>
      </c>
      <c r="J135" s="161">
        <f t="shared" si="22"/>
        <v>567330008.51190901</v>
      </c>
      <c r="K135" s="161">
        <f t="shared" si="22"/>
        <v>544062359.87090182</v>
      </c>
      <c r="L135" s="161">
        <f t="shared" si="22"/>
        <v>501986607.9414407</v>
      </c>
      <c r="M135" s="161">
        <f t="shared" si="22"/>
        <v>415731046.7425741</v>
      </c>
      <c r="N135" s="161">
        <f t="shared" si="22"/>
        <v>6012926189.6392593</v>
      </c>
      <c r="O135" s="191">
        <f>+N135/$N$137</f>
        <v>5.2804347211302775E-2</v>
      </c>
    </row>
    <row r="136" spans="1:15" s="112" customFormat="1">
      <c r="A136" s="125"/>
      <c r="B136" s="155"/>
      <c r="C136" s="155"/>
      <c r="D136" s="155"/>
      <c r="E136" s="155"/>
      <c r="F136" s="155"/>
      <c r="G136" s="155"/>
      <c r="H136" s="155"/>
      <c r="I136" s="155"/>
      <c r="J136" s="155"/>
      <c r="K136" s="155"/>
      <c r="L136" s="155"/>
      <c r="M136" s="155"/>
      <c r="N136" s="155"/>
      <c r="O136" s="125"/>
    </row>
    <row r="137" spans="1:15" s="112" customFormat="1" ht="13.8" thickBot="1">
      <c r="A137" s="126" t="s">
        <v>452</v>
      </c>
      <c r="B137" s="160">
        <f t="shared" ref="B137:N137" si="23">+B122+B135</f>
        <v>8992474479.5744534</v>
      </c>
      <c r="C137" s="160">
        <f t="shared" si="23"/>
        <v>8093679975.7398252</v>
      </c>
      <c r="D137" s="160">
        <f t="shared" si="23"/>
        <v>8121872245.3587589</v>
      </c>
      <c r="E137" s="160">
        <f t="shared" si="23"/>
        <v>8415734913.5420055</v>
      </c>
      <c r="F137" s="160">
        <f t="shared" si="23"/>
        <v>9483707496.7811699</v>
      </c>
      <c r="G137" s="160">
        <f t="shared" si="23"/>
        <v>10340219134.152225</v>
      </c>
      <c r="H137" s="160">
        <f t="shared" si="23"/>
        <v>10977758414.649849</v>
      </c>
      <c r="I137" s="160">
        <f t="shared" si="23"/>
        <v>11128251055.774147</v>
      </c>
      <c r="J137" s="160">
        <f t="shared" si="23"/>
        <v>10871051390.511909</v>
      </c>
      <c r="K137" s="160">
        <f t="shared" si="23"/>
        <v>10049302348.870901</v>
      </c>
      <c r="L137" s="160">
        <f t="shared" si="23"/>
        <v>8790652250.9414406</v>
      </c>
      <c r="M137" s="160">
        <f t="shared" si="23"/>
        <v>8607098658.7425747</v>
      </c>
      <c r="N137" s="160">
        <f t="shared" si="23"/>
        <v>113871802364.63925</v>
      </c>
      <c r="O137" s="192">
        <f>+N137/$N$137</f>
        <v>1</v>
      </c>
    </row>
    <row r="138" spans="1:15" s="112" customFormat="1" ht="13.8" thickTop="1">
      <c r="B138" s="156"/>
      <c r="C138" s="156"/>
      <c r="D138" s="156"/>
      <c r="E138" s="156"/>
      <c r="F138" s="156"/>
      <c r="G138" s="156"/>
      <c r="H138" s="156"/>
      <c r="I138" s="156"/>
      <c r="J138" s="156"/>
      <c r="K138" s="156"/>
      <c r="L138" s="156"/>
      <c r="M138" s="156"/>
      <c r="N138" s="156"/>
    </row>
    <row r="139" spans="1:15" s="112" customFormat="1">
      <c r="B139" s="156"/>
      <c r="C139" s="156"/>
      <c r="D139" s="156"/>
      <c r="E139" s="156"/>
      <c r="F139" s="156"/>
      <c r="G139" s="156"/>
      <c r="H139" s="156"/>
      <c r="I139" s="156"/>
      <c r="J139" s="156"/>
      <c r="K139" s="156"/>
      <c r="L139" s="156"/>
      <c r="M139" s="156"/>
      <c r="N139" s="156"/>
    </row>
    <row r="140" spans="1:15" s="112" customFormat="1">
      <c r="B140" s="156"/>
      <c r="C140" s="156"/>
      <c r="D140" s="156"/>
      <c r="E140" s="156"/>
      <c r="F140" s="156"/>
      <c r="G140" s="156"/>
      <c r="H140" s="156"/>
      <c r="I140" s="156"/>
      <c r="J140" s="156"/>
      <c r="K140" s="156"/>
      <c r="L140" s="156"/>
      <c r="M140" s="156"/>
      <c r="N140" s="156"/>
    </row>
    <row r="141" spans="1:15" s="112" customFormat="1">
      <c r="B141" s="156"/>
      <c r="C141" s="156"/>
      <c r="D141" s="156"/>
      <c r="E141" s="156"/>
      <c r="F141" s="156"/>
      <c r="G141" s="156"/>
      <c r="H141" s="156"/>
      <c r="I141" s="156"/>
      <c r="J141" s="156"/>
      <c r="K141" s="156"/>
      <c r="L141" s="156"/>
      <c r="M141" s="156"/>
      <c r="N141" s="156"/>
    </row>
    <row r="142" spans="1:15" s="112" customFormat="1">
      <c r="B142" s="156"/>
      <c r="C142" s="156"/>
      <c r="D142" s="156"/>
      <c r="E142" s="156"/>
      <c r="F142" s="156"/>
      <c r="G142" s="156"/>
      <c r="H142" s="156"/>
      <c r="I142" s="156"/>
      <c r="J142" s="156"/>
      <c r="K142" s="156"/>
      <c r="L142" s="156"/>
      <c r="M142" s="156"/>
      <c r="N142" s="156"/>
    </row>
    <row r="143" spans="1:15" s="112" customFormat="1">
      <c r="B143" s="156"/>
      <c r="C143" s="156"/>
      <c r="D143" s="156"/>
      <c r="E143" s="156"/>
      <c r="F143" s="156"/>
      <c r="G143" s="156"/>
      <c r="H143" s="156"/>
      <c r="I143" s="156"/>
      <c r="J143" s="156"/>
      <c r="K143" s="156"/>
      <c r="L143" s="156"/>
      <c r="M143" s="156"/>
      <c r="N143" s="156"/>
    </row>
    <row r="144" spans="1:15"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2:15" s="112" customFormat="1">
      <c r="B193" s="156"/>
      <c r="C193" s="156"/>
      <c r="D193" s="156"/>
      <c r="E193" s="156"/>
      <c r="F193" s="156"/>
      <c r="G193" s="156"/>
      <c r="H193" s="156"/>
      <c r="I193" s="156"/>
      <c r="J193" s="156"/>
      <c r="K193" s="156"/>
      <c r="L193" s="156"/>
      <c r="M193" s="156"/>
      <c r="N193" s="156"/>
    </row>
    <row r="194" spans="2:15" s="112" customFormat="1">
      <c r="B194" s="156"/>
      <c r="C194" s="156"/>
      <c r="D194" s="156"/>
      <c r="E194" s="156"/>
      <c r="F194" s="156"/>
      <c r="G194" s="156"/>
      <c r="H194" s="156"/>
      <c r="I194" s="156"/>
      <c r="J194" s="156"/>
      <c r="K194" s="156"/>
      <c r="L194" s="156"/>
      <c r="M194" s="156"/>
      <c r="N194" s="156"/>
    </row>
    <row r="195" spans="2:15" s="112" customFormat="1">
      <c r="B195" s="156"/>
      <c r="C195" s="156"/>
      <c r="D195" s="156"/>
      <c r="E195" s="156"/>
      <c r="F195" s="156"/>
      <c r="G195" s="156"/>
      <c r="H195" s="156"/>
      <c r="I195" s="156"/>
      <c r="J195" s="156"/>
      <c r="K195" s="156"/>
      <c r="L195" s="156"/>
      <c r="M195" s="156"/>
      <c r="N195" s="156"/>
    </row>
    <row r="196" spans="2:15" s="112" customFormat="1">
      <c r="B196" s="156"/>
      <c r="C196" s="156"/>
      <c r="D196" s="156"/>
      <c r="E196" s="156"/>
      <c r="F196" s="156"/>
      <c r="G196" s="156"/>
      <c r="H196" s="156"/>
      <c r="I196" s="156"/>
      <c r="J196" s="156"/>
      <c r="K196" s="156"/>
      <c r="L196" s="156"/>
      <c r="M196" s="156"/>
      <c r="N196" s="156"/>
    </row>
    <row r="197" spans="2:15" s="112" customFormat="1">
      <c r="B197" s="156"/>
      <c r="C197" s="156"/>
      <c r="D197" s="156"/>
      <c r="E197" s="156"/>
      <c r="F197" s="156"/>
      <c r="G197" s="156"/>
      <c r="H197" s="156"/>
      <c r="I197" s="156"/>
      <c r="J197" s="156"/>
      <c r="K197" s="156"/>
      <c r="L197" s="156"/>
      <c r="M197" s="156"/>
      <c r="N197" s="156"/>
    </row>
    <row r="198" spans="2:15" s="112" customFormat="1">
      <c r="B198" s="156"/>
      <c r="C198" s="156"/>
      <c r="D198" s="156"/>
      <c r="E198" s="156"/>
      <c r="F198" s="156"/>
      <c r="G198" s="156"/>
      <c r="H198" s="156"/>
      <c r="I198" s="156"/>
      <c r="J198" s="156"/>
      <c r="K198" s="156"/>
      <c r="L198" s="156"/>
      <c r="M198" s="156"/>
      <c r="N198" s="156"/>
    </row>
    <row r="199" spans="2:15" s="112" customFormat="1">
      <c r="B199" s="156"/>
      <c r="C199" s="156"/>
      <c r="D199" s="156"/>
      <c r="E199" s="156"/>
      <c r="F199" s="156"/>
      <c r="G199" s="156"/>
      <c r="H199" s="156"/>
      <c r="I199" s="156"/>
      <c r="J199" s="156"/>
      <c r="K199" s="156"/>
      <c r="L199" s="156"/>
      <c r="M199" s="156"/>
      <c r="N199" s="156"/>
    </row>
    <row r="200" spans="2:15" s="112" customFormat="1">
      <c r="B200" s="156"/>
      <c r="C200" s="156"/>
      <c r="D200" s="156"/>
      <c r="E200" s="156"/>
      <c r="F200" s="156"/>
      <c r="G200" s="156"/>
      <c r="H200" s="156"/>
      <c r="I200" s="156"/>
      <c r="J200" s="156"/>
      <c r="K200" s="156"/>
      <c r="L200" s="156"/>
      <c r="M200" s="156"/>
      <c r="N200" s="156"/>
    </row>
    <row r="201" spans="2:15" s="112" customFormat="1">
      <c r="B201" s="156"/>
      <c r="C201" s="156"/>
      <c r="D201" s="156"/>
      <c r="E201" s="156"/>
      <c r="F201" s="156"/>
      <c r="G201" s="156"/>
      <c r="H201" s="156"/>
      <c r="I201" s="156"/>
      <c r="J201" s="156"/>
      <c r="K201" s="156"/>
      <c r="L201" s="156"/>
      <c r="M201" s="156"/>
      <c r="N201" s="156"/>
    </row>
    <row r="202" spans="2:15" s="112" customFormat="1">
      <c r="B202" s="156"/>
      <c r="C202" s="156"/>
      <c r="D202" s="156"/>
      <c r="E202" s="156"/>
      <c r="F202" s="156"/>
      <c r="G202" s="156"/>
      <c r="H202" s="156"/>
      <c r="I202" s="156"/>
      <c r="J202" s="156"/>
      <c r="K202" s="156"/>
      <c r="L202" s="156"/>
      <c r="M202" s="156"/>
      <c r="N202" s="156"/>
    </row>
    <row r="203" spans="2:15" s="112" customFormat="1">
      <c r="B203" s="156"/>
      <c r="C203" s="156"/>
      <c r="D203" s="156"/>
      <c r="E203" s="156"/>
      <c r="F203" s="156"/>
      <c r="G203" s="156"/>
      <c r="H203" s="156"/>
      <c r="I203" s="156"/>
      <c r="J203" s="156"/>
      <c r="K203" s="156"/>
      <c r="L203" s="156"/>
      <c r="M203" s="156"/>
      <c r="N203" s="156"/>
    </row>
    <row r="204" spans="2:15" s="112" customFormat="1">
      <c r="B204" s="156"/>
      <c r="C204" s="156"/>
      <c r="D204" s="156"/>
      <c r="E204" s="156"/>
      <c r="F204" s="156"/>
      <c r="G204" s="156"/>
      <c r="H204" s="156"/>
      <c r="I204" s="156"/>
      <c r="J204" s="156"/>
      <c r="K204" s="156"/>
      <c r="L204" s="156"/>
      <c r="M204" s="156"/>
      <c r="N204" s="156"/>
    </row>
    <row r="205" spans="2:15" s="112" customFormat="1">
      <c r="B205" s="156"/>
      <c r="C205" s="156"/>
      <c r="D205" s="156"/>
      <c r="E205" s="156"/>
      <c r="F205" s="156"/>
      <c r="G205" s="156"/>
      <c r="H205" s="156"/>
      <c r="I205" s="156"/>
      <c r="J205" s="156"/>
      <c r="K205" s="156"/>
      <c r="L205" s="156"/>
      <c r="M205" s="156"/>
      <c r="N205" s="156"/>
    </row>
    <row r="206" spans="2:15" s="112" customFormat="1">
      <c r="B206" s="156"/>
      <c r="C206" s="156"/>
      <c r="D206" s="156"/>
      <c r="E206" s="156"/>
      <c r="F206" s="156"/>
      <c r="G206" s="156"/>
      <c r="H206" s="156"/>
      <c r="I206" s="156"/>
      <c r="J206" s="156"/>
      <c r="K206" s="156"/>
      <c r="L206" s="156"/>
      <c r="M206" s="156"/>
      <c r="N206" s="156"/>
    </row>
    <row r="207" spans="2:15">
      <c r="O207" s="112"/>
    </row>
    <row r="208" spans="2:15" ht="409.6">
      <c r="O208" s="112"/>
    </row>
    <row r="209" spans="2:15">
      <c r="B209" s="154"/>
      <c r="C209" s="154"/>
      <c r="D209" s="154"/>
      <c r="E209" s="154"/>
      <c r="F209" s="154"/>
      <c r="G209" s="154"/>
      <c r="H209" s="154"/>
      <c r="I209" s="154"/>
      <c r="J209" s="154"/>
      <c r="K209" s="154"/>
      <c r="L209" s="154"/>
      <c r="M209" s="154"/>
      <c r="N209" s="154"/>
      <c r="O209" s="112"/>
    </row>
    <row r="210" spans="2:15">
      <c r="B210" s="154"/>
      <c r="C210" s="154"/>
      <c r="D210" s="154"/>
      <c r="E210" s="154"/>
      <c r="F210" s="154"/>
      <c r="G210" s="154"/>
      <c r="H210" s="154"/>
      <c r="I210" s="154"/>
      <c r="J210" s="154"/>
      <c r="K210" s="154"/>
      <c r="L210" s="154"/>
      <c r="M210" s="154"/>
      <c r="N210" s="154"/>
      <c r="O210" s="112"/>
    </row>
  </sheetData>
  <mergeCells count="9">
    <mergeCell ref="B100:D100"/>
    <mergeCell ref="E100:K100"/>
    <mergeCell ref="L100:M100"/>
    <mergeCell ref="B7:D7"/>
    <mergeCell ref="E7:K7"/>
    <mergeCell ref="L7:M7"/>
    <mergeCell ref="B54:D54"/>
    <mergeCell ref="E54:K54"/>
    <mergeCell ref="L54:M54"/>
  </mergeCells>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R65"/>
  <sheetViews>
    <sheetView showGridLines="0" zoomScale="75" zoomScaleNormal="75" workbookViewId="0">
      <selection activeCell="A2" sqref="A1:A2"/>
    </sheetView>
  </sheetViews>
  <sheetFormatPr defaultRowHeight="13.2"/>
  <cols>
    <col min="1" max="1" width="23.109375" customWidth="1"/>
    <col min="2" max="2" width="14" customWidth="1"/>
    <col min="3" max="13" width="12.33203125" bestFit="1" customWidth="1"/>
    <col min="14" max="14" width="2.6640625" customWidth="1"/>
    <col min="15" max="15" width="11.33203125" bestFit="1" customWidth="1"/>
    <col min="16" max="16" width="13" bestFit="1" customWidth="1"/>
    <col min="17" max="17" width="10.6640625" bestFit="1" customWidth="1"/>
  </cols>
  <sheetData>
    <row r="1" spans="1:18" s="8" customFormat="1">
      <c r="A1" s="8" t="s">
        <v>1278</v>
      </c>
    </row>
    <row r="2" spans="1:18" s="8" customFormat="1">
      <c r="A2" s="8" t="s">
        <v>1267</v>
      </c>
    </row>
    <row r="3" spans="1:18" s="8" customFormat="1"/>
    <row r="4" spans="1:18" s="172" customFormat="1" ht="21">
      <c r="A4" s="124" t="s">
        <v>530</v>
      </c>
      <c r="B4" s="165"/>
      <c r="C4" s="165"/>
      <c r="D4" s="165"/>
      <c r="E4" s="165"/>
      <c r="F4" s="165"/>
      <c r="G4" s="165"/>
      <c r="H4" s="165"/>
      <c r="I4" s="165"/>
      <c r="J4" s="165"/>
      <c r="K4" s="165"/>
      <c r="L4" s="165"/>
      <c r="M4" s="165"/>
      <c r="O4" s="165"/>
    </row>
    <row r="5" spans="1:18" s="172" customFormat="1" ht="21">
      <c r="A5" s="124" t="str">
        <f>MANUAL!$B$9&amp;" - PRIOR YEAR"</f>
        <v>2016 - PRIOR YEAR</v>
      </c>
      <c r="B5" s="165"/>
      <c r="C5" s="165"/>
      <c r="D5" s="165"/>
      <c r="E5" s="165"/>
      <c r="F5" s="165"/>
      <c r="G5" s="165"/>
      <c r="H5" s="165"/>
      <c r="I5" s="165"/>
      <c r="J5" s="165"/>
      <c r="K5" s="165"/>
      <c r="L5" s="165"/>
      <c r="M5" s="165"/>
      <c r="O5" s="165"/>
    </row>
    <row r="6" spans="1:18" s="172" customFormat="1" ht="21.6" thickBot="1">
      <c r="A6" s="124"/>
      <c r="B6" s="165"/>
      <c r="C6" s="165"/>
      <c r="D6" s="165"/>
      <c r="E6" s="165"/>
      <c r="F6" s="165"/>
      <c r="G6" s="165"/>
      <c r="H6" s="165"/>
      <c r="I6" s="165"/>
      <c r="J6" s="165"/>
      <c r="K6" s="165"/>
      <c r="L6" s="165"/>
      <c r="M6" s="165"/>
      <c r="O6" s="165"/>
    </row>
    <row r="7" spans="1:18" s="164" customFormat="1" ht="13.8" thickBot="1">
      <c r="A7" s="168"/>
      <c r="B7" s="572" t="s">
        <v>339</v>
      </c>
      <c r="C7" s="573"/>
      <c r="D7" s="574"/>
      <c r="E7" s="575" t="s">
        <v>340</v>
      </c>
      <c r="F7" s="576"/>
      <c r="G7" s="576"/>
      <c r="H7" s="576"/>
      <c r="I7" s="576"/>
      <c r="J7" s="576"/>
      <c r="K7" s="577"/>
      <c r="L7" s="572" t="s">
        <v>339</v>
      </c>
      <c r="M7" s="574"/>
      <c r="O7" s="231"/>
      <c r="P7" s="232" t="s">
        <v>513</v>
      </c>
      <c r="Q7" s="233" t="s">
        <v>533</v>
      </c>
    </row>
    <row r="8" spans="1:18" s="165" customFormat="1" ht="13.8" thickBot="1">
      <c r="A8" s="171" t="s">
        <v>454</v>
      </c>
      <c r="B8" s="100" t="s">
        <v>70</v>
      </c>
      <c r="C8" s="100" t="s">
        <v>71</v>
      </c>
      <c r="D8" s="100" t="s">
        <v>72</v>
      </c>
      <c r="E8" s="103" t="s">
        <v>73</v>
      </c>
      <c r="F8" s="103" t="s">
        <v>74</v>
      </c>
      <c r="G8" s="103" t="s">
        <v>75</v>
      </c>
      <c r="H8" s="103" t="s">
        <v>76</v>
      </c>
      <c r="I8" s="103" t="s">
        <v>77</v>
      </c>
      <c r="J8" s="103" t="s">
        <v>78</v>
      </c>
      <c r="K8" s="103" t="s">
        <v>79</v>
      </c>
      <c r="L8" s="100" t="s">
        <v>80</v>
      </c>
      <c r="M8" s="100" t="s">
        <v>81</v>
      </c>
      <c r="O8" s="210" t="s">
        <v>496</v>
      </c>
      <c r="P8" s="209" t="s">
        <v>514</v>
      </c>
      <c r="Q8" s="234" t="s">
        <v>512</v>
      </c>
    </row>
    <row r="10" spans="1:18">
      <c r="A10" s="8" t="s">
        <v>502</v>
      </c>
    </row>
    <row r="11" spans="1:18">
      <c r="A11" s="205" t="s">
        <v>501</v>
      </c>
      <c r="B11" s="145">
        <f>+'CP FCST'!B30</f>
        <v>17009718.417701777</v>
      </c>
      <c r="C11" s="145">
        <f>+'CP FCST'!C30</f>
        <v>15790784.38309839</v>
      </c>
      <c r="D11" s="145">
        <f>+'CP FCST'!D30</f>
        <v>14722150.747509619</v>
      </c>
      <c r="E11" s="145">
        <f>+'CP FCST'!E30</f>
        <v>16504901.128405642</v>
      </c>
      <c r="F11" s="145">
        <f>+'CP FCST'!F30</f>
        <v>17740383.641402062</v>
      </c>
      <c r="G11" s="145">
        <f>+'CP FCST'!G30</f>
        <v>19796384.444767047</v>
      </c>
      <c r="H11" s="145">
        <f>+'CP FCST'!H30</f>
        <v>19931016.187834639</v>
      </c>
      <c r="I11" s="145">
        <f>+'CP FCST'!I30</f>
        <v>19781850.513271108</v>
      </c>
      <c r="J11" s="145">
        <f>+'CP FCST'!J30</f>
        <v>20313453.383315034</v>
      </c>
      <c r="K11" s="145">
        <f>+'CP FCST'!K30</f>
        <v>18831209.689974997</v>
      </c>
      <c r="L11" s="145">
        <f>+'CP FCST'!L30</f>
        <v>17253328.493787993</v>
      </c>
      <c r="M11" s="145">
        <f>+'CP FCST'!M30</f>
        <v>15846343.578669466</v>
      </c>
      <c r="O11" s="44">
        <f>AVERAGE(B11:M11)</f>
        <v>17793460.384144813</v>
      </c>
    </row>
    <row r="12" spans="1:18">
      <c r="A12" s="206" t="s">
        <v>499</v>
      </c>
      <c r="B12" s="207">
        <v>1.0821933062206801</v>
      </c>
      <c r="C12" s="207">
        <f>+B12</f>
        <v>1.0821933062206801</v>
      </c>
      <c r="D12" s="207">
        <f t="shared" ref="D12:M12" si="0">+C12</f>
        <v>1.0821933062206801</v>
      </c>
      <c r="E12" s="207">
        <f t="shared" si="0"/>
        <v>1.0821933062206801</v>
      </c>
      <c r="F12" s="207">
        <f t="shared" si="0"/>
        <v>1.0821933062206801</v>
      </c>
      <c r="G12" s="207">
        <f t="shared" si="0"/>
        <v>1.0821933062206801</v>
      </c>
      <c r="H12" s="207">
        <f t="shared" si="0"/>
        <v>1.0821933062206801</v>
      </c>
      <c r="I12" s="207">
        <f t="shared" si="0"/>
        <v>1.0821933062206801</v>
      </c>
      <c r="J12" s="207">
        <f t="shared" si="0"/>
        <v>1.0821933062206801</v>
      </c>
      <c r="K12" s="207">
        <f t="shared" si="0"/>
        <v>1.0821933062206801</v>
      </c>
      <c r="L12" s="207">
        <f t="shared" si="0"/>
        <v>1.0821933062206801</v>
      </c>
      <c r="M12" s="207">
        <f t="shared" si="0"/>
        <v>1.0821933062206801</v>
      </c>
      <c r="O12" s="207">
        <f>+M12</f>
        <v>1.0821933062206801</v>
      </c>
      <c r="R12" s="335" t="s">
        <v>1059</v>
      </c>
    </row>
    <row r="13" spans="1:18">
      <c r="A13" s="205" t="s">
        <v>504</v>
      </c>
      <c r="B13" s="44">
        <f>+B11*B12</f>
        <v>18407803.412335481</v>
      </c>
      <c r="C13" s="44">
        <f t="shared" ref="C13:O13" si="1">+C11*C12</f>
        <v>17088681.159363128</v>
      </c>
      <c r="D13" s="44">
        <f t="shared" si="1"/>
        <v>15932212.992126692</v>
      </c>
      <c r="E13" s="44">
        <f t="shared" si="1"/>
        <v>17861493.520994734</v>
      </c>
      <c r="F13" s="44">
        <f t="shared" si="1"/>
        <v>19198524.426512167</v>
      </c>
      <c r="G13" s="44">
        <f t="shared" si="1"/>
        <v>21423514.733498093</v>
      </c>
      <c r="H13" s="44">
        <f t="shared" si="1"/>
        <v>21569212.304650664</v>
      </c>
      <c r="I13" s="44">
        <f t="shared" si="1"/>
        <v>21407786.210120119</v>
      </c>
      <c r="J13" s="44">
        <f t="shared" si="1"/>
        <v>21983083.277649358</v>
      </c>
      <c r="K13" s="44">
        <f t="shared" si="1"/>
        <v>20379009.074528951</v>
      </c>
      <c r="L13" s="44">
        <f t="shared" si="1"/>
        <v>18671436.606003895</v>
      </c>
      <c r="M13" s="44">
        <f t="shared" si="1"/>
        <v>17148806.948909152</v>
      </c>
      <c r="O13" s="44">
        <f t="shared" si="1"/>
        <v>19255963.722224366</v>
      </c>
      <c r="P13" s="208">
        <f>+O13/O29</f>
        <v>0.94331517567245726</v>
      </c>
      <c r="Q13" s="230">
        <f>(+P13-P15)/P15</f>
        <v>-1.8483542813840159E-3</v>
      </c>
    </row>
    <row r="14" spans="1:18">
      <c r="P14" s="208"/>
    </row>
    <row r="15" spans="1:18">
      <c r="A15" s="206" t="s">
        <v>505</v>
      </c>
      <c r="B15" s="145">
        <f>+B31*(SUM(H15:I15)/SUM(H31:I31))</f>
        <v>18126414.283975117</v>
      </c>
      <c r="C15" s="145">
        <f>+C31*(G15/G31)</f>
        <v>15290760.985000907</v>
      </c>
      <c r="D15" s="145">
        <f>+D31*(SUM(E15:F15)/SUM(E31:F31))</f>
        <v>15097204.008671302</v>
      </c>
      <c r="E15" s="228">
        <f>+'2016 CP (FNG)'!B15*1000</f>
        <v>19037163.411805667</v>
      </c>
      <c r="F15" s="228">
        <f>+'2016 CP (FNG)'!C15*1000</f>
        <v>17145135.730138022</v>
      </c>
      <c r="G15" s="228">
        <f>+'2016 CP (FNG)'!D15*1000</f>
        <v>17163427.679728806</v>
      </c>
      <c r="H15" s="228">
        <f>+'2016 CP (FNG)'!E15*1000</f>
        <v>18725537.553433839</v>
      </c>
      <c r="I15" s="228">
        <f>+'2016 CP (FNG)'!F15*1000</f>
        <v>20443769.499892134</v>
      </c>
      <c r="J15" s="228">
        <f>+'2016 CP (FNG)'!G15*1000</f>
        <v>21809808.216154378</v>
      </c>
      <c r="K15" s="228">
        <f>+'2016 CP (FNG)'!H15*1000</f>
        <v>22221385.900494467</v>
      </c>
      <c r="L15" s="228">
        <f>+'2016 CP (FNG)'!I15*1000</f>
        <v>22872285.915171534</v>
      </c>
      <c r="M15" s="228">
        <f>+'2016 CP (FNG)'!J15*1000</f>
        <v>21510118.515342291</v>
      </c>
      <c r="O15" s="44">
        <f>AVERAGE(B15:M15)</f>
        <v>19120250.974984039</v>
      </c>
      <c r="P15" s="208">
        <f>+O15/O31</f>
        <v>0.94506198503867678</v>
      </c>
    </row>
    <row r="16" spans="1:18">
      <c r="E16" s="10"/>
      <c r="F16" s="10"/>
      <c r="G16" s="10"/>
      <c r="H16" s="10"/>
      <c r="I16" s="10"/>
      <c r="J16" s="10"/>
      <c r="K16" s="10"/>
      <c r="L16" s="10"/>
      <c r="M16" s="10"/>
      <c r="P16" s="208"/>
    </row>
    <row r="17" spans="1:17">
      <c r="E17" s="10"/>
      <c r="F17" s="10"/>
      <c r="G17" s="10"/>
      <c r="H17" s="10"/>
      <c r="I17" s="10"/>
      <c r="J17" s="10"/>
      <c r="K17" s="10"/>
      <c r="L17" s="10"/>
      <c r="M17" s="10"/>
      <c r="P17" s="208"/>
    </row>
    <row r="18" spans="1:17">
      <c r="A18" s="8" t="s">
        <v>506</v>
      </c>
      <c r="E18" s="10"/>
      <c r="F18" s="10"/>
      <c r="G18" s="10"/>
      <c r="H18" s="10"/>
      <c r="I18" s="10"/>
      <c r="J18" s="10"/>
      <c r="K18" s="10"/>
      <c r="L18" s="10"/>
      <c r="M18" s="10"/>
      <c r="P18" s="208"/>
    </row>
    <row r="19" spans="1:17">
      <c r="A19" s="205" t="s">
        <v>507</v>
      </c>
      <c r="B19" s="145">
        <f>+'CP FCST'!B43</f>
        <v>1214777.6068733197</v>
      </c>
      <c r="C19" s="145">
        <f>+'CP FCST'!C43</f>
        <v>1108763.9723295458</v>
      </c>
      <c r="D19" s="145">
        <f>+'CP FCST'!D43</f>
        <v>1035209.7239757201</v>
      </c>
      <c r="E19" s="228">
        <f>+'CP FCST'!E43</f>
        <v>1035680.8796496628</v>
      </c>
      <c r="F19" s="228">
        <f>+'CP FCST'!F43</f>
        <v>1150251.2578921006</v>
      </c>
      <c r="G19" s="228">
        <f>+'CP FCST'!G43</f>
        <v>1233922.7468194193</v>
      </c>
      <c r="H19" s="228">
        <f>+'CP FCST'!H43</f>
        <v>1230140.4083983791</v>
      </c>
      <c r="I19" s="228">
        <f>+'CP FCST'!I43</f>
        <v>1297400.6314244899</v>
      </c>
      <c r="J19" s="228">
        <f>+'CP FCST'!J43</f>
        <v>1128401.7043799916</v>
      </c>
      <c r="K19" s="228">
        <f>+'CP FCST'!K43</f>
        <v>1149418.2965883939</v>
      </c>
      <c r="L19" s="228">
        <f>+'CP FCST'!L43</f>
        <v>1003721.6139613249</v>
      </c>
      <c r="M19" s="228">
        <f>+'CP FCST'!M43</f>
        <v>967800.81730682473</v>
      </c>
      <c r="O19" s="44">
        <f>AVERAGE(B19:M19)</f>
        <v>1129624.1382999308</v>
      </c>
      <c r="P19" s="208"/>
    </row>
    <row r="20" spans="1:17">
      <c r="A20" s="206" t="s">
        <v>499</v>
      </c>
      <c r="B20" s="207">
        <v>1.0243332704301951</v>
      </c>
      <c r="C20" s="207">
        <f>+B20</f>
        <v>1.0243332704301951</v>
      </c>
      <c r="D20" s="207">
        <f t="shared" ref="D20:M20" si="2">+C20</f>
        <v>1.0243332704301951</v>
      </c>
      <c r="E20" s="229">
        <f t="shared" si="2"/>
        <v>1.0243332704301951</v>
      </c>
      <c r="F20" s="229">
        <f t="shared" si="2"/>
        <v>1.0243332704301951</v>
      </c>
      <c r="G20" s="229">
        <f t="shared" si="2"/>
        <v>1.0243332704301951</v>
      </c>
      <c r="H20" s="229">
        <f t="shared" si="2"/>
        <v>1.0243332704301951</v>
      </c>
      <c r="I20" s="229">
        <f t="shared" si="2"/>
        <v>1.0243332704301951</v>
      </c>
      <c r="J20" s="229">
        <f t="shared" si="2"/>
        <v>1.0243332704301951</v>
      </c>
      <c r="K20" s="229">
        <f t="shared" si="2"/>
        <v>1.0243332704301951</v>
      </c>
      <c r="L20" s="229">
        <f t="shared" si="2"/>
        <v>1.0243332704301951</v>
      </c>
      <c r="M20" s="229">
        <f t="shared" si="2"/>
        <v>1.0243332704301951</v>
      </c>
      <c r="O20" s="207">
        <f>+M20</f>
        <v>1.0243332704301951</v>
      </c>
      <c r="P20" s="208"/>
    </row>
    <row r="21" spans="1:17">
      <c r="A21" s="205" t="s">
        <v>508</v>
      </c>
      <c r="B21" s="44">
        <f t="shared" ref="B21:M21" si="3">+B19*B20</f>
        <v>1244337.1188939135</v>
      </c>
      <c r="C21" s="44">
        <f t="shared" si="3"/>
        <v>1135743.8259114979</v>
      </c>
      <c r="D21" s="44">
        <f t="shared" si="3"/>
        <v>1060399.7621411888</v>
      </c>
      <c r="E21" s="78">
        <f t="shared" si="3"/>
        <v>1060882.3825735603</v>
      </c>
      <c r="F21" s="78">
        <f t="shared" si="3"/>
        <v>1178240.6328130611</v>
      </c>
      <c r="G21" s="78">
        <f t="shared" si="3"/>
        <v>1263948.1227077453</v>
      </c>
      <c r="H21" s="78">
        <f t="shared" si="3"/>
        <v>1260073.7476230476</v>
      </c>
      <c r="I21" s="78">
        <f t="shared" si="3"/>
        <v>1328970.6318452479</v>
      </c>
      <c r="J21" s="78">
        <f t="shared" si="3"/>
        <v>1155859.408206563</v>
      </c>
      <c r="K21" s="78">
        <f t="shared" si="3"/>
        <v>1177387.4028366935</v>
      </c>
      <c r="L21" s="78">
        <f t="shared" si="3"/>
        <v>1028145.4434304776</v>
      </c>
      <c r="M21" s="78">
        <f t="shared" si="3"/>
        <v>991350.57631691545</v>
      </c>
      <c r="O21" s="44">
        <f>+O19*O20</f>
        <v>1157111.5879416591</v>
      </c>
      <c r="P21" s="208">
        <f>+O21/O29</f>
        <v>5.6684824327542634E-2</v>
      </c>
      <c r="Q21" s="230"/>
    </row>
    <row r="22" spans="1:17">
      <c r="E22" s="10"/>
      <c r="F22" s="10"/>
      <c r="G22" s="10"/>
      <c r="H22" s="10"/>
      <c r="I22" s="10"/>
      <c r="J22" s="10"/>
      <c r="K22" s="10"/>
      <c r="L22" s="10"/>
      <c r="M22" s="10"/>
      <c r="P22" s="208"/>
    </row>
    <row r="23" spans="1:17">
      <c r="A23" s="206" t="s">
        <v>505</v>
      </c>
      <c r="B23" s="145">
        <f>+B31-B15</f>
        <v>1011585.7160248831</v>
      </c>
      <c r="C23" s="145">
        <f>+C31-C15</f>
        <v>922260.09594556876</v>
      </c>
      <c r="D23" s="145">
        <f>+D31-D15</f>
        <v>969506.69459230639</v>
      </c>
      <c r="E23" s="228">
        <f>+'2016 CP (FNG)'!B12*1000</f>
        <v>1214777.6068733197</v>
      </c>
      <c r="F23" s="228">
        <f>+'2016 CP (FNG)'!C12*1000</f>
        <v>1108763.972329546</v>
      </c>
      <c r="G23" s="228">
        <f>+'2016 CP (FNG)'!D12*1000</f>
        <v>1035209.72397572</v>
      </c>
      <c r="H23" s="228">
        <f>+'2016 CP (FNG)'!E12*1000</f>
        <v>1035680.8796496628</v>
      </c>
      <c r="I23" s="228">
        <f>+'2016 CP (FNG)'!F12*1000</f>
        <v>1150251.2578921006</v>
      </c>
      <c r="J23" s="228">
        <f>+'2016 CP (FNG)'!G12*1000</f>
        <v>1233922.7468194196</v>
      </c>
      <c r="K23" s="228">
        <f>+'2016 CP (FNG)'!H12*1000</f>
        <v>1230140.4083983791</v>
      </c>
      <c r="L23" s="228">
        <f>+'2016 CP (FNG)'!I12*1000</f>
        <v>1297400.6314244899</v>
      </c>
      <c r="M23" s="228">
        <f>+'2016 CP (FNG)'!J12*1000</f>
        <v>1128401.7043799916</v>
      </c>
      <c r="O23" s="44">
        <f>AVERAGE(B23:M23)</f>
        <v>1111491.7865254488</v>
      </c>
      <c r="P23" s="208">
        <f>+O23/O31</f>
        <v>5.4938014961323105E-2</v>
      </c>
    </row>
    <row r="24" spans="1:17">
      <c r="E24" s="10"/>
      <c r="F24" s="10"/>
      <c r="G24" s="10"/>
      <c r="H24" s="10"/>
      <c r="I24" s="10"/>
      <c r="J24" s="10"/>
      <c r="K24" s="10"/>
      <c r="L24" s="10"/>
      <c r="M24" s="10"/>
      <c r="P24" s="208"/>
    </row>
    <row r="25" spans="1:17">
      <c r="P25" s="208"/>
    </row>
    <row r="26" spans="1:17">
      <c r="A26" s="8" t="s">
        <v>510</v>
      </c>
      <c r="P26" s="208"/>
    </row>
    <row r="27" spans="1:17">
      <c r="A27" s="205" t="s">
        <v>503</v>
      </c>
      <c r="B27" s="44">
        <f>+B11+B19</f>
        <v>18224496.024575096</v>
      </c>
      <c r="C27" s="44">
        <f t="shared" ref="C27:M27" si="4">+C11+C19</f>
        <v>16899548.355427936</v>
      </c>
      <c r="D27" s="44">
        <f t="shared" si="4"/>
        <v>15757360.471485339</v>
      </c>
      <c r="E27" s="44">
        <f t="shared" si="4"/>
        <v>17540582.008055303</v>
      </c>
      <c r="F27" s="44">
        <f t="shared" si="4"/>
        <v>18890634.899294164</v>
      </c>
      <c r="G27" s="44">
        <f t="shared" si="4"/>
        <v>21030307.191586465</v>
      </c>
      <c r="H27" s="44">
        <f t="shared" si="4"/>
        <v>21161156.596233018</v>
      </c>
      <c r="I27" s="44">
        <f t="shared" si="4"/>
        <v>21079251.144695599</v>
      </c>
      <c r="J27" s="44">
        <f t="shared" si="4"/>
        <v>21441855.087695025</v>
      </c>
      <c r="K27" s="44">
        <f t="shared" si="4"/>
        <v>19980627.986563392</v>
      </c>
      <c r="L27" s="44">
        <f t="shared" si="4"/>
        <v>18257050.107749317</v>
      </c>
      <c r="M27" s="44">
        <f t="shared" si="4"/>
        <v>16814144.39597629</v>
      </c>
      <c r="O27" s="44">
        <f>AVERAGE(B27:M27)</f>
        <v>18923084.522444744</v>
      </c>
      <c r="P27" s="208"/>
    </row>
    <row r="28" spans="1:17">
      <c r="A28" s="206" t="s">
        <v>499</v>
      </c>
      <c r="B28" s="207">
        <f>+B29/B27</f>
        <v>1.0783365698963181</v>
      </c>
      <c r="C28" s="207">
        <f t="shared" ref="C28:O28" si="5">+C29/C27</f>
        <v>1.078397161982211</v>
      </c>
      <c r="D28" s="207">
        <f t="shared" si="5"/>
        <v>1.0783920812764212</v>
      </c>
      <c r="E28" s="207">
        <f t="shared" si="5"/>
        <v>1.0787769695941913</v>
      </c>
      <c r="F28" s="207">
        <f t="shared" si="5"/>
        <v>1.0786702071133984</v>
      </c>
      <c r="G28" s="207">
        <f t="shared" si="5"/>
        <v>1.0787984526104473</v>
      </c>
      <c r="H28" s="207">
        <f t="shared" si="5"/>
        <v>1.0788297864747924</v>
      </c>
      <c r="I28" s="207">
        <f t="shared" si="5"/>
        <v>1.0786320958886086</v>
      </c>
      <c r="J28" s="207">
        <f t="shared" si="5"/>
        <v>1.0791483568571834</v>
      </c>
      <c r="K28" s="207">
        <f t="shared" si="5"/>
        <v>1.0788648130510174</v>
      </c>
      <c r="L28" s="207">
        <f t="shared" si="5"/>
        <v>1.0790123230845909</v>
      </c>
      <c r="M28" s="207">
        <f t="shared" si="5"/>
        <v>1.0788629559745604</v>
      </c>
      <c r="O28" s="207">
        <f t="shared" si="5"/>
        <v>1.0787393189495085</v>
      </c>
      <c r="P28" s="208"/>
    </row>
    <row r="29" spans="1:17">
      <c r="A29" s="205" t="s">
        <v>511</v>
      </c>
      <c r="B29" s="44">
        <f>+B13+B21</f>
        <v>19652140.531229395</v>
      </c>
      <c r="C29" s="44">
        <f t="shared" ref="C29:M29" si="6">+C13+C21</f>
        <v>18224424.985274628</v>
      </c>
      <c r="D29" s="44">
        <f t="shared" si="6"/>
        <v>16992612.754267883</v>
      </c>
      <c r="E29" s="44">
        <f t="shared" si="6"/>
        <v>18922375.903568294</v>
      </c>
      <c r="F29" s="44">
        <f t="shared" si="6"/>
        <v>20376765.059325229</v>
      </c>
      <c r="G29" s="44">
        <f t="shared" si="6"/>
        <v>22687462.85620584</v>
      </c>
      <c r="H29" s="44">
        <f t="shared" si="6"/>
        <v>22829286.052273713</v>
      </c>
      <c r="I29" s="44">
        <f t="shared" si="6"/>
        <v>22736756.841965366</v>
      </c>
      <c r="J29" s="44">
        <f t="shared" si="6"/>
        <v>23138942.685855921</v>
      </c>
      <c r="K29" s="44">
        <f t="shared" si="6"/>
        <v>21556396.477365643</v>
      </c>
      <c r="L29" s="44">
        <f t="shared" si="6"/>
        <v>19699582.049434371</v>
      </c>
      <c r="M29" s="44">
        <f t="shared" si="6"/>
        <v>18140157.525226068</v>
      </c>
      <c r="O29" s="44">
        <f>AVERAGE(B29:M29)</f>
        <v>20413075.310166027</v>
      </c>
      <c r="P29" s="208"/>
    </row>
    <row r="30" spans="1:17">
      <c r="P30" s="208"/>
    </row>
    <row r="31" spans="1:17">
      <c r="A31" s="206" t="s">
        <v>505</v>
      </c>
      <c r="B31" s="44">
        <v>19138000</v>
      </c>
      <c r="C31" s="44">
        <v>16213021.080946475</v>
      </c>
      <c r="D31" s="44">
        <v>16066710.703263609</v>
      </c>
      <c r="E31" s="44">
        <f>+E15+E23</f>
        <v>20251941.018678986</v>
      </c>
      <c r="F31" s="44">
        <f t="shared" ref="F31:M31" si="7">+F15+F23</f>
        <v>18253899.702467568</v>
      </c>
      <c r="G31" s="44">
        <f t="shared" si="7"/>
        <v>18198637.403704528</v>
      </c>
      <c r="H31" s="44">
        <f t="shared" si="7"/>
        <v>19761218.433083501</v>
      </c>
      <c r="I31" s="44">
        <f t="shared" si="7"/>
        <v>21594020.757784236</v>
      </c>
      <c r="J31" s="44">
        <f t="shared" si="7"/>
        <v>23043730.962973796</v>
      </c>
      <c r="K31" s="44">
        <f t="shared" si="7"/>
        <v>23451526.308892846</v>
      </c>
      <c r="L31" s="44">
        <f t="shared" si="7"/>
        <v>24169686.546596024</v>
      </c>
      <c r="M31" s="44">
        <f t="shared" si="7"/>
        <v>22638520.219722282</v>
      </c>
      <c r="O31" s="44">
        <f>AVERAGE(B31:M31)</f>
        <v>20231742.761509489</v>
      </c>
      <c r="P31" s="208"/>
    </row>
    <row r="32" spans="1:17" ht="13.8" thickBot="1">
      <c r="P32" s="208"/>
    </row>
    <row r="33" spans="1:17" ht="13.8" thickBot="1">
      <c r="A33" s="8" t="s">
        <v>512</v>
      </c>
      <c r="O33" s="211">
        <f>+O29-O31</f>
        <v>181332.54865653813</v>
      </c>
      <c r="P33" s="212">
        <f>+P13-P15</f>
        <v>-1.746809366219515E-3</v>
      </c>
      <c r="Q33" s="230">
        <f>(+O29-O31)/O31</f>
        <v>8.9627745268450083E-3</v>
      </c>
    </row>
    <row r="36" spans="1:17" ht="21">
      <c r="A36" s="124" t="s">
        <v>530</v>
      </c>
      <c r="B36" s="165"/>
      <c r="C36" s="165"/>
      <c r="D36" s="165"/>
      <c r="E36" s="165"/>
      <c r="F36" s="165"/>
      <c r="G36" s="165"/>
      <c r="H36" s="165"/>
      <c r="I36" s="165"/>
      <c r="J36" s="165"/>
      <c r="K36" s="165"/>
      <c r="L36" s="165"/>
      <c r="M36" s="165"/>
      <c r="N36" s="172"/>
      <c r="O36" s="165"/>
      <c r="P36" s="172"/>
    </row>
    <row r="37" spans="1:17" ht="21">
      <c r="A37" s="124" t="str">
        <f>MANUAL!$B$10&amp;" - TEST YEAR"</f>
        <v>2017 - TEST YEAR</v>
      </c>
      <c r="B37" s="165"/>
      <c r="C37" s="165"/>
      <c r="D37" s="165"/>
      <c r="E37" s="165"/>
      <c r="F37" s="165"/>
      <c r="G37" s="165"/>
      <c r="H37" s="165"/>
      <c r="I37" s="165"/>
      <c r="J37" s="165"/>
      <c r="K37" s="165"/>
      <c r="L37" s="165"/>
      <c r="M37" s="165"/>
      <c r="N37" s="172"/>
      <c r="O37" s="165"/>
      <c r="P37" s="172"/>
    </row>
    <row r="38" spans="1:17" ht="21.6" thickBot="1">
      <c r="A38" s="124"/>
      <c r="B38" s="165"/>
      <c r="C38" s="165"/>
      <c r="D38" s="165"/>
      <c r="E38" s="165"/>
      <c r="F38" s="165"/>
      <c r="G38" s="165"/>
      <c r="H38" s="165"/>
      <c r="I38" s="165"/>
      <c r="J38" s="165"/>
      <c r="K38" s="165"/>
      <c r="L38" s="165"/>
      <c r="M38" s="165"/>
      <c r="N38" s="172"/>
      <c r="O38" s="165"/>
      <c r="P38" s="172"/>
    </row>
    <row r="39" spans="1:17" ht="13.8" thickBot="1">
      <c r="A39" s="168"/>
      <c r="B39" s="572" t="s">
        <v>339</v>
      </c>
      <c r="C39" s="573"/>
      <c r="D39" s="574"/>
      <c r="E39" s="575" t="s">
        <v>340</v>
      </c>
      <c r="F39" s="576"/>
      <c r="G39" s="576"/>
      <c r="H39" s="576"/>
      <c r="I39" s="576"/>
      <c r="J39" s="576"/>
      <c r="K39" s="577"/>
      <c r="L39" s="572" t="s">
        <v>339</v>
      </c>
      <c r="M39" s="574"/>
      <c r="N39" s="164"/>
      <c r="O39" s="231"/>
      <c r="P39" s="232" t="s">
        <v>513</v>
      </c>
      <c r="Q39" s="233" t="s">
        <v>533</v>
      </c>
    </row>
    <row r="40" spans="1:17" ht="13.8" thickBot="1">
      <c r="A40" s="171" t="s">
        <v>454</v>
      </c>
      <c r="B40" s="100" t="s">
        <v>70</v>
      </c>
      <c r="C40" s="100" t="s">
        <v>71</v>
      </c>
      <c r="D40" s="100" t="s">
        <v>72</v>
      </c>
      <c r="E40" s="103" t="s">
        <v>73</v>
      </c>
      <c r="F40" s="103" t="s">
        <v>74</v>
      </c>
      <c r="G40" s="103" t="s">
        <v>75</v>
      </c>
      <c r="H40" s="103" t="s">
        <v>76</v>
      </c>
      <c r="I40" s="103" t="s">
        <v>77</v>
      </c>
      <c r="J40" s="103" t="s">
        <v>78</v>
      </c>
      <c r="K40" s="103" t="s">
        <v>79</v>
      </c>
      <c r="L40" s="100" t="s">
        <v>80</v>
      </c>
      <c r="M40" s="100" t="s">
        <v>81</v>
      </c>
      <c r="N40" s="165"/>
      <c r="O40" s="210" t="s">
        <v>496</v>
      </c>
      <c r="P40" s="209" t="s">
        <v>514</v>
      </c>
      <c r="Q40" s="234" t="s">
        <v>512</v>
      </c>
    </row>
    <row r="42" spans="1:17">
      <c r="A42" s="8" t="s">
        <v>502</v>
      </c>
    </row>
    <row r="43" spans="1:17">
      <c r="A43" s="205" t="s">
        <v>501</v>
      </c>
      <c r="B43" s="145">
        <f>+'CP FCST'!B75</f>
        <v>18748396.30637113</v>
      </c>
      <c r="C43" s="145">
        <f>+'CP FCST'!C75</f>
        <v>16357201.100158051</v>
      </c>
      <c r="D43" s="145">
        <f>+'CP FCST'!D75</f>
        <v>16359158.894465378</v>
      </c>
      <c r="E43" s="145">
        <f>+'CP FCST'!E75</f>
        <v>17829766.747933164</v>
      </c>
      <c r="F43" s="145">
        <f>+'CP FCST'!F75</f>
        <v>19465750.831577405</v>
      </c>
      <c r="G43" s="145">
        <f>+'CP FCST'!G75</f>
        <v>20768830.749656145</v>
      </c>
      <c r="H43" s="145">
        <f>+'CP FCST'!H75</f>
        <v>21161882.478610571</v>
      </c>
      <c r="I43" s="145">
        <f>+'CP FCST'!I75</f>
        <v>21676046.427368242</v>
      </c>
      <c r="J43" s="145">
        <f>+'CP FCST'!J75</f>
        <v>20477883.05979326</v>
      </c>
      <c r="K43" s="145">
        <f>+'CP FCST'!K75</f>
        <v>19182274.988108326</v>
      </c>
      <c r="L43" s="145">
        <f>+'CP FCST'!L75</f>
        <v>16872166.133933943</v>
      </c>
      <c r="M43" s="145">
        <f>+'CP FCST'!M75</f>
        <v>16213950.336320752</v>
      </c>
      <c r="O43" s="44">
        <f>AVERAGE(B43:M43)</f>
        <v>18759442.337858032</v>
      </c>
    </row>
    <row r="44" spans="1:17">
      <c r="A44" s="206" t="s">
        <v>499</v>
      </c>
      <c r="B44" s="207">
        <v>1.0821194885550161</v>
      </c>
      <c r="C44" s="207">
        <f>+B44</f>
        <v>1.0821194885550161</v>
      </c>
      <c r="D44" s="207">
        <f t="shared" ref="D44:M44" si="8">+C44</f>
        <v>1.0821194885550161</v>
      </c>
      <c r="E44" s="207">
        <f t="shared" si="8"/>
        <v>1.0821194885550161</v>
      </c>
      <c r="F44" s="207">
        <f t="shared" si="8"/>
        <v>1.0821194885550161</v>
      </c>
      <c r="G44" s="207">
        <f t="shared" si="8"/>
        <v>1.0821194885550161</v>
      </c>
      <c r="H44" s="207">
        <f t="shared" si="8"/>
        <v>1.0821194885550161</v>
      </c>
      <c r="I44" s="207">
        <f t="shared" si="8"/>
        <v>1.0821194885550161</v>
      </c>
      <c r="J44" s="207">
        <f t="shared" si="8"/>
        <v>1.0821194885550161</v>
      </c>
      <c r="K44" s="207">
        <f t="shared" si="8"/>
        <v>1.0821194885550161</v>
      </c>
      <c r="L44" s="207">
        <f t="shared" si="8"/>
        <v>1.0821194885550161</v>
      </c>
      <c r="M44" s="207">
        <f t="shared" si="8"/>
        <v>1.0821194885550161</v>
      </c>
      <c r="O44" s="207">
        <f>+M44</f>
        <v>1.0821194885550161</v>
      </c>
    </row>
    <row r="45" spans="1:17">
      <c r="A45" s="205" t="s">
        <v>504</v>
      </c>
      <c r="B45" s="44">
        <f t="shared" ref="B45:M45" si="9">+B43*B44</f>
        <v>20288005.02227708</v>
      </c>
      <c r="C45" s="44">
        <f t="shared" si="9"/>
        <v>17700446.088694576</v>
      </c>
      <c r="D45" s="44">
        <f t="shared" si="9"/>
        <v>17702564.656069115</v>
      </c>
      <c r="E45" s="44">
        <f t="shared" si="9"/>
        <v>19293938.074328668</v>
      </c>
      <c r="F45" s="44">
        <f t="shared" si="9"/>
        <v>21064268.334205922</v>
      </c>
      <c r="G45" s="44">
        <f t="shared" si="9"/>
        <v>22474356.508703597</v>
      </c>
      <c r="H45" s="44">
        <f t="shared" si="9"/>
        <v>22899685.444615427</v>
      </c>
      <c r="I45" s="44">
        <f t="shared" si="9"/>
        <v>23456072.273878504</v>
      </c>
      <c r="J45" s="44">
        <f t="shared" si="9"/>
        <v>22159516.34335291</v>
      </c>
      <c r="K45" s="44">
        <f t="shared" si="9"/>
        <v>20757513.599453457</v>
      </c>
      <c r="L45" s="44">
        <f t="shared" si="9"/>
        <v>18257699.787667859</v>
      </c>
      <c r="M45" s="44">
        <f t="shared" si="9"/>
        <v>17545431.645395841</v>
      </c>
      <c r="O45" s="44">
        <f>+O43*O44</f>
        <v>20299958.148220249</v>
      </c>
      <c r="P45" s="208">
        <f>+O45/O61</f>
        <v>0.95135219422648987</v>
      </c>
      <c r="Q45" s="230">
        <f>(+P45-P47)/P47</f>
        <v>2.1678516677988086E-3</v>
      </c>
    </row>
    <row r="46" spans="1:17">
      <c r="P46" s="208"/>
    </row>
    <row r="47" spans="1:17">
      <c r="A47" s="206" t="s">
        <v>505</v>
      </c>
      <c r="B47" s="145">
        <f>+'2016 CP (FNG)'!K15*1000</f>
        <v>20148991.77526442</v>
      </c>
      <c r="C47" s="145">
        <f>+'2016 CP (FNG)'!L15*1000</f>
        <v>17710892.061690502</v>
      </c>
      <c r="D47" s="145">
        <f>+'2016 CP (FNG)'!M15*1000</f>
        <v>17011170.764582586</v>
      </c>
      <c r="E47" s="145">
        <f>+'2017 CP (FNG)'!B15*1000</f>
        <v>19937403.353522032</v>
      </c>
      <c r="F47" s="145">
        <f>+'2017 CP (FNG)'!C15*1000</f>
        <v>17390989.792581201</v>
      </c>
      <c r="G47" s="145">
        <f>+'2017 CP (FNG)'!D15*1000</f>
        <v>17393946.993306089</v>
      </c>
      <c r="H47" s="145">
        <f>+'2017 CP (FNG)'!E15*1000</f>
        <v>18958526.932622138</v>
      </c>
      <c r="I47" s="145">
        <f>+'2017 CP (FNG)'!F15*1000</f>
        <v>20699570.149040964</v>
      </c>
      <c r="J47" s="145">
        <f>+'2017 CP (FNG)'!G15*1000</f>
        <v>22086350.733720858</v>
      </c>
      <c r="K47" s="145">
        <f>+'2017 CP (FNG)'!H15*1000</f>
        <v>22505074.55969708</v>
      </c>
      <c r="L47" s="145">
        <f>+'2017 CP (FNG)'!I15*1000</f>
        <v>23051751.721278533</v>
      </c>
      <c r="M47" s="145">
        <f>+'2017 CP (FNG)'!J15*1000</f>
        <v>21777775.457495999</v>
      </c>
      <c r="O47" s="44">
        <f>AVERAGE(B47:M47)</f>
        <v>19889370.357900202</v>
      </c>
      <c r="P47" s="208">
        <f>+O47/O63</f>
        <v>0.94929426507072445</v>
      </c>
    </row>
    <row r="48" spans="1:17">
      <c r="P48" s="208"/>
    </row>
    <row r="49" spans="1:16">
      <c r="P49" s="208"/>
    </row>
    <row r="50" spans="1:16">
      <c r="A50" s="8" t="s">
        <v>506</v>
      </c>
      <c r="P50" s="208"/>
    </row>
    <row r="51" spans="1:16">
      <c r="A51" s="205" t="s">
        <v>507</v>
      </c>
      <c r="B51" s="145">
        <f>+'CP FCST'!B88</f>
        <v>1176872.3715170724</v>
      </c>
      <c r="C51" s="145">
        <f>+'CP FCST'!C88</f>
        <v>967421.84271767689</v>
      </c>
      <c r="D51" s="145">
        <f>+'CP FCST'!D88</f>
        <v>910074.26247069251</v>
      </c>
      <c r="E51" s="145">
        <f>+'CP FCST'!E88</f>
        <v>918643.10205591214</v>
      </c>
      <c r="F51" s="145">
        <f>+'CP FCST'!F88</f>
        <v>1020786.4773999987</v>
      </c>
      <c r="G51" s="145">
        <f>+'CP FCST'!G88</f>
        <v>1092136.0669891266</v>
      </c>
      <c r="H51" s="145">
        <f>+'CP FCST'!H88</f>
        <v>1084187.9036282627</v>
      </c>
      <c r="I51" s="145">
        <f>+'CP FCST'!I88</f>
        <v>1256843.6861686721</v>
      </c>
      <c r="J51" s="145">
        <f>+'CP FCST'!J88</f>
        <v>994836.32875503507</v>
      </c>
      <c r="K51" s="145">
        <f>+'CP FCST'!K88</f>
        <v>1023745.0874299929</v>
      </c>
      <c r="L51" s="145">
        <f>+'CP FCST'!L88</f>
        <v>884723.37747713528</v>
      </c>
      <c r="M51" s="145">
        <f>+'CP FCST'!M88</f>
        <v>844942.77356614033</v>
      </c>
      <c r="O51" s="44">
        <f>AVERAGE(B51:M51)</f>
        <v>1014601.1066813098</v>
      </c>
      <c r="P51" s="208"/>
    </row>
    <row r="52" spans="1:16">
      <c r="A52" s="206" t="s">
        <v>499</v>
      </c>
      <c r="B52" s="207">
        <v>1.0231086186078144</v>
      </c>
      <c r="C52" s="207">
        <f>+B52</f>
        <v>1.0231086186078144</v>
      </c>
      <c r="D52" s="207">
        <f t="shared" ref="D52:M52" si="10">+C52</f>
        <v>1.0231086186078144</v>
      </c>
      <c r="E52" s="207">
        <f t="shared" si="10"/>
        <v>1.0231086186078144</v>
      </c>
      <c r="F52" s="207">
        <f t="shared" si="10"/>
        <v>1.0231086186078144</v>
      </c>
      <c r="G52" s="207">
        <f t="shared" si="10"/>
        <v>1.0231086186078144</v>
      </c>
      <c r="H52" s="207">
        <f t="shared" si="10"/>
        <v>1.0231086186078144</v>
      </c>
      <c r="I52" s="207">
        <f t="shared" si="10"/>
        <v>1.0231086186078144</v>
      </c>
      <c r="J52" s="207">
        <f t="shared" si="10"/>
        <v>1.0231086186078144</v>
      </c>
      <c r="K52" s="207">
        <f t="shared" si="10"/>
        <v>1.0231086186078144</v>
      </c>
      <c r="L52" s="207">
        <f t="shared" si="10"/>
        <v>1.0231086186078144</v>
      </c>
      <c r="M52" s="207">
        <f t="shared" si="10"/>
        <v>1.0231086186078144</v>
      </c>
      <c r="O52" s="207">
        <f>+M52</f>
        <v>1.0231086186078144</v>
      </c>
      <c r="P52" s="208"/>
    </row>
    <row r="53" spans="1:16">
      <c r="A53" s="205" t="s">
        <v>508</v>
      </c>
      <c r="B53" s="44">
        <f t="shared" ref="B53:M53" si="11">+B51*B52</f>
        <v>1204068.2663005346</v>
      </c>
      <c r="C53" s="44">
        <f t="shared" si="11"/>
        <v>989777.62511390878</v>
      </c>
      <c r="D53" s="44">
        <f t="shared" si="11"/>
        <v>931104.82150691573</v>
      </c>
      <c r="E53" s="44">
        <f t="shared" si="11"/>
        <v>939871.67513802182</v>
      </c>
      <c r="F53" s="44">
        <f t="shared" si="11"/>
        <v>1044375.4427862497</v>
      </c>
      <c r="G53" s="44">
        <f t="shared" si="11"/>
        <v>1117373.8228290167</v>
      </c>
      <c r="H53" s="44">
        <f t="shared" si="11"/>
        <v>1109241.9883924141</v>
      </c>
      <c r="I53" s="44">
        <f t="shared" si="11"/>
        <v>1285887.6075619834</v>
      </c>
      <c r="J53" s="44">
        <f t="shared" si="11"/>
        <v>1017825.6220534334</v>
      </c>
      <c r="K53" s="44">
        <f t="shared" si="11"/>
        <v>1047402.4222070362</v>
      </c>
      <c r="L53" s="44">
        <f t="shared" si="11"/>
        <v>905168.11258067179</v>
      </c>
      <c r="M53" s="44">
        <f t="shared" si="11"/>
        <v>864468.23386590916</v>
      </c>
      <c r="O53" s="44">
        <f>+O51*O52</f>
        <v>1038047.1366946746</v>
      </c>
      <c r="P53" s="208">
        <f>+O53/O61</f>
        <v>4.8647805773510168E-2</v>
      </c>
    </row>
    <row r="54" spans="1:16">
      <c r="P54" s="208"/>
    </row>
    <row r="55" spans="1:16">
      <c r="A55" s="206" t="s">
        <v>505</v>
      </c>
      <c r="B55" s="145">
        <f>+'2016 CP (FNG)'!K12*1000</f>
        <v>1149418.2965883941</v>
      </c>
      <c r="C55" s="145">
        <f>+'2016 CP (FNG)'!L12*1000</f>
        <v>1003721.6139613249</v>
      </c>
      <c r="D55" s="145">
        <f>+'2016 CP (FNG)'!M12*1000</f>
        <v>967800.81730682484</v>
      </c>
      <c r="E55" s="145">
        <f>+'2017 CP (FNG)'!B12*1000</f>
        <v>1202571.262427175</v>
      </c>
      <c r="F55" s="145">
        <f>+'2017 CP (FNG)'!C12*1000</f>
        <v>988547.0462671523</v>
      </c>
      <c r="G55" s="145">
        <f>+'2017 CP (FNG)'!D12*1000</f>
        <v>929947.18986483093</v>
      </c>
      <c r="H55" s="145">
        <f>+'2017 CP (FNG)'!E12*1000</f>
        <v>938703.14377022348</v>
      </c>
      <c r="I55" s="145">
        <f>+'2017 CP (FNG)'!F12*1000</f>
        <v>1043076.983116769</v>
      </c>
      <c r="J55" s="145">
        <f>+'2017 CP (FNG)'!G12*1000</f>
        <v>1115984.6051346539</v>
      </c>
      <c r="K55" s="145">
        <f>+'2017 CP (FNG)'!H12*1000</f>
        <v>1107862.8809118902</v>
      </c>
      <c r="L55" s="145">
        <f>+'2017 CP (FNG)'!I12*1000</f>
        <v>1284288.8786667027</v>
      </c>
      <c r="M55" s="145">
        <f>+'2017 CP (FNG)'!J12*1000</f>
        <v>1016560.1714629116</v>
      </c>
      <c r="O55" s="44">
        <f>AVERAGE(B55:M55)</f>
        <v>1062373.5741232377</v>
      </c>
      <c r="P55" s="208">
        <f>+O55/O63</f>
        <v>5.0705734929275541E-2</v>
      </c>
    </row>
    <row r="56" spans="1:16">
      <c r="P56" s="208"/>
    </row>
    <row r="57" spans="1:16">
      <c r="P57" s="208"/>
    </row>
    <row r="58" spans="1:16">
      <c r="A58" s="8" t="s">
        <v>510</v>
      </c>
      <c r="P58" s="208"/>
    </row>
    <row r="59" spans="1:16">
      <c r="A59" s="205" t="s">
        <v>503</v>
      </c>
      <c r="B59" s="44">
        <f>+B43+B51</f>
        <v>19925268.677888203</v>
      </c>
      <c r="C59" s="44">
        <f t="shared" ref="C59:M59" si="12">+C43+C51</f>
        <v>17324622.942875728</v>
      </c>
      <c r="D59" s="44">
        <f t="shared" si="12"/>
        <v>17269233.156936072</v>
      </c>
      <c r="E59" s="44">
        <f t="shared" si="12"/>
        <v>18748409.849989075</v>
      </c>
      <c r="F59" s="44">
        <f t="shared" si="12"/>
        <v>20486537.308977403</v>
      </c>
      <c r="G59" s="44">
        <f t="shared" si="12"/>
        <v>21860966.816645272</v>
      </c>
      <c r="H59" s="44">
        <f t="shared" si="12"/>
        <v>22246070.382238835</v>
      </c>
      <c r="I59" s="44">
        <f t="shared" si="12"/>
        <v>22932890.113536913</v>
      </c>
      <c r="J59" s="44">
        <f t="shared" si="12"/>
        <v>21472719.388548296</v>
      </c>
      <c r="K59" s="44">
        <f t="shared" si="12"/>
        <v>20206020.075538319</v>
      </c>
      <c r="L59" s="44">
        <f t="shared" si="12"/>
        <v>17756889.511411078</v>
      </c>
      <c r="M59" s="44">
        <f t="shared" si="12"/>
        <v>17058893.109886892</v>
      </c>
      <c r="O59" s="44">
        <f>AVERAGE(B59:M59)</f>
        <v>19774043.444539338</v>
      </c>
      <c r="P59" s="208"/>
    </row>
    <row r="60" spans="1:16">
      <c r="A60" s="206" t="s">
        <v>499</v>
      </c>
      <c r="B60" s="207">
        <f t="shared" ref="B60:M60" si="13">+B61/B59</f>
        <v>1.0786340518674236</v>
      </c>
      <c r="C60" s="207">
        <f t="shared" si="13"/>
        <v>1.0788242708332259</v>
      </c>
      <c r="D60" s="207">
        <f t="shared" si="13"/>
        <v>1.0790096646585574</v>
      </c>
      <c r="E60" s="207">
        <f t="shared" si="13"/>
        <v>1.079228047144408</v>
      </c>
      <c r="F60" s="207">
        <f t="shared" si="13"/>
        <v>1.0791791430416084</v>
      </c>
      <c r="G60" s="207">
        <f t="shared" si="13"/>
        <v>1.0791714076236332</v>
      </c>
      <c r="H60" s="207">
        <f t="shared" si="13"/>
        <v>1.0792435257319182</v>
      </c>
      <c r="I60" s="207">
        <f t="shared" si="13"/>
        <v>1.0788853807325274</v>
      </c>
      <c r="J60" s="207">
        <f t="shared" si="13"/>
        <v>1.0793855005513249</v>
      </c>
      <c r="K60" s="207">
        <f t="shared" si="13"/>
        <v>1.0791296821514009</v>
      </c>
      <c r="L60" s="207">
        <f t="shared" si="13"/>
        <v>1.079179317297319</v>
      </c>
      <c r="M60" s="207">
        <f t="shared" si="13"/>
        <v>1.0791966255179739</v>
      </c>
      <c r="O60" s="207">
        <f>+O61/O59</f>
        <v>1.0790916559257118</v>
      </c>
      <c r="P60" s="208"/>
    </row>
    <row r="61" spans="1:16">
      <c r="A61" s="205" t="s">
        <v>511</v>
      </c>
      <c r="B61" s="44">
        <f>+B45+B53</f>
        <v>21492073.288577612</v>
      </c>
      <c r="C61" s="44">
        <f t="shared" ref="C61:M61" si="14">+C45+C53</f>
        <v>18690223.713808484</v>
      </c>
      <c r="D61" s="44">
        <f t="shared" si="14"/>
        <v>18633669.477576032</v>
      </c>
      <c r="E61" s="44">
        <f t="shared" si="14"/>
        <v>20233809.749466691</v>
      </c>
      <c r="F61" s="44">
        <f t="shared" si="14"/>
        <v>22108643.776992172</v>
      </c>
      <c r="G61" s="44">
        <f t="shared" si="14"/>
        <v>23591730.331532612</v>
      </c>
      <c r="H61" s="44">
        <f t="shared" si="14"/>
        <v>24008927.43300784</v>
      </c>
      <c r="I61" s="44">
        <f t="shared" si="14"/>
        <v>24741959.881440487</v>
      </c>
      <c r="J61" s="44">
        <f t="shared" si="14"/>
        <v>23177341.965406343</v>
      </c>
      <c r="K61" s="44">
        <f t="shared" si="14"/>
        <v>21804916.021660492</v>
      </c>
      <c r="L61" s="44">
        <f t="shared" si="14"/>
        <v>19162867.900248531</v>
      </c>
      <c r="M61" s="44">
        <f t="shared" si="14"/>
        <v>18409899.879261751</v>
      </c>
      <c r="O61" s="44">
        <f>AVERAGE(B61:M61)</f>
        <v>21338005.284914922</v>
      </c>
      <c r="P61" s="208"/>
    </row>
    <row r="62" spans="1:16">
      <c r="P62" s="208"/>
    </row>
    <row r="63" spans="1:16" ht="409.6">
      <c r="A63" s="206" t="s">
        <v>505</v>
      </c>
      <c r="B63" s="44">
        <f>+B47+B55</f>
        <v>21298410.071852814</v>
      </c>
      <c r="C63" s="44">
        <f t="shared" ref="C63:M63" si="15">+C47+C55</f>
        <v>18714613.675651826</v>
      </c>
      <c r="D63" s="44">
        <f t="shared" si="15"/>
        <v>17978971.58188941</v>
      </c>
      <c r="E63" s="44">
        <f t="shared" si="15"/>
        <v>21139974.615949206</v>
      </c>
      <c r="F63" s="44">
        <f t="shared" si="15"/>
        <v>18379536.838848352</v>
      </c>
      <c r="G63" s="44">
        <f t="shared" si="15"/>
        <v>18323894.183170918</v>
      </c>
      <c r="H63" s="44">
        <f t="shared" si="15"/>
        <v>19897230.07639236</v>
      </c>
      <c r="I63" s="44">
        <f t="shared" si="15"/>
        <v>21742647.132157732</v>
      </c>
      <c r="J63" s="44">
        <f t="shared" si="15"/>
        <v>23202335.338855512</v>
      </c>
      <c r="K63" s="44">
        <f t="shared" si="15"/>
        <v>23612937.440608971</v>
      </c>
      <c r="L63" s="44">
        <f t="shared" si="15"/>
        <v>24336040.599945236</v>
      </c>
      <c r="M63" s="44">
        <f t="shared" si="15"/>
        <v>22794335.628958911</v>
      </c>
      <c r="O63" s="44">
        <f>AVERAGE(B63:M63)</f>
        <v>20951743.93202344</v>
      </c>
      <c r="P63" s="208"/>
    </row>
    <row r="64" spans="1:16" ht="13.5" thickBot="1">
      <c r="P64" s="208"/>
    </row>
    <row r="65" spans="1:17" ht="13.8" thickBot="1">
      <c r="A65" s="8" t="s">
        <v>512</v>
      </c>
      <c r="O65" s="211">
        <f>+O61-O63</f>
        <v>386261.35289148241</v>
      </c>
      <c r="P65" s="212">
        <f>+P45-P47</f>
        <v>2.0579291557654145E-3</v>
      </c>
      <c r="Q65" s="230">
        <f>(+O61-O63)/O63</f>
        <v>1.8435761440416705E-2</v>
      </c>
    </row>
  </sheetData>
  <mergeCells count="6">
    <mergeCell ref="B7:D7"/>
    <mergeCell ref="E7:K7"/>
    <mergeCell ref="L7:M7"/>
    <mergeCell ref="B39:D39"/>
    <mergeCell ref="E39:K39"/>
    <mergeCell ref="L39:M3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pageSetUpPr fitToPage="1"/>
  </sheetPr>
  <dimension ref="A1:N36"/>
  <sheetViews>
    <sheetView zoomScale="75" zoomScaleNormal="75" workbookViewId="0">
      <selection activeCell="A2" sqref="A1:A2"/>
    </sheetView>
  </sheetViews>
  <sheetFormatPr defaultColWidth="9.109375" defaultRowHeight="13.2"/>
  <cols>
    <col min="1" max="1" width="11.77734375" style="213" customWidth="1"/>
    <col min="2" max="13" width="10" style="213" bestFit="1" customWidth="1"/>
    <col min="14" max="16384" width="9.109375" style="213"/>
  </cols>
  <sheetData>
    <row r="1" spans="1:14" s="625" customFormat="1">
      <c r="A1" s="625" t="s">
        <v>1279</v>
      </c>
    </row>
    <row r="2" spans="1:14" s="625" customFormat="1">
      <c r="A2" s="625" t="s">
        <v>1267</v>
      </c>
    </row>
    <row r="3" spans="1:14" s="625" customFormat="1"/>
    <row r="5" spans="1:14">
      <c r="A5" s="227" t="s">
        <v>529</v>
      </c>
      <c r="B5" s="226"/>
      <c r="C5" s="226"/>
      <c r="D5" s="226"/>
      <c r="E5" s="226"/>
      <c r="F5" s="226"/>
      <c r="G5" s="226"/>
      <c r="H5" s="226"/>
      <c r="I5" s="226"/>
      <c r="J5" s="226"/>
      <c r="K5" s="226"/>
      <c r="L5" s="226"/>
      <c r="M5" s="226"/>
      <c r="N5" s="226"/>
    </row>
    <row r="6" spans="1:14">
      <c r="B6" s="225" t="s">
        <v>528</v>
      </c>
      <c r="C6" s="225" t="s">
        <v>527</v>
      </c>
      <c r="D6" s="225" t="s">
        <v>526</v>
      </c>
      <c r="E6" s="225" t="s">
        <v>525</v>
      </c>
      <c r="F6" s="225" t="s">
        <v>409</v>
      </c>
      <c r="G6" s="225" t="s">
        <v>524</v>
      </c>
      <c r="H6" s="225" t="s">
        <v>523</v>
      </c>
      <c r="I6" s="225" t="s">
        <v>522</v>
      </c>
      <c r="J6" s="225" t="s">
        <v>521</v>
      </c>
      <c r="K6" s="225" t="s">
        <v>520</v>
      </c>
      <c r="L6" s="225" t="s">
        <v>519</v>
      </c>
      <c r="M6" s="225" t="s">
        <v>518</v>
      </c>
      <c r="N6" s="225"/>
    </row>
    <row r="7" spans="1:14">
      <c r="B7" s="225"/>
      <c r="C7" s="225"/>
      <c r="D7" s="225"/>
      <c r="E7" s="225"/>
      <c r="F7" s="225"/>
      <c r="G7" s="225"/>
      <c r="H7" s="225"/>
      <c r="I7" s="225"/>
      <c r="J7" s="225"/>
      <c r="K7" s="225"/>
      <c r="L7" s="225"/>
      <c r="M7" s="225"/>
      <c r="N7" s="225"/>
    </row>
    <row r="8" spans="1:14">
      <c r="A8" s="218" t="s">
        <v>517</v>
      </c>
      <c r="B8" s="225"/>
      <c r="C8" s="225"/>
      <c r="D8" s="225"/>
      <c r="E8" s="225"/>
      <c r="F8" s="225"/>
      <c r="G8" s="225"/>
      <c r="H8" s="225"/>
      <c r="I8" s="225"/>
      <c r="J8" s="225"/>
      <c r="K8" s="225"/>
      <c r="L8" s="225"/>
      <c r="M8" s="225"/>
      <c r="N8" s="225"/>
    </row>
    <row r="9" spans="1:14">
      <c r="A9" s="217">
        <v>2016</v>
      </c>
      <c r="B9" s="346">
        <v>20251.941018678986</v>
      </c>
      <c r="C9" s="347">
        <v>18253.89970246757</v>
      </c>
      <c r="D9" s="347">
        <v>18198.637403704528</v>
      </c>
      <c r="E9" s="347">
        <v>19761.218433083501</v>
      </c>
      <c r="F9" s="347">
        <v>21594.020757784234</v>
      </c>
      <c r="G9" s="347">
        <v>23043.730962973797</v>
      </c>
      <c r="H9" s="347">
        <v>23451.526308892848</v>
      </c>
      <c r="I9" s="346">
        <v>24169.686546596025</v>
      </c>
      <c r="J9" s="347">
        <v>22638.520219722282</v>
      </c>
      <c r="K9" s="347">
        <v>21298.410071852817</v>
      </c>
      <c r="L9" s="347">
        <v>18714.613675651828</v>
      </c>
      <c r="M9" s="347">
        <v>17978.971581889411</v>
      </c>
      <c r="N9" s="216">
        <f>MAX(B9:M9)</f>
        <v>24169.686546596025</v>
      </c>
    </row>
    <row r="11" spans="1:14">
      <c r="A11" s="218" t="s">
        <v>516</v>
      </c>
      <c r="B11" s="216"/>
      <c r="C11" s="216"/>
      <c r="D11" s="216"/>
      <c r="E11" s="216"/>
      <c r="F11" s="216"/>
      <c r="G11" s="216"/>
      <c r="H11" s="216"/>
      <c r="I11" s="216"/>
      <c r="J11" s="216"/>
      <c r="K11" s="216"/>
      <c r="L11" s="216"/>
      <c r="M11" s="216"/>
      <c r="N11" s="216"/>
    </row>
    <row r="12" spans="1:14">
      <c r="A12" s="217">
        <v>2016</v>
      </c>
      <c r="B12" s="346">
        <v>1214.7776068733197</v>
      </c>
      <c r="C12" s="347">
        <v>1108.763972329546</v>
      </c>
      <c r="D12" s="347">
        <v>1035.20972397572</v>
      </c>
      <c r="E12" s="347">
        <v>1035.6808796496628</v>
      </c>
      <c r="F12" s="347">
        <v>1150.2512578921005</v>
      </c>
      <c r="G12" s="347">
        <v>1233.9227468194194</v>
      </c>
      <c r="H12" s="347">
        <v>1230.1404083983791</v>
      </c>
      <c r="I12" s="346">
        <v>1297.4006314244898</v>
      </c>
      <c r="J12" s="347">
        <v>1128.4017043799915</v>
      </c>
      <c r="K12" s="347">
        <v>1149.418296588394</v>
      </c>
      <c r="L12" s="347">
        <v>1003.7216139613249</v>
      </c>
      <c r="M12" s="347">
        <v>967.8008173068248</v>
      </c>
      <c r="N12" s="216">
        <f>MAX(B12:M12)</f>
        <v>1297.4006314244898</v>
      </c>
    </row>
    <row r="14" spans="1:14">
      <c r="A14" s="218" t="s">
        <v>500</v>
      </c>
      <c r="B14" s="216"/>
      <c r="C14" s="216"/>
      <c r="D14" s="216"/>
      <c r="E14" s="216"/>
      <c r="F14" s="216"/>
      <c r="G14" s="216"/>
      <c r="H14" s="216"/>
      <c r="I14" s="216"/>
      <c r="J14" s="216"/>
      <c r="K14" s="216"/>
      <c r="L14" s="216"/>
      <c r="M14" s="216"/>
      <c r="N14" s="216"/>
    </row>
    <row r="15" spans="1:14">
      <c r="A15" s="217">
        <v>2016</v>
      </c>
      <c r="B15" s="346">
        <v>19037.163411805668</v>
      </c>
      <c r="C15" s="347">
        <v>17145.135730138023</v>
      </c>
      <c r="D15" s="347">
        <v>17163.427679728808</v>
      </c>
      <c r="E15" s="347">
        <v>18725.537553433838</v>
      </c>
      <c r="F15" s="347">
        <v>20443.769499892132</v>
      </c>
      <c r="G15" s="347">
        <v>21809.808216154379</v>
      </c>
      <c r="H15" s="347">
        <v>22221.385900494468</v>
      </c>
      <c r="I15" s="346">
        <v>22872.285915171535</v>
      </c>
      <c r="J15" s="347">
        <v>21510.118515342292</v>
      </c>
      <c r="K15" s="347">
        <v>20148.991775264421</v>
      </c>
      <c r="L15" s="347">
        <v>17710.892061690502</v>
      </c>
      <c r="M15" s="347">
        <v>17011.170764582585</v>
      </c>
      <c r="N15" s="216"/>
    </row>
    <row r="18" spans="1:14">
      <c r="B18" s="344">
        <v>20251.941018678986</v>
      </c>
      <c r="C18" s="345">
        <v>18253.89970246757</v>
      </c>
      <c r="D18" s="345">
        <v>18198.637403704528</v>
      </c>
      <c r="E18" s="345">
        <v>19761.218433083501</v>
      </c>
      <c r="F18" s="345">
        <v>21594.020757784234</v>
      </c>
      <c r="G18" s="345">
        <v>23043.730962973797</v>
      </c>
      <c r="H18" s="345">
        <v>23451.526308892848</v>
      </c>
      <c r="I18" s="344">
        <v>24169.686546596025</v>
      </c>
      <c r="J18" s="345">
        <v>22638.520219722282</v>
      </c>
      <c r="K18" s="345">
        <v>21298.410071852817</v>
      </c>
      <c r="L18" s="345">
        <v>18714.613675651828</v>
      </c>
      <c r="M18" s="345">
        <v>17978.971581889411</v>
      </c>
    </row>
    <row r="19" spans="1:14" s="221" customFormat="1">
      <c r="A19" s="224" t="s">
        <v>515</v>
      </c>
      <c r="B19" s="223">
        <f>+B18-B9</f>
        <v>0</v>
      </c>
      <c r="C19" s="223">
        <f t="shared" ref="C19:M19" si="0">+C18-C9</f>
        <v>0</v>
      </c>
      <c r="D19" s="223">
        <f t="shared" si="0"/>
        <v>0</v>
      </c>
      <c r="E19" s="223">
        <f t="shared" si="0"/>
        <v>0</v>
      </c>
      <c r="F19" s="223">
        <f t="shared" si="0"/>
        <v>0</v>
      </c>
      <c r="G19" s="223">
        <f t="shared" si="0"/>
        <v>0</v>
      </c>
      <c r="H19" s="223">
        <f t="shared" si="0"/>
        <v>0</v>
      </c>
      <c r="I19" s="223">
        <f t="shared" si="0"/>
        <v>0</v>
      </c>
      <c r="J19" s="223">
        <f t="shared" si="0"/>
        <v>0</v>
      </c>
      <c r="K19" s="223">
        <f t="shared" si="0"/>
        <v>0</v>
      </c>
      <c r="L19" s="223">
        <f t="shared" si="0"/>
        <v>0</v>
      </c>
      <c r="M19" s="223">
        <f t="shared" si="0"/>
        <v>0</v>
      </c>
    </row>
    <row r="20" spans="1:14" s="221" customFormat="1">
      <c r="A20" s="222"/>
      <c r="B20" s="219"/>
      <c r="C20" s="219"/>
      <c r="D20" s="219"/>
      <c r="E20" s="219"/>
      <c r="F20" s="219"/>
      <c r="G20" s="219"/>
      <c r="H20" s="219"/>
      <c r="I20" s="219"/>
      <c r="J20" s="219"/>
      <c r="K20" s="219"/>
      <c r="L20" s="219"/>
      <c r="M20" s="219"/>
      <c r="N20" s="220"/>
    </row>
    <row r="21" spans="1:14">
      <c r="A21" s="217"/>
      <c r="B21" s="219"/>
      <c r="C21" s="219"/>
      <c r="D21" s="219"/>
      <c r="E21" s="219"/>
      <c r="F21" s="219"/>
      <c r="G21" s="219"/>
      <c r="H21" s="219"/>
      <c r="I21" s="219"/>
      <c r="J21" s="219"/>
      <c r="K21" s="219"/>
      <c r="L21" s="219"/>
      <c r="M21" s="219"/>
      <c r="N21" s="220"/>
    </row>
    <row r="22" spans="1:14">
      <c r="A22" s="218"/>
      <c r="B22" s="216"/>
      <c r="C22" s="216"/>
      <c r="D22" s="216"/>
      <c r="E22" s="216"/>
      <c r="F22" s="216"/>
      <c r="G22" s="216"/>
      <c r="H22" s="216"/>
      <c r="I22" s="216"/>
      <c r="J22" s="216"/>
      <c r="K22" s="216"/>
      <c r="L22" s="216"/>
      <c r="M22" s="216"/>
      <c r="N22" s="220"/>
    </row>
    <row r="23" spans="1:14">
      <c r="A23" s="217"/>
      <c r="B23" s="219"/>
      <c r="C23" s="219"/>
      <c r="D23" s="219"/>
      <c r="E23" s="219"/>
      <c r="F23" s="219"/>
      <c r="G23" s="219"/>
      <c r="H23" s="219"/>
      <c r="I23" s="219"/>
      <c r="J23" s="219"/>
      <c r="K23" s="219"/>
      <c r="L23" s="219"/>
      <c r="M23" s="219"/>
      <c r="N23" s="216"/>
    </row>
    <row r="24" spans="1:14">
      <c r="A24" s="217"/>
      <c r="B24" s="216"/>
      <c r="C24" s="216"/>
      <c r="D24" s="216"/>
      <c r="E24" s="216"/>
      <c r="F24" s="216"/>
      <c r="G24" s="216"/>
      <c r="H24" s="216"/>
      <c r="I24" s="216"/>
      <c r="J24" s="216"/>
      <c r="K24" s="216"/>
      <c r="L24" s="216"/>
      <c r="M24" s="216"/>
      <c r="N24" s="216"/>
    </row>
    <row r="25" spans="1:14">
      <c r="A25" s="218"/>
      <c r="B25" s="216"/>
      <c r="C25" s="216"/>
      <c r="D25" s="216"/>
      <c r="E25" s="216"/>
      <c r="F25" s="216"/>
      <c r="G25" s="216"/>
      <c r="H25" s="216"/>
      <c r="I25" s="216"/>
      <c r="J25" s="216"/>
      <c r="K25" s="216"/>
      <c r="L25" s="216"/>
      <c r="M25" s="216"/>
      <c r="N25" s="216"/>
    </row>
    <row r="26" spans="1:14">
      <c r="A26" s="217"/>
      <c r="B26" s="216"/>
      <c r="C26" s="216"/>
      <c r="D26" s="216"/>
      <c r="E26" s="216"/>
      <c r="F26" s="216"/>
      <c r="G26" s="216"/>
      <c r="H26" s="216"/>
      <c r="I26" s="216"/>
      <c r="J26" s="216"/>
      <c r="K26" s="216"/>
      <c r="L26" s="216"/>
      <c r="M26" s="216"/>
      <c r="N26" s="216"/>
    </row>
    <row r="28" spans="1:14">
      <c r="A28" s="215"/>
    </row>
    <row r="32" spans="1:14">
      <c r="B32" s="214"/>
      <c r="C32" s="214"/>
      <c r="D32" s="214"/>
      <c r="E32" s="214"/>
      <c r="F32" s="214"/>
      <c r="G32" s="214"/>
      <c r="H32" s="214"/>
      <c r="I32" s="214"/>
      <c r="J32" s="214"/>
      <c r="K32" s="214"/>
      <c r="L32" s="214"/>
      <c r="M32" s="214"/>
    </row>
    <row r="36" spans="2:13">
      <c r="B36" s="214"/>
      <c r="C36" s="214"/>
      <c r="D36" s="214"/>
      <c r="E36" s="214"/>
      <c r="F36" s="214"/>
      <c r="G36" s="214"/>
      <c r="H36" s="214"/>
      <c r="I36" s="214"/>
      <c r="J36" s="214"/>
      <c r="K36" s="214"/>
      <c r="L36" s="214"/>
      <c r="M36" s="214"/>
    </row>
  </sheetData>
  <printOptions horizontalCentered="1" verticalCentered="1"/>
  <pageMargins left="0.75" right="0.75" top="1" bottom="1" header="0.5" footer="0.5"/>
  <pageSetup scale="89" orientation="landscape" r:id="rId1"/>
  <headerFooter alignWithMargins="0">
    <oddHeader>&amp;C&amp;A</oddHeader>
    <oddFooter>&amp;R&amp;F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pageSetUpPr fitToPage="1"/>
  </sheetPr>
  <dimension ref="A1:R36"/>
  <sheetViews>
    <sheetView zoomScale="75" zoomScaleNormal="75" workbookViewId="0">
      <selection activeCell="A2" sqref="A1:A2"/>
    </sheetView>
  </sheetViews>
  <sheetFormatPr defaultColWidth="9.109375" defaultRowHeight="13.2"/>
  <cols>
    <col min="1" max="1" width="16.88671875" style="213" bestFit="1" customWidth="1"/>
    <col min="2" max="2" width="9.88671875" style="213" bestFit="1" customWidth="1"/>
    <col min="3" max="16384" width="9.109375" style="213"/>
  </cols>
  <sheetData>
    <row r="1" spans="1:18" s="625" customFormat="1">
      <c r="A1" s="625" t="s">
        <v>1280</v>
      </c>
    </row>
    <row r="2" spans="1:18" s="625" customFormat="1">
      <c r="A2" s="625" t="s">
        <v>1267</v>
      </c>
    </row>
    <row r="3" spans="1:18" s="625" customFormat="1"/>
    <row r="5" spans="1:18">
      <c r="A5" s="227" t="s">
        <v>529</v>
      </c>
      <c r="B5" s="226"/>
      <c r="C5" s="226"/>
      <c r="D5" s="226"/>
      <c r="E5" s="226"/>
      <c r="F5" s="226"/>
      <c r="G5" s="226"/>
      <c r="H5" s="226"/>
      <c r="I5" s="226"/>
      <c r="J5" s="226"/>
      <c r="K5" s="226"/>
      <c r="L5" s="226"/>
      <c r="M5" s="226"/>
      <c r="N5" s="226"/>
    </row>
    <row r="6" spans="1:18">
      <c r="B6" s="225" t="s">
        <v>528</v>
      </c>
      <c r="C6" s="225" t="s">
        <v>527</v>
      </c>
      <c r="D6" s="225" t="s">
        <v>526</v>
      </c>
      <c r="E6" s="225" t="s">
        <v>525</v>
      </c>
      <c r="F6" s="225" t="s">
        <v>409</v>
      </c>
      <c r="G6" s="225" t="s">
        <v>524</v>
      </c>
      <c r="H6" s="225" t="s">
        <v>523</v>
      </c>
      <c r="I6" s="225" t="s">
        <v>522</v>
      </c>
      <c r="J6" s="225" t="s">
        <v>521</v>
      </c>
      <c r="K6" s="225" t="s">
        <v>520</v>
      </c>
      <c r="L6" s="225" t="s">
        <v>519</v>
      </c>
      <c r="M6" s="225" t="s">
        <v>518</v>
      </c>
      <c r="N6" s="225"/>
    </row>
    <row r="7" spans="1:18">
      <c r="B7" s="225"/>
      <c r="C7" s="225"/>
      <c r="D7" s="225"/>
      <c r="E7" s="225"/>
      <c r="F7" s="225"/>
      <c r="G7" s="225"/>
      <c r="H7" s="225"/>
      <c r="I7" s="225"/>
      <c r="J7" s="225"/>
      <c r="K7" s="225"/>
      <c r="L7" s="225"/>
      <c r="M7" s="225"/>
      <c r="N7" s="225"/>
    </row>
    <row r="8" spans="1:18">
      <c r="A8" s="218" t="s">
        <v>517</v>
      </c>
      <c r="B8" s="225"/>
      <c r="C8" s="225"/>
      <c r="D8" s="225"/>
      <c r="E8" s="225"/>
      <c r="F8" s="225"/>
      <c r="G8" s="225"/>
      <c r="H8" s="225"/>
      <c r="I8" s="225"/>
      <c r="J8" s="225"/>
      <c r="K8" s="225"/>
      <c r="L8" s="225"/>
      <c r="M8" s="225"/>
      <c r="N8" s="225"/>
    </row>
    <row r="9" spans="1:18">
      <c r="A9" s="217">
        <v>2017</v>
      </c>
      <c r="B9" s="216">
        <v>21139.97461594921</v>
      </c>
      <c r="C9" s="216">
        <v>18379.536838848351</v>
      </c>
      <c r="D9" s="214">
        <v>18323.89418317092</v>
      </c>
      <c r="E9" s="214">
        <v>19897.230076392363</v>
      </c>
      <c r="F9" s="214">
        <v>21742.64713215773</v>
      </c>
      <c r="G9" s="214">
        <v>23202.335338855512</v>
      </c>
      <c r="H9" s="214">
        <v>23612.93744060897</v>
      </c>
      <c r="I9" s="214">
        <v>24336.040599945238</v>
      </c>
      <c r="J9" s="214">
        <v>22794.33562895891</v>
      </c>
      <c r="K9" s="214">
        <v>21445.001830025427</v>
      </c>
      <c r="L9" s="214">
        <v>18843.421793862519</v>
      </c>
      <c r="M9" s="214">
        <v>18102.716455118592</v>
      </c>
      <c r="N9" s="216">
        <f>MAX(B9:M9)</f>
        <v>24336.040599945238</v>
      </c>
    </row>
    <row r="11" spans="1:18">
      <c r="A11" s="218" t="s">
        <v>516</v>
      </c>
      <c r="B11" s="216"/>
      <c r="C11" s="216"/>
      <c r="D11" s="216"/>
      <c r="E11" s="216"/>
      <c r="F11" s="216"/>
      <c r="G11" s="216"/>
      <c r="H11" s="216"/>
      <c r="I11" s="216"/>
      <c r="J11" s="216"/>
      <c r="K11" s="216"/>
      <c r="L11" s="216"/>
      <c r="M11" s="216"/>
      <c r="N11" s="216"/>
    </row>
    <row r="12" spans="1:18">
      <c r="A12" s="217">
        <v>2017</v>
      </c>
      <c r="B12" s="216">
        <v>1202.571262427175</v>
      </c>
      <c r="C12" s="216">
        <v>988.54704626715227</v>
      </c>
      <c r="D12" s="214">
        <v>929.94718986483088</v>
      </c>
      <c r="E12" s="214">
        <v>938.70314377022351</v>
      </c>
      <c r="F12" s="214">
        <v>1043.076983116769</v>
      </c>
      <c r="G12" s="214">
        <v>1115.9846051346537</v>
      </c>
      <c r="H12" s="214">
        <v>1107.8628809118902</v>
      </c>
      <c r="I12" s="214">
        <v>1284.2888786667027</v>
      </c>
      <c r="J12" s="214">
        <v>1016.5601714629116</v>
      </c>
      <c r="K12" s="214">
        <v>1046.1001991297453</v>
      </c>
      <c r="L12" s="214">
        <v>904.04272774286835</v>
      </c>
      <c r="M12" s="214">
        <v>863.39345070725176</v>
      </c>
      <c r="N12" s="216">
        <f>MAX(B12:M12)</f>
        <v>1284.2888786667027</v>
      </c>
    </row>
    <row r="14" spans="1:18">
      <c r="A14" s="218" t="s">
        <v>500</v>
      </c>
      <c r="B14" s="216"/>
      <c r="C14" s="216"/>
      <c r="D14" s="216"/>
      <c r="E14" s="216"/>
      <c r="F14" s="216"/>
      <c r="G14" s="216"/>
      <c r="H14" s="216"/>
      <c r="I14" s="216"/>
      <c r="J14" s="216"/>
      <c r="K14" s="216"/>
      <c r="L14" s="216"/>
      <c r="M14" s="216"/>
      <c r="N14" s="216"/>
      <c r="O14" s="216"/>
      <c r="P14" s="216"/>
      <c r="Q14" s="216"/>
      <c r="R14" s="216"/>
    </row>
    <row r="15" spans="1:18">
      <c r="A15" s="217">
        <v>2017</v>
      </c>
      <c r="B15" s="216">
        <v>19937.403353522033</v>
      </c>
      <c r="C15" s="216">
        <v>17390.9897925812</v>
      </c>
      <c r="D15" s="214">
        <v>17393.94699330609</v>
      </c>
      <c r="E15" s="214">
        <v>18958.526932622139</v>
      </c>
      <c r="F15" s="214">
        <v>20699.570149040963</v>
      </c>
      <c r="G15" s="214">
        <v>22086.350733720858</v>
      </c>
      <c r="H15" s="214">
        <v>22505.074559697081</v>
      </c>
      <c r="I15" s="214">
        <v>23051.751721278535</v>
      </c>
      <c r="J15" s="214">
        <v>21777.775457495998</v>
      </c>
      <c r="K15" s="214">
        <v>20398.901630895682</v>
      </c>
      <c r="L15" s="214">
        <v>17939.379066119651</v>
      </c>
      <c r="M15" s="214">
        <v>17239.323004411341</v>
      </c>
      <c r="N15" s="216"/>
    </row>
    <row r="18" spans="1:14">
      <c r="B18" s="216">
        <v>21139.97461594921</v>
      </c>
      <c r="C18" s="216">
        <v>18379.536838848351</v>
      </c>
      <c r="D18" s="214">
        <v>18323.89418317092</v>
      </c>
      <c r="E18" s="214">
        <v>19897.230076392363</v>
      </c>
      <c r="F18" s="214">
        <v>21742.64713215773</v>
      </c>
      <c r="G18" s="214">
        <v>23202.335338855512</v>
      </c>
      <c r="H18" s="214">
        <v>23612.93744060897</v>
      </c>
      <c r="I18" s="214">
        <v>24336.040599945238</v>
      </c>
      <c r="J18" s="214">
        <v>22794.33562895891</v>
      </c>
      <c r="K18" s="214">
        <v>21445.001830025427</v>
      </c>
      <c r="L18" s="214">
        <v>18843.421793862519</v>
      </c>
      <c r="M18" s="214">
        <v>18102.716455118592</v>
      </c>
    </row>
    <row r="19" spans="1:14" s="221" customFormat="1">
      <c r="A19" s="224" t="s">
        <v>515</v>
      </c>
      <c r="B19" s="223">
        <f t="shared" ref="B19:M19" si="0">+B18-B9</f>
        <v>0</v>
      </c>
      <c r="C19" s="223">
        <f t="shared" si="0"/>
        <v>0</v>
      </c>
      <c r="D19" s="223">
        <f t="shared" si="0"/>
        <v>0</v>
      </c>
      <c r="E19" s="223">
        <f t="shared" si="0"/>
        <v>0</v>
      </c>
      <c r="F19" s="223">
        <f t="shared" si="0"/>
        <v>0</v>
      </c>
      <c r="G19" s="223">
        <f t="shared" si="0"/>
        <v>0</v>
      </c>
      <c r="H19" s="223">
        <f t="shared" si="0"/>
        <v>0</v>
      </c>
      <c r="I19" s="223">
        <f t="shared" si="0"/>
        <v>0</v>
      </c>
      <c r="J19" s="223">
        <f t="shared" si="0"/>
        <v>0</v>
      </c>
      <c r="K19" s="223">
        <f t="shared" si="0"/>
        <v>0</v>
      </c>
      <c r="L19" s="223">
        <f t="shared" si="0"/>
        <v>0</v>
      </c>
      <c r="M19" s="223">
        <f t="shared" si="0"/>
        <v>0</v>
      </c>
    </row>
    <row r="20" spans="1:14" s="221" customFormat="1">
      <c r="A20" s="222"/>
      <c r="B20" s="219"/>
      <c r="C20" s="219"/>
      <c r="D20" s="219"/>
      <c r="E20" s="219"/>
      <c r="F20" s="219"/>
      <c r="G20" s="219"/>
      <c r="H20" s="219"/>
      <c r="I20" s="219"/>
      <c r="J20" s="219"/>
      <c r="K20" s="219"/>
      <c r="L20" s="219"/>
      <c r="M20" s="219"/>
      <c r="N20" s="220"/>
    </row>
    <row r="21" spans="1:14">
      <c r="A21" s="217"/>
      <c r="B21" s="219"/>
      <c r="C21" s="219"/>
      <c r="D21" s="219"/>
      <c r="E21" s="219"/>
      <c r="F21" s="219"/>
      <c r="G21" s="219"/>
      <c r="H21" s="219"/>
      <c r="I21" s="219"/>
      <c r="J21" s="219"/>
      <c r="K21" s="219"/>
      <c r="L21" s="219"/>
      <c r="M21" s="219"/>
      <c r="N21" s="220"/>
    </row>
    <row r="22" spans="1:14">
      <c r="A22" s="218"/>
      <c r="B22" s="216"/>
      <c r="C22" s="216"/>
      <c r="D22" s="216"/>
      <c r="E22" s="216"/>
      <c r="F22" s="216"/>
      <c r="G22" s="216"/>
      <c r="H22" s="216"/>
      <c r="I22" s="216"/>
      <c r="J22" s="216"/>
      <c r="K22" s="216"/>
      <c r="L22" s="216"/>
      <c r="M22" s="216"/>
      <c r="N22" s="220"/>
    </row>
    <row r="23" spans="1:14">
      <c r="A23" s="217"/>
      <c r="B23" s="219"/>
      <c r="C23" s="219"/>
      <c r="D23" s="219"/>
      <c r="E23" s="219"/>
      <c r="F23" s="219"/>
      <c r="G23" s="219"/>
      <c r="H23" s="219"/>
      <c r="I23" s="219"/>
      <c r="J23" s="219"/>
      <c r="K23" s="219"/>
      <c r="L23" s="219"/>
      <c r="M23" s="219"/>
      <c r="N23" s="216"/>
    </row>
    <row r="24" spans="1:14">
      <c r="A24" s="217"/>
      <c r="B24" s="216"/>
      <c r="C24" s="216"/>
      <c r="D24" s="216"/>
      <c r="E24" s="216"/>
      <c r="F24" s="216"/>
      <c r="G24" s="216"/>
      <c r="H24" s="216"/>
      <c r="I24" s="216"/>
      <c r="J24" s="216"/>
      <c r="K24" s="216"/>
      <c r="L24" s="216"/>
      <c r="M24" s="216"/>
      <c r="N24" s="216"/>
    </row>
    <row r="25" spans="1:14">
      <c r="A25" s="218"/>
      <c r="B25" s="216"/>
      <c r="C25" s="216"/>
      <c r="D25" s="216"/>
      <c r="E25" s="216"/>
      <c r="F25" s="216"/>
      <c r="G25" s="216"/>
      <c r="H25" s="216"/>
      <c r="I25" s="216"/>
      <c r="J25" s="216"/>
      <c r="K25" s="216"/>
      <c r="L25" s="216"/>
      <c r="M25" s="216"/>
      <c r="N25" s="216"/>
    </row>
    <row r="26" spans="1:14">
      <c r="A26" s="217"/>
      <c r="B26" s="216"/>
      <c r="C26" s="216"/>
      <c r="D26" s="216"/>
      <c r="E26" s="216"/>
      <c r="F26" s="216"/>
      <c r="G26" s="216"/>
      <c r="H26" s="216"/>
      <c r="I26" s="216"/>
      <c r="J26" s="216"/>
      <c r="K26" s="216"/>
      <c r="L26" s="216"/>
      <c r="M26" s="216"/>
      <c r="N26" s="216"/>
    </row>
    <row r="28" spans="1:14">
      <c r="A28" s="215"/>
    </row>
    <row r="32" spans="1:14">
      <c r="B32" s="214"/>
      <c r="C32" s="214"/>
      <c r="D32" s="214"/>
      <c r="E32" s="214"/>
      <c r="F32" s="214"/>
      <c r="G32" s="214"/>
      <c r="H32" s="214"/>
      <c r="I32" s="214"/>
      <c r="J32" s="214"/>
      <c r="K32" s="214"/>
      <c r="L32" s="214"/>
      <c r="M32" s="214"/>
      <c r="N32" s="214"/>
    </row>
    <row r="36" spans="2:14">
      <c r="B36" s="214"/>
      <c r="C36" s="214"/>
      <c r="D36" s="214"/>
      <c r="E36" s="214"/>
      <c r="F36" s="214"/>
      <c r="G36" s="214"/>
      <c r="H36" s="214"/>
      <c r="I36" s="214"/>
      <c r="J36" s="214"/>
      <c r="K36" s="214"/>
      <c r="L36" s="214"/>
      <c r="M36" s="214"/>
      <c r="N36" s="214"/>
    </row>
  </sheetData>
  <printOptions horizontalCentered="1" verticalCentered="1"/>
  <pageMargins left="0.75" right="0.75" top="1" bottom="1" header="0.5" footer="0.5"/>
  <pageSetup scale="90" orientation="landscape" r:id="rId1"/>
  <headerFooter alignWithMargins="0">
    <oddHeader>&amp;C&amp;A</oddHeader>
    <oddFooter>&amp;R&amp;F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P104"/>
  <sheetViews>
    <sheetView zoomScale="75" zoomScaleNormal="75" workbookViewId="0">
      <selection activeCell="A2" sqref="A1:A2"/>
    </sheetView>
  </sheetViews>
  <sheetFormatPr defaultColWidth="9.109375" defaultRowHeight="13.2"/>
  <cols>
    <col min="1" max="1" width="16.88671875" style="440" customWidth="1"/>
    <col min="2" max="2" width="11.33203125" style="350" customWidth="1"/>
    <col min="3" max="3" width="11.33203125" style="440" customWidth="1"/>
    <col min="4" max="4" width="11.33203125" style="350" customWidth="1"/>
    <col min="5" max="13" width="10.33203125" style="350" bestFit="1" customWidth="1"/>
    <col min="14" max="16384" width="9.109375" style="350"/>
  </cols>
  <sheetData>
    <row r="1" spans="1:13" s="618" customFormat="1">
      <c r="A1" s="618" t="s">
        <v>1281</v>
      </c>
      <c r="C1" s="559"/>
    </row>
    <row r="2" spans="1:13" s="618" customFormat="1">
      <c r="A2" s="618" t="s">
        <v>1267</v>
      </c>
      <c r="C2" s="559"/>
    </row>
    <row r="3" spans="1:13" s="618" customFormat="1">
      <c r="A3" s="559"/>
      <c r="C3" s="559"/>
    </row>
    <row r="6" spans="1:13">
      <c r="B6" s="225" t="s">
        <v>528</v>
      </c>
      <c r="C6" s="225" t="s">
        <v>527</v>
      </c>
      <c r="D6" s="225" t="s">
        <v>526</v>
      </c>
      <c r="E6" s="225" t="s">
        <v>525</v>
      </c>
      <c r="F6" s="225" t="s">
        <v>409</v>
      </c>
      <c r="G6" s="225" t="s">
        <v>524</v>
      </c>
      <c r="H6" s="225" t="s">
        <v>523</v>
      </c>
      <c r="I6" s="225" t="s">
        <v>522</v>
      </c>
      <c r="J6" s="225" t="s">
        <v>521</v>
      </c>
      <c r="K6" s="225" t="s">
        <v>520</v>
      </c>
      <c r="L6" s="225" t="s">
        <v>519</v>
      </c>
      <c r="M6" s="225" t="s">
        <v>518</v>
      </c>
    </row>
    <row r="8" spans="1:13">
      <c r="A8" s="218" t="s">
        <v>517</v>
      </c>
    </row>
    <row r="9" spans="1:13">
      <c r="A9" s="440">
        <v>2018</v>
      </c>
      <c r="B9" s="531">
        <v>21357.504504130138</v>
      </c>
      <c r="C9" s="531">
        <v>18583.631493811765</v>
      </c>
      <c r="D9" s="531">
        <v>18527.370957024959</v>
      </c>
      <c r="E9" s="531">
        <v>20118.1778806148</v>
      </c>
      <c r="F9" s="531">
        <v>21984.087278519273</v>
      </c>
      <c r="G9" s="531">
        <v>23459.984520488852</v>
      </c>
      <c r="H9" s="531">
        <v>23874.906751836592</v>
      </c>
      <c r="I9" s="531">
        <v>24606.278955403854</v>
      </c>
      <c r="J9" s="531">
        <v>23047.454198055784</v>
      </c>
      <c r="K9" s="531">
        <v>21683.136788896514</v>
      </c>
      <c r="L9" s="531">
        <v>19052.667636294173</v>
      </c>
      <c r="M9" s="531">
        <v>18303.737171864763</v>
      </c>
    </row>
    <row r="10" spans="1:13">
      <c r="B10" s="11"/>
      <c r="C10" s="531"/>
      <c r="D10" s="11"/>
      <c r="E10" s="11"/>
      <c r="F10" s="11"/>
      <c r="G10" s="11"/>
      <c r="H10" s="11"/>
      <c r="I10" s="11"/>
      <c r="J10" s="11"/>
      <c r="K10" s="11"/>
      <c r="L10" s="11"/>
      <c r="M10" s="11"/>
    </row>
    <row r="11" spans="1:13">
      <c r="A11" s="218" t="s">
        <v>516</v>
      </c>
      <c r="B11" s="11"/>
      <c r="C11" s="531"/>
      <c r="D11" s="11"/>
      <c r="E11" s="11"/>
      <c r="F11" s="11"/>
      <c r="G11" s="11"/>
      <c r="H11" s="11"/>
      <c r="I11" s="11"/>
      <c r="J11" s="11"/>
      <c r="K11" s="11"/>
      <c r="L11" s="11"/>
      <c r="M11" s="11"/>
    </row>
    <row r="12" spans="1:13">
      <c r="A12" s="440">
        <v>2018</v>
      </c>
      <c r="B12" s="11">
        <v>1162.374810926276</v>
      </c>
      <c r="C12" s="11">
        <v>990.34462446643397</v>
      </c>
      <c r="D12" s="11">
        <v>931.69564014583034</v>
      </c>
      <c r="E12" s="11">
        <v>943.76879402823681</v>
      </c>
      <c r="F12" s="11">
        <v>1048.0589483345952</v>
      </c>
      <c r="G12" s="11">
        <v>1120.0713173220415</v>
      </c>
      <c r="H12" s="347">
        <v>1114.6044682478082</v>
      </c>
      <c r="I12" s="347">
        <v>1248.2184246010856</v>
      </c>
      <c r="J12" s="347">
        <v>1021.7551911752619</v>
      </c>
      <c r="K12" s="347">
        <v>1049.802146422737</v>
      </c>
      <c r="L12" s="347">
        <v>906.38252293018695</v>
      </c>
      <c r="M12" s="347">
        <v>866.00618453081336</v>
      </c>
    </row>
    <row r="13" spans="1:13">
      <c r="B13" s="11"/>
      <c r="C13" s="531"/>
      <c r="D13" s="11"/>
      <c r="E13" s="11"/>
      <c r="F13" s="11"/>
      <c r="G13" s="11"/>
      <c r="H13" s="11"/>
      <c r="I13" s="11"/>
      <c r="J13" s="11"/>
      <c r="K13" s="11"/>
      <c r="L13" s="11"/>
      <c r="M13" s="11"/>
    </row>
    <row r="14" spans="1:13">
      <c r="A14" s="218" t="s">
        <v>500</v>
      </c>
      <c r="B14" s="11"/>
      <c r="C14" s="531"/>
      <c r="D14" s="11"/>
      <c r="E14" s="11"/>
      <c r="F14" s="11"/>
      <c r="G14" s="11"/>
      <c r="H14" s="11"/>
      <c r="I14" s="11"/>
      <c r="J14" s="11"/>
      <c r="K14" s="11"/>
      <c r="L14" s="11"/>
      <c r="M14" s="11"/>
    </row>
    <row r="15" spans="1:13">
      <c r="A15" s="440">
        <v>2018</v>
      </c>
      <c r="B15" s="11">
        <v>20195.12969320386</v>
      </c>
      <c r="C15" s="11">
        <v>17593.286869345331</v>
      </c>
      <c r="D15" s="11">
        <v>17595.675316879129</v>
      </c>
      <c r="E15" s="11">
        <v>19174.409086586562</v>
      </c>
      <c r="F15" s="11">
        <v>20936.028330184679</v>
      </c>
      <c r="G15" s="11">
        <v>22339.913203166809</v>
      </c>
      <c r="H15" s="347">
        <v>22760.3022835888</v>
      </c>
      <c r="I15" s="347">
        <v>23358.060530802766</v>
      </c>
      <c r="J15" s="347">
        <v>22025.699006880521</v>
      </c>
      <c r="K15" s="347">
        <v>20633.334642473776</v>
      </c>
      <c r="L15" s="347">
        <v>18146.285113363985</v>
      </c>
      <c r="M15" s="347">
        <v>17437.730987333951</v>
      </c>
    </row>
    <row r="26" spans="4:6">
      <c r="D26" s="514"/>
      <c r="E26" s="514"/>
      <c r="F26" s="514"/>
    </row>
    <row r="27" spans="4:6">
      <c r="D27" s="475"/>
      <c r="E27" s="475"/>
      <c r="F27" s="475"/>
    </row>
    <row r="28" spans="4:6">
      <c r="D28" s="475"/>
      <c r="E28" s="475"/>
      <c r="F28" s="475"/>
    </row>
    <row r="29" spans="4:6">
      <c r="D29" s="475"/>
      <c r="E29" s="475"/>
      <c r="F29" s="475"/>
    </row>
    <row r="30" spans="4:6">
      <c r="D30" s="475"/>
      <c r="E30" s="475"/>
      <c r="F30" s="475"/>
    </row>
    <row r="31" spans="4:6">
      <c r="D31" s="475"/>
      <c r="E31" s="475"/>
      <c r="F31" s="475"/>
    </row>
    <row r="32" spans="4:6">
      <c r="D32" s="475"/>
      <c r="E32" s="475"/>
      <c r="F32" s="475"/>
    </row>
    <row r="33" spans="4:16">
      <c r="D33" s="514"/>
      <c r="E33" s="514"/>
      <c r="F33" s="514"/>
    </row>
    <row r="34" spans="4:16">
      <c r="D34" s="475"/>
      <c r="E34" s="475"/>
      <c r="F34" s="475"/>
    </row>
    <row r="35" spans="4:16">
      <c r="D35" s="475"/>
      <c r="K35" s="514"/>
      <c r="L35" s="475"/>
      <c r="M35" s="475"/>
      <c r="N35" s="475"/>
      <c r="O35" s="475"/>
      <c r="P35" s="475"/>
    </row>
    <row r="36" spans="4:16" ht="409.6">
      <c r="D36" s="475"/>
      <c r="K36" s="514"/>
      <c r="L36" s="475"/>
      <c r="M36" s="475"/>
      <c r="N36" s="475"/>
      <c r="O36" s="475"/>
      <c r="P36" s="475"/>
    </row>
    <row r="37" spans="4:16" ht="409.6">
      <c r="D37" s="475"/>
      <c r="E37" s="475"/>
      <c r="F37" s="475"/>
    </row>
    <row r="44" spans="4:16">
      <c r="E44" s="514"/>
    </row>
    <row r="45" spans="4:16">
      <c r="E45" s="475"/>
    </row>
    <row r="46" spans="4:16">
      <c r="E46" s="475"/>
    </row>
    <row r="47" spans="4:16" ht="409.6">
      <c r="E47" s="475"/>
    </row>
    <row r="48" spans="4:16" ht="409.6">
      <c r="E48" s="475"/>
    </row>
    <row r="49" spans="1:5">
      <c r="E49" s="475"/>
    </row>
    <row r="55" spans="1:5" s="397" customFormat="1" ht="17.399999999999999">
      <c r="A55" s="396" t="s">
        <v>1120</v>
      </c>
      <c r="D55" s="398"/>
    </row>
    <row r="56" spans="1:5" s="397" customFormat="1" ht="17.399999999999999">
      <c r="A56" s="396" t="s">
        <v>1121</v>
      </c>
      <c r="D56" s="398"/>
    </row>
    <row r="57" spans="1:5" s="397" customFormat="1" ht="15.6">
      <c r="D57" s="398"/>
    </row>
    <row r="58" spans="1:5" s="397" customFormat="1" ht="12.75" customHeight="1">
      <c r="C58" s="399"/>
      <c r="E58" s="400"/>
    </row>
    <row r="59" spans="1:5" s="401" customFormat="1" ht="17.399999999999999">
      <c r="A59" s="591" t="s">
        <v>1122</v>
      </c>
      <c r="B59" s="591"/>
      <c r="C59" s="591"/>
      <c r="D59" s="591"/>
    </row>
    <row r="60" spans="1:5" s="401" customFormat="1" ht="18" customHeight="1" thickBot="1">
      <c r="A60" s="402"/>
      <c r="C60" s="402"/>
    </row>
    <row r="61" spans="1:5" s="401" customFormat="1" ht="21.9" customHeight="1" thickBot="1">
      <c r="A61" s="403" t="s">
        <v>1123</v>
      </c>
      <c r="B61" s="404" t="s">
        <v>1124</v>
      </c>
      <c r="C61" s="405" t="s">
        <v>1125</v>
      </c>
      <c r="D61" s="406" t="s">
        <v>1126</v>
      </c>
    </row>
    <row r="62" spans="1:5" s="401" customFormat="1" ht="21.9" customHeight="1" thickBot="1">
      <c r="A62" s="595" t="s">
        <v>83</v>
      </c>
      <c r="B62" s="596"/>
      <c r="C62" s="596"/>
      <c r="D62" s="597"/>
    </row>
    <row r="63" spans="1:5" s="411" customFormat="1" ht="36" customHeight="1">
      <c r="A63" s="407" t="s">
        <v>98</v>
      </c>
      <c r="B63" s="408" t="s">
        <v>1127</v>
      </c>
      <c r="C63" s="409" t="s">
        <v>98</v>
      </c>
      <c r="D63" s="410" t="s">
        <v>1128</v>
      </c>
    </row>
    <row r="64" spans="1:5" s="411" customFormat="1" ht="36" customHeight="1">
      <c r="A64" s="412" t="s">
        <v>50</v>
      </c>
      <c r="B64" s="413" t="s">
        <v>1129</v>
      </c>
      <c r="C64" s="414" t="s">
        <v>50</v>
      </c>
      <c r="D64" s="415" t="s">
        <v>1130</v>
      </c>
    </row>
    <row r="65" spans="1:4" s="411" customFormat="1" ht="36" customHeight="1">
      <c r="A65" s="412" t="s">
        <v>99</v>
      </c>
      <c r="B65" s="413" t="s">
        <v>1131</v>
      </c>
      <c r="C65" s="414" t="s">
        <v>99</v>
      </c>
      <c r="D65" s="415" t="s">
        <v>1132</v>
      </c>
    </row>
    <row r="66" spans="1:4" s="411" customFormat="1" ht="36" customHeight="1">
      <c r="A66" s="416" t="s">
        <v>49</v>
      </c>
      <c r="B66" s="417" t="s">
        <v>1133</v>
      </c>
      <c r="C66" s="414" t="s">
        <v>1134</v>
      </c>
      <c r="D66" s="413" t="s">
        <v>1135</v>
      </c>
    </row>
    <row r="67" spans="1:4" s="411" customFormat="1" ht="20.100000000000001" customHeight="1">
      <c r="A67" s="416" t="s">
        <v>325</v>
      </c>
      <c r="B67" s="417" t="s">
        <v>1136</v>
      </c>
      <c r="C67" s="418" t="s">
        <v>325</v>
      </c>
      <c r="D67" s="417" t="s">
        <v>1137</v>
      </c>
    </row>
    <row r="68" spans="1:4" s="411" customFormat="1" ht="36" customHeight="1">
      <c r="A68" s="585" t="s">
        <v>67</v>
      </c>
      <c r="B68" s="588" t="s">
        <v>1138</v>
      </c>
      <c r="C68" s="419" t="s">
        <v>1139</v>
      </c>
      <c r="D68" s="420" t="s">
        <v>1140</v>
      </c>
    </row>
    <row r="69" spans="1:4" s="411" customFormat="1" ht="18" customHeight="1">
      <c r="A69" s="586"/>
      <c r="B69" s="589"/>
      <c r="C69" s="421" t="s">
        <v>326</v>
      </c>
      <c r="D69" s="422" t="s">
        <v>1141</v>
      </c>
    </row>
    <row r="70" spans="1:4" s="411" customFormat="1" ht="36" customHeight="1">
      <c r="A70" s="587"/>
      <c r="B70" s="590"/>
      <c r="C70" s="409" t="s">
        <v>1142</v>
      </c>
      <c r="D70" s="408" t="s">
        <v>1143</v>
      </c>
    </row>
    <row r="71" spans="1:4" s="411" customFormat="1" ht="140.4">
      <c r="A71" s="585" t="s">
        <v>68</v>
      </c>
      <c r="B71" s="598" t="s">
        <v>1144</v>
      </c>
      <c r="C71" s="419" t="s">
        <v>1145</v>
      </c>
      <c r="D71" s="420" t="s">
        <v>1146</v>
      </c>
    </row>
    <row r="72" spans="1:4" s="411" customFormat="1" ht="124.8">
      <c r="A72" s="586"/>
      <c r="B72" s="599"/>
      <c r="C72" s="421" t="s">
        <v>1147</v>
      </c>
      <c r="D72" s="422" t="s">
        <v>1148</v>
      </c>
    </row>
    <row r="73" spans="1:4" s="411" customFormat="1" ht="18" customHeight="1">
      <c r="A73" s="586"/>
      <c r="B73" s="599"/>
      <c r="C73" s="421" t="s">
        <v>327</v>
      </c>
      <c r="D73" s="422" t="s">
        <v>1149</v>
      </c>
    </row>
    <row r="74" spans="1:4" s="411" customFormat="1" ht="36" customHeight="1">
      <c r="A74" s="587"/>
      <c r="B74" s="600"/>
      <c r="C74" s="409" t="s">
        <v>1150</v>
      </c>
      <c r="D74" s="408" t="s">
        <v>1151</v>
      </c>
    </row>
    <row r="75" spans="1:4" s="411" customFormat="1" ht="36" customHeight="1">
      <c r="A75" s="585" t="s">
        <v>69</v>
      </c>
      <c r="B75" s="588" t="s">
        <v>1152</v>
      </c>
      <c r="C75" s="419" t="s">
        <v>1153</v>
      </c>
      <c r="D75" s="420" t="s">
        <v>1154</v>
      </c>
    </row>
    <row r="76" spans="1:4" s="411" customFormat="1" ht="18" customHeight="1">
      <c r="A76" s="586"/>
      <c r="B76" s="589"/>
      <c r="C76" s="423" t="s">
        <v>1155</v>
      </c>
      <c r="D76" s="424" t="s">
        <v>1156</v>
      </c>
    </row>
    <row r="77" spans="1:4" s="411" customFormat="1" ht="18" customHeight="1">
      <c r="A77" s="586"/>
      <c r="B77" s="589"/>
      <c r="C77" s="421" t="s">
        <v>328</v>
      </c>
      <c r="D77" s="422" t="s">
        <v>1157</v>
      </c>
    </row>
    <row r="78" spans="1:4" s="411" customFormat="1" ht="36" customHeight="1">
      <c r="A78" s="587"/>
      <c r="B78" s="590"/>
      <c r="C78" s="409" t="s">
        <v>1158</v>
      </c>
      <c r="D78" s="408" t="s">
        <v>1159</v>
      </c>
    </row>
    <row r="79" spans="1:4" s="411" customFormat="1" ht="36" customHeight="1">
      <c r="A79" s="585" t="s">
        <v>52</v>
      </c>
      <c r="B79" s="588" t="s">
        <v>1160</v>
      </c>
      <c r="C79" s="419" t="s">
        <v>1161</v>
      </c>
      <c r="D79" s="425" t="s">
        <v>1162</v>
      </c>
    </row>
    <row r="80" spans="1:4" s="411" customFormat="1" ht="36" customHeight="1">
      <c r="A80" s="587"/>
      <c r="B80" s="590"/>
      <c r="C80" s="423" t="s">
        <v>1163</v>
      </c>
      <c r="D80" s="424" t="s">
        <v>1164</v>
      </c>
    </row>
    <row r="81" spans="1:5" s="411" customFormat="1" ht="36" customHeight="1">
      <c r="A81" s="416" t="s">
        <v>15</v>
      </c>
      <c r="B81" s="426" t="s">
        <v>1165</v>
      </c>
      <c r="C81" s="418" t="s">
        <v>370</v>
      </c>
      <c r="D81" s="426" t="s">
        <v>1165</v>
      </c>
    </row>
    <row r="82" spans="1:5" s="411" customFormat="1" ht="36" customHeight="1">
      <c r="A82" s="416" t="s">
        <v>56</v>
      </c>
      <c r="B82" s="426" t="s">
        <v>1166</v>
      </c>
      <c r="C82" s="418" t="s">
        <v>56</v>
      </c>
      <c r="D82" s="426" t="s">
        <v>1166</v>
      </c>
    </row>
    <row r="83" spans="1:5" s="411" customFormat="1" ht="36" customHeight="1">
      <c r="A83" s="416" t="s">
        <v>57</v>
      </c>
      <c r="B83" s="426" t="s">
        <v>1167</v>
      </c>
      <c r="C83" s="414" t="s">
        <v>57</v>
      </c>
      <c r="D83" s="415" t="s">
        <v>1168</v>
      </c>
    </row>
    <row r="84" spans="1:5" s="411" customFormat="1" ht="36" customHeight="1">
      <c r="A84" s="416" t="s">
        <v>48</v>
      </c>
      <c r="B84" s="417" t="s">
        <v>1169</v>
      </c>
      <c r="C84" s="414" t="s">
        <v>1170</v>
      </c>
      <c r="D84" s="413" t="s">
        <v>1171</v>
      </c>
    </row>
    <row r="85" spans="1:5" s="411" customFormat="1" ht="36" customHeight="1">
      <c r="A85" s="416" t="s">
        <v>53</v>
      </c>
      <c r="B85" s="426" t="s">
        <v>1172</v>
      </c>
      <c r="C85" s="414" t="s">
        <v>1173</v>
      </c>
      <c r="D85" s="415" t="s">
        <v>1174</v>
      </c>
    </row>
    <row r="86" spans="1:5" s="411" customFormat="1" ht="36" customHeight="1">
      <c r="A86" s="416" t="s">
        <v>55</v>
      </c>
      <c r="B86" s="426" t="s">
        <v>1175</v>
      </c>
      <c r="C86" s="418" t="s">
        <v>55</v>
      </c>
      <c r="D86" s="426" t="s">
        <v>1175</v>
      </c>
    </row>
    <row r="87" spans="1:5" s="411" customFormat="1" ht="36" customHeight="1">
      <c r="A87" s="412" t="s">
        <v>1081</v>
      </c>
      <c r="B87" s="415" t="s">
        <v>1176</v>
      </c>
      <c r="C87" s="427" t="s">
        <v>1177</v>
      </c>
      <c r="D87" s="415" t="s">
        <v>1178</v>
      </c>
    </row>
    <row r="88" spans="1:5" s="411" customFormat="1" ht="36" customHeight="1">
      <c r="A88" s="412" t="s">
        <v>1086</v>
      </c>
      <c r="B88" s="415" t="s">
        <v>1179</v>
      </c>
      <c r="C88" s="414" t="s">
        <v>88</v>
      </c>
      <c r="D88" s="415" t="s">
        <v>1180</v>
      </c>
    </row>
    <row r="89" spans="1:5" s="411" customFormat="1" ht="24.75" customHeight="1">
      <c r="A89" s="428"/>
      <c r="B89" s="429"/>
      <c r="C89" s="430"/>
      <c r="D89" s="429"/>
    </row>
    <row r="90" spans="1:5" s="397" customFormat="1" ht="17.399999999999999">
      <c r="A90" s="396" t="s">
        <v>1120</v>
      </c>
      <c r="D90" s="398"/>
    </row>
    <row r="91" spans="1:5" s="397" customFormat="1" ht="17.399999999999999">
      <c r="A91" s="396" t="s">
        <v>1121</v>
      </c>
      <c r="D91" s="398"/>
    </row>
    <row r="92" spans="1:5" s="397" customFormat="1" ht="15.6">
      <c r="D92" s="398"/>
    </row>
    <row r="93" spans="1:5" s="397" customFormat="1" ht="12.75" customHeight="1">
      <c r="C93" s="399"/>
      <c r="E93" s="400"/>
    </row>
    <row r="94" spans="1:5" s="401" customFormat="1" ht="17.399999999999999">
      <c r="A94" s="591" t="s">
        <v>1122</v>
      </c>
      <c r="B94" s="591"/>
      <c r="C94" s="591"/>
      <c r="D94" s="591"/>
    </row>
    <row r="95" spans="1:5" s="401" customFormat="1" ht="18" customHeight="1" thickBot="1">
      <c r="A95" s="402"/>
      <c r="C95" s="402"/>
    </row>
    <row r="96" spans="1:5" s="401" customFormat="1" ht="21.9" customHeight="1" thickBot="1">
      <c r="A96" s="403" t="s">
        <v>1123</v>
      </c>
      <c r="B96" s="592" t="s">
        <v>1124</v>
      </c>
      <c r="C96" s="593"/>
      <c r="D96" s="594"/>
    </row>
    <row r="97" spans="1:6" s="401" customFormat="1" ht="21.9" customHeight="1" thickBot="1">
      <c r="A97" s="582" t="s">
        <v>86</v>
      </c>
      <c r="B97" s="583"/>
      <c r="C97" s="583"/>
      <c r="D97" s="584"/>
    </row>
    <row r="98" spans="1:6" s="401" customFormat="1" ht="21.9" customHeight="1">
      <c r="A98" s="431" t="s">
        <v>603</v>
      </c>
      <c r="B98" s="432" t="s">
        <v>1181</v>
      </c>
      <c r="C98" s="433"/>
      <c r="D98" s="434"/>
      <c r="F98" s="435"/>
    </row>
    <row r="99" spans="1:6" s="401" customFormat="1" ht="20.100000000000001" customHeight="1">
      <c r="A99" s="431" t="s">
        <v>1182</v>
      </c>
      <c r="B99" s="432" t="s">
        <v>1183</v>
      </c>
      <c r="C99" s="433"/>
      <c r="D99" s="434"/>
      <c r="F99" s="388"/>
    </row>
    <row r="100" spans="1:6" s="401" customFormat="1" ht="20.100000000000001" customHeight="1">
      <c r="A100" s="436" t="s">
        <v>724</v>
      </c>
      <c r="B100" s="437" t="s">
        <v>1184</v>
      </c>
      <c r="C100" s="438"/>
      <c r="D100" s="439"/>
      <c r="F100" s="350"/>
    </row>
    <row r="101" spans="1:6" s="401" customFormat="1" ht="20.100000000000001" customHeight="1">
      <c r="A101" s="436" t="s">
        <v>1185</v>
      </c>
      <c r="B101" s="437" t="s">
        <v>1186</v>
      </c>
      <c r="C101" s="438"/>
      <c r="D101" s="439"/>
      <c r="F101" s="350"/>
    </row>
    <row r="102" spans="1:6" s="401" customFormat="1" ht="20.100000000000001" customHeight="1">
      <c r="A102" s="436" t="s">
        <v>1187</v>
      </c>
      <c r="B102" s="437" t="s">
        <v>1188</v>
      </c>
      <c r="C102" s="438"/>
      <c r="D102" s="439"/>
      <c r="F102" s="350"/>
    </row>
    <row r="103" spans="1:6" s="401" customFormat="1" ht="20.100000000000001" customHeight="1">
      <c r="A103" s="436" t="s">
        <v>986</v>
      </c>
      <c r="B103" s="437" t="s">
        <v>1189</v>
      </c>
      <c r="C103" s="438"/>
      <c r="D103" s="439"/>
      <c r="F103" s="350"/>
    </row>
    <row r="104" spans="1:6" ht="15.6">
      <c r="A104" s="436" t="s">
        <v>691</v>
      </c>
      <c r="B104" s="437" t="s">
        <v>1190</v>
      </c>
      <c r="C104" s="438"/>
      <c r="D104" s="439"/>
    </row>
  </sheetData>
  <mergeCells count="13">
    <mergeCell ref="A59:D59"/>
    <mergeCell ref="A62:D62"/>
    <mergeCell ref="A68:A70"/>
    <mergeCell ref="B68:B70"/>
    <mergeCell ref="A71:A74"/>
    <mergeCell ref="B71:B74"/>
    <mergeCell ref="A97:D97"/>
    <mergeCell ref="A75:A78"/>
    <mergeCell ref="B75:B78"/>
    <mergeCell ref="A79:A80"/>
    <mergeCell ref="B79:B80"/>
    <mergeCell ref="A94:D94"/>
    <mergeCell ref="B96:D9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pageSetUpPr fitToPage="1"/>
  </sheetPr>
  <dimension ref="A1:AP97"/>
  <sheetViews>
    <sheetView showGridLines="0" zoomScale="75" zoomScaleNormal="75" workbookViewId="0">
      <selection activeCell="B2" sqref="B1:B2"/>
    </sheetView>
  </sheetViews>
  <sheetFormatPr defaultRowHeight="15"/>
  <cols>
    <col min="1" max="1" width="2.6640625" style="99" customWidth="1"/>
    <col min="2" max="2" width="44.109375" customWidth="1"/>
    <col min="3" max="14" width="14" customWidth="1"/>
    <col min="15" max="15" width="2.6640625" customWidth="1"/>
    <col min="16" max="16" width="12.88671875" bestFit="1" customWidth="1"/>
    <col min="19" max="19" width="17" bestFit="1" customWidth="1"/>
    <col min="20" max="20" width="10.33203125" bestFit="1" customWidth="1"/>
    <col min="22" max="22" width="15.44140625" customWidth="1"/>
    <col min="23" max="23" width="13.5546875" bestFit="1" customWidth="1"/>
    <col min="24" max="24" width="10.6640625" bestFit="1" customWidth="1"/>
    <col min="25" max="25" width="12.33203125" bestFit="1" customWidth="1"/>
    <col min="26" max="38" width="10.6640625" bestFit="1" customWidth="1"/>
    <col min="39" max="39" width="9.44140625" bestFit="1" customWidth="1"/>
    <col min="40" max="40" width="7" customWidth="1"/>
    <col min="41" max="41" width="8.44140625" customWidth="1"/>
    <col min="42" max="42" width="11.5546875" bestFit="1" customWidth="1"/>
  </cols>
  <sheetData>
    <row r="1" spans="1:22" s="8" customFormat="1" ht="15.6">
      <c r="A1" s="624"/>
      <c r="B1" s="8" t="s">
        <v>1282</v>
      </c>
    </row>
    <row r="2" spans="1:22" s="8" customFormat="1" ht="15.6">
      <c r="A2" s="624"/>
      <c r="B2" s="8" t="s">
        <v>1267</v>
      </c>
    </row>
    <row r="3" spans="1:22" s="8" customFormat="1" ht="15.6">
      <c r="A3" s="624"/>
    </row>
    <row r="4" spans="1:22" ht="21">
      <c r="A4" s="124" t="s">
        <v>341</v>
      </c>
    </row>
    <row r="5" spans="1:22" ht="21">
      <c r="A5" s="124" t="s">
        <v>434</v>
      </c>
    </row>
    <row r="6" spans="1:22" ht="15.6" thickBot="1"/>
    <row r="7" spans="1:22" ht="15.6" thickBot="1">
      <c r="C7" s="572" t="s">
        <v>339</v>
      </c>
      <c r="D7" s="573"/>
      <c r="E7" s="574"/>
      <c r="F7" s="575" t="s">
        <v>340</v>
      </c>
      <c r="G7" s="576"/>
      <c r="H7" s="576"/>
      <c r="I7" s="576"/>
      <c r="J7" s="576"/>
      <c r="K7" s="576"/>
      <c r="L7" s="577"/>
      <c r="M7" s="572" t="s">
        <v>339</v>
      </c>
      <c r="N7" s="574"/>
    </row>
    <row r="8" spans="1:22"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22">
      <c r="B9" s="10" t="s">
        <v>98</v>
      </c>
      <c r="C9" s="320">
        <v>3</v>
      </c>
      <c r="D9" s="320">
        <v>4</v>
      </c>
      <c r="E9" s="320">
        <v>5</v>
      </c>
      <c r="F9" s="320">
        <v>6</v>
      </c>
      <c r="G9" s="320">
        <v>7</v>
      </c>
      <c r="H9" s="320">
        <v>8</v>
      </c>
      <c r="I9" s="320">
        <v>9</v>
      </c>
      <c r="J9" s="320">
        <v>10</v>
      </c>
      <c r="K9" s="320">
        <v>11</v>
      </c>
      <c r="L9" s="320">
        <v>12</v>
      </c>
      <c r="M9" s="320">
        <v>13</v>
      </c>
      <c r="N9" s="320">
        <v>14</v>
      </c>
      <c r="O9" s="320">
        <v>13</v>
      </c>
      <c r="P9" s="331"/>
    </row>
    <row r="10" spans="1:22">
      <c r="B10" s="10"/>
      <c r="C10" s="122"/>
      <c r="D10" s="122"/>
      <c r="E10" s="122"/>
      <c r="F10" s="122"/>
      <c r="G10" s="122"/>
      <c r="H10" s="122"/>
      <c r="I10" s="122"/>
      <c r="J10" s="122"/>
      <c r="K10" s="122"/>
      <c r="L10" s="122"/>
      <c r="M10" s="122"/>
      <c r="N10" s="122"/>
      <c r="O10" s="320"/>
      <c r="P10" s="331"/>
    </row>
    <row r="11" spans="1:22" s="10" customFormat="1">
      <c r="A11" s="123"/>
      <c r="B11" s="110"/>
      <c r="C11" s="110"/>
      <c r="D11" s="110"/>
      <c r="E11" s="110"/>
      <c r="F11" s="110"/>
      <c r="G11" s="110"/>
      <c r="H11" s="110"/>
      <c r="I11" s="110"/>
      <c r="J11" s="110"/>
      <c r="K11" s="110"/>
      <c r="L11" s="110"/>
      <c r="M11" s="110"/>
      <c r="N11" s="110"/>
    </row>
    <row r="12" spans="1:22" s="110" customFormat="1" ht="15.6">
      <c r="A12" s="120" t="s">
        <v>343</v>
      </c>
    </row>
    <row r="13" spans="1:22" s="110" customFormat="1">
      <c r="A13" s="119"/>
      <c r="B13" s="148" t="s">
        <v>148</v>
      </c>
      <c r="C13" s="115">
        <f>VLOOKUP($B$9,'Avg KWH'!$A$12:$O$38,C9,FALSE)/HOURS!B15/VLOOKUP($B$9,'Avg CP'!$A$12:$P$38,C9,FALSE)</f>
        <v>0.96470381526120652</v>
      </c>
      <c r="D13" s="115">
        <f>VLOOKUP($B$9,'Avg KWH'!$A$12:$O$38,D9,FALSE)/HOURS!C15/VLOOKUP($B$9,'Avg CP'!$A$12:$P$38,D9,FALSE)</f>
        <v>0.88436075371213685</v>
      </c>
      <c r="E13" s="115">
        <f>VLOOKUP($B$9,'Avg KWH'!$A$12:$O$38,E9,FALSE)/HOURS!D15/VLOOKUP($B$9,'Avg CP'!$A$12:$P$38,E9,FALSE)</f>
        <v>0.97355917693463701</v>
      </c>
      <c r="F13" s="115">
        <f>VLOOKUP($B$9,'Avg KWH'!$A$12:$O$38,F9,FALSE)/HOURS!E15/VLOOKUP($B$9,'Avg CP'!$A$12:$P$38,F9,FALSE)</f>
        <v>0.90347518917011205</v>
      </c>
      <c r="G13" s="115">
        <f>VLOOKUP($B$9,'Avg KWH'!$A$12:$O$38,G9,FALSE)/HOURS!F15/VLOOKUP($B$9,'Avg CP'!$A$12:$P$38,G9,FALSE)</f>
        <v>0.92276277549806474</v>
      </c>
      <c r="H13" s="115">
        <f>VLOOKUP($B$9,'Avg KWH'!$A$12:$O$38,H9,FALSE)/HOURS!G15/VLOOKUP($B$9,'Avg CP'!$A$12:$P$38,H9,FALSE)</f>
        <v>0.90419495267463923</v>
      </c>
      <c r="I13" s="115">
        <f>VLOOKUP($B$9,'Avg KWH'!$A$12:$O$38,I9,FALSE)/HOURS!H15/VLOOKUP($B$9,'Avg CP'!$A$12:$P$38,I9,FALSE)</f>
        <v>0.92719364024854833</v>
      </c>
      <c r="J13" s="115">
        <f>VLOOKUP($B$9,'Avg KWH'!$A$12:$O$38,J9,FALSE)/HOURS!I15/VLOOKUP($B$9,'Avg CP'!$A$12:$P$38,J9,FALSE)</f>
        <v>0.92211355688428776</v>
      </c>
      <c r="K13" s="115">
        <f>VLOOKUP($B$9,'Avg KWH'!$A$12:$O$38,K9,FALSE)/HOURS!J15/VLOOKUP($B$9,'Avg CP'!$A$12:$P$38,K9,FALSE)</f>
        <v>0.93281970413662285</v>
      </c>
      <c r="L13" s="115">
        <f>VLOOKUP($B$9,'Avg KWH'!$A$12:$O$38,L9,FALSE)/HOURS!K15/VLOOKUP($B$9,'Avg CP'!$A$12:$P$38,L9,FALSE)</f>
        <v>0.90455638019010998</v>
      </c>
      <c r="M13" s="115">
        <f>VLOOKUP($B$9,'Avg KWH'!$A$12:$O$38,M9,FALSE)/HOURS!L15/VLOOKUP($B$9,'Avg CP'!$A$12:$P$38,M9,FALSE)</f>
        <v>0.86801306563219904</v>
      </c>
      <c r="N13" s="115">
        <f>VLOOKUP($B$9,'Avg KWH'!$A$12:$O$38,N9,FALSE)/HOURS!M15/VLOOKUP($B$9,'Avg CP'!$A$12:$P$38,N9,FALSE)</f>
        <v>0.90378002714239813</v>
      </c>
      <c r="S13" s="488"/>
      <c r="T13" s="488"/>
      <c r="V13" s="10"/>
    </row>
    <row r="14" spans="1:22" s="110" customFormat="1">
      <c r="A14" s="119"/>
      <c r="B14" s="118" t="s">
        <v>342</v>
      </c>
      <c r="C14" s="115">
        <f>VLOOKUP($B$9,'Avg KWH'!$A$12:$O$38,C9,FALSE)/HOURS!B15/VLOOKUP($B$9,'Avg GNCP'!$A$11:$P$37,C9,FALSE)</f>
        <v>0.84780895795860223</v>
      </c>
      <c r="D14" s="115">
        <f>VLOOKUP($B$9,'Avg KWH'!$A$12:$O$38,D9,FALSE)/HOURS!C15/VLOOKUP($B$9,'Avg GNCP'!$A$11:$P$37,D9,FALSE)</f>
        <v>0.84781119215361256</v>
      </c>
      <c r="E14" s="115">
        <f>VLOOKUP($B$9,'Avg KWH'!$A$12:$O$38,E9,FALSE)/HOURS!D15/VLOOKUP($B$9,'Avg GNCP'!$A$11:$P$37,E9,FALSE)</f>
        <v>0.84717942219203657</v>
      </c>
      <c r="F14" s="115">
        <f>VLOOKUP($B$9,'Avg KWH'!$A$12:$O$38,F9,FALSE)/HOURS!E15/VLOOKUP($B$9,'Avg GNCP'!$A$11:$P$37,F9,FALSE)</f>
        <v>0.85206756089592861</v>
      </c>
      <c r="G14" s="115">
        <f>VLOOKUP($B$9,'Avg KWH'!$A$12:$O$38,G9,FALSE)/HOURS!F15/VLOOKUP($B$9,'Avg GNCP'!$A$11:$P$37,G9,FALSE)</f>
        <v>0.86248839874539474</v>
      </c>
      <c r="H14" s="115">
        <f>VLOOKUP($B$9,'Avg KWH'!$A$12:$O$38,H9,FALSE)/HOURS!G15/VLOOKUP($B$9,'Avg GNCP'!$A$11:$P$37,H9,FALSE)</f>
        <v>0.86867901780008283</v>
      </c>
      <c r="I14" s="115">
        <f>VLOOKUP($B$9,'Avg KWH'!$A$12:$O$38,I9,FALSE)/HOURS!H15/VLOOKUP($B$9,'Avg GNCP'!$A$11:$P$37,I9,FALSE)</f>
        <v>0.87265552684347547</v>
      </c>
      <c r="J14" s="115">
        <f>VLOOKUP($B$9,'Avg KWH'!$A$12:$O$38,J9,FALSE)/HOURS!I15/VLOOKUP($B$9,'Avg GNCP'!$A$11:$P$37,J9,FALSE)</f>
        <v>0.86713076111980114</v>
      </c>
      <c r="K14" s="115">
        <f>VLOOKUP($B$9,'Avg KWH'!$A$12:$O$38,K9,FALSE)/HOURS!J15/VLOOKUP($B$9,'Avg GNCP'!$A$11:$P$37,K9,FALSE)</f>
        <v>0.86910825757621779</v>
      </c>
      <c r="L14" s="115">
        <f>VLOOKUP($B$9,'Avg KWH'!$A$12:$O$38,L9,FALSE)/HOURS!K15/VLOOKUP($B$9,'Avg GNCP'!$A$11:$P$37,L9,FALSE)</f>
        <v>0.85571747946302035</v>
      </c>
      <c r="M14" s="115">
        <f>VLOOKUP($B$9,'Avg KWH'!$A$12:$O$38,M9,FALSE)/HOURS!L15/VLOOKUP($B$9,'Avg GNCP'!$A$11:$P$37,M9,FALSE)</f>
        <v>0.83179402092305377</v>
      </c>
      <c r="N14" s="115">
        <f>VLOOKUP($B$9,'Avg KWH'!$A$12:$O$38,N9,FALSE)/HOURS!M15/VLOOKUP($B$9,'Avg GNCP'!$A$11:$P$37,N9,FALSE)</f>
        <v>0.83741263162971391</v>
      </c>
      <c r="S14" s="315"/>
    </row>
    <row r="15" spans="1:22" s="10" customFormat="1">
      <c r="A15" s="119"/>
      <c r="B15" s="148" t="s">
        <v>133</v>
      </c>
      <c r="C15" s="115">
        <f>VLOOKUP($B$9,'Avg KWH'!$A$12:$O$38,C9,FALSE)/HOURS!B15/VLOOKUP($B$9&amp;" ",'Avg NCP'!$B$12:$P$38,C9-1,FALSE)</f>
        <v>0.70307883400027671</v>
      </c>
      <c r="D15" s="115">
        <f>VLOOKUP($B$9,'Avg KWH'!$A$12:$O$38,D9,FALSE)/HOURS!C15/VLOOKUP($B$9&amp;" ",'Avg NCP'!$B$12:$P$38,D9-1,FALSE)</f>
        <v>0.70905477304957198</v>
      </c>
      <c r="E15" s="115">
        <f>VLOOKUP($B$9,'Avg KWH'!$A$12:$O$38,E9,FALSE)/HOURS!D15/VLOOKUP($B$9&amp;" ",'Avg NCP'!$B$12:$P$38,E9-1,FALSE)</f>
        <v>0.705612761302848</v>
      </c>
      <c r="F15" s="115">
        <f>VLOOKUP($B$9,'Avg KWH'!$A$12:$O$38,F9,FALSE)/HOURS!E15/VLOOKUP($B$9&amp;" ",'Avg NCP'!$B$12:$P$38,F9-1,FALSE)</f>
        <v>0.70853356376918797</v>
      </c>
      <c r="G15" s="115">
        <f>VLOOKUP($B$9,'Avg KWH'!$A$12:$O$38,G9,FALSE)/HOURS!F15/VLOOKUP($B$9&amp;" ",'Avg NCP'!$B$12:$P$38,G9-1,FALSE)</f>
        <v>0.71141023376074908</v>
      </c>
      <c r="H15" s="115">
        <f>VLOOKUP($B$9,'Avg KWH'!$A$12:$O$38,H9,FALSE)/HOURS!G15/VLOOKUP($B$9&amp;" ",'Avg NCP'!$B$12:$P$38,H9-1,FALSE)</f>
        <v>0.7180877643948006</v>
      </c>
      <c r="I15" s="115">
        <f>VLOOKUP($B$9,'Avg KWH'!$A$12:$O$38,I9,FALSE)/HOURS!H15/VLOOKUP($B$9&amp;" ",'Avg NCP'!$B$12:$P$38,I9-1,FALSE)</f>
        <v>0.72255276863008577</v>
      </c>
      <c r="J15" s="115">
        <f>VLOOKUP($B$9,'Avg KWH'!$A$12:$O$38,J9,FALSE)/HOURS!I15/VLOOKUP($B$9&amp;" ",'Avg NCP'!$B$12:$P$38,J9-1,FALSE)</f>
        <v>0.72335963767584166</v>
      </c>
      <c r="K15" s="115">
        <f>VLOOKUP($B$9,'Avg KWH'!$A$12:$O$38,K9,FALSE)/HOURS!J15/VLOOKUP($B$9&amp;" ",'Avg NCP'!$B$12:$P$38,K9-1,FALSE)</f>
        <v>0.72337001516151844</v>
      </c>
      <c r="L15" s="115">
        <f>VLOOKUP($B$9,'Avg KWH'!$A$12:$O$38,L9,FALSE)/HOURS!K15/VLOOKUP($B$9&amp;" ",'Avg NCP'!$B$12:$P$38,L9-1,FALSE)</f>
        <v>0.71246530958135501</v>
      </c>
      <c r="M15" s="115">
        <f>VLOOKUP($B$9,'Avg KWH'!$A$12:$O$38,M9,FALSE)/HOURS!L15/VLOOKUP($B$9&amp;" ",'Avg NCP'!$B$12:$P$38,M9-1,FALSE)</f>
        <v>0.69634855766441606</v>
      </c>
      <c r="N15" s="115">
        <f>VLOOKUP($B$9,'Avg KWH'!$A$12:$O$38,N9,FALSE)/HOURS!M15/VLOOKUP($B$9&amp;" ",'Avg NCP'!$B$12:$P$38,N9-1,FALSE)</f>
        <v>0.6979220327505149</v>
      </c>
      <c r="S15" s="527"/>
    </row>
    <row r="16" spans="1:22">
      <c r="A16" s="114"/>
      <c r="C16" s="116"/>
      <c r="D16" s="116"/>
      <c r="E16" s="116"/>
      <c r="F16" s="116"/>
      <c r="G16" s="116"/>
      <c r="H16" s="116"/>
      <c r="I16" s="116"/>
      <c r="J16" s="116"/>
      <c r="K16" s="116"/>
      <c r="L16" s="116"/>
      <c r="M16" s="116"/>
      <c r="N16" s="116"/>
      <c r="S16" s="150"/>
    </row>
    <row r="17" spans="1:21" ht="15.6">
      <c r="A17" s="113" t="s">
        <v>421</v>
      </c>
      <c r="C17" s="5"/>
      <c r="D17" s="5"/>
      <c r="E17" s="5"/>
      <c r="F17" s="5"/>
      <c r="G17" s="5"/>
      <c r="H17" s="5"/>
      <c r="I17" s="5"/>
      <c r="J17" s="5"/>
      <c r="K17" s="5"/>
      <c r="L17" s="5"/>
      <c r="M17" s="115"/>
      <c r="N17" s="5"/>
    </row>
    <row r="18" spans="1:21">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c r="T18" s="235"/>
    </row>
    <row r="19" spans="1:21">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21">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21">
      <c r="A21" s="114"/>
      <c r="C21" s="5"/>
      <c r="D21" s="5"/>
      <c r="E21" s="5"/>
      <c r="F21" s="5"/>
      <c r="G21" s="5"/>
      <c r="H21" s="5"/>
      <c r="I21" s="5"/>
      <c r="J21" s="5"/>
      <c r="K21" s="5"/>
      <c r="L21" s="5"/>
      <c r="M21" s="115"/>
      <c r="N21" s="5"/>
    </row>
    <row r="22" spans="1:21" ht="15.6">
      <c r="A22" s="113" t="s">
        <v>427</v>
      </c>
      <c r="C22" s="5"/>
      <c r="D22" s="5"/>
      <c r="E22" s="5"/>
      <c r="F22" s="5"/>
      <c r="G22" s="5"/>
      <c r="H22" s="5"/>
      <c r="I22" s="5"/>
      <c r="J22" s="5"/>
      <c r="K22" s="5"/>
      <c r="L22" s="5"/>
      <c r="M22" s="115"/>
      <c r="N22" s="5"/>
      <c r="U22" s="235"/>
    </row>
    <row r="23" spans="1:21">
      <c r="A23" s="114"/>
      <c r="B23" t="s">
        <v>428</v>
      </c>
      <c r="C23" s="145">
        <v>0</v>
      </c>
      <c r="D23" s="145">
        <v>0</v>
      </c>
      <c r="E23" s="145">
        <v>0</v>
      </c>
      <c r="F23" s="145">
        <v>0</v>
      </c>
      <c r="G23" s="145">
        <v>0</v>
      </c>
      <c r="H23" s="145">
        <v>0</v>
      </c>
      <c r="I23" s="145">
        <v>0</v>
      </c>
      <c r="J23" s="145">
        <v>0</v>
      </c>
      <c r="K23" s="145">
        <v>0</v>
      </c>
      <c r="L23" s="145">
        <v>0</v>
      </c>
      <c r="M23" s="145">
        <v>0</v>
      </c>
      <c r="N23" s="145">
        <v>0</v>
      </c>
    </row>
    <row r="24" spans="1:21">
      <c r="A24" s="114"/>
      <c r="B24" t="s">
        <v>429</v>
      </c>
      <c r="C24" s="145">
        <v>0</v>
      </c>
      <c r="D24" s="145">
        <v>0</v>
      </c>
      <c r="E24" s="145">
        <v>0</v>
      </c>
      <c r="F24" s="145">
        <v>0</v>
      </c>
      <c r="G24" s="145">
        <v>0</v>
      </c>
      <c r="H24" s="145">
        <v>0</v>
      </c>
      <c r="I24" s="145">
        <v>0</v>
      </c>
      <c r="J24" s="145">
        <v>0</v>
      </c>
      <c r="K24" s="145">
        <v>0</v>
      </c>
      <c r="L24" s="145">
        <v>0</v>
      </c>
      <c r="M24" s="145">
        <v>0</v>
      </c>
      <c r="N24" s="145">
        <v>0</v>
      </c>
    </row>
    <row r="25" spans="1:21">
      <c r="A25" s="114"/>
      <c r="C25" s="5"/>
      <c r="D25" s="5"/>
      <c r="E25" s="5"/>
      <c r="F25" s="5"/>
      <c r="G25" s="5"/>
      <c r="H25" s="5"/>
      <c r="I25" s="5"/>
      <c r="J25" s="5"/>
      <c r="K25" s="5"/>
      <c r="L25" s="5"/>
      <c r="M25" s="115"/>
      <c r="N25" s="5"/>
    </row>
    <row r="26" spans="1:21" ht="15.6">
      <c r="A26" s="113" t="s">
        <v>424</v>
      </c>
      <c r="C26" s="5"/>
      <c r="D26" s="5"/>
      <c r="E26" s="5"/>
      <c r="F26" s="5"/>
      <c r="G26" s="5"/>
      <c r="H26" s="5"/>
      <c r="I26" s="5"/>
      <c r="J26" s="5"/>
      <c r="K26" s="5"/>
      <c r="L26" s="5"/>
      <c r="M26" s="115"/>
      <c r="N26" s="5"/>
    </row>
    <row r="27" spans="1:21" s="106" customFormat="1">
      <c r="A27" s="109"/>
      <c r="B27" s="108" t="str">
        <f>"PRIOR - "&amp;MANUAL!$B$9</f>
        <v>PRIOR - 2016</v>
      </c>
      <c r="C27" s="142">
        <f>VLOOKUP($B$9,'Sales Forecast'!$B$7:$AO$23,C9-1,FALSE)</f>
        <v>230380345</v>
      </c>
      <c r="D27" s="142">
        <f>VLOOKUP($B$9,'Sales Forecast'!$B$7:$AO$23,D9-1,FALSE)</f>
        <v>212389992</v>
      </c>
      <c r="E27" s="142">
        <f>VLOOKUP($B$9,'Sales Forecast'!$B$7:$AO$23,E9-1,FALSE)</f>
        <v>213700912</v>
      </c>
      <c r="F27" s="142">
        <f>VLOOKUP($B$9,'Sales Forecast'!$B$7:$AO$23,F9-1,FALSE)</f>
        <v>214408138</v>
      </c>
      <c r="G27" s="142">
        <f>VLOOKUP($B$9,'Sales Forecast'!$B$7:$AO$23,G9-1,FALSE)</f>
        <v>222223124</v>
      </c>
      <c r="H27" s="142">
        <f>VLOOKUP($B$9,'Sales Forecast'!$B$7:$AO$23,H9-1,FALSE)</f>
        <v>230063751</v>
      </c>
      <c r="I27" s="142">
        <f>VLOOKUP($B$9,'Sales Forecast'!$B$7:$AO$23,I9-1,FALSE)</f>
        <v>237298897</v>
      </c>
      <c r="J27" s="142">
        <f>VLOOKUP($B$9,'Sales Forecast'!$B$7:$AO$23,J9-1,FALSE)</f>
        <v>235681124</v>
      </c>
      <c r="K27" s="142">
        <f>VLOOKUP($B$9,'Sales Forecast'!$B$7:$AO$23,K9-1,FALSE)</f>
        <v>233817820</v>
      </c>
      <c r="L27" s="142">
        <f>VLOOKUP($B$9,'Sales Forecast'!$B$7:$AO$23,L9-1,FALSE)</f>
        <v>225569349</v>
      </c>
      <c r="M27" s="142">
        <f>VLOOKUP($B$9,'Sales Forecast'!$B$7:$AO$23,M9-1,FALSE)</f>
        <v>214908646</v>
      </c>
      <c r="N27" s="142">
        <f>VLOOKUP($B$9,'Sales Forecast'!$B$7:$AO$23,N9-1,FALSE)</f>
        <v>224070882</v>
      </c>
      <c r="O27" s="142">
        <f>VLOOKUP($B$9,'Sales Forecast'!$B$7:$AO$23,O9)</f>
        <v>224070882</v>
      </c>
    </row>
    <row r="28" spans="1:21" s="12" customFormat="1" ht="15.6">
      <c r="A28" s="111"/>
      <c r="B28" s="108" t="str">
        <f>"TEST - "&amp;MANUAL!$B$10</f>
        <v>TEST - 2017</v>
      </c>
      <c r="C28" s="142">
        <f>VLOOKUP($B$9,'Sales Forecast'!$B$7:$AO$23,C9+11,FALSE)</f>
        <v>230781253</v>
      </c>
      <c r="D28" s="142">
        <f>VLOOKUP($B$9,'Sales Forecast'!$B$7:$AO$23,D9+11,FALSE)</f>
        <v>211833995</v>
      </c>
      <c r="E28" s="142">
        <f>VLOOKUP($B$9,'Sales Forecast'!$B$7:$AO$23,E9+11,FALSE)</f>
        <v>212923906</v>
      </c>
      <c r="F28" s="142">
        <f>VLOOKUP($B$9,'Sales Forecast'!$B$7:$AO$23,F9+11,FALSE)</f>
        <v>214435548</v>
      </c>
      <c r="G28" s="142">
        <f>VLOOKUP($B$9,'Sales Forecast'!$B$7:$AO$23,G9+11,FALSE)</f>
        <v>221455796</v>
      </c>
      <c r="H28" s="142">
        <f>VLOOKUP($B$9,'Sales Forecast'!$B$7:$AO$23,H9+11,FALSE)</f>
        <v>229270200</v>
      </c>
      <c r="I28" s="142">
        <f>VLOOKUP($B$9,'Sales Forecast'!$B$7:$AO$23,I9+11,FALSE)</f>
        <v>236317752</v>
      </c>
      <c r="J28" s="142">
        <f>VLOOKUP($B$9,'Sales Forecast'!$B$7:$AO$23,J9+11,FALSE)</f>
        <v>234795889</v>
      </c>
      <c r="K28" s="142">
        <f>VLOOKUP($B$9,'Sales Forecast'!$B$7:$AO$23,K9+11,FALSE)</f>
        <v>232721345</v>
      </c>
      <c r="L28" s="142">
        <f>VLOOKUP($B$9,'Sales Forecast'!$B$7:$AO$23,L9+11,FALSE)</f>
        <v>224975757</v>
      </c>
      <c r="M28" s="142">
        <f>VLOOKUP($B$9,'Sales Forecast'!$B$7:$AO$23,M9+11,FALSE)</f>
        <v>214508903</v>
      </c>
      <c r="N28" s="142">
        <f>VLOOKUP($B$9,'Sales Forecast'!$B$7:$AO$23,N9+11,FALSE)</f>
        <v>223400047</v>
      </c>
    </row>
    <row r="29" spans="1:21">
      <c r="A29" s="114"/>
      <c r="B29" t="s">
        <v>1094</v>
      </c>
      <c r="C29" s="142">
        <f>VLOOKUP($B$9,'Sales Forecast'!$B$7:$AO$23,C9+23,FALSE)</f>
        <v>230147593</v>
      </c>
      <c r="D29" s="142">
        <f>VLOOKUP($B$9,'Sales Forecast'!$B$7:$AO$23,D9+23,FALSE)</f>
        <v>211718578</v>
      </c>
      <c r="E29" s="142">
        <f>VLOOKUP($B$9,'Sales Forecast'!$B$7:$AO$23,E9+23,FALSE)</f>
        <v>213057450</v>
      </c>
      <c r="F29" s="142">
        <f>VLOOKUP($B$9,'Sales Forecast'!$B$7:$AO$23,F9+23,FALSE)</f>
        <v>214749441</v>
      </c>
      <c r="G29" s="142">
        <f>VLOOKUP($B$9,'Sales Forecast'!$B$7:$AO$23,G9+23,FALSE)</f>
        <v>221607313</v>
      </c>
      <c r="H29" s="142">
        <f>VLOOKUP($B$9,'Sales Forecast'!$B$7:$AO$23,H9+23,FALSE)</f>
        <v>229312876</v>
      </c>
      <c r="I29" s="142">
        <f>VLOOKUP($B$9,'Sales Forecast'!$B$7:$AO$23,I9+23,FALSE)</f>
        <v>236244446</v>
      </c>
      <c r="J29" s="142">
        <f>VLOOKUP($B$9,'Sales Forecast'!$B$7:$AO$23,J9+23,FALSE)</f>
        <v>234641096</v>
      </c>
      <c r="K29" s="142">
        <f>VLOOKUP($B$9,'Sales Forecast'!$B$7:$AO$23,K9+23,FALSE)</f>
        <v>232382963</v>
      </c>
      <c r="L29" s="142">
        <f>VLOOKUP($B$9,'Sales Forecast'!$B$7:$AO$23,L9+23,FALSE)</f>
        <v>224910929</v>
      </c>
      <c r="M29" s="142">
        <f>VLOOKUP($B$9,'Sales Forecast'!$B$7:$AO$23,M9+23,FALSE)</f>
        <v>214593858</v>
      </c>
      <c r="N29" s="142">
        <f>VLOOKUP($B$9,'Sales Forecast'!$B$7:$AO$23,N9+23,FALSE)</f>
        <v>223591082</v>
      </c>
    </row>
    <row r="30" spans="1:21">
      <c r="A30" s="114"/>
      <c r="C30" s="142"/>
      <c r="D30" s="142"/>
      <c r="E30" s="142"/>
      <c r="F30" s="142"/>
      <c r="G30" s="142"/>
      <c r="H30" s="142"/>
      <c r="I30" s="142"/>
      <c r="J30" s="142"/>
      <c r="K30" s="142"/>
      <c r="L30" s="142"/>
      <c r="M30" s="142"/>
      <c r="N30" s="142"/>
    </row>
    <row r="31" spans="1:21" ht="15.6">
      <c r="A31" s="113" t="s">
        <v>1248</v>
      </c>
      <c r="C31" s="142"/>
      <c r="D31" s="142"/>
      <c r="E31" s="142"/>
      <c r="F31" s="142"/>
      <c r="G31" s="142"/>
      <c r="H31" s="142"/>
      <c r="I31" s="142"/>
      <c r="J31" s="142"/>
      <c r="K31" s="142"/>
      <c r="L31" s="142"/>
      <c r="M31" s="142"/>
      <c r="N31" s="142"/>
    </row>
    <row r="32" spans="1:21">
      <c r="A32" s="114"/>
      <c r="B32" t="s">
        <v>1254</v>
      </c>
      <c r="C32" s="115">
        <v>0</v>
      </c>
      <c r="D32" s="115">
        <v>0</v>
      </c>
      <c r="E32" s="115">
        <v>0</v>
      </c>
      <c r="F32" s="115">
        <v>0</v>
      </c>
      <c r="G32" s="115">
        <v>0</v>
      </c>
      <c r="H32" s="115">
        <v>0</v>
      </c>
      <c r="I32" s="115">
        <v>0</v>
      </c>
      <c r="J32" s="115">
        <v>0</v>
      </c>
      <c r="K32" s="115">
        <v>0</v>
      </c>
      <c r="L32" s="115">
        <v>0</v>
      </c>
      <c r="M32" s="115">
        <v>0</v>
      </c>
      <c r="N32" s="115">
        <v>0</v>
      </c>
    </row>
    <row r="33" spans="1:42">
      <c r="A33" s="114"/>
      <c r="B33" t="s">
        <v>1253</v>
      </c>
      <c r="C33" s="115">
        <v>0.39212000000000002</v>
      </c>
      <c r="D33" s="115">
        <v>0.39212000000000002</v>
      </c>
      <c r="E33" s="115">
        <v>0.39212000000000002</v>
      </c>
      <c r="F33" s="115">
        <v>0.39212000000000002</v>
      </c>
      <c r="G33" s="115">
        <v>0.39212000000000002</v>
      </c>
      <c r="H33" s="115">
        <v>0.39212000000000002</v>
      </c>
      <c r="I33" s="115">
        <v>0.39212000000000002</v>
      </c>
      <c r="J33" s="115">
        <v>0.39212000000000002</v>
      </c>
      <c r="K33" s="115">
        <v>0.39212000000000002</v>
      </c>
      <c r="L33" s="115">
        <v>0.39212000000000002</v>
      </c>
      <c r="M33" s="115">
        <v>0.39212000000000002</v>
      </c>
      <c r="N33" s="115">
        <v>0.39212000000000002</v>
      </c>
      <c r="S33" s="504"/>
      <c r="T33" s="504"/>
      <c r="U33" s="504"/>
      <c r="V33" s="504"/>
      <c r="W33" s="504"/>
      <c r="X33" s="504"/>
      <c r="Y33" s="504"/>
      <c r="Z33" s="504"/>
      <c r="AA33" s="504"/>
      <c r="AB33" s="504"/>
    </row>
    <row r="34" spans="1:42">
      <c r="A34" s="114"/>
      <c r="B34" t="s">
        <v>1252</v>
      </c>
      <c r="C34" s="115">
        <v>0.60787999999999998</v>
      </c>
      <c r="D34" s="115">
        <v>0.60787999999999998</v>
      </c>
      <c r="E34" s="115">
        <v>0.60787999999999998</v>
      </c>
      <c r="F34" s="115">
        <v>0.60787999999999998</v>
      </c>
      <c r="G34" s="115">
        <v>0.60787999999999998</v>
      </c>
      <c r="H34" s="115">
        <v>0.60787999999999998</v>
      </c>
      <c r="I34" s="115">
        <v>0.60787999999999998</v>
      </c>
      <c r="J34" s="115">
        <v>0.60787999999999998</v>
      </c>
      <c r="K34" s="115">
        <v>0.60787999999999998</v>
      </c>
      <c r="L34" s="115">
        <v>0.60787999999999998</v>
      </c>
      <c r="M34" s="115">
        <v>0.60787999999999998</v>
      </c>
      <c r="N34" s="115">
        <v>0.60787999999999998</v>
      </c>
      <c r="S34" s="504"/>
      <c r="T34" s="504"/>
      <c r="U34" s="504"/>
      <c r="V34" s="504"/>
      <c r="W34" s="504"/>
      <c r="X34" s="504"/>
      <c r="Y34" s="504"/>
      <c r="Z34" s="504"/>
      <c r="AA34" s="504"/>
      <c r="AB34" s="504"/>
      <c r="AC34" s="507"/>
      <c r="AD34" s="507"/>
      <c r="AE34" s="507"/>
      <c r="AF34" s="507"/>
      <c r="AG34" s="507"/>
      <c r="AH34" s="507"/>
      <c r="AI34" s="507"/>
      <c r="AJ34" s="507"/>
      <c r="AM34" s="507"/>
      <c r="AN34" s="507"/>
      <c r="AO34" s="507"/>
      <c r="AP34" s="507"/>
    </row>
    <row r="35" spans="1:42" ht="15.6">
      <c r="A35" s="114"/>
      <c r="B35" s="513">
        <v>2017</v>
      </c>
      <c r="C35" s="115"/>
      <c r="D35" s="115"/>
      <c r="E35" s="115"/>
      <c r="F35" s="115"/>
      <c r="G35" s="115"/>
      <c r="H35" s="115"/>
      <c r="I35" s="115"/>
      <c r="J35" s="115"/>
      <c r="K35" s="115"/>
      <c r="L35" s="115"/>
      <c r="M35" s="115"/>
      <c r="N35" s="115"/>
      <c r="W35" s="507"/>
      <c r="X35" s="507"/>
      <c r="Y35" s="507"/>
      <c r="Z35" s="507"/>
      <c r="AA35" s="507"/>
      <c r="AB35" s="507"/>
      <c r="AC35" s="507"/>
      <c r="AD35" s="507"/>
      <c r="AE35" s="507"/>
      <c r="AF35" s="507"/>
      <c r="AG35" s="507"/>
      <c r="AH35" s="507"/>
      <c r="AI35" s="507"/>
      <c r="AJ35" s="507"/>
      <c r="AM35" s="507"/>
      <c r="AN35" s="507"/>
      <c r="AO35" s="507"/>
      <c r="AP35" s="507"/>
    </row>
    <row r="36" spans="1:42">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row>
    <row r="37" spans="1:42">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row>
    <row r="38" spans="1:42">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W38" s="508"/>
      <c r="X38" s="508"/>
      <c r="Y38" s="508"/>
      <c r="Z38" s="508"/>
      <c r="AA38" s="508"/>
      <c r="AB38" s="508"/>
      <c r="AC38" s="508"/>
      <c r="AD38" s="508"/>
      <c r="AE38" s="508"/>
      <c r="AF38" s="508"/>
      <c r="AG38" s="508"/>
      <c r="AH38" s="508"/>
      <c r="AI38" s="509"/>
      <c r="AJ38" s="509"/>
      <c r="AL38" s="509"/>
    </row>
    <row r="39" spans="1:42">
      <c r="A39" s="114"/>
      <c r="B39" t="s">
        <v>1255</v>
      </c>
      <c r="C39" s="107">
        <f>(+C$28/C$19/C13)+C23</f>
        <v>321538.95452233456</v>
      </c>
      <c r="D39" s="107">
        <f t="shared" ref="D39:N39" si="0">(+D$28/D$19/D13)+D23</f>
        <v>356448.60754279798</v>
      </c>
      <c r="E39" s="107">
        <f t="shared" si="0"/>
        <v>293960.60607226845</v>
      </c>
      <c r="F39" s="107">
        <f t="shared" si="0"/>
        <v>329646.1857171412</v>
      </c>
      <c r="G39" s="107">
        <f t="shared" si="0"/>
        <v>322570.05558583076</v>
      </c>
      <c r="H39" s="107">
        <f t="shared" si="0"/>
        <v>352170.54949422594</v>
      </c>
      <c r="I39" s="107">
        <f t="shared" si="0"/>
        <v>342572.870766918</v>
      </c>
      <c r="J39" s="107">
        <f t="shared" si="0"/>
        <v>342241.87461049284</v>
      </c>
      <c r="K39" s="107">
        <f t="shared" si="0"/>
        <v>346502.21135384339</v>
      </c>
      <c r="L39" s="107">
        <f t="shared" si="0"/>
        <v>334292.89404573973</v>
      </c>
      <c r="M39" s="107">
        <f t="shared" si="0"/>
        <v>343231.04540765652</v>
      </c>
      <c r="N39" s="107">
        <f t="shared" si="0"/>
        <v>332236.685209502</v>
      </c>
    </row>
    <row r="40" spans="1:42">
      <c r="A40" s="114"/>
      <c r="B40" t="s">
        <v>1256</v>
      </c>
      <c r="C40" s="107">
        <f t="shared" ref="C40:N40" si="1">(C39*C32*C36)+(C39*C33*C37)+(C39*C34*C38)</f>
        <v>338518.92515176791</v>
      </c>
      <c r="D40" s="107">
        <f t="shared" si="1"/>
        <v>375272.10249373002</v>
      </c>
      <c r="E40" s="107">
        <f t="shared" si="1"/>
        <v>309484.20713868551</v>
      </c>
      <c r="F40" s="107">
        <f t="shared" si="1"/>
        <v>347054.28657974751</v>
      </c>
      <c r="G40" s="107">
        <f t="shared" si="1"/>
        <v>339604.47705404396</v>
      </c>
      <c r="H40" s="107">
        <f t="shared" si="1"/>
        <v>370768.12687282625</v>
      </c>
      <c r="I40" s="107">
        <f t="shared" si="1"/>
        <v>360663.60970305791</v>
      </c>
      <c r="J40" s="107">
        <f t="shared" si="1"/>
        <v>360315.13415592292</v>
      </c>
      <c r="K40" s="107">
        <f t="shared" si="1"/>
        <v>364800.45263711934</v>
      </c>
      <c r="L40" s="107">
        <f t="shared" si="1"/>
        <v>351946.38032691949</v>
      </c>
      <c r="M40" s="107">
        <f t="shared" si="1"/>
        <v>361356.54151990719</v>
      </c>
      <c r="N40" s="107">
        <f t="shared" si="1"/>
        <v>349781.58630945807</v>
      </c>
    </row>
    <row r="41" spans="1:42">
      <c r="A41" s="114"/>
      <c r="B41" t="s">
        <v>1257</v>
      </c>
      <c r="C41" s="235">
        <f>C40+'CILC-1G'!C40+'CILC-1T'!C40+'GS(T)-1'!C40+'GSCU-1'!C40+'GSD(T)-1'!C40+'GSLD(T)-1'!C40+'GSLD(T)-2'!C40+'GSLD(T)-3'!C40+MET!C40+'OL-1'!C40+'OS-2'!C40+'RS(T)-1'!C40+'SL-1'!C40+'SL-2'!C40+'SST-1D'!C40+'SST-1T'!C40</f>
        <v>18256149.499405459</v>
      </c>
      <c r="D41" s="235">
        <f>D40+'CILC-1G'!D40+'CILC-1T'!D40+'GS(T)-1'!D40+'GSCU-1'!D40+'GSD(T)-1'!D40+'GSLD(T)-1'!D40+'GSLD(T)-2'!D40+'GSLD(T)-3'!D40+MET!D40+'OL-1'!D40+'OS-2'!D40+'RS(T)-1'!D40+'SL-1'!D40+'SL-2'!D40+'SST-1D'!D40+'SST-1T'!D40</f>
        <v>17272049.750832967</v>
      </c>
      <c r="E41" s="235">
        <f>E40+'CILC-1G'!E40+'CILC-1T'!E40+'GS(T)-1'!E40+'GSCU-1'!E40+'GSD(T)-1'!E40+'GSLD(T)-1'!E40+'GSLD(T)-2'!E40+'GSLD(T)-3'!E40+MET!E40+'OL-1'!E40+'OS-2'!E40+'RS(T)-1'!E40+'SL-1'!E40+'SL-2'!E40+'SST-1D'!E40+'SST-1T'!E40</f>
        <v>15545354.382801527</v>
      </c>
      <c r="F41" s="235">
        <f>F40+'CILC-1G'!F40+'CILC-1T'!F40+'GS(T)-1'!F40+'GSCU-1'!F40+'GSD(T)-1'!F40+'GSLD(T)-1'!F40+'GSLD(T)-2'!F40+'GSLD(T)-3'!F40+MET!F40+'OL-1'!F40+'OS-2'!F40+'RS(T)-1'!F40+'SL-1'!F40+'SL-2'!F40+'SST-1D'!F40+'SST-1T'!F40</f>
        <v>17553131.922097418</v>
      </c>
      <c r="G41" s="235">
        <f>G40+'CILC-1G'!G40+'CILC-1T'!G40+'GS(T)-1'!G40+'GSCU-1'!G40+'GSD(T)-1'!G40+'GSLD(T)-1'!G40+'GSLD(T)-2'!G40+'GSLD(T)-3'!G40+MET!G40+'OL-1'!G40+'OS-2'!G40+'RS(T)-1'!G40+'SL-1'!G40+'SL-2'!G40+'SST-1D'!G40+'SST-1T'!G40</f>
        <v>18813739.822794199</v>
      </c>
      <c r="H41" s="235">
        <f>H40+'CILC-1G'!H40+'CILC-1T'!H40+'GS(T)-1'!H40+'GSCU-1'!H40+'GSD(T)-1'!H40+'GSLD(T)-1'!H40+'GSLD(T)-2'!H40+'GSLD(T)-3'!H40+MET!H40+'OL-1'!H40+'OS-2'!H40+'RS(T)-1'!H40+'SL-1'!H40+'SL-2'!H40+'SST-1D'!H40+'SST-1T'!H40</f>
        <v>21003623.485901147</v>
      </c>
      <c r="I41" s="235">
        <f>I40+'CILC-1G'!I40+'CILC-1T'!I40+'GS(T)-1'!I40+'GSCU-1'!I40+'GSD(T)-1'!I40+'GSLD(T)-1'!I40+'GSLD(T)-2'!I40+'GSLD(T)-3'!I40+MET!I40+'OL-1'!I40+'OS-2'!I40+'RS(T)-1'!I40+'SL-1'!I40+'SL-2'!I40+'SST-1D'!I40+'SST-1T'!I40</f>
        <v>21153678.961686965</v>
      </c>
      <c r="J41" s="235">
        <f>J40+'CILC-1G'!J40+'CILC-1T'!J40+'GS(T)-1'!J40+'GSCU-1'!J40+'GSD(T)-1'!J40+'GSLD(T)-1'!J40+'GSLD(T)-2'!J40+'GSLD(T)-3'!J40+MET!J40+'OL-1'!J40+'OS-2'!J40+'RS(T)-1'!J40+'SL-1'!J40+'SL-2'!J40+'SST-1D'!J40+'SST-1T'!J40</f>
        <v>21007291.816243138</v>
      </c>
      <c r="K41" s="235">
        <f>K40+'CILC-1G'!K40+'CILC-1T'!K40+'GS(T)-1'!K40+'GSCU-1'!K40+'GSD(T)-1'!K40+'GSLD(T)-1'!K40+'GSLD(T)-2'!K40+'GSLD(T)-3'!K40+MET!K40+'OL-1'!K40+'OS-2'!K40+'RS(T)-1'!K40+'SL-1'!K40+'SL-2'!K40+'SST-1D'!K40+'SST-1T'!K40</f>
        <v>21575583.306640688</v>
      </c>
      <c r="L41" s="235">
        <f>L40+'CILC-1G'!L40+'CILC-1T'!L40+'GS(T)-1'!L40+'GSCU-1'!L40+'GSD(T)-1'!L40+'GSLD(T)-1'!L40+'GSLD(T)-2'!L40+'GSLD(T)-3'!L40+MET!L40+'OL-1'!L40+'OS-2'!L40+'RS(T)-1'!L40+'SL-1'!L40+'SL-2'!L40+'SST-1D'!L40+'SST-1T'!L40</f>
        <v>20000715.361898702</v>
      </c>
      <c r="M41" s="235">
        <f>M40+'CILC-1G'!M40+'CILC-1T'!M40+'GS(T)-1'!M40+'GSCU-1'!M40+'GSD(T)-1'!M40+'GSLD(T)-1'!M40+'GSLD(T)-2'!M40+'GSLD(T)-3'!M40+MET!M40+'OL-1'!M40+'OS-2'!M40+'RS(T)-1'!M40+'SL-1'!M40+'SL-2'!M40+'SST-1D'!M40+'SST-1T'!M40</f>
        <v>18319261.171335042</v>
      </c>
      <c r="N41" s="235">
        <f>N40+'CILC-1G'!N40+'CILC-1T'!N40+'GS(T)-1'!N40+'GSCU-1'!N40+'GSD(T)-1'!N40+'GSLD(T)-1'!N40+'GSLD(T)-2'!N40+'GSLD(T)-3'!N40+MET!N40+'OL-1'!N40+'OS-2'!N40+'RS(T)-1'!N40+'SL-1'!N40+'SL-2'!N40+'SST-1D'!N40+'SST-1T'!N40</f>
        <v>16802221.74189217</v>
      </c>
      <c r="W41" s="508"/>
      <c r="X41" s="508"/>
      <c r="Y41" s="508"/>
      <c r="Z41" s="508"/>
      <c r="AA41" s="508"/>
      <c r="AB41" s="508"/>
      <c r="AC41" s="508"/>
      <c r="AD41" s="508"/>
      <c r="AE41" s="508"/>
      <c r="AF41" s="508"/>
      <c r="AG41" s="508"/>
      <c r="AH41" s="508"/>
      <c r="AI41" s="508"/>
      <c r="AJ41" s="508"/>
      <c r="AK41" s="508"/>
    </row>
    <row r="42" spans="1:42">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W42" s="508"/>
      <c r="X42" s="508"/>
      <c r="Y42" s="508"/>
      <c r="Z42" s="508"/>
      <c r="AA42" s="508"/>
      <c r="AB42" s="508"/>
      <c r="AC42" s="508"/>
      <c r="AD42" s="508"/>
      <c r="AE42" s="508"/>
      <c r="AF42" s="508"/>
      <c r="AG42" s="508"/>
      <c r="AH42" s="508"/>
      <c r="AI42" s="508"/>
      <c r="AJ42" s="508"/>
      <c r="AK42" s="508"/>
    </row>
    <row r="43" spans="1:42">
      <c r="A43" s="114"/>
      <c r="B43" t="s">
        <v>1259</v>
      </c>
      <c r="C43" s="235">
        <f>C40*C42/C41</f>
        <v>31175.043106507463</v>
      </c>
      <c r="D43" s="235">
        <f>D40*D42/D41</f>
        <v>2584.2259709446994</v>
      </c>
      <c r="E43" s="235">
        <f t="shared" ref="E43:N43" si="2">E40*E42/E41</f>
        <v>36802.648836194217</v>
      </c>
      <c r="F43" s="235">
        <f t="shared" si="2"/>
        <v>27786.970718676883</v>
      </c>
      <c r="G43" s="235">
        <f t="shared" si="2"/>
        <v>34040.888615976008</v>
      </c>
      <c r="H43" s="235">
        <f t="shared" si="2"/>
        <v>19112.928483875879</v>
      </c>
      <c r="I43" s="235">
        <f t="shared" si="2"/>
        <v>23040.872247230211</v>
      </c>
      <c r="J43" s="235">
        <f t="shared" si="2"/>
        <v>35066.387966755698</v>
      </c>
      <c r="K43" s="235">
        <f t="shared" si="2"/>
        <v>3418.6694794475188</v>
      </c>
      <c r="L43" s="235">
        <f t="shared" si="2"/>
        <v>7006.760185004925</v>
      </c>
      <c r="M43" s="235">
        <f t="shared" si="2"/>
        <v>-7493.3635391765429</v>
      </c>
      <c r="N43" s="235">
        <f t="shared" si="2"/>
        <v>9099.3902669805157</v>
      </c>
      <c r="W43" s="508"/>
      <c r="X43" s="508"/>
      <c r="Y43" s="505"/>
      <c r="Z43" s="508"/>
      <c r="AA43" s="508"/>
      <c r="AB43" s="508"/>
      <c r="AC43" s="508"/>
      <c r="AD43" s="508"/>
      <c r="AE43" s="508"/>
      <c r="AF43" s="508"/>
      <c r="AG43" s="508"/>
      <c r="AH43" s="508"/>
      <c r="AI43" s="508"/>
      <c r="AJ43" s="508"/>
      <c r="AK43" s="508"/>
    </row>
    <row r="44" spans="1:42">
      <c r="A44" s="114"/>
      <c r="B44" t="s">
        <v>1260</v>
      </c>
      <c r="C44" s="235">
        <f t="shared" ref="C44:N44" si="3">((C43*C32)/C36)+((C43*C33)/C37)+((C43*C34)/C38)</f>
        <v>29616.925204426145</v>
      </c>
      <c r="D44" s="235">
        <f>((D43*D32)/D36)+((D43*D33)/D37)+((D43*D34)/D38)</f>
        <v>2455.0672482255027</v>
      </c>
      <c r="E44" s="235">
        <f t="shared" si="3"/>
        <v>34963.26514072415</v>
      </c>
      <c r="F44" s="235">
        <f>((F43*F32)/F36)+((F43*F33)/F37)+((F43*F34)/F38)</f>
        <v>26398.187505981266</v>
      </c>
      <c r="G44" s="235">
        <f t="shared" si="3"/>
        <v>32339.536743771641</v>
      </c>
      <c r="H44" s="235">
        <f t="shared" si="3"/>
        <v>18157.670910367968</v>
      </c>
      <c r="I44" s="235">
        <f t="shared" si="3"/>
        <v>21889.297399191455</v>
      </c>
      <c r="J44" s="235">
        <f t="shared" si="3"/>
        <v>33313.781990697695</v>
      </c>
      <c r="K44" s="235">
        <f t="shared" si="3"/>
        <v>3247.8055579758502</v>
      </c>
      <c r="L44" s="235">
        <f t="shared" si="3"/>
        <v>6656.564727614591</v>
      </c>
      <c r="M44" s="235">
        <f t="shared" si="3"/>
        <v>-7118.8478139759191</v>
      </c>
      <c r="N44" s="235">
        <f t="shared" si="3"/>
        <v>8644.6058798485119</v>
      </c>
      <c r="W44" s="508"/>
      <c r="X44" s="508"/>
      <c r="Y44" s="505"/>
      <c r="Z44" s="508"/>
      <c r="AA44" s="508"/>
      <c r="AB44" s="508"/>
      <c r="AC44" s="508"/>
      <c r="AD44" s="508"/>
      <c r="AE44" s="508"/>
      <c r="AF44" s="508"/>
      <c r="AG44" s="508"/>
      <c r="AH44" s="508"/>
      <c r="AI44" s="508"/>
      <c r="AJ44" s="508"/>
      <c r="AK44" s="508"/>
    </row>
    <row r="45" spans="1:42" ht="15.6">
      <c r="A45" s="114"/>
      <c r="B45" s="513">
        <v>2018</v>
      </c>
      <c r="C45" s="235"/>
      <c r="D45" s="235"/>
      <c r="E45" s="235"/>
      <c r="F45" s="235"/>
      <c r="G45" s="235"/>
      <c r="H45" s="235"/>
      <c r="I45" s="235"/>
      <c r="J45" s="235"/>
      <c r="K45" s="235"/>
      <c r="L45" s="235"/>
      <c r="M45" s="235"/>
      <c r="N45" s="235"/>
      <c r="T45" s="522"/>
      <c r="U45" s="523"/>
      <c r="V45" s="523"/>
      <c r="W45" s="523"/>
      <c r="X45" s="523"/>
      <c r="Y45" s="523"/>
      <c r="Z45" s="523"/>
      <c r="AA45" s="523"/>
      <c r="AB45" s="523"/>
      <c r="AC45" s="523"/>
      <c r="AD45" s="523"/>
      <c r="AE45" s="523"/>
      <c r="AF45" s="523"/>
      <c r="AG45" s="508"/>
      <c r="AH45" s="508"/>
      <c r="AI45" s="508"/>
      <c r="AJ45" s="508"/>
      <c r="AK45" s="508"/>
    </row>
    <row r="46" spans="1:42">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T46" s="206"/>
      <c r="U46" s="523"/>
      <c r="V46" s="523"/>
      <c r="W46" s="523"/>
      <c r="X46" s="523"/>
      <c r="Y46" s="523"/>
      <c r="Z46" s="523"/>
      <c r="AA46" s="523"/>
      <c r="AB46" s="523"/>
      <c r="AC46" s="523"/>
      <c r="AD46" s="523"/>
      <c r="AE46" s="523"/>
      <c r="AF46" s="523"/>
      <c r="AG46" s="508"/>
      <c r="AH46" s="508"/>
      <c r="AI46" s="508"/>
      <c r="AJ46" s="508"/>
      <c r="AK46" s="508"/>
    </row>
    <row r="47" spans="1:42">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T47" s="206"/>
      <c r="U47" s="523"/>
      <c r="V47" s="523"/>
      <c r="W47" s="523"/>
      <c r="X47" s="523"/>
      <c r="Y47" s="523"/>
      <c r="Z47" s="523"/>
      <c r="AA47" s="523"/>
      <c r="AB47" s="523"/>
      <c r="AC47" s="523"/>
      <c r="AD47" s="523"/>
      <c r="AE47" s="523"/>
      <c r="AF47" s="523"/>
      <c r="AG47" s="508"/>
      <c r="AH47" s="508"/>
      <c r="AI47" s="508"/>
      <c r="AJ47" s="508"/>
      <c r="AK47" s="508"/>
    </row>
    <row r="48" spans="1:42">
      <c r="A48" s="114"/>
      <c r="B48" t="s">
        <v>1251</v>
      </c>
      <c r="C48">
        <v>1.06467</v>
      </c>
      <c r="D48">
        <v>1.06467</v>
      </c>
      <c r="E48">
        <v>1.06467</v>
      </c>
      <c r="F48">
        <v>1.06467</v>
      </c>
      <c r="G48">
        <v>1.06467</v>
      </c>
      <c r="H48">
        <v>1.06467</v>
      </c>
      <c r="I48">
        <v>1.06467</v>
      </c>
      <c r="J48">
        <v>1.06467</v>
      </c>
      <c r="K48">
        <v>1.06467</v>
      </c>
      <c r="L48">
        <v>1.06467</v>
      </c>
      <c r="M48">
        <v>1.06467</v>
      </c>
      <c r="N48">
        <v>1.06467</v>
      </c>
      <c r="T48" s="206"/>
      <c r="U48" s="523"/>
      <c r="V48" s="523"/>
      <c r="W48" s="523"/>
      <c r="X48" s="523"/>
      <c r="Y48" s="523"/>
      <c r="Z48" s="523"/>
      <c r="AA48" s="523"/>
      <c r="AB48" s="523"/>
      <c r="AC48" s="523"/>
      <c r="AD48" s="523"/>
      <c r="AE48" s="523"/>
      <c r="AF48" s="523"/>
      <c r="AG48" s="508"/>
      <c r="AH48" s="508"/>
      <c r="AI48" s="508"/>
      <c r="AJ48" s="508"/>
      <c r="AK48" s="508"/>
    </row>
    <row r="49" spans="1:42">
      <c r="A49" s="114"/>
      <c r="B49" t="s">
        <v>1255</v>
      </c>
      <c r="C49" s="235">
        <f>(+C$29/C$20/C13)+C23</f>
        <v>320656.09956217615</v>
      </c>
      <c r="D49" s="235">
        <f t="shared" ref="D49:N49" si="4">(+D$29/D$20/D13)+D23</f>
        <v>356254.39778464864</v>
      </c>
      <c r="E49" s="235">
        <f t="shared" si="4"/>
        <v>294144.9755773879</v>
      </c>
      <c r="F49" s="235">
        <f t="shared" si="4"/>
        <v>330128.72525472433</v>
      </c>
      <c r="G49" s="235">
        <f t="shared" si="4"/>
        <v>322790.75356707576</v>
      </c>
      <c r="H49" s="235">
        <f t="shared" si="4"/>
        <v>352236.10197496798</v>
      </c>
      <c r="I49" s="235">
        <f t="shared" si="4"/>
        <v>342466.60432416492</v>
      </c>
      <c r="J49" s="235">
        <f t="shared" si="4"/>
        <v>342016.24610088725</v>
      </c>
      <c r="K49" s="235">
        <f t="shared" si="4"/>
        <v>345998.38944922894</v>
      </c>
      <c r="L49" s="235">
        <f t="shared" si="4"/>
        <v>334196.56571230426</v>
      </c>
      <c r="M49" s="235">
        <f t="shared" si="4"/>
        <v>343366.98006143922</v>
      </c>
      <c r="N49" s="235">
        <f t="shared" si="4"/>
        <v>332520.78915670927</v>
      </c>
      <c r="T49" s="206"/>
      <c r="U49" s="523"/>
      <c r="V49" s="523"/>
      <c r="W49" s="523"/>
      <c r="X49" s="523"/>
      <c r="Y49" s="523"/>
      <c r="Z49" s="523"/>
      <c r="AA49" s="523"/>
      <c r="AB49" s="523"/>
      <c r="AC49" s="523"/>
      <c r="AD49" s="523"/>
      <c r="AE49" s="523"/>
      <c r="AF49" s="523"/>
      <c r="AG49" s="508"/>
      <c r="AH49" s="508"/>
      <c r="AI49" s="508"/>
      <c r="AJ49" s="508"/>
      <c r="AK49" s="508"/>
    </row>
    <row r="50" spans="1:42">
      <c r="A50" s="114"/>
      <c r="B50" t="s">
        <v>1256</v>
      </c>
      <c r="C50" s="107">
        <f>(C49*C32*C46)+(C49*C33*C47)+(C49*C34*C48)</f>
        <v>337644.74920530693</v>
      </c>
      <c r="D50" s="107">
        <f t="shared" ref="D50:N50" si="5">(D49*D32*D46)+(D49*D33*D47)+(D49*D34*D48)</f>
        <v>375129.07740574965</v>
      </c>
      <c r="E50" s="107">
        <f t="shared" si="5"/>
        <v>309729.04193756188</v>
      </c>
      <c r="F50" s="107">
        <f t="shared" si="5"/>
        <v>347619.24315893278</v>
      </c>
      <c r="G50" s="107">
        <f t="shared" si="5"/>
        <v>339892.49910655175</v>
      </c>
      <c r="H50" s="107">
        <f t="shared" si="5"/>
        <v>370897.88865635463</v>
      </c>
      <c r="I50" s="107">
        <f t="shared" si="5"/>
        <v>360610.79420010955</v>
      </c>
      <c r="J50" s="107">
        <v>360136</v>
      </c>
      <c r="K50" s="107">
        <v>364329</v>
      </c>
      <c r="L50" s="107">
        <v>351902</v>
      </c>
      <c r="M50" s="107">
        <f t="shared" si="5"/>
        <v>361558.87265680381</v>
      </c>
      <c r="N50" s="107">
        <f t="shared" si="5"/>
        <v>350138.04076600017</v>
      </c>
      <c r="T50" s="206"/>
      <c r="U50" s="524"/>
      <c r="V50" s="524"/>
      <c r="W50" s="524"/>
      <c r="X50" s="524"/>
      <c r="Y50" s="524"/>
      <c r="Z50" s="524"/>
      <c r="AA50" s="524"/>
      <c r="AB50" s="524"/>
      <c r="AC50" s="524"/>
      <c r="AD50" s="524"/>
      <c r="AE50" s="524"/>
      <c r="AF50" s="524"/>
      <c r="AG50" s="508"/>
      <c r="AH50" s="508"/>
      <c r="AI50" s="508"/>
      <c r="AJ50" s="508"/>
      <c r="AK50" s="508"/>
    </row>
    <row r="51" spans="1:42">
      <c r="A51" s="114"/>
      <c r="B51" t="s">
        <v>1257</v>
      </c>
      <c r="C51" s="235">
        <f>C50+'CILC-1G'!C50+'CILC-1T'!C50+'GS(T)-1'!C50+'GSCU-1'!C50+'GSD(T)-1'!C50+'GSLD(T)-1'!C50+'GSLD(T)-2'!C50+'GSLD(T)-3'!C50+MET!C50+'OL-1'!C50+'OS-2'!C50+'RS(T)-1'!C50+'SL-1'!C50+'SL-2'!C50+'SST-1D'!C50+'SST-1T'!C50</f>
        <v>18326908.866648138</v>
      </c>
      <c r="D51" s="235">
        <f>D50+'CILC-1G'!D50+'CILC-1T'!D50+'GS(T)-1'!D50+'GSCU-1'!D50+'GSD(T)-1'!D50+'GSLD(T)-1'!D50+'GSLD(T)-2'!D50+'GSLD(T)-3'!D50+MET!D50+'OL-1'!D50+'OS-2'!D50+'RS(T)-1'!D50+'SL-1'!D50+'SL-2'!D50+'SST-1D'!D50+'SST-1T'!D50-1</f>
        <v>17323546.444635008</v>
      </c>
      <c r="E51" s="235">
        <f>E50+'CILC-1G'!E50+'CILC-1T'!E50+'GS(T)-1'!E50+'GSCU-1'!E50+'GSD(T)-1'!E50+'GSLD(T)-1'!E50+'GSLD(T)-2'!E50+'GSLD(T)-3'!E50+MET!E50+'OL-1'!E50+'OS-2'!E50+'RS(T)-1'!E50+'SL-1'!E50+'SL-2'!E50+'SST-1D'!E50+'SST-1T'!E50-1</f>
        <v>15628797.012931874</v>
      </c>
      <c r="F51" s="235">
        <f>F50+'CILC-1G'!F50+'CILC-1T'!F50+'GS(T)-1'!F50+'GSCU-1'!F50+'GSD(T)-1'!F50+'GSLD(T)-1'!F50+'GSLD(T)-2'!F50+'GSLD(T)-3'!F50+MET!F50+'OL-1'!F50+'OS-2'!F50+'RS(T)-1'!F50+'SL-1'!F50+'SL-2'!F50+'SST-1D'!F50+'SST-1T'!F50+1</f>
        <v>17683347.570692644</v>
      </c>
      <c r="G51" s="235">
        <f>G50+'CILC-1G'!G50+'CILC-1T'!G50+'GS(T)-1'!G50+'GSCU-1'!G50+'GSD(T)-1'!G50+'GSLD(T)-1'!G50+'GSLD(T)-2'!G50+'GSLD(T)-3'!G50+MET!G50+'OL-1'!G50+'OS-2'!G50+'RS(T)-1'!G50+'SL-1'!G50+'SL-2'!G50+'SST-1D'!G50+'SST-1T'!G50+1</f>
        <v>18956447.435019393</v>
      </c>
      <c r="H51" s="235">
        <f>H50+'CILC-1G'!H50+'CILC-1T'!H50+'GS(T)-1'!H50+'GSCU-1'!H50+'GSD(T)-1'!H50+'GSLD(T)-1'!H50+'GSLD(T)-2'!H50+'GSLD(T)-3'!H50+MET!H50+'OL-1'!H50+'OS-2'!H50+'RS(T)-1'!H50+'SL-1'!H50+'SL-2'!H50+'SST-1D'!H50+'SST-1T'!H50+1</f>
        <v>21144935.090302717</v>
      </c>
      <c r="I51" s="235">
        <f>I50+'CILC-1G'!I50+'CILC-1T'!I50+'GS(T)-1'!I50+'GSCU-1'!I50+'GSD(T)-1'!I50+'GSLD(T)-1'!I50+'GSLD(T)-2'!I50+'GSLD(T)-3'!I50+MET!I50+'OL-1'!I50+'OS-2'!I50+'RS(T)-1'!I50+'SL-1'!I50+'SL-2'!I50+'SST-1D'!I50+'SST-1T'!I50+1</f>
        <v>21282491.390094444</v>
      </c>
      <c r="J51" s="235">
        <f>J50+'CILC-1G'!J50+'CILC-1T'!J50+'GS(T)-1'!J50+'GSCU-1'!J50+'GSD(T)-1'!J50+'GSLD(T)-1'!J50+'GSLD(T)-2'!J50+'GSLD(T)-3'!J50+MET!J50+'OL-1'!J50+'OS-2'!J50+'RS(T)-1'!J50+'SL-1'!J50+'SL-2'!J50+'SST-1D'!J50+'SST-1T'!J50</f>
        <v>21129183.943290014</v>
      </c>
      <c r="K51" s="235">
        <f>K50+'CILC-1G'!K50+'CILC-1T'!K50+'GS(T)-1'!K50+'GSCU-1'!K50+'GSD(T)-1'!K50+'GSLD(T)-1'!K50+'GSLD(T)-2'!K50+'GSLD(T)-3'!K50+MET!K50+'OL-1'!K50+'OS-2'!K50+'RS(T)-1'!K50+'SL-1'!K50+'SL-2'!K50+'SST-1D'!K50+'SST-1T'!K50</f>
        <v>21700658.243980806</v>
      </c>
      <c r="L51" s="235">
        <f>L50+'CILC-1G'!L50+'CILC-1T'!L50+'GS(T)-1'!L50+'GSCU-1'!L50+'GSD(T)-1'!L50+'GSLD(T)-1'!L50+'GSLD(T)-2'!L50+'GSLD(T)-3'!L50+MET!L50+'OL-1'!L50+'OS-2'!L50+'RS(T)-1'!L50+'SL-1'!L50+'SL-2'!L50+'SST-1D'!L50+'SST-1T'!L50</f>
        <v>20119415.446988489</v>
      </c>
      <c r="M51" s="235">
        <f>M50+'CILC-1G'!M50+'CILC-1T'!M50+'GS(T)-1'!M50+'GSCU-1'!M50+'GSD(T)-1'!M50+'GSLD(T)-1'!M50+'GSLD(T)-2'!M50+'GSLD(T)-3'!M50+MET!M50+'OL-1'!M50+'OS-2'!M50+'RS(T)-1'!M50+'SL-1'!M50+'SL-2'!M50+'SST-1D'!M50+'SST-1T'!M50</f>
        <v>18441767.078846145</v>
      </c>
      <c r="N51" s="235">
        <f>N50+'CILC-1G'!N50+'CILC-1T'!N50+'GS(T)-1'!N50+'GSCU-1'!N50+'GSD(T)-1'!N50+'GSLD(T)-1'!N50+'GSLD(T)-2'!N50+'GSLD(T)-3'!N50+MET!N50+'OL-1'!N50+'OS-2'!N50+'RS(T)-1'!N50+'SL-1'!N50+'SL-2'!N50+'SST-1D'!N50+'SST-1T'!N50</f>
        <v>16933203.574179996</v>
      </c>
      <c r="T51" s="206"/>
      <c r="U51" s="524"/>
      <c r="V51" s="524"/>
      <c r="W51" s="524"/>
      <c r="X51" s="524"/>
      <c r="Y51" s="524"/>
      <c r="Z51" s="524"/>
      <c r="AA51" s="524"/>
      <c r="AB51" s="524"/>
      <c r="AC51" s="524"/>
      <c r="AD51" s="524"/>
      <c r="AE51" s="524"/>
      <c r="AF51" s="524"/>
      <c r="AG51" s="508"/>
      <c r="AH51" s="508"/>
      <c r="AI51" s="508"/>
      <c r="AJ51" s="508"/>
      <c r="AK51" s="508"/>
    </row>
    <row r="52" spans="1:42">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T52" s="206"/>
      <c r="U52" s="524"/>
      <c r="V52" s="524"/>
      <c r="W52" s="524"/>
      <c r="X52" s="524"/>
      <c r="Y52" s="524"/>
      <c r="Z52" s="524"/>
      <c r="AA52" s="524"/>
      <c r="AB52" s="524"/>
      <c r="AC52" s="524"/>
      <c r="AD52" s="524"/>
      <c r="AE52" s="524"/>
      <c r="AF52" s="524"/>
      <c r="AG52" s="508"/>
      <c r="AH52" s="508"/>
      <c r="AI52" s="508"/>
      <c r="AJ52" s="508"/>
      <c r="AK52" s="508"/>
    </row>
    <row r="53" spans="1:42">
      <c r="A53" s="114"/>
      <c r="B53" t="s">
        <v>1259</v>
      </c>
      <c r="C53" s="235">
        <f>C50*C52/C51</f>
        <v>34419.058720288478</v>
      </c>
      <c r="D53" s="235">
        <f t="shared" ref="D53" si="6">D50*D52/D51</f>
        <v>5841.0370523153097</v>
      </c>
      <c r="E53" s="235">
        <f t="shared" ref="E53" si="7">E50*E52/E51</f>
        <v>38979.28498177341</v>
      </c>
      <c r="F53" s="235">
        <f t="shared" ref="F53" si="8">F50*F52/F51</f>
        <v>29311.286993956448</v>
      </c>
      <c r="G53" s="235">
        <f t="shared" ref="G53" si="9">G50*G52/G51</f>
        <v>35494.24014957188</v>
      </c>
      <c r="H53" s="235">
        <f t="shared" ref="H53" si="10">H50*H52/H51</f>
        <v>20960.804900040086</v>
      </c>
      <c r="I53" s="235">
        <f t="shared" ref="I53" si="11">I50*I52/I51</f>
        <v>25040.045839210768</v>
      </c>
      <c r="J53" s="235">
        <f t="shared" ref="J53" si="12">J50*J52/J51</f>
        <v>37990.047361739489</v>
      </c>
      <c r="K53" s="235">
        <f t="shared" ref="K53" si="13">K50*K52/K51</f>
        <v>5457.059171895743</v>
      </c>
      <c r="L53" s="235">
        <f t="shared" ref="L53" si="14">L50*L52/L51</f>
        <v>8988.7896199654806</v>
      </c>
      <c r="M53" s="235">
        <f t="shared" ref="M53" si="15">M50*M52/M51</f>
        <v>-5793.0525786052212</v>
      </c>
      <c r="N53" s="235">
        <f t="shared" ref="N53" si="16">N50*N52/N51</f>
        <v>10432.416948192176</v>
      </c>
      <c r="T53" s="206"/>
      <c r="U53" s="523"/>
      <c r="V53" s="523"/>
      <c r="W53" s="523"/>
      <c r="X53" s="523"/>
      <c r="Y53" s="523"/>
      <c r="Z53" s="523"/>
      <c r="AA53" s="523"/>
      <c r="AB53" s="523"/>
      <c r="AC53" s="523"/>
      <c r="AD53" s="523"/>
      <c r="AE53" s="523"/>
      <c r="AF53" s="523"/>
      <c r="AG53" s="508"/>
      <c r="AH53" s="508"/>
      <c r="AI53" s="508"/>
      <c r="AJ53" s="508"/>
      <c r="AK53" s="508"/>
    </row>
    <row r="54" spans="1:42">
      <c r="A54" s="114"/>
      <c r="B54" t="s">
        <v>1260</v>
      </c>
      <c r="C54" s="235">
        <f>((C53*C32)/C46)+((C53*C33)/C47)+((C53*C34)/C48)</f>
        <v>32693.542361306943</v>
      </c>
      <c r="D54" s="235">
        <f t="shared" ref="D54:N54" si="17">((D53*D32)/D46)+((D53*D33)/D47)+((D53*D34)/D48)</f>
        <v>5548.2107705423477</v>
      </c>
      <c r="E54" s="235">
        <f t="shared" si="17"/>
        <v>37025.152695819677</v>
      </c>
      <c r="F54" s="235">
        <f t="shared" si="17"/>
        <v>27841.836431060561</v>
      </c>
      <c r="G54" s="235">
        <f t="shared" si="17"/>
        <v>33714.82216706896</v>
      </c>
      <c r="H54" s="235">
        <f t="shared" si="17"/>
        <v>19909.985583731475</v>
      </c>
      <c r="I54" s="235">
        <f t="shared" si="17"/>
        <v>23784.723633094276</v>
      </c>
      <c r="J54" s="235">
        <f t="shared" si="17"/>
        <v>36085.508114054472</v>
      </c>
      <c r="K54" s="235">
        <f t="shared" si="17"/>
        <v>5183.4826935394112</v>
      </c>
      <c r="L54" s="235">
        <f t="shared" si="17"/>
        <v>8538.1583675904349</v>
      </c>
      <c r="M54" s="235">
        <f t="shared" si="17"/>
        <v>-5502.6318825002672</v>
      </c>
      <c r="N54" s="235">
        <f t="shared" si="17"/>
        <v>9909.4129272480823</v>
      </c>
      <c r="W54" s="508"/>
      <c r="X54" s="508"/>
      <c r="Y54" s="508"/>
      <c r="Z54" s="508"/>
      <c r="AA54" s="508"/>
      <c r="AB54" s="508"/>
      <c r="AC54" s="508"/>
      <c r="AD54" s="508"/>
      <c r="AE54" s="508"/>
      <c r="AF54" s="508"/>
      <c r="AG54" s="508"/>
      <c r="AH54" s="508"/>
      <c r="AI54" s="508"/>
      <c r="AJ54" s="508"/>
      <c r="AK54" s="508"/>
    </row>
    <row r="55" spans="1:42">
      <c r="A55" s="114"/>
      <c r="V55" s="44"/>
      <c r="W55" s="44"/>
      <c r="X55" s="44"/>
      <c r="Y55" s="44"/>
      <c r="Z55" s="44"/>
      <c r="AA55" s="44"/>
      <c r="AB55" s="44"/>
      <c r="AC55" s="44"/>
      <c r="AD55" s="44"/>
      <c r="AE55" s="44"/>
      <c r="AF55" s="44"/>
      <c r="AG55" s="44"/>
      <c r="AH55" s="508"/>
      <c r="AI55" s="508"/>
      <c r="AJ55" s="508"/>
      <c r="AK55" s="508"/>
    </row>
    <row r="56" spans="1:42" ht="17.399999999999999">
      <c r="A56" s="147" t="s">
        <v>425</v>
      </c>
      <c r="V56" s="534"/>
      <c r="W56" s="534"/>
      <c r="X56" s="534"/>
      <c r="Y56" s="534"/>
      <c r="Z56" s="534"/>
      <c r="AA56" s="534"/>
      <c r="AB56" s="534"/>
      <c r="AC56" s="534"/>
      <c r="AD56" s="534"/>
      <c r="AE56" s="534"/>
      <c r="AF56" s="534"/>
      <c r="AG56" s="534"/>
    </row>
    <row r="57" spans="1:42" ht="15.6">
      <c r="A57" s="113"/>
      <c r="B57" s="146" t="str">
        <f>"PRIOR - "&amp;MANUAL!$B$9</f>
        <v>PRIOR - 2016</v>
      </c>
      <c r="C57" s="5"/>
      <c r="D57" s="5"/>
      <c r="E57" s="5"/>
      <c r="F57" s="5"/>
      <c r="G57" s="5"/>
      <c r="H57" s="5"/>
      <c r="I57" s="5"/>
      <c r="J57" s="5"/>
      <c r="K57" s="5"/>
      <c r="L57" s="5"/>
      <c r="M57" s="5"/>
      <c r="N57" s="5"/>
      <c r="V57" s="534"/>
      <c r="W57" s="534"/>
      <c r="X57" s="534"/>
      <c r="Y57" s="534"/>
      <c r="Z57" s="534"/>
      <c r="AA57" s="534"/>
      <c r="AB57" s="534"/>
      <c r="AC57" s="534"/>
      <c r="AD57" s="534"/>
      <c r="AE57" s="534"/>
      <c r="AF57" s="534"/>
      <c r="AG57" s="534"/>
    </row>
    <row r="58" spans="1:42" s="12" customFormat="1" ht="15.6">
      <c r="A58" s="111"/>
      <c r="B58" s="149" t="s">
        <v>432</v>
      </c>
      <c r="C58" s="107">
        <f>MIN((+C$27/C$18/C13)+C23,C59)</f>
        <v>320980.38428535068</v>
      </c>
      <c r="D58" s="107">
        <f t="shared" ref="D58:N58" si="18">MIN((+D$27/D$18/D13)+D23,D59)</f>
        <v>345060.57986160798</v>
      </c>
      <c r="E58" s="107">
        <f t="shared" si="18"/>
        <v>295033.33275182598</v>
      </c>
      <c r="F58" s="107">
        <f t="shared" si="18"/>
        <v>329604.049037683</v>
      </c>
      <c r="G58" s="107">
        <f t="shared" si="18"/>
        <v>323687.73703776515</v>
      </c>
      <c r="H58" s="107">
        <f t="shared" si="18"/>
        <v>353389.48371124017</v>
      </c>
      <c r="I58" s="107">
        <f t="shared" si="18"/>
        <v>343995.16619941941</v>
      </c>
      <c r="J58" s="107">
        <f t="shared" si="18"/>
        <v>343532.20591553033</v>
      </c>
      <c r="K58" s="107">
        <f t="shared" si="18"/>
        <v>348134.7690042567</v>
      </c>
      <c r="L58" s="107">
        <f t="shared" si="18"/>
        <v>335174.91613651288</v>
      </c>
      <c r="M58" s="107">
        <f t="shared" si="18"/>
        <v>343870.66551603214</v>
      </c>
      <c r="N58" s="107">
        <f t="shared" si="18"/>
        <v>333234.33941645263</v>
      </c>
      <c r="P58" s="152">
        <f>AVERAGE(C58:N58)</f>
        <v>334641.46907280642</v>
      </c>
      <c r="V58" s="534"/>
      <c r="W58" s="534"/>
      <c r="X58" s="534"/>
      <c r="Y58" s="534"/>
      <c r="Z58" s="534"/>
      <c r="AA58" s="534"/>
      <c r="AB58" s="534"/>
      <c r="AC58" s="534"/>
      <c r="AD58" s="534"/>
      <c r="AE58" s="534"/>
      <c r="AF58" s="534"/>
      <c r="AG58" s="534"/>
      <c r="AH58" s="509"/>
      <c r="AI58" s="509"/>
      <c r="AJ58" s="509"/>
      <c r="AK58" s="509"/>
      <c r="AL58" s="509"/>
      <c r="AM58"/>
      <c r="AN58"/>
      <c r="AO58"/>
      <c r="AP58"/>
    </row>
    <row r="59" spans="1:42" s="12" customFormat="1" ht="15.6">
      <c r="A59" s="111"/>
      <c r="B59" s="149" t="s">
        <v>430</v>
      </c>
      <c r="C59" s="107">
        <f t="shared" ref="C59:N59" si="19">MIN(+C$27/C$18/C14,C60)</f>
        <v>365236.76523739443</v>
      </c>
      <c r="D59" s="107">
        <f t="shared" si="19"/>
        <v>359936.31283351575</v>
      </c>
      <c r="E59" s="107">
        <f t="shared" si="19"/>
        <v>339045.54463675513</v>
      </c>
      <c r="F59" s="107">
        <f t="shared" si="19"/>
        <v>349489.98673583753</v>
      </c>
      <c r="G59" s="107">
        <f t="shared" si="19"/>
        <v>346308.41998354561</v>
      </c>
      <c r="H59" s="107">
        <f t="shared" si="19"/>
        <v>367837.80999938585</v>
      </c>
      <c r="I59" s="107">
        <f t="shared" si="19"/>
        <v>365493.73786702991</v>
      </c>
      <c r="J59" s="107">
        <f t="shared" si="19"/>
        <v>365314.8043000981</v>
      </c>
      <c r="K59" s="107">
        <f t="shared" si="19"/>
        <v>373655.37537047628</v>
      </c>
      <c r="L59" s="107">
        <f t="shared" si="19"/>
        <v>354304.56447053305</v>
      </c>
      <c r="M59" s="107">
        <f t="shared" si="19"/>
        <v>358843.92415363039</v>
      </c>
      <c r="N59" s="107">
        <f t="shared" si="19"/>
        <v>359644.13354556594</v>
      </c>
      <c r="P59" s="152">
        <f>AVERAGE(C59:N59)</f>
        <v>358759.2815944808</v>
      </c>
      <c r="V59" s="534"/>
      <c r="W59" s="534"/>
      <c r="X59" s="534"/>
      <c r="Y59" s="534"/>
      <c r="Z59" s="534"/>
      <c r="AA59" s="534"/>
      <c r="AB59" s="534"/>
      <c r="AC59" s="534"/>
      <c r="AD59" s="534"/>
      <c r="AE59" s="534"/>
      <c r="AF59" s="534"/>
      <c r="AG59" s="534"/>
      <c r="AH59"/>
      <c r="AI59"/>
      <c r="AJ59"/>
      <c r="AK59"/>
      <c r="AL59"/>
      <c r="AM59"/>
      <c r="AN59"/>
      <c r="AO59"/>
      <c r="AP59"/>
    </row>
    <row r="60" spans="1:42" s="106" customFormat="1">
      <c r="A60" s="109"/>
      <c r="B60" s="149" t="s">
        <v>133</v>
      </c>
      <c r="C60" s="107">
        <f t="shared" ref="C60:N60" si="20">+C$27/C$18/C15</f>
        <v>440421.45257350209</v>
      </c>
      <c r="D60" s="107">
        <f t="shared" si="20"/>
        <v>430373.00654546777</v>
      </c>
      <c r="E60" s="107">
        <f t="shared" si="20"/>
        <v>407068.04688708117</v>
      </c>
      <c r="F60" s="107">
        <f t="shared" si="20"/>
        <v>420289.30707446818</v>
      </c>
      <c r="G60" s="107">
        <f t="shared" si="20"/>
        <v>419851.97913825046</v>
      </c>
      <c r="H60" s="107">
        <f t="shared" si="20"/>
        <v>444977.62438453489</v>
      </c>
      <c r="I60" s="107">
        <f t="shared" si="20"/>
        <v>441421.22793474764</v>
      </c>
      <c r="J60" s="107">
        <f t="shared" si="20"/>
        <v>437922.83644533617</v>
      </c>
      <c r="K60" s="107">
        <f t="shared" si="20"/>
        <v>448936.18122906407</v>
      </c>
      <c r="L60" s="107">
        <f t="shared" si="20"/>
        <v>425542.9770315683</v>
      </c>
      <c r="M60" s="107">
        <f t="shared" si="20"/>
        <v>428641.98865677975</v>
      </c>
      <c r="N60" s="107">
        <f t="shared" si="20"/>
        <v>431524.62050190015</v>
      </c>
      <c r="P60" s="152">
        <f>AVERAGE(C60:N60)</f>
        <v>431414.27070022508</v>
      </c>
      <c r="V60" s="534"/>
      <c r="W60" s="534"/>
      <c r="X60" s="534"/>
      <c r="Y60" s="534"/>
      <c r="Z60" s="534"/>
      <c r="AA60" s="534"/>
      <c r="AB60" s="534"/>
      <c r="AC60" s="534"/>
      <c r="AD60" s="534"/>
      <c r="AE60" s="534"/>
      <c r="AF60" s="534"/>
      <c r="AG60" s="534"/>
      <c r="AH60"/>
      <c r="AI60"/>
      <c r="AJ60"/>
      <c r="AK60"/>
      <c r="AL60"/>
      <c r="AM60"/>
      <c r="AN60"/>
      <c r="AO60"/>
      <c r="AP60"/>
    </row>
    <row r="61" spans="1:42" s="106" customFormat="1" ht="16.5" customHeight="1">
      <c r="A61" s="109"/>
      <c r="B61" s="108"/>
      <c r="C61" s="107"/>
      <c r="D61" s="107"/>
      <c r="E61" s="107"/>
      <c r="F61" s="107"/>
      <c r="G61" s="107"/>
      <c r="H61" s="107"/>
      <c r="I61" s="107"/>
      <c r="J61" s="107"/>
      <c r="K61" s="107"/>
      <c r="L61" s="107"/>
      <c r="M61" s="107"/>
      <c r="N61" s="107"/>
      <c r="V61" s="534"/>
      <c r="W61" s="534"/>
      <c r="X61" s="534"/>
      <c r="Y61" s="534"/>
      <c r="Z61" s="534"/>
      <c r="AA61" s="534"/>
      <c r="AB61" s="534"/>
      <c r="AC61" s="534"/>
      <c r="AD61" s="534"/>
      <c r="AE61" s="534"/>
      <c r="AF61" s="534"/>
      <c r="AG61" s="534"/>
      <c r="AH61"/>
      <c r="AI61"/>
      <c r="AJ61"/>
      <c r="AK61"/>
      <c r="AL61"/>
      <c r="AM61"/>
      <c r="AN61"/>
      <c r="AO61"/>
      <c r="AP61"/>
    </row>
    <row r="62" spans="1:42" s="106" customFormat="1" ht="16.5" customHeight="1">
      <c r="A62" s="109"/>
      <c r="B62" s="146" t="str">
        <f>"TEST - "&amp;MANUAL!$B$10</f>
        <v>TEST - 2017</v>
      </c>
      <c r="C62" s="107"/>
      <c r="D62" s="107"/>
      <c r="E62" s="107"/>
      <c r="F62" s="107"/>
      <c r="G62" s="107"/>
      <c r="H62" s="107"/>
      <c r="I62" s="107"/>
      <c r="J62" s="107"/>
      <c r="K62" s="107"/>
      <c r="L62" s="107"/>
      <c r="M62" s="107"/>
      <c r="N62" s="107"/>
      <c r="V62" s="534"/>
      <c r="W62"/>
      <c r="X62"/>
      <c r="Y62"/>
      <c r="Z62"/>
      <c r="AA62"/>
      <c r="AB62"/>
      <c r="AC62"/>
      <c r="AD62"/>
      <c r="AE62"/>
      <c r="AF62"/>
      <c r="AG62"/>
      <c r="AH62"/>
      <c r="AI62"/>
      <c r="AJ62"/>
      <c r="AK62"/>
      <c r="AL62"/>
      <c r="AM62"/>
      <c r="AN62"/>
      <c r="AO62"/>
      <c r="AP62"/>
    </row>
    <row r="63" spans="1:42" s="106" customFormat="1" ht="16.5" customHeight="1">
      <c r="A63" s="109"/>
      <c r="B63" s="149" t="s">
        <v>432</v>
      </c>
      <c r="C63" s="107">
        <f t="shared" ref="C63:N63" si="21">C39+C44</f>
        <v>351155.87972676073</v>
      </c>
      <c r="D63" s="107">
        <f t="shared" si="21"/>
        <v>358903.67479102348</v>
      </c>
      <c r="E63" s="107">
        <f t="shared" si="21"/>
        <v>328923.87121299258</v>
      </c>
      <c r="F63" s="107">
        <f>F39+F44</f>
        <v>356044.37322312244</v>
      </c>
      <c r="G63" s="107">
        <f t="shared" si="21"/>
        <v>354909.5923296024</v>
      </c>
      <c r="H63" s="107">
        <f t="shared" si="21"/>
        <v>370328.22040459391</v>
      </c>
      <c r="I63" s="107">
        <f t="shared" si="21"/>
        <v>364462.16816610948</v>
      </c>
      <c r="J63" s="107">
        <f t="shared" si="21"/>
        <v>375555.65660119057</v>
      </c>
      <c r="K63" s="107">
        <f t="shared" si="21"/>
        <v>349750.01691181923</v>
      </c>
      <c r="L63" s="107">
        <f t="shared" si="21"/>
        <v>340949.4587733543</v>
      </c>
      <c r="M63" s="107">
        <f t="shared" si="21"/>
        <v>336112.19759368058</v>
      </c>
      <c r="N63" s="107">
        <f t="shared" si="21"/>
        <v>340881.29108935053</v>
      </c>
      <c r="P63" s="152">
        <f>AVERAGE(C63:N63)</f>
        <v>352331.36673529999</v>
      </c>
      <c r="V63" s="534"/>
      <c r="W63"/>
      <c r="X63"/>
      <c r="Y63"/>
      <c r="Z63"/>
      <c r="AA63"/>
      <c r="AB63"/>
      <c r="AC63"/>
      <c r="AD63"/>
      <c r="AE63"/>
      <c r="AF63"/>
      <c r="AG63"/>
      <c r="AH63"/>
      <c r="AI63"/>
      <c r="AJ63"/>
      <c r="AK63"/>
      <c r="AL63"/>
      <c r="AM63"/>
      <c r="AN63"/>
      <c r="AO63"/>
      <c r="AP63"/>
    </row>
    <row r="64" spans="1:42" s="106" customFormat="1" ht="16.5" customHeight="1">
      <c r="A64" s="109"/>
      <c r="B64" s="149" t="s">
        <v>430</v>
      </c>
      <c r="C64" s="107">
        <f t="shared" ref="C64:N64" si="22">IF(+C$28/C$19/C14&lt;C63,C63,+C$28/C$19/C14)</f>
        <v>365872.35045226075</v>
      </c>
      <c r="D64" s="107">
        <f t="shared" si="22"/>
        <v>371815.28404389712</v>
      </c>
      <c r="E64" s="107">
        <f t="shared" si="22"/>
        <v>337812.7917205859</v>
      </c>
      <c r="F64" s="107">
        <f t="shared" si="22"/>
        <v>356044.37322312244</v>
      </c>
      <c r="G64" s="107">
        <f t="shared" si="22"/>
        <v>354909.5923296024</v>
      </c>
      <c r="H64" s="107">
        <f t="shared" si="22"/>
        <v>370328.22040459391</v>
      </c>
      <c r="I64" s="107">
        <f t="shared" si="22"/>
        <v>364462.16816610948</v>
      </c>
      <c r="J64" s="107">
        <f t="shared" si="22"/>
        <v>375555.65660119057</v>
      </c>
      <c r="K64" s="107">
        <f t="shared" si="22"/>
        <v>371903.1403282141</v>
      </c>
      <c r="L64" s="107">
        <f t="shared" si="22"/>
        <v>353372.20217944362</v>
      </c>
      <c r="M64" s="107">
        <f t="shared" si="22"/>
        <v>358176.45288412669</v>
      </c>
      <c r="N64" s="107">
        <f t="shared" si="22"/>
        <v>358567.41233050398</v>
      </c>
      <c r="O64" s="107"/>
      <c r="P64" s="152">
        <f>AVERAGE(C64:N64)</f>
        <v>361568.30372197088</v>
      </c>
      <c r="V64"/>
      <c r="W64"/>
      <c r="X64"/>
      <c r="Y64"/>
      <c r="Z64"/>
      <c r="AA64"/>
      <c r="AB64"/>
      <c r="AC64"/>
      <c r="AD64"/>
      <c r="AE64"/>
      <c r="AF64"/>
      <c r="AG64"/>
      <c r="AH64"/>
      <c r="AI64"/>
      <c r="AJ64"/>
      <c r="AK64"/>
      <c r="AL64"/>
      <c r="AM64"/>
      <c r="AN64"/>
      <c r="AO64"/>
      <c r="AP64"/>
    </row>
    <row r="65" spans="1:32" s="106" customFormat="1" ht="16.5" customHeight="1">
      <c r="A65" s="109"/>
      <c r="B65" s="149" t="s">
        <v>133</v>
      </c>
      <c r="C65" s="107">
        <f>IF(+C$28/C$19/C15&lt;C64,C64,+C$28/C$19/C15)</f>
        <v>441187.87422161771</v>
      </c>
      <c r="D65" s="107">
        <f t="shared" ref="D65:N65" si="23">IF(+D$28/D$19/D15&lt;D64,D64,+D$28/D$19/D15)</f>
        <v>444576.5986038316</v>
      </c>
      <c r="E65" s="107">
        <f t="shared" si="23"/>
        <v>405587.96750005666</v>
      </c>
      <c r="F65" s="107">
        <f t="shared" si="23"/>
        <v>420343.03698422993</v>
      </c>
      <c r="G65" s="107">
        <f t="shared" si="23"/>
        <v>418402.24621374981</v>
      </c>
      <c r="H65" s="107">
        <f t="shared" si="23"/>
        <v>443442.77833741478</v>
      </c>
      <c r="I65" s="107">
        <f t="shared" si="23"/>
        <v>439596.1110203524</v>
      </c>
      <c r="J65" s="107">
        <f t="shared" si="23"/>
        <v>436277.96724435309</v>
      </c>
      <c r="K65" s="107">
        <f t="shared" si="23"/>
        <v>446830.92124796787</v>
      </c>
      <c r="L65" s="107">
        <f t="shared" si="23"/>
        <v>424423.14888141421</v>
      </c>
      <c r="M65" s="107">
        <f t="shared" si="23"/>
        <v>427844.68879164715</v>
      </c>
      <c r="N65" s="107">
        <f t="shared" si="23"/>
        <v>430232.69976587879</v>
      </c>
      <c r="P65" s="152">
        <f>AVERAGE(C65:N65)</f>
        <v>431562.16990104289</v>
      </c>
      <c r="S65" s="515"/>
      <c r="V65"/>
    </row>
    <row r="66" spans="1:32" s="106" customFormat="1" ht="16.5" customHeight="1">
      <c r="A66" s="109"/>
      <c r="B66" s="149" t="s">
        <v>158</v>
      </c>
      <c r="C66" s="499">
        <f>C28/C19/C63</f>
        <v>0.88333949135113088</v>
      </c>
      <c r="D66" s="499">
        <f t="shared" ref="D66:N66" si="24">D28/D19/D63</f>
        <v>0.87831131684493591</v>
      </c>
      <c r="E66" s="499">
        <f t="shared" si="24"/>
        <v>0.87007380961294079</v>
      </c>
      <c r="F66" s="499">
        <f t="shared" si="24"/>
        <v>0.83648885475676538</v>
      </c>
      <c r="G66" s="499">
        <f t="shared" si="24"/>
        <v>0.83868017719993104</v>
      </c>
      <c r="H66" s="499">
        <f t="shared" si="24"/>
        <v>0.85986110641376112</v>
      </c>
      <c r="I66" s="499">
        <f t="shared" si="24"/>
        <v>0.87150715448745442</v>
      </c>
      <c r="J66" s="499">
        <f t="shared" si="24"/>
        <v>0.84031718538846134</v>
      </c>
      <c r="K66" s="499">
        <f t="shared" si="24"/>
        <v>0.92415746861642234</v>
      </c>
      <c r="L66" s="499">
        <f t="shared" si="24"/>
        <v>0.88689617296709511</v>
      </c>
      <c r="M66" s="499">
        <f t="shared" si="24"/>
        <v>0.88639756033074701</v>
      </c>
      <c r="N66" s="499">
        <f t="shared" si="24"/>
        <v>0.88086054654621315</v>
      </c>
      <c r="P66" s="152"/>
      <c r="S66" s="515"/>
      <c r="U66" s="515"/>
      <c r="V66" s="515"/>
      <c r="W66" s="515"/>
      <c r="X66" s="515"/>
      <c r="Y66" s="515"/>
      <c r="Z66" s="515"/>
      <c r="AA66" s="515"/>
      <c r="AB66" s="515"/>
      <c r="AC66" s="515"/>
      <c r="AD66" s="515"/>
      <c r="AE66" s="515"/>
      <c r="AF66" s="515"/>
    </row>
    <row r="67" spans="1:32" s="106" customFormat="1" ht="16.5" customHeight="1">
      <c r="A67" s="109"/>
      <c r="B67" s="149" t="s">
        <v>988</v>
      </c>
      <c r="C67" s="499">
        <f>C28/C19/C64</f>
        <v>0.84780895795860223</v>
      </c>
      <c r="D67" s="499">
        <f t="shared" ref="D67:N67" si="25">D28/D19/D64</f>
        <v>0.84781119215361256</v>
      </c>
      <c r="E67" s="499">
        <f t="shared" si="25"/>
        <v>0.84717942219203657</v>
      </c>
      <c r="F67" s="499">
        <f t="shared" si="25"/>
        <v>0.83648885475676538</v>
      </c>
      <c r="G67" s="499">
        <f t="shared" si="25"/>
        <v>0.83868017719993104</v>
      </c>
      <c r="H67" s="499">
        <f t="shared" si="25"/>
        <v>0.85986110641376112</v>
      </c>
      <c r="I67" s="499">
        <f t="shared" si="25"/>
        <v>0.87150715448745442</v>
      </c>
      <c r="J67" s="499">
        <f t="shared" si="25"/>
        <v>0.84031718538846134</v>
      </c>
      <c r="K67" s="499">
        <f t="shared" si="25"/>
        <v>0.86910825757621779</v>
      </c>
      <c r="L67" s="499">
        <f t="shared" si="25"/>
        <v>0.85571747946302035</v>
      </c>
      <c r="M67" s="499">
        <f t="shared" si="25"/>
        <v>0.83179402092305377</v>
      </c>
      <c r="N67" s="499">
        <f t="shared" si="25"/>
        <v>0.83741263162971391</v>
      </c>
      <c r="P67" s="152"/>
      <c r="S67" s="515"/>
      <c r="U67" s="515"/>
      <c r="V67" s="515"/>
      <c r="W67" s="515"/>
      <c r="X67" s="515"/>
      <c r="Y67" s="515"/>
      <c r="Z67" s="515"/>
      <c r="AA67" s="515"/>
      <c r="AB67" s="515"/>
      <c r="AC67" s="515"/>
      <c r="AD67" s="515"/>
      <c r="AE67" s="515"/>
      <c r="AF67" s="515"/>
    </row>
    <row r="68" spans="1:32" s="106" customFormat="1" ht="16.5" customHeight="1">
      <c r="A68" s="109"/>
      <c r="B68" s="149" t="s">
        <v>150</v>
      </c>
      <c r="C68" s="499">
        <f>C28/C19/C65</f>
        <v>0.70307883400027671</v>
      </c>
      <c r="D68" s="499">
        <f t="shared" ref="D68:N68" si="26">D28/D19/D65</f>
        <v>0.70905477304957198</v>
      </c>
      <c r="E68" s="499">
        <f t="shared" si="26"/>
        <v>0.705612761302848</v>
      </c>
      <c r="F68" s="499">
        <f t="shared" si="26"/>
        <v>0.70853356376918797</v>
      </c>
      <c r="G68" s="499">
        <f t="shared" si="26"/>
        <v>0.71141023376074908</v>
      </c>
      <c r="H68" s="499">
        <f t="shared" si="26"/>
        <v>0.7180877643948006</v>
      </c>
      <c r="I68" s="499">
        <f t="shared" si="26"/>
        <v>0.72255276863008577</v>
      </c>
      <c r="J68" s="499">
        <f t="shared" si="26"/>
        <v>0.72335963767584166</v>
      </c>
      <c r="K68" s="499">
        <f t="shared" si="26"/>
        <v>0.72337001516151844</v>
      </c>
      <c r="L68" s="499">
        <f t="shared" si="26"/>
        <v>0.71246530958135501</v>
      </c>
      <c r="M68" s="499">
        <f t="shared" si="26"/>
        <v>0.69634855766441606</v>
      </c>
      <c r="N68" s="499">
        <f t="shared" si="26"/>
        <v>0.6979220327505149</v>
      </c>
      <c r="P68" s="152"/>
      <c r="S68" s="515"/>
      <c r="U68" s="515"/>
      <c r="V68" s="515"/>
      <c r="W68" s="515"/>
      <c r="X68" s="515"/>
      <c r="Y68" s="515"/>
      <c r="Z68" s="515"/>
      <c r="AA68" s="515"/>
      <c r="AB68" s="515"/>
      <c r="AC68" s="515"/>
      <c r="AD68" s="515"/>
      <c r="AE68" s="515"/>
      <c r="AF68" s="515"/>
    </row>
    <row r="69" spans="1:32" s="106" customFormat="1" ht="16.5" customHeight="1">
      <c r="A69" s="109"/>
      <c r="B69" s="149"/>
      <c r="C69" s="107"/>
      <c r="D69" s="107"/>
      <c r="E69" s="107"/>
      <c r="F69" s="107"/>
      <c r="G69" s="107"/>
      <c r="H69" s="107"/>
      <c r="I69" s="107"/>
      <c r="J69" s="107"/>
      <c r="K69" s="107"/>
      <c r="L69" s="107"/>
      <c r="M69" s="107"/>
      <c r="N69" s="107"/>
      <c r="P69" s="152"/>
      <c r="S69" s="515"/>
      <c r="U69" s="515"/>
      <c r="V69" s="515"/>
      <c r="W69" s="515"/>
      <c r="X69" s="515"/>
      <c r="Y69" s="515"/>
      <c r="Z69" s="515"/>
      <c r="AA69" s="515"/>
      <c r="AB69" s="515"/>
      <c r="AC69" s="515"/>
      <c r="AD69" s="515"/>
      <c r="AE69" s="515"/>
      <c r="AF69" s="515"/>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c r="S70" s="515"/>
      <c r="U70" s="515"/>
      <c r="V70" s="515"/>
      <c r="W70" s="515"/>
      <c r="X70" s="515"/>
      <c r="Y70" s="515"/>
      <c r="Z70" s="515"/>
      <c r="AA70" s="515"/>
      <c r="AB70" s="515"/>
      <c r="AC70" s="515"/>
      <c r="AD70" s="515"/>
      <c r="AE70" s="515"/>
      <c r="AF70" s="515"/>
    </row>
    <row r="71" spans="1:32" s="106" customFormat="1" ht="16.5" customHeight="1">
      <c r="A71" s="109"/>
      <c r="B71" s="149" t="s">
        <v>432</v>
      </c>
      <c r="C71" s="107">
        <f>C49+C54</f>
        <v>353349.64192348311</v>
      </c>
      <c r="D71" s="107">
        <f t="shared" ref="D71:N71" si="27">D49+D54</f>
        <v>361802.60855519096</v>
      </c>
      <c r="E71" s="107">
        <f t="shared" si="27"/>
        <v>331170.12827320758</v>
      </c>
      <c r="F71" s="107">
        <f t="shared" si="27"/>
        <v>357970.56168578489</v>
      </c>
      <c r="G71" s="107">
        <f t="shared" si="27"/>
        <v>356505.57573414472</v>
      </c>
      <c r="H71" s="107">
        <f t="shared" si="27"/>
        <v>372146.08755869948</v>
      </c>
      <c r="I71" s="107">
        <f t="shared" si="27"/>
        <v>366251.3279572592</v>
      </c>
      <c r="J71" s="107">
        <f t="shared" si="27"/>
        <v>378101.7542149417</v>
      </c>
      <c r="K71" s="107">
        <f t="shared" si="27"/>
        <v>351181.87214276835</v>
      </c>
      <c r="L71" s="107">
        <f t="shared" si="27"/>
        <v>342734.72407989472</v>
      </c>
      <c r="M71" s="107">
        <f t="shared" si="27"/>
        <v>337864.34817893896</v>
      </c>
      <c r="N71" s="107">
        <f t="shared" si="27"/>
        <v>342430.20208395738</v>
      </c>
      <c r="O71" s="107"/>
      <c r="P71" s="152">
        <f>AVERAGE(C71:N71)</f>
        <v>354292.40269902255</v>
      </c>
      <c r="S71" s="515"/>
      <c r="U71" s="515"/>
      <c r="V71" s="515"/>
      <c r="W71" s="515"/>
      <c r="X71" s="515"/>
      <c r="Y71" s="515"/>
      <c r="Z71" s="515"/>
      <c r="AA71" s="515"/>
      <c r="AB71" s="515"/>
      <c r="AC71" s="515"/>
      <c r="AD71" s="515"/>
      <c r="AE71" s="515"/>
      <c r="AF71" s="515"/>
    </row>
    <row r="72" spans="1:32" s="106" customFormat="1" ht="16.5" customHeight="1">
      <c r="A72" s="109"/>
      <c r="B72" s="149" t="s">
        <v>430</v>
      </c>
      <c r="C72" s="107">
        <f>MAX(+C$29/C$19/C14,C71)</f>
        <v>364867.76853508234</v>
      </c>
      <c r="D72" s="107">
        <f t="shared" ref="D72:N72" si="28">MAX(+D$29/D$19/D14,D71)</f>
        <v>371612.70180661982</v>
      </c>
      <c r="E72" s="107">
        <f t="shared" si="28"/>
        <v>338024.66493062145</v>
      </c>
      <c r="F72" s="107">
        <f t="shared" si="28"/>
        <v>357970.56168578489</v>
      </c>
      <c r="G72" s="107">
        <f t="shared" si="28"/>
        <v>356505.57573414472</v>
      </c>
      <c r="H72" s="107">
        <f t="shared" si="28"/>
        <v>372146.08755869948</v>
      </c>
      <c r="I72" s="107">
        <f>MAX(+I$29/I$19/I14,I71)</f>
        <v>366251.3279572592</v>
      </c>
      <c r="J72" s="107">
        <f t="shared" si="28"/>
        <v>378101.7542149417</v>
      </c>
      <c r="K72" s="107">
        <f t="shared" si="28"/>
        <v>371362.38490919338</v>
      </c>
      <c r="L72" s="107">
        <f t="shared" si="28"/>
        <v>353270.37603858131</v>
      </c>
      <c r="M72" s="107">
        <f t="shared" si="28"/>
        <v>358318.30657937762</v>
      </c>
      <c r="N72" s="107">
        <f t="shared" si="28"/>
        <v>358874.03234484338</v>
      </c>
      <c r="O72" s="107"/>
      <c r="P72" s="152">
        <f>AVERAGE(C72:N72)</f>
        <v>362275.46185792907</v>
      </c>
      <c r="S72" s="515"/>
      <c r="U72" s="515"/>
      <c r="V72" s="515"/>
      <c r="W72" s="515"/>
      <c r="X72" s="515"/>
      <c r="Y72" s="515"/>
      <c r="Z72" s="515"/>
      <c r="AA72" s="515"/>
      <c r="AB72" s="515"/>
      <c r="AC72" s="515"/>
      <c r="AD72" s="515"/>
      <c r="AE72" s="515"/>
      <c r="AF72" s="515"/>
    </row>
    <row r="73" spans="1:32" s="106" customFormat="1" ht="16.5" customHeight="1">
      <c r="A73" s="109"/>
      <c r="B73" s="149" t="s">
        <v>133</v>
      </c>
      <c r="C73" s="107">
        <f>IF(+C$29/C$15/C20&lt;C72,C72,+C$29/C$15/C20)</f>
        <v>439976.49719360896</v>
      </c>
      <c r="D73" s="107">
        <f t="shared" ref="D73:N73" si="29">IF(+D$29/D$15/D20&lt;D72,D72,+D$29/D$15/D20)</f>
        <v>444334.37262267567</v>
      </c>
      <c r="E73" s="107">
        <f t="shared" si="29"/>
        <v>405842.34870388365</v>
      </c>
      <c r="F73" s="107">
        <f t="shared" si="29"/>
        <v>420958.33952216589</v>
      </c>
      <c r="G73" s="107">
        <f t="shared" si="29"/>
        <v>418688.51125754014</v>
      </c>
      <c r="H73" s="107">
        <f t="shared" si="29"/>
        <v>443525.32008949743</v>
      </c>
      <c r="I73" s="107">
        <f t="shared" si="29"/>
        <v>439459.74787267635</v>
      </c>
      <c r="J73" s="107">
        <f t="shared" si="29"/>
        <v>435990.34391469735</v>
      </c>
      <c r="K73" s="107">
        <f t="shared" si="29"/>
        <v>446181.21917275118</v>
      </c>
      <c r="L73" s="107">
        <f t="shared" si="29"/>
        <v>424300.84902003105</v>
      </c>
      <c r="M73" s="107">
        <f t="shared" si="29"/>
        <v>428014.13418541849</v>
      </c>
      <c r="N73" s="107">
        <f t="shared" si="29"/>
        <v>430600.60257030284</v>
      </c>
      <c r="O73" s="107"/>
      <c r="P73" s="152">
        <f>AVERAGE(C73:N73)</f>
        <v>431489.3571771041</v>
      </c>
      <c r="S73" s="515"/>
      <c r="U73" s="515"/>
      <c r="V73" s="515"/>
      <c r="W73" s="515"/>
      <c r="X73" s="515"/>
      <c r="Y73" s="515"/>
      <c r="Z73" s="515"/>
      <c r="AA73" s="515"/>
      <c r="AB73" s="515"/>
      <c r="AC73" s="515"/>
      <c r="AD73" s="515"/>
      <c r="AE73" s="515"/>
      <c r="AF73" s="515"/>
    </row>
    <row r="74" spans="1:32" s="106" customFormat="1" ht="16.5" customHeight="1">
      <c r="A74" s="109"/>
      <c r="B74" s="149" t="s">
        <v>158</v>
      </c>
      <c r="C74" s="499">
        <f>C29/C20/C71</f>
        <v>0.8754449585699452</v>
      </c>
      <c r="D74" s="499">
        <f t="shared" ref="D74:N74" si="30">D29/D20/D71</f>
        <v>0.87079916033837834</v>
      </c>
      <c r="E74" s="499">
        <f t="shared" si="30"/>
        <v>0.86471428391130178</v>
      </c>
      <c r="F74" s="499">
        <f t="shared" si="30"/>
        <v>0.83320570019890572</v>
      </c>
      <c r="G74" s="499">
        <f t="shared" si="30"/>
        <v>0.83549686720408534</v>
      </c>
      <c r="H74" s="499">
        <f t="shared" si="30"/>
        <v>0.85582010990595014</v>
      </c>
      <c r="I74" s="499">
        <f t="shared" si="30"/>
        <v>0.86698076781836864</v>
      </c>
      <c r="J74" s="499">
        <f t="shared" si="30"/>
        <v>0.83410831525795148</v>
      </c>
      <c r="K74" s="499">
        <f t="shared" si="30"/>
        <v>0.91905118367432803</v>
      </c>
      <c r="L74" s="499">
        <f t="shared" si="30"/>
        <v>0.88202220117684738</v>
      </c>
      <c r="M74" s="499">
        <f t="shared" si="30"/>
        <v>0.88214997115395266</v>
      </c>
      <c r="N74" s="499">
        <f t="shared" si="30"/>
        <v>0.87762599800054775</v>
      </c>
      <c r="O74" s="107"/>
      <c r="P74" s="152"/>
      <c r="S74" s="515"/>
      <c r="U74" s="515"/>
      <c r="V74" s="515"/>
      <c r="W74" s="515"/>
      <c r="X74" s="515"/>
      <c r="Y74" s="515"/>
      <c r="Z74" s="515"/>
      <c r="AA74" s="515"/>
      <c r="AB74" s="515"/>
      <c r="AC74" s="515"/>
      <c r="AD74" s="515"/>
      <c r="AE74" s="515"/>
      <c r="AF74" s="515"/>
    </row>
    <row r="75" spans="1:32" s="106" customFormat="1" ht="16.5" customHeight="1">
      <c r="A75" s="109"/>
      <c r="B75" s="149" t="s">
        <v>988</v>
      </c>
      <c r="C75" s="499">
        <f>C29/C20/C72</f>
        <v>0.84780895795860223</v>
      </c>
      <c r="D75" s="499">
        <f t="shared" ref="D75:N75" si="31">D29/D20/D72</f>
        <v>0.84781119215361256</v>
      </c>
      <c r="E75" s="499">
        <f t="shared" si="31"/>
        <v>0.84717942219203657</v>
      </c>
      <c r="F75" s="499">
        <f t="shared" si="31"/>
        <v>0.83320570019890572</v>
      </c>
      <c r="G75" s="499">
        <f t="shared" si="31"/>
        <v>0.83549686720408534</v>
      </c>
      <c r="H75" s="499">
        <f t="shared" si="31"/>
        <v>0.85582010990595014</v>
      </c>
      <c r="I75" s="499">
        <f t="shared" si="31"/>
        <v>0.86698076781836864</v>
      </c>
      <c r="J75" s="499">
        <f t="shared" si="31"/>
        <v>0.83410831525795148</v>
      </c>
      <c r="K75" s="499">
        <f t="shared" si="31"/>
        <v>0.86910825757621779</v>
      </c>
      <c r="L75" s="499">
        <f t="shared" si="31"/>
        <v>0.85571747946302035</v>
      </c>
      <c r="M75" s="499">
        <f t="shared" si="31"/>
        <v>0.83179402092305377</v>
      </c>
      <c r="N75" s="499">
        <f t="shared" si="31"/>
        <v>0.83741263162971391</v>
      </c>
      <c r="O75" s="107"/>
      <c r="P75" s="152"/>
      <c r="S75" s="515"/>
      <c r="U75" s="515"/>
      <c r="V75" s="515"/>
      <c r="W75" s="515"/>
      <c r="X75" s="515"/>
      <c r="Y75" s="515"/>
      <c r="Z75" s="515"/>
      <c r="AA75" s="515"/>
      <c r="AB75" s="515"/>
      <c r="AC75" s="515"/>
      <c r="AD75" s="515"/>
      <c r="AE75" s="515"/>
      <c r="AF75" s="515"/>
    </row>
    <row r="76" spans="1:32" s="106" customFormat="1" ht="16.5" customHeight="1">
      <c r="A76" s="109"/>
      <c r="B76" s="149" t="s">
        <v>150</v>
      </c>
      <c r="C76" s="499">
        <f>C29/C20/C73</f>
        <v>0.70307883400027671</v>
      </c>
      <c r="D76" s="499">
        <f t="shared" ref="D76:N76" si="32">D29/D20/D73</f>
        <v>0.70905477304957198</v>
      </c>
      <c r="E76" s="499">
        <f t="shared" si="32"/>
        <v>0.705612761302848</v>
      </c>
      <c r="F76" s="499">
        <f t="shared" si="32"/>
        <v>0.70853356376918797</v>
      </c>
      <c r="G76" s="499">
        <f t="shared" si="32"/>
        <v>0.71141023376074919</v>
      </c>
      <c r="H76" s="499">
        <f t="shared" si="32"/>
        <v>0.7180877643948006</v>
      </c>
      <c r="I76" s="499">
        <f t="shared" si="32"/>
        <v>0.72255276863008577</v>
      </c>
      <c r="J76" s="499">
        <f t="shared" si="32"/>
        <v>0.72335963767584166</v>
      </c>
      <c r="K76" s="499">
        <f t="shared" si="32"/>
        <v>0.72337001516151833</v>
      </c>
      <c r="L76" s="499">
        <f t="shared" si="32"/>
        <v>0.7124653095813549</v>
      </c>
      <c r="M76" s="499">
        <f t="shared" si="32"/>
        <v>0.69634855766441617</v>
      </c>
      <c r="N76" s="499">
        <f t="shared" si="32"/>
        <v>0.6979220327505149</v>
      </c>
      <c r="O76" s="107"/>
      <c r="P76" s="152"/>
      <c r="S76" s="515"/>
    </row>
    <row r="77" spans="1:32" s="106" customFormat="1" ht="16.5" customHeight="1">
      <c r="A77" s="109"/>
      <c r="B77" s="108"/>
      <c r="C77" s="107"/>
      <c r="D77" s="107"/>
      <c r="E77" s="107"/>
      <c r="F77" s="107"/>
      <c r="G77" s="107"/>
      <c r="H77" s="107"/>
      <c r="I77" s="107"/>
      <c r="J77" s="107"/>
      <c r="K77" s="107"/>
      <c r="L77" s="107"/>
      <c r="M77" s="107"/>
      <c r="N77" s="107"/>
      <c r="S77" s="515"/>
      <c r="U77" s="515"/>
    </row>
    <row r="78" spans="1:32" ht="13.2">
      <c r="A78" s="42" t="s">
        <v>116</v>
      </c>
      <c r="C78" s="105"/>
      <c r="S78" s="516"/>
      <c r="V78" s="106"/>
    </row>
    <row r="79" spans="1:32" ht="13.2">
      <c r="A79"/>
      <c r="B79" s="10" t="s">
        <v>338</v>
      </c>
      <c r="C79" s="105"/>
      <c r="D79" s="105"/>
      <c r="E79" s="105"/>
      <c r="F79" s="105"/>
      <c r="G79" s="105"/>
      <c r="H79" s="105"/>
      <c r="I79" s="105"/>
      <c r="J79" s="105"/>
      <c r="K79" s="105"/>
      <c r="L79" s="105"/>
      <c r="M79" s="105"/>
      <c r="N79" s="105"/>
      <c r="S79" s="516"/>
    </row>
    <row r="80" spans="1:32" ht="13.2">
      <c r="A80"/>
      <c r="B80" s="81" t="s">
        <v>426</v>
      </c>
      <c r="S80" s="516"/>
    </row>
    <row r="81" spans="1:19" ht="13.2">
      <c r="A81"/>
      <c r="B81" s="125" t="s">
        <v>431</v>
      </c>
      <c r="C81" s="104"/>
      <c r="S81" s="516"/>
    </row>
    <row r="82" spans="1:19" ht="13.2">
      <c r="A82"/>
      <c r="B82" s="153" t="s">
        <v>435</v>
      </c>
      <c r="E82" s="88"/>
      <c r="S82" s="516"/>
    </row>
    <row r="83" spans="1:19" ht="13.2">
      <c r="A83"/>
      <c r="B83" t="s">
        <v>1092</v>
      </c>
      <c r="C83" s="98"/>
      <c r="D83" s="98"/>
      <c r="E83" s="98"/>
      <c r="F83" s="98"/>
      <c r="G83" s="98"/>
      <c r="H83" s="98"/>
      <c r="I83" s="98"/>
      <c r="J83" s="98"/>
      <c r="K83" s="98"/>
      <c r="L83" s="98"/>
      <c r="M83" s="98"/>
      <c r="N83" s="98"/>
    </row>
    <row r="84" spans="1:19">
      <c r="B84" s="10" t="s">
        <v>534</v>
      </c>
      <c r="E84" s="10"/>
    </row>
    <row r="85" spans="1:19" ht="15.6" thickBot="1">
      <c r="B85" s="10"/>
      <c r="E85" s="10"/>
    </row>
    <row r="86" spans="1:19" ht="15.6" thickBot="1">
      <c r="C86" s="100" t="s">
        <v>70</v>
      </c>
      <c r="D86" s="100" t="s">
        <v>71</v>
      </c>
      <c r="E86" s="100" t="s">
        <v>72</v>
      </c>
      <c r="F86" s="103" t="s">
        <v>73</v>
      </c>
      <c r="G86" s="103" t="s">
        <v>74</v>
      </c>
      <c r="H86" s="103" t="s">
        <v>75</v>
      </c>
      <c r="I86" s="103" t="s">
        <v>76</v>
      </c>
      <c r="J86" s="103" t="s">
        <v>77</v>
      </c>
      <c r="K86" s="103" t="s">
        <v>78</v>
      </c>
      <c r="L86" s="103" t="s">
        <v>79</v>
      </c>
      <c r="M86" s="100" t="s">
        <v>80</v>
      </c>
      <c r="N86" s="100" t="s">
        <v>81</v>
      </c>
    </row>
    <row r="87" spans="1:19">
      <c r="B87" s="43" t="s">
        <v>1088</v>
      </c>
      <c r="C87" s="145">
        <f>VLOOKUP($B$9&amp;" Total",'Billing Demand'!$A$5:$AL$44,C$9,FALSE)</f>
        <v>420588</v>
      </c>
      <c r="D87" s="145">
        <f>VLOOKUP($B$9&amp;" Total",'Billing Demand'!$A$5:$AL$44,D$9,FALSE)</f>
        <v>417873</v>
      </c>
      <c r="E87" s="145">
        <f>VLOOKUP($B$9&amp;" Total",'Billing Demand'!$A$5:$AL$44,E$9,FALSE)</f>
        <v>428667</v>
      </c>
      <c r="F87" s="145">
        <f>VLOOKUP($B$9&amp;" Total",'Billing Demand'!$A$5:$AL$44,F$9,FALSE)</f>
        <v>417693</v>
      </c>
      <c r="G87" s="145">
        <f>VLOOKUP($B$9&amp;" Total",'Billing Demand'!$A$5:$AL$44,G$9,FALSE)</f>
        <v>413755</v>
      </c>
      <c r="H87" s="145">
        <f>VLOOKUP($B$9&amp;" Total",'Billing Demand'!$A$5:$AL$44,H$9,FALSE)</f>
        <v>429737</v>
      </c>
      <c r="I87" s="145">
        <f>VLOOKUP($B$9&amp;" Total",'Billing Demand'!$A$5:$AL$44,I$9,FALSE)</f>
        <v>439990</v>
      </c>
      <c r="J87" s="145">
        <f>VLOOKUP($B$9&amp;" Total",'Billing Demand'!$A$5:$AL$44,J$9,FALSE)</f>
        <v>430413</v>
      </c>
      <c r="K87" s="145">
        <f>VLOOKUP($B$9&amp;" Total",'Billing Demand'!$A$5:$AL$44,K$9,FALSE)</f>
        <v>394651</v>
      </c>
      <c r="L87" s="145">
        <f>VLOOKUP($B$9&amp;" Total",'Billing Demand'!$A$5:$AL$44,L$9,FALSE)</f>
        <v>429147</v>
      </c>
      <c r="M87" s="145">
        <f>VLOOKUP($B$9&amp;" Total",'Billing Demand'!$A$5:$AL$44,M$9,FALSE)</f>
        <v>424073</v>
      </c>
      <c r="N87" s="145">
        <f>VLOOKUP($B$9&amp;" Total",'Billing Demand'!$A$5:$AL$44,N$9,FALSE)</f>
        <v>425846</v>
      </c>
    </row>
    <row r="88" spans="1:19">
      <c r="B88" s="239" t="s">
        <v>1089</v>
      </c>
      <c r="C88" s="235">
        <f t="shared" ref="C88:N88" si="33">+C60</f>
        <v>440421.45257350209</v>
      </c>
      <c r="D88" s="235">
        <f t="shared" si="33"/>
        <v>430373.00654546777</v>
      </c>
      <c r="E88" s="235">
        <f t="shared" si="33"/>
        <v>407068.04688708117</v>
      </c>
      <c r="F88" s="235">
        <f t="shared" si="33"/>
        <v>420289.30707446818</v>
      </c>
      <c r="G88" s="235">
        <f t="shared" si="33"/>
        <v>419851.97913825046</v>
      </c>
      <c r="H88" s="235">
        <f t="shared" si="33"/>
        <v>444977.62438453489</v>
      </c>
      <c r="I88" s="235">
        <f t="shared" si="33"/>
        <v>441421.22793474764</v>
      </c>
      <c r="J88" s="235">
        <f t="shared" si="33"/>
        <v>437922.83644533617</v>
      </c>
      <c r="K88" s="235">
        <f t="shared" si="33"/>
        <v>448936.18122906407</v>
      </c>
      <c r="L88" s="235">
        <f t="shared" si="33"/>
        <v>425542.9770315683</v>
      </c>
      <c r="M88" s="235">
        <f t="shared" si="33"/>
        <v>428641.98865677975</v>
      </c>
      <c r="N88" s="235">
        <f t="shared" si="33"/>
        <v>431524.62050190015</v>
      </c>
    </row>
    <row r="89" spans="1:19">
      <c r="B89" s="45" t="s">
        <v>535</v>
      </c>
      <c r="C89" s="236" t="str">
        <f>IF(C87&gt;=C88,"OK","ERROR")</f>
        <v>ERROR</v>
      </c>
      <c r="D89" s="236" t="str">
        <f t="shared" ref="D89:N89" si="34">IF(D87&gt;=D88,"OK","ERROR")</f>
        <v>ERROR</v>
      </c>
      <c r="E89" s="236" t="str">
        <f t="shared" si="34"/>
        <v>OK</v>
      </c>
      <c r="F89" s="236" t="str">
        <f t="shared" si="34"/>
        <v>ERROR</v>
      </c>
      <c r="G89" s="236" t="str">
        <f t="shared" si="34"/>
        <v>ERROR</v>
      </c>
      <c r="H89" s="236" t="str">
        <f t="shared" si="34"/>
        <v>ERROR</v>
      </c>
      <c r="I89" s="236" t="str">
        <f t="shared" si="34"/>
        <v>ERROR</v>
      </c>
      <c r="J89" s="236" t="str">
        <f t="shared" si="34"/>
        <v>ERROR</v>
      </c>
      <c r="K89" s="236" t="str">
        <f t="shared" si="34"/>
        <v>ERROR</v>
      </c>
      <c r="L89" s="236" t="str">
        <f t="shared" si="34"/>
        <v>OK</v>
      </c>
      <c r="M89" s="236" t="str">
        <f t="shared" si="34"/>
        <v>ERROR</v>
      </c>
      <c r="N89" s="236" t="str">
        <f t="shared" si="34"/>
        <v>ERROR</v>
      </c>
    </row>
    <row r="90" spans="1:19" ht="15.6" thickBot="1">
      <c r="G90" s="145"/>
    </row>
    <row r="91" spans="1:19" ht="15.6" thickBot="1">
      <c r="C91" s="100" t="s">
        <v>70</v>
      </c>
      <c r="D91" s="100" t="s">
        <v>71</v>
      </c>
      <c r="E91" s="100" t="s">
        <v>72</v>
      </c>
      <c r="F91" s="103" t="s">
        <v>73</v>
      </c>
      <c r="G91" s="103" t="s">
        <v>74</v>
      </c>
      <c r="H91" s="103" t="s">
        <v>75</v>
      </c>
      <c r="I91" s="103" t="s">
        <v>76</v>
      </c>
      <c r="J91" s="103" t="s">
        <v>77</v>
      </c>
      <c r="K91" s="103" t="s">
        <v>78</v>
      </c>
      <c r="L91" s="103" t="s">
        <v>79</v>
      </c>
      <c r="M91" s="100" t="s">
        <v>80</v>
      </c>
      <c r="N91" s="100" t="s">
        <v>81</v>
      </c>
    </row>
    <row r="92" spans="1:19" ht="409.6">
      <c r="B92" s="43" t="s">
        <v>1090</v>
      </c>
      <c r="C92" s="145">
        <f>VLOOKUP($B$9&amp;" Total",'Billing Demand'!$A$5:$AL$44,C$9+12,FALSE)</f>
        <v>421279</v>
      </c>
      <c r="D92" s="145">
        <f>VLOOKUP($B$9&amp;" Total",'Billing Demand'!$A$5:$AL$44,D$9+12,FALSE)</f>
        <v>416912</v>
      </c>
      <c r="E92" s="145">
        <f>VLOOKUP($B$9&amp;" Total",'Billing Demand'!$A$5:$AL$44,E$9+12,FALSE)</f>
        <v>427653</v>
      </c>
      <c r="F92" s="145">
        <f>VLOOKUP($B$9&amp;" Total",'Billing Demand'!$A$5:$AL$44,F$9+12,FALSE)</f>
        <v>418411</v>
      </c>
      <c r="G92" s="145">
        <f>VLOOKUP($B$9&amp;" Total",'Billing Demand'!$A$5:$AL$44,G$9+12,FALSE)</f>
        <v>413293</v>
      </c>
      <c r="H92" s="145">
        <f>VLOOKUP($B$9&amp;" Total",'Billing Demand'!$A$5:$AL$44,H$9+12,FALSE)</f>
        <v>429371</v>
      </c>
      <c r="I92" s="145">
        <f>VLOOKUP($B$9&amp;" Total",'Billing Demand'!$A$5:$AL$44,I$9+12,FALSE)</f>
        <v>439393</v>
      </c>
      <c r="J92" s="145">
        <f>VLOOKUP($B$9&amp;" Total",'Billing Demand'!$A$5:$AL$44,J$9+12,FALSE)</f>
        <v>429966</v>
      </c>
      <c r="K92" s="145">
        <f>VLOOKUP($B$9&amp;" Total",'Billing Demand'!$A$5:$AL$44,K$9+12,FALSE)</f>
        <v>394033</v>
      </c>
      <c r="L92" s="145">
        <f>VLOOKUP($B$9&amp;" Total",'Billing Demand'!$A$5:$AL$44,L$9+12,FALSE)</f>
        <v>429160</v>
      </c>
      <c r="M92" s="145">
        <f>VLOOKUP($B$9&amp;" Total",'Billing Demand'!$A$5:$AL$44,M$9+12,FALSE)</f>
        <v>424491</v>
      </c>
      <c r="N92" s="145">
        <f>VLOOKUP($B$9&amp;" Total",'Billing Demand'!$A$5:$AL$44,N$9+12,FALSE)</f>
        <v>425822</v>
      </c>
    </row>
    <row r="93" spans="1:19" ht="409.6">
      <c r="B93" s="239" t="s">
        <v>1091</v>
      </c>
      <c r="C93" s="235">
        <f t="shared" ref="C93:N93" si="35">+C65</f>
        <v>441187.87422161771</v>
      </c>
      <c r="D93" s="235">
        <f t="shared" si="35"/>
        <v>444576.5986038316</v>
      </c>
      <c r="E93" s="235">
        <f t="shared" si="35"/>
        <v>405587.96750005666</v>
      </c>
      <c r="F93" s="235">
        <f t="shared" si="35"/>
        <v>420343.03698422993</v>
      </c>
      <c r="G93" s="235">
        <f t="shared" si="35"/>
        <v>418402.24621374981</v>
      </c>
      <c r="H93" s="235">
        <f t="shared" si="35"/>
        <v>443442.77833741478</v>
      </c>
      <c r="I93" s="235">
        <f t="shared" si="35"/>
        <v>439596.1110203524</v>
      </c>
      <c r="J93" s="235">
        <f t="shared" si="35"/>
        <v>436277.96724435309</v>
      </c>
      <c r="K93" s="235">
        <f t="shared" si="35"/>
        <v>446830.92124796787</v>
      </c>
      <c r="L93" s="235">
        <f t="shared" si="35"/>
        <v>424423.14888141421</v>
      </c>
      <c r="M93" s="235">
        <f t="shared" si="35"/>
        <v>427844.68879164715</v>
      </c>
      <c r="N93" s="235">
        <f t="shared" si="35"/>
        <v>430232.69976587879</v>
      </c>
    </row>
    <row r="94" spans="1:19">
      <c r="B94" s="45" t="s">
        <v>535</v>
      </c>
      <c r="C94" s="236" t="str">
        <f>IF(C92&gt;=C93,"OK","ERROR")</f>
        <v>ERROR</v>
      </c>
      <c r="D94" s="236" t="str">
        <f t="shared" ref="D94:N94" si="36">IF(D92&gt;=D93,"OK","ERROR")</f>
        <v>ERROR</v>
      </c>
      <c r="E94" s="236" t="str">
        <f t="shared" si="36"/>
        <v>OK</v>
      </c>
      <c r="F94" s="236" t="str">
        <f t="shared" si="36"/>
        <v>ERROR</v>
      </c>
      <c r="G94" s="236" t="str">
        <f t="shared" si="36"/>
        <v>ERROR</v>
      </c>
      <c r="H94" s="236" t="str">
        <f t="shared" si="36"/>
        <v>ERROR</v>
      </c>
      <c r="I94" s="236" t="str">
        <f t="shared" si="36"/>
        <v>ERROR</v>
      </c>
      <c r="J94" s="236" t="str">
        <f t="shared" si="36"/>
        <v>ERROR</v>
      </c>
      <c r="K94" s="236" t="str">
        <f t="shared" si="36"/>
        <v>ERROR</v>
      </c>
      <c r="L94" s="236" t="str">
        <f t="shared" si="36"/>
        <v>OK</v>
      </c>
      <c r="M94" s="236" t="str">
        <f t="shared" si="36"/>
        <v>ERROR</v>
      </c>
      <c r="N94" s="236" t="str">
        <f t="shared" si="36"/>
        <v>ERROR</v>
      </c>
    </row>
    <row r="97" spans="3:14">
      <c r="C97" s="235"/>
      <c r="D97" s="235"/>
      <c r="E97" s="235"/>
      <c r="F97" s="235"/>
      <c r="G97" s="235"/>
      <c r="H97" s="235"/>
      <c r="I97" s="235"/>
      <c r="J97" s="235"/>
      <c r="K97" s="235"/>
      <c r="L97" s="235"/>
      <c r="M97" s="235"/>
      <c r="N97" s="235"/>
    </row>
  </sheetData>
  <mergeCells count="3">
    <mergeCell ref="C7:E7"/>
    <mergeCell ref="F7:L7"/>
    <mergeCell ref="M7:N7"/>
  </mergeCells>
  <conditionalFormatting sqref="C59:N59">
    <cfRule type="cellIs" dxfId="214" priority="12" operator="greaterThanOrEqual">
      <formula>C60</formula>
    </cfRule>
  </conditionalFormatting>
  <conditionalFormatting sqref="C64:N64">
    <cfRule type="cellIs" dxfId="213" priority="8" operator="greaterThanOrEqual">
      <formula>C65</formula>
    </cfRule>
  </conditionalFormatting>
  <conditionalFormatting sqref="C58:N58">
    <cfRule type="cellIs" dxfId="212" priority="7" operator="greaterThanOrEqual">
      <formula>C59</formula>
    </cfRule>
  </conditionalFormatting>
  <conditionalFormatting sqref="C63:N63">
    <cfRule type="cellIs" dxfId="211" priority="6" operator="greaterThan">
      <formula>C64</formula>
    </cfRule>
  </conditionalFormatting>
  <conditionalFormatting sqref="C89:N89">
    <cfRule type="cellIs" dxfId="210" priority="5" stopIfTrue="1" operator="equal">
      <formula>"Error"</formula>
    </cfRule>
  </conditionalFormatting>
  <conditionalFormatting sqref="C94:N94">
    <cfRule type="cellIs" dxfId="209" priority="4" stopIfTrue="1" operator="equal">
      <formula>"Error"</formula>
    </cfRule>
  </conditionalFormatting>
  <conditionalFormatting sqref="C71:N71">
    <cfRule type="cellIs" dxfId="208" priority="2" operator="greaterThan">
      <formula>C72</formula>
    </cfRule>
  </conditionalFormatting>
  <conditionalFormatting sqref="C72:N72">
    <cfRule type="cellIs" dxfId="207" priority="1" operator="greaterThanOrEqual">
      <formula>C73</formula>
    </cfRule>
  </conditionalFormatting>
  <pageMargins left="0" right="0" top="1" bottom="1" header="0.5" footer="0.5"/>
  <pageSetup scale="31" orientation="landscape" r:id="rId1"/>
  <headerFooter alignWithMargins="0">
    <oddFooter>&amp;LPrinted:  &amp;D&amp;C&amp;F&amp;RPage &amp;P of &amp;N</oddFooter>
  </headerFooter>
  <ignoredErrors>
    <ignoredError sqref="D59:N5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pageSetUpPr fitToPage="1"/>
  </sheetPr>
  <dimension ref="A1:AG94"/>
  <sheetViews>
    <sheetView showGridLines="0" zoomScale="75" zoomScaleNormal="75" workbookViewId="0">
      <selection activeCell="B2" sqref="B2"/>
    </sheetView>
  </sheetViews>
  <sheetFormatPr defaultRowHeight="15"/>
  <cols>
    <col min="1" max="1" width="2.6640625" style="99" customWidth="1"/>
    <col min="2" max="2" width="25.5546875" customWidth="1"/>
    <col min="3" max="14" width="14" customWidth="1"/>
    <col min="15" max="15" width="2.6640625" customWidth="1"/>
    <col min="16" max="16" width="12.88671875" bestFit="1" customWidth="1"/>
    <col min="19" max="19" width="10.6640625" bestFit="1" customWidth="1"/>
    <col min="20" max="20" width="11.109375" bestFit="1" customWidth="1"/>
    <col min="21" max="21" width="16.109375" bestFit="1" customWidth="1"/>
  </cols>
  <sheetData>
    <row r="1" spans="1:16" s="8" customFormat="1" ht="15.6">
      <c r="A1" s="624"/>
      <c r="B1" s="8" t="s">
        <v>1283</v>
      </c>
    </row>
    <row r="2" spans="1:16" s="8" customFormat="1" ht="15.6">
      <c r="A2" s="624"/>
      <c r="B2" s="8" t="s">
        <v>1267</v>
      </c>
    </row>
    <row r="3" spans="1:16" s="8" customFormat="1" ht="15.6">
      <c r="A3" s="624"/>
    </row>
    <row r="4" spans="1:16" ht="21">
      <c r="A4" s="124" t="s">
        <v>436</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99</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0.94516433776122621</v>
      </c>
      <c r="D13" s="115">
        <f>VLOOKUP($B$9,'Avg KWH'!$A$12:$O$38,D9,FALSE)/HOURS!C15/VLOOKUP($B$9,'Avg CP'!$A$12:$P$38,D9,FALSE)</f>
        <v>0.86925559244453354</v>
      </c>
      <c r="E13" s="115">
        <f>VLOOKUP($B$9,'Avg KWH'!$A$12:$O$38,E9,FALSE)/HOURS!D15/VLOOKUP($B$9,'Avg CP'!$A$12:$P$38,E9,FALSE)</f>
        <v>0.93809839593700795</v>
      </c>
      <c r="F13" s="115">
        <f>VLOOKUP($B$9,'Avg KWH'!$A$12:$O$38,F9,FALSE)/HOURS!E15/VLOOKUP($B$9,'Avg CP'!$A$12:$P$38,F9,FALSE)</f>
        <v>0.88658871065130096</v>
      </c>
      <c r="G13" s="115">
        <f>VLOOKUP($B$9,'Avg KWH'!$A$12:$O$38,G9,FALSE)/HOURS!F15/VLOOKUP($B$9,'Avg CP'!$A$12:$P$38,G9,FALSE)</f>
        <v>0.88457776864065363</v>
      </c>
      <c r="H13" s="115">
        <f>VLOOKUP($B$9,'Avg KWH'!$A$12:$O$38,H9,FALSE)/HOURS!G15/VLOOKUP($B$9,'Avg CP'!$A$12:$P$38,H9,FALSE)</f>
        <v>0.87804271138477741</v>
      </c>
      <c r="I13" s="115">
        <f>VLOOKUP($B$9,'Avg KWH'!$A$12:$O$38,I9,FALSE)/HOURS!H15/VLOOKUP($B$9,'Avg CP'!$A$12:$P$38,I9,FALSE)</f>
        <v>0.89245594978010478</v>
      </c>
      <c r="J13" s="115">
        <f>VLOOKUP($B$9,'Avg KWH'!$A$12:$O$38,J9,FALSE)/HOURS!I15/VLOOKUP($B$9,'Avg CP'!$A$12:$P$38,J9,FALSE)</f>
        <v>0.89394938748248698</v>
      </c>
      <c r="K13" s="115">
        <f>VLOOKUP($B$9,'Avg KWH'!$A$12:$O$38,K9,FALSE)/HOURS!J15/VLOOKUP($B$9,'Avg CP'!$A$12:$P$38,K9,FALSE)</f>
        <v>0.90831240173099481</v>
      </c>
      <c r="L13" s="115">
        <f>VLOOKUP($B$9,'Avg KWH'!$A$12:$O$38,L9,FALSE)/HOURS!K15/VLOOKUP($B$9,'Avg CP'!$A$12:$P$38,L9,FALSE)</f>
        <v>0.87511079216148335</v>
      </c>
      <c r="M13" s="115">
        <f>VLOOKUP($B$9,'Avg KWH'!$A$12:$O$38,M9,FALSE)/HOURS!L15/VLOOKUP($B$9,'Avg CP'!$A$12:$P$38,M9,FALSE)</f>
        <v>0.87854099926499152</v>
      </c>
      <c r="N13" s="115">
        <f>VLOOKUP($B$9,'Avg KWH'!$A$12:$O$38,N9,FALSE)/HOURS!M15/VLOOKUP($B$9,'Avg CP'!$A$12:$P$38,N9,FALSE)</f>
        <v>0.91532771057347673</v>
      </c>
    </row>
    <row r="14" spans="1:16" s="110" customFormat="1">
      <c r="A14" s="119"/>
      <c r="B14" s="118" t="s">
        <v>342</v>
      </c>
      <c r="C14" s="115">
        <f>VLOOKUP($B$9,'Avg KWH'!$A$12:$O$38,C9,FALSE)/HOURS!B15/VLOOKUP($B$9,'Avg GNCP'!$A$11:$P$37,C9,FALSE)</f>
        <v>0.85069656013047601</v>
      </c>
      <c r="D14" s="115">
        <f>VLOOKUP($B$9,'Avg KWH'!$A$12:$O$38,D9,FALSE)/HOURS!C15/VLOOKUP($B$9,'Avg GNCP'!$A$11:$P$37,D9,FALSE)</f>
        <v>0.83508360279133698</v>
      </c>
      <c r="E14" s="115">
        <f>VLOOKUP($B$9,'Avg KWH'!$A$12:$O$38,E9,FALSE)/HOURS!D15/VLOOKUP($B$9,'Avg GNCP'!$A$11:$P$37,E9,FALSE)</f>
        <v>0.84803279550420019</v>
      </c>
      <c r="F14" s="115">
        <f>VLOOKUP($B$9,'Avg KWH'!$A$12:$O$38,F9,FALSE)/HOURS!E15/VLOOKUP($B$9,'Avg GNCP'!$A$11:$P$37,F9,FALSE)</f>
        <v>0.83923886038327755</v>
      </c>
      <c r="G14" s="115">
        <f>VLOOKUP($B$9,'Avg KWH'!$A$12:$O$38,G9,FALSE)/HOURS!F15/VLOOKUP($B$9,'Avg GNCP'!$A$11:$P$37,G9,FALSE)</f>
        <v>0.85022677556075632</v>
      </c>
      <c r="H14" s="115">
        <f>VLOOKUP($B$9,'Avg KWH'!$A$12:$O$38,H9,FALSE)/HOURS!G15/VLOOKUP($B$9,'Avg GNCP'!$A$11:$P$37,H9,FALSE)</f>
        <v>0.85024363777460521</v>
      </c>
      <c r="I14" s="115">
        <f>VLOOKUP($B$9,'Avg KWH'!$A$12:$O$38,I9,FALSE)/HOURS!H15/VLOOKUP($B$9,'Avg GNCP'!$A$11:$P$37,I9,FALSE)</f>
        <v>0.84795057563982601</v>
      </c>
      <c r="J14" s="115">
        <f>VLOOKUP($B$9,'Avg KWH'!$A$12:$O$38,J9,FALSE)/HOURS!I15/VLOOKUP($B$9,'Avg GNCP'!$A$11:$P$37,J9,FALSE)</f>
        <v>0.85353734951851734</v>
      </c>
      <c r="K14" s="115">
        <f>VLOOKUP($B$9,'Avg KWH'!$A$12:$O$38,K9,FALSE)/HOURS!J15/VLOOKUP($B$9,'Avg GNCP'!$A$11:$P$37,K9,FALSE)</f>
        <v>0.84585843544168382</v>
      </c>
      <c r="L14" s="115">
        <f>VLOOKUP($B$9,'Avg KWH'!$A$12:$O$38,L9,FALSE)/HOURS!K15/VLOOKUP($B$9,'Avg GNCP'!$A$11:$P$37,L9,FALSE)</f>
        <v>0.83665452602677237</v>
      </c>
      <c r="M14" s="115">
        <f>VLOOKUP($B$9,'Avg KWH'!$A$12:$O$38,M9,FALSE)/HOURS!L15/VLOOKUP($B$9,'Avg GNCP'!$A$11:$P$37,M9,FALSE)</f>
        <v>0.83716347360978971</v>
      </c>
      <c r="N14" s="115">
        <f>VLOOKUP($B$9,'Avg KWH'!$A$12:$O$38,N9,FALSE)/HOURS!M15/VLOOKUP($B$9,'Avg GNCP'!$A$11:$P$37,N9,FALSE)</f>
        <v>0.84104906100259735</v>
      </c>
    </row>
    <row r="15" spans="1:16" s="10" customFormat="1">
      <c r="A15" s="119"/>
      <c r="B15" s="148" t="s">
        <v>133</v>
      </c>
      <c r="C15" s="115">
        <f>VLOOKUP($B$9,'Avg KWH'!$A$12:$O$38,C9,FALSE)/HOURS!B15/VLOOKUP($B$9&amp;" ",'Avg NCP'!$B$12:$P$38,C9-1,FALSE)</f>
        <v>0.68365249494987523</v>
      </c>
      <c r="D15" s="115">
        <f>VLOOKUP($B$9,'Avg KWH'!$A$12:$O$38,D9,FALSE)/HOURS!C15/VLOOKUP($B$9&amp;" ",'Avg NCP'!$B$12:$P$38,D9-1,FALSE)</f>
        <v>0.68521538393539694</v>
      </c>
      <c r="E15" s="115">
        <f>VLOOKUP($B$9,'Avg KWH'!$A$12:$O$38,E9,FALSE)/HOURS!D15/VLOOKUP($B$9&amp;" ",'Avg NCP'!$B$12:$P$38,E9-1,FALSE)</f>
        <v>0.68853100875936502</v>
      </c>
      <c r="F15" s="115">
        <f>VLOOKUP($B$9,'Avg KWH'!$A$12:$O$38,F9,FALSE)/HOURS!E15/VLOOKUP($B$9&amp;" ",'Avg NCP'!$B$12:$P$38,F9-1,FALSE)</f>
        <v>0.69008377802763954</v>
      </c>
      <c r="G15" s="115">
        <f>VLOOKUP($B$9,'Avg KWH'!$A$12:$O$38,G9,FALSE)/HOURS!F15/VLOOKUP($B$9&amp;" ",'Avg NCP'!$B$12:$P$38,G9-1,FALSE)</f>
        <v>0.67566552877684005</v>
      </c>
      <c r="H15" s="115">
        <f>VLOOKUP($B$9,'Avg KWH'!$A$12:$O$38,H9,FALSE)/HOURS!G15/VLOOKUP($B$9&amp;" ",'Avg NCP'!$B$12:$P$38,H9-1,FALSE)</f>
        <v>0.67968880149086353</v>
      </c>
      <c r="I15" s="115">
        <f>VLOOKUP($B$9,'Avg KWH'!$A$12:$O$38,I9,FALSE)/HOURS!H15/VLOOKUP($B$9&amp;" ",'Avg NCP'!$B$12:$P$38,I9-1,FALSE)</f>
        <v>0.68536758346955395</v>
      </c>
      <c r="J15" s="115">
        <f>VLOOKUP($B$9,'Avg KWH'!$A$12:$O$38,J9,FALSE)/HOURS!I15/VLOOKUP($B$9&amp;" ",'Avg NCP'!$B$12:$P$38,J9-1,FALSE)</f>
        <v>0.68277158783748637</v>
      </c>
      <c r="K15" s="115">
        <f>VLOOKUP($B$9,'Avg KWH'!$A$12:$O$38,K9,FALSE)/HOURS!J15/VLOOKUP($B$9&amp;" ",'Avg NCP'!$B$12:$P$38,K9-1,FALSE)</f>
        <v>0.68669207782696862</v>
      </c>
      <c r="L15" s="115">
        <f>VLOOKUP($B$9,'Avg KWH'!$A$12:$O$38,L9,FALSE)/HOURS!K15/VLOOKUP($B$9&amp;" ",'Avg NCP'!$B$12:$P$38,L9-1,FALSE)</f>
        <v>0.68562565940983478</v>
      </c>
      <c r="M15" s="115">
        <f>VLOOKUP($B$9,'Avg KWH'!$A$12:$O$38,M9,FALSE)/HOURS!L15/VLOOKUP($B$9&amp;" ",'Avg NCP'!$B$12:$P$38,M9-1,FALSE)</f>
        <v>0.67693651366098329</v>
      </c>
      <c r="N15" s="115">
        <f>VLOOKUP($B$9,'Avg KWH'!$A$12:$O$38,N9,FALSE)/HOURS!M15/VLOOKUP($B$9&amp;" ",'Avg NCP'!$B$12:$P$38,N9-1,FALSE)</f>
        <v>0.67728471086237918</v>
      </c>
    </row>
    <row r="16" spans="1:16">
      <c r="A16" s="114"/>
      <c r="C16" s="116"/>
      <c r="D16" s="116"/>
      <c r="E16" s="116"/>
      <c r="F16" s="116"/>
      <c r="G16" s="116"/>
      <c r="H16" s="116"/>
      <c r="I16" s="116"/>
      <c r="J16" s="116"/>
      <c r="K16" s="116"/>
      <c r="L16" s="116"/>
      <c r="M16" s="117"/>
      <c r="N16" s="116"/>
    </row>
    <row r="17" spans="1:15" ht="15.6">
      <c r="A17" s="113" t="s">
        <v>421</v>
      </c>
      <c r="C17" s="5"/>
      <c r="D17" s="5"/>
      <c r="E17" s="5"/>
      <c r="F17" s="5"/>
      <c r="G17" s="5"/>
      <c r="H17" s="5"/>
      <c r="I17" s="5"/>
      <c r="J17" s="5"/>
      <c r="K17" s="5"/>
      <c r="L17" s="5"/>
      <c r="M17" s="115"/>
      <c r="N17" s="5"/>
    </row>
    <row r="18" spans="1:15">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5">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5">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c r="O20" s="145">
        <f>+HOURS!N$20</f>
        <v>8760</v>
      </c>
    </row>
    <row r="21" spans="1:15">
      <c r="A21" s="114"/>
      <c r="C21" s="5"/>
      <c r="D21" s="5"/>
      <c r="E21" s="5"/>
      <c r="F21" s="5"/>
      <c r="G21" s="5"/>
      <c r="H21" s="5"/>
      <c r="I21" s="5"/>
      <c r="J21" s="5"/>
      <c r="K21" s="5"/>
      <c r="L21" s="5"/>
      <c r="M21" s="115"/>
      <c r="N21" s="5"/>
    </row>
    <row r="22" spans="1:15" ht="15.6">
      <c r="A22" s="113" t="s">
        <v>427</v>
      </c>
      <c r="C22" s="5"/>
      <c r="D22" s="5"/>
      <c r="E22" s="5"/>
      <c r="F22" s="5"/>
      <c r="G22" s="5"/>
      <c r="H22" s="5"/>
      <c r="I22" s="5"/>
      <c r="J22" s="5"/>
      <c r="K22" s="5"/>
      <c r="L22" s="5"/>
      <c r="M22" s="115"/>
      <c r="N22" s="5"/>
    </row>
    <row r="23" spans="1:15">
      <c r="A23" s="114"/>
      <c r="B23" t="s">
        <v>428</v>
      </c>
      <c r="C23" s="145">
        <v>0</v>
      </c>
      <c r="D23" s="145">
        <v>0</v>
      </c>
      <c r="E23" s="145">
        <v>0</v>
      </c>
      <c r="F23" s="145">
        <v>0</v>
      </c>
      <c r="G23" s="145">
        <v>0</v>
      </c>
      <c r="H23" s="145">
        <v>0</v>
      </c>
      <c r="I23" s="145">
        <v>0</v>
      </c>
      <c r="J23" s="145">
        <v>0</v>
      </c>
      <c r="K23" s="145">
        <v>0</v>
      </c>
      <c r="L23" s="145">
        <v>0</v>
      </c>
      <c r="M23" s="145">
        <v>0</v>
      </c>
      <c r="N23" s="145">
        <v>0</v>
      </c>
    </row>
    <row r="24" spans="1:15">
      <c r="A24" s="114"/>
      <c r="B24" t="s">
        <v>429</v>
      </c>
      <c r="C24" s="145">
        <v>0</v>
      </c>
      <c r="D24" s="145">
        <v>0</v>
      </c>
      <c r="E24" s="145">
        <v>0</v>
      </c>
      <c r="F24" s="145">
        <v>0</v>
      </c>
      <c r="G24" s="145">
        <v>0</v>
      </c>
      <c r="H24" s="145">
        <v>0</v>
      </c>
      <c r="I24" s="145">
        <v>0</v>
      </c>
      <c r="J24" s="145">
        <v>0</v>
      </c>
      <c r="K24" s="145">
        <v>0</v>
      </c>
      <c r="L24" s="145">
        <v>0</v>
      </c>
      <c r="M24" s="145">
        <v>0</v>
      </c>
      <c r="N24" s="145">
        <v>0</v>
      </c>
    </row>
    <row r="25" spans="1:15">
      <c r="A25" s="114"/>
      <c r="C25" s="5"/>
      <c r="D25" s="5"/>
      <c r="E25" s="5"/>
      <c r="F25" s="5"/>
      <c r="G25" s="5"/>
      <c r="H25" s="5"/>
      <c r="I25" s="5"/>
      <c r="J25" s="5"/>
      <c r="K25" s="5"/>
      <c r="L25" s="5"/>
      <c r="M25" s="115"/>
      <c r="N25" s="5"/>
    </row>
    <row r="26" spans="1:15" ht="15.6">
      <c r="A26" s="113" t="s">
        <v>424</v>
      </c>
      <c r="C26" s="5"/>
      <c r="D26" s="5"/>
      <c r="E26" s="5"/>
      <c r="F26" s="5"/>
      <c r="G26" s="5"/>
      <c r="H26" s="5"/>
      <c r="I26" s="5"/>
      <c r="J26" s="5"/>
      <c r="K26" s="5"/>
      <c r="L26" s="5"/>
      <c r="M26" s="115"/>
      <c r="N26" s="5"/>
    </row>
    <row r="27" spans="1:15" s="106" customFormat="1">
      <c r="A27" s="109"/>
      <c r="B27" s="108" t="str">
        <f>"PRIOR - "&amp;MANUAL!$B$9</f>
        <v>PRIOR - 2016</v>
      </c>
      <c r="C27" s="142">
        <f>VLOOKUP($B$9,'Sales Forecast'!$B$7:$AO$23,C9-1,FALSE)</f>
        <v>8786487</v>
      </c>
      <c r="D27" s="142">
        <f>VLOOKUP($B$9,'Sales Forecast'!$B$7:$AO$23,D9-1,FALSE)</f>
        <v>8137504</v>
      </c>
      <c r="E27" s="142">
        <f>VLOOKUP($B$9,'Sales Forecast'!$B$7:$AO$23,E9-1,FALSE)</f>
        <v>8087909</v>
      </c>
      <c r="F27" s="142">
        <f>VLOOKUP($B$9,'Sales Forecast'!$B$7:$AO$23,F9-1,FALSE)</f>
        <v>8080797</v>
      </c>
      <c r="G27" s="142">
        <f>VLOOKUP($B$9,'Sales Forecast'!$B$7:$AO$23,G9-1,FALSE)</f>
        <v>8404830</v>
      </c>
      <c r="H27" s="142">
        <f>VLOOKUP($B$9,'Sales Forecast'!$B$7:$AO$23,H9-1,FALSE)</f>
        <v>8614497</v>
      </c>
      <c r="I27" s="142">
        <f>VLOOKUP($B$9,'Sales Forecast'!$B$7:$AO$23,I9-1,FALSE)</f>
        <v>8820657</v>
      </c>
      <c r="J27" s="142">
        <f>VLOOKUP($B$9,'Sales Forecast'!$B$7:$AO$23,J9-1,FALSE)</f>
        <v>8841737</v>
      </c>
      <c r="K27" s="142">
        <f>VLOOKUP($B$9,'Sales Forecast'!$B$7:$AO$23,K9-1,FALSE)</f>
        <v>8819404</v>
      </c>
      <c r="L27" s="142">
        <f>VLOOKUP($B$9,'Sales Forecast'!$B$7:$AO$23,L9-1,FALSE)</f>
        <v>8538740</v>
      </c>
      <c r="M27" s="142">
        <f>VLOOKUP($B$9,'Sales Forecast'!$B$7:$AO$23,M9-1,FALSE)</f>
        <v>8220488</v>
      </c>
      <c r="N27" s="142">
        <f>VLOOKUP($B$9,'Sales Forecast'!$B$7:$AO$23,N9-1,FALSE)</f>
        <v>8673691</v>
      </c>
    </row>
    <row r="28" spans="1:15" s="12" customFormat="1" ht="15.6">
      <c r="A28" s="111"/>
      <c r="B28" s="108" t="str">
        <f>"TEST - "&amp;MANUAL!$B$10</f>
        <v>TEST - 2017</v>
      </c>
      <c r="C28" s="142">
        <f>VLOOKUP($B$9,'Sales Forecast'!$B$7:$AO$23,C9+11,FALSE)</f>
        <v>8790697</v>
      </c>
      <c r="D28" s="142">
        <f>VLOOKUP($B$9,'Sales Forecast'!$B$7:$AO$23,D9+11,FALSE)</f>
        <v>8102439</v>
      </c>
      <c r="E28" s="142">
        <f>VLOOKUP($B$9,'Sales Forecast'!$B$7:$AO$23,E9+11,FALSE)</f>
        <v>8043980</v>
      </c>
      <c r="F28" s="142">
        <f>VLOOKUP($B$9,'Sales Forecast'!$B$7:$AO$23,F9+11,FALSE)</f>
        <v>8069797</v>
      </c>
      <c r="G28" s="142">
        <f>VLOOKUP($B$9,'Sales Forecast'!$B$7:$AO$23,G9+11,FALSE)</f>
        <v>8363391</v>
      </c>
      <c r="H28" s="142">
        <f>VLOOKUP($B$9,'Sales Forecast'!$B$7:$AO$23,H9+11,FALSE)</f>
        <v>8574093</v>
      </c>
      <c r="I28" s="142">
        <f>VLOOKUP($B$9,'Sales Forecast'!$B$7:$AO$23,I9+11,FALSE)</f>
        <v>8775072</v>
      </c>
      <c r="J28" s="142">
        <f>VLOOKUP($B$9,'Sales Forecast'!$B$7:$AO$23,J9+11,FALSE)</f>
        <v>8799193</v>
      </c>
      <c r="K28" s="142">
        <f>VLOOKUP($B$9,'Sales Forecast'!$B$7:$AO$23,K9+11,FALSE)</f>
        <v>8768146</v>
      </c>
      <c r="L28" s="142">
        <f>VLOOKUP($B$9,'Sales Forecast'!$B$7:$AO$23,L9+11,FALSE)</f>
        <v>8505733</v>
      </c>
      <c r="M28" s="142">
        <f>VLOOKUP($B$9,'Sales Forecast'!$B$7:$AO$23,M9+11,FALSE)</f>
        <v>8194398</v>
      </c>
      <c r="N28" s="142">
        <f>VLOOKUP($B$9,'Sales Forecast'!$B$7:$AO$23,N9+11,FALSE)</f>
        <v>8636563</v>
      </c>
    </row>
    <row r="29" spans="1:15">
      <c r="A29" s="114"/>
      <c r="B29" t="s">
        <v>1094</v>
      </c>
      <c r="C29" s="142">
        <f>VLOOKUP($B$9,'Sales Forecast'!$B$7:$AO$23,C9+23,FALSE)</f>
        <v>8755599</v>
      </c>
      <c r="D29" s="142">
        <f>VLOOKUP($B$9,'Sales Forecast'!$B$7:$AO$23,D9+23,FALSE)</f>
        <v>8087536</v>
      </c>
      <c r="E29" s="142">
        <f>VLOOKUP($B$9,'Sales Forecast'!$B$7:$AO$23,E9+23,FALSE)</f>
        <v>8039075</v>
      </c>
      <c r="F29" s="142">
        <f>VLOOKUP($B$9,'Sales Forecast'!$B$7:$AO$23,F9+23,FALSE)</f>
        <v>8072692</v>
      </c>
      <c r="G29" s="142">
        <f>VLOOKUP($B$9,'Sales Forecast'!$B$7:$AO$23,G9+23,FALSE)</f>
        <v>8360935</v>
      </c>
      <c r="H29" s="142">
        <f>VLOOKUP($B$9,'Sales Forecast'!$B$7:$AO$23,H9+23,FALSE)</f>
        <v>8568523</v>
      </c>
      <c r="I29" s="142">
        <f>VLOOKUP($B$9,'Sales Forecast'!$B$7:$AO$23,I9+23,FALSE)</f>
        <v>8766288</v>
      </c>
      <c r="J29" s="142">
        <f>VLOOKUP($B$9,'Sales Forecast'!$B$7:$AO$23,J9+23,FALSE)</f>
        <v>8786960</v>
      </c>
      <c r="K29" s="142">
        <f>VLOOKUP($B$9,'Sales Forecast'!$B$7:$AO$23,K9+23,FALSE)</f>
        <v>8748441</v>
      </c>
      <c r="L29" s="142">
        <f>VLOOKUP($B$9,'Sales Forecast'!$B$7:$AO$23,L9+23,FALSE)</f>
        <v>8495696</v>
      </c>
      <c r="M29" s="142">
        <f>VLOOKUP($B$9,'Sales Forecast'!$B$7:$AO$23,M9+23,FALSE)</f>
        <v>8190030</v>
      </c>
      <c r="N29" s="142">
        <f>VLOOKUP($B$9,'Sales Forecast'!$B$7:$AO$23,N9+23,FALSE)</f>
        <v>8636760</v>
      </c>
    </row>
    <row r="30" spans="1:15">
      <c r="A30" s="114"/>
      <c r="C30" s="142"/>
      <c r="D30" s="142"/>
      <c r="E30" s="142"/>
      <c r="F30" s="142"/>
      <c r="G30" s="142"/>
      <c r="H30" s="142"/>
      <c r="I30" s="142"/>
      <c r="J30" s="142"/>
      <c r="K30" s="142"/>
      <c r="L30" s="142"/>
      <c r="M30" s="142"/>
      <c r="N30" s="142"/>
    </row>
    <row r="31" spans="1:15" ht="15.6">
      <c r="A31" s="113" t="s">
        <v>1248</v>
      </c>
      <c r="C31" s="142"/>
      <c r="D31" s="142"/>
      <c r="E31" s="142"/>
      <c r="F31" s="142"/>
      <c r="G31" s="142"/>
      <c r="H31" s="142"/>
      <c r="I31" s="142"/>
      <c r="J31" s="142"/>
      <c r="K31" s="142"/>
      <c r="L31" s="142"/>
      <c r="M31" s="142"/>
      <c r="N31" s="142"/>
    </row>
    <row r="32" spans="1:15">
      <c r="A32" s="114"/>
      <c r="B32" t="s">
        <v>1254</v>
      </c>
      <c r="C32" s="115">
        <v>0</v>
      </c>
      <c r="D32" s="115">
        <v>0</v>
      </c>
      <c r="E32" s="115">
        <v>0</v>
      </c>
      <c r="F32" s="115">
        <v>0</v>
      </c>
      <c r="G32" s="115">
        <v>0</v>
      </c>
      <c r="H32" s="115">
        <v>0</v>
      </c>
      <c r="I32" s="115">
        <v>0</v>
      </c>
      <c r="J32" s="115">
        <v>0</v>
      </c>
      <c r="K32" s="115">
        <v>0</v>
      </c>
      <c r="L32" s="115">
        <v>0</v>
      </c>
      <c r="M32" s="115">
        <v>0</v>
      </c>
      <c r="N32" s="115">
        <v>0</v>
      </c>
    </row>
    <row r="33" spans="1:32">
      <c r="A33" s="114"/>
      <c r="B33" t="s">
        <v>1253</v>
      </c>
      <c r="C33" s="508">
        <v>1.4279999999999999E-2</v>
      </c>
      <c r="D33" s="508">
        <v>1.4279999999999999E-2</v>
      </c>
      <c r="E33" s="508">
        <v>1.4279999999999999E-2</v>
      </c>
      <c r="F33" s="508">
        <v>1.4279999999999999E-2</v>
      </c>
      <c r="G33" s="508">
        <v>1.4279999999999999E-2</v>
      </c>
      <c r="H33" s="508">
        <v>1.4279999999999999E-2</v>
      </c>
      <c r="I33" s="508">
        <v>1.4279999999999999E-2</v>
      </c>
      <c r="J33" s="508">
        <v>1.4279999999999999E-2</v>
      </c>
      <c r="K33" s="508">
        <v>1.4279999999999999E-2</v>
      </c>
      <c r="L33" s="508">
        <v>1.4279999999999999E-2</v>
      </c>
      <c r="M33" s="508">
        <v>1.4279999999999999E-2</v>
      </c>
      <c r="N33" s="508">
        <v>1.4279999999999999E-2</v>
      </c>
    </row>
    <row r="34" spans="1:32">
      <c r="A34" s="114"/>
      <c r="B34" t="s">
        <v>1252</v>
      </c>
      <c r="C34" s="508">
        <v>0.98572000000000004</v>
      </c>
      <c r="D34" s="508">
        <v>0.98572000000000004</v>
      </c>
      <c r="E34" s="508">
        <v>0.98572000000000004</v>
      </c>
      <c r="F34" s="508">
        <v>0.98572000000000004</v>
      </c>
      <c r="G34" s="508">
        <v>0.98572000000000004</v>
      </c>
      <c r="H34" s="508">
        <v>0.98572000000000004</v>
      </c>
      <c r="I34" s="508">
        <v>0.98572000000000004</v>
      </c>
      <c r="J34" s="508">
        <v>0.98572000000000004</v>
      </c>
      <c r="K34" s="508">
        <v>0.98572000000000004</v>
      </c>
      <c r="L34" s="508">
        <v>0.98572000000000004</v>
      </c>
      <c r="M34" s="508">
        <v>0.98572000000000004</v>
      </c>
      <c r="N34" s="508">
        <v>0.98572000000000004</v>
      </c>
      <c r="S34" s="507"/>
    </row>
    <row r="35" spans="1:32" ht="15.6">
      <c r="A35" s="114"/>
      <c r="B35" s="513">
        <v>2017</v>
      </c>
      <c r="C35" s="508"/>
      <c r="D35" s="508"/>
      <c r="E35" s="508"/>
      <c r="F35" s="508"/>
      <c r="G35" s="508"/>
      <c r="H35" s="508"/>
      <c r="I35" s="508"/>
      <c r="J35" s="508"/>
      <c r="K35" s="508"/>
      <c r="L35" s="508"/>
      <c r="M35" s="508"/>
      <c r="N35" s="508"/>
      <c r="S35" s="507"/>
    </row>
    <row r="36" spans="1:32">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T36" s="206"/>
      <c r="U36" s="523"/>
      <c r="V36" s="523"/>
      <c r="W36" s="523"/>
      <c r="X36" s="523"/>
      <c r="Y36" s="523"/>
      <c r="Z36" s="523"/>
      <c r="AA36" s="523"/>
      <c r="AB36" s="523"/>
      <c r="AC36" s="523"/>
      <c r="AD36" s="523"/>
      <c r="AE36" s="523"/>
      <c r="AF36" s="523"/>
    </row>
    <row r="37" spans="1:32">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T37" s="206"/>
      <c r="U37" s="523"/>
      <c r="V37" s="523"/>
      <c r="W37" s="523"/>
      <c r="X37" s="523"/>
      <c r="Y37" s="523"/>
      <c r="Z37" s="523"/>
      <c r="AA37" s="523"/>
      <c r="AB37" s="523"/>
      <c r="AC37" s="523"/>
      <c r="AD37" s="523"/>
      <c r="AE37" s="523"/>
      <c r="AF37" s="523"/>
    </row>
    <row r="38" spans="1:32">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508"/>
      <c r="T38" s="206"/>
      <c r="U38" s="523"/>
      <c r="V38" s="523"/>
      <c r="W38" s="523"/>
      <c r="X38" s="523"/>
      <c r="Y38" s="523"/>
      <c r="Z38" s="523"/>
      <c r="AA38" s="523"/>
      <c r="AB38" s="523"/>
      <c r="AC38" s="523"/>
      <c r="AD38" s="523"/>
      <c r="AE38" s="523"/>
      <c r="AF38" s="523"/>
    </row>
    <row r="39" spans="1:32">
      <c r="A39" s="114"/>
      <c r="B39" t="s">
        <v>1255</v>
      </c>
      <c r="C39" s="107">
        <f>(+C$28/C$19/C13)+C23</f>
        <v>12500.950876940669</v>
      </c>
      <c r="D39" s="107">
        <f t="shared" ref="D39:N39" si="0">(+D$28/D$19/D13)+D23</f>
        <v>13870.719955852919</v>
      </c>
      <c r="E39" s="107">
        <f t="shared" si="0"/>
        <v>11525.231385210485</v>
      </c>
      <c r="F39" s="107">
        <f t="shared" si="0"/>
        <v>12641.770929674134</v>
      </c>
      <c r="G39" s="107">
        <f t="shared" si="0"/>
        <v>12707.88994930123</v>
      </c>
      <c r="H39" s="107">
        <f t="shared" si="0"/>
        <v>13562.509369525935</v>
      </c>
      <c r="I39" s="107">
        <f t="shared" si="0"/>
        <v>13215.724110315248</v>
      </c>
      <c r="J39" s="107">
        <f t="shared" si="0"/>
        <v>13229.912652140671</v>
      </c>
      <c r="K39" s="107">
        <f t="shared" si="0"/>
        <v>13407.260026778957</v>
      </c>
      <c r="L39" s="107">
        <f t="shared" si="0"/>
        <v>13063.987931995898</v>
      </c>
      <c r="M39" s="107">
        <f t="shared" si="0"/>
        <v>12954.555726887011</v>
      </c>
      <c r="N39" s="107">
        <f t="shared" si="0"/>
        <v>12682.106602975718</v>
      </c>
      <c r="T39" s="206"/>
      <c r="U39" s="523"/>
      <c r="V39" s="523"/>
      <c r="W39" s="523"/>
      <c r="X39" s="523"/>
      <c r="Y39" s="523"/>
      <c r="Z39" s="523"/>
      <c r="AA39" s="523"/>
      <c r="AB39" s="523"/>
      <c r="AC39" s="523"/>
      <c r="AD39" s="523"/>
      <c r="AE39" s="523"/>
      <c r="AF39" s="523"/>
    </row>
    <row r="40" spans="1:32">
      <c r="A40" s="114"/>
      <c r="B40" t="s">
        <v>1256</v>
      </c>
      <c r="C40" s="107">
        <f t="shared" ref="C40:N40" si="1">(C39*C32*C36)+(C39*C33*C37)+(C39*C34*C38)</f>
        <v>13300.856965807166</v>
      </c>
      <c r="D40" s="107">
        <f t="shared" si="1"/>
        <v>14758.2743074275</v>
      </c>
      <c r="E40" s="107">
        <f t="shared" si="1"/>
        <v>12262.703506441736</v>
      </c>
      <c r="F40" s="107">
        <f t="shared" si="1"/>
        <v>13450.687758501521</v>
      </c>
      <c r="G40" s="107">
        <f t="shared" si="1"/>
        <v>13521.037576802273</v>
      </c>
      <c r="H40" s="107">
        <f t="shared" si="1"/>
        <v>14430.342059357899</v>
      </c>
      <c r="I40" s="107">
        <f t="shared" si="1"/>
        <v>14061.366836911422</v>
      </c>
      <c r="J40" s="107">
        <f t="shared" si="1"/>
        <v>14076.463269753294</v>
      </c>
      <c r="K40" s="107">
        <f t="shared" si="1"/>
        <v>14265.158680730108</v>
      </c>
      <c r="L40" s="107">
        <f t="shared" si="1"/>
        <v>13899.921421740108</v>
      </c>
      <c r="M40" s="107">
        <f t="shared" si="1"/>
        <v>13783.486910322972</v>
      </c>
      <c r="N40" s="107">
        <f t="shared" si="1"/>
        <v>13493.604415521071</v>
      </c>
      <c r="T40" s="206"/>
      <c r="U40" s="524"/>
      <c r="V40" s="524"/>
      <c r="W40" s="524"/>
      <c r="X40" s="524"/>
      <c r="Y40" s="524"/>
      <c r="Z40" s="524"/>
      <c r="AA40" s="524"/>
      <c r="AB40" s="524"/>
      <c r="AC40" s="524"/>
      <c r="AD40" s="524"/>
      <c r="AE40" s="524"/>
      <c r="AF40" s="524"/>
    </row>
    <row r="41" spans="1:32">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T41" s="206"/>
      <c r="U41" s="524"/>
      <c r="V41" s="524"/>
      <c r="W41" s="524"/>
      <c r="X41" s="524"/>
      <c r="Y41" s="524"/>
      <c r="Z41" s="524"/>
      <c r="AA41" s="524"/>
      <c r="AB41" s="524"/>
      <c r="AC41" s="524"/>
      <c r="AD41" s="524"/>
      <c r="AE41" s="524"/>
      <c r="AF41" s="524"/>
    </row>
    <row r="42" spans="1:32">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T42" s="206"/>
      <c r="U42" s="524"/>
      <c r="V42" s="524"/>
      <c r="W42" s="524"/>
      <c r="X42" s="524"/>
      <c r="Y42" s="524"/>
      <c r="Z42" s="524"/>
      <c r="AA42" s="524"/>
      <c r="AB42" s="524"/>
      <c r="AC42" s="524"/>
      <c r="AD42" s="524"/>
      <c r="AE42" s="524"/>
      <c r="AF42" s="524"/>
    </row>
    <row r="43" spans="1:32">
      <c r="A43" s="114"/>
      <c r="B43" t="s">
        <v>1259</v>
      </c>
      <c r="C43" s="235">
        <f>C40*C42/C41</f>
        <v>1224.908737603449</v>
      </c>
      <c r="D43" s="235">
        <f>D40*D42/D41</f>
        <v>101.62949896393445</v>
      </c>
      <c r="E43" s="235">
        <f t="shared" ref="E43:N43" si="2">E40*E42/E41</f>
        <v>1458.2326352042478</v>
      </c>
      <c r="F43" s="235">
        <f t="shared" si="2"/>
        <v>1076.9319998174542</v>
      </c>
      <c r="G43" s="235">
        <f t="shared" si="2"/>
        <v>1355.306437998184</v>
      </c>
      <c r="H43" s="235">
        <f t="shared" si="2"/>
        <v>743.87757681494406</v>
      </c>
      <c r="I43" s="235">
        <f t="shared" si="2"/>
        <v>898.30564602140043</v>
      </c>
      <c r="J43" s="235">
        <f t="shared" si="2"/>
        <v>1369.9416855561503</v>
      </c>
      <c r="K43" s="235">
        <f t="shared" si="2"/>
        <v>133.68366801287681</v>
      </c>
      <c r="L43" s="235">
        <f t="shared" si="2"/>
        <v>276.72799448051677</v>
      </c>
      <c r="M43" s="235">
        <f t="shared" si="2"/>
        <v>-285.82484717753846</v>
      </c>
      <c r="N43" s="235">
        <f t="shared" si="2"/>
        <v>351.02926366297879</v>
      </c>
      <c r="T43" s="206"/>
      <c r="U43" s="523"/>
      <c r="V43" s="523"/>
      <c r="W43" s="523"/>
      <c r="X43" s="523"/>
      <c r="Y43" s="523"/>
      <c r="Z43" s="523"/>
      <c r="AA43" s="523"/>
      <c r="AB43" s="523"/>
      <c r="AC43" s="523"/>
      <c r="AD43" s="523"/>
      <c r="AE43" s="523"/>
      <c r="AF43" s="523"/>
    </row>
    <row r="44" spans="1:32">
      <c r="A44" s="114"/>
      <c r="B44" t="s">
        <v>1260</v>
      </c>
      <c r="C44" s="235">
        <f t="shared" ref="C44:N44" si="3">((C43*C32)/C36)+((C43*C33)/C37)+((C43*C34)/C38)</f>
        <v>1151.2562909981866</v>
      </c>
      <c r="D44" s="235">
        <f>((D43*D32)/D36)+((D43*D33)/D37)+((D43*D34)/D38)</f>
        <v>95.518626360800113</v>
      </c>
      <c r="E44" s="235">
        <f t="shared" si="3"/>
        <v>1370.5506732708498</v>
      </c>
      <c r="F44" s="235">
        <f t="shared" si="3"/>
        <v>1012.1772354998758</v>
      </c>
      <c r="G44" s="235">
        <f t="shared" si="3"/>
        <v>1273.813317740317</v>
      </c>
      <c r="H44" s="235">
        <f t="shared" si="3"/>
        <v>699.14901718820067</v>
      </c>
      <c r="I44" s="235">
        <f t="shared" si="3"/>
        <v>844.29149247862722</v>
      </c>
      <c r="J44" s="235">
        <f t="shared" si="3"/>
        <v>1287.5685635836846</v>
      </c>
      <c r="K44" s="235">
        <f t="shared" si="3"/>
        <v>125.6454126571528</v>
      </c>
      <c r="L44" s="235">
        <f t="shared" si="3"/>
        <v>260.08863743132571</v>
      </c>
      <c r="M44" s="235">
        <f t="shared" si="3"/>
        <v>-268.63850614743939</v>
      </c>
      <c r="N44" s="235">
        <f t="shared" si="3"/>
        <v>329.92225111165499</v>
      </c>
    </row>
    <row r="45" spans="1:32" ht="15.6">
      <c r="A45" s="114"/>
      <c r="B45" s="513">
        <v>2018</v>
      </c>
      <c r="C45" s="235"/>
      <c r="D45" s="235"/>
      <c r="E45" s="235"/>
      <c r="F45" s="235"/>
      <c r="G45" s="235"/>
      <c r="H45" s="235"/>
      <c r="I45" s="235"/>
      <c r="J45" s="235"/>
      <c r="K45" s="235"/>
      <c r="L45" s="235"/>
      <c r="M45" s="235"/>
      <c r="N45" s="235"/>
      <c r="U45" s="44"/>
      <c r="V45" s="44"/>
      <c r="W45" s="44"/>
      <c r="X45" s="44"/>
      <c r="Y45" s="44"/>
      <c r="Z45" s="44"/>
      <c r="AA45" s="44"/>
      <c r="AB45" s="44"/>
      <c r="AC45" s="44"/>
      <c r="AD45" s="44"/>
      <c r="AE45" s="44"/>
      <c r="AF45" s="44"/>
    </row>
    <row r="46" spans="1:32">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U46" s="235"/>
      <c r="V46" s="235"/>
      <c r="W46" s="235"/>
      <c r="X46" s="235"/>
      <c r="Y46" s="235"/>
      <c r="Z46" s="235"/>
      <c r="AA46" s="235"/>
      <c r="AB46" s="235"/>
      <c r="AC46" s="235"/>
      <c r="AD46" s="235"/>
      <c r="AE46" s="235"/>
      <c r="AF46" s="235"/>
    </row>
    <row r="47" spans="1:32">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U47" s="235"/>
      <c r="V47" s="235"/>
      <c r="W47" s="235"/>
      <c r="X47" s="235"/>
      <c r="Y47" s="235"/>
      <c r="Z47" s="235"/>
      <c r="AA47" s="235"/>
      <c r="AB47" s="235"/>
      <c r="AC47" s="235"/>
      <c r="AD47" s="235"/>
      <c r="AE47" s="235"/>
      <c r="AF47" s="235"/>
    </row>
    <row r="48" spans="1:32">
      <c r="A48" s="114"/>
      <c r="B48" t="s">
        <v>1251</v>
      </c>
      <c r="C48">
        <v>1.06467</v>
      </c>
      <c r="D48">
        <v>1.06467</v>
      </c>
      <c r="E48">
        <v>1.06467</v>
      </c>
      <c r="F48">
        <v>1.06467</v>
      </c>
      <c r="G48">
        <v>1.06467</v>
      </c>
      <c r="H48">
        <v>1.06467</v>
      </c>
      <c r="I48">
        <v>1.06467</v>
      </c>
      <c r="J48">
        <v>1.06467</v>
      </c>
      <c r="K48">
        <v>1.06467</v>
      </c>
      <c r="L48">
        <v>1.06467</v>
      </c>
      <c r="M48">
        <v>1.06467</v>
      </c>
      <c r="N48">
        <v>1.06467</v>
      </c>
      <c r="U48" s="235"/>
      <c r="V48" s="235"/>
      <c r="W48" s="235"/>
      <c r="X48" s="235"/>
      <c r="Y48" s="235"/>
      <c r="Z48" s="235"/>
      <c r="AA48" s="235"/>
      <c r="AB48" s="235"/>
      <c r="AC48" s="235"/>
      <c r="AD48" s="235"/>
      <c r="AE48" s="235"/>
      <c r="AF48" s="235"/>
    </row>
    <row r="49" spans="1:33">
      <c r="A49" s="114"/>
      <c r="B49" t="s">
        <v>1255</v>
      </c>
      <c r="C49" s="235">
        <f>(+C$29/C$20/C13)+C23</f>
        <v>12451.039206241649</v>
      </c>
      <c r="D49" s="235">
        <f t="shared" ref="D49:N49" si="4">(+D$29/D$20/D13)+D23</f>
        <v>13845.207225735225</v>
      </c>
      <c r="E49" s="235">
        <f t="shared" si="4"/>
        <v>11518.20361289573</v>
      </c>
      <c r="F49" s="235">
        <f t="shared" si="4"/>
        <v>12646.306102844093</v>
      </c>
      <c r="G49" s="235">
        <f t="shared" si="4"/>
        <v>12704.158140311853</v>
      </c>
      <c r="H49" s="235">
        <f t="shared" si="4"/>
        <v>13553.698737638893</v>
      </c>
      <c r="I49" s="235">
        <f t="shared" si="4"/>
        <v>13202.494940163138</v>
      </c>
      <c r="J49" s="235">
        <f t="shared" si="4"/>
        <v>13211.519883454537</v>
      </c>
      <c r="K49" s="235">
        <f t="shared" si="4"/>
        <v>13377.129363030008</v>
      </c>
      <c r="L49" s="235">
        <f t="shared" si="4"/>
        <v>13048.572065206587</v>
      </c>
      <c r="M49" s="235">
        <f t="shared" si="4"/>
        <v>12947.650338667518</v>
      </c>
      <c r="N49" s="235">
        <f t="shared" si="4"/>
        <v>12682.395881824354</v>
      </c>
      <c r="U49" s="538"/>
      <c r="V49" s="538"/>
      <c r="W49" s="538"/>
      <c r="X49" s="538"/>
      <c r="Y49" s="538"/>
      <c r="Z49" s="538"/>
      <c r="AA49" s="538"/>
      <c r="AB49" s="538"/>
      <c r="AC49" s="538"/>
      <c r="AD49" s="538"/>
      <c r="AE49" s="538"/>
      <c r="AF49" s="538"/>
    </row>
    <row r="50" spans="1:33">
      <c r="A50" s="114"/>
      <c r="B50" t="s">
        <v>1256</v>
      </c>
      <c r="C50" s="107">
        <f>(C49*C32*C46)+(C49*C33*C47)+(C49*C34*C48)</f>
        <v>13250.947668672918</v>
      </c>
      <c r="D50" s="107">
        <f t="shared" ref="D50:N50" si="5">(D49*D32*D46)+(D49*D33*D47)+(D49*D34*D48)</f>
        <v>14734.683055064263</v>
      </c>
      <c r="E50" s="107">
        <f t="shared" si="5"/>
        <v>12258.182693303976</v>
      </c>
      <c r="F50" s="107">
        <f t="shared" si="5"/>
        <v>13458.759352938281</v>
      </c>
      <c r="G50" s="107">
        <f t="shared" si="5"/>
        <v>13520.328054820377</v>
      </c>
      <c r="H50" s="107">
        <f t="shared" si="5"/>
        <v>14424.446804358211</v>
      </c>
      <c r="I50" s="107">
        <f t="shared" si="5"/>
        <v>14050.680160120395</v>
      </c>
      <c r="J50" s="107">
        <f t="shared" si="5"/>
        <v>14060.284904695218</v>
      </c>
      <c r="K50" s="107">
        <f t="shared" si="5"/>
        <v>14236.533851545424</v>
      </c>
      <c r="L50" s="107">
        <f t="shared" si="5"/>
        <v>13886.86861577649</v>
      </c>
      <c r="M50" s="107">
        <f t="shared" si="5"/>
        <v>13779.46324222896</v>
      </c>
      <c r="N50" s="107">
        <f t="shared" si="5"/>
        <v>13497.167694982669</v>
      </c>
      <c r="U50" s="538"/>
      <c r="V50" s="538"/>
      <c r="W50" s="538"/>
      <c r="X50" s="538"/>
      <c r="Y50" s="538"/>
      <c r="Z50" s="538"/>
      <c r="AA50" s="538"/>
      <c r="AB50" s="538"/>
      <c r="AC50" s="538"/>
      <c r="AD50" s="538"/>
      <c r="AE50" s="538"/>
      <c r="AF50" s="538"/>
    </row>
    <row r="51" spans="1:33">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U51" s="538"/>
      <c r="V51" s="538"/>
      <c r="W51" s="538"/>
      <c r="X51" s="538"/>
      <c r="Y51" s="538"/>
      <c r="Z51" s="538"/>
      <c r="AA51" s="538"/>
      <c r="AB51" s="538"/>
      <c r="AC51" s="538"/>
      <c r="AD51" s="538"/>
      <c r="AE51" s="538"/>
      <c r="AF51" s="538"/>
    </row>
    <row r="52" spans="1:33">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row>
    <row r="53" spans="1:33">
      <c r="A53" s="114"/>
      <c r="B53" t="s">
        <v>1259</v>
      </c>
      <c r="C53" s="235">
        <f>C50*C52/C51</f>
        <v>1350.7840621866076</v>
      </c>
      <c r="D53" s="235">
        <f t="shared" ref="D53:N53" si="6">D50*D52/D51</f>
        <v>229.42990789717376</v>
      </c>
      <c r="E53" s="235">
        <f t="shared" si="6"/>
        <v>1542.6877427182335</v>
      </c>
      <c r="F53" s="235">
        <f t="shared" si="6"/>
        <v>1134.8438434871273</v>
      </c>
      <c r="G53" s="235">
        <f t="shared" si="6"/>
        <v>1411.8986801422416</v>
      </c>
      <c r="H53" s="235">
        <f t="shared" si="6"/>
        <v>815.17858285057946</v>
      </c>
      <c r="I53" s="235">
        <f t="shared" si="6"/>
        <v>975.64931760269837</v>
      </c>
      <c r="J53" s="235">
        <f t="shared" si="6"/>
        <v>1483.1921536556249</v>
      </c>
      <c r="K53" s="235">
        <f t="shared" si="6"/>
        <v>213.24025161483215</v>
      </c>
      <c r="L53" s="235">
        <f t="shared" si="6"/>
        <v>354.718474084592</v>
      </c>
      <c r="M53" s="235">
        <f t="shared" si="6"/>
        <v>-220.78051765296155</v>
      </c>
      <c r="N53" s="235">
        <f t="shared" si="6"/>
        <v>402.15019397972867</v>
      </c>
    </row>
    <row r="54" spans="1:33">
      <c r="A54" s="114"/>
      <c r="B54" t="s">
        <v>1260</v>
      </c>
      <c r="C54" s="235">
        <f>((C53*C32)/C46)+((C53*C33)/C47)+((C53*C34)/C48)</f>
        <v>1269.2568621978421</v>
      </c>
      <c r="D54" s="235">
        <f t="shared" ref="D54:N54" si="7">((D53*D32)/D46)+((D53*D33)/D47)+((D53*D34)/D48)</f>
        <v>215.58255915494902</v>
      </c>
      <c r="E54" s="235">
        <f t="shared" si="7"/>
        <v>1449.5781068840556</v>
      </c>
      <c r="F54" s="235">
        <f t="shared" si="7"/>
        <v>1066.3498157783424</v>
      </c>
      <c r="G54" s="235">
        <f t="shared" si="7"/>
        <v>1326.6828789774743</v>
      </c>
      <c r="H54" s="235">
        <f t="shared" si="7"/>
        <v>765.97810054474337</v>
      </c>
      <c r="I54" s="235">
        <f t="shared" si="7"/>
        <v>916.76354950565872</v>
      </c>
      <c r="J54" s="235">
        <f t="shared" si="7"/>
        <v>1393.6734017560002</v>
      </c>
      <c r="K54" s="235">
        <f t="shared" si="7"/>
        <v>200.37003710333207</v>
      </c>
      <c r="L54" s="235">
        <f t="shared" si="7"/>
        <v>333.30927568940905</v>
      </c>
      <c r="M54" s="235">
        <f t="shared" si="7"/>
        <v>-207.45520687961783</v>
      </c>
      <c r="N54" s="235">
        <f t="shared" si="7"/>
        <v>377.87823208151605</v>
      </c>
      <c r="S54" s="508"/>
      <c r="U54" s="522"/>
      <c r="V54" s="523"/>
      <c r="W54" s="523"/>
      <c r="X54" s="523"/>
      <c r="Y54" s="523"/>
      <c r="Z54" s="523"/>
      <c r="AA54" s="523"/>
      <c r="AB54" s="523"/>
      <c r="AC54" s="523"/>
      <c r="AD54" s="523"/>
      <c r="AE54" s="523"/>
      <c r="AF54" s="523"/>
      <c r="AG54" s="523"/>
    </row>
    <row r="55" spans="1:33">
      <c r="A55" s="114"/>
      <c r="C55" s="235"/>
      <c r="D55" s="235"/>
      <c r="E55" s="235"/>
      <c r="F55" s="235"/>
      <c r="G55" s="235"/>
      <c r="H55" s="235"/>
      <c r="I55" s="235"/>
      <c r="J55" s="235"/>
      <c r="K55" s="235"/>
      <c r="L55" s="235"/>
      <c r="M55" s="235"/>
      <c r="N55" s="235"/>
      <c r="S55" s="508"/>
      <c r="U55" s="206"/>
      <c r="V55" s="523"/>
      <c r="W55" s="523"/>
      <c r="X55" s="523"/>
      <c r="Y55" s="523"/>
      <c r="Z55" s="523"/>
      <c r="AA55" s="523"/>
      <c r="AB55" s="523"/>
      <c r="AC55" s="523"/>
      <c r="AD55" s="523"/>
      <c r="AE55" s="523"/>
      <c r="AF55" s="523"/>
      <c r="AG55" s="523"/>
    </row>
    <row r="56" spans="1:33" ht="17.399999999999999">
      <c r="A56" s="147" t="s">
        <v>425</v>
      </c>
      <c r="U56" s="206"/>
      <c r="V56" s="523"/>
      <c r="W56" s="523"/>
      <c r="X56" s="523"/>
      <c r="Y56" s="523"/>
      <c r="Z56" s="523"/>
      <c r="AA56" s="523"/>
      <c r="AB56" s="523"/>
      <c r="AC56" s="523"/>
      <c r="AD56" s="523"/>
      <c r="AE56" s="523"/>
      <c r="AF56" s="523"/>
      <c r="AG56" s="523"/>
    </row>
    <row r="57" spans="1:33" ht="15.6">
      <c r="A57" s="113"/>
      <c r="B57" s="146" t="str">
        <f>"PRIOR - "&amp;MANUAL!$B$9</f>
        <v>PRIOR - 2016</v>
      </c>
      <c r="C57" s="5"/>
      <c r="D57" s="5"/>
      <c r="E57" s="5"/>
      <c r="F57" s="5"/>
      <c r="G57" s="5"/>
      <c r="H57" s="5"/>
      <c r="I57" s="5"/>
      <c r="J57" s="5"/>
      <c r="K57" s="5"/>
      <c r="L57" s="5"/>
      <c r="M57" s="5"/>
      <c r="N57" s="5"/>
      <c r="U57" s="206"/>
      <c r="V57" s="523"/>
      <c r="W57" s="523"/>
      <c r="X57" s="523"/>
      <c r="Y57" s="523"/>
      <c r="Z57" s="523"/>
      <c r="AA57" s="523"/>
      <c r="AB57" s="523"/>
      <c r="AC57" s="523"/>
      <c r="AD57" s="523"/>
      <c r="AE57" s="523"/>
      <c r="AF57" s="523"/>
      <c r="AG57" s="523"/>
    </row>
    <row r="58" spans="1:33" s="12" customFormat="1" ht="15.6">
      <c r="A58" s="111"/>
      <c r="B58" s="149" t="s">
        <v>432</v>
      </c>
      <c r="C58" s="107">
        <f t="shared" ref="C58:N58" si="8">MIN((+C$27/C$18/C13)+C23,C59)</f>
        <v>12494.963979292857</v>
      </c>
      <c r="D58" s="107">
        <f t="shared" si="8"/>
        <v>13450.377764121278</v>
      </c>
      <c r="E58" s="107">
        <f t="shared" si="8"/>
        <v>11588.171856161547</v>
      </c>
      <c r="F58" s="107">
        <f t="shared" si="8"/>
        <v>12659.003021166202</v>
      </c>
      <c r="G58" s="107">
        <f t="shared" si="8"/>
        <v>12770.85510919978</v>
      </c>
      <c r="H58" s="107">
        <f t="shared" si="8"/>
        <v>13626.42045942971</v>
      </c>
      <c r="I58" s="107">
        <f t="shared" si="8"/>
        <v>13284.377539434547</v>
      </c>
      <c r="J58" s="107">
        <f t="shared" si="8"/>
        <v>13293.879132234091</v>
      </c>
      <c r="K58" s="107">
        <f t="shared" si="8"/>
        <v>13485.637979706818</v>
      </c>
      <c r="L58" s="107">
        <f t="shared" si="8"/>
        <v>13114.683509869245</v>
      </c>
      <c r="M58" s="107">
        <f t="shared" si="8"/>
        <v>12995.801509544199</v>
      </c>
      <c r="N58" s="107">
        <f t="shared" si="8"/>
        <v>12736.626121209452</v>
      </c>
      <c r="P58" s="152">
        <f>AVERAGE(C58:N58)</f>
        <v>12958.399831780809</v>
      </c>
      <c r="S58" s="509"/>
      <c r="U58" s="206"/>
      <c r="V58" s="523"/>
      <c r="W58" s="523"/>
      <c r="X58" s="523"/>
      <c r="Y58" s="523"/>
      <c r="Z58" s="523"/>
      <c r="AA58" s="523"/>
      <c r="AB58" s="523"/>
      <c r="AC58" s="523"/>
      <c r="AD58" s="523"/>
      <c r="AE58" s="523"/>
      <c r="AF58" s="523"/>
      <c r="AG58" s="523"/>
    </row>
    <row r="59" spans="1:33" s="12" customFormat="1" ht="15.6">
      <c r="A59" s="111"/>
      <c r="B59" s="149" t="s">
        <v>430</v>
      </c>
      <c r="C59" s="107">
        <f t="shared" ref="C59:N59" si="9">MIN(+C$27/C$18/C14,C60)</f>
        <v>13882.499246296913</v>
      </c>
      <c r="D59" s="107">
        <f t="shared" si="9"/>
        <v>14000.773159565279</v>
      </c>
      <c r="E59" s="107">
        <f t="shared" si="9"/>
        <v>12818.897438564551</v>
      </c>
      <c r="F59" s="107">
        <f t="shared" si="9"/>
        <v>13373.223877575223</v>
      </c>
      <c r="G59" s="107">
        <f t="shared" si="9"/>
        <v>13286.825163414032</v>
      </c>
      <c r="H59" s="107">
        <f t="shared" si="9"/>
        <v>14071.942011800633</v>
      </c>
      <c r="I59" s="107">
        <f t="shared" si="9"/>
        <v>13981.618875897037</v>
      </c>
      <c r="J59" s="107">
        <f t="shared" si="9"/>
        <v>13923.298276555452</v>
      </c>
      <c r="K59" s="107">
        <f t="shared" si="9"/>
        <v>14481.35019877888</v>
      </c>
      <c r="L59" s="107">
        <f t="shared" si="9"/>
        <v>13717.491172576967</v>
      </c>
      <c r="M59" s="107">
        <f t="shared" si="9"/>
        <v>13638.130191244087</v>
      </c>
      <c r="N59" s="107">
        <f t="shared" si="9"/>
        <v>13861.482484814267</v>
      </c>
      <c r="P59" s="152">
        <f>AVERAGE(C59:N59)</f>
        <v>13753.127674756945</v>
      </c>
      <c r="U59" s="206"/>
      <c r="V59" s="524"/>
      <c r="W59" s="524"/>
      <c r="X59" s="524"/>
      <c r="Y59" s="524"/>
      <c r="Z59" s="524"/>
      <c r="AA59" s="524"/>
      <c r="AB59" s="524"/>
      <c r="AC59" s="524"/>
      <c r="AD59" s="524"/>
      <c r="AE59" s="524"/>
      <c r="AF59" s="524"/>
      <c r="AG59" s="524"/>
    </row>
    <row r="60" spans="1:33" s="106" customFormat="1">
      <c r="A60" s="109"/>
      <c r="B60" s="149" t="s">
        <v>133</v>
      </c>
      <c r="C60" s="107">
        <f t="shared" ref="C60:N60" si="10">+C$27/C$18/C15</f>
        <v>17274.55753043744</v>
      </c>
      <c r="D60" s="107">
        <f t="shared" si="10"/>
        <v>17062.979562432509</v>
      </c>
      <c r="E60" s="107">
        <f t="shared" si="10"/>
        <v>15788.46165504622</v>
      </c>
      <c r="F60" s="107">
        <f t="shared" si="10"/>
        <v>16263.719745368575</v>
      </c>
      <c r="G60" s="107">
        <f t="shared" si="10"/>
        <v>16719.536568011245</v>
      </c>
      <c r="H60" s="107">
        <f t="shared" si="10"/>
        <v>17603.025296904932</v>
      </c>
      <c r="I60" s="107">
        <f t="shared" si="10"/>
        <v>17298.340423654157</v>
      </c>
      <c r="J60" s="107">
        <f t="shared" si="10"/>
        <v>17405.608726582705</v>
      </c>
      <c r="K60" s="107">
        <f t="shared" si="10"/>
        <v>17837.940203103299</v>
      </c>
      <c r="L60" s="107">
        <f t="shared" si="10"/>
        <v>16739.165049843221</v>
      </c>
      <c r="M60" s="107">
        <f t="shared" si="10"/>
        <v>16866.196776264263</v>
      </c>
      <c r="N60" s="107">
        <f t="shared" si="10"/>
        <v>17213.125648610538</v>
      </c>
      <c r="P60" s="152">
        <f>AVERAGE(C60:N60)</f>
        <v>17006.054765521589</v>
      </c>
      <c r="U60" s="206"/>
      <c r="V60" s="524"/>
      <c r="W60" s="524"/>
      <c r="X60" s="524"/>
      <c r="Y60" s="524"/>
      <c r="Z60" s="524"/>
      <c r="AA60" s="524"/>
      <c r="AB60" s="524"/>
      <c r="AC60" s="524"/>
      <c r="AD60" s="524"/>
      <c r="AE60" s="524"/>
      <c r="AF60" s="524"/>
      <c r="AG60" s="524"/>
    </row>
    <row r="61" spans="1:33" s="106" customFormat="1" ht="16.5" customHeight="1">
      <c r="A61" s="109"/>
      <c r="B61" s="108"/>
      <c r="C61" s="107"/>
      <c r="D61" s="107"/>
      <c r="E61" s="107"/>
      <c r="F61" s="107"/>
      <c r="G61" s="107"/>
      <c r="H61" s="107"/>
      <c r="I61" s="107"/>
      <c r="J61" s="107"/>
      <c r="K61" s="107"/>
      <c r="L61" s="107"/>
      <c r="M61" s="107"/>
      <c r="N61" s="107"/>
      <c r="U61" s="206"/>
      <c r="V61" s="524"/>
      <c r="W61" s="524"/>
      <c r="X61" s="524"/>
      <c r="Y61" s="524"/>
      <c r="Z61" s="524"/>
      <c r="AA61" s="524"/>
      <c r="AB61" s="524"/>
      <c r="AC61" s="524"/>
      <c r="AD61" s="524"/>
      <c r="AE61" s="524"/>
      <c r="AF61" s="524"/>
      <c r="AG61" s="524"/>
    </row>
    <row r="62" spans="1:33" s="106" customFormat="1" ht="16.5" customHeight="1">
      <c r="A62" s="109"/>
      <c r="B62" s="146" t="str">
        <f>"TEST - "&amp;MANUAL!$B$10</f>
        <v>TEST - 2017</v>
      </c>
      <c r="C62" s="107"/>
      <c r="D62" s="107"/>
      <c r="E62" s="107"/>
      <c r="F62" s="107"/>
      <c r="G62" s="107"/>
      <c r="H62" s="107"/>
      <c r="I62" s="107"/>
      <c r="J62" s="107"/>
      <c r="K62" s="107"/>
      <c r="L62" s="107"/>
      <c r="M62" s="107"/>
      <c r="N62" s="107"/>
      <c r="U62" s="206"/>
      <c r="V62" s="523"/>
      <c r="W62" s="523"/>
      <c r="X62" s="523"/>
      <c r="Y62" s="523"/>
      <c r="Z62" s="523"/>
      <c r="AA62" s="523"/>
      <c r="AB62" s="523"/>
      <c r="AC62" s="523"/>
      <c r="AD62" s="523"/>
      <c r="AE62" s="523"/>
      <c r="AF62" s="523"/>
      <c r="AG62" s="523"/>
    </row>
    <row r="63" spans="1:33" s="106" customFormat="1" ht="16.5" customHeight="1">
      <c r="A63" s="109"/>
      <c r="B63" s="149" t="s">
        <v>432</v>
      </c>
      <c r="C63" s="107">
        <f>C39+C44</f>
        <v>13652.207167938855</v>
      </c>
      <c r="D63" s="107">
        <f t="shared" ref="D63:N63" si="11">D39+D44</f>
        <v>13966.238582213718</v>
      </c>
      <c r="E63" s="107">
        <f t="shared" si="11"/>
        <v>12895.782058481334</v>
      </c>
      <c r="F63" s="107">
        <f t="shared" si="11"/>
        <v>13653.94816517401</v>
      </c>
      <c r="G63" s="107">
        <f t="shared" si="11"/>
        <v>13981.703267041546</v>
      </c>
      <c r="H63" s="107">
        <f t="shared" si="11"/>
        <v>14261.658386714136</v>
      </c>
      <c r="I63" s="107">
        <f t="shared" si="11"/>
        <v>14060.015602793876</v>
      </c>
      <c r="J63" s="107">
        <f t="shared" si="11"/>
        <v>14517.481215724356</v>
      </c>
      <c r="K63" s="107">
        <f t="shared" si="11"/>
        <v>13532.90543943611</v>
      </c>
      <c r="L63" s="107">
        <f t="shared" si="11"/>
        <v>13324.076569427223</v>
      </c>
      <c r="M63" s="107">
        <f t="shared" si="11"/>
        <v>12685.917220739571</v>
      </c>
      <c r="N63" s="107">
        <f t="shared" si="11"/>
        <v>13012.028854087373</v>
      </c>
      <c r="P63" s="152">
        <f>AVERAGE(C63:N63)</f>
        <v>13628.663544147676</v>
      </c>
    </row>
    <row r="64" spans="1:33" s="106" customFormat="1" ht="16.5" customHeight="1">
      <c r="A64" s="109"/>
      <c r="B64" s="149" t="s">
        <v>430</v>
      </c>
      <c r="C64" s="107">
        <f>IF(+C$28/C$19/C14&lt;C63,C63,+C$28/C$19/C14)</f>
        <v>13889.150974322791</v>
      </c>
      <c r="D64" s="107">
        <f t="shared" ref="D64:N64" si="12">IF(+D$28/D$19/D14&lt;D63,D63,+D$28/D$19/D14)</f>
        <v>14438.315939332228</v>
      </c>
      <c r="E64" s="107">
        <f t="shared" si="12"/>
        <v>12895.782058481334</v>
      </c>
      <c r="F64" s="107">
        <f t="shared" si="12"/>
        <v>13653.94816517401</v>
      </c>
      <c r="G64" s="107">
        <f t="shared" si="12"/>
        <v>13981.703267041546</v>
      </c>
      <c r="H64" s="107">
        <f t="shared" si="12"/>
        <v>14261.658386714136</v>
      </c>
      <c r="I64" s="107">
        <f t="shared" si="12"/>
        <v>14060.015602793876</v>
      </c>
      <c r="J64" s="107">
        <f t="shared" si="12"/>
        <v>14517.481215724356</v>
      </c>
      <c r="K64" s="107">
        <f t="shared" si="12"/>
        <v>14397.185208889656</v>
      </c>
      <c r="L64" s="107">
        <f t="shared" si="12"/>
        <v>13664.465406347614</v>
      </c>
      <c r="M64" s="107">
        <f t="shared" si="12"/>
        <v>13594.845800257863</v>
      </c>
      <c r="N64" s="107">
        <f t="shared" si="12"/>
        <v>13802.147984461857</v>
      </c>
      <c r="P64" s="152">
        <f>AVERAGE(C64:N64)</f>
        <v>13929.725000795106</v>
      </c>
    </row>
    <row r="65" spans="1:33" s="106" customFormat="1" ht="16.5" customHeight="1">
      <c r="A65" s="109"/>
      <c r="B65" s="149" t="s">
        <v>133</v>
      </c>
      <c r="C65" s="107">
        <f>IF(+C$28/C$19/C15&lt;C64,C64,+C$28/C$19/C15)</f>
        <v>17282.834545722744</v>
      </c>
      <c r="D65" s="107">
        <f t="shared" ref="D65:N65" si="13">IF(+D$28/D$19/D15&lt;D64,D64,+D$28/D$19/D15)</f>
        <v>17596.220364477271</v>
      </c>
      <c r="E65" s="107">
        <f t="shared" si="13"/>
        <v>15702.707558153619</v>
      </c>
      <c r="F65" s="107">
        <f t="shared" si="13"/>
        <v>16241.580726507063</v>
      </c>
      <c r="G65" s="107">
        <f t="shared" si="13"/>
        <v>16637.102910716356</v>
      </c>
      <c r="H65" s="107">
        <f t="shared" si="13"/>
        <v>17520.463002891</v>
      </c>
      <c r="I65" s="107">
        <f t="shared" si="13"/>
        <v>17208.942905055224</v>
      </c>
      <c r="J65" s="107">
        <f t="shared" si="13"/>
        <v>17321.857737646511</v>
      </c>
      <c r="K65" s="107">
        <f t="shared" si="13"/>
        <v>17734.266855229602</v>
      </c>
      <c r="L65" s="107">
        <f t="shared" si="13"/>
        <v>16674.458826114642</v>
      </c>
      <c r="M65" s="107">
        <f t="shared" si="13"/>
        <v>16812.66722012444</v>
      </c>
      <c r="N65" s="107">
        <f t="shared" si="13"/>
        <v>17139.444337034918</v>
      </c>
      <c r="P65" s="152">
        <f>AVERAGE(C65:N65)</f>
        <v>16989.378915806115</v>
      </c>
    </row>
    <row r="66" spans="1:33" s="106" customFormat="1" ht="16.5" customHeight="1">
      <c r="A66" s="109"/>
      <c r="B66" s="149" t="s">
        <v>158</v>
      </c>
      <c r="C66" s="499">
        <f>C28/C19/C63</f>
        <v>0.86546100653503988</v>
      </c>
      <c r="D66" s="499">
        <f t="shared" ref="D66:N66" si="14">D28/D19/D63</f>
        <v>0.86331053432040228</v>
      </c>
      <c r="E66" s="499">
        <f t="shared" si="14"/>
        <v>0.83839824729032864</v>
      </c>
      <c r="F66" s="499">
        <f t="shared" si="14"/>
        <v>0.82086523643588549</v>
      </c>
      <c r="G66" s="499">
        <f t="shared" si="14"/>
        <v>0.80398766307550396</v>
      </c>
      <c r="H66" s="499">
        <f t="shared" si="14"/>
        <v>0.83499843966909737</v>
      </c>
      <c r="I66" s="499">
        <f t="shared" si="14"/>
        <v>0.8388647599053547</v>
      </c>
      <c r="J66" s="499">
        <f t="shared" si="14"/>
        <v>0.81466420628241543</v>
      </c>
      <c r="K66" s="499">
        <f t="shared" si="14"/>
        <v>0.89987923214683962</v>
      </c>
      <c r="L66" s="499">
        <f t="shared" si="14"/>
        <v>0.85802845460895216</v>
      </c>
      <c r="M66" s="499">
        <f t="shared" si="14"/>
        <v>0.89714508894374068</v>
      </c>
      <c r="N66" s="499">
        <f t="shared" si="14"/>
        <v>0.89211941752681501</v>
      </c>
      <c r="P66" s="152"/>
    </row>
    <row r="67" spans="1:33" s="106" customFormat="1" ht="16.5" customHeight="1">
      <c r="A67" s="109"/>
      <c r="B67" s="149" t="s">
        <v>988</v>
      </c>
      <c r="C67" s="499">
        <f>C28/C19/C64</f>
        <v>0.85069656013047601</v>
      </c>
      <c r="D67" s="499">
        <f t="shared" ref="D67:N67" si="15">D28/D19/D64</f>
        <v>0.83508360279133698</v>
      </c>
      <c r="E67" s="499">
        <f t="shared" si="15"/>
        <v>0.83839824729032864</v>
      </c>
      <c r="F67" s="499">
        <f t="shared" si="15"/>
        <v>0.82086523643588549</v>
      </c>
      <c r="G67" s="499">
        <f t="shared" si="15"/>
        <v>0.80398766307550396</v>
      </c>
      <c r="H67" s="499">
        <f t="shared" si="15"/>
        <v>0.83499843966909737</v>
      </c>
      <c r="I67" s="499">
        <f t="shared" si="15"/>
        <v>0.8388647599053547</v>
      </c>
      <c r="J67" s="499">
        <f t="shared" si="15"/>
        <v>0.81466420628241543</v>
      </c>
      <c r="K67" s="499">
        <f t="shared" si="15"/>
        <v>0.84585843544168382</v>
      </c>
      <c r="L67" s="499">
        <f t="shared" si="15"/>
        <v>0.83665452602677237</v>
      </c>
      <c r="M67" s="499">
        <f t="shared" si="15"/>
        <v>0.83716347360978971</v>
      </c>
      <c r="N67" s="499">
        <f t="shared" si="15"/>
        <v>0.84104906100259735</v>
      </c>
      <c r="P67" s="152"/>
    </row>
    <row r="68" spans="1:33" s="106" customFormat="1" ht="16.5" customHeight="1">
      <c r="A68" s="109"/>
      <c r="B68" s="149" t="s">
        <v>150</v>
      </c>
      <c r="C68" s="499">
        <f>C28/C19/C65</f>
        <v>0.68365249494987523</v>
      </c>
      <c r="D68" s="499">
        <f t="shared" ref="D68:N68" si="16">D28/D19/D65</f>
        <v>0.68521538393539694</v>
      </c>
      <c r="E68" s="499">
        <f t="shared" si="16"/>
        <v>0.68853100875936502</v>
      </c>
      <c r="F68" s="499">
        <f t="shared" si="16"/>
        <v>0.69008377802763954</v>
      </c>
      <c r="G68" s="499">
        <f t="shared" si="16"/>
        <v>0.67566552877684005</v>
      </c>
      <c r="H68" s="499">
        <f t="shared" si="16"/>
        <v>0.67968880149086353</v>
      </c>
      <c r="I68" s="499">
        <f t="shared" si="16"/>
        <v>0.68536758346955395</v>
      </c>
      <c r="J68" s="499">
        <f t="shared" si="16"/>
        <v>0.68277158783748637</v>
      </c>
      <c r="K68" s="499">
        <f t="shared" si="16"/>
        <v>0.68669207782696862</v>
      </c>
      <c r="L68" s="499">
        <f t="shared" si="16"/>
        <v>0.68562565940983466</v>
      </c>
      <c r="M68" s="499">
        <f t="shared" si="16"/>
        <v>0.67693651366098329</v>
      </c>
      <c r="N68" s="499">
        <f t="shared" si="16"/>
        <v>0.67728471086237918</v>
      </c>
      <c r="P68" s="152"/>
      <c r="V68" s="539"/>
      <c r="W68" s="539"/>
      <c r="X68" s="539"/>
      <c r="Y68" s="539"/>
      <c r="Z68" s="539"/>
      <c r="AA68" s="539"/>
      <c r="AB68" s="539"/>
      <c r="AC68" s="539"/>
      <c r="AD68" s="539"/>
      <c r="AE68" s="539"/>
      <c r="AF68" s="539"/>
      <c r="AG68" s="539"/>
    </row>
    <row r="69" spans="1:33" s="106" customFormat="1" ht="16.5" customHeight="1">
      <c r="A69" s="109"/>
      <c r="B69" s="149"/>
      <c r="C69" s="107"/>
      <c r="D69" s="107"/>
      <c r="E69" s="107"/>
      <c r="F69" s="107"/>
      <c r="G69" s="107"/>
      <c r="H69" s="107"/>
      <c r="I69" s="107"/>
      <c r="J69" s="107"/>
      <c r="K69" s="107"/>
      <c r="L69" s="107"/>
      <c r="M69" s="107"/>
      <c r="N69" s="107"/>
      <c r="P69" s="152"/>
      <c r="V69" s="539"/>
      <c r="W69" s="539"/>
      <c r="X69" s="539"/>
      <c r="Y69" s="539"/>
      <c r="Z69" s="539"/>
      <c r="AA69" s="539"/>
      <c r="AB69" s="539"/>
      <c r="AC69" s="539"/>
      <c r="AD69" s="539"/>
      <c r="AE69" s="539"/>
      <c r="AF69" s="539"/>
      <c r="AG69" s="539"/>
    </row>
    <row r="70" spans="1:33" s="106" customFormat="1" ht="16.5" customHeight="1">
      <c r="A70" s="109"/>
      <c r="B70" s="146" t="str">
        <f>"SUBSEQUENT - "&amp;MANUAL!$B$11</f>
        <v>SUBSEQUENT - 2018</v>
      </c>
      <c r="C70" s="107"/>
      <c r="D70" s="107"/>
      <c r="E70" s="107"/>
      <c r="F70" s="107"/>
      <c r="G70" s="107"/>
      <c r="H70" s="107"/>
      <c r="I70" s="107"/>
      <c r="J70" s="107"/>
      <c r="K70" s="107"/>
      <c r="L70" s="107"/>
      <c r="M70" s="107"/>
      <c r="N70" s="107"/>
      <c r="V70" s="539"/>
      <c r="W70" s="539"/>
      <c r="X70" s="539"/>
      <c r="Y70" s="539"/>
      <c r="Z70" s="539"/>
      <c r="AA70" s="539"/>
      <c r="AB70" s="539"/>
      <c r="AC70" s="539"/>
      <c r="AD70" s="539"/>
      <c r="AE70" s="539"/>
      <c r="AF70" s="539"/>
      <c r="AG70" s="539"/>
    </row>
    <row r="71" spans="1:33" s="106" customFormat="1" ht="16.5" customHeight="1">
      <c r="A71" s="109"/>
      <c r="B71" s="149" t="s">
        <v>432</v>
      </c>
      <c r="C71" s="107">
        <f>C49+C54</f>
        <v>13720.296068439491</v>
      </c>
      <c r="D71" s="107">
        <f t="shared" ref="D71:N71" si="17">D49+D54</f>
        <v>14060.789784890174</v>
      </c>
      <c r="E71" s="107">
        <f t="shared" si="17"/>
        <v>12967.781719779785</v>
      </c>
      <c r="F71" s="107">
        <f t="shared" si="17"/>
        <v>13712.655918622437</v>
      </c>
      <c r="G71" s="107">
        <f t="shared" si="17"/>
        <v>14030.841019289326</v>
      </c>
      <c r="H71" s="107">
        <f t="shared" si="17"/>
        <v>14319.676838183637</v>
      </c>
      <c r="I71" s="107">
        <f t="shared" si="17"/>
        <v>14119.258489668797</v>
      </c>
      <c r="J71" s="107">
        <f t="shared" si="17"/>
        <v>14605.193285210538</v>
      </c>
      <c r="K71" s="107">
        <f t="shared" si="17"/>
        <v>13577.49940013334</v>
      </c>
      <c r="L71" s="107">
        <f t="shared" si="17"/>
        <v>13381.881340895996</v>
      </c>
      <c r="M71" s="107">
        <f t="shared" si="17"/>
        <v>12740.195131787899</v>
      </c>
      <c r="N71" s="107">
        <f t="shared" si="17"/>
        <v>13060.274113905869</v>
      </c>
      <c r="O71" s="107"/>
      <c r="P71" s="152">
        <f>AVERAGE(C71:N71)</f>
        <v>13691.361925900606</v>
      </c>
      <c r="U71" s="206"/>
      <c r="V71" s="523"/>
      <c r="W71" s="523"/>
      <c r="X71" s="523"/>
      <c r="Y71" s="523"/>
      <c r="Z71" s="523"/>
      <c r="AA71" s="523"/>
      <c r="AB71" s="523"/>
      <c r="AC71" s="523"/>
      <c r="AD71" s="523"/>
      <c r="AE71" s="523"/>
      <c r="AF71" s="523"/>
      <c r="AG71" s="523"/>
    </row>
    <row r="72" spans="1:33" s="106" customFormat="1" ht="16.5" customHeight="1">
      <c r="A72" s="109"/>
      <c r="B72" s="149" t="s">
        <v>430</v>
      </c>
      <c r="C72" s="107">
        <f>MAX(+C$29/C$19/C14,C71)</f>
        <v>13833.696734357884</v>
      </c>
      <c r="D72" s="107">
        <f t="shared" ref="D72:N72" si="18">MAX(+D$29/D$19/D14,D71)</f>
        <v>14411.759217036153</v>
      </c>
      <c r="E72" s="107">
        <f t="shared" si="18"/>
        <v>12967.781719779785</v>
      </c>
      <c r="F72" s="107">
        <f t="shared" si="18"/>
        <v>13712.655918622437</v>
      </c>
      <c r="G72" s="107">
        <f t="shared" si="18"/>
        <v>14030.841019289326</v>
      </c>
      <c r="H72" s="107">
        <f t="shared" si="18"/>
        <v>14319.676838183637</v>
      </c>
      <c r="I72" s="107">
        <f t="shared" si="18"/>
        <v>14119.258489668797</v>
      </c>
      <c r="J72" s="107">
        <f t="shared" si="18"/>
        <v>14605.193285210538</v>
      </c>
      <c r="K72" s="107">
        <f t="shared" si="18"/>
        <v>14364.829847272595</v>
      </c>
      <c r="L72" s="107">
        <f t="shared" si="18"/>
        <v>13648.340959544084</v>
      </c>
      <c r="M72" s="107">
        <f t="shared" si="18"/>
        <v>13587.599107278642</v>
      </c>
      <c r="N72" s="107">
        <f t="shared" si="18"/>
        <v>13802.462811454141</v>
      </c>
      <c r="O72" s="107"/>
      <c r="P72" s="152">
        <f>AVERAGE(C72:N72)</f>
        <v>13950.341328974833</v>
      </c>
      <c r="U72" s="206"/>
      <c r="V72" s="523"/>
      <c r="W72" s="523"/>
      <c r="X72" s="523"/>
      <c r="Y72" s="523"/>
      <c r="Z72" s="523"/>
      <c r="AA72" s="523"/>
      <c r="AB72" s="523"/>
      <c r="AC72" s="523"/>
      <c r="AD72" s="523"/>
      <c r="AE72" s="523"/>
      <c r="AF72" s="523"/>
      <c r="AG72" s="523"/>
    </row>
    <row r="73" spans="1:33" s="106" customFormat="1" ht="16.5" customHeight="1">
      <c r="A73" s="109"/>
      <c r="B73" s="149" t="s">
        <v>133</v>
      </c>
      <c r="C73" s="107">
        <f>MAX(+C$29/C$15/C20,C72)</f>
        <v>17213.830583137551</v>
      </c>
      <c r="D73" s="107">
        <f t="shared" ref="D73:N73" si="19">MAX(+D$29/D$15/D20,D72)</f>
        <v>17563.855236879048</v>
      </c>
      <c r="E73" s="107">
        <f t="shared" si="19"/>
        <v>15693.132474603843</v>
      </c>
      <c r="F73" s="107">
        <f t="shared" si="19"/>
        <v>16247.407313743797</v>
      </c>
      <c r="G73" s="107">
        <f t="shared" si="19"/>
        <v>16632.217245948472</v>
      </c>
      <c r="H73" s="107">
        <f t="shared" si="19"/>
        <v>17509.081160062131</v>
      </c>
      <c r="I73" s="107">
        <f t="shared" si="19"/>
        <v>17191.716453297566</v>
      </c>
      <c r="J73" s="107">
        <f t="shared" si="19"/>
        <v>17297.776178609831</v>
      </c>
      <c r="K73" s="107">
        <f t="shared" si="19"/>
        <v>17694.411938536574</v>
      </c>
      <c r="L73" s="107">
        <f t="shared" si="19"/>
        <v>16654.782503893177</v>
      </c>
      <c r="M73" s="107">
        <f t="shared" si="19"/>
        <v>16803.705276804441</v>
      </c>
      <c r="N73" s="107">
        <f t="shared" si="19"/>
        <v>17139.835287756217</v>
      </c>
      <c r="O73" s="107"/>
      <c r="P73" s="152">
        <f>AVERAGE(C73:N73)</f>
        <v>16970.145971106056</v>
      </c>
      <c r="U73" s="206"/>
      <c r="V73" s="523"/>
      <c r="W73" s="523"/>
      <c r="X73" s="523"/>
      <c r="Y73" s="523"/>
      <c r="Z73" s="523"/>
      <c r="AA73" s="523"/>
      <c r="AB73" s="523"/>
      <c r="AC73" s="523"/>
      <c r="AD73" s="523"/>
      <c r="AE73" s="523"/>
      <c r="AF73" s="523"/>
      <c r="AG73" s="523"/>
    </row>
    <row r="74" spans="1:33" s="106" customFormat="1" ht="16.5" customHeight="1">
      <c r="A74" s="109"/>
      <c r="B74" s="149" t="s">
        <v>158</v>
      </c>
      <c r="C74" s="499">
        <f>C29/C20/C71</f>
        <v>0.85772771717927965</v>
      </c>
      <c r="D74" s="499">
        <f t="shared" ref="D74:N74" si="20">D29/D20/D71</f>
        <v>0.85592800928271695</v>
      </c>
      <c r="E74" s="499">
        <f t="shared" si="20"/>
        <v>0.83323490222326357</v>
      </c>
      <c r="F74" s="499">
        <f t="shared" si="20"/>
        <v>0.81764410109610475</v>
      </c>
      <c r="G74" s="499">
        <f t="shared" si="20"/>
        <v>0.80093672537273597</v>
      </c>
      <c r="H74" s="499">
        <f t="shared" si="20"/>
        <v>0.83107506708219969</v>
      </c>
      <c r="I74" s="499">
        <f t="shared" si="20"/>
        <v>0.83450877890732023</v>
      </c>
      <c r="J74" s="499">
        <f t="shared" si="20"/>
        <v>0.80864593003957841</v>
      </c>
      <c r="K74" s="499">
        <f t="shared" si="20"/>
        <v>0.89490797546127476</v>
      </c>
      <c r="L74" s="499">
        <f t="shared" si="20"/>
        <v>0.8533139657771448</v>
      </c>
      <c r="M74" s="499">
        <f t="shared" si="20"/>
        <v>0.89284673813864468</v>
      </c>
      <c r="N74" s="499">
        <f t="shared" si="20"/>
        <v>0.8888441609917378</v>
      </c>
      <c r="O74" s="107"/>
      <c r="P74" s="152"/>
      <c r="U74" s="206"/>
      <c r="V74" s="523"/>
      <c r="W74" s="523"/>
      <c r="X74" s="523"/>
      <c r="Y74" s="523"/>
      <c r="Z74" s="523"/>
      <c r="AA74" s="523"/>
      <c r="AB74" s="523"/>
      <c r="AC74" s="523"/>
      <c r="AD74" s="523"/>
      <c r="AE74" s="523"/>
      <c r="AF74" s="523"/>
      <c r="AG74" s="523"/>
    </row>
    <row r="75" spans="1:33" s="106" customFormat="1" ht="16.5" customHeight="1">
      <c r="A75" s="109"/>
      <c r="B75" s="149" t="s">
        <v>988</v>
      </c>
      <c r="C75" s="499">
        <f>C29/C20/C72</f>
        <v>0.85069656013047601</v>
      </c>
      <c r="D75" s="499">
        <f t="shared" ref="D75:N75" si="21">D29/D20/D72</f>
        <v>0.83508360279133698</v>
      </c>
      <c r="E75" s="499">
        <f t="shared" si="21"/>
        <v>0.83323490222326357</v>
      </c>
      <c r="F75" s="499">
        <f t="shared" si="21"/>
        <v>0.81764410109610475</v>
      </c>
      <c r="G75" s="499">
        <f t="shared" si="21"/>
        <v>0.80093672537273597</v>
      </c>
      <c r="H75" s="499">
        <f t="shared" si="21"/>
        <v>0.83107506708219969</v>
      </c>
      <c r="I75" s="499">
        <f t="shared" si="21"/>
        <v>0.83450877890732023</v>
      </c>
      <c r="J75" s="499">
        <f t="shared" si="21"/>
        <v>0.80864593003957841</v>
      </c>
      <c r="K75" s="499">
        <f t="shared" si="21"/>
        <v>0.84585843544168382</v>
      </c>
      <c r="L75" s="499">
        <f t="shared" si="21"/>
        <v>0.83665452602677237</v>
      </c>
      <c r="M75" s="499">
        <f t="shared" si="21"/>
        <v>0.83716347360978971</v>
      </c>
      <c r="N75" s="499">
        <f t="shared" si="21"/>
        <v>0.84104906100259735</v>
      </c>
      <c r="O75" s="107"/>
      <c r="P75" s="152"/>
      <c r="U75" s="206"/>
      <c r="V75" s="524"/>
      <c r="W75" s="524"/>
      <c r="X75" s="524"/>
      <c r="Y75" s="524"/>
      <c r="Z75" s="524"/>
      <c r="AA75" s="524"/>
      <c r="AB75" s="524"/>
      <c r="AC75" s="524"/>
      <c r="AD75" s="524"/>
      <c r="AE75" s="524"/>
      <c r="AF75" s="524"/>
      <c r="AG75" s="524"/>
    </row>
    <row r="76" spans="1:33" s="106" customFormat="1" ht="16.5" customHeight="1">
      <c r="A76" s="109"/>
      <c r="B76" s="149" t="s">
        <v>150</v>
      </c>
      <c r="C76" s="499">
        <f>C29/C20/C73</f>
        <v>0.68365249494987512</v>
      </c>
      <c r="D76" s="499">
        <f t="shared" ref="D76:N76" si="22">D29/D20/D73</f>
        <v>0.68521538393539694</v>
      </c>
      <c r="E76" s="499">
        <f t="shared" si="22"/>
        <v>0.68853100875936502</v>
      </c>
      <c r="F76" s="499">
        <f t="shared" si="22"/>
        <v>0.69008377802763965</v>
      </c>
      <c r="G76" s="499">
        <f t="shared" si="22"/>
        <v>0.67566552877684016</v>
      </c>
      <c r="H76" s="499">
        <f t="shared" si="22"/>
        <v>0.67968880149086353</v>
      </c>
      <c r="I76" s="499">
        <f t="shared" si="22"/>
        <v>0.68536758346955384</v>
      </c>
      <c r="J76" s="499">
        <f t="shared" si="22"/>
        <v>0.68277158783748637</v>
      </c>
      <c r="K76" s="499">
        <f t="shared" si="22"/>
        <v>0.68669207782696862</v>
      </c>
      <c r="L76" s="499">
        <f t="shared" si="22"/>
        <v>0.68562565940983478</v>
      </c>
      <c r="M76" s="499">
        <f t="shared" si="22"/>
        <v>0.67693651366098329</v>
      </c>
      <c r="N76" s="499">
        <f t="shared" si="22"/>
        <v>0.67728471086237929</v>
      </c>
      <c r="O76" s="107"/>
      <c r="P76" s="152"/>
      <c r="U76" s="206"/>
      <c r="V76" s="524"/>
      <c r="W76" s="524"/>
      <c r="X76" s="524"/>
      <c r="Y76" s="524"/>
      <c r="Z76" s="524"/>
      <c r="AA76" s="524"/>
      <c r="AB76" s="524"/>
      <c r="AC76" s="524"/>
      <c r="AD76" s="524"/>
      <c r="AE76" s="524"/>
      <c r="AF76" s="524"/>
      <c r="AG76" s="524"/>
    </row>
    <row r="77" spans="1:33" s="106" customFormat="1" ht="16.5" customHeight="1">
      <c r="A77" s="109"/>
      <c r="B77" s="149"/>
      <c r="C77" s="107"/>
      <c r="D77" s="107"/>
      <c r="E77" s="107"/>
      <c r="F77" s="107"/>
      <c r="G77" s="107"/>
      <c r="H77" s="107"/>
      <c r="I77" s="107"/>
      <c r="J77" s="107"/>
      <c r="K77" s="107"/>
      <c r="L77" s="107"/>
      <c r="M77" s="107"/>
      <c r="N77" s="107"/>
      <c r="P77" s="152"/>
      <c r="U77" s="206"/>
      <c r="V77" s="524"/>
      <c r="W77" s="524"/>
      <c r="X77" s="524"/>
      <c r="Y77" s="524"/>
      <c r="Z77" s="524"/>
      <c r="AA77" s="524"/>
      <c r="AB77" s="524"/>
      <c r="AC77" s="524"/>
      <c r="AD77" s="524"/>
      <c r="AE77" s="524"/>
      <c r="AF77" s="524"/>
      <c r="AG77" s="524"/>
    </row>
    <row r="78" spans="1:33" ht="13.2">
      <c r="A78" s="42" t="s">
        <v>116</v>
      </c>
      <c r="C78" s="105"/>
      <c r="U78" s="206"/>
      <c r="V78" s="523"/>
      <c r="W78" s="523"/>
      <c r="X78" s="523"/>
      <c r="Y78" s="523"/>
      <c r="Z78" s="523"/>
      <c r="AA78" s="523"/>
      <c r="AB78" s="523"/>
      <c r="AC78" s="523"/>
      <c r="AD78" s="523"/>
      <c r="AE78" s="523"/>
      <c r="AF78" s="523"/>
      <c r="AG78" s="523"/>
    </row>
    <row r="79" spans="1:33" ht="13.2">
      <c r="A79"/>
      <c r="B79" s="10" t="s">
        <v>338</v>
      </c>
      <c r="C79" s="105"/>
      <c r="D79" s="105"/>
      <c r="E79" s="105"/>
      <c r="F79" s="105"/>
      <c r="G79" s="105"/>
      <c r="H79" s="105"/>
      <c r="I79" s="105"/>
      <c r="J79" s="105"/>
      <c r="K79" s="105"/>
      <c r="L79" s="105"/>
      <c r="M79" s="105"/>
      <c r="N79" s="105"/>
    </row>
    <row r="80" spans="1:33" ht="13.2">
      <c r="A80"/>
      <c r="B80" s="81" t="s">
        <v>426</v>
      </c>
      <c r="V80" s="44"/>
      <c r="W80" s="44"/>
      <c r="X80" s="44"/>
      <c r="Y80" s="44"/>
      <c r="Z80" s="44"/>
      <c r="AA80" s="44"/>
      <c r="AB80" s="44"/>
      <c r="AC80" s="44"/>
      <c r="AD80" s="44"/>
      <c r="AE80" s="44"/>
      <c r="AF80" s="44"/>
      <c r="AG80" s="44"/>
    </row>
    <row r="81" spans="1:33" ht="13.2">
      <c r="A81"/>
      <c r="B81" s="125" t="s">
        <v>431</v>
      </c>
      <c r="C81" s="104"/>
      <c r="V81" s="534"/>
      <c r="W81" s="534"/>
      <c r="X81" s="534"/>
      <c r="Y81" s="534"/>
      <c r="Z81" s="534"/>
      <c r="AA81" s="534"/>
      <c r="AB81" s="534"/>
      <c r="AC81" s="534"/>
      <c r="AD81" s="534"/>
      <c r="AE81" s="534"/>
      <c r="AF81" s="534"/>
      <c r="AG81" s="534"/>
    </row>
    <row r="82" spans="1:33" ht="13.2">
      <c r="A82"/>
      <c r="B82" s="153" t="s">
        <v>435</v>
      </c>
      <c r="E82" s="88"/>
      <c r="V82" s="534"/>
      <c r="W82" s="534"/>
      <c r="X82" s="534"/>
      <c r="Y82" s="534"/>
      <c r="Z82" s="534"/>
      <c r="AA82" s="534"/>
      <c r="AB82" s="534"/>
      <c r="AC82" s="534"/>
      <c r="AD82" s="534"/>
      <c r="AE82" s="534"/>
      <c r="AF82" s="534"/>
      <c r="AG82" s="534"/>
    </row>
    <row r="83" spans="1:33" ht="14.25" customHeight="1">
      <c r="A83"/>
      <c r="B83" t="s">
        <v>433</v>
      </c>
      <c r="C83" s="98"/>
      <c r="D83" s="98"/>
      <c r="E83" s="98"/>
      <c r="F83" s="98"/>
      <c r="G83" s="98"/>
      <c r="H83" s="98"/>
      <c r="I83" s="98"/>
      <c r="J83" s="98"/>
      <c r="K83" s="98"/>
      <c r="L83" s="98"/>
      <c r="M83" s="98"/>
      <c r="N83" s="98"/>
      <c r="V83" s="534"/>
      <c r="W83" s="534"/>
      <c r="X83" s="534"/>
      <c r="Y83" s="534"/>
      <c r="Z83" s="534"/>
      <c r="AA83" s="534"/>
      <c r="AB83" s="534"/>
      <c r="AC83" s="534"/>
      <c r="AD83" s="534"/>
      <c r="AE83" s="534"/>
      <c r="AF83" s="534"/>
      <c r="AG83" s="534"/>
    </row>
    <row r="84" spans="1:33">
      <c r="B84" s="10" t="s">
        <v>534</v>
      </c>
      <c r="E84" s="10"/>
      <c r="V84" s="534"/>
      <c r="W84" s="534"/>
      <c r="X84" s="534"/>
      <c r="Y84" s="534"/>
      <c r="Z84" s="534"/>
      <c r="AA84" s="534"/>
      <c r="AB84" s="534"/>
      <c r="AC84" s="534"/>
      <c r="AD84" s="534"/>
      <c r="AE84" s="534"/>
      <c r="AF84" s="534"/>
      <c r="AG84" s="534"/>
    </row>
    <row r="85" spans="1:33" ht="15.6" thickBot="1">
      <c r="B85" s="10"/>
      <c r="E85" s="10"/>
      <c r="V85" s="534"/>
      <c r="W85" s="534"/>
      <c r="X85" s="534"/>
      <c r="Y85" s="534"/>
      <c r="Z85" s="534"/>
      <c r="AA85" s="534"/>
      <c r="AB85" s="534"/>
      <c r="AC85" s="534"/>
      <c r="AD85" s="534"/>
      <c r="AE85" s="534"/>
      <c r="AF85" s="534"/>
      <c r="AG85" s="534"/>
    </row>
    <row r="86" spans="1:33" ht="15.6" thickBot="1">
      <c r="C86" s="102" t="s">
        <v>79</v>
      </c>
      <c r="D86" s="101" t="s">
        <v>80</v>
      </c>
      <c r="E86" s="100" t="s">
        <v>81</v>
      </c>
      <c r="F86" s="100" t="s">
        <v>70</v>
      </c>
      <c r="G86" s="100" t="s">
        <v>71</v>
      </c>
      <c r="H86" s="101" t="s">
        <v>72</v>
      </c>
      <c r="I86" s="102" t="s">
        <v>73</v>
      </c>
      <c r="J86" s="102" t="s">
        <v>74</v>
      </c>
      <c r="K86" s="103" t="s">
        <v>75</v>
      </c>
      <c r="L86" s="103" t="s">
        <v>76</v>
      </c>
      <c r="M86" s="103" t="s">
        <v>77</v>
      </c>
      <c r="N86" s="103" t="s">
        <v>78</v>
      </c>
    </row>
    <row r="87" spans="1:33">
      <c r="B87" s="43" t="s">
        <v>547</v>
      </c>
      <c r="C87" s="145">
        <f>VLOOKUP($B$9&amp;" Total",'Billing Demand'!$A$5:$AL$44,C$9,FALSE)</f>
        <v>17888</v>
      </c>
      <c r="D87" s="145">
        <f>VLOOKUP($B$9&amp;" Total",'Billing Demand'!$A$5:$AL$44,D$9,FALSE)</f>
        <v>17916</v>
      </c>
      <c r="E87" s="145">
        <f>VLOOKUP($B$9&amp;" Total",'Billing Demand'!$A$5:$AL$44,E$9,FALSE)</f>
        <v>18379</v>
      </c>
      <c r="F87" s="145">
        <f>VLOOKUP($B$9&amp;" Total",'Billing Demand'!$A$5:$AL$44,F$9,FALSE)</f>
        <v>17453</v>
      </c>
      <c r="G87" s="145">
        <f>VLOOKUP($B$9&amp;" Total",'Billing Demand'!$A$5:$AL$44,G$9,FALSE)</f>
        <v>17291</v>
      </c>
      <c r="H87" s="145">
        <f>VLOOKUP($B$9&amp;" Total",'Billing Demand'!$A$5:$AL$44,H$9,FALSE)</f>
        <v>17782</v>
      </c>
      <c r="I87" s="145">
        <f>VLOOKUP($B$9&amp;" Total",'Billing Demand'!$A$5:$AL$44,I$9,FALSE)</f>
        <v>18194</v>
      </c>
      <c r="J87" s="145">
        <f>VLOOKUP($B$9&amp;" Total",'Billing Demand'!$A$5:$AL$44,J$9,FALSE)</f>
        <v>17984</v>
      </c>
      <c r="K87" s="145">
        <f>VLOOKUP($B$9&amp;" Total",'Billing Demand'!$A$5:$AL$44,K$9,FALSE)</f>
        <v>16628</v>
      </c>
      <c r="L87" s="145">
        <f>VLOOKUP($B$9&amp;" Total",'Billing Demand'!$A$5:$AL$44,L$9,FALSE)</f>
        <v>17844</v>
      </c>
      <c r="M87" s="145">
        <f>VLOOKUP($B$9&amp;" Total",'Billing Demand'!$A$5:$AL$44,M$9,FALSE)</f>
        <v>17752</v>
      </c>
      <c r="N87" s="145">
        <f>VLOOKUP($B$9&amp;" Total",'Billing Demand'!$A$5:$AL$44,N$9,FALSE)</f>
        <v>18172</v>
      </c>
    </row>
    <row r="88" spans="1:33">
      <c r="B88" s="239" t="s">
        <v>548</v>
      </c>
      <c r="C88" s="235">
        <f t="shared" ref="C88:N88" si="23">+C60</f>
        <v>17274.55753043744</v>
      </c>
      <c r="D88" s="235">
        <f t="shared" si="23"/>
        <v>17062.979562432509</v>
      </c>
      <c r="E88" s="235">
        <f t="shared" si="23"/>
        <v>15788.46165504622</v>
      </c>
      <c r="F88" s="235">
        <f t="shared" si="23"/>
        <v>16263.719745368575</v>
      </c>
      <c r="G88" s="235">
        <f t="shared" si="23"/>
        <v>16719.536568011245</v>
      </c>
      <c r="H88" s="235">
        <f t="shared" si="23"/>
        <v>17603.025296904932</v>
      </c>
      <c r="I88" s="235">
        <f t="shared" si="23"/>
        <v>17298.340423654157</v>
      </c>
      <c r="J88" s="235">
        <f t="shared" si="23"/>
        <v>17405.608726582705</v>
      </c>
      <c r="K88" s="235">
        <f t="shared" si="23"/>
        <v>17837.940203103299</v>
      </c>
      <c r="L88" s="235">
        <f t="shared" si="23"/>
        <v>16739.165049843221</v>
      </c>
      <c r="M88" s="235">
        <f t="shared" si="23"/>
        <v>16866.196776264263</v>
      </c>
      <c r="N88" s="235">
        <f t="shared" si="23"/>
        <v>17213.125648610538</v>
      </c>
    </row>
    <row r="89" spans="1:33">
      <c r="B89" s="45" t="s">
        <v>535</v>
      </c>
      <c r="C89" s="236" t="str">
        <f>IF(C87&gt;=C88,"OK","ERROR")</f>
        <v>OK</v>
      </c>
      <c r="D89" s="236" t="str">
        <f t="shared" ref="D89:N89" si="24">IF(D87&gt;=D88,"OK","ERROR")</f>
        <v>OK</v>
      </c>
      <c r="E89" s="236" t="str">
        <f t="shared" si="24"/>
        <v>OK</v>
      </c>
      <c r="F89" s="236" t="str">
        <f t="shared" si="24"/>
        <v>OK</v>
      </c>
      <c r="G89" s="236" t="str">
        <f t="shared" si="24"/>
        <v>OK</v>
      </c>
      <c r="H89" s="236" t="str">
        <f t="shared" si="24"/>
        <v>OK</v>
      </c>
      <c r="I89" s="236" t="str">
        <f t="shared" si="24"/>
        <v>OK</v>
      </c>
      <c r="J89" s="236" t="str">
        <f t="shared" si="24"/>
        <v>OK</v>
      </c>
      <c r="K89" s="236" t="str">
        <f t="shared" si="24"/>
        <v>ERROR</v>
      </c>
      <c r="L89" s="236" t="str">
        <f t="shared" si="24"/>
        <v>OK</v>
      </c>
      <c r="M89" s="236" t="str">
        <f t="shared" si="24"/>
        <v>OK</v>
      </c>
      <c r="N89" s="236" t="str">
        <f t="shared" si="24"/>
        <v>OK</v>
      </c>
    </row>
    <row r="90" spans="1:33" ht="15.6" thickBot="1">
      <c r="G90" s="145"/>
    </row>
    <row r="91" spans="1:33" ht="15.6" thickBot="1">
      <c r="C91" s="102" t="s">
        <v>79</v>
      </c>
      <c r="D91" s="101" t="s">
        <v>80</v>
      </c>
      <c r="E91" s="100" t="s">
        <v>81</v>
      </c>
      <c r="F91" s="100" t="s">
        <v>70</v>
      </c>
      <c r="G91" s="100" t="s">
        <v>71</v>
      </c>
      <c r="H91" s="101" t="s">
        <v>72</v>
      </c>
      <c r="I91" s="102" t="s">
        <v>73</v>
      </c>
      <c r="J91" s="102" t="s">
        <v>74</v>
      </c>
      <c r="K91" s="103" t="s">
        <v>75</v>
      </c>
      <c r="L91" s="103" t="s">
        <v>76</v>
      </c>
      <c r="M91" s="103" t="s">
        <v>77</v>
      </c>
      <c r="N91" s="103" t="s">
        <v>78</v>
      </c>
    </row>
    <row r="92" spans="1:33" ht="409.6">
      <c r="B92" s="43" t="s">
        <v>549</v>
      </c>
      <c r="C92" s="145">
        <f>VLOOKUP($B$9&amp;" Total",'Billing Demand'!$A$5:$AL$44,C$9+12,FALSE)</f>
        <v>17883</v>
      </c>
      <c r="D92" s="145">
        <f>VLOOKUP($B$9&amp;" Total",'Billing Demand'!$A$5:$AL$44,D$9+12,FALSE)</f>
        <v>17826</v>
      </c>
      <c r="E92" s="145">
        <f>VLOOKUP($B$9&amp;" Total",'Billing Demand'!$A$5:$AL$44,E$9+12,FALSE)</f>
        <v>18290</v>
      </c>
      <c r="F92" s="145">
        <f>VLOOKUP($B$9&amp;" Total",'Billing Demand'!$A$5:$AL$44,F$9+12,FALSE)</f>
        <v>17448</v>
      </c>
      <c r="G92" s="145">
        <f>VLOOKUP($B$9&amp;" Total",'Billing Demand'!$A$5:$AL$44,G$9+12,FALSE)</f>
        <v>17232</v>
      </c>
      <c r="H92" s="145">
        <f>VLOOKUP($B$9&amp;" Total",'Billing Demand'!$A$5:$AL$44,H$9+12,FALSE)</f>
        <v>17731</v>
      </c>
      <c r="I92" s="145">
        <f>VLOOKUP($B$9&amp;" Total",'Billing Demand'!$A$5:$AL$44,I$9+12,FALSE)</f>
        <v>18136</v>
      </c>
      <c r="J92" s="145">
        <f>VLOOKUP($B$9&amp;" Total",'Billing Demand'!$A$5:$AL$44,J$9+12,FALSE)</f>
        <v>17929</v>
      </c>
      <c r="K92" s="145">
        <f>VLOOKUP($B$9&amp;" Total",'Billing Demand'!$A$5:$AL$44,K$9+12,FALSE)</f>
        <v>16563</v>
      </c>
      <c r="L92" s="145">
        <f>VLOOKUP($B$9&amp;" Total",'Billing Demand'!$A$5:$AL$44,L$9+12,FALSE)</f>
        <v>17816</v>
      </c>
      <c r="M92" s="145">
        <f>VLOOKUP($B$9&amp;" Total",'Billing Demand'!$A$5:$AL$44,M$9+12,FALSE)</f>
        <v>17738</v>
      </c>
      <c r="N92" s="145">
        <f>VLOOKUP($B$9&amp;" Total",'Billing Demand'!$A$5:$AL$44,N$9+12,FALSE)</f>
        <v>18137</v>
      </c>
    </row>
    <row r="93" spans="1:33" ht="409.6">
      <c r="B93" s="239" t="s">
        <v>550</v>
      </c>
      <c r="C93" s="235">
        <f t="shared" ref="C93:N93" si="25">+C65</f>
        <v>17282.834545722744</v>
      </c>
      <c r="D93" s="235">
        <f t="shared" si="25"/>
        <v>17596.220364477271</v>
      </c>
      <c r="E93" s="235">
        <f t="shared" si="25"/>
        <v>15702.707558153619</v>
      </c>
      <c r="F93" s="235">
        <f t="shared" si="25"/>
        <v>16241.580726507063</v>
      </c>
      <c r="G93" s="235">
        <f t="shared" si="25"/>
        <v>16637.102910716356</v>
      </c>
      <c r="H93" s="235">
        <f t="shared" si="25"/>
        <v>17520.463002891</v>
      </c>
      <c r="I93" s="235">
        <f t="shared" si="25"/>
        <v>17208.942905055224</v>
      </c>
      <c r="J93" s="235">
        <f t="shared" si="25"/>
        <v>17321.857737646511</v>
      </c>
      <c r="K93" s="235">
        <f t="shared" si="25"/>
        <v>17734.266855229602</v>
      </c>
      <c r="L93" s="235">
        <f t="shared" si="25"/>
        <v>16674.458826114642</v>
      </c>
      <c r="M93" s="235">
        <f t="shared" si="25"/>
        <v>16812.66722012444</v>
      </c>
      <c r="N93" s="235">
        <f t="shared" si="25"/>
        <v>17139.444337034918</v>
      </c>
    </row>
    <row r="94" spans="1:33">
      <c r="B94" s="45" t="s">
        <v>535</v>
      </c>
      <c r="C94" s="236" t="str">
        <f>IF(C92&gt;=C93,"OK","ERROR")</f>
        <v>OK</v>
      </c>
      <c r="D94" s="236" t="str">
        <f t="shared" ref="D94:N94" si="26">IF(D92&gt;=D93,"OK","ERROR")</f>
        <v>OK</v>
      </c>
      <c r="E94" s="236" t="str">
        <f t="shared" si="26"/>
        <v>OK</v>
      </c>
      <c r="F94" s="236" t="str">
        <f t="shared" si="26"/>
        <v>OK</v>
      </c>
      <c r="G94" s="236" t="str">
        <f t="shared" si="26"/>
        <v>OK</v>
      </c>
      <c r="H94" s="236" t="str">
        <f t="shared" si="26"/>
        <v>OK</v>
      </c>
      <c r="I94" s="236" t="str">
        <f t="shared" si="26"/>
        <v>OK</v>
      </c>
      <c r="J94" s="236" t="str">
        <f t="shared" si="26"/>
        <v>OK</v>
      </c>
      <c r="K94" s="236" t="str">
        <f t="shared" si="26"/>
        <v>ERROR</v>
      </c>
      <c r="L94" s="236" t="str">
        <f t="shared" si="26"/>
        <v>OK</v>
      </c>
      <c r="M94" s="236" t="str">
        <f t="shared" si="26"/>
        <v>OK</v>
      </c>
      <c r="N94" s="236" t="str">
        <f t="shared" si="26"/>
        <v>OK</v>
      </c>
    </row>
  </sheetData>
  <mergeCells count="3">
    <mergeCell ref="C7:E7"/>
    <mergeCell ref="F7:L7"/>
    <mergeCell ref="M7:N7"/>
  </mergeCells>
  <conditionalFormatting sqref="C59:N59">
    <cfRule type="cellIs" dxfId="206" priority="15" operator="greaterThanOrEqual">
      <formula>C60</formula>
    </cfRule>
  </conditionalFormatting>
  <conditionalFormatting sqref="C58:N58">
    <cfRule type="cellIs" dxfId="205" priority="13" operator="greaterThanOrEqual">
      <formula>C59</formula>
    </cfRule>
  </conditionalFormatting>
  <conditionalFormatting sqref="C89:N89">
    <cfRule type="cellIs" dxfId="204" priority="11" stopIfTrue="1" operator="equal">
      <formula>"Error"</formula>
    </cfRule>
  </conditionalFormatting>
  <conditionalFormatting sqref="C94:N94">
    <cfRule type="cellIs" dxfId="203" priority="10" stopIfTrue="1" operator="equal">
      <formula>"Error"</formula>
    </cfRule>
  </conditionalFormatting>
  <conditionalFormatting sqref="C71:N71">
    <cfRule type="cellIs" dxfId="202" priority="7" operator="greaterThan">
      <formula>C72</formula>
    </cfRule>
  </conditionalFormatting>
  <conditionalFormatting sqref="C72:N72">
    <cfRule type="cellIs" dxfId="201" priority="6" operator="greaterThanOrEqual">
      <formula>C73</formula>
    </cfRule>
  </conditionalFormatting>
  <conditionalFormatting sqref="C63:N63">
    <cfRule type="cellIs" dxfId="200" priority="3" operator="greaterThan">
      <formula>C64</formula>
    </cfRule>
  </conditionalFormatting>
  <conditionalFormatting sqref="C64:N64">
    <cfRule type="cellIs" dxfId="199" priority="1" operator="greaterThanOrEqual">
      <formula>C65</formula>
    </cfRule>
  </conditionalFormatting>
  <pageMargins left="0" right="0" top="1" bottom="1" header="0.5" footer="0.5"/>
  <pageSetup scale="34" orientation="landscape" r:id="rId1"/>
  <headerFooter alignWithMargins="0">
    <oddFooter>&amp;LPrinted:  &amp;D&amp;C&amp;F&amp;RPage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pageSetUpPr fitToPage="1"/>
  </sheetPr>
  <dimension ref="A1:AI94"/>
  <sheetViews>
    <sheetView showGridLines="0" zoomScale="75" zoomScaleNormal="75" workbookViewId="0">
      <selection activeCell="B2" sqref="B2"/>
    </sheetView>
  </sheetViews>
  <sheetFormatPr defaultRowHeight="15"/>
  <cols>
    <col min="1" max="1" width="2.6640625" style="99" customWidth="1"/>
    <col min="2" max="2" width="25.5546875" customWidth="1"/>
    <col min="3" max="14" width="14" customWidth="1"/>
    <col min="15" max="15" width="2.6640625" customWidth="1"/>
    <col min="16" max="16" width="12.88671875" bestFit="1" customWidth="1"/>
    <col min="18" max="20" width="10.6640625" bestFit="1" customWidth="1"/>
    <col min="21" max="21" width="16.109375" bestFit="1" customWidth="1"/>
    <col min="22" max="22" width="11.33203125" bestFit="1" customWidth="1"/>
    <col min="23" max="31" width="10.6640625" bestFit="1" customWidth="1"/>
    <col min="32" max="32" width="9.44140625" bestFit="1" customWidth="1"/>
    <col min="33" max="33" width="9.109375" bestFit="1" customWidth="1"/>
    <col min="34" max="34" width="8.44140625" customWidth="1"/>
    <col min="35" max="35" width="11.5546875" bestFit="1" customWidth="1"/>
  </cols>
  <sheetData>
    <row r="1" spans="1:16" s="8" customFormat="1" ht="15.6">
      <c r="A1" s="624"/>
      <c r="B1" s="8" t="s">
        <v>1284</v>
      </c>
    </row>
    <row r="2" spans="1:16" s="8" customFormat="1" ht="15.6">
      <c r="A2" s="624"/>
      <c r="B2" s="8" t="s">
        <v>1267</v>
      </c>
    </row>
    <row r="3" spans="1:16" s="8" customFormat="1" ht="15.6">
      <c r="A3" s="624"/>
    </row>
    <row r="4" spans="1:16" ht="21">
      <c r="A4" s="124" t="s">
        <v>437</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50</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1.0320806588010434</v>
      </c>
      <c r="D13" s="115">
        <f>VLOOKUP($B$9,'Avg KWH'!$A$12:$O$38,D9,FALSE)/HOURS!C15/VLOOKUP($B$9,'Avg CP'!$A$12:$P$38,D9,FALSE)</f>
        <v>0.92571817798763811</v>
      </c>
      <c r="E13" s="115">
        <f>VLOOKUP($B$9,'Avg KWH'!$A$12:$O$38,E9,FALSE)/HOURS!D15/VLOOKUP($B$9,'Avg CP'!$A$12:$P$38,E9,FALSE)</f>
        <v>0.91868691168975791</v>
      </c>
      <c r="F13" s="115">
        <f>VLOOKUP($B$9,'Avg KWH'!$A$12:$O$38,F9,FALSE)/HOURS!E15/VLOOKUP($B$9,'Avg CP'!$A$12:$P$38,F9,FALSE)</f>
        <v>0.99559920672569535</v>
      </c>
      <c r="G13" s="115">
        <f>VLOOKUP($B$9,'Avg KWH'!$A$12:$O$38,G9,FALSE)/HOURS!F15/VLOOKUP($B$9,'Avg CP'!$A$12:$P$38,G9,FALSE)</f>
        <v>0.92172698897467031</v>
      </c>
      <c r="H13" s="115">
        <f>VLOOKUP($B$9,'Avg KWH'!$A$12:$O$38,H9,FALSE)/HOURS!G15/VLOOKUP($B$9,'Avg CP'!$A$12:$P$38,H9,FALSE)</f>
        <v>0.96940180553831723</v>
      </c>
      <c r="I13" s="115">
        <f>VLOOKUP($B$9,'Avg KWH'!$A$12:$O$38,I9,FALSE)/HOURS!H15/VLOOKUP($B$9,'Avg CP'!$A$12:$P$38,I9,FALSE)</f>
        <v>0.96079802007160109</v>
      </c>
      <c r="J13" s="115">
        <f>VLOOKUP($B$9,'Avg KWH'!$A$12:$O$38,J9,FALSE)/HOURS!I15/VLOOKUP($B$9,'Avg CP'!$A$12:$P$38,J9,FALSE)</f>
        <v>0.96826412536419459</v>
      </c>
      <c r="K13" s="115">
        <f>VLOOKUP($B$9,'Avg KWH'!$A$12:$O$38,K9,FALSE)/HOURS!J15/VLOOKUP($B$9,'Avg CP'!$A$12:$P$38,K9,FALSE)</f>
        <v>0.9949151422428324</v>
      </c>
      <c r="L13" s="115">
        <f>VLOOKUP($B$9,'Avg KWH'!$A$12:$O$38,L9,FALSE)/HOURS!K15/VLOOKUP($B$9,'Avg CP'!$A$12:$P$38,L9,FALSE)</f>
        <v>0.9610173849877458</v>
      </c>
      <c r="M13" s="115">
        <f>VLOOKUP($B$9,'Avg KWH'!$A$12:$O$38,M9,FALSE)/HOURS!L15/VLOOKUP($B$9,'Avg CP'!$A$12:$P$38,M9,FALSE)</f>
        <v>0.92013930333683969</v>
      </c>
      <c r="N13" s="115">
        <f>VLOOKUP($B$9,'Avg KWH'!$A$12:$O$38,N9,FALSE)/HOURS!M15/VLOOKUP($B$9,'Avg CP'!$A$12:$P$38,N9,FALSE)</f>
        <v>0.93051636559302187</v>
      </c>
    </row>
    <row r="14" spans="1:16" s="110" customFormat="1">
      <c r="A14" s="119"/>
      <c r="B14" s="118" t="s">
        <v>342</v>
      </c>
      <c r="C14" s="115">
        <f>VLOOKUP($B$9,'Avg KWH'!$A$12:$O$38,C9,FALSE)/HOURS!B15/VLOOKUP($B$9,'Avg GNCP'!$A$11:$P$37,C9,FALSE)</f>
        <v>0.85565664793171103</v>
      </c>
      <c r="D14" s="115">
        <f>VLOOKUP($B$9,'Avg KWH'!$A$12:$O$38,D9,FALSE)/HOURS!C15/VLOOKUP($B$9,'Avg GNCP'!$A$11:$P$37,D9,FALSE)</f>
        <v>0.83716404148902002</v>
      </c>
      <c r="E14" s="115">
        <f>VLOOKUP($B$9,'Avg KWH'!$A$12:$O$38,E9,FALSE)/HOURS!D15/VLOOKUP($B$9,'Avg GNCP'!$A$11:$P$37,E9,FALSE)</f>
        <v>0.84037720276273198</v>
      </c>
      <c r="F14" s="115">
        <f>VLOOKUP($B$9,'Avg KWH'!$A$12:$O$38,F9,FALSE)/HOURS!E15/VLOOKUP($B$9,'Avg GNCP'!$A$11:$P$37,F9,FALSE)</f>
        <v>0.86328057790234591</v>
      </c>
      <c r="G14" s="115">
        <f>VLOOKUP($B$9,'Avg KWH'!$A$12:$O$38,G9,FALSE)/HOURS!F15/VLOOKUP($B$9,'Avg GNCP'!$A$11:$P$37,G9,FALSE)</f>
        <v>0.86641262800892449</v>
      </c>
      <c r="H14" s="115">
        <f>VLOOKUP($B$9,'Avg KWH'!$A$12:$O$38,H9,FALSE)/HOURS!G15/VLOOKUP($B$9,'Avg GNCP'!$A$11:$P$37,H9,FALSE)</f>
        <v>0.86184341883202653</v>
      </c>
      <c r="I14" s="115">
        <f>VLOOKUP($B$9,'Avg KWH'!$A$12:$O$38,I9,FALSE)/HOURS!H15/VLOOKUP($B$9,'Avg GNCP'!$A$11:$P$37,I9,FALSE)</f>
        <v>0.86148982000583862</v>
      </c>
      <c r="J14" s="115">
        <f>VLOOKUP($B$9,'Avg KWH'!$A$12:$O$38,J9,FALSE)/HOURS!I15/VLOOKUP($B$9,'Avg GNCP'!$A$11:$P$37,J9,FALSE)</f>
        <v>0.86775841328087855</v>
      </c>
      <c r="K14" s="115">
        <f>VLOOKUP($B$9,'Avg KWH'!$A$12:$O$38,K9,FALSE)/HOURS!J15/VLOOKUP($B$9,'Avg GNCP'!$A$11:$P$37,K9,FALSE)</f>
        <v>0.8397065659497418</v>
      </c>
      <c r="L14" s="115">
        <f>VLOOKUP($B$9,'Avg KWH'!$A$12:$O$38,L9,FALSE)/HOURS!K15/VLOOKUP($B$9,'Avg GNCP'!$A$11:$P$37,L9,FALSE)</f>
        <v>0.85086028743644215</v>
      </c>
      <c r="M14" s="115">
        <f>VLOOKUP($B$9,'Avg KWH'!$A$12:$O$38,M9,FALSE)/HOURS!L15/VLOOKUP($B$9,'Avg GNCP'!$A$11:$P$37,M9,FALSE)</f>
        <v>0.84617714753875128</v>
      </c>
      <c r="N14" s="115">
        <f>VLOOKUP($B$9,'Avg KWH'!$A$12:$O$38,N9,FALSE)/HOURS!M15/VLOOKUP($B$9,'Avg GNCP'!$A$11:$P$37,N9,FALSE)</f>
        <v>0.83950659791441751</v>
      </c>
    </row>
    <row r="15" spans="1:16" s="10" customFormat="1">
      <c r="A15" s="119"/>
      <c r="B15" s="148" t="s">
        <v>133</v>
      </c>
      <c r="C15" s="115">
        <f>VLOOKUP($B$9,'Avg KWH'!$A$12:$O$38,C9,FALSE)/HOURS!B15/VLOOKUP($B$9,'Avg NCP'!$B$12:$P$38,C9-1,FALSE)</f>
        <v>0.73829123269306607</v>
      </c>
      <c r="D15" s="115">
        <f>VLOOKUP($B$9,'Avg KWH'!$A$12:$O$38,D9,FALSE)/HOURS!C15/VLOOKUP($B$9,'Avg NCP'!$B$12:$P$38,D9-1,FALSE)</f>
        <v>0.71966230352112825</v>
      </c>
      <c r="E15" s="115">
        <f>VLOOKUP($B$9,'Avg KWH'!$A$12:$O$38,E9,FALSE)/HOURS!D15/VLOOKUP($B$9,'Avg NCP'!$B$12:$P$38,E9-1,FALSE)</f>
        <v>0.71878187257426729</v>
      </c>
      <c r="F15" s="115">
        <f>VLOOKUP($B$9,'Avg KWH'!$A$12:$O$38,F9,FALSE)/HOURS!E15/VLOOKUP($B$9,'Avg NCP'!$B$12:$P$38,F9-1,FALSE)</f>
        <v>0.74312419371661642</v>
      </c>
      <c r="G15" s="115">
        <f>VLOOKUP($B$9,'Avg KWH'!$A$12:$O$38,G9,FALSE)/HOURS!F15/VLOOKUP($B$9,'Avg NCP'!$B$12:$P$38,G9-1,FALSE)</f>
        <v>0.75566016376844891</v>
      </c>
      <c r="H15" s="115">
        <f>VLOOKUP($B$9,'Avg KWH'!$A$12:$O$38,H9,FALSE)/HOURS!G15/VLOOKUP($B$9,'Avg NCP'!$B$12:$P$38,H9-1,FALSE)</f>
        <v>0.73341422549068702</v>
      </c>
      <c r="I15" s="115">
        <f>VLOOKUP($B$9,'Avg KWH'!$A$12:$O$38,I9,FALSE)/HOURS!H15/VLOOKUP($B$9,'Avg NCP'!$B$12:$P$38,I9-1,FALSE)</f>
        <v>0.74407137510761323</v>
      </c>
      <c r="J15" s="115">
        <f>VLOOKUP($B$9,'Avg KWH'!$A$12:$O$38,J9,FALSE)/HOURS!I15/VLOOKUP($B$9,'Avg NCP'!$B$12:$P$38,J9-1,FALSE)</f>
        <v>0.75203033311755429</v>
      </c>
      <c r="K15" s="115">
        <f>VLOOKUP($B$9,'Avg KWH'!$A$12:$O$38,K9,FALSE)/HOURS!J15/VLOOKUP($B$9,'Avg NCP'!$B$12:$P$38,K9-1,FALSE)</f>
        <v>0.72695745726225636</v>
      </c>
      <c r="L15" s="115">
        <f>VLOOKUP($B$9,'Avg KWH'!$A$12:$O$38,L9,FALSE)/HOURS!K15/VLOOKUP($B$9,'Avg NCP'!$B$12:$P$38,L9-1,FALSE)</f>
        <v>0.74249814313767426</v>
      </c>
      <c r="M15" s="115">
        <f>VLOOKUP($B$9,'Avg KWH'!$A$12:$O$38,M9,FALSE)/HOURS!L15/VLOOKUP($B$9,'Avg NCP'!$B$12:$P$38,M9-1,FALSE)</f>
        <v>0.73215134416150673</v>
      </c>
      <c r="N15" s="115">
        <f>VLOOKUP($B$9,'Avg KWH'!$A$12:$O$38,N9,FALSE)/HOURS!M15/VLOOKUP($B$9,'Avg NCP'!$B$12:$P$38,N9-1,FALSE)</f>
        <v>0.74179399285122416</v>
      </c>
    </row>
    <row r="16" spans="1:16">
      <c r="A16" s="114"/>
      <c r="C16" s="116"/>
      <c r="D16" s="116"/>
      <c r="E16" s="116"/>
      <c r="F16" s="116"/>
      <c r="G16" s="116"/>
      <c r="H16" s="116"/>
      <c r="I16" s="116"/>
      <c r="J16" s="116"/>
      <c r="K16" s="116"/>
      <c r="L16" s="116"/>
      <c r="M16" s="117"/>
      <c r="N16" s="116"/>
    </row>
    <row r="17" spans="1:35" ht="15.6">
      <c r="A17" s="113" t="s">
        <v>421</v>
      </c>
      <c r="C17" s="5"/>
      <c r="D17" s="5"/>
      <c r="E17" s="5"/>
      <c r="F17" s="5"/>
      <c r="G17" s="5"/>
      <c r="H17" s="5"/>
      <c r="I17" s="5"/>
      <c r="J17" s="5"/>
      <c r="K17" s="5"/>
      <c r="L17" s="5"/>
      <c r="M17" s="115"/>
      <c r="N17" s="5"/>
    </row>
    <row r="18" spans="1:35">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35">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35">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c r="O20" s="145">
        <f>+HOURS!N$20</f>
        <v>8760</v>
      </c>
    </row>
    <row r="21" spans="1:35">
      <c r="A21" s="114"/>
      <c r="C21" s="5"/>
      <c r="D21" s="5"/>
      <c r="E21" s="5"/>
      <c r="F21" s="5"/>
      <c r="G21" s="5"/>
      <c r="H21" s="5"/>
      <c r="I21" s="5"/>
      <c r="J21" s="5"/>
      <c r="K21" s="5"/>
      <c r="L21" s="5"/>
      <c r="M21" s="115"/>
      <c r="N21" s="5"/>
    </row>
    <row r="22" spans="1:35" ht="15.6">
      <c r="A22" s="113" t="s">
        <v>427</v>
      </c>
      <c r="C22" s="5"/>
      <c r="D22" s="5"/>
      <c r="E22" s="5"/>
      <c r="F22" s="5"/>
      <c r="G22" s="5"/>
      <c r="H22" s="5"/>
      <c r="I22" s="5"/>
      <c r="J22" s="5"/>
      <c r="K22" s="5"/>
      <c r="L22" s="5"/>
      <c r="M22" s="115"/>
      <c r="N22" s="5"/>
    </row>
    <row r="23" spans="1:35">
      <c r="A23" s="114"/>
      <c r="B23" t="s">
        <v>428</v>
      </c>
      <c r="C23" s="145">
        <v>0</v>
      </c>
      <c r="D23" s="145">
        <v>0</v>
      </c>
      <c r="E23" s="145">
        <v>0</v>
      </c>
      <c r="F23" s="145">
        <v>0</v>
      </c>
      <c r="G23" s="145">
        <v>0</v>
      </c>
      <c r="H23" s="145">
        <v>0</v>
      </c>
      <c r="I23" s="145">
        <v>0</v>
      </c>
      <c r="J23" s="145">
        <v>0</v>
      </c>
      <c r="K23" s="145">
        <v>0</v>
      </c>
      <c r="L23" s="145">
        <v>0</v>
      </c>
      <c r="M23" s="145">
        <v>0</v>
      </c>
      <c r="N23" s="145">
        <v>0</v>
      </c>
    </row>
    <row r="24" spans="1:35">
      <c r="A24" s="114"/>
      <c r="B24" t="s">
        <v>429</v>
      </c>
      <c r="C24" s="145">
        <v>0</v>
      </c>
      <c r="D24" s="145">
        <v>0</v>
      </c>
      <c r="E24" s="145">
        <v>0</v>
      </c>
      <c r="F24" s="145">
        <v>0</v>
      </c>
      <c r="G24" s="145">
        <v>0</v>
      </c>
      <c r="H24" s="145">
        <v>0</v>
      </c>
      <c r="I24" s="145">
        <v>0</v>
      </c>
      <c r="J24" s="145">
        <v>0</v>
      </c>
      <c r="K24" s="145">
        <v>0</v>
      </c>
      <c r="L24" s="145">
        <v>0</v>
      </c>
      <c r="M24" s="145">
        <v>0</v>
      </c>
      <c r="N24" s="145">
        <v>0</v>
      </c>
    </row>
    <row r="25" spans="1:35">
      <c r="A25" s="114"/>
      <c r="C25" s="5"/>
      <c r="D25" s="5"/>
      <c r="E25" s="5"/>
      <c r="F25" s="5"/>
      <c r="G25" s="5"/>
      <c r="H25" s="5"/>
      <c r="I25" s="5"/>
      <c r="J25" s="5"/>
      <c r="K25" s="5"/>
      <c r="L25" s="5"/>
      <c r="M25" s="115"/>
      <c r="N25" s="5"/>
    </row>
    <row r="26" spans="1:35" ht="15.6">
      <c r="A26" s="113" t="s">
        <v>424</v>
      </c>
      <c r="C26" s="5"/>
      <c r="D26" s="5"/>
      <c r="E26" s="5"/>
      <c r="F26" s="5"/>
      <c r="G26" s="5"/>
      <c r="H26" s="5"/>
      <c r="I26" s="5"/>
      <c r="J26" s="5"/>
      <c r="K26" s="5"/>
      <c r="L26" s="5"/>
      <c r="M26" s="115"/>
      <c r="N26" s="5"/>
    </row>
    <row r="27" spans="1:35" s="106" customFormat="1">
      <c r="A27" s="109"/>
      <c r="B27" s="108" t="str">
        <f>"PRIOR - "&amp;MANUAL!$B$9</f>
        <v>PRIOR - 2016</v>
      </c>
      <c r="C27" s="142">
        <f>VLOOKUP($B$9,'Sales Forecast'!$B$7:$AO$23,C9-1,FALSE)</f>
        <v>122922076</v>
      </c>
      <c r="D27" s="142">
        <f>VLOOKUP($B$9,'Sales Forecast'!$B$7:$AO$23,D9-1,FALSE)</f>
        <v>114714909</v>
      </c>
      <c r="E27" s="142">
        <f>VLOOKUP($B$9,'Sales Forecast'!$B$7:$AO$23,E9-1,FALSE)</f>
        <v>116221637</v>
      </c>
      <c r="F27" s="142">
        <f>VLOOKUP($B$9,'Sales Forecast'!$B$7:$AO$23,F9-1,FALSE)</f>
        <v>120806109</v>
      </c>
      <c r="G27" s="142">
        <f>VLOOKUP($B$9,'Sales Forecast'!$B$7:$AO$23,G9-1,FALSE)</f>
        <v>120216919</v>
      </c>
      <c r="H27" s="142">
        <f>VLOOKUP($B$9,'Sales Forecast'!$B$7:$AO$23,H9-1,FALSE)</f>
        <v>124953632</v>
      </c>
      <c r="I27" s="142">
        <f>VLOOKUP($B$9,'Sales Forecast'!$B$7:$AO$23,I9-1,FALSE)</f>
        <v>125659936</v>
      </c>
      <c r="J27" s="142">
        <f>VLOOKUP($B$9,'Sales Forecast'!$B$7:$AO$23,J9-1,FALSE)</f>
        <v>124952720</v>
      </c>
      <c r="K27" s="142">
        <f>VLOOKUP($B$9,'Sales Forecast'!$B$7:$AO$23,K9-1,FALSE)</f>
        <v>128138566</v>
      </c>
      <c r="L27" s="142">
        <f>VLOOKUP($B$9,'Sales Forecast'!$B$7:$AO$23,L9-1,FALSE)</f>
        <v>124447056</v>
      </c>
      <c r="M27" s="142">
        <f>VLOOKUP($B$9,'Sales Forecast'!$B$7:$AO$23,M9-1,FALSE)</f>
        <v>127389485</v>
      </c>
      <c r="N27" s="142">
        <f>VLOOKUP($B$9,'Sales Forecast'!$B$7:$AO$23,N9-1,FALSE)</f>
        <v>127855015</v>
      </c>
    </row>
    <row r="28" spans="1:35" s="12" customFormat="1" ht="15.6">
      <c r="A28" s="111"/>
      <c r="B28" s="108" t="str">
        <f>"TEST - "&amp;MANUAL!$B$10</f>
        <v>TEST - 2017</v>
      </c>
      <c r="C28" s="142">
        <f>VLOOKUP($B$9,'Sales Forecast'!$B$7:$AO$23,C9+11,FALSE)</f>
        <v>125750423</v>
      </c>
      <c r="D28" s="142">
        <f>VLOOKUP($B$9,'Sales Forecast'!$B$7:$AO$23,D9+11,FALSE)</f>
        <v>117221965</v>
      </c>
      <c r="E28" s="142">
        <f>VLOOKUP($B$9,'Sales Forecast'!$B$7:$AO$23,E9+11,FALSE)</f>
        <v>118767389</v>
      </c>
      <c r="F28" s="142">
        <f>VLOOKUP($B$9,'Sales Forecast'!$B$7:$AO$23,F9+11,FALSE)</f>
        <v>123452460</v>
      </c>
      <c r="G28" s="142">
        <f>VLOOKUP($B$9,'Sales Forecast'!$B$7:$AO$23,G9+11,FALSE)</f>
        <v>122801452</v>
      </c>
      <c r="H28" s="142">
        <f>VLOOKUP($B$9,'Sales Forecast'!$B$7:$AO$23,H9+11,FALSE)</f>
        <v>127537356</v>
      </c>
      <c r="I28" s="142">
        <f>VLOOKUP($B$9,'Sales Forecast'!$B$7:$AO$23,I9+11,FALSE)</f>
        <v>128193988</v>
      </c>
      <c r="J28" s="142">
        <f>VLOOKUP($B$9,'Sales Forecast'!$B$7:$AO$23,J9+11,FALSE)</f>
        <v>127368729</v>
      </c>
      <c r="K28" s="142">
        <f>VLOOKUP($B$9,'Sales Forecast'!$B$7:$AO$23,K9+11,FALSE)</f>
        <v>130512332</v>
      </c>
      <c r="L28" s="142">
        <f>VLOOKUP($B$9,'Sales Forecast'!$B$7:$AO$23,L9+11,FALSE)</f>
        <v>126790722</v>
      </c>
      <c r="M28" s="142">
        <f>VLOOKUP($B$9,'Sales Forecast'!$B$7:$AO$23,M9+11,FALSE)</f>
        <v>129769170</v>
      </c>
      <c r="N28" s="142">
        <f>VLOOKUP($B$9,'Sales Forecast'!$B$7:$AO$23,N9+11,FALSE)</f>
        <v>130169328</v>
      </c>
    </row>
    <row r="29" spans="1:35" s="12" customFormat="1" ht="15.6">
      <c r="A29" s="111"/>
      <c r="B29" t="s">
        <v>1094</v>
      </c>
      <c r="C29" s="142">
        <f>VLOOKUP($B$9,'Sales Forecast'!$B$7:$AO$23,C9+23,FALSE)</f>
        <v>127991407</v>
      </c>
      <c r="D29" s="142">
        <f>VLOOKUP($B$9,'Sales Forecast'!$B$7:$AO$23,D9+23,FALSE)</f>
        <v>119297338</v>
      </c>
      <c r="E29" s="142">
        <f>VLOOKUP($B$9,'Sales Forecast'!$B$7:$AO$23,E9+23,FALSE)</f>
        <v>120875493</v>
      </c>
      <c r="F29" s="142">
        <f>VLOOKUP($B$9,'Sales Forecast'!$B$7:$AO$23,F9+23,FALSE)</f>
        <v>125583003</v>
      </c>
      <c r="G29" s="142">
        <f>VLOOKUP($B$9,'Sales Forecast'!$B$7:$AO$23,G9+23,FALSE)</f>
        <v>124861170</v>
      </c>
      <c r="H29" s="142">
        <f>VLOOKUP($B$9,'Sales Forecast'!$B$7:$AO$23,H9+23,FALSE)</f>
        <v>129581872</v>
      </c>
      <c r="I29" s="142">
        <f>VLOOKUP($B$9,'Sales Forecast'!$B$7:$AO$23,I9+23,FALSE)</f>
        <v>130185341</v>
      </c>
      <c r="J29" s="142">
        <f>VLOOKUP($B$9,'Sales Forecast'!$B$7:$AO$23,J9+23,FALSE)</f>
        <v>129273135</v>
      </c>
      <c r="K29" s="142">
        <f>VLOOKUP($B$9,'Sales Forecast'!$B$7:$AO$23,K9+23,FALSE)</f>
        <v>132412807</v>
      </c>
      <c r="L29" s="142">
        <f>VLOOKUP($B$9,'Sales Forecast'!$B$7:$AO$23,L9+23,FALSE)</f>
        <v>128676900</v>
      </c>
      <c r="M29" s="142">
        <f>VLOOKUP($B$9,'Sales Forecast'!$B$7:$AO$23,M9+23,FALSE)</f>
        <v>131665175</v>
      </c>
      <c r="N29" s="142">
        <f>VLOOKUP($B$9,'Sales Forecast'!$B$7:$AO$23,N9+23,FALSE)</f>
        <v>132017750</v>
      </c>
    </row>
    <row r="30" spans="1:35" s="12" customFormat="1" ht="15.6">
      <c r="A30" s="111"/>
      <c r="B30"/>
      <c r="C30" s="142"/>
      <c r="D30" s="142"/>
      <c r="E30" s="142"/>
      <c r="F30" s="142"/>
      <c r="G30" s="142"/>
      <c r="H30" s="142"/>
      <c r="I30" s="142"/>
      <c r="J30" s="142"/>
      <c r="K30" s="142"/>
      <c r="L30" s="142"/>
      <c r="M30" s="142"/>
      <c r="N30" s="142"/>
    </row>
    <row r="31" spans="1:35" s="12" customFormat="1" ht="15.6">
      <c r="A31" s="113" t="s">
        <v>1248</v>
      </c>
      <c r="B31"/>
      <c r="C31" s="142"/>
      <c r="D31" s="142"/>
      <c r="E31" s="142"/>
      <c r="F31" s="142"/>
      <c r="G31" s="142"/>
      <c r="H31" s="142"/>
      <c r="I31" s="142"/>
      <c r="J31" s="142"/>
      <c r="K31" s="142"/>
      <c r="L31" s="142"/>
      <c r="M31" s="142"/>
      <c r="N31" s="142"/>
    </row>
    <row r="32" spans="1:35" s="12" customFormat="1">
      <c r="A32" s="114"/>
      <c r="B32" t="s">
        <v>1254</v>
      </c>
      <c r="C32" s="115">
        <v>1</v>
      </c>
      <c r="D32" s="115">
        <v>1</v>
      </c>
      <c r="E32" s="115">
        <v>1</v>
      </c>
      <c r="F32" s="115">
        <v>1</v>
      </c>
      <c r="G32" s="115">
        <v>1</v>
      </c>
      <c r="H32" s="115">
        <v>1</v>
      </c>
      <c r="I32" s="115">
        <v>1</v>
      </c>
      <c r="J32" s="115">
        <v>1</v>
      </c>
      <c r="K32" s="115">
        <v>1</v>
      </c>
      <c r="L32" s="115">
        <v>1</v>
      </c>
      <c r="M32" s="115">
        <v>1</v>
      </c>
      <c r="N32" s="115">
        <v>1</v>
      </c>
      <c r="R32"/>
      <c r="S32"/>
      <c r="T32"/>
      <c r="U32"/>
      <c r="V32"/>
      <c r="W32"/>
      <c r="X32"/>
      <c r="Y32"/>
      <c r="Z32"/>
      <c r="AA32"/>
      <c r="AB32"/>
      <c r="AC32"/>
      <c r="AD32"/>
      <c r="AE32"/>
      <c r="AF32"/>
      <c r="AG32"/>
      <c r="AH32"/>
      <c r="AI32"/>
    </row>
    <row r="33" spans="1:35" s="12" customFormat="1">
      <c r="A33" s="114"/>
      <c r="B33" t="s">
        <v>1253</v>
      </c>
      <c r="C33" s="115">
        <v>0</v>
      </c>
      <c r="D33" s="115">
        <v>0</v>
      </c>
      <c r="E33" s="115">
        <v>0</v>
      </c>
      <c r="F33" s="115">
        <v>0</v>
      </c>
      <c r="G33" s="115">
        <v>0</v>
      </c>
      <c r="H33" s="115">
        <v>0</v>
      </c>
      <c r="I33" s="115">
        <v>0</v>
      </c>
      <c r="J33" s="115">
        <v>0</v>
      </c>
      <c r="K33" s="115">
        <v>0</v>
      </c>
      <c r="L33" s="115">
        <v>0</v>
      </c>
      <c r="M33" s="115">
        <v>0</v>
      </c>
      <c r="N33" s="115">
        <v>0</v>
      </c>
      <c r="R33"/>
      <c r="S33"/>
      <c r="T33"/>
      <c r="U33"/>
      <c r="V33"/>
      <c r="W33"/>
      <c r="X33"/>
      <c r="Y33"/>
      <c r="Z33"/>
      <c r="AA33"/>
      <c r="AB33"/>
      <c r="AC33"/>
      <c r="AD33"/>
      <c r="AE33"/>
      <c r="AF33"/>
      <c r="AG33"/>
      <c r="AH33"/>
      <c r="AI33"/>
    </row>
    <row r="34" spans="1:35" s="12" customFormat="1">
      <c r="A34" s="114"/>
      <c r="B34" t="s">
        <v>1252</v>
      </c>
      <c r="C34" s="115">
        <v>0</v>
      </c>
      <c r="D34" s="115">
        <v>0</v>
      </c>
      <c r="E34" s="115">
        <v>0</v>
      </c>
      <c r="F34" s="115">
        <v>0</v>
      </c>
      <c r="G34" s="115">
        <v>0</v>
      </c>
      <c r="H34" s="115">
        <v>0</v>
      </c>
      <c r="I34" s="115">
        <v>0</v>
      </c>
      <c r="J34" s="115">
        <v>0</v>
      </c>
      <c r="K34" s="115">
        <v>0</v>
      </c>
      <c r="L34" s="115">
        <v>0</v>
      </c>
      <c r="M34" s="115">
        <v>0</v>
      </c>
      <c r="N34" s="115">
        <v>0</v>
      </c>
      <c r="R34" s="507"/>
      <c r="S34" s="507"/>
      <c r="T34" s="507"/>
      <c r="U34" s="507"/>
      <c r="V34" s="507"/>
      <c r="W34" s="507"/>
      <c r="X34" s="507"/>
      <c r="Y34" s="507"/>
      <c r="Z34" s="507"/>
      <c r="AA34" s="507"/>
      <c r="AB34" s="507"/>
      <c r="AC34" s="507"/>
      <c r="AD34"/>
      <c r="AE34"/>
      <c r="AF34" s="507"/>
      <c r="AG34" s="507"/>
      <c r="AH34" s="507"/>
      <c r="AI34" s="507"/>
    </row>
    <row r="35" spans="1:35" s="12" customFormat="1" ht="15.6">
      <c r="A35" s="114"/>
      <c r="B35" s="513">
        <v>2017</v>
      </c>
      <c r="C35" s="115"/>
      <c r="D35" s="115"/>
      <c r="E35" s="115"/>
      <c r="F35" s="115"/>
      <c r="G35" s="115"/>
      <c r="H35" s="115"/>
      <c r="I35" s="115"/>
      <c r="J35" s="115"/>
      <c r="K35" s="115"/>
      <c r="L35" s="115"/>
      <c r="M35" s="115"/>
      <c r="N35" s="115"/>
      <c r="R35" s="507"/>
      <c r="S35" s="507"/>
      <c r="T35" s="507"/>
      <c r="U35" s="507"/>
      <c r="V35" s="507"/>
      <c r="W35" s="507"/>
      <c r="X35" s="507"/>
      <c r="Y35" s="507"/>
      <c r="Z35" s="507"/>
      <c r="AA35" s="507"/>
      <c r="AB35" s="507"/>
      <c r="AC35" s="507"/>
      <c r="AD35"/>
      <c r="AE35"/>
      <c r="AF35" s="507"/>
      <c r="AG35" s="507"/>
      <c r="AH35" s="507"/>
      <c r="AI35" s="507"/>
    </row>
    <row r="36" spans="1:35"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c r="S36"/>
      <c r="T36"/>
      <c r="U36"/>
      <c r="V36"/>
      <c r="W36"/>
      <c r="X36"/>
      <c r="Y36"/>
      <c r="Z36"/>
      <c r="AA36"/>
      <c r="AB36"/>
      <c r="AC36"/>
      <c r="AD36"/>
      <c r="AE36"/>
      <c r="AF36"/>
      <c r="AG36"/>
      <c r="AH36"/>
      <c r="AI36"/>
    </row>
    <row r="37" spans="1:35"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c r="S37"/>
      <c r="T37"/>
      <c r="U37"/>
      <c r="V37"/>
      <c r="W37"/>
      <c r="X37"/>
      <c r="Y37"/>
      <c r="Z37"/>
      <c r="AA37"/>
      <c r="AB37"/>
      <c r="AC37"/>
      <c r="AD37"/>
      <c r="AE37"/>
      <c r="AF37"/>
      <c r="AG37"/>
      <c r="AH37"/>
      <c r="AI37"/>
    </row>
    <row r="38" spans="1:35"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s="508"/>
      <c r="S38" s="508"/>
      <c r="T38" s="508"/>
      <c r="U38" s="508"/>
      <c r="V38" s="508"/>
      <c r="W38" s="508"/>
      <c r="X38" s="508"/>
      <c r="Y38" s="508"/>
      <c r="Z38" s="508"/>
      <c r="AA38" s="508"/>
      <c r="AB38" s="509"/>
      <c r="AC38" s="509"/>
      <c r="AD38"/>
      <c r="AE38" s="509"/>
      <c r="AF38"/>
      <c r="AG38"/>
      <c r="AH38"/>
      <c r="AI38"/>
    </row>
    <row r="39" spans="1:35" s="12" customFormat="1">
      <c r="A39" s="114"/>
      <c r="B39" t="s">
        <v>1255</v>
      </c>
      <c r="C39" s="107">
        <f>(+C$28/C$19/C13)+C23</f>
        <v>163765.67500938938</v>
      </c>
      <c r="D39" s="107">
        <f t="shared" ref="D39:N39" si="0">(+D$28/D$19/D13)+D23</f>
        <v>188434.72242909338</v>
      </c>
      <c r="E39" s="107">
        <f t="shared" si="0"/>
        <v>173762.77525492813</v>
      </c>
      <c r="F39" s="107">
        <f t="shared" si="0"/>
        <v>172219.65309102606</v>
      </c>
      <c r="G39" s="107">
        <f t="shared" si="0"/>
        <v>179072.23833965362</v>
      </c>
      <c r="H39" s="107">
        <f t="shared" si="0"/>
        <v>182726.31189117907</v>
      </c>
      <c r="I39" s="107">
        <f t="shared" si="0"/>
        <v>179333.99498365686</v>
      </c>
      <c r="J39" s="107">
        <f t="shared" si="0"/>
        <v>176805.6088636092</v>
      </c>
      <c r="K39" s="107">
        <f t="shared" si="0"/>
        <v>182193.55609479235</v>
      </c>
      <c r="L39" s="107">
        <f t="shared" si="0"/>
        <v>177330.44142478987</v>
      </c>
      <c r="M39" s="107">
        <f t="shared" si="0"/>
        <v>195877.90422571907</v>
      </c>
      <c r="N39" s="107">
        <f t="shared" si="0"/>
        <v>188023.31765766037</v>
      </c>
      <c r="R39"/>
      <c r="S39"/>
      <c r="T39"/>
      <c r="U39"/>
      <c r="V39"/>
      <c r="W39"/>
      <c r="X39"/>
      <c r="Y39"/>
      <c r="Z39"/>
      <c r="AA39"/>
      <c r="AB39"/>
      <c r="AC39"/>
      <c r="AD39"/>
      <c r="AE39"/>
      <c r="AF39"/>
      <c r="AG39"/>
      <c r="AH39"/>
      <c r="AI39"/>
    </row>
    <row r="40" spans="1:35" s="12" customFormat="1">
      <c r="A40" s="114"/>
      <c r="B40" t="s">
        <v>1256</v>
      </c>
      <c r="C40" s="107">
        <f t="shared" ref="C40:N40" si="1">(C39*C32*C36)+(C39*C33*C37)+(C39*C34*C38)</f>
        <v>167341.76043864846</v>
      </c>
      <c r="D40" s="107">
        <f t="shared" si="1"/>
        <v>192549.49596272016</v>
      </c>
      <c r="E40" s="107">
        <f t="shared" si="1"/>
        <v>177557.16335671526</v>
      </c>
      <c r="F40" s="107">
        <f t="shared" si="1"/>
        <v>175980.34465240216</v>
      </c>
      <c r="G40" s="107">
        <f t="shared" si="1"/>
        <v>182982.56705948166</v>
      </c>
      <c r="H40" s="107">
        <f t="shared" si="1"/>
        <v>186716.43315107573</v>
      </c>
      <c r="I40" s="107">
        <f t="shared" si="1"/>
        <v>183250.03957844208</v>
      </c>
      <c r="J40" s="107">
        <f t="shared" si="1"/>
        <v>180666.44210373831</v>
      </c>
      <c r="K40" s="107">
        <f t="shared" si="1"/>
        <v>186172.04377982236</v>
      </c>
      <c r="L40" s="107">
        <f t="shared" si="1"/>
        <v>181202.73522327305</v>
      </c>
      <c r="M40" s="107">
        <f t="shared" si="1"/>
        <v>200155.2115379824</v>
      </c>
      <c r="N40" s="107">
        <f t="shared" si="1"/>
        <v>192129.10751013074</v>
      </c>
      <c r="R40"/>
      <c r="S40"/>
      <c r="T40"/>
      <c r="U40"/>
      <c r="V40"/>
      <c r="W40"/>
      <c r="X40"/>
      <c r="Y40"/>
      <c r="Z40"/>
      <c r="AA40"/>
      <c r="AB40"/>
      <c r="AC40"/>
      <c r="AD40"/>
      <c r="AE40"/>
      <c r="AF40"/>
      <c r="AG40"/>
      <c r="AH40"/>
      <c r="AI40"/>
    </row>
    <row r="41" spans="1:35"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c r="S41"/>
      <c r="T41"/>
      <c r="U41"/>
      <c r="V41"/>
      <c r="W41"/>
      <c r="X41"/>
      <c r="Y41"/>
      <c r="Z41"/>
      <c r="AA41"/>
      <c r="AB41"/>
      <c r="AC41"/>
      <c r="AD41"/>
      <c r="AE41"/>
      <c r="AF41"/>
      <c r="AG41"/>
      <c r="AH41"/>
      <c r="AI41"/>
    </row>
    <row r="42" spans="1:35"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R42"/>
      <c r="S42"/>
      <c r="T42"/>
      <c r="U42"/>
      <c r="V42"/>
      <c r="W42"/>
      <c r="X42"/>
      <c r="Y42"/>
      <c r="Z42"/>
      <c r="AA42"/>
      <c r="AB42"/>
      <c r="AC42"/>
      <c r="AD42"/>
      <c r="AE42"/>
      <c r="AF42"/>
      <c r="AG42"/>
      <c r="AH42"/>
      <c r="AI42"/>
    </row>
    <row r="43" spans="1:35" s="12" customFormat="1">
      <c r="A43" s="114"/>
      <c r="B43" t="s">
        <v>1259</v>
      </c>
      <c r="C43" s="235">
        <f>C40*C42/C41</f>
        <v>15410.915631540625</v>
      </c>
      <c r="D43" s="235">
        <f>D40*D42/D41</f>
        <v>1325.9483048503096</v>
      </c>
      <c r="E43" s="235">
        <f t="shared" ref="E43:N43" si="2">E40*E42/E41</f>
        <v>21114.40190044884</v>
      </c>
      <c r="F43" s="235">
        <f t="shared" si="2"/>
        <v>14089.901416029132</v>
      </c>
      <c r="G43" s="235">
        <f t="shared" si="2"/>
        <v>18341.599139006412</v>
      </c>
      <c r="H43" s="235">
        <f t="shared" si="2"/>
        <v>9625.1472953740922</v>
      </c>
      <c r="I43" s="235">
        <f t="shared" si="2"/>
        <v>11706.866558295209</v>
      </c>
      <c r="J43" s="235">
        <f t="shared" si="2"/>
        <v>17582.718434029324</v>
      </c>
      <c r="K43" s="235">
        <f t="shared" si="2"/>
        <v>1744.6817277651714</v>
      </c>
      <c r="L43" s="235">
        <f t="shared" si="2"/>
        <v>3607.4930203773069</v>
      </c>
      <c r="M43" s="235">
        <f t="shared" si="2"/>
        <v>-4150.57039788571</v>
      </c>
      <c r="N43" s="235">
        <f t="shared" si="2"/>
        <v>4998.141123800101</v>
      </c>
      <c r="R43"/>
      <c r="S43"/>
      <c r="T43"/>
      <c r="U43"/>
      <c r="V43"/>
      <c r="W43"/>
      <c r="X43"/>
      <c r="Y43"/>
      <c r="Z43"/>
      <c r="AA43"/>
      <c r="AB43"/>
      <c r="AC43"/>
      <c r="AD43"/>
      <c r="AE43"/>
      <c r="AF43"/>
      <c r="AG43"/>
      <c r="AH43"/>
      <c r="AI43"/>
    </row>
    <row r="44" spans="1:35" s="12" customFormat="1">
      <c r="A44" s="114"/>
      <c r="B44" t="s">
        <v>1260</v>
      </c>
      <c r="C44" s="235">
        <f t="shared" ref="C44:N44" si="3">((C43*C32)/C36)+((C43*C33)/C37)+((C43*C34)/C38)</f>
        <v>15081.585100434504</v>
      </c>
      <c r="D44" s="235">
        <f>((D43*D32)/D36)+((D43*D33)/D37)+((D43*D34)/D38)</f>
        <v>1297.6128528955994</v>
      </c>
      <c r="E44" s="235">
        <f t="shared" si="3"/>
        <v>20663.18814014304</v>
      </c>
      <c r="F44" s="235">
        <f t="shared" si="3"/>
        <v>13788.800895624176</v>
      </c>
      <c r="G44" s="235">
        <f t="shared" si="3"/>
        <v>17949.640041298946</v>
      </c>
      <c r="H44" s="235">
        <f t="shared" si="3"/>
        <v>9419.4583573156269</v>
      </c>
      <c r="I44" s="235">
        <f t="shared" si="3"/>
        <v>11456.691378999492</v>
      </c>
      <c r="J44" s="235">
        <f t="shared" si="3"/>
        <v>17206.976580747283</v>
      </c>
      <c r="K44" s="235">
        <f t="shared" si="3"/>
        <v>1707.3979625591576</v>
      </c>
      <c r="L44" s="235">
        <f t="shared" si="3"/>
        <v>3530.4010668057131</v>
      </c>
      <c r="M44" s="235">
        <f t="shared" si="3"/>
        <v>-4061.8729066911264</v>
      </c>
      <c r="N44" s="235">
        <f t="shared" si="3"/>
        <v>4891.3310866680067</v>
      </c>
      <c r="R44"/>
      <c r="S44"/>
      <c r="T44"/>
      <c r="U44"/>
      <c r="V44"/>
      <c r="W44"/>
      <c r="X44"/>
      <c r="Y44"/>
      <c r="Z44"/>
      <c r="AA44"/>
      <c r="AB44"/>
      <c r="AC44"/>
      <c r="AD44"/>
      <c r="AE44"/>
      <c r="AF44"/>
      <c r="AG44"/>
      <c r="AH44"/>
      <c r="AI44"/>
    </row>
    <row r="45" spans="1:35" s="12" customFormat="1" ht="15.6">
      <c r="A45" s="114"/>
      <c r="B45" s="513">
        <v>2018</v>
      </c>
      <c r="C45" s="235"/>
      <c r="D45" s="235"/>
      <c r="E45" s="235"/>
      <c r="F45" s="235"/>
      <c r="G45" s="235"/>
      <c r="H45" s="235"/>
      <c r="I45" s="235"/>
      <c r="J45" s="235"/>
      <c r="K45" s="235"/>
      <c r="L45" s="235"/>
      <c r="M45" s="235"/>
      <c r="N45" s="235"/>
      <c r="R45"/>
      <c r="S45"/>
      <c r="T45"/>
      <c r="U45"/>
      <c r="V45"/>
      <c r="W45"/>
      <c r="X45"/>
      <c r="Y45"/>
      <c r="Z45"/>
      <c r="AA45"/>
      <c r="AB45"/>
      <c r="AC45"/>
      <c r="AD45"/>
      <c r="AE45"/>
      <c r="AF45"/>
      <c r="AG45"/>
      <c r="AH45"/>
      <c r="AI45"/>
    </row>
    <row r="46" spans="1:35"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c r="S46"/>
      <c r="T46" s="522"/>
      <c r="U46" s="523"/>
      <c r="V46" s="523"/>
      <c r="W46" s="523"/>
      <c r="X46" s="523"/>
      <c r="Y46" s="523"/>
      <c r="Z46" s="523"/>
      <c r="AA46" s="523"/>
      <c r="AB46" s="523"/>
      <c r="AC46" s="523"/>
      <c r="AD46" s="523"/>
      <c r="AE46" s="523"/>
      <c r="AF46" s="523"/>
      <c r="AG46"/>
      <c r="AH46"/>
      <c r="AI46"/>
    </row>
    <row r="47" spans="1:35"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c r="S47"/>
      <c r="T47" s="206"/>
      <c r="U47" s="523"/>
      <c r="V47" s="523"/>
      <c r="W47" s="523"/>
      <c r="X47" s="523"/>
      <c r="Y47" s="523"/>
      <c r="Z47" s="523"/>
      <c r="AA47" s="523"/>
      <c r="AB47" s="523"/>
      <c r="AC47" s="523"/>
      <c r="AD47" s="523"/>
      <c r="AE47" s="523"/>
      <c r="AF47" s="523"/>
      <c r="AG47"/>
      <c r="AH47"/>
      <c r="AI47"/>
    </row>
    <row r="48" spans="1:35" s="12" customFormat="1">
      <c r="A48" s="114"/>
      <c r="B48" t="s">
        <v>1251</v>
      </c>
      <c r="C48">
        <v>1.06467</v>
      </c>
      <c r="D48">
        <v>1.06467</v>
      </c>
      <c r="E48">
        <v>1.06467</v>
      </c>
      <c r="F48">
        <v>1.06467</v>
      </c>
      <c r="G48">
        <v>1.06467</v>
      </c>
      <c r="H48">
        <v>1.06467</v>
      </c>
      <c r="I48">
        <v>1.06467</v>
      </c>
      <c r="J48">
        <v>1.06467</v>
      </c>
      <c r="K48">
        <v>1.06467</v>
      </c>
      <c r="L48">
        <v>1.06467</v>
      </c>
      <c r="M48">
        <v>1.06467</v>
      </c>
      <c r="N48">
        <v>1.06467</v>
      </c>
      <c r="R48"/>
      <c r="S48"/>
      <c r="T48" s="206"/>
      <c r="U48" s="523"/>
      <c r="V48" s="523"/>
      <c r="W48" s="523"/>
      <c r="X48" s="523"/>
      <c r="Y48" s="523"/>
      <c r="Z48" s="523"/>
      <c r="AA48" s="523"/>
      <c r="AB48" s="523"/>
      <c r="AC48" s="523"/>
      <c r="AD48" s="523"/>
      <c r="AE48" s="523"/>
      <c r="AF48" s="523"/>
      <c r="AG48"/>
      <c r="AH48"/>
      <c r="AI48"/>
    </row>
    <row r="49" spans="1:35" s="12" customFormat="1">
      <c r="A49" s="114"/>
      <c r="B49" t="s">
        <v>1255</v>
      </c>
      <c r="C49" s="235">
        <f>(+C$29/C$20/C13)+C23</f>
        <v>166684.12449599861</v>
      </c>
      <c r="D49" s="235">
        <f t="shared" ref="D49:N49" si="4">(+D$29/D$20/D13)+D23</f>
        <v>191770.89185085523</v>
      </c>
      <c r="E49" s="235">
        <f t="shared" si="4"/>
        <v>176847.03941742491</v>
      </c>
      <c r="F49" s="235">
        <f t="shared" si="4"/>
        <v>175191.82048530492</v>
      </c>
      <c r="G49" s="235">
        <f t="shared" si="4"/>
        <v>182075.77214647274</v>
      </c>
      <c r="H49" s="235">
        <f t="shared" si="4"/>
        <v>185655.54674439732</v>
      </c>
      <c r="I49" s="235">
        <f t="shared" si="4"/>
        <v>182119.75190162318</v>
      </c>
      <c r="J49" s="235">
        <f t="shared" si="4"/>
        <v>179449.19073018737</v>
      </c>
      <c r="K49" s="235">
        <f t="shared" si="4"/>
        <v>184846.59503152093</v>
      </c>
      <c r="L49" s="235">
        <f t="shared" si="4"/>
        <v>179968.46392414693</v>
      </c>
      <c r="M49" s="235">
        <f t="shared" si="4"/>
        <v>198739.79727629098</v>
      </c>
      <c r="N49" s="235">
        <f t="shared" si="4"/>
        <v>190693.2741075501</v>
      </c>
      <c r="R49"/>
      <c r="S49"/>
      <c r="T49" s="206"/>
      <c r="U49" s="523"/>
      <c r="V49" s="523"/>
      <c r="W49" s="523"/>
      <c r="X49" s="523"/>
      <c r="Y49" s="523"/>
      <c r="Z49" s="523"/>
      <c r="AA49" s="523"/>
      <c r="AB49" s="523"/>
      <c r="AC49" s="523"/>
      <c r="AD49" s="523"/>
      <c r="AE49" s="523"/>
      <c r="AF49" s="523"/>
      <c r="AG49"/>
      <c r="AH49"/>
      <c r="AI49"/>
    </row>
    <row r="50" spans="1:35" s="12" customFormat="1">
      <c r="A50" s="114"/>
      <c r="B50" t="s">
        <v>1256</v>
      </c>
      <c r="C50" s="107">
        <v>170337</v>
      </c>
      <c r="D50" s="107">
        <v>195974</v>
      </c>
      <c r="E50" s="107">
        <v>180723</v>
      </c>
      <c r="F50" s="107">
        <v>179031</v>
      </c>
      <c r="G50" s="107">
        <v>186066</v>
      </c>
      <c r="H50" s="107">
        <v>189724</v>
      </c>
      <c r="I50" s="107">
        <v>186111</v>
      </c>
      <c r="J50" s="107">
        <v>183382</v>
      </c>
      <c r="K50" s="107">
        <v>188898</v>
      </c>
      <c r="L50" s="107">
        <v>183913</v>
      </c>
      <c r="M50" s="107">
        <v>203095</v>
      </c>
      <c r="N50" s="107">
        <v>194873</v>
      </c>
      <c r="R50"/>
      <c r="S50"/>
      <c r="T50" s="206"/>
      <c r="U50" s="523"/>
      <c r="V50" s="523"/>
      <c r="W50" s="523"/>
      <c r="X50" s="523"/>
      <c r="Y50" s="523"/>
      <c r="Z50" s="523"/>
      <c r="AA50" s="523"/>
      <c r="AB50" s="523"/>
      <c r="AC50" s="523"/>
      <c r="AD50" s="523"/>
      <c r="AE50" s="523"/>
      <c r="AF50" s="523"/>
      <c r="AG50"/>
      <c r="AH50"/>
      <c r="AI50"/>
    </row>
    <row r="51" spans="1:35"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c r="S51"/>
      <c r="T51" s="206"/>
      <c r="U51" s="524"/>
      <c r="V51" s="524"/>
      <c r="W51" s="524"/>
      <c r="X51" s="524"/>
      <c r="Y51" s="524"/>
      <c r="Z51" s="524"/>
      <c r="AA51" s="524"/>
      <c r="AB51" s="524"/>
      <c r="AC51" s="524"/>
      <c r="AD51" s="524"/>
      <c r="AE51" s="524"/>
      <c r="AF51" s="524"/>
      <c r="AG51"/>
      <c r="AH51"/>
      <c r="AI51"/>
    </row>
    <row r="52" spans="1:35"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c r="S52"/>
      <c r="T52" s="206"/>
      <c r="U52" s="524"/>
      <c r="V52" s="524"/>
      <c r="W52" s="524"/>
      <c r="X52" s="524"/>
      <c r="Y52" s="524"/>
      <c r="Z52" s="524"/>
      <c r="AA52" s="524"/>
      <c r="AB52" s="524"/>
      <c r="AC52" s="524"/>
      <c r="AD52" s="524"/>
      <c r="AE52" s="524"/>
      <c r="AF52" s="524"/>
      <c r="AG52"/>
      <c r="AH52"/>
      <c r="AI52"/>
    </row>
    <row r="53" spans="1:35" s="12" customFormat="1">
      <c r="A53" s="114"/>
      <c r="B53" t="s">
        <v>1259</v>
      </c>
      <c r="C53" s="235">
        <f>C50*C52/C51</f>
        <v>17363.928267911084</v>
      </c>
      <c r="D53" s="235">
        <f t="shared" ref="D53:N53" si="5">D50*D52/D51</f>
        <v>3051.4600553140053</v>
      </c>
      <c r="E53" s="235">
        <f t="shared" si="5"/>
        <v>22743.922480414749</v>
      </c>
      <c r="F53" s="235">
        <f t="shared" si="5"/>
        <v>15095.910612220572</v>
      </c>
      <c r="G53" s="235">
        <f t="shared" si="5"/>
        <v>19430.470825423807</v>
      </c>
      <c r="H53" s="235">
        <f t="shared" si="5"/>
        <v>10722.001581787841</v>
      </c>
      <c r="I53" s="235">
        <f t="shared" si="5"/>
        <v>12923.151625337397</v>
      </c>
      <c r="J53" s="235">
        <f t="shared" si="5"/>
        <v>19344.6111060558</v>
      </c>
      <c r="K53" s="235">
        <f t="shared" si="5"/>
        <v>2829.3865255106298</v>
      </c>
      <c r="L53" s="235">
        <f t="shared" si="5"/>
        <v>4697.7717244480318</v>
      </c>
      <c r="M53" s="235">
        <f t="shared" si="5"/>
        <v>-3254.0758986396495</v>
      </c>
      <c r="N53" s="235">
        <f t="shared" si="5"/>
        <v>5806.2711023842166</v>
      </c>
      <c r="R53"/>
      <c r="S53"/>
      <c r="T53" s="206"/>
      <c r="U53" s="524"/>
      <c r="V53" s="524"/>
      <c r="W53" s="524"/>
      <c r="X53" s="524"/>
      <c r="Y53" s="524"/>
      <c r="Z53" s="524"/>
      <c r="AA53" s="524"/>
      <c r="AB53" s="524"/>
      <c r="AC53" s="524"/>
      <c r="AD53" s="524"/>
      <c r="AE53" s="524"/>
      <c r="AF53" s="524"/>
      <c r="AG53"/>
      <c r="AH53"/>
      <c r="AI53"/>
    </row>
    <row r="54" spans="1:35" s="12" customFormat="1">
      <c r="A54" s="114"/>
      <c r="B54" t="s">
        <v>1260</v>
      </c>
      <c r="C54" s="235">
        <f>((C53*C32)/C46)+((C53*C33)/C47)+((C53*C34)/C48)</f>
        <v>16991.475132995816</v>
      </c>
      <c r="D54" s="235">
        <f t="shared" ref="D54:N54" si="6">((D53*D32)/D46)+((D53*D33)/D47)+((D53*D34)/D48)</f>
        <v>2986.006786552769</v>
      </c>
      <c r="E54" s="235">
        <f t="shared" si="6"/>
        <v>22256.069438326631</v>
      </c>
      <c r="F54" s="235">
        <f t="shared" si="6"/>
        <v>14772.106047655954</v>
      </c>
      <c r="G54" s="235">
        <f t="shared" si="6"/>
        <v>19013.69072473756</v>
      </c>
      <c r="H54" s="235">
        <f t="shared" si="6"/>
        <v>10492.016578389543</v>
      </c>
      <c r="I54" s="235">
        <f t="shared" si="6"/>
        <v>12645.952349829144</v>
      </c>
      <c r="J54" s="235">
        <f t="shared" si="6"/>
        <v>18929.672680890679</v>
      </c>
      <c r="K54" s="235">
        <f t="shared" si="6"/>
        <v>2768.6966939786184</v>
      </c>
      <c r="L54" s="235">
        <f t="shared" si="6"/>
        <v>4597.0053668076089</v>
      </c>
      <c r="M54" s="235">
        <f t="shared" si="6"/>
        <v>-3184.2765565207155</v>
      </c>
      <c r="N54" s="235">
        <f t="shared" si="6"/>
        <v>5681.7276326759602</v>
      </c>
      <c r="R54"/>
      <c r="S54"/>
      <c r="T54" s="206"/>
      <c r="U54" s="523"/>
      <c r="V54" s="523"/>
      <c r="W54" s="523"/>
      <c r="X54" s="523"/>
      <c r="Y54" s="523"/>
      <c r="Z54" s="523"/>
      <c r="AA54" s="523"/>
      <c r="AB54" s="523"/>
      <c r="AC54" s="523"/>
      <c r="AD54" s="523"/>
      <c r="AE54" s="523"/>
      <c r="AF54" s="523"/>
      <c r="AG54"/>
      <c r="AH54"/>
      <c r="AI54"/>
    </row>
    <row r="55" spans="1:35">
      <c r="A55" s="114"/>
      <c r="R55" s="508"/>
      <c r="S55" s="508"/>
      <c r="T55" s="508"/>
      <c r="U55" s="508"/>
      <c r="V55" s="508"/>
      <c r="W55" s="508"/>
      <c r="X55" s="508"/>
      <c r="Y55" s="508"/>
      <c r="Z55" s="508"/>
      <c r="AA55" s="508"/>
      <c r="AB55" s="508"/>
      <c r="AC55" s="508"/>
      <c r="AD55" s="508"/>
    </row>
    <row r="56" spans="1:35" ht="17.399999999999999">
      <c r="A56" s="147" t="s">
        <v>425</v>
      </c>
      <c r="U56" s="44"/>
      <c r="V56" s="44"/>
      <c r="W56" s="44"/>
      <c r="X56" s="44"/>
      <c r="Y56" s="44"/>
      <c r="Z56" s="44"/>
      <c r="AA56" s="44"/>
      <c r="AB56" s="44"/>
      <c r="AC56" s="44"/>
      <c r="AD56" s="44"/>
      <c r="AE56" s="44"/>
      <c r="AF56" s="44"/>
    </row>
    <row r="57" spans="1:35" ht="15.6">
      <c r="A57" s="113"/>
      <c r="B57" s="146" t="str">
        <f>"PRIOR - "&amp;MANUAL!$B$9</f>
        <v>PRIOR - 2016</v>
      </c>
      <c r="C57" s="5"/>
      <c r="D57" s="5"/>
      <c r="E57" s="5"/>
      <c r="F57" s="5"/>
      <c r="G57" s="5"/>
      <c r="H57" s="5"/>
      <c r="I57" s="5"/>
      <c r="J57" s="5"/>
      <c r="K57" s="5"/>
      <c r="L57" s="5"/>
      <c r="M57" s="5"/>
      <c r="N57" s="5"/>
      <c r="U57" s="534"/>
      <c r="V57" s="534"/>
      <c r="W57" s="534"/>
      <c r="X57" s="534"/>
      <c r="Y57" s="534"/>
      <c r="Z57" s="534"/>
      <c r="AA57" s="534"/>
      <c r="AB57" s="534"/>
      <c r="AC57" s="534"/>
      <c r="AD57" s="534"/>
      <c r="AE57" s="534"/>
      <c r="AF57" s="534"/>
    </row>
    <row r="58" spans="1:35" s="12" customFormat="1" ht="15.6">
      <c r="A58" s="111"/>
      <c r="B58" s="149" t="s">
        <v>432</v>
      </c>
      <c r="C58" s="107">
        <f t="shared" ref="C58:N58" si="7">MIN((+C$27/C$18/C13)+C23,C59)</f>
        <v>160082.29848813682</v>
      </c>
      <c r="D58" s="107">
        <f t="shared" si="7"/>
        <v>178045.84102476717</v>
      </c>
      <c r="E58" s="107">
        <f t="shared" si="7"/>
        <v>170038.20964516478</v>
      </c>
      <c r="F58" s="107">
        <f t="shared" si="7"/>
        <v>168527.91903261127</v>
      </c>
      <c r="G58" s="107">
        <f t="shared" si="7"/>
        <v>175303.40579056696</v>
      </c>
      <c r="H58" s="107">
        <f t="shared" si="7"/>
        <v>179024.53876155007</v>
      </c>
      <c r="I58" s="107">
        <f t="shared" si="7"/>
        <v>175789.04193440522</v>
      </c>
      <c r="J58" s="107">
        <f t="shared" si="7"/>
        <v>173451.85048336379</v>
      </c>
      <c r="K58" s="107">
        <f t="shared" si="7"/>
        <v>178879.80893964294</v>
      </c>
      <c r="L58" s="107">
        <f t="shared" si="7"/>
        <v>174052.57282544338</v>
      </c>
      <c r="M58" s="107">
        <f t="shared" si="7"/>
        <v>192285.92848512228</v>
      </c>
      <c r="N58" s="107">
        <f t="shared" si="7"/>
        <v>184680.40412308136</v>
      </c>
      <c r="P58" s="152">
        <f>AVERAGE(C58:N58)</f>
        <v>175846.81829448801</v>
      </c>
      <c r="R58" s="509"/>
      <c r="S58" s="509"/>
      <c r="T58" s="509"/>
      <c r="U58" s="534"/>
      <c r="V58" s="534"/>
      <c r="W58" s="534"/>
      <c r="X58" s="534"/>
      <c r="Y58" s="534"/>
      <c r="Z58" s="534"/>
      <c r="AA58" s="534"/>
      <c r="AB58" s="534"/>
      <c r="AC58" s="534"/>
      <c r="AD58" s="534"/>
      <c r="AE58" s="534"/>
      <c r="AF58" s="534"/>
      <c r="AG58"/>
      <c r="AH58"/>
      <c r="AI58"/>
    </row>
    <row r="59" spans="1:35" s="12" customFormat="1" ht="15.6">
      <c r="A59" s="111"/>
      <c r="B59" s="149" t="s">
        <v>430</v>
      </c>
      <c r="C59" s="107">
        <f t="shared" ref="C59:N59" si="8">MIN(+C$27/C$18/C14,C60)</f>
        <v>193088.9504398584</v>
      </c>
      <c r="D59" s="107">
        <f t="shared" si="8"/>
        <v>196879.30128791358</v>
      </c>
      <c r="E59" s="107">
        <f t="shared" si="8"/>
        <v>185883.05010491359</v>
      </c>
      <c r="F59" s="107">
        <f t="shared" si="8"/>
        <v>194358.89882718981</v>
      </c>
      <c r="G59" s="107">
        <f t="shared" si="8"/>
        <v>186495.29698992302</v>
      </c>
      <c r="H59" s="107">
        <f t="shared" si="8"/>
        <v>201366.86933956316</v>
      </c>
      <c r="I59" s="107">
        <f t="shared" si="8"/>
        <v>196053.11579853087</v>
      </c>
      <c r="J59" s="107">
        <f t="shared" si="8"/>
        <v>193541.43011542736</v>
      </c>
      <c r="K59" s="107">
        <f t="shared" si="8"/>
        <v>211943.35946898794</v>
      </c>
      <c r="L59" s="107">
        <f t="shared" si="8"/>
        <v>196586.38539948474</v>
      </c>
      <c r="M59" s="107">
        <f t="shared" si="8"/>
        <v>209093.14413938974</v>
      </c>
      <c r="N59" s="107">
        <f t="shared" si="8"/>
        <v>204701.3553768151</v>
      </c>
      <c r="P59" s="152">
        <f>AVERAGE(C59:N59)</f>
        <v>197499.26310733307</v>
      </c>
      <c r="U59" s="534"/>
      <c r="V59" s="534"/>
      <c r="W59" s="534"/>
      <c r="X59" s="534"/>
      <c r="Y59" s="534"/>
      <c r="Z59" s="534"/>
      <c r="AA59" s="534"/>
      <c r="AB59" s="534"/>
      <c r="AC59" s="534"/>
      <c r="AD59" s="534"/>
      <c r="AE59" s="534"/>
      <c r="AF59" s="534"/>
    </row>
    <row r="60" spans="1:35" s="106" customFormat="1">
      <c r="A60" s="109"/>
      <c r="B60" s="149" t="s">
        <v>133</v>
      </c>
      <c r="C60" s="107">
        <f t="shared" ref="C60:N60" si="9">+C$27/C$18/C15</f>
        <v>223784.1068264567</v>
      </c>
      <c r="D60" s="107">
        <f t="shared" si="9"/>
        <v>229024.46153605607</v>
      </c>
      <c r="E60" s="107">
        <f t="shared" si="9"/>
        <v>217328.62729093328</v>
      </c>
      <c r="F60" s="107">
        <f t="shared" si="9"/>
        <v>225784.95481467768</v>
      </c>
      <c r="G60" s="107">
        <f t="shared" si="9"/>
        <v>213828.76605608175</v>
      </c>
      <c r="H60" s="107">
        <f t="shared" si="9"/>
        <v>236628.50416488794</v>
      </c>
      <c r="I60" s="107">
        <f t="shared" si="9"/>
        <v>226991.34665196994</v>
      </c>
      <c r="J60" s="107">
        <f t="shared" si="9"/>
        <v>223325.04010157057</v>
      </c>
      <c r="K60" s="107">
        <f t="shared" si="9"/>
        <v>244815.19348573271</v>
      </c>
      <c r="L60" s="107">
        <f t="shared" si="9"/>
        <v>225276.72282148991</v>
      </c>
      <c r="M60" s="107">
        <f t="shared" si="9"/>
        <v>241657.46834816775</v>
      </c>
      <c r="N60" s="107">
        <f t="shared" si="9"/>
        <v>231665.58383727225</v>
      </c>
      <c r="P60" s="152">
        <f>AVERAGE(C60:N60)</f>
        <v>228342.56466127469</v>
      </c>
      <c r="U60" s="540"/>
      <c r="V60" s="540"/>
      <c r="W60" s="540"/>
      <c r="X60" s="540"/>
      <c r="Y60" s="540"/>
      <c r="Z60" s="540"/>
      <c r="AA60" s="540"/>
      <c r="AB60" s="540"/>
      <c r="AC60" s="540"/>
      <c r="AD60" s="540"/>
      <c r="AE60" s="540"/>
      <c r="AF60" s="540"/>
    </row>
    <row r="61" spans="1:35" s="106" customFormat="1" ht="16.5" customHeight="1">
      <c r="A61" s="109"/>
      <c r="B61" s="108"/>
      <c r="C61" s="107"/>
      <c r="D61" s="107"/>
      <c r="E61" s="107"/>
      <c r="F61" s="107"/>
      <c r="G61" s="107"/>
      <c r="H61" s="107"/>
      <c r="I61" s="107"/>
      <c r="J61" s="107"/>
      <c r="K61" s="107"/>
      <c r="L61" s="107"/>
      <c r="M61" s="107"/>
      <c r="N61" s="107"/>
      <c r="U61" s="540"/>
      <c r="V61" s="540"/>
      <c r="W61" s="540"/>
      <c r="X61" s="540"/>
      <c r="Y61" s="540"/>
      <c r="Z61" s="540"/>
      <c r="AA61" s="540"/>
      <c r="AB61" s="540"/>
      <c r="AC61" s="540"/>
      <c r="AD61" s="540"/>
      <c r="AE61" s="540"/>
      <c r="AF61" s="540"/>
    </row>
    <row r="62" spans="1:35" s="106" customFormat="1" ht="16.5" customHeight="1">
      <c r="A62" s="109"/>
      <c r="B62" s="146" t="str">
        <f>"TEST - "&amp;MANUAL!$B$10</f>
        <v>TEST - 2017</v>
      </c>
      <c r="C62" s="107"/>
      <c r="D62" s="107"/>
      <c r="E62" s="107"/>
      <c r="F62" s="107"/>
      <c r="G62" s="107"/>
      <c r="H62" s="107"/>
      <c r="I62" s="107"/>
      <c r="J62" s="107"/>
      <c r="K62" s="107"/>
      <c r="L62" s="107"/>
      <c r="M62" s="107"/>
      <c r="N62" s="107"/>
      <c r="U62" s="540"/>
      <c r="V62" s="540"/>
      <c r="W62" s="540"/>
      <c r="X62" s="540"/>
      <c r="Y62" s="540"/>
      <c r="Z62" s="540"/>
      <c r="AA62" s="540"/>
      <c r="AB62" s="540"/>
      <c r="AC62" s="540"/>
      <c r="AD62" s="540"/>
      <c r="AE62" s="540"/>
      <c r="AF62" s="540"/>
    </row>
    <row r="63" spans="1:35" s="106" customFormat="1" ht="16.5" customHeight="1">
      <c r="A63" s="109"/>
      <c r="B63" s="149" t="s">
        <v>432</v>
      </c>
      <c r="C63" s="107">
        <f>C39+C44</f>
        <v>178847.2601098239</v>
      </c>
      <c r="D63" s="107">
        <f t="shared" ref="D63:N63" si="10">D39+D44</f>
        <v>189732.33528198898</v>
      </c>
      <c r="E63" s="107">
        <f t="shared" si="10"/>
        <v>194425.96339507116</v>
      </c>
      <c r="F63" s="107">
        <f t="shared" si="10"/>
        <v>186008.45398665025</v>
      </c>
      <c r="G63" s="107">
        <f t="shared" si="10"/>
        <v>197021.87838095258</v>
      </c>
      <c r="H63" s="107">
        <f t="shared" si="10"/>
        <v>192145.77024849469</v>
      </c>
      <c r="I63" s="107">
        <f t="shared" si="10"/>
        <v>190790.68636265636</v>
      </c>
      <c r="J63" s="107">
        <f t="shared" si="10"/>
        <v>194012.58544435649</v>
      </c>
      <c r="K63" s="107">
        <f t="shared" si="10"/>
        <v>183900.95405735151</v>
      </c>
      <c r="L63" s="107">
        <f t="shared" si="10"/>
        <v>180860.84249159557</v>
      </c>
      <c r="M63" s="107">
        <f t="shared" si="10"/>
        <v>191816.03131902794</v>
      </c>
      <c r="N63" s="107">
        <f t="shared" si="10"/>
        <v>192914.64874432838</v>
      </c>
      <c r="P63" s="152">
        <f>AVERAGE(C63:N63)</f>
        <v>189373.11748519144</v>
      </c>
      <c r="T63" s="522"/>
      <c r="U63" s="523"/>
      <c r="V63" s="523"/>
      <c r="W63" s="523"/>
      <c r="X63" s="523"/>
      <c r="Y63" s="523"/>
      <c r="Z63" s="523"/>
      <c r="AA63" s="523"/>
      <c r="AB63" s="523"/>
      <c r="AC63" s="523"/>
      <c r="AD63" s="523"/>
      <c r="AE63" s="523"/>
      <c r="AF63" s="523"/>
    </row>
    <row r="64" spans="1:35" s="106" customFormat="1" ht="16.5" customHeight="1">
      <c r="A64" s="109"/>
      <c r="B64" s="149" t="s">
        <v>430</v>
      </c>
      <c r="C64" s="107">
        <f>IF(+C$28/C$19/C14&lt;C63,C63,+C$28/C$19/C14)</f>
        <v>197531.78586438962</v>
      </c>
      <c r="D64" s="107">
        <f t="shared" ref="D64:N64" si="11">IF(+D$28/D$19/D14&lt;D63,D63,+D$28/D$19/D14)</f>
        <v>208367.105216803</v>
      </c>
      <c r="E64" s="107">
        <f t="shared" si="11"/>
        <v>194425.96339507116</v>
      </c>
      <c r="F64" s="107">
        <f t="shared" si="11"/>
        <v>198616.4804224238</v>
      </c>
      <c r="G64" s="107">
        <f t="shared" si="11"/>
        <v>197021.87838095258</v>
      </c>
      <c r="H64" s="107">
        <f t="shared" si="11"/>
        <v>205530.62516474395</v>
      </c>
      <c r="I64" s="107">
        <f t="shared" si="11"/>
        <v>200006.71315031929</v>
      </c>
      <c r="J64" s="107">
        <f t="shared" si="11"/>
        <v>197283.62826070774</v>
      </c>
      <c r="K64" s="107">
        <f t="shared" si="11"/>
        <v>215869.608656397</v>
      </c>
      <c r="L64" s="107">
        <f t="shared" si="11"/>
        <v>200288.62506937026</v>
      </c>
      <c r="M64" s="107">
        <f t="shared" si="11"/>
        <v>212999.08518869491</v>
      </c>
      <c r="N64" s="107">
        <f t="shared" si="11"/>
        <v>208406.66961784184</v>
      </c>
      <c r="P64" s="152">
        <f>AVERAGE(C64:N64)</f>
        <v>203029.01403230961</v>
      </c>
      <c r="T64" s="206"/>
      <c r="U64" s="523"/>
      <c r="V64" s="523"/>
      <c r="W64" s="523"/>
      <c r="X64" s="523"/>
      <c r="Y64" s="523"/>
      <c r="Z64" s="523"/>
      <c r="AA64" s="523"/>
      <c r="AB64" s="523"/>
      <c r="AC64" s="523"/>
      <c r="AD64" s="523"/>
      <c r="AE64" s="523"/>
      <c r="AF64" s="523"/>
    </row>
    <row r="65" spans="1:33" s="106" customFormat="1" ht="16.5" customHeight="1">
      <c r="A65" s="109"/>
      <c r="B65" s="149" t="s">
        <v>133</v>
      </c>
      <c r="C65" s="107">
        <f>MAX(+C$28/C$19/C15,C64)</f>
        <v>228933.21533313606</v>
      </c>
      <c r="D65" s="107">
        <f t="shared" ref="D65:N65" si="12">MAX(+D$28/D$19/D15,D64)</f>
        <v>242387.91869907276</v>
      </c>
      <c r="E65" s="107">
        <f t="shared" si="12"/>
        <v>222089.05574353845</v>
      </c>
      <c r="F65" s="107">
        <f t="shared" si="12"/>
        <v>230730.948406432</v>
      </c>
      <c r="G65" s="107">
        <f t="shared" si="12"/>
        <v>218425.85194730497</v>
      </c>
      <c r="H65" s="107">
        <f t="shared" si="12"/>
        <v>241521.38111059309</v>
      </c>
      <c r="I65" s="107">
        <f t="shared" si="12"/>
        <v>231568.84282359079</v>
      </c>
      <c r="J65" s="107">
        <f t="shared" si="12"/>
        <v>227643.11582501823</v>
      </c>
      <c r="K65" s="107">
        <f t="shared" si="12"/>
        <v>249350.39315840468</v>
      </c>
      <c r="L65" s="107">
        <f t="shared" si="12"/>
        <v>229519.27714811172</v>
      </c>
      <c r="M65" s="107">
        <f t="shared" si="12"/>
        <v>246171.72360688169</v>
      </c>
      <c r="N65" s="107">
        <f t="shared" si="12"/>
        <v>235858.97955450081</v>
      </c>
      <c r="P65" s="152">
        <f>AVERAGE(C65:N65)</f>
        <v>233683.39194638212</v>
      </c>
      <c r="T65" s="206"/>
      <c r="U65" s="523"/>
      <c r="V65" s="523"/>
      <c r="W65" s="523"/>
      <c r="X65" s="523"/>
      <c r="Y65" s="523"/>
      <c r="Z65" s="523"/>
      <c r="AA65" s="523"/>
      <c r="AB65" s="523"/>
      <c r="AC65" s="523"/>
      <c r="AD65" s="523"/>
      <c r="AE65" s="523"/>
      <c r="AF65" s="523"/>
    </row>
    <row r="66" spans="1:33" s="106" customFormat="1" ht="16.5" customHeight="1">
      <c r="A66" s="109"/>
      <c r="B66" s="149" t="s">
        <v>158</v>
      </c>
      <c r="C66" s="499">
        <f>C28/C19/C63</f>
        <v>0.94504878435878314</v>
      </c>
      <c r="D66" s="499">
        <f t="shared" ref="D66:N66" si="13">D28/D19/D63</f>
        <v>0.91938702834922492</v>
      </c>
      <c r="E66" s="499">
        <f t="shared" si="13"/>
        <v>0.82105077211945154</v>
      </c>
      <c r="F66" s="499">
        <f t="shared" si="13"/>
        <v>0.92179546856674455</v>
      </c>
      <c r="G66" s="499">
        <f t="shared" si="13"/>
        <v>0.83775323030175963</v>
      </c>
      <c r="H66" s="499">
        <f t="shared" si="13"/>
        <v>0.92187934419573514</v>
      </c>
      <c r="I66" s="499">
        <f t="shared" si="13"/>
        <v>0.9031035560316174</v>
      </c>
      <c r="J66" s="499">
        <f t="shared" si="13"/>
        <v>0.88238877820070938</v>
      </c>
      <c r="K66" s="499">
        <f t="shared" si="13"/>
        <v>0.98567801731603666</v>
      </c>
      <c r="L66" s="499">
        <f t="shared" si="13"/>
        <v>0.94225833933452641</v>
      </c>
      <c r="M66" s="499">
        <f t="shared" si="13"/>
        <v>0.93962406110658714</v>
      </c>
      <c r="N66" s="499">
        <f t="shared" si="13"/>
        <v>0.90692321880347671</v>
      </c>
      <c r="P66" s="152"/>
      <c r="T66" s="206"/>
      <c r="U66" s="523"/>
      <c r="V66" s="523"/>
      <c r="W66" s="523"/>
      <c r="X66" s="523"/>
      <c r="Y66" s="523"/>
      <c r="Z66" s="523"/>
      <c r="AA66" s="523"/>
      <c r="AB66" s="523"/>
      <c r="AC66" s="523"/>
      <c r="AD66" s="523"/>
      <c r="AE66" s="523"/>
      <c r="AF66" s="523"/>
    </row>
    <row r="67" spans="1:33" s="106" customFormat="1" ht="16.5" customHeight="1">
      <c r="A67" s="109"/>
      <c r="B67" s="149" t="s">
        <v>988</v>
      </c>
      <c r="C67" s="499">
        <f>C28/C19/C64</f>
        <v>0.85565664793171103</v>
      </c>
      <c r="D67" s="499">
        <f t="shared" ref="D67:N67" si="14">D28/D19/D64</f>
        <v>0.83716404148902002</v>
      </c>
      <c r="E67" s="499">
        <f t="shared" si="14"/>
        <v>0.82105077211945154</v>
      </c>
      <c r="F67" s="499">
        <f t="shared" si="14"/>
        <v>0.86328057790234591</v>
      </c>
      <c r="G67" s="499">
        <f t="shared" si="14"/>
        <v>0.83775323030175963</v>
      </c>
      <c r="H67" s="499">
        <f t="shared" si="14"/>
        <v>0.86184341883202653</v>
      </c>
      <c r="I67" s="499">
        <f t="shared" si="14"/>
        <v>0.86148982000583862</v>
      </c>
      <c r="J67" s="499">
        <f t="shared" si="14"/>
        <v>0.86775841328087866</v>
      </c>
      <c r="K67" s="499">
        <f t="shared" si="14"/>
        <v>0.8397065659497418</v>
      </c>
      <c r="L67" s="499">
        <f t="shared" si="14"/>
        <v>0.85086028743644215</v>
      </c>
      <c r="M67" s="499">
        <f t="shared" si="14"/>
        <v>0.84617714753875128</v>
      </c>
      <c r="N67" s="499">
        <f t="shared" si="14"/>
        <v>0.83950659791441751</v>
      </c>
      <c r="P67" s="152"/>
      <c r="T67" s="206"/>
      <c r="U67" s="523"/>
      <c r="V67" s="523"/>
      <c r="W67" s="523"/>
      <c r="X67" s="523"/>
      <c r="Y67" s="523"/>
      <c r="Z67" s="523"/>
      <c r="AA67" s="523"/>
      <c r="AB67" s="523"/>
      <c r="AC67" s="523"/>
      <c r="AD67" s="523"/>
      <c r="AE67" s="523"/>
      <c r="AF67" s="523"/>
    </row>
    <row r="68" spans="1:33" s="106" customFormat="1" ht="16.5" customHeight="1">
      <c r="A68" s="109"/>
      <c r="B68" s="149" t="s">
        <v>150</v>
      </c>
      <c r="C68" s="499">
        <f>C28/C19/C65</f>
        <v>0.73829123269306607</v>
      </c>
      <c r="D68" s="499">
        <f t="shared" ref="D68:N68" si="15">D28/D19/D65</f>
        <v>0.71966230352112825</v>
      </c>
      <c r="E68" s="499">
        <f t="shared" si="15"/>
        <v>0.71878187257426729</v>
      </c>
      <c r="F68" s="499">
        <f t="shared" si="15"/>
        <v>0.74312419371661642</v>
      </c>
      <c r="G68" s="499">
        <f t="shared" si="15"/>
        <v>0.75566016376844891</v>
      </c>
      <c r="H68" s="499">
        <f t="shared" si="15"/>
        <v>0.73341422549068702</v>
      </c>
      <c r="I68" s="499">
        <f t="shared" si="15"/>
        <v>0.74407137510761323</v>
      </c>
      <c r="J68" s="499">
        <f t="shared" si="15"/>
        <v>0.75203033311755429</v>
      </c>
      <c r="K68" s="499">
        <f t="shared" si="15"/>
        <v>0.72695745726225636</v>
      </c>
      <c r="L68" s="499">
        <f t="shared" si="15"/>
        <v>0.74249814313767426</v>
      </c>
      <c r="M68" s="499">
        <f t="shared" si="15"/>
        <v>0.73215134416150673</v>
      </c>
      <c r="N68" s="499">
        <f t="shared" si="15"/>
        <v>0.74179399285122416</v>
      </c>
      <c r="P68" s="152"/>
      <c r="T68" s="206"/>
      <c r="U68" s="524"/>
      <c r="V68" s="524"/>
      <c r="W68" s="524"/>
      <c r="X68" s="524"/>
      <c r="Y68" s="524"/>
      <c r="Z68" s="524"/>
      <c r="AA68" s="524"/>
      <c r="AB68" s="524"/>
      <c r="AC68" s="524"/>
      <c r="AD68" s="524"/>
      <c r="AE68" s="524"/>
      <c r="AF68" s="524"/>
    </row>
    <row r="69" spans="1:33" s="106" customFormat="1" ht="16.5" customHeight="1">
      <c r="A69" s="109"/>
      <c r="B69" s="149"/>
      <c r="C69" s="107"/>
      <c r="D69" s="107"/>
      <c r="E69" s="107"/>
      <c r="F69" s="107"/>
      <c r="G69" s="107"/>
      <c r="H69" s="107"/>
      <c r="I69" s="107"/>
      <c r="J69" s="107"/>
      <c r="K69" s="107"/>
      <c r="L69" s="107"/>
      <c r="M69" s="107"/>
      <c r="N69" s="107"/>
      <c r="P69" s="152"/>
      <c r="T69" s="206"/>
      <c r="U69" s="524"/>
      <c r="V69" s="524"/>
      <c r="W69" s="524"/>
      <c r="X69" s="524"/>
      <c r="Y69" s="524"/>
      <c r="Z69" s="524"/>
      <c r="AA69" s="524"/>
      <c r="AB69" s="524"/>
      <c r="AC69" s="524"/>
      <c r="AD69" s="524"/>
      <c r="AE69" s="524"/>
      <c r="AF69" s="524"/>
    </row>
    <row r="70" spans="1:33" s="106" customFormat="1" ht="16.5" customHeight="1">
      <c r="A70" s="109"/>
      <c r="B70" s="146" t="str">
        <f>"SUBSEQUENT - "&amp;MANUAL!$B$11</f>
        <v>SUBSEQUENT - 2018</v>
      </c>
      <c r="C70" s="107"/>
      <c r="D70" s="107"/>
      <c r="E70" s="107"/>
      <c r="F70" s="107"/>
      <c r="G70" s="107"/>
      <c r="H70" s="107"/>
      <c r="I70" s="107"/>
      <c r="J70" s="107"/>
      <c r="K70" s="107"/>
      <c r="L70" s="107"/>
      <c r="M70" s="107"/>
      <c r="N70" s="107"/>
      <c r="T70" s="206"/>
      <c r="U70" s="524"/>
      <c r="V70" s="524"/>
      <c r="W70" s="524"/>
      <c r="X70" s="524"/>
      <c r="Y70" s="524"/>
      <c r="Z70" s="524"/>
      <c r="AA70" s="524"/>
      <c r="AB70" s="524"/>
      <c r="AC70" s="524"/>
      <c r="AD70" s="524"/>
      <c r="AE70" s="524"/>
      <c r="AF70" s="524"/>
      <c r="AG70" s="523"/>
    </row>
    <row r="71" spans="1:33" s="106" customFormat="1" ht="16.5" customHeight="1">
      <c r="A71" s="109"/>
      <c r="B71" s="149" t="s">
        <v>432</v>
      </c>
      <c r="C71" s="107">
        <f>C49+C54</f>
        <v>183675.59962899442</v>
      </c>
      <c r="D71" s="107">
        <f t="shared" ref="D71:N71" si="16">D49+D54</f>
        <v>194756.89863740801</v>
      </c>
      <c r="E71" s="107">
        <f t="shared" si="16"/>
        <v>199103.10885575155</v>
      </c>
      <c r="F71" s="107">
        <f t="shared" si="16"/>
        <v>189963.92653296088</v>
      </c>
      <c r="G71" s="107">
        <f t="shared" si="16"/>
        <v>201089.4628712103</v>
      </c>
      <c r="H71" s="107">
        <f t="shared" si="16"/>
        <v>196147.56332278685</v>
      </c>
      <c r="I71" s="107">
        <f t="shared" si="16"/>
        <v>194765.70425145232</v>
      </c>
      <c r="J71" s="107">
        <f t="shared" si="16"/>
        <v>198378.86341107805</v>
      </c>
      <c r="K71" s="107">
        <f t="shared" si="16"/>
        <v>187615.29172549956</v>
      </c>
      <c r="L71" s="107">
        <f t="shared" si="16"/>
        <v>184565.46929095453</v>
      </c>
      <c r="M71" s="107">
        <f t="shared" si="16"/>
        <v>195555.52071977025</v>
      </c>
      <c r="N71" s="107">
        <f t="shared" si="16"/>
        <v>196375.00174022606</v>
      </c>
      <c r="O71" s="107"/>
      <c r="P71" s="152">
        <f>AVERAGE(C71:N71)</f>
        <v>193499.36758234107</v>
      </c>
      <c r="T71" s="206"/>
      <c r="U71" s="523"/>
      <c r="V71" s="523"/>
      <c r="W71" s="523"/>
      <c r="X71" s="523"/>
      <c r="Y71" s="523"/>
      <c r="Z71" s="523"/>
      <c r="AA71" s="523"/>
      <c r="AB71" s="523"/>
      <c r="AC71" s="523"/>
      <c r="AD71" s="523"/>
      <c r="AE71" s="523"/>
      <c r="AF71" s="523"/>
      <c r="AG71" s="523"/>
    </row>
    <row r="72" spans="1:33" s="106" customFormat="1" ht="16.5" customHeight="1">
      <c r="A72" s="109"/>
      <c r="B72" s="149" t="s">
        <v>430</v>
      </c>
      <c r="C72" s="107">
        <f>MAX(+C$29/C$19/C14,C71)</f>
        <v>201051.97737590069</v>
      </c>
      <c r="D72" s="107">
        <f t="shared" ref="D72:N72" si="17">MAX(+D$29/D$19/D14,D71)</f>
        <v>212056.17035280471</v>
      </c>
      <c r="E72" s="107">
        <f t="shared" si="17"/>
        <v>199103.10885575155</v>
      </c>
      <c r="F72" s="107">
        <f t="shared" si="17"/>
        <v>202044.20435800703</v>
      </c>
      <c r="G72" s="107">
        <f t="shared" si="17"/>
        <v>201089.4628712103</v>
      </c>
      <c r="H72" s="107">
        <f t="shared" si="17"/>
        <v>208825.42964257335</v>
      </c>
      <c r="I72" s="107">
        <f t="shared" si="17"/>
        <v>203113.59807110066</v>
      </c>
      <c r="J72" s="107">
        <f t="shared" si="17"/>
        <v>200233.39566681464</v>
      </c>
      <c r="K72" s="107">
        <f t="shared" si="17"/>
        <v>219013.02650990119</v>
      </c>
      <c r="L72" s="107">
        <f t="shared" si="17"/>
        <v>203268.18061016209</v>
      </c>
      <c r="M72" s="107">
        <f t="shared" si="17"/>
        <v>216111.1289084258</v>
      </c>
      <c r="N72" s="107">
        <f t="shared" si="17"/>
        <v>211366.07241254897</v>
      </c>
      <c r="O72" s="107"/>
      <c r="P72" s="152">
        <f>AVERAGE(C72:N72)</f>
        <v>206439.64630293346</v>
      </c>
      <c r="U72" s="206"/>
      <c r="V72" s="523"/>
      <c r="W72" s="523"/>
      <c r="X72" s="523"/>
      <c r="Y72" s="523"/>
      <c r="Z72" s="523"/>
      <c r="AA72" s="523"/>
      <c r="AB72" s="523"/>
      <c r="AC72" s="523"/>
      <c r="AD72" s="523"/>
      <c r="AE72" s="523"/>
      <c r="AF72" s="523"/>
      <c r="AG72" s="523"/>
    </row>
    <row r="73" spans="1:33" s="106" customFormat="1" ht="16.5" customHeight="1">
      <c r="A73" s="109"/>
      <c r="B73" s="149" t="s">
        <v>133</v>
      </c>
      <c r="C73" s="107">
        <f>MAX(+C$29/C$15/C20,C72)</f>
        <v>233013.00815124941</v>
      </c>
      <c r="D73" s="107">
        <f t="shared" ref="D73:N73" si="18">MAX(+D$29/D$15/D20,D72)</f>
        <v>246679.31018013397</v>
      </c>
      <c r="E73" s="107">
        <f t="shared" si="18"/>
        <v>226031.10440446486</v>
      </c>
      <c r="F73" s="107">
        <f t="shared" si="18"/>
        <v>234712.90394632716</v>
      </c>
      <c r="G73" s="107">
        <f t="shared" si="18"/>
        <v>222089.45405944609</v>
      </c>
      <c r="H73" s="107">
        <f t="shared" si="18"/>
        <v>245393.14342016069</v>
      </c>
      <c r="I73" s="107">
        <f t="shared" si="18"/>
        <v>235166.01081140072</v>
      </c>
      <c r="J73" s="107">
        <f t="shared" si="18"/>
        <v>231046.81561098265</v>
      </c>
      <c r="K73" s="107">
        <f t="shared" si="18"/>
        <v>252981.3465033937</v>
      </c>
      <c r="L73" s="107">
        <f t="shared" si="18"/>
        <v>232933.67691099556</v>
      </c>
      <c r="M73" s="107">
        <f t="shared" si="18"/>
        <v>249768.43936623551</v>
      </c>
      <c r="N73" s="107">
        <f t="shared" si="18"/>
        <v>239208.20884994659</v>
      </c>
      <c r="O73" s="107"/>
      <c r="P73" s="152">
        <f>AVERAGE(C73:N73)</f>
        <v>237418.61851789473</v>
      </c>
      <c r="U73" s="541"/>
      <c r="V73" s="541"/>
      <c r="W73" s="541"/>
      <c r="X73" s="541"/>
      <c r="Y73" s="541"/>
      <c r="Z73" s="541"/>
      <c r="AA73" s="541"/>
      <c r="AB73" s="541"/>
      <c r="AC73" s="541"/>
      <c r="AD73" s="541"/>
      <c r="AE73" s="541"/>
      <c r="AF73" s="541"/>
      <c r="AG73" s="523"/>
    </row>
    <row r="74" spans="1:33" s="106" customFormat="1" ht="16.5" customHeight="1">
      <c r="A74" s="109"/>
      <c r="B74" s="149" t="s">
        <v>158</v>
      </c>
      <c r="C74" s="499">
        <f>C29/C20/C71</f>
        <v>0.93660486950357602</v>
      </c>
      <c r="D74" s="499">
        <f t="shared" ref="D74:N74" si="19">D29/D20/D71</f>
        <v>0.91152509532280956</v>
      </c>
      <c r="E74" s="499">
        <f t="shared" si="19"/>
        <v>0.81599459404512331</v>
      </c>
      <c r="F74" s="499">
        <f t="shared" si="19"/>
        <v>0.91817873363307223</v>
      </c>
      <c r="G74" s="499">
        <f t="shared" si="19"/>
        <v>0.83457457605966689</v>
      </c>
      <c r="H74" s="499">
        <f t="shared" si="19"/>
        <v>0.91754809069970333</v>
      </c>
      <c r="I74" s="499">
        <f t="shared" si="19"/>
        <v>0.89841431639885838</v>
      </c>
      <c r="J74" s="499">
        <f t="shared" si="19"/>
        <v>0.87587059791559674</v>
      </c>
      <c r="K74" s="499">
        <f t="shared" si="19"/>
        <v>0.98023287279782734</v>
      </c>
      <c r="L74" s="499">
        <f t="shared" si="19"/>
        <v>0.93708115198947184</v>
      </c>
      <c r="M74" s="499">
        <f t="shared" si="19"/>
        <v>0.9351221481144486</v>
      </c>
      <c r="N74" s="499">
        <f t="shared" si="19"/>
        <v>0.90359368958947994</v>
      </c>
      <c r="O74" s="107"/>
      <c r="P74" s="152"/>
      <c r="U74" s="542"/>
      <c r="V74" s="542"/>
      <c r="W74" s="542"/>
      <c r="X74" s="542"/>
      <c r="Y74" s="542"/>
      <c r="Z74" s="542"/>
      <c r="AA74" s="542"/>
      <c r="AB74" s="542"/>
      <c r="AC74" s="542"/>
      <c r="AD74" s="542"/>
      <c r="AE74" s="542"/>
      <c r="AF74" s="542"/>
      <c r="AG74" s="523"/>
    </row>
    <row r="75" spans="1:33" s="106" customFormat="1" ht="16.5" customHeight="1">
      <c r="A75" s="109"/>
      <c r="B75" s="149" t="s">
        <v>988</v>
      </c>
      <c r="C75" s="499">
        <f>C29/C20/C72</f>
        <v>0.85565664793171103</v>
      </c>
      <c r="D75" s="499">
        <f t="shared" ref="D75:N75" si="20">D29/D20/D72</f>
        <v>0.83716404148902002</v>
      </c>
      <c r="E75" s="499">
        <f t="shared" si="20"/>
        <v>0.81599459404512331</v>
      </c>
      <c r="F75" s="499">
        <f t="shared" si="20"/>
        <v>0.86328057790234591</v>
      </c>
      <c r="G75" s="499">
        <f t="shared" si="20"/>
        <v>0.83457457605966689</v>
      </c>
      <c r="H75" s="499">
        <f t="shared" si="20"/>
        <v>0.86184341883202653</v>
      </c>
      <c r="I75" s="499">
        <f t="shared" si="20"/>
        <v>0.86148982000583874</v>
      </c>
      <c r="J75" s="499">
        <f t="shared" si="20"/>
        <v>0.86775841328087855</v>
      </c>
      <c r="K75" s="499">
        <f t="shared" si="20"/>
        <v>0.8397065659497418</v>
      </c>
      <c r="L75" s="499">
        <f t="shared" si="20"/>
        <v>0.85086028743644215</v>
      </c>
      <c r="M75" s="499">
        <f t="shared" si="20"/>
        <v>0.84617714753875128</v>
      </c>
      <c r="N75" s="499">
        <f t="shared" si="20"/>
        <v>0.83950659791441751</v>
      </c>
      <c r="O75" s="107"/>
      <c r="P75" s="152"/>
      <c r="U75" s="542"/>
      <c r="V75" s="542"/>
      <c r="W75" s="542"/>
      <c r="X75" s="542"/>
      <c r="Y75" s="542"/>
      <c r="Z75" s="542"/>
      <c r="AA75" s="542"/>
      <c r="AB75" s="542"/>
      <c r="AC75" s="542"/>
      <c r="AD75" s="542"/>
      <c r="AE75" s="542"/>
      <c r="AF75" s="542"/>
      <c r="AG75" s="524"/>
    </row>
    <row r="76" spans="1:33" s="106" customFormat="1" ht="16.5" customHeight="1">
      <c r="A76" s="109"/>
      <c r="B76" s="149" t="s">
        <v>150</v>
      </c>
      <c r="C76" s="499">
        <f>C29/C20/C73</f>
        <v>0.73829123269306607</v>
      </c>
      <c r="D76" s="499">
        <f t="shared" ref="D76:N76" si="21">D29/D20/D73</f>
        <v>0.71966230352112825</v>
      </c>
      <c r="E76" s="499">
        <f t="shared" si="21"/>
        <v>0.71878187257426729</v>
      </c>
      <c r="F76" s="499">
        <f t="shared" si="21"/>
        <v>0.74312419371661631</v>
      </c>
      <c r="G76" s="499">
        <f t="shared" si="21"/>
        <v>0.75566016376844902</v>
      </c>
      <c r="H76" s="499">
        <f t="shared" si="21"/>
        <v>0.73341422549068702</v>
      </c>
      <c r="I76" s="499">
        <f t="shared" si="21"/>
        <v>0.74407137510761323</v>
      </c>
      <c r="J76" s="499">
        <f t="shared" si="21"/>
        <v>0.75203033311755429</v>
      </c>
      <c r="K76" s="499">
        <f t="shared" si="21"/>
        <v>0.72695745726225636</v>
      </c>
      <c r="L76" s="499">
        <f t="shared" si="21"/>
        <v>0.74249814313767426</v>
      </c>
      <c r="M76" s="499">
        <f t="shared" si="21"/>
        <v>0.73215134416150673</v>
      </c>
      <c r="N76" s="499">
        <f t="shared" si="21"/>
        <v>0.74179399285122416</v>
      </c>
      <c r="O76" s="107"/>
      <c r="P76" s="152"/>
      <c r="U76" s="542"/>
      <c r="V76" s="542"/>
      <c r="W76" s="542"/>
      <c r="X76" s="542"/>
      <c r="Y76" s="542"/>
      <c r="Z76" s="542"/>
      <c r="AA76" s="542"/>
      <c r="AB76" s="542"/>
      <c r="AC76" s="542"/>
      <c r="AD76" s="542"/>
      <c r="AE76" s="542"/>
      <c r="AF76" s="542"/>
      <c r="AG76" s="524"/>
    </row>
    <row r="77" spans="1:33" s="106" customFormat="1" ht="16.5" customHeight="1">
      <c r="A77" s="109"/>
      <c r="B77" s="108"/>
      <c r="C77" s="107"/>
      <c r="D77" s="107"/>
      <c r="E77" s="107"/>
      <c r="F77" s="107"/>
      <c r="G77" s="107"/>
      <c r="H77" s="107"/>
      <c r="I77" s="107"/>
      <c r="J77" s="107"/>
      <c r="K77" s="107"/>
      <c r="L77" s="107"/>
      <c r="M77" s="107"/>
      <c r="N77" s="107"/>
      <c r="U77" s="543"/>
      <c r="V77" s="543"/>
      <c r="W77" s="543"/>
      <c r="X77" s="543"/>
      <c r="Y77" s="543"/>
      <c r="Z77" s="543"/>
      <c r="AA77" s="543"/>
      <c r="AB77" s="543"/>
      <c r="AC77" s="543"/>
      <c r="AD77" s="543"/>
      <c r="AE77" s="543"/>
      <c r="AF77" s="543"/>
      <c r="AG77" s="524"/>
    </row>
    <row r="78" spans="1:33" ht="13.2">
      <c r="A78" s="42" t="s">
        <v>116</v>
      </c>
      <c r="C78" s="105"/>
      <c r="U78" s="543"/>
      <c r="V78" s="543"/>
      <c r="W78" s="543"/>
      <c r="X78" s="543"/>
      <c r="Y78" s="543"/>
      <c r="Z78" s="543"/>
      <c r="AA78" s="543"/>
      <c r="AB78" s="543"/>
      <c r="AC78" s="543"/>
      <c r="AD78" s="543"/>
      <c r="AE78" s="543"/>
      <c r="AF78" s="543"/>
      <c r="AG78" s="523"/>
    </row>
    <row r="79" spans="1:33" ht="13.2">
      <c r="A79"/>
      <c r="B79" s="10" t="s">
        <v>338</v>
      </c>
      <c r="C79" s="105"/>
      <c r="D79" s="105"/>
      <c r="E79" s="105"/>
      <c r="F79" s="105"/>
      <c r="G79" s="105"/>
      <c r="H79" s="105"/>
      <c r="I79" s="105"/>
      <c r="J79" s="105"/>
      <c r="K79" s="105"/>
      <c r="L79" s="105"/>
      <c r="M79" s="105"/>
      <c r="N79" s="105"/>
      <c r="U79" s="543"/>
      <c r="V79" s="543"/>
      <c r="W79" s="543"/>
      <c r="X79" s="543"/>
      <c r="Y79" s="543"/>
      <c r="Z79" s="543"/>
      <c r="AA79" s="543"/>
      <c r="AB79" s="543"/>
      <c r="AC79" s="543"/>
      <c r="AD79" s="543"/>
      <c r="AE79" s="543"/>
      <c r="AF79" s="543"/>
    </row>
    <row r="80" spans="1:33" ht="13.2">
      <c r="A80"/>
      <c r="B80" s="81" t="s">
        <v>426</v>
      </c>
      <c r="V80" s="150"/>
      <c r="W80" s="150"/>
      <c r="X80" s="150"/>
      <c r="Y80" s="150"/>
      <c r="Z80" s="150"/>
      <c r="AA80" s="150"/>
      <c r="AB80" s="150"/>
      <c r="AC80" s="150"/>
      <c r="AD80" s="150"/>
      <c r="AE80" s="150"/>
      <c r="AF80" s="150"/>
      <c r="AG80" s="150"/>
    </row>
    <row r="81" spans="1:33" ht="13.2">
      <c r="A81"/>
      <c r="B81" s="125" t="s">
        <v>431</v>
      </c>
      <c r="C81" s="104"/>
      <c r="V81" s="534"/>
      <c r="W81" s="534"/>
      <c r="X81" s="534"/>
      <c r="Y81" s="534"/>
      <c r="Z81" s="534"/>
      <c r="AA81" s="534"/>
      <c r="AB81" s="534"/>
      <c r="AC81" s="534"/>
      <c r="AD81" s="534"/>
      <c r="AE81" s="534"/>
      <c r="AF81" s="534"/>
      <c r="AG81" s="534"/>
    </row>
    <row r="82" spans="1:33" ht="13.2">
      <c r="A82"/>
      <c r="B82" s="153" t="s">
        <v>435</v>
      </c>
      <c r="E82" s="88"/>
      <c r="V82" s="534"/>
      <c r="W82" s="534"/>
      <c r="X82" s="534"/>
      <c r="Y82" s="534"/>
      <c r="Z82" s="534"/>
      <c r="AA82" s="534"/>
      <c r="AB82" s="534"/>
      <c r="AC82" s="534"/>
      <c r="AD82" s="534"/>
      <c r="AE82" s="534"/>
      <c r="AF82" s="534"/>
      <c r="AG82" s="534"/>
    </row>
    <row r="83" spans="1:33" ht="13.2">
      <c r="A83"/>
      <c r="B83" t="s">
        <v>433</v>
      </c>
      <c r="C83" s="98"/>
      <c r="D83" s="98"/>
      <c r="E83" s="98"/>
      <c r="F83" s="98"/>
      <c r="G83" s="98"/>
      <c r="H83" s="98"/>
      <c r="I83" s="98"/>
      <c r="J83" s="98"/>
      <c r="K83" s="98"/>
      <c r="L83" s="98"/>
      <c r="M83" s="98"/>
      <c r="N83" s="98"/>
      <c r="V83" s="534"/>
      <c r="W83" s="534"/>
      <c r="X83" s="534"/>
      <c r="Y83" s="534"/>
      <c r="Z83" s="534"/>
      <c r="AA83" s="534"/>
      <c r="AB83" s="534"/>
      <c r="AC83" s="534"/>
      <c r="AD83" s="534"/>
      <c r="AE83" s="534"/>
      <c r="AF83" s="534"/>
      <c r="AG83" s="534"/>
    </row>
    <row r="84" spans="1:33">
      <c r="B84" s="10" t="s">
        <v>534</v>
      </c>
      <c r="E84" s="10"/>
      <c r="V84" s="534"/>
      <c r="W84" s="534"/>
      <c r="X84" s="534"/>
      <c r="Y84" s="534"/>
      <c r="Z84" s="534"/>
      <c r="AA84" s="534"/>
      <c r="AB84" s="534"/>
      <c r="AC84" s="534"/>
      <c r="AD84" s="534"/>
      <c r="AE84" s="534"/>
      <c r="AF84" s="534"/>
      <c r="AG84" s="534"/>
    </row>
    <row r="85" spans="1:33" ht="15.6" thickBot="1">
      <c r="B85" s="10"/>
      <c r="E85" s="10"/>
      <c r="V85" s="534"/>
      <c r="W85" s="534"/>
      <c r="X85" s="534"/>
      <c r="Y85" s="534"/>
      <c r="Z85" s="534"/>
      <c r="AA85" s="534"/>
      <c r="AB85" s="534"/>
      <c r="AC85" s="534"/>
      <c r="AD85" s="534"/>
      <c r="AE85" s="534"/>
      <c r="AF85" s="534"/>
      <c r="AG85" s="534"/>
    </row>
    <row r="86" spans="1:33" ht="15.6" thickBot="1">
      <c r="C86" s="102" t="s">
        <v>79</v>
      </c>
      <c r="D86" s="101" t="s">
        <v>80</v>
      </c>
      <c r="E86" s="100" t="s">
        <v>81</v>
      </c>
      <c r="F86" s="100" t="s">
        <v>70</v>
      </c>
      <c r="G86" s="100" t="s">
        <v>71</v>
      </c>
      <c r="H86" s="101" t="s">
        <v>72</v>
      </c>
      <c r="I86" s="102" t="s">
        <v>73</v>
      </c>
      <c r="J86" s="102" t="s">
        <v>74</v>
      </c>
      <c r="K86" s="103" t="s">
        <v>75</v>
      </c>
      <c r="L86" s="103" t="s">
        <v>76</v>
      </c>
      <c r="M86" s="103" t="s">
        <v>77</v>
      </c>
      <c r="N86" s="103" t="s">
        <v>78</v>
      </c>
      <c r="V86" s="534"/>
      <c r="W86" s="534"/>
      <c r="X86" s="534"/>
      <c r="Y86" s="534"/>
      <c r="Z86" s="534"/>
      <c r="AA86" s="534"/>
      <c r="AB86" s="534"/>
      <c r="AC86" s="534"/>
      <c r="AD86" s="534"/>
      <c r="AE86" s="534"/>
      <c r="AF86" s="534"/>
      <c r="AG86" s="534"/>
    </row>
    <row r="87" spans="1:33">
      <c r="B87" s="43" t="s">
        <v>547</v>
      </c>
      <c r="C87" s="145">
        <f>VLOOKUP($B$9&amp;" Total",'Billing Demand'!$A$5:$AL$44,C$9,FALSE)</f>
        <v>215637</v>
      </c>
      <c r="D87" s="145">
        <f>VLOOKUP($B$9&amp;" Total",'Billing Demand'!$A$5:$AL$44,D$9,FALSE)</f>
        <v>221913</v>
      </c>
      <c r="E87" s="145">
        <f>VLOOKUP($B$9&amp;" Total",'Billing Demand'!$A$5:$AL$44,E$9,FALSE)</f>
        <v>225145</v>
      </c>
      <c r="F87" s="145">
        <f>VLOOKUP($B$9&amp;" Total",'Billing Demand'!$A$5:$AL$44,F$9,FALSE)</f>
        <v>221896</v>
      </c>
      <c r="G87" s="145">
        <f>VLOOKUP($B$9&amp;" Total",'Billing Demand'!$A$5:$AL$44,G$9,FALSE)</f>
        <v>215156</v>
      </c>
      <c r="H87" s="145">
        <f>VLOOKUP($B$9&amp;" Total",'Billing Demand'!$A$5:$AL$44,H$9,FALSE)</f>
        <v>224354</v>
      </c>
      <c r="I87" s="145">
        <f>VLOOKUP($B$9&amp;" Total",'Billing Demand'!$A$5:$AL$44,I$9,FALSE)</f>
        <v>230224</v>
      </c>
      <c r="J87" s="145">
        <f>VLOOKUP($B$9&amp;" Total",'Billing Demand'!$A$5:$AL$44,J$9,FALSE)</f>
        <v>227127</v>
      </c>
      <c r="K87" s="145">
        <f>VLOOKUP($B$9&amp;" Total",'Billing Demand'!$A$5:$AL$44,K$9,FALSE)</f>
        <v>195267</v>
      </c>
      <c r="L87" s="145">
        <f>VLOOKUP($B$9&amp;" Total",'Billing Demand'!$A$5:$AL$44,L$9,FALSE)</f>
        <v>238749</v>
      </c>
      <c r="M87" s="145">
        <f>VLOOKUP($B$9&amp;" Total",'Billing Demand'!$A$5:$AL$44,M$9,FALSE)</f>
        <v>234441</v>
      </c>
      <c r="N87" s="145">
        <f>VLOOKUP($B$9&amp;" Total",'Billing Demand'!$A$5:$AL$44,N$9,FALSE)</f>
        <v>230289</v>
      </c>
    </row>
    <row r="88" spans="1:33">
      <c r="B88" s="239" t="s">
        <v>548</v>
      </c>
      <c r="C88" s="235">
        <f t="shared" ref="C88:N88" si="22">+C60</f>
        <v>223784.1068264567</v>
      </c>
      <c r="D88" s="235">
        <f t="shared" si="22"/>
        <v>229024.46153605607</v>
      </c>
      <c r="E88" s="235">
        <f t="shared" si="22"/>
        <v>217328.62729093328</v>
      </c>
      <c r="F88" s="235">
        <f t="shared" si="22"/>
        <v>225784.95481467768</v>
      </c>
      <c r="G88" s="235">
        <f t="shared" si="22"/>
        <v>213828.76605608175</v>
      </c>
      <c r="H88" s="235">
        <f t="shared" si="22"/>
        <v>236628.50416488794</v>
      </c>
      <c r="I88" s="235">
        <f t="shared" si="22"/>
        <v>226991.34665196994</v>
      </c>
      <c r="J88" s="235">
        <f t="shared" si="22"/>
        <v>223325.04010157057</v>
      </c>
      <c r="K88" s="235">
        <f t="shared" si="22"/>
        <v>244815.19348573271</v>
      </c>
      <c r="L88" s="235">
        <f t="shared" si="22"/>
        <v>225276.72282148991</v>
      </c>
      <c r="M88" s="235">
        <f t="shared" si="22"/>
        <v>241657.46834816775</v>
      </c>
      <c r="N88" s="235">
        <f t="shared" si="22"/>
        <v>231665.58383727225</v>
      </c>
    </row>
    <row r="89" spans="1:33">
      <c r="B89" s="45" t="s">
        <v>535</v>
      </c>
      <c r="C89" s="236" t="str">
        <f>IF(C87&gt;=C88,"OK","ERROR")</f>
        <v>ERROR</v>
      </c>
      <c r="D89" s="236" t="str">
        <f t="shared" ref="D89:N89" si="23">IF(D87&gt;=D88,"OK","ERROR")</f>
        <v>ERROR</v>
      </c>
      <c r="E89" s="236" t="str">
        <f t="shared" si="23"/>
        <v>OK</v>
      </c>
      <c r="F89" s="236" t="str">
        <f t="shared" si="23"/>
        <v>ERROR</v>
      </c>
      <c r="G89" s="236" t="str">
        <f t="shared" si="23"/>
        <v>OK</v>
      </c>
      <c r="H89" s="236" t="str">
        <f t="shared" si="23"/>
        <v>ERROR</v>
      </c>
      <c r="I89" s="236" t="str">
        <f t="shared" si="23"/>
        <v>OK</v>
      </c>
      <c r="J89" s="236" t="str">
        <f t="shared" si="23"/>
        <v>OK</v>
      </c>
      <c r="K89" s="236" t="str">
        <f t="shared" si="23"/>
        <v>ERROR</v>
      </c>
      <c r="L89" s="236" t="str">
        <f t="shared" si="23"/>
        <v>OK</v>
      </c>
      <c r="M89" s="236" t="str">
        <f t="shared" si="23"/>
        <v>ERROR</v>
      </c>
      <c r="N89" s="236" t="str">
        <f t="shared" si="23"/>
        <v>ERROR</v>
      </c>
    </row>
    <row r="90" spans="1:33" ht="15.6" thickBot="1">
      <c r="G90" s="145"/>
    </row>
    <row r="91" spans="1:33" ht="15.6" thickBot="1">
      <c r="C91" s="102" t="s">
        <v>79</v>
      </c>
      <c r="D91" s="101" t="s">
        <v>80</v>
      </c>
      <c r="E91" s="100" t="s">
        <v>81</v>
      </c>
      <c r="F91" s="100" t="s">
        <v>70</v>
      </c>
      <c r="G91" s="100" t="s">
        <v>71</v>
      </c>
      <c r="H91" s="101" t="s">
        <v>72</v>
      </c>
      <c r="I91" s="102" t="s">
        <v>73</v>
      </c>
      <c r="J91" s="102" t="s">
        <v>74</v>
      </c>
      <c r="K91" s="103" t="s">
        <v>75</v>
      </c>
      <c r="L91" s="103" t="s">
        <v>76</v>
      </c>
      <c r="M91" s="103" t="s">
        <v>77</v>
      </c>
      <c r="N91" s="103" t="s">
        <v>78</v>
      </c>
    </row>
    <row r="92" spans="1:33" ht="409.6">
      <c r="B92" s="43" t="s">
        <v>549</v>
      </c>
      <c r="C92" s="145">
        <f>VLOOKUP($B$9&amp;" Total",'Billing Demand'!$A$5:$AL$44,C$9+12,FALSE)</f>
        <v>220613</v>
      </c>
      <c r="D92" s="145">
        <f>VLOOKUP($B$9&amp;" Total",'Billing Demand'!$A$5:$AL$44,D$9+12,FALSE)</f>
        <v>226871</v>
      </c>
      <c r="E92" s="145">
        <f>VLOOKUP($B$9&amp;" Total",'Billing Demand'!$A$5:$AL$44,E$9+12,FALSE)</f>
        <v>230113</v>
      </c>
      <c r="F92" s="145">
        <f>VLOOKUP($B$9&amp;" Total",'Billing Demand'!$A$5:$AL$44,F$9+12,FALSE)</f>
        <v>226817</v>
      </c>
      <c r="G92" s="145">
        <f>VLOOKUP($B$9&amp;" Total",'Billing Demand'!$A$5:$AL$44,G$9+12,FALSE)</f>
        <v>219823</v>
      </c>
      <c r="H92" s="145">
        <f>VLOOKUP($B$9&amp;" Total",'Billing Demand'!$A$5:$AL$44,H$9+12,FALSE)</f>
        <v>229045</v>
      </c>
      <c r="I92" s="145">
        <f>VLOOKUP($B$9&amp;" Total",'Billing Demand'!$A$5:$AL$44,I$9+12,FALSE)</f>
        <v>234919</v>
      </c>
      <c r="J92" s="145">
        <f>VLOOKUP($B$9&amp;" Total",'Billing Demand'!$A$5:$AL$44,J$9+12,FALSE)</f>
        <v>231598</v>
      </c>
      <c r="K92" s="145">
        <f>VLOOKUP($B$9&amp;" Total",'Billing Demand'!$A$5:$AL$44,K$9+12,FALSE)</f>
        <v>199052</v>
      </c>
      <c r="L92" s="145">
        <f>VLOOKUP($B$9&amp;" Total",'Billing Demand'!$A$5:$AL$44,L$9+12,FALSE)</f>
        <v>243352</v>
      </c>
      <c r="M92" s="145">
        <f>VLOOKUP($B$9&amp;" Total",'Billing Demand'!$A$5:$AL$44,M$9+12,FALSE)</f>
        <v>238933</v>
      </c>
      <c r="N92" s="145">
        <f>VLOOKUP($B$9&amp;" Total",'Billing Demand'!$A$5:$AL$44,N$9+12,FALSE)</f>
        <v>234555</v>
      </c>
    </row>
    <row r="93" spans="1:33" ht="409.6">
      <c r="B93" s="239" t="s">
        <v>550</v>
      </c>
      <c r="C93" s="235">
        <f t="shared" ref="C93:N93" si="24">+C65</f>
        <v>228933.21533313606</v>
      </c>
      <c r="D93" s="235">
        <f t="shared" si="24"/>
        <v>242387.91869907276</v>
      </c>
      <c r="E93" s="235">
        <f t="shared" si="24"/>
        <v>222089.05574353845</v>
      </c>
      <c r="F93" s="235">
        <f t="shared" si="24"/>
        <v>230730.948406432</v>
      </c>
      <c r="G93" s="235">
        <f t="shared" si="24"/>
        <v>218425.85194730497</v>
      </c>
      <c r="H93" s="235">
        <f t="shared" si="24"/>
        <v>241521.38111059309</v>
      </c>
      <c r="I93" s="235">
        <f t="shared" si="24"/>
        <v>231568.84282359079</v>
      </c>
      <c r="J93" s="235">
        <f t="shared" si="24"/>
        <v>227643.11582501823</v>
      </c>
      <c r="K93" s="235">
        <f t="shared" si="24"/>
        <v>249350.39315840468</v>
      </c>
      <c r="L93" s="235">
        <f t="shared" si="24"/>
        <v>229519.27714811172</v>
      </c>
      <c r="M93" s="235">
        <f t="shared" si="24"/>
        <v>246171.72360688169</v>
      </c>
      <c r="N93" s="235">
        <f t="shared" si="24"/>
        <v>235858.97955450081</v>
      </c>
    </row>
    <row r="94" spans="1:33">
      <c r="B94" s="45" t="s">
        <v>535</v>
      </c>
      <c r="C94" s="236" t="str">
        <f>IF(C92&gt;=C93,"OK","ERROR")</f>
        <v>ERROR</v>
      </c>
      <c r="D94" s="236" t="str">
        <f t="shared" ref="D94:N94" si="25">IF(D92&gt;=D93,"OK","ERROR")</f>
        <v>ERROR</v>
      </c>
      <c r="E94" s="236" t="str">
        <f t="shared" si="25"/>
        <v>OK</v>
      </c>
      <c r="F94" s="236" t="str">
        <f t="shared" si="25"/>
        <v>ERROR</v>
      </c>
      <c r="G94" s="236" t="str">
        <f t="shared" si="25"/>
        <v>OK</v>
      </c>
      <c r="H94" s="236" t="str">
        <f t="shared" si="25"/>
        <v>ERROR</v>
      </c>
      <c r="I94" s="236" t="str">
        <f t="shared" si="25"/>
        <v>OK</v>
      </c>
      <c r="J94" s="236" t="str">
        <f t="shared" si="25"/>
        <v>OK</v>
      </c>
      <c r="K94" s="236" t="str">
        <f t="shared" si="25"/>
        <v>ERROR</v>
      </c>
      <c r="L94" s="236" t="str">
        <f t="shared" si="25"/>
        <v>OK</v>
      </c>
      <c r="M94" s="236" t="str">
        <f t="shared" si="25"/>
        <v>ERROR</v>
      </c>
      <c r="N94" s="236" t="str">
        <f t="shared" si="25"/>
        <v>ERROR</v>
      </c>
    </row>
  </sheetData>
  <mergeCells count="3">
    <mergeCell ref="C7:E7"/>
    <mergeCell ref="F7:L7"/>
    <mergeCell ref="M7:N7"/>
  </mergeCells>
  <conditionalFormatting sqref="C59:N59">
    <cfRule type="cellIs" dxfId="198" priority="12" operator="greaterThanOrEqual">
      <formula>C60</formula>
    </cfRule>
  </conditionalFormatting>
  <conditionalFormatting sqref="C58:N58">
    <cfRule type="cellIs" dxfId="197" priority="10" operator="greaterThanOrEqual">
      <formula>C59</formula>
    </cfRule>
  </conditionalFormatting>
  <conditionalFormatting sqref="C89:N89">
    <cfRule type="cellIs" dxfId="196" priority="8" stopIfTrue="1" operator="equal">
      <formula>"Error"</formula>
    </cfRule>
  </conditionalFormatting>
  <conditionalFormatting sqref="C94:N94">
    <cfRule type="cellIs" dxfId="195" priority="7" stopIfTrue="1" operator="equal">
      <formula>"Error"</formula>
    </cfRule>
  </conditionalFormatting>
  <conditionalFormatting sqref="C63:N63">
    <cfRule type="cellIs" dxfId="194" priority="2" operator="greaterThan">
      <formula>C64</formula>
    </cfRule>
  </conditionalFormatting>
  <conditionalFormatting sqref="C64:N64">
    <cfRule type="cellIs" dxfId="193" priority="1" operator="greaterThanOrEqual">
      <formula>C65</formula>
    </cfRule>
  </conditionalFormatting>
  <conditionalFormatting sqref="C71:N71">
    <cfRule type="cellIs" dxfId="192" priority="4" operator="greaterThan">
      <formula>C72</formula>
    </cfRule>
  </conditionalFormatting>
  <conditionalFormatting sqref="C72:N72">
    <cfRule type="cellIs" dxfId="191" priority="3" operator="greaterThanOrEqual">
      <formula>C73</formula>
    </cfRule>
  </conditionalFormatting>
  <pageMargins left="0" right="0" top="1" bottom="1" header="0.5" footer="0.5"/>
  <pageSetup scale="34" orientation="landscape" r:id="rId1"/>
  <headerFooter alignWithMargins="0">
    <oddFooter>&amp;LPrinted:  &amp;D&amp;C&amp;F&amp;RPage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pageSetUpPr fitToPage="1"/>
  </sheetPr>
  <dimension ref="A1:AG93"/>
  <sheetViews>
    <sheetView showGridLines="0" zoomScale="75" zoomScaleNormal="75" workbookViewId="0">
      <selection activeCell="B2" sqref="B2"/>
    </sheetView>
  </sheetViews>
  <sheetFormatPr defaultRowHeight="15"/>
  <cols>
    <col min="1" max="1" width="2.6640625" style="99" customWidth="1"/>
    <col min="2" max="2" width="25.5546875" customWidth="1"/>
    <col min="3" max="3" width="17.5546875" bestFit="1" customWidth="1"/>
    <col min="4" max="14" width="14" customWidth="1"/>
    <col min="15" max="15" width="2.6640625" customWidth="1"/>
    <col min="16" max="16" width="12.88671875" bestFit="1" customWidth="1"/>
    <col min="19" max="19" width="11.33203125" bestFit="1" customWidth="1"/>
    <col min="20" max="20" width="13.5546875" bestFit="1" customWidth="1"/>
    <col min="21" max="21" width="16.109375" bestFit="1" customWidth="1"/>
    <col min="22" max="32" width="10.6640625" bestFit="1" customWidth="1"/>
    <col min="33" max="33" width="7" customWidth="1"/>
    <col min="34" max="34" width="8.44140625" customWidth="1"/>
    <col min="35" max="35" width="11.5546875" bestFit="1" customWidth="1"/>
  </cols>
  <sheetData>
    <row r="1" spans="1:16" s="8" customFormat="1" ht="15.6">
      <c r="A1" s="624"/>
      <c r="B1" s="8" t="s">
        <v>1285</v>
      </c>
    </row>
    <row r="2" spans="1:16" s="8" customFormat="1" ht="15.6">
      <c r="A2" s="624"/>
      <c r="B2" s="8" t="s">
        <v>1267</v>
      </c>
    </row>
    <row r="3" spans="1:16" s="8" customFormat="1" ht="15.6">
      <c r="A3" s="624"/>
    </row>
    <row r="4" spans="1:16" ht="21">
      <c r="A4" s="124" t="s">
        <v>438</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49</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1.0071641350109672</v>
      </c>
      <c r="D13" s="529">
        <f>VLOOKUP($B$9,'Avg KWH'!$A$12:$O$38,D9,FALSE)/HOURS!C15/VLOOKUP($B$9,'Avg CP'!$A$12:$P$38,D9,FALSE)</f>
        <v>0.61170075820709413</v>
      </c>
      <c r="E13" s="115">
        <f>VLOOKUP($B$9,'Avg KWH'!$A$12:$O$38,E9,FALSE)/HOURS!D15/VLOOKUP($B$9,'Avg CP'!$A$12:$P$38,E9,FALSE)</f>
        <v>0.97206694243938074</v>
      </c>
      <c r="F13" s="115">
        <f>VLOOKUP($B$9,'Avg KWH'!$A$12:$O$38,F9,FALSE)/HOURS!E15/VLOOKUP($B$9,'Avg CP'!$A$12:$P$38,F9,FALSE)</f>
        <v>0.64826306419860125</v>
      </c>
      <c r="G13" s="115">
        <f>VLOOKUP($B$9,'Avg KWH'!$A$12:$O$38,G9,FALSE)/HOURS!F15/VLOOKUP($B$9,'Avg CP'!$A$12:$P$38,G9,FALSE)</f>
        <v>0.65063743544204922</v>
      </c>
      <c r="H13" s="115">
        <f>VLOOKUP($B$9,'Avg KWH'!$A$12:$O$38,H9,FALSE)/HOURS!G15/VLOOKUP($B$9,'Avg CP'!$A$12:$P$38,H9,FALSE)</f>
        <v>0.61426794266431473</v>
      </c>
      <c r="I13" s="115">
        <f>VLOOKUP($B$9,'Avg KWH'!$A$12:$O$38,I9,FALSE)/HOURS!H15/VLOOKUP($B$9,'Avg CP'!$A$12:$P$38,I9,FALSE)</f>
        <v>0.63886481842027099</v>
      </c>
      <c r="J13" s="115">
        <f>VLOOKUP($B$9,'Avg KWH'!$A$12:$O$38,J9,FALSE)/HOURS!I15/VLOOKUP($B$9,'Avg CP'!$A$12:$P$38,J9,FALSE)</f>
        <v>0.64673211134986464</v>
      </c>
      <c r="K13" s="115">
        <f>VLOOKUP($B$9,'Avg KWH'!$A$12:$O$38,K9,FALSE)/HOURS!J15/VLOOKUP($B$9,'Avg CP'!$A$12:$P$38,K9,FALSE)</f>
        <v>0.67642163804951994</v>
      </c>
      <c r="L13" s="115">
        <f>VLOOKUP($B$9,'Avg KWH'!$A$12:$O$38,L9,FALSE)/HOURS!K15/VLOOKUP($B$9,'Avg CP'!$A$12:$P$38,L9,FALSE)</f>
        <v>0.63835135944192256</v>
      </c>
      <c r="M13" s="115">
        <f>VLOOKUP($B$9,'Avg KWH'!$A$12:$O$38,M9,FALSE)/HOURS!L15/VLOOKUP($B$9,'Avg CP'!$A$12:$P$38,M9,FALSE)</f>
        <v>0.62746534301888723</v>
      </c>
      <c r="N13" s="115">
        <f>VLOOKUP($B$9,'Avg KWH'!$A$12:$O$38,N9,FALSE)/HOURS!M15/VLOOKUP($B$9,'Avg CP'!$A$12:$P$38,N9,FALSE)</f>
        <v>0.71088601286650077</v>
      </c>
    </row>
    <row r="14" spans="1:16" s="110" customFormat="1">
      <c r="A14" s="119"/>
      <c r="B14" s="118" t="s">
        <v>342</v>
      </c>
      <c r="C14" s="115">
        <f>VLOOKUP($B$9,'Avg KWH'!$A$12:$O$38,C9,FALSE)/HOURS!B15/VLOOKUP($B$9,'Avg GNCP'!$A$11:$P$37,C9,FALSE)</f>
        <v>0.61538906931827531</v>
      </c>
      <c r="D14" s="115">
        <f>VLOOKUP($B$9,'Avg KWH'!$A$12:$O$38,D9,FALSE)/HOURS!C15/VLOOKUP($B$9,'Avg GNCP'!$A$11:$P$37,D9,FALSE)</f>
        <v>0.60121862591813502</v>
      </c>
      <c r="E14" s="115">
        <f>VLOOKUP($B$9,'Avg KWH'!$A$12:$O$38,E9,FALSE)/HOURS!D15/VLOOKUP($B$9,'Avg GNCP'!$A$11:$P$37,E9,FALSE)</f>
        <v>0.62069556624569033</v>
      </c>
      <c r="F14" s="115">
        <f>VLOOKUP($B$9,'Avg KWH'!$A$12:$O$38,F9,FALSE)/HOURS!E15/VLOOKUP($B$9,'Avg GNCP'!$A$11:$P$37,F9,FALSE)</f>
        <v>0.57619589655574499</v>
      </c>
      <c r="G14" s="115">
        <f>VLOOKUP($B$9,'Avg KWH'!$A$12:$O$38,G9,FALSE)/HOURS!F15/VLOOKUP($B$9,'Avg GNCP'!$A$11:$P$37,G9,FALSE)</f>
        <v>0.59587242855742051</v>
      </c>
      <c r="H14" s="115">
        <f>VLOOKUP($B$9,'Avg KWH'!$A$12:$O$38,H9,FALSE)/HOURS!G15/VLOOKUP($B$9,'Avg GNCP'!$A$11:$P$37,H9,FALSE)</f>
        <v>0.59230396874887514</v>
      </c>
      <c r="I14" s="115">
        <f>VLOOKUP($B$9,'Avg KWH'!$A$12:$O$38,I9,FALSE)/HOURS!H15/VLOOKUP($B$9,'Avg GNCP'!$A$11:$P$37,I9,FALSE)</f>
        <v>0.60521679111592397</v>
      </c>
      <c r="J14" s="115">
        <f>VLOOKUP($B$9,'Avg KWH'!$A$12:$O$38,J9,FALSE)/HOURS!I15/VLOOKUP($B$9,'Avg GNCP'!$A$11:$P$37,J9,FALSE)</f>
        <v>0.61267237032436273</v>
      </c>
      <c r="K14" s="115">
        <f>VLOOKUP($B$9,'Avg KWH'!$A$12:$O$38,K9,FALSE)/HOURS!J15/VLOOKUP($B$9,'Avg GNCP'!$A$11:$P$37,K9,FALSE)</f>
        <v>0.59321260249319241</v>
      </c>
      <c r="L14" s="115">
        <f>VLOOKUP($B$9,'Avg KWH'!$A$12:$O$38,L9,FALSE)/HOURS!K15/VLOOKUP($B$9,'Avg GNCP'!$A$11:$P$37,L9,FALSE)</f>
        <v>0.58387501464411629</v>
      </c>
      <c r="M14" s="115">
        <f>VLOOKUP($B$9,'Avg KWH'!$A$12:$O$38,M9,FALSE)/HOURS!L15/VLOOKUP($B$9,'Avg GNCP'!$A$11:$P$37,M9,FALSE)</f>
        <v>0.58507381560242655</v>
      </c>
      <c r="N14" s="115">
        <f>VLOOKUP($B$9,'Avg KWH'!$A$12:$O$38,N9,FALSE)/HOURS!M15/VLOOKUP($B$9,'Avg GNCP'!$A$11:$P$37,N9,FALSE)</f>
        <v>0.59113887076362504</v>
      </c>
    </row>
    <row r="15" spans="1:16" s="10" customFormat="1">
      <c r="A15" s="119"/>
      <c r="B15" s="148" t="s">
        <v>133</v>
      </c>
      <c r="C15" s="115">
        <f>VLOOKUP($B$9,'Avg KWH'!$A$12:$O$38,C9,FALSE)/HOURS!B15/VLOOKUP($B$9,'Avg NCP'!$B$12:$P$38,C9-1,FALSE)</f>
        <v>0.30197247816223094</v>
      </c>
      <c r="D15" s="115">
        <f>VLOOKUP($B$9,'Avg KWH'!$A$12:$O$38,D9,FALSE)/HOURS!C15/VLOOKUP($B$9,'Avg NCP'!$B$12:$P$38,D9-1,FALSE)</f>
        <v>0.31603143133335759</v>
      </c>
      <c r="E15" s="115">
        <f>VLOOKUP($B$9,'Avg KWH'!$A$12:$O$38,E9,FALSE)/HOURS!D15/VLOOKUP($B$9,'Avg NCP'!$B$12:$P$38,E9-1,FALSE)</f>
        <v>0.31859129055779617</v>
      </c>
      <c r="F15" s="115">
        <f>VLOOKUP($B$9,'Avg KWH'!$A$12:$O$38,F9,FALSE)/HOURS!E15/VLOOKUP($B$9,'Avg NCP'!$B$12:$P$38,F9-1,FALSE)</f>
        <v>0.33965678982676434</v>
      </c>
      <c r="G15" s="115">
        <f>VLOOKUP($B$9,'Avg KWH'!$A$12:$O$38,G9,FALSE)/HOURS!F15/VLOOKUP($B$9,'Avg NCP'!$B$12:$P$38,G9-1,FALSE)</f>
        <v>0.3522709780334578</v>
      </c>
      <c r="H15" s="115">
        <f>VLOOKUP($B$9,'Avg KWH'!$A$12:$O$38,H9,FALSE)/HOURS!G15/VLOOKUP($B$9,'Avg NCP'!$B$12:$P$38,H9-1,FALSE)</f>
        <v>0.35707947272182489</v>
      </c>
      <c r="I15" s="115">
        <f>VLOOKUP($B$9,'Avg KWH'!$A$12:$O$38,I9,FALSE)/HOURS!H15/VLOOKUP($B$9,'Avg NCP'!$B$12:$P$38,I9-1,FALSE)</f>
        <v>0.37029619246958223</v>
      </c>
      <c r="J15" s="115">
        <f>VLOOKUP($B$9,'Avg KWH'!$A$12:$O$38,J9,FALSE)/HOURS!I15/VLOOKUP($B$9,'Avg NCP'!$B$12:$P$38,J9-1,FALSE)</f>
        <v>0.37558233763981702</v>
      </c>
      <c r="K15" s="115">
        <f>VLOOKUP($B$9,'Avg KWH'!$A$12:$O$38,K9,FALSE)/HOURS!J15/VLOOKUP($B$9,'Avg NCP'!$B$12:$P$38,K9-1,FALSE)</f>
        <v>0.3595686826050416</v>
      </c>
      <c r="L15" s="115">
        <f>VLOOKUP($B$9,'Avg KWH'!$A$12:$O$38,L9,FALSE)/HOURS!K15/VLOOKUP($B$9,'Avg NCP'!$B$12:$P$38,L9-1,FALSE)</f>
        <v>0.34640057507304778</v>
      </c>
      <c r="M15" s="115">
        <f>VLOOKUP($B$9,'Avg KWH'!$A$12:$O$38,M9,FALSE)/HOURS!L15/VLOOKUP($B$9,'Avg NCP'!$B$12:$P$38,M9-1,FALSE)</f>
        <v>0.3152240586741285</v>
      </c>
      <c r="N15" s="115">
        <f>VLOOKUP($B$9,'Avg KWH'!$A$12:$O$38,N9,FALSE)/HOURS!M15/VLOOKUP($B$9,'Avg NCP'!$B$12:$P$38,N9-1,FALSE)</f>
        <v>0.31136529123819584</v>
      </c>
    </row>
    <row r="16" spans="1:16">
      <c r="A16" s="114"/>
      <c r="C16" s="116"/>
      <c r="D16" s="116"/>
      <c r="E16" s="116"/>
      <c r="F16" s="116"/>
      <c r="G16" s="116"/>
      <c r="H16" s="116"/>
      <c r="I16" s="116"/>
      <c r="J16" s="116"/>
      <c r="K16" s="116"/>
      <c r="L16" s="116"/>
      <c r="M16" s="117"/>
      <c r="N16" s="116"/>
    </row>
    <row r="17" spans="1:14" ht="15.6">
      <c r="A17" s="113" t="s">
        <v>421</v>
      </c>
      <c r="C17" s="5"/>
      <c r="D17" s="5"/>
      <c r="E17" s="5"/>
      <c r="F17" s="5"/>
      <c r="G17" s="5"/>
      <c r="H17" s="5"/>
      <c r="I17" s="5"/>
      <c r="J17" s="5"/>
      <c r="K17" s="5"/>
      <c r="L17" s="5"/>
      <c r="M17" s="115"/>
      <c r="N17" s="5"/>
    </row>
    <row r="18" spans="1:14">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4">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4">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4">
      <c r="A21" s="114"/>
      <c r="C21" s="5"/>
      <c r="D21" s="5"/>
      <c r="E21" s="5"/>
      <c r="F21" s="5"/>
      <c r="G21" s="5"/>
      <c r="H21" s="5"/>
      <c r="I21" s="5"/>
      <c r="J21" s="5"/>
      <c r="K21" s="5"/>
      <c r="L21" s="5"/>
      <c r="M21" s="115"/>
      <c r="N21" s="5"/>
    </row>
    <row r="22" spans="1:14" ht="15.6">
      <c r="A22" s="113" t="s">
        <v>427</v>
      </c>
      <c r="C22" s="5"/>
      <c r="D22" s="5"/>
      <c r="E22" s="5"/>
      <c r="F22" s="5"/>
      <c r="G22" s="5"/>
      <c r="H22" s="5"/>
      <c r="I22" s="5"/>
      <c r="J22" s="5"/>
      <c r="K22" s="5"/>
      <c r="L22" s="5"/>
      <c r="M22" s="115"/>
      <c r="N22" s="5"/>
    </row>
    <row r="23" spans="1:14">
      <c r="A23" s="114"/>
      <c r="B23" t="s">
        <v>428</v>
      </c>
      <c r="C23" s="145">
        <v>0</v>
      </c>
      <c r="D23" s="145">
        <v>0</v>
      </c>
      <c r="E23" s="145">
        <v>0</v>
      </c>
      <c r="F23" s="145">
        <v>0</v>
      </c>
      <c r="G23" s="145">
        <v>0</v>
      </c>
      <c r="H23" s="145">
        <v>0</v>
      </c>
      <c r="I23" s="145">
        <v>0</v>
      </c>
      <c r="J23" s="145">
        <v>0</v>
      </c>
      <c r="K23" s="145">
        <v>0</v>
      </c>
      <c r="L23" s="145">
        <v>0</v>
      </c>
      <c r="M23" s="145">
        <v>0</v>
      </c>
      <c r="N23" s="145">
        <v>0</v>
      </c>
    </row>
    <row r="24" spans="1:14">
      <c r="A24" s="114"/>
      <c r="B24" t="s">
        <v>429</v>
      </c>
      <c r="C24" s="145">
        <v>0</v>
      </c>
      <c r="D24" s="145">
        <v>0</v>
      </c>
      <c r="E24" s="145">
        <v>0</v>
      </c>
      <c r="F24" s="145">
        <v>0</v>
      </c>
      <c r="G24" s="145">
        <v>0</v>
      </c>
      <c r="H24" s="145">
        <v>0</v>
      </c>
      <c r="I24" s="145">
        <v>0</v>
      </c>
      <c r="J24" s="145">
        <v>0</v>
      </c>
      <c r="K24" s="145">
        <v>0</v>
      </c>
      <c r="L24" s="145">
        <v>0</v>
      </c>
      <c r="M24" s="145">
        <v>0</v>
      </c>
      <c r="N24" s="145">
        <v>0</v>
      </c>
    </row>
    <row r="25" spans="1:14">
      <c r="A25" s="114"/>
      <c r="C25" s="145"/>
      <c r="D25" s="145"/>
      <c r="E25" s="145"/>
      <c r="F25" s="145"/>
      <c r="G25" s="145"/>
      <c r="H25" s="145"/>
      <c r="I25" s="145"/>
      <c r="J25" s="145"/>
      <c r="K25" s="145"/>
      <c r="L25" s="145"/>
      <c r="M25" s="145"/>
      <c r="N25" s="145"/>
    </row>
    <row r="26" spans="1:14" ht="15.6">
      <c r="A26" s="113" t="s">
        <v>424</v>
      </c>
      <c r="C26" s="5"/>
      <c r="D26" s="5"/>
      <c r="E26" s="5"/>
      <c r="F26" s="5"/>
      <c r="G26" s="5"/>
      <c r="H26" s="5"/>
      <c r="I26" s="5"/>
      <c r="J26" s="5"/>
      <c r="K26" s="5"/>
      <c r="L26" s="5"/>
      <c r="M26" s="115"/>
      <c r="N26" s="5"/>
    </row>
    <row r="27" spans="1:14" s="106" customFormat="1">
      <c r="A27" s="109"/>
      <c r="B27" s="108" t="str">
        <f>"PRIOR - "&amp;MANUAL!$B$9</f>
        <v>PRIOR - 2016</v>
      </c>
      <c r="C27" s="142">
        <f>VLOOKUP($B$9,'Sales Forecast'!$B$7:$AO$23,C9-1,FALSE)</f>
        <v>470760059</v>
      </c>
      <c r="D27" s="142">
        <f>VLOOKUP($B$9,'Sales Forecast'!$B$7:$AO$23,D9-1,FALSE)</f>
        <v>421592769</v>
      </c>
      <c r="E27" s="142">
        <f>VLOOKUP($B$9,'Sales Forecast'!$B$7:$AO$23,E9-1,FALSE)</f>
        <v>436757867</v>
      </c>
      <c r="F27" s="142">
        <f>VLOOKUP($B$9,'Sales Forecast'!$B$7:$AO$23,F9-1,FALSE)</f>
        <v>450298173</v>
      </c>
      <c r="G27" s="142">
        <f>VLOOKUP($B$9,'Sales Forecast'!$B$7:$AO$23,G9-1,FALSE)</f>
        <v>505307392</v>
      </c>
      <c r="H27" s="142">
        <f>VLOOKUP($B$9,'Sales Forecast'!$B$7:$AO$23,H9-1,FALSE)</f>
        <v>540288919</v>
      </c>
      <c r="I27" s="142">
        <f>VLOOKUP($B$9,'Sales Forecast'!$B$7:$AO$23,I9-1,FALSE)</f>
        <v>570697968</v>
      </c>
      <c r="J27" s="142">
        <f>VLOOKUP($B$9,'Sales Forecast'!$B$7:$AO$23,J9-1,FALSE)</f>
        <v>570537091</v>
      </c>
      <c r="K27" s="142">
        <f>VLOOKUP($B$9,'Sales Forecast'!$B$7:$AO$23,K9-1,FALSE)</f>
        <v>555590633</v>
      </c>
      <c r="L27" s="142">
        <f>VLOOKUP($B$9,'Sales Forecast'!$B$7:$AO$23,L9-1,FALSE)</f>
        <v>514010461</v>
      </c>
      <c r="M27" s="142">
        <f>VLOOKUP($B$9,'Sales Forecast'!$B$7:$AO$23,M9-1,FALSE)</f>
        <v>462739213</v>
      </c>
      <c r="N27" s="142">
        <f>VLOOKUP($B$9,'Sales Forecast'!$B$7:$AO$23,N9-1,FALSE)</f>
        <v>461311721</v>
      </c>
    </row>
    <row r="28" spans="1:14" s="12" customFormat="1" ht="15.6">
      <c r="A28" s="111"/>
      <c r="B28" s="108" t="str">
        <f>"TEST - "&amp;MANUAL!$B$10</f>
        <v>TEST - 2017</v>
      </c>
      <c r="C28" s="142">
        <f>VLOOKUP($B$9,'Sales Forecast'!$B$7:$AO$23,C9+11,FALSE)</f>
        <v>474037478</v>
      </c>
      <c r="D28" s="142">
        <f>VLOOKUP($B$9,'Sales Forecast'!$B$7:$AO$23,D9+11,FALSE)</f>
        <v>421493319</v>
      </c>
      <c r="E28" s="142">
        <f>VLOOKUP($B$9,'Sales Forecast'!$B$7:$AO$23,E9+11,FALSE)</f>
        <v>436128454</v>
      </c>
      <c r="F28" s="142">
        <f>VLOOKUP($B$9,'Sales Forecast'!$B$7:$AO$23,F9+11,FALSE)</f>
        <v>452175041</v>
      </c>
      <c r="G28" s="142">
        <f>VLOOKUP($B$9,'Sales Forecast'!$B$7:$AO$23,G9+11,FALSE)</f>
        <v>505437208</v>
      </c>
      <c r="H28" s="142">
        <f>VLOOKUP($B$9,'Sales Forecast'!$B$7:$AO$23,H9+11,FALSE)</f>
        <v>540809617</v>
      </c>
      <c r="I28" s="142">
        <f>VLOOKUP($B$9,'Sales Forecast'!$B$7:$AO$23,I9+11,FALSE)</f>
        <v>570905184</v>
      </c>
      <c r="J28" s="142">
        <f>VLOOKUP($B$9,'Sales Forecast'!$B$7:$AO$23,J9+11,FALSE)</f>
        <v>571130874</v>
      </c>
      <c r="K28" s="142">
        <f>VLOOKUP($B$9,'Sales Forecast'!$B$7:$AO$23,K9+11,FALSE)</f>
        <v>555576895</v>
      </c>
      <c r="L28" s="142">
        <f>VLOOKUP($B$9,'Sales Forecast'!$B$7:$AO$23,L9+11,FALSE)</f>
        <v>515188641</v>
      </c>
      <c r="M28" s="142">
        <f>VLOOKUP($B$9,'Sales Forecast'!$B$7:$AO$23,M9+11,FALSE)</f>
        <v>464021202</v>
      </c>
      <c r="N28" s="142">
        <f>VLOOKUP($B$9,'Sales Forecast'!$B$7:$AO$23,N9+11,FALSE)</f>
        <v>461888209</v>
      </c>
    </row>
    <row r="29" spans="1:14">
      <c r="A29" s="114"/>
      <c r="B29" t="s">
        <v>1094</v>
      </c>
      <c r="C29" s="142">
        <f>VLOOKUP($B$9,'Sales Forecast'!$B$7:$AO$23,C9+23,FALSE)</f>
        <v>474911913</v>
      </c>
      <c r="D29" s="142">
        <f>VLOOKUP($B$9,'Sales Forecast'!$B$7:$AO$23,D9+23,FALSE)</f>
        <v>423086514</v>
      </c>
      <c r="E29" s="142">
        <f>VLOOKUP($B$9,'Sales Forecast'!$B$7:$AO$23,E9+23,FALSE)</f>
        <v>438581362</v>
      </c>
      <c r="F29" s="142">
        <f>VLOOKUP($B$9,'Sales Forecast'!$B$7:$AO$23,F9+23,FALSE)</f>
        <v>455379730</v>
      </c>
      <c r="G29" s="142">
        <f>VLOOKUP($B$9,'Sales Forecast'!$B$7:$AO$23,G9+23,FALSE)</f>
        <v>508865785</v>
      </c>
      <c r="H29" s="142">
        <f>VLOOKUP($B$9,'Sales Forecast'!$B$7:$AO$23,H9+23,FALSE)</f>
        <v>544347197</v>
      </c>
      <c r="I29" s="142">
        <f>VLOOKUP($B$9,'Sales Forecast'!$B$7:$AO$23,I9+23,FALSE)</f>
        <v>574359053</v>
      </c>
      <c r="J29" s="142">
        <f>VLOOKUP($B$9,'Sales Forecast'!$B$7:$AO$23,J9+23,FALSE)</f>
        <v>574291634</v>
      </c>
      <c r="K29" s="142">
        <f>VLOOKUP($B$9,'Sales Forecast'!$B$7:$AO$23,K9+23,FALSE)</f>
        <v>558012811</v>
      </c>
      <c r="L29" s="142">
        <f>VLOOKUP($B$9,'Sales Forecast'!$B$7:$AO$23,L9+23,FALSE)</f>
        <v>518024824</v>
      </c>
      <c r="M29" s="142">
        <f>VLOOKUP($B$9,'Sales Forecast'!$B$7:$AO$23,M9+23,FALSE)</f>
        <v>466858900</v>
      </c>
      <c r="N29" s="142">
        <f>VLOOKUP($B$9,'Sales Forecast'!$B$7:$AO$23,N9+23,FALSE)</f>
        <v>465071362</v>
      </c>
    </row>
    <row r="30" spans="1:14">
      <c r="A30" s="114"/>
      <c r="C30" s="142"/>
      <c r="D30" s="142"/>
      <c r="E30" s="142"/>
      <c r="F30" s="142"/>
      <c r="G30" s="142"/>
      <c r="H30" s="142"/>
      <c r="I30" s="142"/>
      <c r="J30" s="142"/>
      <c r="K30" s="142"/>
      <c r="L30" s="142"/>
      <c r="M30" s="142"/>
      <c r="N30" s="142"/>
    </row>
    <row r="31" spans="1:14" ht="15.6">
      <c r="A31" s="113" t="s">
        <v>1248</v>
      </c>
      <c r="C31" s="142"/>
      <c r="D31" s="142"/>
      <c r="E31" s="142"/>
      <c r="F31" s="142"/>
      <c r="G31" s="142"/>
      <c r="H31" s="142"/>
      <c r="I31" s="142"/>
      <c r="J31" s="142"/>
      <c r="K31" s="142"/>
      <c r="L31" s="142"/>
      <c r="M31" s="142"/>
      <c r="N31" s="142"/>
    </row>
    <row r="32" spans="1:14">
      <c r="A32" s="114"/>
      <c r="B32" t="s">
        <v>1254</v>
      </c>
      <c r="C32" s="115">
        <v>0</v>
      </c>
      <c r="D32" s="115">
        <v>0</v>
      </c>
      <c r="E32" s="115">
        <v>0</v>
      </c>
      <c r="F32" s="115">
        <v>0</v>
      </c>
      <c r="G32" s="115">
        <v>0</v>
      </c>
      <c r="H32" s="115">
        <v>0</v>
      </c>
      <c r="I32" s="115">
        <v>0</v>
      </c>
      <c r="J32" s="115">
        <v>0</v>
      </c>
      <c r="K32" s="115">
        <v>0</v>
      </c>
      <c r="L32" s="115">
        <v>0</v>
      </c>
      <c r="M32" s="115">
        <v>0</v>
      </c>
      <c r="N32" s="115">
        <v>0</v>
      </c>
    </row>
    <row r="33" spans="1:33">
      <c r="A33" s="114"/>
      <c r="B33" t="s">
        <v>1253</v>
      </c>
      <c r="C33" s="115">
        <v>0</v>
      </c>
      <c r="D33" s="115">
        <v>0</v>
      </c>
      <c r="E33" s="115">
        <v>0</v>
      </c>
      <c r="F33" s="115">
        <v>0</v>
      </c>
      <c r="G33" s="115">
        <v>0</v>
      </c>
      <c r="H33" s="115">
        <v>0</v>
      </c>
      <c r="I33" s="115">
        <v>0</v>
      </c>
      <c r="J33" s="115">
        <v>0</v>
      </c>
      <c r="K33" s="115">
        <v>0</v>
      </c>
      <c r="L33" s="115">
        <v>0</v>
      </c>
      <c r="M33" s="115">
        <v>0</v>
      </c>
      <c r="N33" s="115">
        <v>0</v>
      </c>
      <c r="U33" s="522"/>
      <c r="V33" s="523"/>
      <c r="W33" s="523"/>
      <c r="X33" s="523"/>
      <c r="Y33" s="523"/>
      <c r="Z33" s="523"/>
      <c r="AA33" s="523"/>
      <c r="AB33" s="523"/>
      <c r="AC33" s="523"/>
      <c r="AD33" s="523"/>
      <c r="AE33" s="523"/>
      <c r="AF33" s="523"/>
      <c r="AG33" s="523"/>
    </row>
    <row r="34" spans="1:33">
      <c r="A34" s="114"/>
      <c r="B34" t="s">
        <v>1252</v>
      </c>
      <c r="C34" s="115">
        <v>1</v>
      </c>
      <c r="D34" s="115">
        <v>1</v>
      </c>
      <c r="E34" s="115">
        <v>1</v>
      </c>
      <c r="F34" s="115">
        <v>1</v>
      </c>
      <c r="G34" s="115">
        <v>1</v>
      </c>
      <c r="H34" s="115">
        <v>1</v>
      </c>
      <c r="I34" s="115">
        <v>1</v>
      </c>
      <c r="J34" s="115">
        <v>1</v>
      </c>
      <c r="K34" s="115">
        <v>1</v>
      </c>
      <c r="L34" s="115">
        <v>1</v>
      </c>
      <c r="M34" s="115">
        <v>1</v>
      </c>
      <c r="N34" s="115">
        <v>1</v>
      </c>
      <c r="S34" s="507"/>
      <c r="U34" s="206"/>
      <c r="V34" s="523"/>
      <c r="W34" s="523"/>
      <c r="X34" s="523"/>
      <c r="Y34" s="523"/>
      <c r="Z34" s="523"/>
      <c r="AA34" s="523"/>
      <c r="AB34" s="523"/>
      <c r="AC34" s="523"/>
      <c r="AD34" s="523"/>
      <c r="AE34" s="523"/>
      <c r="AF34" s="523"/>
      <c r="AG34" s="523"/>
    </row>
    <row r="35" spans="1:33" ht="15.6">
      <c r="A35" s="114"/>
      <c r="B35" s="513">
        <v>2017</v>
      </c>
      <c r="C35" s="115"/>
      <c r="D35" s="115"/>
      <c r="E35" s="115"/>
      <c r="F35" s="115"/>
      <c r="G35" s="115"/>
      <c r="H35" s="115"/>
      <c r="I35" s="115"/>
      <c r="J35" s="115"/>
      <c r="K35" s="115"/>
      <c r="L35" s="115"/>
      <c r="M35" s="115"/>
      <c r="N35" s="115"/>
      <c r="S35" s="507"/>
      <c r="U35" s="206"/>
      <c r="V35" s="523"/>
      <c r="W35" s="523"/>
      <c r="X35" s="523"/>
      <c r="Y35" s="523"/>
      <c r="Z35" s="523"/>
      <c r="AA35" s="523"/>
      <c r="AB35" s="523"/>
      <c r="AC35" s="523"/>
      <c r="AD35" s="523"/>
      <c r="AE35" s="523"/>
      <c r="AF35" s="523"/>
      <c r="AG35" s="523"/>
    </row>
    <row r="36" spans="1:33">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U36" s="206"/>
      <c r="V36" s="523"/>
      <c r="W36" s="523"/>
      <c r="X36" s="523"/>
      <c r="Y36" s="523"/>
      <c r="Z36" s="523"/>
      <c r="AA36" s="523"/>
      <c r="AB36" s="523"/>
      <c r="AC36" s="523"/>
      <c r="AD36" s="523"/>
      <c r="AE36" s="523"/>
      <c r="AF36" s="523"/>
      <c r="AG36" s="523"/>
    </row>
    <row r="37" spans="1:33">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U37" s="206"/>
      <c r="V37" s="523"/>
      <c r="W37" s="523"/>
      <c r="X37" s="523"/>
      <c r="Y37" s="523"/>
      <c r="Z37" s="523"/>
      <c r="AA37" s="523"/>
      <c r="AB37" s="523"/>
      <c r="AC37" s="523"/>
      <c r="AD37" s="523"/>
      <c r="AE37" s="523"/>
      <c r="AF37" s="523"/>
      <c r="AG37" s="523"/>
    </row>
    <row r="38" spans="1:33">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508"/>
      <c r="U38" s="206"/>
      <c r="V38" s="524"/>
      <c r="W38" s="524"/>
      <c r="X38" s="524"/>
      <c r="Y38" s="524"/>
      <c r="Z38" s="524"/>
      <c r="AA38" s="524"/>
      <c r="AB38" s="524"/>
      <c r="AC38" s="524"/>
      <c r="AD38" s="524"/>
      <c r="AE38" s="524"/>
      <c r="AF38" s="524"/>
      <c r="AG38" s="524"/>
    </row>
    <row r="39" spans="1:33">
      <c r="A39" s="114"/>
      <c r="B39" t="s">
        <v>1255</v>
      </c>
      <c r="C39" s="107">
        <f>(+C$28/C$19/C13)+C23</f>
        <v>632615.00851847185</v>
      </c>
      <c r="D39" s="107">
        <f t="shared" ref="D39:N39" si="0">(+D$28/D$19/D13)+D23</f>
        <v>1025374.2413713147</v>
      </c>
      <c r="E39" s="107">
        <f t="shared" si="0"/>
        <v>603038.87830102432</v>
      </c>
      <c r="F39" s="107">
        <f t="shared" si="0"/>
        <v>968774.75358580344</v>
      </c>
      <c r="G39" s="107">
        <f t="shared" si="0"/>
        <v>1044131.5685439279</v>
      </c>
      <c r="H39" s="107">
        <f t="shared" si="0"/>
        <v>1222796.1381113946</v>
      </c>
      <c r="I39" s="107">
        <f t="shared" si="0"/>
        <v>1201108.0518047309</v>
      </c>
      <c r="J39" s="107">
        <f t="shared" si="0"/>
        <v>1186965.9952268412</v>
      </c>
      <c r="K39" s="107">
        <f t="shared" si="0"/>
        <v>1140759.7465597317</v>
      </c>
      <c r="L39" s="107">
        <f t="shared" si="0"/>
        <v>1084759.7339055275</v>
      </c>
      <c r="M39" s="107">
        <f t="shared" si="0"/>
        <v>1027106.7539219732</v>
      </c>
      <c r="N39" s="107">
        <f t="shared" si="0"/>
        <v>873301.02713898628</v>
      </c>
      <c r="U39" s="206"/>
      <c r="V39" s="524"/>
      <c r="W39" s="524"/>
      <c r="X39" s="524"/>
      <c r="Y39" s="524"/>
      <c r="Z39" s="524"/>
      <c r="AA39" s="524"/>
      <c r="AB39" s="524"/>
      <c r="AC39" s="524"/>
      <c r="AD39" s="524"/>
      <c r="AE39" s="524"/>
      <c r="AF39" s="524"/>
      <c r="AG39" s="524"/>
    </row>
    <row r="40" spans="1:33">
      <c r="A40" s="114"/>
      <c r="B40" t="s">
        <v>1256</v>
      </c>
      <c r="C40" s="107">
        <f t="shared" ref="C40:N40" si="1">(C39*C32*C36)+(C39*C33*C37)+(C39*C34*C38)</f>
        <v>673361.81900023634</v>
      </c>
      <c r="D40" s="107">
        <f t="shared" si="1"/>
        <v>1091418.7223327872</v>
      </c>
      <c r="E40" s="107">
        <f t="shared" si="1"/>
        <v>641880.68659895414</v>
      </c>
      <c r="F40" s="107">
        <f t="shared" si="1"/>
        <v>1031173.6545798292</v>
      </c>
      <c r="G40" s="107">
        <f t="shared" si="1"/>
        <v>1111384.2112548931</v>
      </c>
      <c r="H40" s="107">
        <f t="shared" si="1"/>
        <v>1301556.5877158775</v>
      </c>
      <c r="I40" s="107">
        <f t="shared" si="1"/>
        <v>1278471.569103546</v>
      </c>
      <c r="J40" s="107">
        <f t="shared" si="1"/>
        <v>1263418.6209226397</v>
      </c>
      <c r="K40" s="107">
        <f t="shared" si="1"/>
        <v>1214236.2220975987</v>
      </c>
      <c r="L40" s="107">
        <f t="shared" si="1"/>
        <v>1154629.2417428638</v>
      </c>
      <c r="M40" s="107">
        <f t="shared" si="1"/>
        <v>1093262.8262298545</v>
      </c>
      <c r="N40" s="107">
        <f t="shared" si="1"/>
        <v>929550.45367361384</v>
      </c>
      <c r="T40" s="522"/>
      <c r="U40" s="523"/>
      <c r="V40" s="523"/>
      <c r="W40" s="523"/>
      <c r="X40" s="523"/>
      <c r="Y40" s="523"/>
      <c r="Z40" s="523"/>
      <c r="AA40" s="523"/>
      <c r="AB40" s="523"/>
      <c r="AC40" s="523"/>
      <c r="AD40" s="523"/>
      <c r="AE40" s="523"/>
      <c r="AF40" s="523"/>
      <c r="AG40" s="524"/>
    </row>
    <row r="41" spans="1:33">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T41" s="206"/>
      <c r="U41" s="523"/>
      <c r="V41" s="523"/>
      <c r="W41" s="523"/>
      <c r="X41" s="523"/>
      <c r="Y41" s="523"/>
      <c r="Z41" s="523"/>
      <c r="AA41" s="523"/>
      <c r="AB41" s="523"/>
      <c r="AC41" s="523"/>
      <c r="AD41" s="523"/>
      <c r="AE41" s="523"/>
      <c r="AF41" s="523"/>
      <c r="AG41" s="523"/>
    </row>
    <row r="42" spans="1:33">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T42" s="206"/>
      <c r="U42" s="523"/>
      <c r="V42" s="523"/>
      <c r="W42" s="523"/>
      <c r="X42" s="523"/>
      <c r="Y42" s="523"/>
      <c r="Z42" s="523"/>
      <c r="AA42" s="523"/>
      <c r="AB42" s="523"/>
      <c r="AC42" s="523"/>
      <c r="AD42" s="523"/>
      <c r="AE42" s="523"/>
      <c r="AF42" s="523"/>
    </row>
    <row r="43" spans="1:33">
      <c r="A43" s="114"/>
      <c r="B43" t="s">
        <v>1259</v>
      </c>
      <c r="C43" s="235">
        <f>C40*C42/C41</f>
        <v>62011.5514197538</v>
      </c>
      <c r="D43" s="235">
        <f>D40*D42/D41</f>
        <v>7515.8067671038616</v>
      </c>
      <c r="E43" s="235">
        <f t="shared" ref="E43:N43" si="2">E40*E42/E41</f>
        <v>76329.935288267196</v>
      </c>
      <c r="F43" s="235">
        <f t="shared" si="2"/>
        <v>82561.124451337673</v>
      </c>
      <c r="G43" s="235">
        <f t="shared" si="2"/>
        <v>111401.67077026366</v>
      </c>
      <c r="H43" s="235">
        <f t="shared" si="2"/>
        <v>67094.650741820005</v>
      </c>
      <c r="I43" s="235">
        <f t="shared" si="2"/>
        <v>81674.722103744862</v>
      </c>
      <c r="J43" s="235">
        <f t="shared" si="2"/>
        <v>122957.72041183486</v>
      </c>
      <c r="K43" s="235">
        <f t="shared" si="2"/>
        <v>11379.021827733166</v>
      </c>
      <c r="L43" s="235">
        <f t="shared" si="2"/>
        <v>22987.053289115833</v>
      </c>
      <c r="M43" s="235">
        <f t="shared" si="2"/>
        <v>-22670.727825627535</v>
      </c>
      <c r="N43" s="235">
        <f t="shared" si="2"/>
        <v>24181.782809292185</v>
      </c>
      <c r="T43" s="206"/>
      <c r="U43" s="523"/>
      <c r="V43" s="523"/>
      <c r="W43" s="523"/>
      <c r="X43" s="523"/>
      <c r="Y43" s="523"/>
      <c r="Z43" s="523"/>
      <c r="AA43" s="523"/>
      <c r="AB43" s="523"/>
      <c r="AC43" s="523"/>
      <c r="AD43" s="523"/>
      <c r="AE43" s="523"/>
      <c r="AF43" s="523"/>
      <c r="AG43" s="44"/>
    </row>
    <row r="44" spans="1:33">
      <c r="A44" s="114"/>
      <c r="B44" t="s">
        <v>1260</v>
      </c>
      <c r="C44" s="235">
        <f t="shared" ref="C44:N44" si="3">((C43*C32)/C36)+((C43*C33)/C37)+((C43*C34)/C38)</f>
        <v>58259.077100475508</v>
      </c>
      <c r="D44" s="235">
        <f>((D43*D32)/D36)+((D43*D33)/D37)+((D43*D34)/D38)</f>
        <v>7061.0064720538139</v>
      </c>
      <c r="E44" s="235">
        <f t="shared" si="3"/>
        <v>71711.01969264551</v>
      </c>
      <c r="F44" s="235">
        <f t="shared" si="3"/>
        <v>77565.143989934571</v>
      </c>
      <c r="G44" s="235">
        <f t="shared" si="3"/>
        <v>104660.4766037048</v>
      </c>
      <c r="H44" s="235">
        <f t="shared" si="3"/>
        <v>63034.585349077322</v>
      </c>
      <c r="I44" s="235">
        <f t="shared" si="3"/>
        <v>76732.380068888699</v>
      </c>
      <c r="J44" s="235">
        <f t="shared" si="3"/>
        <v>115517.2407328273</v>
      </c>
      <c r="K44" s="235">
        <f t="shared" si="3"/>
        <v>10690.448711765712</v>
      </c>
      <c r="L44" s="235">
        <f t="shared" si="3"/>
        <v>21596.049110565138</v>
      </c>
      <c r="M44" s="235">
        <f t="shared" si="3"/>
        <v>-21298.865293287865</v>
      </c>
      <c r="N44" s="235">
        <f t="shared" si="3"/>
        <v>22718.482554602404</v>
      </c>
      <c r="T44" s="206"/>
      <c r="U44" s="523"/>
      <c r="V44" s="523"/>
      <c r="W44" s="523"/>
      <c r="X44" s="523"/>
      <c r="Y44" s="523"/>
      <c r="Z44" s="523"/>
      <c r="AA44" s="523"/>
      <c r="AB44" s="523"/>
      <c r="AC44" s="523"/>
      <c r="AD44" s="523"/>
      <c r="AE44" s="523"/>
      <c r="AF44" s="523"/>
      <c r="AG44" s="534"/>
    </row>
    <row r="45" spans="1:33" ht="15.6">
      <c r="A45" s="114"/>
      <c r="B45" s="513">
        <v>2018</v>
      </c>
      <c r="C45" s="235"/>
      <c r="D45" s="235"/>
      <c r="E45" s="235"/>
      <c r="F45" s="235"/>
      <c r="G45" s="235"/>
      <c r="H45" s="235"/>
      <c r="I45" s="235"/>
      <c r="J45" s="235"/>
      <c r="K45" s="235"/>
      <c r="L45" s="235"/>
      <c r="M45" s="235"/>
      <c r="N45" s="235"/>
      <c r="T45" s="206"/>
      <c r="U45" s="524"/>
      <c r="V45" s="524"/>
      <c r="W45" s="524"/>
      <c r="X45" s="524"/>
      <c r="Y45" s="524"/>
      <c r="Z45" s="524"/>
      <c r="AA45" s="524"/>
      <c r="AB45" s="524"/>
      <c r="AC45" s="524"/>
      <c r="AD45" s="524"/>
      <c r="AE45" s="524"/>
      <c r="AF45" s="524"/>
      <c r="AG45" s="534"/>
    </row>
    <row r="46" spans="1:33">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T46" s="206"/>
      <c r="U46" s="524"/>
      <c r="V46" s="524"/>
      <c r="W46" s="524"/>
      <c r="X46" s="524"/>
      <c r="Y46" s="524"/>
      <c r="Z46" s="524"/>
      <c r="AA46" s="524"/>
      <c r="AB46" s="524"/>
      <c r="AC46" s="524"/>
      <c r="AD46" s="524"/>
      <c r="AE46" s="524"/>
      <c r="AF46" s="524"/>
      <c r="AG46" s="534"/>
    </row>
    <row r="47" spans="1:33">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T47" s="206"/>
      <c r="U47" s="524"/>
      <c r="V47" s="524"/>
      <c r="W47" s="524"/>
      <c r="X47" s="524"/>
      <c r="Y47" s="524"/>
      <c r="Z47" s="524"/>
      <c r="AA47" s="524"/>
      <c r="AB47" s="524"/>
      <c r="AC47" s="524"/>
      <c r="AD47" s="524"/>
      <c r="AE47" s="524"/>
      <c r="AF47" s="524"/>
      <c r="AG47" s="230"/>
    </row>
    <row r="48" spans="1:33">
      <c r="A48" s="114"/>
      <c r="B48" t="s">
        <v>1251</v>
      </c>
      <c r="C48">
        <v>1.06467</v>
      </c>
      <c r="D48">
        <v>1.06467</v>
      </c>
      <c r="E48">
        <v>1.06467</v>
      </c>
      <c r="F48">
        <v>1.06467</v>
      </c>
      <c r="G48">
        <v>1.06467</v>
      </c>
      <c r="H48">
        <v>1.06467</v>
      </c>
      <c r="I48">
        <v>1.06467</v>
      </c>
      <c r="J48">
        <v>1.06467</v>
      </c>
      <c r="K48">
        <v>1.06467</v>
      </c>
      <c r="L48">
        <v>1.06467</v>
      </c>
      <c r="M48">
        <v>1.06467</v>
      </c>
      <c r="N48">
        <v>1.06467</v>
      </c>
      <c r="T48" s="206"/>
      <c r="U48" s="523"/>
      <c r="V48" s="523"/>
      <c r="W48" s="523"/>
      <c r="X48" s="523"/>
      <c r="Y48" s="523"/>
      <c r="Z48" s="523"/>
      <c r="AA48" s="523"/>
      <c r="AB48" s="523"/>
      <c r="AC48" s="523"/>
      <c r="AD48" s="523"/>
      <c r="AE48" s="523"/>
      <c r="AF48" s="523"/>
      <c r="AG48" s="230"/>
    </row>
    <row r="49" spans="1:33">
      <c r="A49" s="114"/>
      <c r="B49" t="s">
        <v>1255</v>
      </c>
      <c r="C49" s="235">
        <f>(+C$29/C$20/C13)+C23</f>
        <v>633781.96415098384</v>
      </c>
      <c r="D49" s="235">
        <f t="shared" ref="D49:N49" si="4">(+D$29/D$20/D13)+D23</f>
        <v>1029250.0349861634</v>
      </c>
      <c r="E49" s="235">
        <f t="shared" si="4"/>
        <v>606430.53705506574</v>
      </c>
      <c r="F49" s="235">
        <f t="shared" si="4"/>
        <v>975640.72696953593</v>
      </c>
      <c r="G49" s="235">
        <f t="shared" si="4"/>
        <v>1051214.3187337073</v>
      </c>
      <c r="H49" s="235">
        <f t="shared" si="4"/>
        <v>1230794.773909064</v>
      </c>
      <c r="I49" s="235">
        <f t="shared" si="4"/>
        <v>1208374.5296403547</v>
      </c>
      <c r="J49" s="235">
        <f t="shared" si="4"/>
        <v>1193534.9180602324</v>
      </c>
      <c r="K49" s="235">
        <f t="shared" si="4"/>
        <v>1145761.3852956276</v>
      </c>
      <c r="L49" s="235">
        <f t="shared" si="4"/>
        <v>1090731.4826428746</v>
      </c>
      <c r="M49" s="235">
        <f t="shared" si="4"/>
        <v>1033387.9729025465</v>
      </c>
      <c r="N49" s="235">
        <f t="shared" si="4"/>
        <v>879319.47647428967</v>
      </c>
      <c r="O49" s="235"/>
      <c r="V49" s="230"/>
      <c r="W49" s="230"/>
      <c r="X49" s="230"/>
      <c r="Y49" s="230"/>
      <c r="Z49" s="230"/>
      <c r="AA49" s="230"/>
      <c r="AB49" s="230"/>
      <c r="AC49" s="230"/>
      <c r="AD49" s="230"/>
      <c r="AE49" s="230"/>
      <c r="AF49" s="230"/>
      <c r="AG49" s="230"/>
    </row>
    <row r="50" spans="1:33">
      <c r="A50" s="114"/>
      <c r="B50" t="s">
        <v>1256</v>
      </c>
      <c r="C50" s="107">
        <v>674768</v>
      </c>
      <c r="D50" s="107">
        <v>1095811</v>
      </c>
      <c r="E50" s="107">
        <f t="shared" ref="E50:F50" si="5">(E49*E32*E46)+(E49*E33*E47)+(E49*E34*E48)</f>
        <v>645648.39988641685</v>
      </c>
      <c r="F50" s="107">
        <f t="shared" si="5"/>
        <v>1038735.4127826558</v>
      </c>
      <c r="G50" s="107">
        <v>1119195</v>
      </c>
      <c r="H50" s="107">
        <v>1310389</v>
      </c>
      <c r="I50" s="107">
        <v>1286519</v>
      </c>
      <c r="J50" s="107">
        <v>1270720</v>
      </c>
      <c r="K50" s="107">
        <v>1219857</v>
      </c>
      <c r="L50" s="107">
        <v>1161268</v>
      </c>
      <c r="M50" s="107">
        <v>1100216</v>
      </c>
      <c r="N50" s="107">
        <v>936184</v>
      </c>
      <c r="O50" s="107"/>
      <c r="U50" s="44"/>
      <c r="V50" s="44"/>
      <c r="W50" s="44"/>
      <c r="X50" s="44"/>
      <c r="Y50" s="44"/>
      <c r="Z50" s="44"/>
      <c r="AA50" s="44"/>
      <c r="AB50" s="44"/>
      <c r="AC50" s="44"/>
      <c r="AD50" s="44"/>
      <c r="AE50" s="44"/>
      <c r="AF50" s="44"/>
    </row>
    <row r="51" spans="1:33">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U51" s="534"/>
      <c r="V51" s="534"/>
      <c r="W51" s="534"/>
      <c r="X51" s="534"/>
      <c r="Y51" s="534"/>
      <c r="Z51" s="534"/>
      <c r="AA51" s="534"/>
      <c r="AB51" s="534"/>
      <c r="AC51" s="534"/>
      <c r="AD51" s="534"/>
      <c r="AE51" s="534"/>
      <c r="AF51" s="534"/>
    </row>
    <row r="52" spans="1:33">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U52" s="534"/>
      <c r="V52" s="534"/>
      <c r="W52" s="534"/>
      <c r="X52" s="534"/>
      <c r="Y52" s="534"/>
      <c r="Z52" s="534"/>
      <c r="AA52" s="534"/>
      <c r="AB52" s="534"/>
      <c r="AC52" s="534"/>
      <c r="AD52" s="534"/>
      <c r="AE52" s="534"/>
      <c r="AF52" s="534"/>
    </row>
    <row r="53" spans="1:33">
      <c r="A53" s="114"/>
      <c r="B53" t="s">
        <v>1259</v>
      </c>
      <c r="C53" s="235">
        <f>C50*C52/C51</f>
        <v>68784.95658301971</v>
      </c>
      <c r="D53" s="235">
        <f t="shared" ref="D53:N53" si="6">D50*D52/D51</f>
        <v>17062.58735686211</v>
      </c>
      <c r="E53" s="235">
        <f t="shared" si="6"/>
        <v>81254.611513866461</v>
      </c>
      <c r="F53" s="235">
        <f t="shared" si="6"/>
        <v>87586.266853868932</v>
      </c>
      <c r="G53" s="235">
        <f t="shared" si="6"/>
        <v>116875.11848193758</v>
      </c>
      <c r="H53" s="235">
        <f t="shared" si="6"/>
        <v>74054.905709121624</v>
      </c>
      <c r="I53" s="235">
        <f t="shared" si="6"/>
        <v>89333.140469276084</v>
      </c>
      <c r="J53" s="235">
        <f t="shared" si="6"/>
        <v>134045.78543525113</v>
      </c>
      <c r="K53" s="235">
        <f t="shared" si="6"/>
        <v>18271.484922285148</v>
      </c>
      <c r="L53" s="235">
        <f t="shared" si="6"/>
        <v>29662.786072253279</v>
      </c>
      <c r="M53" s="235">
        <f t="shared" si="6"/>
        <v>-17628.136433185067</v>
      </c>
      <c r="N53" s="235">
        <f t="shared" si="6"/>
        <v>27893.746725890534</v>
      </c>
      <c r="U53" s="534"/>
      <c r="V53" s="534"/>
      <c r="W53" s="534"/>
      <c r="X53" s="534"/>
      <c r="Y53" s="534"/>
      <c r="Z53" s="534"/>
      <c r="AA53" s="534"/>
      <c r="AB53" s="534"/>
      <c r="AC53" s="534"/>
      <c r="AD53" s="534"/>
      <c r="AE53" s="534"/>
      <c r="AF53" s="534"/>
    </row>
    <row r="54" spans="1:33">
      <c r="A54" s="114"/>
      <c r="B54" t="s">
        <v>1260</v>
      </c>
      <c r="C54" s="235">
        <f>((C53*C32)/C46)+((C53*C33)/C47)+((C53*C34)/C48)</f>
        <v>64606.832711562936</v>
      </c>
      <c r="D54" s="235">
        <f t="shared" ref="D54:N54" si="7">((D53*D32)/D46)+((D53*D33)/D47)+((D53*D34)/D48)</f>
        <v>16026.174642717566</v>
      </c>
      <c r="E54" s="235">
        <f t="shared" si="7"/>
        <v>76319.058031001594</v>
      </c>
      <c r="F54" s="235">
        <f t="shared" si="7"/>
        <v>82266.117063380138</v>
      </c>
      <c r="G54" s="235">
        <f t="shared" si="7"/>
        <v>109775.91035901976</v>
      </c>
      <c r="H54" s="235">
        <f t="shared" si="7"/>
        <v>69556.67550426106</v>
      </c>
      <c r="I54" s="235">
        <f t="shared" si="7"/>
        <v>83906.882385411518</v>
      </c>
      <c r="J54" s="235">
        <f t="shared" si="7"/>
        <v>125903.59964613555</v>
      </c>
      <c r="K54" s="235">
        <f t="shared" si="7"/>
        <v>17161.641562442022</v>
      </c>
      <c r="L54" s="235">
        <f t="shared" si="7"/>
        <v>27861.014278840652</v>
      </c>
      <c r="M54" s="235">
        <f t="shared" si="7"/>
        <v>-16557.371235392249</v>
      </c>
      <c r="N54" s="235">
        <f t="shared" si="7"/>
        <v>26199.429612828892</v>
      </c>
      <c r="U54" s="540"/>
      <c r="V54" s="540"/>
      <c r="W54" s="540"/>
      <c r="X54" s="540"/>
      <c r="Y54" s="540"/>
      <c r="Z54" s="540"/>
      <c r="AA54" s="540"/>
      <c r="AB54" s="540"/>
      <c r="AC54" s="540"/>
      <c r="AD54" s="540"/>
      <c r="AE54" s="540"/>
      <c r="AF54" s="540"/>
    </row>
    <row r="55" spans="1:33">
      <c r="A55" s="114"/>
      <c r="C55" s="235"/>
      <c r="D55" s="235"/>
      <c r="E55" s="235"/>
      <c r="F55" s="235"/>
      <c r="G55" s="235"/>
      <c r="H55" s="235"/>
      <c r="I55" s="235"/>
      <c r="J55" s="235"/>
      <c r="K55" s="235"/>
      <c r="L55" s="235"/>
      <c r="M55" s="235"/>
      <c r="N55" s="235"/>
      <c r="U55" s="540"/>
      <c r="V55" s="540"/>
      <c r="W55" s="540"/>
      <c r="X55" s="540"/>
      <c r="Y55" s="540"/>
      <c r="Z55" s="540"/>
      <c r="AA55" s="540"/>
      <c r="AB55" s="540"/>
      <c r="AC55" s="540"/>
      <c r="AD55" s="540"/>
      <c r="AE55" s="540"/>
      <c r="AF55" s="540"/>
    </row>
    <row r="56" spans="1:33">
      <c r="A56" s="114"/>
      <c r="C56" s="5"/>
      <c r="D56" s="5"/>
      <c r="E56" s="5"/>
      <c r="F56" s="5"/>
      <c r="G56" s="5"/>
      <c r="H56" s="5"/>
      <c r="I56" s="5"/>
      <c r="J56" s="5"/>
      <c r="K56" s="5"/>
      <c r="L56" s="5"/>
      <c r="M56" s="115"/>
      <c r="N56" s="5"/>
      <c r="S56" s="508"/>
      <c r="U56" s="540"/>
      <c r="V56" s="540"/>
      <c r="W56" s="540"/>
      <c r="X56" s="540"/>
      <c r="Y56" s="540"/>
      <c r="Z56" s="540"/>
      <c r="AA56" s="540"/>
      <c r="AB56" s="540"/>
      <c r="AC56" s="540"/>
      <c r="AD56" s="540"/>
      <c r="AE56" s="540"/>
      <c r="AF56" s="540"/>
    </row>
    <row r="57" spans="1:33" ht="17.399999999999999">
      <c r="A57" s="147" t="s">
        <v>425</v>
      </c>
    </row>
    <row r="58" spans="1:33" ht="15.6">
      <c r="A58" s="113"/>
      <c r="B58" s="146" t="str">
        <f>"PRIOR - "&amp;MANUAL!$B$9</f>
        <v>PRIOR - 2016</v>
      </c>
      <c r="C58" s="5"/>
      <c r="D58" s="5"/>
      <c r="E58" s="5"/>
      <c r="F58" s="5"/>
      <c r="G58" s="5"/>
      <c r="H58" s="5"/>
      <c r="I58" s="5"/>
      <c r="J58" s="5"/>
      <c r="K58" s="5"/>
      <c r="L58" s="5"/>
      <c r="M58" s="5"/>
      <c r="N58" s="5"/>
    </row>
    <row r="59" spans="1:33" s="12" customFormat="1" ht="15.6">
      <c r="A59" s="111"/>
      <c r="B59" s="149" t="s">
        <v>432</v>
      </c>
      <c r="C59" s="107">
        <f t="shared" ref="C59:N59" si="8">MIN((+C$27/C$18/C13)+C23,C60)</f>
        <v>628241.20993750053</v>
      </c>
      <c r="D59" s="107">
        <f t="shared" si="8"/>
        <v>990250.10013783665</v>
      </c>
      <c r="E59" s="107">
        <f t="shared" si="8"/>
        <v>603909.17352259695</v>
      </c>
      <c r="F59" s="107">
        <f t="shared" si="8"/>
        <v>964753.60653135309</v>
      </c>
      <c r="G59" s="107">
        <f t="shared" si="8"/>
        <v>1043863.3948092745</v>
      </c>
      <c r="H59" s="107">
        <f t="shared" si="8"/>
        <v>1221618.8152911121</v>
      </c>
      <c r="I59" s="107">
        <f t="shared" si="8"/>
        <v>1200672.0970909919</v>
      </c>
      <c r="J59" s="107">
        <f t="shared" si="8"/>
        <v>1185731.9519249836</v>
      </c>
      <c r="K59" s="107">
        <f t="shared" si="8"/>
        <v>1140787.9546395477</v>
      </c>
      <c r="L59" s="107">
        <f t="shared" si="8"/>
        <v>1082279.007193828</v>
      </c>
      <c r="M59" s="107">
        <f t="shared" si="8"/>
        <v>1024269.0828097948</v>
      </c>
      <c r="N59" s="107">
        <f t="shared" si="8"/>
        <v>872211.05005638604</v>
      </c>
      <c r="P59" s="152">
        <f>AVERAGE(C59:N59)</f>
        <v>996548.9536621006</v>
      </c>
      <c r="S59" s="509"/>
    </row>
    <row r="60" spans="1:33" s="12" customFormat="1" ht="15.6">
      <c r="A60" s="111"/>
      <c r="B60" s="149" t="s">
        <v>430</v>
      </c>
      <c r="C60" s="107">
        <f t="shared" ref="C60:N60" si="9">MIN(+C$27/C$18/C14,C61)</f>
        <v>1028198.3322939005</v>
      </c>
      <c r="D60" s="107">
        <f t="shared" si="9"/>
        <v>1007514.9221199374</v>
      </c>
      <c r="E60" s="107">
        <f t="shared" si="9"/>
        <v>945777.89135493163</v>
      </c>
      <c r="F60" s="107">
        <f t="shared" si="9"/>
        <v>1085419.2695663529</v>
      </c>
      <c r="G60" s="107">
        <f t="shared" si="9"/>
        <v>1139802.027415151</v>
      </c>
      <c r="H60" s="107">
        <f t="shared" si="9"/>
        <v>1266919.2103742999</v>
      </c>
      <c r="I60" s="107">
        <f t="shared" si="9"/>
        <v>1267425.4458075629</v>
      </c>
      <c r="J60" s="107">
        <f t="shared" si="9"/>
        <v>1251649.2760354974</v>
      </c>
      <c r="K60" s="107">
        <f t="shared" si="9"/>
        <v>1300804.557592486</v>
      </c>
      <c r="L60" s="107">
        <f t="shared" si="9"/>
        <v>1183257.1324510886</v>
      </c>
      <c r="M60" s="107">
        <f t="shared" si="9"/>
        <v>1098482.5063947425</v>
      </c>
      <c r="N60" s="107">
        <f t="shared" si="9"/>
        <v>1048895.0505855344</v>
      </c>
      <c r="P60" s="152">
        <f>AVERAGE(C60:N60)</f>
        <v>1135345.4684992905</v>
      </c>
    </row>
    <row r="61" spans="1:33" s="106" customFormat="1">
      <c r="A61" s="109"/>
      <c r="B61" s="149" t="s">
        <v>133</v>
      </c>
      <c r="C61" s="107">
        <f t="shared" ref="C61:N61" si="10">+C$27/C$18/C15</f>
        <v>2095363.1888433669</v>
      </c>
      <c r="D61" s="107">
        <f t="shared" si="10"/>
        <v>1916697.7617173141</v>
      </c>
      <c r="E61" s="107">
        <f t="shared" si="10"/>
        <v>1842612.0274330236</v>
      </c>
      <c r="F61" s="107">
        <f t="shared" si="10"/>
        <v>1841312.018186498</v>
      </c>
      <c r="G61" s="107">
        <f t="shared" si="10"/>
        <v>1927994.7668184894</v>
      </c>
      <c r="H61" s="107">
        <f t="shared" si="10"/>
        <v>2101496.5398850385</v>
      </c>
      <c r="I61" s="107">
        <f t="shared" si="10"/>
        <v>2071496.2154338998</v>
      </c>
      <c r="J61" s="107">
        <f t="shared" si="10"/>
        <v>2041765.152169775</v>
      </c>
      <c r="K61" s="107">
        <f t="shared" si="10"/>
        <v>2146053.5755057577</v>
      </c>
      <c r="L61" s="107">
        <f t="shared" si="10"/>
        <v>1994437.4381940479</v>
      </c>
      <c r="M61" s="107">
        <f t="shared" si="10"/>
        <v>2038846.1277103559</v>
      </c>
      <c r="N61" s="107">
        <f t="shared" si="10"/>
        <v>1991367.2242881842</v>
      </c>
      <c r="P61" s="152">
        <f>AVERAGE(C61:N61)</f>
        <v>2000786.8363488128</v>
      </c>
    </row>
    <row r="62" spans="1:33" s="106" customFormat="1" ht="16.5" customHeight="1">
      <c r="A62" s="109"/>
      <c r="B62" s="108"/>
      <c r="C62" s="107"/>
      <c r="D62" s="107"/>
      <c r="E62" s="107"/>
      <c r="F62" s="107"/>
      <c r="G62" s="107"/>
      <c r="H62" s="107"/>
      <c r="I62" s="107"/>
      <c r="J62" s="107"/>
      <c r="K62" s="107"/>
      <c r="L62" s="107"/>
      <c r="M62" s="107"/>
      <c r="N62" s="107"/>
    </row>
    <row r="63" spans="1:33" s="106" customFormat="1" ht="16.5" customHeight="1">
      <c r="A63" s="109"/>
      <c r="B63" s="146" t="str">
        <f>"TEST - "&amp;MANUAL!$B$10</f>
        <v>TEST - 2017</v>
      </c>
      <c r="C63" s="107"/>
      <c r="D63" s="107"/>
      <c r="E63" s="107"/>
      <c r="F63" s="107"/>
      <c r="G63" s="107"/>
      <c r="H63" s="107"/>
      <c r="I63" s="107"/>
      <c r="J63" s="107"/>
      <c r="K63" s="107"/>
      <c r="L63" s="107"/>
      <c r="M63" s="107"/>
      <c r="N63" s="107"/>
    </row>
    <row r="64" spans="1:33" s="106" customFormat="1" ht="16.5" customHeight="1">
      <c r="A64" s="109"/>
      <c r="B64" s="149" t="s">
        <v>432</v>
      </c>
      <c r="C64" s="107">
        <f>C39+C44</f>
        <v>690874.0856189474</v>
      </c>
      <c r="D64" s="107">
        <f t="shared" ref="D64:N64" si="11">D39+D44</f>
        <v>1032435.2478433686</v>
      </c>
      <c r="E64" s="107">
        <f t="shared" si="11"/>
        <v>674749.89799366985</v>
      </c>
      <c r="F64" s="107">
        <f t="shared" si="11"/>
        <v>1046339.897575738</v>
      </c>
      <c r="G64" s="107">
        <f t="shared" si="11"/>
        <v>1148792.0451476327</v>
      </c>
      <c r="H64" s="107">
        <f t="shared" si="11"/>
        <v>1285830.723460472</v>
      </c>
      <c r="I64" s="107">
        <f t="shared" si="11"/>
        <v>1277840.4318736196</v>
      </c>
      <c r="J64" s="107">
        <f t="shared" si="11"/>
        <v>1302483.2359596684</v>
      </c>
      <c r="K64" s="107">
        <f t="shared" si="11"/>
        <v>1151450.1952714974</v>
      </c>
      <c r="L64" s="107">
        <f t="shared" si="11"/>
        <v>1106355.7830160926</v>
      </c>
      <c r="M64" s="107">
        <f t="shared" si="11"/>
        <v>1005807.8886286853</v>
      </c>
      <c r="N64" s="107">
        <f t="shared" si="11"/>
        <v>896019.50969358871</v>
      </c>
      <c r="P64" s="152">
        <f>AVERAGE(C64:N64)</f>
        <v>1051581.5785069151</v>
      </c>
    </row>
    <row r="65" spans="1:32" s="106" customFormat="1" ht="16.5" customHeight="1">
      <c r="A65" s="109"/>
      <c r="B65" s="149" t="s">
        <v>430</v>
      </c>
      <c r="C65" s="107">
        <f>IF(+C$28/C$19/C14&lt;C64,C64,+C$28/C$19/C14)</f>
        <v>1035356.6217146016</v>
      </c>
      <c r="D65" s="107">
        <f t="shared" ref="D65:N65" si="12">IF(+D$28/D$19/D14&lt;D64,D64,+D$28/D$19/D14)</f>
        <v>1043251.4460692422</v>
      </c>
      <c r="E65" s="107">
        <f t="shared" si="12"/>
        <v>944414.92815516086</v>
      </c>
      <c r="F65" s="107">
        <f t="shared" si="12"/>
        <v>1089943.3578611384</v>
      </c>
      <c r="G65" s="107">
        <f t="shared" si="12"/>
        <v>1148792.0451476327</v>
      </c>
      <c r="H65" s="107">
        <f t="shared" si="12"/>
        <v>1285830.723460472</v>
      </c>
      <c r="I65" s="107">
        <f t="shared" si="12"/>
        <v>1277840.4318736196</v>
      </c>
      <c r="J65" s="107">
        <f t="shared" si="12"/>
        <v>1302483.2359596684</v>
      </c>
      <c r="K65" s="107">
        <f t="shared" si="12"/>
        <v>1300772.3928079293</v>
      </c>
      <c r="L65" s="107">
        <f t="shared" si="12"/>
        <v>1185969.3143891741</v>
      </c>
      <c r="M65" s="107">
        <f t="shared" si="12"/>
        <v>1101525.7809872732</v>
      </c>
      <c r="N65" s="107">
        <f t="shared" si="12"/>
        <v>1050205.8245858378</v>
      </c>
      <c r="P65" s="152">
        <f>AVERAGE(C65:N65)</f>
        <v>1147198.8419176459</v>
      </c>
    </row>
    <row r="66" spans="1:32" s="106" customFormat="1" ht="16.5" customHeight="1">
      <c r="A66" s="109"/>
      <c r="B66" s="149" t="s">
        <v>133</v>
      </c>
      <c r="C66" s="107">
        <f>MAX(+C$28/C$19/C15,C65)</f>
        <v>2109951.0515894201</v>
      </c>
      <c r="D66" s="107">
        <f t="shared" ref="D66:N66" si="13">MAX(+D$28/D$19/D15,D65)</f>
        <v>1984682.9736098244</v>
      </c>
      <c r="E66" s="107">
        <f t="shared" si="13"/>
        <v>1839956.6340179285</v>
      </c>
      <c r="F66" s="107">
        <f t="shared" si="13"/>
        <v>1848986.7097845688</v>
      </c>
      <c r="G66" s="107">
        <f t="shared" si="13"/>
        <v>1928490.0783310693</v>
      </c>
      <c r="H66" s="107">
        <f t="shared" si="13"/>
        <v>2103521.8359939246</v>
      </c>
      <c r="I66" s="107">
        <f t="shared" si="13"/>
        <v>2072248.3596219746</v>
      </c>
      <c r="J66" s="107">
        <f t="shared" si="13"/>
        <v>2043890.106807213</v>
      </c>
      <c r="K66" s="107">
        <f t="shared" si="13"/>
        <v>2146000.5103850211</v>
      </c>
      <c r="L66" s="107">
        <f t="shared" si="13"/>
        <v>1999008.9527433044</v>
      </c>
      <c r="M66" s="107">
        <f t="shared" si="13"/>
        <v>2044494.6187718154</v>
      </c>
      <c r="N66" s="107">
        <f t="shared" si="13"/>
        <v>1993855.7786780596</v>
      </c>
      <c r="P66" s="152">
        <f>AVERAGE(C66:N66)</f>
        <v>2009590.6341945103</v>
      </c>
    </row>
    <row r="67" spans="1:32" s="106" customFormat="1" ht="16.5" customHeight="1">
      <c r="A67" s="109"/>
      <c r="B67" s="149" t="s">
        <v>158</v>
      </c>
      <c r="C67" s="499">
        <f>C28/C19/C64</f>
        <v>0.92223338682424072</v>
      </c>
      <c r="D67" s="499">
        <f t="shared" ref="D67:N67" si="14">D28/D19/D64</f>
        <v>0.60751722900109029</v>
      </c>
      <c r="E67" s="499">
        <f t="shared" si="14"/>
        <v>0.86875768391394392</v>
      </c>
      <c r="F67" s="499">
        <f t="shared" si="14"/>
        <v>0.60020734345774029</v>
      </c>
      <c r="G67" s="499">
        <f t="shared" si="14"/>
        <v>0.59136123799865026</v>
      </c>
      <c r="H67" s="499">
        <f t="shared" si="14"/>
        <v>0.58415501694819016</v>
      </c>
      <c r="I67" s="499">
        <f t="shared" si="14"/>
        <v>0.60050195492268355</v>
      </c>
      <c r="J67" s="499">
        <f t="shared" si="14"/>
        <v>0.58937343913524176</v>
      </c>
      <c r="K67" s="499">
        <f t="shared" si="14"/>
        <v>0.6701415133347971</v>
      </c>
      <c r="L67" s="499">
        <f t="shared" si="14"/>
        <v>0.62589075000693462</v>
      </c>
      <c r="M67" s="499">
        <f t="shared" si="14"/>
        <v>0.64075247266686286</v>
      </c>
      <c r="N67" s="499">
        <f t="shared" si="14"/>
        <v>0.69286157109163216</v>
      </c>
      <c r="P67" s="152"/>
    </row>
    <row r="68" spans="1:32" s="106" customFormat="1" ht="16.5" customHeight="1">
      <c r="A68" s="109"/>
      <c r="B68" s="149" t="s">
        <v>988</v>
      </c>
      <c r="C68" s="499">
        <f>C28/C19/C65</f>
        <v>0.61538906931827531</v>
      </c>
      <c r="D68" s="499">
        <f t="shared" ref="D68:N68" si="15">D28/D19/D65</f>
        <v>0.60121862591813502</v>
      </c>
      <c r="E68" s="499">
        <f t="shared" si="15"/>
        <v>0.62069556624569033</v>
      </c>
      <c r="F68" s="499">
        <f t="shared" si="15"/>
        <v>0.57619589655574499</v>
      </c>
      <c r="G68" s="499">
        <f t="shared" si="15"/>
        <v>0.59136123799865026</v>
      </c>
      <c r="H68" s="499">
        <f t="shared" si="15"/>
        <v>0.58415501694819016</v>
      </c>
      <c r="I68" s="499">
        <f t="shared" si="15"/>
        <v>0.60050195492268355</v>
      </c>
      <c r="J68" s="499">
        <f t="shared" si="15"/>
        <v>0.58937343913524176</v>
      </c>
      <c r="K68" s="499">
        <f t="shared" si="15"/>
        <v>0.59321260249319241</v>
      </c>
      <c r="L68" s="499">
        <f t="shared" si="15"/>
        <v>0.58387501464411629</v>
      </c>
      <c r="M68" s="499">
        <f t="shared" si="15"/>
        <v>0.58507381560242655</v>
      </c>
      <c r="N68" s="499">
        <f t="shared" si="15"/>
        <v>0.59113887076362504</v>
      </c>
      <c r="P68" s="152"/>
    </row>
    <row r="69" spans="1:32" s="106" customFormat="1" ht="16.5" customHeight="1">
      <c r="A69" s="109"/>
      <c r="B69" s="149" t="s">
        <v>150</v>
      </c>
      <c r="C69" s="499">
        <f>C28/C19/C66</f>
        <v>0.30197247816223094</v>
      </c>
      <c r="D69" s="499">
        <f t="shared" ref="D69:N69" si="16">D28/D19/D66</f>
        <v>0.31603143133335759</v>
      </c>
      <c r="E69" s="499">
        <f t="shared" si="16"/>
        <v>0.31859129055779617</v>
      </c>
      <c r="F69" s="499">
        <f t="shared" si="16"/>
        <v>0.33965678982676434</v>
      </c>
      <c r="G69" s="499">
        <f t="shared" si="16"/>
        <v>0.3522709780334578</v>
      </c>
      <c r="H69" s="499">
        <f t="shared" si="16"/>
        <v>0.35707947272182489</v>
      </c>
      <c r="I69" s="499">
        <f t="shared" si="16"/>
        <v>0.37029619246958223</v>
      </c>
      <c r="J69" s="499">
        <f t="shared" si="16"/>
        <v>0.37558233763981702</v>
      </c>
      <c r="K69" s="499">
        <f t="shared" si="16"/>
        <v>0.3595686826050416</v>
      </c>
      <c r="L69" s="499">
        <f t="shared" si="16"/>
        <v>0.34640057507304778</v>
      </c>
      <c r="M69" s="499">
        <f t="shared" si="16"/>
        <v>0.3152240586741285</v>
      </c>
      <c r="N69" s="499">
        <f t="shared" si="16"/>
        <v>0.31136529123819584</v>
      </c>
      <c r="P69" s="152"/>
    </row>
    <row r="70" spans="1:32" s="106" customFormat="1" ht="16.5" customHeight="1">
      <c r="A70" s="109"/>
      <c r="B70" s="149"/>
      <c r="C70" s="107"/>
      <c r="D70" s="107"/>
      <c r="E70" s="107"/>
      <c r="F70" s="107"/>
      <c r="G70" s="107"/>
      <c r="H70" s="107"/>
      <c r="I70" s="107"/>
      <c r="J70" s="107"/>
      <c r="K70" s="107"/>
      <c r="L70" s="107"/>
      <c r="M70" s="107"/>
      <c r="N70" s="107"/>
      <c r="P70" s="152"/>
    </row>
    <row r="71" spans="1:32" s="106" customFormat="1" ht="16.5" customHeight="1">
      <c r="A71" s="109"/>
      <c r="B71" s="146" t="str">
        <f>"SUBSEQUENT - "&amp;MANUAL!$B$11</f>
        <v>SUBSEQUENT - 2018</v>
      </c>
      <c r="C71" s="107"/>
      <c r="D71" s="107"/>
      <c r="E71" s="107"/>
      <c r="F71" s="107"/>
      <c r="G71" s="107"/>
      <c r="H71" s="107"/>
      <c r="I71" s="107"/>
      <c r="J71" s="107"/>
      <c r="K71" s="107"/>
      <c r="L71" s="107"/>
      <c r="M71" s="107"/>
      <c r="N71" s="107"/>
    </row>
    <row r="72" spans="1:32" s="106" customFormat="1" ht="16.5" customHeight="1">
      <c r="A72" s="109"/>
      <c r="B72" s="149" t="s">
        <v>432</v>
      </c>
      <c r="C72" s="107">
        <f>C49+C54</f>
        <v>698388.79686254682</v>
      </c>
      <c r="D72" s="107">
        <f t="shared" ref="D72:N72" si="17">D49+D54</f>
        <v>1045276.209628881</v>
      </c>
      <c r="E72" s="107">
        <f t="shared" si="17"/>
        <v>682749.59508606733</v>
      </c>
      <c r="F72" s="107">
        <f t="shared" si="17"/>
        <v>1057906.844032916</v>
      </c>
      <c r="G72" s="107">
        <f t="shared" si="17"/>
        <v>1160990.2290927269</v>
      </c>
      <c r="H72" s="107">
        <f t="shared" si="17"/>
        <v>1300351.4494133252</v>
      </c>
      <c r="I72" s="107">
        <f t="shared" si="17"/>
        <v>1292281.4120257662</v>
      </c>
      <c r="J72" s="107">
        <f t="shared" si="17"/>
        <v>1319438.5177063679</v>
      </c>
      <c r="K72" s="107">
        <f t="shared" si="17"/>
        <v>1162923.0268580697</v>
      </c>
      <c r="L72" s="107">
        <f t="shared" si="17"/>
        <v>1118592.4969217153</v>
      </c>
      <c r="M72" s="107">
        <f t="shared" si="17"/>
        <v>1016830.6016671542</v>
      </c>
      <c r="N72" s="107">
        <f t="shared" si="17"/>
        <v>905518.90608711855</v>
      </c>
      <c r="O72" s="107"/>
      <c r="P72" s="152">
        <f>AVERAGE(C72:N72)</f>
        <v>1063437.3404485546</v>
      </c>
      <c r="T72" s="522"/>
      <c r="U72" s="523"/>
      <c r="V72" s="523"/>
      <c r="W72" s="523"/>
      <c r="X72" s="523"/>
      <c r="Y72" s="523"/>
      <c r="Z72" s="523"/>
      <c r="AA72" s="523"/>
      <c r="AB72" s="523"/>
      <c r="AC72" s="523"/>
      <c r="AD72" s="523"/>
      <c r="AE72" s="523"/>
      <c r="AF72" s="523"/>
    </row>
    <row r="73" spans="1:32" s="106" customFormat="1" ht="16.5" customHeight="1">
      <c r="A73" s="109"/>
      <c r="B73" s="149" t="s">
        <v>430</v>
      </c>
      <c r="C73" s="107">
        <f>IF(+C$29/C$20/C14&lt;C72,C72,+C$29/C$20/C14)</f>
        <v>1037266.4961644633</v>
      </c>
      <c r="D73" s="107">
        <f t="shared" ref="D73:N73" si="18">IF(+D$29/D$20/D14&lt;D72,D72,+D$29/D$20/D14)</f>
        <v>1047194.8134079314</v>
      </c>
      <c r="E73" s="107">
        <f t="shared" si="18"/>
        <v>949726.58097520657</v>
      </c>
      <c r="F73" s="107">
        <f t="shared" si="18"/>
        <v>1097668.0865012596</v>
      </c>
      <c r="G73" s="107">
        <f t="shared" si="18"/>
        <v>1160990.2290927269</v>
      </c>
      <c r="H73" s="107">
        <f t="shared" si="18"/>
        <v>1300351.4494133252</v>
      </c>
      <c r="I73" s="107">
        <f t="shared" si="18"/>
        <v>1292281.4120257662</v>
      </c>
      <c r="J73" s="107">
        <f t="shared" si="18"/>
        <v>1319438.5177063679</v>
      </c>
      <c r="K73" s="107">
        <f t="shared" si="18"/>
        <v>1306475.6038530883</v>
      </c>
      <c r="L73" s="107">
        <f t="shared" si="18"/>
        <v>1192498.2355266109</v>
      </c>
      <c r="M73" s="107">
        <f t="shared" si="18"/>
        <v>1108262.1057331755</v>
      </c>
      <c r="N73" s="107">
        <f t="shared" si="18"/>
        <v>1057443.4326390622</v>
      </c>
      <c r="O73" s="107"/>
      <c r="P73" s="152">
        <f>AVERAGE(C73:N73)</f>
        <v>1155799.7469199153</v>
      </c>
      <c r="T73" s="206"/>
      <c r="U73" s="523"/>
      <c r="V73" s="523"/>
      <c r="W73" s="523"/>
      <c r="X73" s="523"/>
      <c r="Y73" s="523"/>
      <c r="Z73" s="523"/>
      <c r="AA73" s="523"/>
      <c r="AB73" s="523"/>
      <c r="AC73" s="523"/>
      <c r="AD73" s="523"/>
      <c r="AE73" s="523"/>
      <c r="AF73" s="523"/>
    </row>
    <row r="74" spans="1:32" s="106" customFormat="1" ht="16.5" customHeight="1">
      <c r="A74" s="109"/>
      <c r="B74" s="149" t="s">
        <v>133</v>
      </c>
      <c r="C74" s="107">
        <f>MAX(+C$29/C$15/C20,C73)</f>
        <v>2113843.1806581612</v>
      </c>
      <c r="D74" s="107">
        <f t="shared" ref="D74:N74" si="19">MAX(+D$29/D$15/D20,D73)</f>
        <v>1992184.8410122355</v>
      </c>
      <c r="E74" s="107">
        <f t="shared" si="19"/>
        <v>1850305.0630319999</v>
      </c>
      <c r="F74" s="107">
        <f t="shared" si="19"/>
        <v>1862090.9876254874</v>
      </c>
      <c r="G74" s="107">
        <f t="shared" si="19"/>
        <v>1941571.7759636147</v>
      </c>
      <c r="H74" s="107">
        <f t="shared" si="19"/>
        <v>2117281.5335707809</v>
      </c>
      <c r="I74" s="107">
        <f t="shared" si="19"/>
        <v>2084785.0724951217</v>
      </c>
      <c r="J74" s="107">
        <f t="shared" si="19"/>
        <v>2055201.4303375741</v>
      </c>
      <c r="K74" s="107">
        <f t="shared" si="19"/>
        <v>2155409.6075348491</v>
      </c>
      <c r="L74" s="107">
        <f t="shared" si="19"/>
        <v>2010013.7668199763</v>
      </c>
      <c r="M74" s="107">
        <f t="shared" si="19"/>
        <v>2056997.6213624156</v>
      </c>
      <c r="N74" s="107">
        <f t="shared" si="19"/>
        <v>2007596.6533741408</v>
      </c>
      <c r="O74" s="107"/>
      <c r="P74" s="152">
        <f>AVERAGE(C74:N74)</f>
        <v>2020606.794482196</v>
      </c>
      <c r="T74" s="206"/>
      <c r="U74" s="523"/>
      <c r="V74" s="523"/>
      <c r="W74" s="523"/>
      <c r="X74" s="523"/>
      <c r="Y74" s="523"/>
      <c r="Z74" s="523"/>
      <c r="AA74" s="523"/>
      <c r="AB74" s="523"/>
      <c r="AC74" s="523"/>
      <c r="AD74" s="523"/>
      <c r="AE74" s="523"/>
      <c r="AF74" s="523"/>
    </row>
    <row r="75" spans="1:32" s="106" customFormat="1" ht="16.5" customHeight="1">
      <c r="A75" s="109"/>
      <c r="B75" s="149" t="s">
        <v>158</v>
      </c>
      <c r="C75" s="499">
        <f>C29/C20/C72</f>
        <v>0.91399298868665657</v>
      </c>
      <c r="D75" s="499">
        <f t="shared" ref="D75:N75" si="20">D29/D20/D72</f>
        <v>0.60232216230124236</v>
      </c>
      <c r="E75" s="499">
        <f t="shared" si="20"/>
        <v>0.86340743692814359</v>
      </c>
      <c r="F75" s="499">
        <f t="shared" si="20"/>
        <v>0.59785211787753911</v>
      </c>
      <c r="G75" s="499">
        <f t="shared" si="20"/>
        <v>0.58911726498796668</v>
      </c>
      <c r="H75" s="499">
        <f t="shared" si="20"/>
        <v>0.58141033637653106</v>
      </c>
      <c r="I75" s="499">
        <f t="shared" si="20"/>
        <v>0.59738379526190488</v>
      </c>
      <c r="J75" s="499">
        <f t="shared" si="20"/>
        <v>0.58501957246837188</v>
      </c>
      <c r="K75" s="499">
        <f t="shared" si="20"/>
        <v>0.66643945915273672</v>
      </c>
      <c r="L75" s="499">
        <f t="shared" si="20"/>
        <v>0.62245181033063124</v>
      </c>
      <c r="M75" s="499">
        <f t="shared" si="20"/>
        <v>0.63768255776898697</v>
      </c>
      <c r="N75" s="499">
        <f t="shared" si="20"/>
        <v>0.69031790773734225</v>
      </c>
      <c r="O75" s="107"/>
      <c r="P75" s="152"/>
      <c r="T75" s="206"/>
      <c r="U75" s="523"/>
      <c r="V75" s="523"/>
      <c r="W75" s="523"/>
      <c r="X75" s="523"/>
      <c r="Y75" s="523"/>
      <c r="Z75" s="523"/>
      <c r="AA75" s="523"/>
      <c r="AB75" s="523"/>
      <c r="AC75" s="523"/>
      <c r="AD75" s="523"/>
      <c r="AE75" s="523"/>
      <c r="AF75" s="523"/>
    </row>
    <row r="76" spans="1:32" s="106" customFormat="1" ht="16.5" customHeight="1">
      <c r="A76" s="109"/>
      <c r="B76" s="149" t="s">
        <v>988</v>
      </c>
      <c r="C76" s="499">
        <f>C29/C20/C73</f>
        <v>0.61538906931827531</v>
      </c>
      <c r="D76" s="499">
        <f t="shared" ref="D76:N76" si="21">D29/D20/D73</f>
        <v>0.60121862591813502</v>
      </c>
      <c r="E76" s="499">
        <f t="shared" si="21"/>
        <v>0.62069556624569033</v>
      </c>
      <c r="F76" s="499">
        <f t="shared" si="21"/>
        <v>0.57619589655574488</v>
      </c>
      <c r="G76" s="499">
        <f t="shared" si="21"/>
        <v>0.58911726498796668</v>
      </c>
      <c r="H76" s="499">
        <f t="shared" si="21"/>
        <v>0.58141033637653106</v>
      </c>
      <c r="I76" s="499">
        <f t="shared" si="21"/>
        <v>0.59738379526190488</v>
      </c>
      <c r="J76" s="499">
        <f t="shared" si="21"/>
        <v>0.58501957246837188</v>
      </c>
      <c r="K76" s="499">
        <f t="shared" si="21"/>
        <v>0.59321260249319241</v>
      </c>
      <c r="L76" s="499">
        <f t="shared" si="21"/>
        <v>0.58387501464411629</v>
      </c>
      <c r="M76" s="499">
        <f t="shared" si="21"/>
        <v>0.58507381560242655</v>
      </c>
      <c r="N76" s="499">
        <f t="shared" si="21"/>
        <v>0.59113887076362504</v>
      </c>
      <c r="O76" s="107"/>
      <c r="P76" s="152"/>
      <c r="T76" s="206"/>
      <c r="U76" s="523"/>
      <c r="V76" s="523"/>
      <c r="W76" s="523"/>
      <c r="X76" s="523"/>
      <c r="Y76" s="523"/>
      <c r="Z76" s="523"/>
      <c r="AA76" s="523"/>
      <c r="AB76" s="523"/>
      <c r="AC76" s="523"/>
      <c r="AD76" s="523"/>
      <c r="AE76" s="523"/>
      <c r="AF76" s="523"/>
    </row>
    <row r="77" spans="1:32" s="106" customFormat="1" ht="16.5" customHeight="1">
      <c r="A77" s="109"/>
      <c r="B77" s="149" t="s">
        <v>150</v>
      </c>
      <c r="C77" s="499">
        <f>C29/C20/C74</f>
        <v>0.301972478162231</v>
      </c>
      <c r="D77" s="499">
        <f t="shared" ref="D77:N77" si="22">D29/D20/D74</f>
        <v>0.31603143133335765</v>
      </c>
      <c r="E77" s="499">
        <f t="shared" si="22"/>
        <v>0.31859129055779623</v>
      </c>
      <c r="F77" s="499">
        <f t="shared" si="22"/>
        <v>0.33965678982676434</v>
      </c>
      <c r="G77" s="499">
        <f t="shared" si="22"/>
        <v>0.3522709780334578</v>
      </c>
      <c r="H77" s="499">
        <f t="shared" si="22"/>
        <v>0.35707947272182483</v>
      </c>
      <c r="I77" s="499">
        <f t="shared" si="22"/>
        <v>0.37029619246958229</v>
      </c>
      <c r="J77" s="499">
        <f t="shared" si="22"/>
        <v>0.37558233763981708</v>
      </c>
      <c r="K77" s="499">
        <f t="shared" si="22"/>
        <v>0.35956868260504166</v>
      </c>
      <c r="L77" s="499">
        <f t="shared" si="22"/>
        <v>0.34640057507304778</v>
      </c>
      <c r="M77" s="499">
        <f t="shared" si="22"/>
        <v>0.3152240586741285</v>
      </c>
      <c r="N77" s="499">
        <f t="shared" si="22"/>
        <v>0.31136529123819584</v>
      </c>
      <c r="O77" s="107"/>
      <c r="P77" s="152"/>
      <c r="T77" s="206"/>
      <c r="U77" s="524"/>
      <c r="V77" s="524"/>
      <c r="W77" s="524"/>
      <c r="X77" s="524"/>
      <c r="Y77" s="524"/>
      <c r="Z77" s="524"/>
      <c r="AA77" s="524"/>
      <c r="AB77" s="524"/>
      <c r="AC77" s="524"/>
      <c r="AD77" s="524"/>
      <c r="AE77" s="524"/>
      <c r="AF77" s="524"/>
    </row>
    <row r="78" spans="1:32" s="106" customFormat="1" ht="16.5" customHeight="1">
      <c r="A78" s="109"/>
      <c r="B78" s="108"/>
      <c r="C78" s="107"/>
      <c r="D78" s="107"/>
      <c r="E78" s="107"/>
      <c r="F78" s="107"/>
      <c r="G78" s="107"/>
      <c r="H78" s="107"/>
      <c r="I78" s="107"/>
      <c r="J78" s="107"/>
      <c r="K78" s="107"/>
      <c r="L78" s="107"/>
      <c r="M78" s="107"/>
      <c r="N78" s="107"/>
      <c r="T78" s="206"/>
      <c r="U78" s="524"/>
      <c r="V78" s="524"/>
      <c r="W78" s="524"/>
      <c r="X78" s="524"/>
      <c r="Y78" s="524"/>
      <c r="Z78" s="524"/>
      <c r="AA78" s="524"/>
      <c r="AB78" s="524"/>
      <c r="AC78" s="524"/>
      <c r="AD78" s="524"/>
      <c r="AE78" s="524"/>
      <c r="AF78" s="524"/>
    </row>
    <row r="79" spans="1:32" ht="13.2">
      <c r="A79" s="42" t="s">
        <v>116</v>
      </c>
      <c r="C79" s="105"/>
      <c r="T79" s="206"/>
      <c r="U79" s="524"/>
      <c r="V79" s="524"/>
      <c r="W79" s="524"/>
      <c r="X79" s="524"/>
      <c r="Y79" s="524"/>
      <c r="Z79" s="524"/>
      <c r="AA79" s="524"/>
      <c r="AB79" s="524"/>
      <c r="AC79" s="524"/>
      <c r="AD79" s="524"/>
      <c r="AE79" s="524"/>
      <c r="AF79" s="524"/>
    </row>
    <row r="80" spans="1:32" ht="13.2">
      <c r="A80"/>
      <c r="B80" s="10" t="s">
        <v>338</v>
      </c>
      <c r="C80" s="105"/>
      <c r="D80" s="105"/>
      <c r="E80" s="105"/>
      <c r="F80" s="105"/>
      <c r="G80" s="105"/>
      <c r="H80" s="105"/>
      <c r="I80" s="105"/>
      <c r="J80" s="105"/>
      <c r="K80" s="105"/>
      <c r="L80" s="105"/>
      <c r="M80" s="105"/>
      <c r="N80" s="105"/>
      <c r="T80" s="206"/>
      <c r="U80" s="523"/>
      <c r="V80" s="523"/>
      <c r="W80" s="523"/>
      <c r="X80" s="523"/>
      <c r="Y80" s="523"/>
      <c r="Z80" s="523"/>
      <c r="AA80" s="523"/>
      <c r="AB80" s="523"/>
      <c r="AC80" s="523"/>
      <c r="AD80" s="523"/>
      <c r="AE80" s="523"/>
      <c r="AF80" s="523"/>
    </row>
    <row r="81" spans="1:32" ht="13.2">
      <c r="A81"/>
      <c r="B81" s="81" t="s">
        <v>426</v>
      </c>
    </row>
    <row r="82" spans="1:32" ht="13.2">
      <c r="A82"/>
      <c r="B82" s="125" t="s">
        <v>431</v>
      </c>
      <c r="C82" s="104"/>
      <c r="U82" s="44"/>
      <c r="V82" s="44"/>
      <c r="W82" s="44"/>
      <c r="X82" s="44"/>
      <c r="Y82" s="44"/>
      <c r="Z82" s="44"/>
      <c r="AA82" s="44"/>
      <c r="AB82" s="44"/>
      <c r="AC82" s="44"/>
      <c r="AD82" s="44"/>
      <c r="AE82" s="44"/>
      <c r="AF82" s="44"/>
    </row>
    <row r="83" spans="1:32" ht="13.2">
      <c r="A83"/>
      <c r="B83" s="153" t="s">
        <v>435</v>
      </c>
      <c r="E83" s="88"/>
      <c r="U83" s="534"/>
      <c r="V83" s="534"/>
      <c r="W83" s="534"/>
      <c r="X83" s="534"/>
      <c r="Y83" s="534"/>
      <c r="Z83" s="534"/>
      <c r="AA83" s="534"/>
      <c r="AB83" s="534"/>
      <c r="AC83" s="534"/>
      <c r="AD83" s="534"/>
      <c r="AE83" s="534"/>
      <c r="AF83" s="534"/>
    </row>
    <row r="84" spans="1:32" ht="13.2">
      <c r="A84"/>
      <c r="B84" t="s">
        <v>433</v>
      </c>
      <c r="C84" s="98"/>
      <c r="D84" s="98"/>
      <c r="E84" s="98"/>
      <c r="F84" s="98"/>
      <c r="G84" s="98"/>
      <c r="H84" s="98"/>
      <c r="I84" s="98"/>
      <c r="J84" s="98"/>
      <c r="K84" s="98"/>
      <c r="L84" s="98"/>
      <c r="M84" s="98"/>
      <c r="N84" s="98"/>
      <c r="U84" s="535"/>
      <c r="V84" s="534"/>
      <c r="W84" s="534"/>
      <c r="X84" s="534"/>
      <c r="Y84" s="534"/>
      <c r="Z84" s="534"/>
      <c r="AA84" s="534"/>
      <c r="AB84" s="534"/>
      <c r="AC84" s="534"/>
      <c r="AD84" s="534"/>
      <c r="AE84" s="534"/>
      <c r="AF84" s="534"/>
    </row>
    <row r="85" spans="1:32">
      <c r="U85" s="534"/>
      <c r="V85" s="534"/>
      <c r="W85" s="534"/>
      <c r="X85" s="534"/>
      <c r="Y85" s="534"/>
      <c r="Z85" s="534"/>
      <c r="AA85" s="534"/>
      <c r="AB85" s="534"/>
      <c r="AC85" s="534"/>
      <c r="AD85" s="534"/>
      <c r="AE85" s="534"/>
      <c r="AF85" s="534"/>
    </row>
    <row r="86" spans="1:32" ht="409.6">
      <c r="U86" s="534"/>
      <c r="V86" s="534"/>
      <c r="W86" s="534"/>
      <c r="X86" s="534"/>
      <c r="Y86" s="534"/>
      <c r="Z86" s="534"/>
      <c r="AA86" s="534"/>
      <c r="AB86" s="534"/>
      <c r="AC86" s="534"/>
      <c r="AD86" s="534"/>
      <c r="AE86" s="534"/>
      <c r="AF86" s="534"/>
    </row>
    <row r="87" spans="1:32">
      <c r="U87" s="534"/>
      <c r="V87" s="534"/>
      <c r="W87" s="534"/>
      <c r="X87" s="534"/>
      <c r="Y87" s="534"/>
      <c r="Z87" s="534"/>
      <c r="AA87" s="534"/>
      <c r="AB87" s="534"/>
      <c r="AC87" s="534"/>
      <c r="AD87" s="534"/>
      <c r="AE87" s="534"/>
      <c r="AF87" s="534"/>
    </row>
    <row r="88" spans="1:32">
      <c r="U88" s="534"/>
      <c r="V88" s="534"/>
      <c r="W88" s="534"/>
      <c r="X88" s="534"/>
      <c r="Y88" s="534"/>
      <c r="Z88" s="534"/>
      <c r="AA88" s="534"/>
      <c r="AB88" s="534"/>
      <c r="AC88" s="534"/>
      <c r="AD88" s="534"/>
      <c r="AE88" s="534"/>
      <c r="AF88" s="534"/>
    </row>
    <row r="90" spans="1:32">
      <c r="G90" s="145"/>
    </row>
    <row r="91" spans="1:32" ht="409.6">
      <c r="G91" s="44"/>
    </row>
    <row r="93" spans="1:32">
      <c r="G93" s="150"/>
    </row>
  </sheetData>
  <mergeCells count="3">
    <mergeCell ref="C7:E7"/>
    <mergeCell ref="F7:L7"/>
    <mergeCell ref="M7:N7"/>
  </mergeCells>
  <conditionalFormatting sqref="C60:N60">
    <cfRule type="cellIs" dxfId="190" priority="12" operator="greaterThanOrEqual">
      <formula>C61</formula>
    </cfRule>
  </conditionalFormatting>
  <conditionalFormatting sqref="C73:N73">
    <cfRule type="cellIs" dxfId="189" priority="5" operator="greaterThanOrEqual">
      <formula>C74</formula>
    </cfRule>
  </conditionalFormatting>
  <conditionalFormatting sqref="C59:N59">
    <cfRule type="cellIs" dxfId="188" priority="10" operator="greaterThanOrEqual">
      <formula>C60</formula>
    </cfRule>
  </conditionalFormatting>
  <conditionalFormatting sqref="C64:N64">
    <cfRule type="cellIs" dxfId="187" priority="1" operator="greaterThan">
      <formula>C65</formula>
    </cfRule>
  </conditionalFormatting>
  <conditionalFormatting sqref="C72:N72">
    <cfRule type="cellIs" dxfId="186" priority="6" operator="greaterThan">
      <formula>C73</formula>
    </cfRule>
  </conditionalFormatting>
  <conditionalFormatting sqref="C65:N65">
    <cfRule type="cellIs" dxfId="185" priority="2" operator="greaterThanOrEqual">
      <formula>C66</formula>
    </cfRule>
  </conditionalFormatting>
  <pageMargins left="0" right="0" top="1" bottom="1" header="0.5" footer="0.5"/>
  <pageSetup scale="38" orientation="landscape" r:id="rId1"/>
  <headerFooter alignWithMargins="0">
    <oddFooter>&amp;LPrinted:  &amp;D&amp;C&amp;F&amp;RPage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397"/>
  <sheetViews>
    <sheetView showGridLines="0" zoomScale="75" zoomScaleNormal="75" zoomScaleSheetLayoutView="75" workbookViewId="0">
      <selection activeCell="A2" sqref="A1:A2"/>
    </sheetView>
  </sheetViews>
  <sheetFormatPr defaultRowHeight="13.2"/>
  <cols>
    <col min="1" max="2" width="16.33203125" customWidth="1"/>
    <col min="3" max="4" width="15.5546875" customWidth="1"/>
    <col min="5" max="16" width="14.33203125" customWidth="1"/>
    <col min="19" max="19" width="9.109375" style="12"/>
    <col min="20" max="20" width="17.109375" style="12" customWidth="1"/>
    <col min="21" max="21" width="12.33203125" style="12" bestFit="1" customWidth="1"/>
    <col min="22" max="22" width="12" style="12" customWidth="1"/>
    <col min="23" max="23" width="12.33203125" style="12" customWidth="1"/>
    <col min="24" max="24" width="12.33203125" style="12" bestFit="1" customWidth="1"/>
    <col min="25" max="25" width="12.33203125" style="12" customWidth="1"/>
    <col min="26" max="26" width="12.6640625" style="12" bestFit="1" customWidth="1"/>
    <col min="27" max="27" width="12.33203125" style="12" bestFit="1" customWidth="1"/>
    <col min="28" max="28" width="12.6640625" style="12" bestFit="1" customWidth="1"/>
    <col min="29" max="29" width="12.33203125" style="12" bestFit="1" customWidth="1"/>
    <col min="30" max="30" width="12.6640625" style="12" bestFit="1" customWidth="1"/>
    <col min="31" max="31" width="12.33203125" style="12" bestFit="1" customWidth="1"/>
    <col min="32" max="32" width="12.6640625" style="12" bestFit="1" customWidth="1"/>
    <col min="33" max="33" width="9.109375" style="12"/>
    <col min="34" max="34" width="13.44140625" style="12" bestFit="1" customWidth="1"/>
    <col min="35" max="35" width="13.109375" style="12" bestFit="1" customWidth="1"/>
    <col min="36" max="38" width="13.44140625" style="12" bestFit="1" customWidth="1"/>
    <col min="39" max="39" width="13.88671875" style="12" bestFit="1" customWidth="1"/>
    <col min="40" max="40" width="13.44140625" style="12" bestFit="1" customWidth="1"/>
    <col min="41" max="41" width="13.88671875" style="12" bestFit="1" customWidth="1"/>
    <col min="42" max="42" width="13.44140625" style="12" bestFit="1" customWidth="1"/>
    <col min="43" max="43" width="13.88671875" style="12" bestFit="1" customWidth="1"/>
    <col min="44" max="44" width="13.44140625" style="12" bestFit="1" customWidth="1"/>
    <col min="45" max="45" width="13.88671875" style="12" bestFit="1" customWidth="1"/>
    <col min="46" max="258" width="9.109375" style="12"/>
    <col min="259" max="259" width="11.109375" style="12" customWidth="1"/>
    <col min="260" max="260" width="15.5546875" style="12" customWidth="1"/>
    <col min="261" max="261" width="12.6640625" style="12" bestFit="1" customWidth="1"/>
    <col min="262" max="264" width="13.109375" style="12" bestFit="1" customWidth="1"/>
    <col min="265" max="265" width="12.6640625" style="12" bestFit="1" customWidth="1"/>
    <col min="266" max="266" width="12.109375" style="12" bestFit="1" customWidth="1"/>
    <col min="267" max="268" width="13.109375" style="12" bestFit="1" customWidth="1"/>
    <col min="269" max="269" width="12.44140625" style="12" bestFit="1" customWidth="1"/>
    <col min="270" max="270" width="13.109375" style="12" bestFit="1" customWidth="1"/>
    <col min="271" max="271" width="12.109375" style="12" bestFit="1" customWidth="1"/>
    <col min="272" max="272" width="13" style="12" bestFit="1" customWidth="1"/>
    <col min="273" max="514" width="9.109375" style="12"/>
    <col min="515" max="515" width="11.109375" style="12" customWidth="1"/>
    <col min="516" max="516" width="15.5546875" style="12" customWidth="1"/>
    <col min="517" max="517" width="12.6640625" style="12" bestFit="1" customWidth="1"/>
    <col min="518" max="520" width="13.109375" style="12" bestFit="1" customWidth="1"/>
    <col min="521" max="521" width="12.6640625" style="12" bestFit="1" customWidth="1"/>
    <col min="522" max="522" width="12.109375" style="12" bestFit="1" customWidth="1"/>
    <col min="523" max="524" width="13.109375" style="12" bestFit="1" customWidth="1"/>
    <col min="525" max="525" width="12.44140625" style="12" bestFit="1" customWidth="1"/>
    <col min="526" max="526" width="13.109375" style="12" bestFit="1" customWidth="1"/>
    <col min="527" max="527" width="12.109375" style="12" bestFit="1" customWidth="1"/>
    <col min="528" max="528" width="13" style="12" bestFit="1" customWidth="1"/>
    <col min="529" max="770" width="9.109375" style="12"/>
    <col min="771" max="771" width="11.109375" style="12" customWidth="1"/>
    <col min="772" max="772" width="15.5546875" style="12" customWidth="1"/>
    <col min="773" max="773" width="12.6640625" style="12" bestFit="1" customWidth="1"/>
    <col min="774" max="776" width="13.109375" style="12" bestFit="1" customWidth="1"/>
    <col min="777" max="777" width="12.6640625" style="12" bestFit="1" customWidth="1"/>
    <col min="778" max="778" width="12.109375" style="12" bestFit="1" customWidth="1"/>
    <col min="779" max="780" width="13.109375" style="12" bestFit="1" customWidth="1"/>
    <col min="781" max="781" width="12.44140625" style="12" bestFit="1" customWidth="1"/>
    <col min="782" max="782" width="13.109375" style="12" bestFit="1" customWidth="1"/>
    <col min="783" max="783" width="12.109375" style="12" bestFit="1" customWidth="1"/>
    <col min="784" max="784" width="13" style="12" bestFit="1" customWidth="1"/>
    <col min="785" max="1026" width="9.109375" style="12"/>
    <col min="1027" max="1027" width="11.109375" style="12" customWidth="1"/>
    <col min="1028" max="1028" width="15.5546875" style="12" customWidth="1"/>
    <col min="1029" max="1029" width="12.6640625" style="12" bestFit="1" customWidth="1"/>
    <col min="1030" max="1032" width="13.109375" style="12" bestFit="1" customWidth="1"/>
    <col min="1033" max="1033" width="12.6640625" style="12" bestFit="1" customWidth="1"/>
    <col min="1034" max="1034" width="12.109375" style="12" bestFit="1" customWidth="1"/>
    <col min="1035" max="1036" width="13.109375" style="12" bestFit="1" customWidth="1"/>
    <col min="1037" max="1037" width="12.44140625" style="12" bestFit="1" customWidth="1"/>
    <col min="1038" max="1038" width="13.109375" style="12" bestFit="1" customWidth="1"/>
    <col min="1039" max="1039" width="12.109375" style="12" bestFit="1" customWidth="1"/>
    <col min="1040" max="1040" width="13" style="12" bestFit="1" customWidth="1"/>
    <col min="1041" max="1282" width="9.109375" style="12"/>
    <col min="1283" max="1283" width="11.109375" style="12" customWidth="1"/>
    <col min="1284" max="1284" width="15.5546875" style="12" customWidth="1"/>
    <col min="1285" max="1285" width="12.6640625" style="12" bestFit="1" customWidth="1"/>
    <col min="1286" max="1288" width="13.109375" style="12" bestFit="1" customWidth="1"/>
    <col min="1289" max="1289" width="12.6640625" style="12" bestFit="1" customWidth="1"/>
    <col min="1290" max="1290" width="12.109375" style="12" bestFit="1" customWidth="1"/>
    <col min="1291" max="1292" width="13.109375" style="12" bestFit="1" customWidth="1"/>
    <col min="1293" max="1293" width="12.44140625" style="12" bestFit="1" customWidth="1"/>
    <col min="1294" max="1294" width="13.109375" style="12" bestFit="1" customWidth="1"/>
    <col min="1295" max="1295" width="12.109375" style="12" bestFit="1" customWidth="1"/>
    <col min="1296" max="1296" width="13" style="12" bestFit="1" customWidth="1"/>
    <col min="1297" max="1538" width="9.109375" style="12"/>
    <col min="1539" max="1539" width="11.109375" style="12" customWidth="1"/>
    <col min="1540" max="1540" width="15.5546875" style="12" customWidth="1"/>
    <col min="1541" max="1541" width="12.6640625" style="12" bestFit="1" customWidth="1"/>
    <col min="1542" max="1544" width="13.109375" style="12" bestFit="1" customWidth="1"/>
    <col min="1545" max="1545" width="12.6640625" style="12" bestFit="1" customWidth="1"/>
    <col min="1546" max="1546" width="12.109375" style="12" bestFit="1" customWidth="1"/>
    <col min="1547" max="1548" width="13.109375" style="12" bestFit="1" customWidth="1"/>
    <col min="1549" max="1549" width="12.44140625" style="12" bestFit="1" customWidth="1"/>
    <col min="1550" max="1550" width="13.109375" style="12" bestFit="1" customWidth="1"/>
    <col min="1551" max="1551" width="12.109375" style="12" bestFit="1" customWidth="1"/>
    <col min="1552" max="1552" width="13" style="12" bestFit="1" customWidth="1"/>
    <col min="1553" max="1794" width="9.109375" style="12"/>
    <col min="1795" max="1795" width="11.109375" style="12" customWidth="1"/>
    <col min="1796" max="1796" width="15.5546875" style="12" customWidth="1"/>
    <col min="1797" max="1797" width="12.6640625" style="12" bestFit="1" customWidth="1"/>
    <col min="1798" max="1800" width="13.109375" style="12" bestFit="1" customWidth="1"/>
    <col min="1801" max="1801" width="12.6640625" style="12" bestFit="1" customWidth="1"/>
    <col min="1802" max="1802" width="12.109375" style="12" bestFit="1" customWidth="1"/>
    <col min="1803" max="1804" width="13.109375" style="12" bestFit="1" customWidth="1"/>
    <col min="1805" max="1805" width="12.44140625" style="12" bestFit="1" customWidth="1"/>
    <col min="1806" max="1806" width="13.109375" style="12" bestFit="1" customWidth="1"/>
    <col min="1807" max="1807" width="12.109375" style="12" bestFit="1" customWidth="1"/>
    <col min="1808" max="1808" width="13" style="12" bestFit="1" customWidth="1"/>
    <col min="1809" max="2050" width="9.109375" style="12"/>
    <col min="2051" max="2051" width="11.109375" style="12" customWidth="1"/>
    <col min="2052" max="2052" width="15.5546875" style="12" customWidth="1"/>
    <col min="2053" max="2053" width="12.6640625" style="12" bestFit="1" customWidth="1"/>
    <col min="2054" max="2056" width="13.109375" style="12" bestFit="1" customWidth="1"/>
    <col min="2057" max="2057" width="12.6640625" style="12" bestFit="1" customWidth="1"/>
    <col min="2058" max="2058" width="12.109375" style="12" bestFit="1" customWidth="1"/>
    <col min="2059" max="2060" width="13.109375" style="12" bestFit="1" customWidth="1"/>
    <col min="2061" max="2061" width="12.44140625" style="12" bestFit="1" customWidth="1"/>
    <col min="2062" max="2062" width="13.109375" style="12" bestFit="1" customWidth="1"/>
    <col min="2063" max="2063" width="12.109375" style="12" bestFit="1" customWidth="1"/>
    <col min="2064" max="2064" width="13" style="12" bestFit="1" customWidth="1"/>
    <col min="2065" max="2306" width="9.109375" style="12"/>
    <col min="2307" max="2307" width="11.109375" style="12" customWidth="1"/>
    <col min="2308" max="2308" width="15.5546875" style="12" customWidth="1"/>
    <col min="2309" max="2309" width="12.6640625" style="12" bestFit="1" customWidth="1"/>
    <col min="2310" max="2312" width="13.109375" style="12" bestFit="1" customWidth="1"/>
    <col min="2313" max="2313" width="12.6640625" style="12" bestFit="1" customWidth="1"/>
    <col min="2314" max="2314" width="12.109375" style="12" bestFit="1" customWidth="1"/>
    <col min="2315" max="2316" width="13.109375" style="12" bestFit="1" customWidth="1"/>
    <col min="2317" max="2317" width="12.44140625" style="12" bestFit="1" customWidth="1"/>
    <col min="2318" max="2318" width="13.109375" style="12" bestFit="1" customWidth="1"/>
    <col min="2319" max="2319" width="12.109375" style="12" bestFit="1" customWidth="1"/>
    <col min="2320" max="2320" width="13" style="12" bestFit="1" customWidth="1"/>
    <col min="2321" max="2562" width="9.109375" style="12"/>
    <col min="2563" max="2563" width="11.109375" style="12" customWidth="1"/>
    <col min="2564" max="2564" width="15.5546875" style="12" customWidth="1"/>
    <col min="2565" max="2565" width="12.6640625" style="12" bestFit="1" customWidth="1"/>
    <col min="2566" max="2568" width="13.109375" style="12" bestFit="1" customWidth="1"/>
    <col min="2569" max="2569" width="12.6640625" style="12" bestFit="1" customWidth="1"/>
    <col min="2570" max="2570" width="12.109375" style="12" bestFit="1" customWidth="1"/>
    <col min="2571" max="2572" width="13.109375" style="12" bestFit="1" customWidth="1"/>
    <col min="2573" max="2573" width="12.44140625" style="12" bestFit="1" customWidth="1"/>
    <col min="2574" max="2574" width="13.109375" style="12" bestFit="1" customWidth="1"/>
    <col min="2575" max="2575" width="12.109375" style="12" bestFit="1" customWidth="1"/>
    <col min="2576" max="2576" width="13" style="12" bestFit="1" customWidth="1"/>
    <col min="2577" max="2818" width="9.109375" style="12"/>
    <col min="2819" max="2819" width="11.109375" style="12" customWidth="1"/>
    <col min="2820" max="2820" width="15.5546875" style="12" customWidth="1"/>
    <col min="2821" max="2821" width="12.6640625" style="12" bestFit="1" customWidth="1"/>
    <col min="2822" max="2824" width="13.109375" style="12" bestFit="1" customWidth="1"/>
    <col min="2825" max="2825" width="12.6640625" style="12" bestFit="1" customWidth="1"/>
    <col min="2826" max="2826" width="12.109375" style="12" bestFit="1" customWidth="1"/>
    <col min="2827" max="2828" width="13.109375" style="12" bestFit="1" customWidth="1"/>
    <col min="2829" max="2829" width="12.44140625" style="12" bestFit="1" customWidth="1"/>
    <col min="2830" max="2830" width="13.109375" style="12" bestFit="1" customWidth="1"/>
    <col min="2831" max="2831" width="12.109375" style="12" bestFit="1" customWidth="1"/>
    <col min="2832" max="2832" width="13" style="12" bestFit="1" customWidth="1"/>
    <col min="2833" max="3074" width="9.109375" style="12"/>
    <col min="3075" max="3075" width="11.109375" style="12" customWidth="1"/>
    <col min="3076" max="3076" width="15.5546875" style="12" customWidth="1"/>
    <col min="3077" max="3077" width="12.6640625" style="12" bestFit="1" customWidth="1"/>
    <col min="3078" max="3080" width="13.109375" style="12" bestFit="1" customWidth="1"/>
    <col min="3081" max="3081" width="12.6640625" style="12" bestFit="1" customWidth="1"/>
    <col min="3082" max="3082" width="12.109375" style="12" bestFit="1" customWidth="1"/>
    <col min="3083" max="3084" width="13.109375" style="12" bestFit="1" customWidth="1"/>
    <col min="3085" max="3085" width="12.44140625" style="12" bestFit="1" customWidth="1"/>
    <col min="3086" max="3086" width="13.109375" style="12" bestFit="1" customWidth="1"/>
    <col min="3087" max="3087" width="12.109375" style="12" bestFit="1" customWidth="1"/>
    <col min="3088" max="3088" width="13" style="12" bestFit="1" customWidth="1"/>
    <col min="3089" max="3330" width="9.109375" style="12"/>
    <col min="3331" max="3331" width="11.109375" style="12" customWidth="1"/>
    <col min="3332" max="3332" width="15.5546875" style="12" customWidth="1"/>
    <col min="3333" max="3333" width="12.6640625" style="12" bestFit="1" customWidth="1"/>
    <col min="3334" max="3336" width="13.109375" style="12" bestFit="1" customWidth="1"/>
    <col min="3337" max="3337" width="12.6640625" style="12" bestFit="1" customWidth="1"/>
    <col min="3338" max="3338" width="12.109375" style="12" bestFit="1" customWidth="1"/>
    <col min="3339" max="3340" width="13.109375" style="12" bestFit="1" customWidth="1"/>
    <col min="3341" max="3341" width="12.44140625" style="12" bestFit="1" customWidth="1"/>
    <col min="3342" max="3342" width="13.109375" style="12" bestFit="1" customWidth="1"/>
    <col min="3343" max="3343" width="12.109375" style="12" bestFit="1" customWidth="1"/>
    <col min="3344" max="3344" width="13" style="12" bestFit="1" customWidth="1"/>
    <col min="3345" max="3586" width="9.109375" style="12"/>
    <col min="3587" max="3587" width="11.109375" style="12" customWidth="1"/>
    <col min="3588" max="3588" width="15.5546875" style="12" customWidth="1"/>
    <col min="3589" max="3589" width="12.6640625" style="12" bestFit="1" customWidth="1"/>
    <col min="3590" max="3592" width="13.109375" style="12" bestFit="1" customWidth="1"/>
    <col min="3593" max="3593" width="12.6640625" style="12" bestFit="1" customWidth="1"/>
    <col min="3594" max="3594" width="12.109375" style="12" bestFit="1" customWidth="1"/>
    <col min="3595" max="3596" width="13.109375" style="12" bestFit="1" customWidth="1"/>
    <col min="3597" max="3597" width="12.44140625" style="12" bestFit="1" customWidth="1"/>
    <col min="3598" max="3598" width="13.109375" style="12" bestFit="1" customWidth="1"/>
    <col min="3599" max="3599" width="12.109375" style="12" bestFit="1" customWidth="1"/>
    <col min="3600" max="3600" width="13" style="12" bestFit="1" customWidth="1"/>
    <col min="3601" max="3842" width="9.109375" style="12"/>
    <col min="3843" max="3843" width="11.109375" style="12" customWidth="1"/>
    <col min="3844" max="3844" width="15.5546875" style="12" customWidth="1"/>
    <col min="3845" max="3845" width="12.6640625" style="12" bestFit="1" customWidth="1"/>
    <col min="3846" max="3848" width="13.109375" style="12" bestFit="1" customWidth="1"/>
    <col min="3849" max="3849" width="12.6640625" style="12" bestFit="1" customWidth="1"/>
    <col min="3850" max="3850" width="12.109375" style="12" bestFit="1" customWidth="1"/>
    <col min="3851" max="3852" width="13.109375" style="12" bestFit="1" customWidth="1"/>
    <col min="3853" max="3853" width="12.44140625" style="12" bestFit="1" customWidth="1"/>
    <col min="3854" max="3854" width="13.109375" style="12" bestFit="1" customWidth="1"/>
    <col min="3855" max="3855" width="12.109375" style="12" bestFit="1" customWidth="1"/>
    <col min="3856" max="3856" width="13" style="12" bestFit="1" customWidth="1"/>
    <col min="3857" max="4098" width="9.109375" style="12"/>
    <col min="4099" max="4099" width="11.109375" style="12" customWidth="1"/>
    <col min="4100" max="4100" width="15.5546875" style="12" customWidth="1"/>
    <col min="4101" max="4101" width="12.6640625" style="12" bestFit="1" customWidth="1"/>
    <col min="4102" max="4104" width="13.109375" style="12" bestFit="1" customWidth="1"/>
    <col min="4105" max="4105" width="12.6640625" style="12" bestFit="1" customWidth="1"/>
    <col min="4106" max="4106" width="12.109375" style="12" bestFit="1" customWidth="1"/>
    <col min="4107" max="4108" width="13.109375" style="12" bestFit="1" customWidth="1"/>
    <col min="4109" max="4109" width="12.44140625" style="12" bestFit="1" customWidth="1"/>
    <col min="4110" max="4110" width="13.109375" style="12" bestFit="1" customWidth="1"/>
    <col min="4111" max="4111" width="12.109375" style="12" bestFit="1" customWidth="1"/>
    <col min="4112" max="4112" width="13" style="12" bestFit="1" customWidth="1"/>
    <col min="4113" max="4354" width="9.109375" style="12"/>
    <col min="4355" max="4355" width="11.109375" style="12" customWidth="1"/>
    <col min="4356" max="4356" width="15.5546875" style="12" customWidth="1"/>
    <col min="4357" max="4357" width="12.6640625" style="12" bestFit="1" customWidth="1"/>
    <col min="4358" max="4360" width="13.109375" style="12" bestFit="1" customWidth="1"/>
    <col min="4361" max="4361" width="12.6640625" style="12" bestFit="1" customWidth="1"/>
    <col min="4362" max="4362" width="12.109375" style="12" bestFit="1" customWidth="1"/>
    <col min="4363" max="4364" width="13.109375" style="12" bestFit="1" customWidth="1"/>
    <col min="4365" max="4365" width="12.44140625" style="12" bestFit="1" customWidth="1"/>
    <col min="4366" max="4366" width="13.109375" style="12" bestFit="1" customWidth="1"/>
    <col min="4367" max="4367" width="12.109375" style="12" bestFit="1" customWidth="1"/>
    <col min="4368" max="4368" width="13" style="12" bestFit="1" customWidth="1"/>
    <col min="4369" max="4610" width="9.109375" style="12"/>
    <col min="4611" max="4611" width="11.109375" style="12" customWidth="1"/>
    <col min="4612" max="4612" width="15.5546875" style="12" customWidth="1"/>
    <col min="4613" max="4613" width="12.6640625" style="12" bestFit="1" customWidth="1"/>
    <col min="4614" max="4616" width="13.109375" style="12" bestFit="1" customWidth="1"/>
    <col min="4617" max="4617" width="12.6640625" style="12" bestFit="1" customWidth="1"/>
    <col min="4618" max="4618" width="12.109375" style="12" bestFit="1" customWidth="1"/>
    <col min="4619" max="4620" width="13.109375" style="12" bestFit="1" customWidth="1"/>
    <col min="4621" max="4621" width="12.44140625" style="12" bestFit="1" customWidth="1"/>
    <col min="4622" max="4622" width="13.109375" style="12" bestFit="1" customWidth="1"/>
    <col min="4623" max="4623" width="12.109375" style="12" bestFit="1" customWidth="1"/>
    <col min="4624" max="4624" width="13" style="12" bestFit="1" customWidth="1"/>
    <col min="4625" max="4866" width="9.109375" style="12"/>
    <col min="4867" max="4867" width="11.109375" style="12" customWidth="1"/>
    <col min="4868" max="4868" width="15.5546875" style="12" customWidth="1"/>
    <col min="4869" max="4869" width="12.6640625" style="12" bestFit="1" customWidth="1"/>
    <col min="4870" max="4872" width="13.109375" style="12" bestFit="1" customWidth="1"/>
    <col min="4873" max="4873" width="12.6640625" style="12" bestFit="1" customWidth="1"/>
    <col min="4874" max="4874" width="12.109375" style="12" bestFit="1" customWidth="1"/>
    <col min="4875" max="4876" width="13.109375" style="12" bestFit="1" customWidth="1"/>
    <col min="4877" max="4877" width="12.44140625" style="12" bestFit="1" customWidth="1"/>
    <col min="4878" max="4878" width="13.109375" style="12" bestFit="1" customWidth="1"/>
    <col min="4879" max="4879" width="12.109375" style="12" bestFit="1" customWidth="1"/>
    <col min="4880" max="4880" width="13" style="12" bestFit="1" customWidth="1"/>
    <col min="4881" max="5122" width="9.109375" style="12"/>
    <col min="5123" max="5123" width="11.109375" style="12" customWidth="1"/>
    <col min="5124" max="5124" width="15.5546875" style="12" customWidth="1"/>
    <col min="5125" max="5125" width="12.6640625" style="12" bestFit="1" customWidth="1"/>
    <col min="5126" max="5128" width="13.109375" style="12" bestFit="1" customWidth="1"/>
    <col min="5129" max="5129" width="12.6640625" style="12" bestFit="1" customWidth="1"/>
    <col min="5130" max="5130" width="12.109375" style="12" bestFit="1" customWidth="1"/>
    <col min="5131" max="5132" width="13.109375" style="12" bestFit="1" customWidth="1"/>
    <col min="5133" max="5133" width="12.44140625" style="12" bestFit="1" customWidth="1"/>
    <col min="5134" max="5134" width="13.109375" style="12" bestFit="1" customWidth="1"/>
    <col min="5135" max="5135" width="12.109375" style="12" bestFit="1" customWidth="1"/>
    <col min="5136" max="5136" width="13" style="12" bestFit="1" customWidth="1"/>
    <col min="5137" max="5378" width="9.109375" style="12"/>
    <col min="5379" max="5379" width="11.109375" style="12" customWidth="1"/>
    <col min="5380" max="5380" width="15.5546875" style="12" customWidth="1"/>
    <col min="5381" max="5381" width="12.6640625" style="12" bestFit="1" customWidth="1"/>
    <col min="5382" max="5384" width="13.109375" style="12" bestFit="1" customWidth="1"/>
    <col min="5385" max="5385" width="12.6640625" style="12" bestFit="1" customWidth="1"/>
    <col min="5386" max="5386" width="12.109375" style="12" bestFit="1" customWidth="1"/>
    <col min="5387" max="5388" width="13.109375" style="12" bestFit="1" customWidth="1"/>
    <col min="5389" max="5389" width="12.44140625" style="12" bestFit="1" customWidth="1"/>
    <col min="5390" max="5390" width="13.109375" style="12" bestFit="1" customWidth="1"/>
    <col min="5391" max="5391" width="12.109375" style="12" bestFit="1" customWidth="1"/>
    <col min="5392" max="5392" width="13" style="12" bestFit="1" customWidth="1"/>
    <col min="5393" max="5634" width="9.109375" style="12"/>
    <col min="5635" max="5635" width="11.109375" style="12" customWidth="1"/>
    <col min="5636" max="5636" width="15.5546875" style="12" customWidth="1"/>
    <col min="5637" max="5637" width="12.6640625" style="12" bestFit="1" customWidth="1"/>
    <col min="5638" max="5640" width="13.109375" style="12" bestFit="1" customWidth="1"/>
    <col min="5641" max="5641" width="12.6640625" style="12" bestFit="1" customWidth="1"/>
    <col min="5642" max="5642" width="12.109375" style="12" bestFit="1" customWidth="1"/>
    <col min="5643" max="5644" width="13.109375" style="12" bestFit="1" customWidth="1"/>
    <col min="5645" max="5645" width="12.44140625" style="12" bestFit="1" customWidth="1"/>
    <col min="5646" max="5646" width="13.109375" style="12" bestFit="1" customWidth="1"/>
    <col min="5647" max="5647" width="12.109375" style="12" bestFit="1" customWidth="1"/>
    <col min="5648" max="5648" width="13" style="12" bestFit="1" customWidth="1"/>
    <col min="5649" max="5890" width="9.109375" style="12"/>
    <col min="5891" max="5891" width="11.109375" style="12" customWidth="1"/>
    <col min="5892" max="5892" width="15.5546875" style="12" customWidth="1"/>
    <col min="5893" max="5893" width="12.6640625" style="12" bestFit="1" customWidth="1"/>
    <col min="5894" max="5896" width="13.109375" style="12" bestFit="1" customWidth="1"/>
    <col min="5897" max="5897" width="12.6640625" style="12" bestFit="1" customWidth="1"/>
    <col min="5898" max="5898" width="12.109375" style="12" bestFit="1" customWidth="1"/>
    <col min="5899" max="5900" width="13.109375" style="12" bestFit="1" customWidth="1"/>
    <col min="5901" max="5901" width="12.44140625" style="12" bestFit="1" customWidth="1"/>
    <col min="5902" max="5902" width="13.109375" style="12" bestFit="1" customWidth="1"/>
    <col min="5903" max="5903" width="12.109375" style="12" bestFit="1" customWidth="1"/>
    <col min="5904" max="5904" width="13" style="12" bestFit="1" customWidth="1"/>
    <col min="5905" max="6146" width="9.109375" style="12"/>
    <col min="6147" max="6147" width="11.109375" style="12" customWidth="1"/>
    <col min="6148" max="6148" width="15.5546875" style="12" customWidth="1"/>
    <col min="6149" max="6149" width="12.6640625" style="12" bestFit="1" customWidth="1"/>
    <col min="6150" max="6152" width="13.109375" style="12" bestFit="1" customWidth="1"/>
    <col min="6153" max="6153" width="12.6640625" style="12" bestFit="1" customWidth="1"/>
    <col min="6154" max="6154" width="12.109375" style="12" bestFit="1" customWidth="1"/>
    <col min="6155" max="6156" width="13.109375" style="12" bestFit="1" customWidth="1"/>
    <col min="6157" max="6157" width="12.44140625" style="12" bestFit="1" customWidth="1"/>
    <col min="6158" max="6158" width="13.109375" style="12" bestFit="1" customWidth="1"/>
    <col min="6159" max="6159" width="12.109375" style="12" bestFit="1" customWidth="1"/>
    <col min="6160" max="6160" width="13" style="12" bestFit="1" customWidth="1"/>
    <col min="6161" max="6402" width="9.109375" style="12"/>
    <col min="6403" max="6403" width="11.109375" style="12" customWidth="1"/>
    <col min="6404" max="6404" width="15.5546875" style="12" customWidth="1"/>
    <col min="6405" max="6405" width="12.6640625" style="12" bestFit="1" customWidth="1"/>
    <col min="6406" max="6408" width="13.109375" style="12" bestFit="1" customWidth="1"/>
    <col min="6409" max="6409" width="12.6640625" style="12" bestFit="1" customWidth="1"/>
    <col min="6410" max="6410" width="12.109375" style="12" bestFit="1" customWidth="1"/>
    <col min="6411" max="6412" width="13.109375" style="12" bestFit="1" customWidth="1"/>
    <col min="6413" max="6413" width="12.44140625" style="12" bestFit="1" customWidth="1"/>
    <col min="6414" max="6414" width="13.109375" style="12" bestFit="1" customWidth="1"/>
    <col min="6415" max="6415" width="12.109375" style="12" bestFit="1" customWidth="1"/>
    <col min="6416" max="6416" width="13" style="12" bestFit="1" customWidth="1"/>
    <col min="6417" max="6658" width="9.109375" style="12"/>
    <col min="6659" max="6659" width="11.109375" style="12" customWidth="1"/>
    <col min="6660" max="6660" width="15.5546875" style="12" customWidth="1"/>
    <col min="6661" max="6661" width="12.6640625" style="12" bestFit="1" customWidth="1"/>
    <col min="6662" max="6664" width="13.109375" style="12" bestFit="1" customWidth="1"/>
    <col min="6665" max="6665" width="12.6640625" style="12" bestFit="1" customWidth="1"/>
    <col min="6666" max="6666" width="12.109375" style="12" bestFit="1" customWidth="1"/>
    <col min="6667" max="6668" width="13.109375" style="12" bestFit="1" customWidth="1"/>
    <col min="6669" max="6669" width="12.44140625" style="12" bestFit="1" customWidth="1"/>
    <col min="6670" max="6670" width="13.109375" style="12" bestFit="1" customWidth="1"/>
    <col min="6671" max="6671" width="12.109375" style="12" bestFit="1" customWidth="1"/>
    <col min="6672" max="6672" width="13" style="12" bestFit="1" customWidth="1"/>
    <col min="6673" max="6914" width="9.109375" style="12"/>
    <col min="6915" max="6915" width="11.109375" style="12" customWidth="1"/>
    <col min="6916" max="6916" width="15.5546875" style="12" customWidth="1"/>
    <col min="6917" max="6917" width="12.6640625" style="12" bestFit="1" customWidth="1"/>
    <col min="6918" max="6920" width="13.109375" style="12" bestFit="1" customWidth="1"/>
    <col min="6921" max="6921" width="12.6640625" style="12" bestFit="1" customWidth="1"/>
    <col min="6922" max="6922" width="12.109375" style="12" bestFit="1" customWidth="1"/>
    <col min="6923" max="6924" width="13.109375" style="12" bestFit="1" customWidth="1"/>
    <col min="6925" max="6925" width="12.44140625" style="12" bestFit="1" customWidth="1"/>
    <col min="6926" max="6926" width="13.109375" style="12" bestFit="1" customWidth="1"/>
    <col min="6927" max="6927" width="12.109375" style="12" bestFit="1" customWidth="1"/>
    <col min="6928" max="6928" width="13" style="12" bestFit="1" customWidth="1"/>
    <col min="6929" max="7170" width="9.109375" style="12"/>
    <col min="7171" max="7171" width="11.109375" style="12" customWidth="1"/>
    <col min="7172" max="7172" width="15.5546875" style="12" customWidth="1"/>
    <col min="7173" max="7173" width="12.6640625" style="12" bestFit="1" customWidth="1"/>
    <col min="7174" max="7176" width="13.109375" style="12" bestFit="1" customWidth="1"/>
    <col min="7177" max="7177" width="12.6640625" style="12" bestFit="1" customWidth="1"/>
    <col min="7178" max="7178" width="12.109375" style="12" bestFit="1" customWidth="1"/>
    <col min="7179" max="7180" width="13.109375" style="12" bestFit="1" customWidth="1"/>
    <col min="7181" max="7181" width="12.44140625" style="12" bestFit="1" customWidth="1"/>
    <col min="7182" max="7182" width="13.109375" style="12" bestFit="1" customWidth="1"/>
    <col min="7183" max="7183" width="12.109375" style="12" bestFit="1" customWidth="1"/>
    <col min="7184" max="7184" width="13" style="12" bestFit="1" customWidth="1"/>
    <col min="7185" max="7426" width="9.109375" style="12"/>
    <col min="7427" max="7427" width="11.109375" style="12" customWidth="1"/>
    <col min="7428" max="7428" width="15.5546875" style="12" customWidth="1"/>
    <col min="7429" max="7429" width="12.6640625" style="12" bestFit="1" customWidth="1"/>
    <col min="7430" max="7432" width="13.109375" style="12" bestFit="1" customWidth="1"/>
    <col min="7433" max="7433" width="12.6640625" style="12" bestFit="1" customWidth="1"/>
    <col min="7434" max="7434" width="12.109375" style="12" bestFit="1" customWidth="1"/>
    <col min="7435" max="7436" width="13.109375" style="12" bestFit="1" customWidth="1"/>
    <col min="7437" max="7437" width="12.44140625" style="12" bestFit="1" customWidth="1"/>
    <col min="7438" max="7438" width="13.109375" style="12" bestFit="1" customWidth="1"/>
    <col min="7439" max="7439" width="12.109375" style="12" bestFit="1" customWidth="1"/>
    <col min="7440" max="7440" width="13" style="12" bestFit="1" customWidth="1"/>
    <col min="7441" max="7682" width="9.109375" style="12"/>
    <col min="7683" max="7683" width="11.109375" style="12" customWidth="1"/>
    <col min="7684" max="7684" width="15.5546875" style="12" customWidth="1"/>
    <col min="7685" max="7685" width="12.6640625" style="12" bestFit="1" customWidth="1"/>
    <col min="7686" max="7688" width="13.109375" style="12" bestFit="1" customWidth="1"/>
    <col min="7689" max="7689" width="12.6640625" style="12" bestFit="1" customWidth="1"/>
    <col min="7690" max="7690" width="12.109375" style="12" bestFit="1" customWidth="1"/>
    <col min="7691" max="7692" width="13.109375" style="12" bestFit="1" customWidth="1"/>
    <col min="7693" max="7693" width="12.44140625" style="12" bestFit="1" customWidth="1"/>
    <col min="7694" max="7694" width="13.109375" style="12" bestFit="1" customWidth="1"/>
    <col min="7695" max="7695" width="12.109375" style="12" bestFit="1" customWidth="1"/>
    <col min="7696" max="7696" width="13" style="12" bestFit="1" customWidth="1"/>
    <col min="7697" max="7938" width="9.109375" style="12"/>
    <col min="7939" max="7939" width="11.109375" style="12" customWidth="1"/>
    <col min="7940" max="7940" width="15.5546875" style="12" customWidth="1"/>
    <col min="7941" max="7941" width="12.6640625" style="12" bestFit="1" customWidth="1"/>
    <col min="7942" max="7944" width="13.109375" style="12" bestFit="1" customWidth="1"/>
    <col min="7945" max="7945" width="12.6640625" style="12" bestFit="1" customWidth="1"/>
    <col min="7946" max="7946" width="12.109375" style="12" bestFit="1" customWidth="1"/>
    <col min="7947" max="7948" width="13.109375" style="12" bestFit="1" customWidth="1"/>
    <col min="7949" max="7949" width="12.44140625" style="12" bestFit="1" customWidth="1"/>
    <col min="7950" max="7950" width="13.109375" style="12" bestFit="1" customWidth="1"/>
    <col min="7951" max="7951" width="12.109375" style="12" bestFit="1" customWidth="1"/>
    <col min="7952" max="7952" width="13" style="12" bestFit="1" customWidth="1"/>
    <col min="7953" max="8194" width="9.109375" style="12"/>
    <col min="8195" max="8195" width="11.109375" style="12" customWidth="1"/>
    <col min="8196" max="8196" width="15.5546875" style="12" customWidth="1"/>
    <col min="8197" max="8197" width="12.6640625" style="12" bestFit="1" customWidth="1"/>
    <col min="8198" max="8200" width="13.109375" style="12" bestFit="1" customWidth="1"/>
    <col min="8201" max="8201" width="12.6640625" style="12" bestFit="1" customWidth="1"/>
    <col min="8202" max="8202" width="12.109375" style="12" bestFit="1" customWidth="1"/>
    <col min="8203" max="8204" width="13.109375" style="12" bestFit="1" customWidth="1"/>
    <col min="8205" max="8205" width="12.44140625" style="12" bestFit="1" customWidth="1"/>
    <col min="8206" max="8206" width="13.109375" style="12" bestFit="1" customWidth="1"/>
    <col min="8207" max="8207" width="12.109375" style="12" bestFit="1" customWidth="1"/>
    <col min="8208" max="8208" width="13" style="12" bestFit="1" customWidth="1"/>
    <col min="8209" max="8450" width="9.109375" style="12"/>
    <col min="8451" max="8451" width="11.109375" style="12" customWidth="1"/>
    <col min="8452" max="8452" width="15.5546875" style="12" customWidth="1"/>
    <col min="8453" max="8453" width="12.6640625" style="12" bestFit="1" customWidth="1"/>
    <col min="8454" max="8456" width="13.109375" style="12" bestFit="1" customWidth="1"/>
    <col min="8457" max="8457" width="12.6640625" style="12" bestFit="1" customWidth="1"/>
    <col min="8458" max="8458" width="12.109375" style="12" bestFit="1" customWidth="1"/>
    <col min="8459" max="8460" width="13.109375" style="12" bestFit="1" customWidth="1"/>
    <col min="8461" max="8461" width="12.44140625" style="12" bestFit="1" customWidth="1"/>
    <col min="8462" max="8462" width="13.109375" style="12" bestFit="1" customWidth="1"/>
    <col min="8463" max="8463" width="12.109375" style="12" bestFit="1" customWidth="1"/>
    <col min="8464" max="8464" width="13" style="12" bestFit="1" customWidth="1"/>
    <col min="8465" max="8706" width="9.109375" style="12"/>
    <col min="8707" max="8707" width="11.109375" style="12" customWidth="1"/>
    <col min="8708" max="8708" width="15.5546875" style="12" customWidth="1"/>
    <col min="8709" max="8709" width="12.6640625" style="12" bestFit="1" customWidth="1"/>
    <col min="8710" max="8712" width="13.109375" style="12" bestFit="1" customWidth="1"/>
    <col min="8713" max="8713" width="12.6640625" style="12" bestFit="1" customWidth="1"/>
    <col min="8714" max="8714" width="12.109375" style="12" bestFit="1" customWidth="1"/>
    <col min="8715" max="8716" width="13.109375" style="12" bestFit="1" customWidth="1"/>
    <col min="8717" max="8717" width="12.44140625" style="12" bestFit="1" customWidth="1"/>
    <col min="8718" max="8718" width="13.109375" style="12" bestFit="1" customWidth="1"/>
    <col min="8719" max="8719" width="12.109375" style="12" bestFit="1" customWidth="1"/>
    <col min="8720" max="8720" width="13" style="12" bestFit="1" customWidth="1"/>
    <col min="8721" max="8962" width="9.109375" style="12"/>
    <col min="8963" max="8963" width="11.109375" style="12" customWidth="1"/>
    <col min="8964" max="8964" width="15.5546875" style="12" customWidth="1"/>
    <col min="8965" max="8965" width="12.6640625" style="12" bestFit="1" customWidth="1"/>
    <col min="8966" max="8968" width="13.109375" style="12" bestFit="1" customWidth="1"/>
    <col min="8969" max="8969" width="12.6640625" style="12" bestFit="1" customWidth="1"/>
    <col min="8970" max="8970" width="12.109375" style="12" bestFit="1" customWidth="1"/>
    <col min="8971" max="8972" width="13.109375" style="12" bestFit="1" customWidth="1"/>
    <col min="8973" max="8973" width="12.44140625" style="12" bestFit="1" customWidth="1"/>
    <col min="8974" max="8974" width="13.109375" style="12" bestFit="1" customWidth="1"/>
    <col min="8975" max="8975" width="12.109375" style="12" bestFit="1" customWidth="1"/>
    <col min="8976" max="8976" width="13" style="12" bestFit="1" customWidth="1"/>
    <col min="8977" max="9218" width="9.109375" style="12"/>
    <col min="9219" max="9219" width="11.109375" style="12" customWidth="1"/>
    <col min="9220" max="9220" width="15.5546875" style="12" customWidth="1"/>
    <col min="9221" max="9221" width="12.6640625" style="12" bestFit="1" customWidth="1"/>
    <col min="9222" max="9224" width="13.109375" style="12" bestFit="1" customWidth="1"/>
    <col min="9225" max="9225" width="12.6640625" style="12" bestFit="1" customWidth="1"/>
    <col min="9226" max="9226" width="12.109375" style="12" bestFit="1" customWidth="1"/>
    <col min="9227" max="9228" width="13.109375" style="12" bestFit="1" customWidth="1"/>
    <col min="9229" max="9229" width="12.44140625" style="12" bestFit="1" customWidth="1"/>
    <col min="9230" max="9230" width="13.109375" style="12" bestFit="1" customWidth="1"/>
    <col min="9231" max="9231" width="12.109375" style="12" bestFit="1" customWidth="1"/>
    <col min="9232" max="9232" width="13" style="12" bestFit="1" customWidth="1"/>
    <col min="9233" max="9474" width="9.109375" style="12"/>
    <col min="9475" max="9475" width="11.109375" style="12" customWidth="1"/>
    <col min="9476" max="9476" width="15.5546875" style="12" customWidth="1"/>
    <col min="9477" max="9477" width="12.6640625" style="12" bestFit="1" customWidth="1"/>
    <col min="9478" max="9480" width="13.109375" style="12" bestFit="1" customWidth="1"/>
    <col min="9481" max="9481" width="12.6640625" style="12" bestFit="1" customWidth="1"/>
    <col min="9482" max="9482" width="12.109375" style="12" bestFit="1" customWidth="1"/>
    <col min="9483" max="9484" width="13.109375" style="12" bestFit="1" customWidth="1"/>
    <col min="9485" max="9485" width="12.44140625" style="12" bestFit="1" customWidth="1"/>
    <col min="9486" max="9486" width="13.109375" style="12" bestFit="1" customWidth="1"/>
    <col min="9487" max="9487" width="12.109375" style="12" bestFit="1" customWidth="1"/>
    <col min="9488" max="9488" width="13" style="12" bestFit="1" customWidth="1"/>
    <col min="9489" max="9730" width="9.109375" style="12"/>
    <col min="9731" max="9731" width="11.109375" style="12" customWidth="1"/>
    <col min="9732" max="9732" width="15.5546875" style="12" customWidth="1"/>
    <col min="9733" max="9733" width="12.6640625" style="12" bestFit="1" customWidth="1"/>
    <col min="9734" max="9736" width="13.109375" style="12" bestFit="1" customWidth="1"/>
    <col min="9737" max="9737" width="12.6640625" style="12" bestFit="1" customWidth="1"/>
    <col min="9738" max="9738" width="12.109375" style="12" bestFit="1" customWidth="1"/>
    <col min="9739" max="9740" width="13.109375" style="12" bestFit="1" customWidth="1"/>
    <col min="9741" max="9741" width="12.44140625" style="12" bestFit="1" customWidth="1"/>
    <col min="9742" max="9742" width="13.109375" style="12" bestFit="1" customWidth="1"/>
    <col min="9743" max="9743" width="12.109375" style="12" bestFit="1" customWidth="1"/>
    <col min="9744" max="9744" width="13" style="12" bestFit="1" customWidth="1"/>
    <col min="9745" max="9986" width="9.109375" style="12"/>
    <col min="9987" max="9987" width="11.109375" style="12" customWidth="1"/>
    <col min="9988" max="9988" width="15.5546875" style="12" customWidth="1"/>
    <col min="9989" max="9989" width="12.6640625" style="12" bestFit="1" customWidth="1"/>
    <col min="9990" max="9992" width="13.109375" style="12" bestFit="1" customWidth="1"/>
    <col min="9993" max="9993" width="12.6640625" style="12" bestFit="1" customWidth="1"/>
    <col min="9994" max="9994" width="12.109375" style="12" bestFit="1" customWidth="1"/>
    <col min="9995" max="9996" width="13.109375" style="12" bestFit="1" customWidth="1"/>
    <col min="9997" max="9997" width="12.44140625" style="12" bestFit="1" customWidth="1"/>
    <col min="9998" max="9998" width="13.109375" style="12" bestFit="1" customWidth="1"/>
    <col min="9999" max="9999" width="12.109375" style="12" bestFit="1" customWidth="1"/>
    <col min="10000" max="10000" width="13" style="12" bestFit="1" customWidth="1"/>
    <col min="10001" max="10242" width="9.109375" style="12"/>
    <col min="10243" max="10243" width="11.109375" style="12" customWidth="1"/>
    <col min="10244" max="10244" width="15.5546875" style="12" customWidth="1"/>
    <col min="10245" max="10245" width="12.6640625" style="12" bestFit="1" customWidth="1"/>
    <col min="10246" max="10248" width="13.109375" style="12" bestFit="1" customWidth="1"/>
    <col min="10249" max="10249" width="12.6640625" style="12" bestFit="1" customWidth="1"/>
    <col min="10250" max="10250" width="12.109375" style="12" bestFit="1" customWidth="1"/>
    <col min="10251" max="10252" width="13.109375" style="12" bestFit="1" customWidth="1"/>
    <col min="10253" max="10253" width="12.44140625" style="12" bestFit="1" customWidth="1"/>
    <col min="10254" max="10254" width="13.109375" style="12" bestFit="1" customWidth="1"/>
    <col min="10255" max="10255" width="12.109375" style="12" bestFit="1" customWidth="1"/>
    <col min="10256" max="10256" width="13" style="12" bestFit="1" customWidth="1"/>
    <col min="10257" max="10498" width="9.109375" style="12"/>
    <col min="10499" max="10499" width="11.109375" style="12" customWidth="1"/>
    <col min="10500" max="10500" width="15.5546875" style="12" customWidth="1"/>
    <col min="10501" max="10501" width="12.6640625" style="12" bestFit="1" customWidth="1"/>
    <col min="10502" max="10504" width="13.109375" style="12" bestFit="1" customWidth="1"/>
    <col min="10505" max="10505" width="12.6640625" style="12" bestFit="1" customWidth="1"/>
    <col min="10506" max="10506" width="12.109375" style="12" bestFit="1" customWidth="1"/>
    <col min="10507" max="10508" width="13.109375" style="12" bestFit="1" customWidth="1"/>
    <col min="10509" max="10509" width="12.44140625" style="12" bestFit="1" customWidth="1"/>
    <col min="10510" max="10510" width="13.109375" style="12" bestFit="1" customWidth="1"/>
    <col min="10511" max="10511" width="12.109375" style="12" bestFit="1" customWidth="1"/>
    <col min="10512" max="10512" width="13" style="12" bestFit="1" customWidth="1"/>
    <col min="10513" max="10754" width="9.109375" style="12"/>
    <col min="10755" max="10755" width="11.109375" style="12" customWidth="1"/>
    <col min="10756" max="10756" width="15.5546875" style="12" customWidth="1"/>
    <col min="10757" max="10757" width="12.6640625" style="12" bestFit="1" customWidth="1"/>
    <col min="10758" max="10760" width="13.109375" style="12" bestFit="1" customWidth="1"/>
    <col min="10761" max="10761" width="12.6640625" style="12" bestFit="1" customWidth="1"/>
    <col min="10762" max="10762" width="12.109375" style="12" bestFit="1" customWidth="1"/>
    <col min="10763" max="10764" width="13.109375" style="12" bestFit="1" customWidth="1"/>
    <col min="10765" max="10765" width="12.44140625" style="12" bestFit="1" customWidth="1"/>
    <col min="10766" max="10766" width="13.109375" style="12" bestFit="1" customWidth="1"/>
    <col min="10767" max="10767" width="12.109375" style="12" bestFit="1" customWidth="1"/>
    <col min="10768" max="10768" width="13" style="12" bestFit="1" customWidth="1"/>
    <col min="10769" max="11010" width="9.109375" style="12"/>
    <col min="11011" max="11011" width="11.109375" style="12" customWidth="1"/>
    <col min="11012" max="11012" width="15.5546875" style="12" customWidth="1"/>
    <col min="11013" max="11013" width="12.6640625" style="12" bestFit="1" customWidth="1"/>
    <col min="11014" max="11016" width="13.109375" style="12" bestFit="1" customWidth="1"/>
    <col min="11017" max="11017" width="12.6640625" style="12" bestFit="1" customWidth="1"/>
    <col min="11018" max="11018" width="12.109375" style="12" bestFit="1" customWidth="1"/>
    <col min="11019" max="11020" width="13.109375" style="12" bestFit="1" customWidth="1"/>
    <col min="11021" max="11021" width="12.44140625" style="12" bestFit="1" customWidth="1"/>
    <col min="11022" max="11022" width="13.109375" style="12" bestFit="1" customWidth="1"/>
    <col min="11023" max="11023" width="12.109375" style="12" bestFit="1" customWidth="1"/>
    <col min="11024" max="11024" width="13" style="12" bestFit="1" customWidth="1"/>
    <col min="11025" max="11266" width="9.109375" style="12"/>
    <col min="11267" max="11267" width="11.109375" style="12" customWidth="1"/>
    <col min="11268" max="11268" width="15.5546875" style="12" customWidth="1"/>
    <col min="11269" max="11269" width="12.6640625" style="12" bestFit="1" customWidth="1"/>
    <col min="11270" max="11272" width="13.109375" style="12" bestFit="1" customWidth="1"/>
    <col min="11273" max="11273" width="12.6640625" style="12" bestFit="1" customWidth="1"/>
    <col min="11274" max="11274" width="12.109375" style="12" bestFit="1" customWidth="1"/>
    <col min="11275" max="11276" width="13.109375" style="12" bestFit="1" customWidth="1"/>
    <col min="11277" max="11277" width="12.44140625" style="12" bestFit="1" customWidth="1"/>
    <col min="11278" max="11278" width="13.109375" style="12" bestFit="1" customWidth="1"/>
    <col min="11279" max="11279" width="12.109375" style="12" bestFit="1" customWidth="1"/>
    <col min="11280" max="11280" width="13" style="12" bestFit="1" customWidth="1"/>
    <col min="11281" max="11522" width="9.109375" style="12"/>
    <col min="11523" max="11523" width="11.109375" style="12" customWidth="1"/>
    <col min="11524" max="11524" width="15.5546875" style="12" customWidth="1"/>
    <col min="11525" max="11525" width="12.6640625" style="12" bestFit="1" customWidth="1"/>
    <col min="11526" max="11528" width="13.109375" style="12" bestFit="1" customWidth="1"/>
    <col min="11529" max="11529" width="12.6640625" style="12" bestFit="1" customWidth="1"/>
    <col min="11530" max="11530" width="12.109375" style="12" bestFit="1" customWidth="1"/>
    <col min="11531" max="11532" width="13.109375" style="12" bestFit="1" customWidth="1"/>
    <col min="11533" max="11533" width="12.44140625" style="12" bestFit="1" customWidth="1"/>
    <col min="11534" max="11534" width="13.109375" style="12" bestFit="1" customWidth="1"/>
    <col min="11535" max="11535" width="12.109375" style="12" bestFit="1" customWidth="1"/>
    <col min="11536" max="11536" width="13" style="12" bestFit="1" customWidth="1"/>
    <col min="11537" max="11778" width="9.109375" style="12"/>
    <col min="11779" max="11779" width="11.109375" style="12" customWidth="1"/>
    <col min="11780" max="11780" width="15.5546875" style="12" customWidth="1"/>
    <col min="11781" max="11781" width="12.6640625" style="12" bestFit="1" customWidth="1"/>
    <col min="11782" max="11784" width="13.109375" style="12" bestFit="1" customWidth="1"/>
    <col min="11785" max="11785" width="12.6640625" style="12" bestFit="1" customWidth="1"/>
    <col min="11786" max="11786" width="12.109375" style="12" bestFit="1" customWidth="1"/>
    <col min="11787" max="11788" width="13.109375" style="12" bestFit="1" customWidth="1"/>
    <col min="11789" max="11789" width="12.44140625" style="12" bestFit="1" customWidth="1"/>
    <col min="11790" max="11790" width="13.109375" style="12" bestFit="1" customWidth="1"/>
    <col min="11791" max="11791" width="12.109375" style="12" bestFit="1" customWidth="1"/>
    <col min="11792" max="11792" width="13" style="12" bestFit="1" customWidth="1"/>
    <col min="11793" max="12034" width="9.109375" style="12"/>
    <col min="12035" max="12035" width="11.109375" style="12" customWidth="1"/>
    <col min="12036" max="12036" width="15.5546875" style="12" customWidth="1"/>
    <col min="12037" max="12037" width="12.6640625" style="12" bestFit="1" customWidth="1"/>
    <col min="12038" max="12040" width="13.109375" style="12" bestFit="1" customWidth="1"/>
    <col min="12041" max="12041" width="12.6640625" style="12" bestFit="1" customWidth="1"/>
    <col min="12042" max="12042" width="12.109375" style="12" bestFit="1" customWidth="1"/>
    <col min="12043" max="12044" width="13.109375" style="12" bestFit="1" customWidth="1"/>
    <col min="12045" max="12045" width="12.44140625" style="12" bestFit="1" customWidth="1"/>
    <col min="12046" max="12046" width="13.109375" style="12" bestFit="1" customWidth="1"/>
    <col min="12047" max="12047" width="12.109375" style="12" bestFit="1" customWidth="1"/>
    <col min="12048" max="12048" width="13" style="12" bestFit="1" customWidth="1"/>
    <col min="12049" max="12290" width="9.109375" style="12"/>
    <col min="12291" max="12291" width="11.109375" style="12" customWidth="1"/>
    <col min="12292" max="12292" width="15.5546875" style="12" customWidth="1"/>
    <col min="12293" max="12293" width="12.6640625" style="12" bestFit="1" customWidth="1"/>
    <col min="12294" max="12296" width="13.109375" style="12" bestFit="1" customWidth="1"/>
    <col min="12297" max="12297" width="12.6640625" style="12" bestFit="1" customWidth="1"/>
    <col min="12298" max="12298" width="12.109375" style="12" bestFit="1" customWidth="1"/>
    <col min="12299" max="12300" width="13.109375" style="12" bestFit="1" customWidth="1"/>
    <col min="12301" max="12301" width="12.44140625" style="12" bestFit="1" customWidth="1"/>
    <col min="12302" max="12302" width="13.109375" style="12" bestFit="1" customWidth="1"/>
    <col min="12303" max="12303" width="12.109375" style="12" bestFit="1" customWidth="1"/>
    <col min="12304" max="12304" width="13" style="12" bestFit="1" customWidth="1"/>
    <col min="12305" max="12546" width="9.109375" style="12"/>
    <col min="12547" max="12547" width="11.109375" style="12" customWidth="1"/>
    <col min="12548" max="12548" width="15.5546875" style="12" customWidth="1"/>
    <col min="12549" max="12549" width="12.6640625" style="12" bestFit="1" customWidth="1"/>
    <col min="12550" max="12552" width="13.109375" style="12" bestFit="1" customWidth="1"/>
    <col min="12553" max="12553" width="12.6640625" style="12" bestFit="1" customWidth="1"/>
    <col min="12554" max="12554" width="12.109375" style="12" bestFit="1" customWidth="1"/>
    <col min="12555" max="12556" width="13.109375" style="12" bestFit="1" customWidth="1"/>
    <col min="12557" max="12557" width="12.44140625" style="12" bestFit="1" customWidth="1"/>
    <col min="12558" max="12558" width="13.109375" style="12" bestFit="1" customWidth="1"/>
    <col min="12559" max="12559" width="12.109375" style="12" bestFit="1" customWidth="1"/>
    <col min="12560" max="12560" width="13" style="12" bestFit="1" customWidth="1"/>
    <col min="12561" max="12802" width="9.109375" style="12"/>
    <col min="12803" max="12803" width="11.109375" style="12" customWidth="1"/>
    <col min="12804" max="12804" width="15.5546875" style="12" customWidth="1"/>
    <col min="12805" max="12805" width="12.6640625" style="12" bestFit="1" customWidth="1"/>
    <col min="12806" max="12808" width="13.109375" style="12" bestFit="1" customWidth="1"/>
    <col min="12809" max="12809" width="12.6640625" style="12" bestFit="1" customWidth="1"/>
    <col min="12810" max="12810" width="12.109375" style="12" bestFit="1" customWidth="1"/>
    <col min="12811" max="12812" width="13.109375" style="12" bestFit="1" customWidth="1"/>
    <col min="12813" max="12813" width="12.44140625" style="12" bestFit="1" customWidth="1"/>
    <col min="12814" max="12814" width="13.109375" style="12" bestFit="1" customWidth="1"/>
    <col min="12815" max="12815" width="12.109375" style="12" bestFit="1" customWidth="1"/>
    <col min="12816" max="12816" width="13" style="12" bestFit="1" customWidth="1"/>
    <col min="12817" max="13058" width="9.109375" style="12"/>
    <col min="13059" max="13059" width="11.109375" style="12" customWidth="1"/>
    <col min="13060" max="13060" width="15.5546875" style="12" customWidth="1"/>
    <col min="13061" max="13061" width="12.6640625" style="12" bestFit="1" customWidth="1"/>
    <col min="13062" max="13064" width="13.109375" style="12" bestFit="1" customWidth="1"/>
    <col min="13065" max="13065" width="12.6640625" style="12" bestFit="1" customWidth="1"/>
    <col min="13066" max="13066" width="12.109375" style="12" bestFit="1" customWidth="1"/>
    <col min="13067" max="13068" width="13.109375" style="12" bestFit="1" customWidth="1"/>
    <col min="13069" max="13069" width="12.44140625" style="12" bestFit="1" customWidth="1"/>
    <col min="13070" max="13070" width="13.109375" style="12" bestFit="1" customWidth="1"/>
    <col min="13071" max="13071" width="12.109375" style="12" bestFit="1" customWidth="1"/>
    <col min="13072" max="13072" width="13" style="12" bestFit="1" customWidth="1"/>
    <col min="13073" max="13314" width="9.109375" style="12"/>
    <col min="13315" max="13315" width="11.109375" style="12" customWidth="1"/>
    <col min="13316" max="13316" width="15.5546875" style="12" customWidth="1"/>
    <col min="13317" max="13317" width="12.6640625" style="12" bestFit="1" customWidth="1"/>
    <col min="13318" max="13320" width="13.109375" style="12" bestFit="1" customWidth="1"/>
    <col min="13321" max="13321" width="12.6640625" style="12" bestFit="1" customWidth="1"/>
    <col min="13322" max="13322" width="12.109375" style="12" bestFit="1" customWidth="1"/>
    <col min="13323" max="13324" width="13.109375" style="12" bestFit="1" customWidth="1"/>
    <col min="13325" max="13325" width="12.44140625" style="12" bestFit="1" customWidth="1"/>
    <col min="13326" max="13326" width="13.109375" style="12" bestFit="1" customWidth="1"/>
    <col min="13327" max="13327" width="12.109375" style="12" bestFit="1" customWidth="1"/>
    <col min="13328" max="13328" width="13" style="12" bestFit="1" customWidth="1"/>
    <col min="13329" max="13570" width="9.109375" style="12"/>
    <col min="13571" max="13571" width="11.109375" style="12" customWidth="1"/>
    <col min="13572" max="13572" width="15.5546875" style="12" customWidth="1"/>
    <col min="13573" max="13573" width="12.6640625" style="12" bestFit="1" customWidth="1"/>
    <col min="13574" max="13576" width="13.109375" style="12" bestFit="1" customWidth="1"/>
    <col min="13577" max="13577" width="12.6640625" style="12" bestFit="1" customWidth="1"/>
    <col min="13578" max="13578" width="12.109375" style="12" bestFit="1" customWidth="1"/>
    <col min="13579" max="13580" width="13.109375" style="12" bestFit="1" customWidth="1"/>
    <col min="13581" max="13581" width="12.44140625" style="12" bestFit="1" customWidth="1"/>
    <col min="13582" max="13582" width="13.109375" style="12" bestFit="1" customWidth="1"/>
    <col min="13583" max="13583" width="12.109375" style="12" bestFit="1" customWidth="1"/>
    <col min="13584" max="13584" width="13" style="12" bestFit="1" customWidth="1"/>
    <col min="13585" max="13826" width="9.109375" style="12"/>
    <col min="13827" max="13827" width="11.109375" style="12" customWidth="1"/>
    <col min="13828" max="13828" width="15.5546875" style="12" customWidth="1"/>
    <col min="13829" max="13829" width="12.6640625" style="12" bestFit="1" customWidth="1"/>
    <col min="13830" max="13832" width="13.109375" style="12" bestFit="1" customWidth="1"/>
    <col min="13833" max="13833" width="12.6640625" style="12" bestFit="1" customWidth="1"/>
    <col min="13834" max="13834" width="12.109375" style="12" bestFit="1" customWidth="1"/>
    <col min="13835" max="13836" width="13.109375" style="12" bestFit="1" customWidth="1"/>
    <col min="13837" max="13837" width="12.44140625" style="12" bestFit="1" customWidth="1"/>
    <col min="13838" max="13838" width="13.109375" style="12" bestFit="1" customWidth="1"/>
    <col min="13839" max="13839" width="12.109375" style="12" bestFit="1" customWidth="1"/>
    <col min="13840" max="13840" width="13" style="12" bestFit="1" customWidth="1"/>
    <col min="13841" max="14082" width="9.109375" style="12"/>
    <col min="14083" max="14083" width="11.109375" style="12" customWidth="1"/>
    <col min="14084" max="14084" width="15.5546875" style="12" customWidth="1"/>
    <col min="14085" max="14085" width="12.6640625" style="12" bestFit="1" customWidth="1"/>
    <col min="14086" max="14088" width="13.109375" style="12" bestFit="1" customWidth="1"/>
    <col min="14089" max="14089" width="12.6640625" style="12" bestFit="1" customWidth="1"/>
    <col min="14090" max="14090" width="12.109375" style="12" bestFit="1" customWidth="1"/>
    <col min="14091" max="14092" width="13.109375" style="12" bestFit="1" customWidth="1"/>
    <col min="14093" max="14093" width="12.44140625" style="12" bestFit="1" customWidth="1"/>
    <col min="14094" max="14094" width="13.109375" style="12" bestFit="1" customWidth="1"/>
    <col min="14095" max="14095" width="12.109375" style="12" bestFit="1" customWidth="1"/>
    <col min="14096" max="14096" width="13" style="12" bestFit="1" customWidth="1"/>
    <col min="14097" max="14338" width="9.109375" style="12"/>
    <col min="14339" max="14339" width="11.109375" style="12" customWidth="1"/>
    <col min="14340" max="14340" width="15.5546875" style="12" customWidth="1"/>
    <col min="14341" max="14341" width="12.6640625" style="12" bestFit="1" customWidth="1"/>
    <col min="14342" max="14344" width="13.109375" style="12" bestFit="1" customWidth="1"/>
    <col min="14345" max="14345" width="12.6640625" style="12" bestFit="1" customWidth="1"/>
    <col min="14346" max="14346" width="12.109375" style="12" bestFit="1" customWidth="1"/>
    <col min="14347" max="14348" width="13.109375" style="12" bestFit="1" customWidth="1"/>
    <col min="14349" max="14349" width="12.44140625" style="12" bestFit="1" customWidth="1"/>
    <col min="14350" max="14350" width="13.109375" style="12" bestFit="1" customWidth="1"/>
    <col min="14351" max="14351" width="12.109375" style="12" bestFit="1" customWidth="1"/>
    <col min="14352" max="14352" width="13" style="12" bestFit="1" customWidth="1"/>
    <col min="14353" max="14594" width="9.109375" style="12"/>
    <col min="14595" max="14595" width="11.109375" style="12" customWidth="1"/>
    <col min="14596" max="14596" width="15.5546875" style="12" customWidth="1"/>
    <col min="14597" max="14597" width="12.6640625" style="12" bestFit="1" customWidth="1"/>
    <col min="14598" max="14600" width="13.109375" style="12" bestFit="1" customWidth="1"/>
    <col min="14601" max="14601" width="12.6640625" style="12" bestFit="1" customWidth="1"/>
    <col min="14602" max="14602" width="12.109375" style="12" bestFit="1" customWidth="1"/>
    <col min="14603" max="14604" width="13.109375" style="12" bestFit="1" customWidth="1"/>
    <col min="14605" max="14605" width="12.44140625" style="12" bestFit="1" customWidth="1"/>
    <col min="14606" max="14606" width="13.109375" style="12" bestFit="1" customWidth="1"/>
    <col min="14607" max="14607" width="12.109375" style="12" bestFit="1" customWidth="1"/>
    <col min="14608" max="14608" width="13" style="12" bestFit="1" customWidth="1"/>
    <col min="14609" max="14850" width="9.109375" style="12"/>
    <col min="14851" max="14851" width="11.109375" style="12" customWidth="1"/>
    <col min="14852" max="14852" width="15.5546875" style="12" customWidth="1"/>
    <col min="14853" max="14853" width="12.6640625" style="12" bestFit="1" customWidth="1"/>
    <col min="14854" max="14856" width="13.109375" style="12" bestFit="1" customWidth="1"/>
    <col min="14857" max="14857" width="12.6640625" style="12" bestFit="1" customWidth="1"/>
    <col min="14858" max="14858" width="12.109375" style="12" bestFit="1" customWidth="1"/>
    <col min="14859" max="14860" width="13.109375" style="12" bestFit="1" customWidth="1"/>
    <col min="14861" max="14861" width="12.44140625" style="12" bestFit="1" customWidth="1"/>
    <col min="14862" max="14862" width="13.109375" style="12" bestFit="1" customWidth="1"/>
    <col min="14863" max="14863" width="12.109375" style="12" bestFit="1" customWidth="1"/>
    <col min="14864" max="14864" width="13" style="12" bestFit="1" customWidth="1"/>
    <col min="14865" max="15106" width="9.109375" style="12"/>
    <col min="15107" max="15107" width="11.109375" style="12" customWidth="1"/>
    <col min="15108" max="15108" width="15.5546875" style="12" customWidth="1"/>
    <col min="15109" max="15109" width="12.6640625" style="12" bestFit="1" customWidth="1"/>
    <col min="15110" max="15112" width="13.109375" style="12" bestFit="1" customWidth="1"/>
    <col min="15113" max="15113" width="12.6640625" style="12" bestFit="1" customWidth="1"/>
    <col min="15114" max="15114" width="12.109375" style="12" bestFit="1" customWidth="1"/>
    <col min="15115" max="15116" width="13.109375" style="12" bestFit="1" customWidth="1"/>
    <col min="15117" max="15117" width="12.44140625" style="12" bestFit="1" customWidth="1"/>
    <col min="15118" max="15118" width="13.109375" style="12" bestFit="1" customWidth="1"/>
    <col min="15119" max="15119" width="12.109375" style="12" bestFit="1" customWidth="1"/>
    <col min="15120" max="15120" width="13" style="12" bestFit="1" customWidth="1"/>
    <col min="15121" max="15362" width="9.109375" style="12"/>
    <col min="15363" max="15363" width="11.109375" style="12" customWidth="1"/>
    <col min="15364" max="15364" width="15.5546875" style="12" customWidth="1"/>
    <col min="15365" max="15365" width="12.6640625" style="12" bestFit="1" customWidth="1"/>
    <col min="15366" max="15368" width="13.109375" style="12" bestFit="1" customWidth="1"/>
    <col min="15369" max="15369" width="12.6640625" style="12" bestFit="1" customWidth="1"/>
    <col min="15370" max="15370" width="12.109375" style="12" bestFit="1" customWidth="1"/>
    <col min="15371" max="15372" width="13.109375" style="12" bestFit="1" customWidth="1"/>
    <col min="15373" max="15373" width="12.44140625" style="12" bestFit="1" customWidth="1"/>
    <col min="15374" max="15374" width="13.109375" style="12" bestFit="1" customWidth="1"/>
    <col min="15375" max="15375" width="12.109375" style="12" bestFit="1" customWidth="1"/>
    <col min="15376" max="15376" width="13" style="12" bestFit="1" customWidth="1"/>
    <col min="15377" max="15618" width="9.109375" style="12"/>
    <col min="15619" max="15619" width="11.109375" style="12" customWidth="1"/>
    <col min="15620" max="15620" width="15.5546875" style="12" customWidth="1"/>
    <col min="15621" max="15621" width="12.6640625" style="12" bestFit="1" customWidth="1"/>
    <col min="15622" max="15624" width="13.109375" style="12" bestFit="1" customWidth="1"/>
    <col min="15625" max="15625" width="12.6640625" style="12" bestFit="1" customWidth="1"/>
    <col min="15626" max="15626" width="12.109375" style="12" bestFit="1" customWidth="1"/>
    <col min="15627" max="15628" width="13.109375" style="12" bestFit="1" customWidth="1"/>
    <col min="15629" max="15629" width="12.44140625" style="12" bestFit="1" customWidth="1"/>
    <col min="15630" max="15630" width="13.109375" style="12" bestFit="1" customWidth="1"/>
    <col min="15631" max="15631" width="12.109375" style="12" bestFit="1" customWidth="1"/>
    <col min="15632" max="15632" width="13" style="12" bestFit="1" customWidth="1"/>
    <col min="15633" max="15874" width="9.109375" style="12"/>
    <col min="15875" max="15875" width="11.109375" style="12" customWidth="1"/>
    <col min="15876" max="15876" width="15.5546875" style="12" customWidth="1"/>
    <col min="15877" max="15877" width="12.6640625" style="12" bestFit="1" customWidth="1"/>
    <col min="15878" max="15880" width="13.109375" style="12" bestFit="1" customWidth="1"/>
    <col min="15881" max="15881" width="12.6640625" style="12" bestFit="1" customWidth="1"/>
    <col min="15882" max="15882" width="12.109375" style="12" bestFit="1" customWidth="1"/>
    <col min="15883" max="15884" width="13.109375" style="12" bestFit="1" customWidth="1"/>
    <col min="15885" max="15885" width="12.44140625" style="12" bestFit="1" customWidth="1"/>
    <col min="15886" max="15886" width="13.109375" style="12" bestFit="1" customWidth="1"/>
    <col min="15887" max="15887" width="12.109375" style="12" bestFit="1" customWidth="1"/>
    <col min="15888" max="15888" width="13" style="12" bestFit="1" customWidth="1"/>
    <col min="15889" max="16130" width="9.109375" style="12"/>
    <col min="16131" max="16131" width="11.109375" style="12" customWidth="1"/>
    <col min="16132" max="16132" width="15.5546875" style="12" customWidth="1"/>
    <col min="16133" max="16133" width="12.6640625" style="12" bestFit="1" customWidth="1"/>
    <col min="16134" max="16136" width="13.109375" style="12" bestFit="1" customWidth="1"/>
    <col min="16137" max="16137" width="12.6640625" style="12" bestFit="1" customWidth="1"/>
    <col min="16138" max="16138" width="12.109375" style="12" bestFit="1" customWidth="1"/>
    <col min="16139" max="16140" width="13.109375" style="12" bestFit="1" customWidth="1"/>
    <col min="16141" max="16141" width="12.44140625" style="12" bestFit="1" customWidth="1"/>
    <col min="16142" max="16142" width="13.109375" style="12" bestFit="1" customWidth="1"/>
    <col min="16143" max="16143" width="12.109375" style="12" bestFit="1" customWidth="1"/>
    <col min="16144" max="16144" width="13" style="12" bestFit="1" customWidth="1"/>
    <col min="16145" max="16384" width="9.109375" style="12"/>
  </cols>
  <sheetData>
    <row r="1" spans="1:45" s="626" customFormat="1">
      <c r="A1" s="8" t="s">
        <v>1268</v>
      </c>
      <c r="C1" s="8"/>
      <c r="D1" s="8"/>
      <c r="E1" s="8"/>
      <c r="F1" s="8"/>
      <c r="G1" s="8"/>
      <c r="H1" s="8"/>
      <c r="I1" s="8"/>
      <c r="J1" s="8"/>
      <c r="K1" s="8"/>
      <c r="L1" s="8"/>
      <c r="M1" s="8"/>
      <c r="N1" s="8"/>
      <c r="O1" s="8"/>
      <c r="P1" s="8"/>
      <c r="Q1" s="8"/>
      <c r="R1" s="8"/>
    </row>
    <row r="2" spans="1:45" s="626" customFormat="1">
      <c r="A2" s="8" t="s">
        <v>1267</v>
      </c>
      <c r="C2" s="8"/>
      <c r="D2" s="8"/>
      <c r="E2" s="8"/>
      <c r="F2" s="8"/>
      <c r="G2" s="8"/>
      <c r="H2" s="8"/>
      <c r="I2" s="8"/>
      <c r="J2" s="8"/>
      <c r="K2" s="8"/>
      <c r="L2" s="8"/>
      <c r="M2" s="8"/>
      <c r="N2" s="8"/>
      <c r="O2" s="8"/>
      <c r="P2" s="8"/>
      <c r="Q2" s="8"/>
      <c r="R2" s="8"/>
    </row>
    <row r="3" spans="1:45" s="626" customFormat="1">
      <c r="A3" s="8"/>
      <c r="B3" s="8"/>
      <c r="C3" s="8"/>
      <c r="D3" s="8"/>
      <c r="E3" s="8"/>
      <c r="F3" s="8"/>
      <c r="G3" s="8"/>
      <c r="H3" s="8"/>
      <c r="I3" s="8"/>
      <c r="J3" s="8"/>
      <c r="K3" s="8"/>
      <c r="L3" s="8"/>
      <c r="M3" s="8"/>
      <c r="N3" s="8"/>
      <c r="O3" s="8"/>
      <c r="P3" s="8"/>
      <c r="Q3" s="8"/>
      <c r="R3" s="8"/>
    </row>
    <row r="4" spans="1:45" customFormat="1"/>
    <row r="5" spans="1:45" customFormat="1">
      <c r="B5" t="s">
        <v>555</v>
      </c>
      <c r="C5" t="s">
        <v>556</v>
      </c>
    </row>
    <row r="8" spans="1:45">
      <c r="C8" t="s">
        <v>106</v>
      </c>
      <c r="E8" s="4">
        <v>42736</v>
      </c>
      <c r="F8" s="4">
        <v>42767</v>
      </c>
      <c r="G8" s="4">
        <v>42795</v>
      </c>
      <c r="H8" s="4">
        <v>42826</v>
      </c>
      <c r="I8" s="4">
        <v>42856</v>
      </c>
      <c r="J8" s="4">
        <v>42887</v>
      </c>
      <c r="K8" s="4">
        <v>42917</v>
      </c>
      <c r="L8" s="4">
        <v>42948</v>
      </c>
      <c r="M8" s="4">
        <v>42979</v>
      </c>
      <c r="N8" s="4">
        <v>43009</v>
      </c>
      <c r="O8" s="4">
        <v>43040</v>
      </c>
      <c r="P8" s="4">
        <v>43070</v>
      </c>
    </row>
    <row r="9" spans="1:45" s="518" customFormat="1" ht="13.8" thickBot="1">
      <c r="A9" s="240"/>
      <c r="B9" s="240"/>
      <c r="C9" s="240" t="s">
        <v>113</v>
      </c>
      <c r="D9" s="240"/>
      <c r="E9" s="145">
        <f>+'CP FCST'!B90/1000</f>
        <v>19925.268677888202</v>
      </c>
      <c r="F9" s="145">
        <f>+'CP FCST'!C90/1000</f>
        <v>17324.622942875729</v>
      </c>
      <c r="G9" s="145">
        <f>+'CP FCST'!D90/1000</f>
        <v>17269.233156936072</v>
      </c>
      <c r="H9" s="145">
        <f>+'CP FCST'!E90/1000</f>
        <v>18748.409849989075</v>
      </c>
      <c r="I9" s="145">
        <f>+'CP FCST'!F90/1000</f>
        <v>20486.537308977404</v>
      </c>
      <c r="J9" s="145">
        <f>+'CP FCST'!G90/1000</f>
        <v>21860.966816645272</v>
      </c>
      <c r="K9" s="145">
        <f>+'CP FCST'!H90/1000</f>
        <v>22246.070382238835</v>
      </c>
      <c r="L9" s="145">
        <f>+'CP FCST'!I90/1000</f>
        <v>22932.890113536912</v>
      </c>
      <c r="M9" s="145">
        <f>+'CP FCST'!J90/1000</f>
        <v>21472.719388548296</v>
      </c>
      <c r="N9" s="145">
        <f>+'CP FCST'!K90/1000</f>
        <v>20206.020075538319</v>
      </c>
      <c r="O9" s="145">
        <f>+'CP FCST'!L90/1000</f>
        <v>17756.889511411078</v>
      </c>
      <c r="P9" s="145">
        <f>+'CP FCST'!M90/1000</f>
        <v>17058.893109886892</v>
      </c>
      <c r="Q9" s="240"/>
      <c r="R9" s="240"/>
      <c r="T9" s="517"/>
      <c r="U9" s="517"/>
      <c r="V9" s="517"/>
      <c r="W9" s="517"/>
      <c r="X9" s="517"/>
      <c r="Y9" s="517"/>
      <c r="Z9" s="517"/>
      <c r="AA9" s="517"/>
      <c r="AB9" s="517"/>
      <c r="AC9" s="517"/>
      <c r="AD9" s="517"/>
      <c r="AE9" s="517"/>
      <c r="AF9" s="517"/>
      <c r="AG9"/>
      <c r="AH9"/>
      <c r="AI9"/>
      <c r="AJ9"/>
      <c r="AK9"/>
    </row>
    <row r="10" spans="1:45" ht="13.8" thickBot="1">
      <c r="E10" s="241"/>
      <c r="F10" s="241"/>
      <c r="G10" s="241"/>
      <c r="H10" s="241"/>
      <c r="I10" s="241"/>
      <c r="J10" s="241"/>
      <c r="K10" s="241"/>
      <c r="L10" s="241"/>
      <c r="M10" s="241"/>
      <c r="N10" s="241"/>
      <c r="O10" s="241"/>
      <c r="P10" s="241"/>
      <c r="Q10" s="241"/>
      <c r="R10" s="242"/>
      <c r="T10" s="521" t="s">
        <v>1207</v>
      </c>
      <c r="U10" s="521" t="s">
        <v>1208</v>
      </c>
      <c r="V10" s="521" t="s">
        <v>1209</v>
      </c>
      <c r="W10" s="521" t="s">
        <v>1210</v>
      </c>
      <c r="X10" s="521" t="s">
        <v>1211</v>
      </c>
      <c r="Y10" s="521" t="s">
        <v>1212</v>
      </c>
      <c r="Z10" s="521" t="s">
        <v>1213</v>
      </c>
      <c r="AA10" s="521" t="s">
        <v>1214</v>
      </c>
      <c r="AB10" s="521" t="s">
        <v>1215</v>
      </c>
      <c r="AC10" s="521" t="s">
        <v>1216</v>
      </c>
      <c r="AD10" s="521" t="s">
        <v>1217</v>
      </c>
      <c r="AE10" s="521" t="s">
        <v>1218</v>
      </c>
      <c r="AF10" s="521" t="s">
        <v>1219</v>
      </c>
      <c r="AG10"/>
      <c r="AH10"/>
      <c r="AI10"/>
      <c r="AJ10"/>
      <c r="AK10"/>
    </row>
    <row r="11" spans="1:45">
      <c r="A11" t="s">
        <v>98</v>
      </c>
      <c r="B11" t="s">
        <v>122</v>
      </c>
      <c r="C11" t="s">
        <v>1117</v>
      </c>
      <c r="T11" s="522" t="s">
        <v>1220</v>
      </c>
      <c r="U11" s="523"/>
      <c r="V11" s="523"/>
      <c r="W11" s="523"/>
      <c r="X11" s="523"/>
      <c r="Y11" s="523"/>
      <c r="Z11" s="523"/>
      <c r="AA11" s="523"/>
      <c r="AB11" s="523"/>
      <c r="AC11" s="523"/>
      <c r="AD11" s="523"/>
      <c r="AE11" s="523"/>
      <c r="AF11" s="523"/>
      <c r="AG11"/>
      <c r="AH11" s="526"/>
      <c r="AI11" s="526"/>
      <c r="AJ11" s="526"/>
      <c r="AK11" s="526"/>
      <c r="AL11" s="526"/>
      <c r="AM11" s="526"/>
      <c r="AN11" s="526"/>
      <c r="AO11" s="526"/>
      <c r="AP11" s="526"/>
      <c r="AQ11" s="526"/>
      <c r="AR11" s="526"/>
      <c r="AS11" s="526"/>
    </row>
    <row r="12" spans="1:45" ht="15.6">
      <c r="A12" t="s">
        <v>98</v>
      </c>
      <c r="B12" t="s">
        <v>122</v>
      </c>
      <c r="C12" s="251" t="s">
        <v>1201</v>
      </c>
      <c r="D12" s="251"/>
      <c r="E12" s="145">
        <f>VLOOKUP($A12&amp;" KWH Sales",'2017 TEST'!$A$13:$R$274,'2017 TEST'!C$9,FALSE)/1000</f>
        <v>230781.253</v>
      </c>
      <c r="F12" s="145">
        <f>VLOOKUP($A12&amp;" KWH Sales",'2017 TEST'!$A$13:$R$274,'2017 TEST'!D$9,FALSE)/1000</f>
        <v>211833.995</v>
      </c>
      <c r="G12" s="145">
        <f>VLOOKUP($A12&amp;" KWH Sales",'2017 TEST'!$A$13:$R$274,'2017 TEST'!E$9,FALSE)/1000</f>
        <v>212923.90599999999</v>
      </c>
      <c r="H12" s="145">
        <f>VLOOKUP($A12&amp;" KWH Sales",'2017 TEST'!$A$13:$R$274,'2017 TEST'!F$9,FALSE)/1000</f>
        <v>214435.54800000001</v>
      </c>
      <c r="I12" s="145">
        <f>VLOOKUP($A12&amp;" KWH Sales",'2017 TEST'!$A$13:$R$274,'2017 TEST'!G$9,FALSE)/1000</f>
        <v>221455.796</v>
      </c>
      <c r="J12" s="145">
        <f>VLOOKUP($A12&amp;" KWH Sales",'2017 TEST'!$A$13:$R$274,'2017 TEST'!H$9,FALSE)/1000</f>
        <v>229270.2</v>
      </c>
      <c r="K12" s="145">
        <f>VLOOKUP($A12&amp;" KWH Sales",'2017 TEST'!$A$13:$R$274,'2017 TEST'!I$9,FALSE)/1000</f>
        <v>236317.75200000001</v>
      </c>
      <c r="L12" s="145">
        <f>VLOOKUP($A12&amp;" KWH Sales",'2017 TEST'!$A$13:$R$274,'2017 TEST'!J$9,FALSE)/1000</f>
        <v>234795.889</v>
      </c>
      <c r="M12" s="145">
        <f>VLOOKUP($A12&amp;" KWH Sales",'2017 TEST'!$A$13:$R$274,'2017 TEST'!K$9,FALSE)/1000</f>
        <v>232721.345</v>
      </c>
      <c r="N12" s="145">
        <f>VLOOKUP($A12&amp;" KWH Sales",'2017 TEST'!$A$13:$R$274,'2017 TEST'!L$9,FALSE)/1000</f>
        <v>224975.75700000001</v>
      </c>
      <c r="O12" s="145">
        <f>VLOOKUP($A12&amp;" KWH Sales",'2017 TEST'!$A$13:$R$274,'2017 TEST'!M$9,FALSE)/1000</f>
        <v>214508.90299999999</v>
      </c>
      <c r="P12" s="145">
        <f>VLOOKUP($A12&amp;" KWH Sales",'2017 TEST'!$A$13:$R$274,'2017 TEST'!N$9,FALSE)/1000</f>
        <v>223400.04699999999</v>
      </c>
      <c r="T12" s="206" t="s">
        <v>1261</v>
      </c>
      <c r="U12" s="523">
        <v>230781.253</v>
      </c>
      <c r="V12" s="523">
        <v>211833.995</v>
      </c>
      <c r="W12" s="523">
        <v>212923.90599999999</v>
      </c>
      <c r="X12" s="523">
        <v>214435.54800000001</v>
      </c>
      <c r="Y12" s="523">
        <v>221455.796</v>
      </c>
      <c r="Z12" s="523">
        <v>229270.2</v>
      </c>
      <c r="AA12" s="523">
        <v>236317.75200000001</v>
      </c>
      <c r="AB12" s="523">
        <v>234795.889</v>
      </c>
      <c r="AC12" s="523">
        <v>232721.345</v>
      </c>
      <c r="AD12" s="523">
        <v>224975.75700000001</v>
      </c>
      <c r="AE12" s="523">
        <v>214508.90299999999</v>
      </c>
      <c r="AF12" s="523">
        <v>223400.04699999999</v>
      </c>
      <c r="AG12"/>
      <c r="AH12" s="526">
        <f>U12-E12</f>
        <v>0</v>
      </c>
      <c r="AI12" s="526">
        <f t="shared" ref="AI12:AS19" si="0">V12-F12</f>
        <v>0</v>
      </c>
      <c r="AJ12" s="526">
        <f t="shared" si="0"/>
        <v>0</v>
      </c>
      <c r="AK12" s="526">
        <f t="shared" si="0"/>
        <v>0</v>
      </c>
      <c r="AL12" s="526">
        <f t="shared" si="0"/>
        <v>0</v>
      </c>
      <c r="AM12" s="526">
        <f t="shared" si="0"/>
        <v>0</v>
      </c>
      <c r="AN12" s="526">
        <f t="shared" si="0"/>
        <v>0</v>
      </c>
      <c r="AO12" s="526">
        <f t="shared" si="0"/>
        <v>0</v>
      </c>
      <c r="AP12" s="526">
        <f t="shared" si="0"/>
        <v>0</v>
      </c>
      <c r="AQ12" s="526">
        <f t="shared" si="0"/>
        <v>0</v>
      </c>
      <c r="AR12" s="526">
        <f t="shared" si="0"/>
        <v>0</v>
      </c>
      <c r="AS12" s="526">
        <f t="shared" si="0"/>
        <v>0</v>
      </c>
    </row>
    <row r="13" spans="1:45" s="518" customFormat="1">
      <c r="A13" t="s">
        <v>98</v>
      </c>
      <c r="B13" t="s">
        <v>122</v>
      </c>
      <c r="C13" s="240" t="s">
        <v>148</v>
      </c>
      <c r="D13" s="240"/>
      <c r="E13" s="145">
        <f>VLOOKUP($A13&amp;" CP",'2017 TEST'!$A$13:$R$274,'2017 TEST'!C$9,FALSE)</f>
        <v>351155.87972676073</v>
      </c>
      <c r="F13" s="145">
        <f>VLOOKUP($A13&amp;" CP",'2017 TEST'!$A$13:$R$274,'2017 TEST'!D$9,FALSE)</f>
        <v>358903.67479102348</v>
      </c>
      <c r="G13" s="145">
        <f>VLOOKUP($A13&amp;" CP",'2017 TEST'!$A$13:$R$274,'2017 TEST'!E$9,FALSE)</f>
        <v>328923.87121299258</v>
      </c>
      <c r="H13" s="145">
        <f>VLOOKUP($A13&amp;" CP",'2017 TEST'!$A$13:$R$274,'2017 TEST'!F$9,FALSE)</f>
        <v>356044.37322312244</v>
      </c>
      <c r="I13" s="145">
        <f>VLOOKUP($A13&amp;" CP",'2017 TEST'!$A$13:$R$274,'2017 TEST'!G$9,FALSE)</f>
        <v>354909.5923296024</v>
      </c>
      <c r="J13" s="145">
        <f>VLOOKUP($A13&amp;" CP",'2017 TEST'!$A$13:$R$274,'2017 TEST'!H$9,FALSE)</f>
        <v>370328.22040459391</v>
      </c>
      <c r="K13" s="145">
        <f>VLOOKUP($A13&amp;" CP",'2017 TEST'!$A$13:$R$274,'2017 TEST'!I$9,FALSE)</f>
        <v>364462.16816610948</v>
      </c>
      <c r="L13" s="145">
        <f>VLOOKUP($A13&amp;" CP",'2017 TEST'!$A$13:$R$274,'2017 TEST'!J$9,FALSE)</f>
        <v>375555.65660119057</v>
      </c>
      <c r="M13" s="145">
        <f>VLOOKUP($A13&amp;" CP",'2017 TEST'!$A$13:$R$274,'2017 TEST'!K$9,FALSE)</f>
        <v>349750.01691181923</v>
      </c>
      <c r="N13" s="145">
        <f>VLOOKUP($A13&amp;" CP",'2017 TEST'!$A$13:$R$274,'2017 TEST'!L$9,FALSE)</f>
        <v>340949.4587733543</v>
      </c>
      <c r="O13" s="145">
        <f>VLOOKUP($A13&amp;" CP",'2017 TEST'!$A$13:$R$274,'2017 TEST'!M$9,FALSE)</f>
        <v>336112.19759368058</v>
      </c>
      <c r="P13" s="145">
        <f>VLOOKUP($A13&amp;" CP",'2017 TEST'!$A$13:$R$274,'2017 TEST'!N$9,FALSE)</f>
        <v>340881.29108935053</v>
      </c>
      <c r="Q13" s="240"/>
      <c r="R13" s="240"/>
      <c r="T13" s="206" t="s">
        <v>148</v>
      </c>
      <c r="U13" s="523">
        <v>351156.49199271412</v>
      </c>
      <c r="V13" s="523">
        <v>358905.018693013</v>
      </c>
      <c r="W13" s="523">
        <v>328923.09970832471</v>
      </c>
      <c r="X13" s="523">
        <v>356040.82045966084</v>
      </c>
      <c r="Y13" s="523">
        <v>354913.09129918256</v>
      </c>
      <c r="Z13" s="523">
        <v>370328.7689060797</v>
      </c>
      <c r="AA13" s="523">
        <v>364463.25826618122</v>
      </c>
      <c r="AB13" s="523">
        <v>375554.67639306583</v>
      </c>
      <c r="AC13" s="523">
        <v>349749.50376334554</v>
      </c>
      <c r="AD13" s="523">
        <v>340949.36457740102</v>
      </c>
      <c r="AE13" s="523">
        <v>336112.62377540855</v>
      </c>
      <c r="AF13" s="523">
        <v>340881.03304139263</v>
      </c>
      <c r="AG13"/>
      <c r="AH13" s="526">
        <f t="shared" ref="AH13:AH19" si="1">U13-E13</f>
        <v>0.61226595338666812</v>
      </c>
      <c r="AI13" s="526">
        <f t="shared" si="0"/>
        <v>1.3439019895158708</v>
      </c>
      <c r="AJ13" s="526">
        <f t="shared" si="0"/>
        <v>-0.7715046678786166</v>
      </c>
      <c r="AK13" s="526">
        <f t="shared" si="0"/>
        <v>-3.5527634616009891</v>
      </c>
      <c r="AL13" s="526">
        <f t="shared" si="0"/>
        <v>3.4989695801632479</v>
      </c>
      <c r="AM13" s="526">
        <f t="shared" si="0"/>
        <v>0.54850148578407243</v>
      </c>
      <c r="AN13" s="526">
        <f t="shared" si="0"/>
        <v>1.0901000717421994</v>
      </c>
      <c r="AO13" s="526">
        <f t="shared" si="0"/>
        <v>-0.98020812473259866</v>
      </c>
      <c r="AP13" s="526">
        <f t="shared" si="0"/>
        <v>-0.51314847369212657</v>
      </c>
      <c r="AQ13" s="526">
        <f t="shared" si="0"/>
        <v>-9.4195953279267997E-2</v>
      </c>
      <c r="AR13" s="526">
        <f t="shared" si="0"/>
        <v>0.42618172796210274</v>
      </c>
      <c r="AS13" s="526">
        <f t="shared" si="0"/>
        <v>-0.25804795790463686</v>
      </c>
    </row>
    <row r="14" spans="1:45" s="518" customFormat="1">
      <c r="A14" t="s">
        <v>98</v>
      </c>
      <c r="B14" t="s">
        <v>122</v>
      </c>
      <c r="C14" s="240" t="s">
        <v>147</v>
      </c>
      <c r="D14" s="240"/>
      <c r="E14" s="145">
        <f>VLOOKUP($A14&amp;" GNCP",'2017 TEST'!$A$13:$R$274,'2017 TEST'!C$9,FALSE)</f>
        <v>365872.35045226075</v>
      </c>
      <c r="F14" s="145">
        <f>VLOOKUP($A14&amp;" GNCP",'2017 TEST'!$A$13:$R$274,'2017 TEST'!D$9,FALSE)</f>
        <v>371815.28404389712</v>
      </c>
      <c r="G14" s="145">
        <f>VLOOKUP($A14&amp;" GNCP",'2017 TEST'!$A$13:$R$274,'2017 TEST'!E$9,FALSE)</f>
        <v>337812.7917205859</v>
      </c>
      <c r="H14" s="145">
        <f>VLOOKUP($A14&amp;" GNCP",'2017 TEST'!$A$13:$R$274,'2017 TEST'!F$9,FALSE)</f>
        <v>356044.37322312244</v>
      </c>
      <c r="I14" s="145">
        <f>VLOOKUP($A14&amp;" GNCP",'2017 TEST'!$A$13:$R$274,'2017 TEST'!G$9,FALSE)</f>
        <v>354909.5923296024</v>
      </c>
      <c r="J14" s="145">
        <f>VLOOKUP($A14&amp;" GNCP",'2017 TEST'!$A$13:$R$274,'2017 TEST'!H$9,FALSE)</f>
        <v>370328.22040459391</v>
      </c>
      <c r="K14" s="145">
        <f>VLOOKUP($A14&amp;" GNCP",'2017 TEST'!$A$13:$R$274,'2017 TEST'!I$9,FALSE)</f>
        <v>364462.16816610948</v>
      </c>
      <c r="L14" s="145">
        <f>VLOOKUP($A14&amp;" GNCP",'2017 TEST'!$A$13:$R$274,'2017 TEST'!J$9,FALSE)</f>
        <v>375555.65660119057</v>
      </c>
      <c r="M14" s="145">
        <f>VLOOKUP($A14&amp;" GNCP",'2017 TEST'!$A$13:$R$274,'2017 TEST'!K$9,FALSE)</f>
        <v>371903.1403282141</v>
      </c>
      <c r="N14" s="145">
        <f>VLOOKUP($A14&amp;" GNCP",'2017 TEST'!$A$13:$R$274,'2017 TEST'!L$9,FALSE)</f>
        <v>353372.20217944362</v>
      </c>
      <c r="O14" s="145">
        <f>VLOOKUP($A14&amp;" GNCP",'2017 TEST'!$A$13:$R$274,'2017 TEST'!M$9,FALSE)</f>
        <v>358176.45288412669</v>
      </c>
      <c r="P14" s="145">
        <f>VLOOKUP($A14&amp;" GNCP",'2017 TEST'!$A$13:$R$274,'2017 TEST'!N$9,FALSE)</f>
        <v>358567.41233050398</v>
      </c>
      <c r="Q14" s="240"/>
      <c r="R14" s="240"/>
      <c r="T14" s="206" t="s">
        <v>342</v>
      </c>
      <c r="U14" s="523">
        <v>365872.35045226075</v>
      </c>
      <c r="V14" s="523">
        <v>371815.28404389712</v>
      </c>
      <c r="W14" s="523">
        <v>337812.7917205859</v>
      </c>
      <c r="X14" s="523">
        <v>356040.82045966084</v>
      </c>
      <c r="Y14" s="523">
        <v>354913.09129918256</v>
      </c>
      <c r="Z14" s="523">
        <v>370328.7689060797</v>
      </c>
      <c r="AA14" s="523">
        <v>364463.25826618122</v>
      </c>
      <c r="AB14" s="523">
        <v>375554.67639306583</v>
      </c>
      <c r="AC14" s="523">
        <v>371903.1403282141</v>
      </c>
      <c r="AD14" s="523">
        <v>353372.20217944362</v>
      </c>
      <c r="AE14" s="523">
        <v>358176.45288412669</v>
      </c>
      <c r="AF14" s="523">
        <v>358567.41233050398</v>
      </c>
      <c r="AG14"/>
      <c r="AH14" s="526">
        <f t="shared" si="1"/>
        <v>0</v>
      </c>
      <c r="AI14" s="526">
        <f t="shared" si="0"/>
        <v>0</v>
      </c>
      <c r="AJ14" s="526">
        <f t="shared" si="0"/>
        <v>0</v>
      </c>
      <c r="AK14" s="526">
        <f t="shared" si="0"/>
        <v>-3.5527634616009891</v>
      </c>
      <c r="AL14" s="526">
        <f t="shared" si="0"/>
        <v>3.4989695801632479</v>
      </c>
      <c r="AM14" s="526">
        <f t="shared" si="0"/>
        <v>0.54850148578407243</v>
      </c>
      <c r="AN14" s="526">
        <f t="shared" si="0"/>
        <v>1.0901000717421994</v>
      </c>
      <c r="AO14" s="526">
        <f t="shared" si="0"/>
        <v>-0.98020812473259866</v>
      </c>
      <c r="AP14" s="526">
        <f t="shared" si="0"/>
        <v>0</v>
      </c>
      <c r="AQ14" s="526">
        <f t="shared" si="0"/>
        <v>0</v>
      </c>
      <c r="AR14" s="526">
        <f t="shared" si="0"/>
        <v>0</v>
      </c>
      <c r="AS14" s="526">
        <f t="shared" si="0"/>
        <v>0</v>
      </c>
    </row>
    <row r="15" spans="1:45" s="518" customFormat="1">
      <c r="A15" t="s">
        <v>98</v>
      </c>
      <c r="B15" t="s">
        <v>122</v>
      </c>
      <c r="C15" s="240" t="s">
        <v>133</v>
      </c>
      <c r="D15" s="240"/>
      <c r="E15" s="145">
        <f>VLOOKUP($A15&amp;" NCP",'2017 TEST'!$A$13:$R$274,'2017 TEST'!C$9,FALSE)</f>
        <v>441187.87422161771</v>
      </c>
      <c r="F15" s="145">
        <f>VLOOKUP($A15&amp;" NCP",'2017 TEST'!$A$13:$R$274,'2017 TEST'!D$9,FALSE)</f>
        <v>444576.5986038316</v>
      </c>
      <c r="G15" s="145">
        <f>VLOOKUP($A15&amp;" NCP",'2017 TEST'!$A$13:$R$274,'2017 TEST'!E$9,FALSE)</f>
        <v>405587.96750005666</v>
      </c>
      <c r="H15" s="145">
        <f>VLOOKUP($A15&amp;" NCP",'2017 TEST'!$A$13:$R$274,'2017 TEST'!F$9,FALSE)</f>
        <v>420343.03698422993</v>
      </c>
      <c r="I15" s="145">
        <f>VLOOKUP($A15&amp;" NCP",'2017 TEST'!$A$13:$R$274,'2017 TEST'!G$9,FALSE)</f>
        <v>418402.24621374981</v>
      </c>
      <c r="J15" s="145">
        <f>VLOOKUP($A15&amp;" NCP",'2017 TEST'!$A$13:$R$274,'2017 TEST'!H$9,FALSE)</f>
        <v>443442.77833741478</v>
      </c>
      <c r="K15" s="145">
        <f>VLOOKUP($A15&amp;" NCP",'2017 TEST'!$A$13:$R$274,'2017 TEST'!I$9,FALSE)</f>
        <v>439596.1110203524</v>
      </c>
      <c r="L15" s="145">
        <f>VLOOKUP($A15&amp;" NCP",'2017 TEST'!$A$13:$R$274,'2017 TEST'!J$9,FALSE)</f>
        <v>436277.96724435309</v>
      </c>
      <c r="M15" s="145">
        <f>VLOOKUP($A15&amp;" NCP",'2017 TEST'!$A$13:$R$274,'2017 TEST'!K$9,FALSE)</f>
        <v>446830.92124796787</v>
      </c>
      <c r="N15" s="145">
        <f>VLOOKUP($A15&amp;" NCP",'2017 TEST'!$A$13:$R$274,'2017 TEST'!L$9,FALSE)</f>
        <v>424423.14888141421</v>
      </c>
      <c r="O15" s="145">
        <f>VLOOKUP($A15&amp;" NCP",'2017 TEST'!$A$13:$R$274,'2017 TEST'!M$9,FALSE)</f>
        <v>427844.68879164715</v>
      </c>
      <c r="P15" s="145">
        <f>VLOOKUP($A15&amp;" NCP",'2017 TEST'!$A$13:$R$274,'2017 TEST'!N$9,FALSE)</f>
        <v>430232.69976587879</v>
      </c>
      <c r="Q15" s="240"/>
      <c r="R15" s="240"/>
      <c r="T15" s="206" t="s">
        <v>133</v>
      </c>
      <c r="U15" s="523">
        <v>441187.87422161771</v>
      </c>
      <c r="V15" s="523">
        <v>444576.5986038316</v>
      </c>
      <c r="W15" s="523">
        <v>405587.96750005666</v>
      </c>
      <c r="X15" s="523">
        <v>420343.03698422993</v>
      </c>
      <c r="Y15" s="523">
        <v>418402.24621374981</v>
      </c>
      <c r="Z15" s="523">
        <v>443442.77833741478</v>
      </c>
      <c r="AA15" s="523">
        <v>439596.1110203524</v>
      </c>
      <c r="AB15" s="523">
        <v>436277.96724435309</v>
      </c>
      <c r="AC15" s="523">
        <v>446830.92124796787</v>
      </c>
      <c r="AD15" s="523">
        <v>424423.14888141421</v>
      </c>
      <c r="AE15" s="523">
        <v>427844.68879164715</v>
      </c>
      <c r="AF15" s="523">
        <v>430232.69976587879</v>
      </c>
      <c r="AG15"/>
      <c r="AH15" s="526">
        <f t="shared" si="1"/>
        <v>0</v>
      </c>
      <c r="AI15" s="526">
        <f t="shared" si="0"/>
        <v>0</v>
      </c>
      <c r="AJ15" s="526">
        <f t="shared" si="0"/>
        <v>0</v>
      </c>
      <c r="AK15" s="526">
        <f t="shared" si="0"/>
        <v>0</v>
      </c>
      <c r="AL15" s="526">
        <f t="shared" si="0"/>
        <v>0</v>
      </c>
      <c r="AM15" s="526">
        <f t="shared" si="0"/>
        <v>0</v>
      </c>
      <c r="AN15" s="526">
        <f t="shared" si="0"/>
        <v>0</v>
      </c>
      <c r="AO15" s="526">
        <f t="shared" si="0"/>
        <v>0</v>
      </c>
      <c r="AP15" s="526">
        <f t="shared" si="0"/>
        <v>0</v>
      </c>
      <c r="AQ15" s="526">
        <f t="shared" si="0"/>
        <v>0</v>
      </c>
      <c r="AR15" s="526">
        <f t="shared" si="0"/>
        <v>0</v>
      </c>
      <c r="AS15" s="526">
        <f>AF15-P15</f>
        <v>0</v>
      </c>
    </row>
    <row r="16" spans="1:45" s="518" customFormat="1">
      <c r="A16" t="s">
        <v>98</v>
      </c>
      <c r="B16" t="s">
        <v>122</v>
      </c>
      <c r="C16" s="240" t="s">
        <v>1197</v>
      </c>
      <c r="D16" s="240"/>
      <c r="E16" s="230">
        <f>'CILC-1D'!C66</f>
        <v>0.88333949135113088</v>
      </c>
      <c r="F16" s="230">
        <f>'CILC-1D'!D66</f>
        <v>0.87831131684493591</v>
      </c>
      <c r="G16" s="230">
        <f>'CILC-1D'!E66</f>
        <v>0.87007380961294079</v>
      </c>
      <c r="H16" s="230">
        <f>'CILC-1D'!F66</f>
        <v>0.83648885475676538</v>
      </c>
      <c r="I16" s="230">
        <f>'CILC-1D'!G66</f>
        <v>0.83868017719993104</v>
      </c>
      <c r="J16" s="230">
        <f>'CILC-1D'!H66</f>
        <v>0.85986110641376112</v>
      </c>
      <c r="K16" s="230">
        <f>'CILC-1D'!I66</f>
        <v>0.87150715448745442</v>
      </c>
      <c r="L16" s="230">
        <f>'CILC-1D'!J66</f>
        <v>0.84031718538846134</v>
      </c>
      <c r="M16" s="230">
        <f>'CILC-1D'!K66</f>
        <v>0.92415746861642234</v>
      </c>
      <c r="N16" s="230">
        <f>'CILC-1D'!L66</f>
        <v>0.88689617296709511</v>
      </c>
      <c r="O16" s="230">
        <f>'CILC-1D'!M66</f>
        <v>0.88639756033074701</v>
      </c>
      <c r="P16" s="230">
        <f>'CILC-1D'!N66</f>
        <v>0.88086054654621315</v>
      </c>
      <c r="Q16" s="240"/>
      <c r="R16" s="240"/>
      <c r="T16" s="206" t="s">
        <v>1197</v>
      </c>
      <c r="U16" s="524">
        <v>0.8833379511868219</v>
      </c>
      <c r="V16" s="524">
        <v>0.87830802805189978</v>
      </c>
      <c r="W16" s="524">
        <v>0.87007585041216129</v>
      </c>
      <c r="X16" s="524">
        <v>0.83649720168461306</v>
      </c>
      <c r="Y16" s="524">
        <v>0.83867190893229193</v>
      </c>
      <c r="Z16" s="524">
        <v>0.85985983285595513</v>
      </c>
      <c r="AA16" s="524">
        <v>0.87150454783235254</v>
      </c>
      <c r="AB16" s="524">
        <v>0.84031937863962869</v>
      </c>
      <c r="AC16" s="524">
        <v>0.92415882452969578</v>
      </c>
      <c r="AD16" s="524">
        <v>0.88689641799477126</v>
      </c>
      <c r="AE16" s="524">
        <v>0.88639643640258359</v>
      </c>
      <c r="AF16" s="524">
        <v>0.88086121336027212</v>
      </c>
      <c r="AG16"/>
      <c r="AH16" s="526">
        <f t="shared" si="1"/>
        <v>-1.5401643089774097E-6</v>
      </c>
      <c r="AI16" s="526">
        <f t="shared" si="0"/>
        <v>-3.2887930361269468E-6</v>
      </c>
      <c r="AJ16" s="526">
        <f t="shared" si="0"/>
        <v>2.0407992205040415E-6</v>
      </c>
      <c r="AK16" s="526">
        <f t="shared" si="0"/>
        <v>8.3469278476799857E-6</v>
      </c>
      <c r="AL16" s="526">
        <f t="shared" si="0"/>
        <v>-8.2682676391110377E-6</v>
      </c>
      <c r="AM16" s="526">
        <f t="shared" si="0"/>
        <v>-1.2735578059919206E-6</v>
      </c>
      <c r="AN16" s="526">
        <f t="shared" si="0"/>
        <v>-2.6066551018777417E-6</v>
      </c>
      <c r="AO16" s="526">
        <f t="shared" si="0"/>
        <v>2.1932511673483646E-6</v>
      </c>
      <c r="AP16" s="526">
        <f t="shared" si="0"/>
        <v>1.3559132734375368E-6</v>
      </c>
      <c r="AQ16" s="526">
        <f t="shared" si="0"/>
        <v>2.4502767614897891E-7</v>
      </c>
      <c r="AR16" s="526">
        <f t="shared" si="0"/>
        <v>-1.1239281634267684E-6</v>
      </c>
      <c r="AS16" s="526">
        <f t="shared" si="0"/>
        <v>6.6681405896940049E-7</v>
      </c>
    </row>
    <row r="17" spans="1:45" s="518" customFormat="1">
      <c r="A17" t="s">
        <v>98</v>
      </c>
      <c r="B17" t="s">
        <v>122</v>
      </c>
      <c r="C17" s="240" t="s">
        <v>1198</v>
      </c>
      <c r="D17" s="240"/>
      <c r="E17" s="230">
        <f>'CILC-1D'!C67</f>
        <v>0.84780895795860223</v>
      </c>
      <c r="F17" s="230">
        <f>'CILC-1D'!D67</f>
        <v>0.84781119215361256</v>
      </c>
      <c r="G17" s="230">
        <f>'CILC-1D'!E67</f>
        <v>0.84717942219203657</v>
      </c>
      <c r="H17" s="230">
        <f>'CILC-1D'!F67</f>
        <v>0.83648885475676538</v>
      </c>
      <c r="I17" s="230">
        <f>'CILC-1D'!G67</f>
        <v>0.83868017719993104</v>
      </c>
      <c r="J17" s="230">
        <f>'CILC-1D'!H67</f>
        <v>0.85986110641376112</v>
      </c>
      <c r="K17" s="230">
        <f>'CILC-1D'!I67</f>
        <v>0.87150715448745442</v>
      </c>
      <c r="L17" s="230">
        <f>'CILC-1D'!J67</f>
        <v>0.84031718538846134</v>
      </c>
      <c r="M17" s="230">
        <f>'CILC-1D'!K67</f>
        <v>0.86910825757621779</v>
      </c>
      <c r="N17" s="230">
        <f>'CILC-1D'!L67</f>
        <v>0.85571747946302035</v>
      </c>
      <c r="O17" s="230">
        <f>'CILC-1D'!M67</f>
        <v>0.83179402092305377</v>
      </c>
      <c r="P17" s="230">
        <f>'CILC-1D'!N67</f>
        <v>0.83741263162971391</v>
      </c>
      <c r="Q17" s="240"/>
      <c r="R17" s="240"/>
      <c r="T17" s="206" t="s">
        <v>1221</v>
      </c>
      <c r="U17" s="524">
        <v>0.84780895795860223</v>
      </c>
      <c r="V17" s="524">
        <v>0.84781119215361245</v>
      </c>
      <c r="W17" s="524">
        <v>0.84717942219203657</v>
      </c>
      <c r="X17" s="524">
        <v>0.83649720168461306</v>
      </c>
      <c r="Y17" s="524">
        <v>0.83867190893229193</v>
      </c>
      <c r="Z17" s="524">
        <v>0.85985983285595513</v>
      </c>
      <c r="AA17" s="524">
        <v>0.87150454783235254</v>
      </c>
      <c r="AB17" s="524">
        <v>0.84031937863962869</v>
      </c>
      <c r="AC17" s="524">
        <v>0.8691082575762179</v>
      </c>
      <c r="AD17" s="524">
        <v>0.85571747946302035</v>
      </c>
      <c r="AE17" s="524">
        <v>0.83179402092305377</v>
      </c>
      <c r="AF17" s="524">
        <v>0.83741263162971402</v>
      </c>
      <c r="AG17"/>
      <c r="AH17" s="526">
        <f t="shared" si="1"/>
        <v>0</v>
      </c>
      <c r="AI17" s="526">
        <f t="shared" si="0"/>
        <v>0</v>
      </c>
      <c r="AJ17" s="526">
        <f t="shared" si="0"/>
        <v>0</v>
      </c>
      <c r="AK17" s="526">
        <f t="shared" si="0"/>
        <v>8.3469278476799857E-6</v>
      </c>
      <c r="AL17" s="526">
        <f t="shared" si="0"/>
        <v>-8.2682676391110377E-6</v>
      </c>
      <c r="AM17" s="526">
        <f t="shared" si="0"/>
        <v>-1.2735578059919206E-6</v>
      </c>
      <c r="AN17" s="526">
        <f t="shared" si="0"/>
        <v>-2.6066551018777417E-6</v>
      </c>
      <c r="AO17" s="526">
        <f t="shared" si="0"/>
        <v>2.1932511673483646E-6</v>
      </c>
      <c r="AP17" s="526">
        <f t="shared" si="0"/>
        <v>0</v>
      </c>
      <c r="AQ17" s="526">
        <f t="shared" si="0"/>
        <v>0</v>
      </c>
      <c r="AR17" s="526">
        <f t="shared" si="0"/>
        <v>0</v>
      </c>
      <c r="AS17" s="526">
        <f t="shared" si="0"/>
        <v>0</v>
      </c>
    </row>
    <row r="18" spans="1:45" s="518" customFormat="1">
      <c r="A18" t="s">
        <v>98</v>
      </c>
      <c r="B18" t="s">
        <v>122</v>
      </c>
      <c r="C18" s="240" t="s">
        <v>1199</v>
      </c>
      <c r="D18" s="240"/>
      <c r="E18" s="230">
        <f>'CILC-1D'!C68</f>
        <v>0.70307883400027671</v>
      </c>
      <c r="F18" s="230">
        <f>'CILC-1D'!D68</f>
        <v>0.70905477304957198</v>
      </c>
      <c r="G18" s="230">
        <f>'CILC-1D'!E68</f>
        <v>0.705612761302848</v>
      </c>
      <c r="H18" s="230">
        <f>'CILC-1D'!F68</f>
        <v>0.70853356376918797</v>
      </c>
      <c r="I18" s="230">
        <f>'CILC-1D'!G68</f>
        <v>0.71141023376074908</v>
      </c>
      <c r="J18" s="230">
        <f>'CILC-1D'!H68</f>
        <v>0.7180877643948006</v>
      </c>
      <c r="K18" s="230">
        <f>'CILC-1D'!I68</f>
        <v>0.72255276863008577</v>
      </c>
      <c r="L18" s="230">
        <f>'CILC-1D'!J68</f>
        <v>0.72335963767584166</v>
      </c>
      <c r="M18" s="230">
        <f>'CILC-1D'!K68</f>
        <v>0.72337001516151844</v>
      </c>
      <c r="N18" s="230">
        <f>'CILC-1D'!L68</f>
        <v>0.71246530958135501</v>
      </c>
      <c r="O18" s="230">
        <f>'CILC-1D'!M68</f>
        <v>0.69634855766441606</v>
      </c>
      <c r="P18" s="230">
        <f>'CILC-1D'!N68</f>
        <v>0.6979220327505149</v>
      </c>
      <c r="Q18" s="240"/>
      <c r="R18" s="240"/>
      <c r="T18" s="206" t="s">
        <v>1199</v>
      </c>
      <c r="U18" s="524">
        <v>0.70307883400027671</v>
      </c>
      <c r="V18" s="524">
        <v>0.70905477304957187</v>
      </c>
      <c r="W18" s="524">
        <v>0.70561276130284789</v>
      </c>
      <c r="X18" s="524">
        <v>0.70853356376918808</v>
      </c>
      <c r="Y18" s="524">
        <v>0.71141023376074908</v>
      </c>
      <c r="Z18" s="524">
        <v>0.71808776439480071</v>
      </c>
      <c r="AA18" s="524">
        <v>0.72255276863008577</v>
      </c>
      <c r="AB18" s="524">
        <v>0.72335963767584166</v>
      </c>
      <c r="AC18" s="524">
        <v>0.72337001516151855</v>
      </c>
      <c r="AD18" s="524">
        <v>0.71246530958135501</v>
      </c>
      <c r="AE18" s="524">
        <v>0.69634855766441606</v>
      </c>
      <c r="AF18" s="524">
        <v>0.6979220327505149</v>
      </c>
      <c r="AG18"/>
      <c r="AH18" s="526">
        <f t="shared" si="1"/>
        <v>0</v>
      </c>
      <c r="AI18" s="526">
        <f t="shared" si="0"/>
        <v>0</v>
      </c>
      <c r="AJ18" s="526">
        <f t="shared" si="0"/>
        <v>0</v>
      </c>
      <c r="AK18" s="526">
        <f t="shared" si="0"/>
        <v>0</v>
      </c>
      <c r="AL18" s="526">
        <f t="shared" si="0"/>
        <v>0</v>
      </c>
      <c r="AM18" s="526">
        <f t="shared" si="0"/>
        <v>0</v>
      </c>
      <c r="AN18" s="526">
        <f t="shared" si="0"/>
        <v>0</v>
      </c>
      <c r="AO18" s="526">
        <f t="shared" si="0"/>
        <v>0</v>
      </c>
      <c r="AP18" s="526">
        <f t="shared" si="0"/>
        <v>0</v>
      </c>
      <c r="AQ18" s="526">
        <f t="shared" si="0"/>
        <v>0</v>
      </c>
      <c r="AR18" s="526">
        <f t="shared" si="0"/>
        <v>0</v>
      </c>
      <c r="AS18" s="526">
        <f t="shared" si="0"/>
        <v>0</v>
      </c>
    </row>
    <row r="19" spans="1:45" s="518" customFormat="1">
      <c r="A19" t="s">
        <v>98</v>
      </c>
      <c r="B19" t="s">
        <v>122</v>
      </c>
      <c r="C19" s="240" t="s">
        <v>1200</v>
      </c>
      <c r="D19" s="240"/>
      <c r="E19" s="145">
        <f>HOURS!$B$19</f>
        <v>744</v>
      </c>
      <c r="F19" s="145">
        <f>HOURS!$C$19</f>
        <v>672</v>
      </c>
      <c r="G19" s="145">
        <f>HOURS!$D$19</f>
        <v>744</v>
      </c>
      <c r="H19" s="145">
        <f>HOURS!$E$19</f>
        <v>720</v>
      </c>
      <c r="I19" s="145">
        <f>HOURS!$F$19</f>
        <v>744</v>
      </c>
      <c r="J19" s="145">
        <f>HOURS!$G$19</f>
        <v>720</v>
      </c>
      <c r="K19" s="145">
        <f>HOURS!$H$19</f>
        <v>744</v>
      </c>
      <c r="L19" s="145">
        <f>HOURS!$I$19</f>
        <v>744</v>
      </c>
      <c r="M19" s="145">
        <f>HOURS!$J$19</f>
        <v>720</v>
      </c>
      <c r="N19" s="145">
        <f>HOURS!$K$19</f>
        <v>744</v>
      </c>
      <c r="O19" s="145">
        <f>HOURS!$L$19</f>
        <v>720</v>
      </c>
      <c r="P19" s="145">
        <f>HOURS!$M$19</f>
        <v>744</v>
      </c>
      <c r="Q19" s="240"/>
      <c r="R19" s="240"/>
      <c r="T19" s="206" t="s">
        <v>1200</v>
      </c>
      <c r="U19" s="523">
        <v>744</v>
      </c>
      <c r="V19" s="523">
        <v>672</v>
      </c>
      <c r="W19" s="523">
        <v>744</v>
      </c>
      <c r="X19" s="523">
        <v>720</v>
      </c>
      <c r="Y19" s="523">
        <v>744</v>
      </c>
      <c r="Z19" s="523">
        <v>720</v>
      </c>
      <c r="AA19" s="523">
        <v>744</v>
      </c>
      <c r="AB19" s="523">
        <v>744</v>
      </c>
      <c r="AC19" s="523">
        <v>720</v>
      </c>
      <c r="AD19" s="523">
        <v>744</v>
      </c>
      <c r="AE19" s="523">
        <v>720</v>
      </c>
      <c r="AF19" s="523">
        <v>744</v>
      </c>
      <c r="AG19"/>
      <c r="AH19" s="526">
        <f t="shared" si="1"/>
        <v>0</v>
      </c>
      <c r="AI19" s="526">
        <f t="shared" si="0"/>
        <v>0</v>
      </c>
      <c r="AJ19" s="526">
        <f t="shared" si="0"/>
        <v>0</v>
      </c>
      <c r="AK19" s="526">
        <f t="shared" si="0"/>
        <v>0</v>
      </c>
      <c r="AL19" s="526">
        <f t="shared" si="0"/>
        <v>0</v>
      </c>
      <c r="AM19" s="526">
        <f t="shared" si="0"/>
        <v>0</v>
      </c>
      <c r="AN19" s="526">
        <f t="shared" si="0"/>
        <v>0</v>
      </c>
      <c r="AO19" s="526">
        <f t="shared" si="0"/>
        <v>0</v>
      </c>
      <c r="AP19" s="526">
        <f t="shared" si="0"/>
        <v>0</v>
      </c>
      <c r="AQ19" s="526">
        <f t="shared" si="0"/>
        <v>0</v>
      </c>
      <c r="AR19" s="526">
        <f t="shared" si="0"/>
        <v>0</v>
      </c>
      <c r="AS19" s="526">
        <f t="shared" si="0"/>
        <v>0</v>
      </c>
    </row>
    <row r="20" spans="1:45">
      <c r="E20" s="241"/>
      <c r="F20" s="241"/>
      <c r="G20" s="241"/>
      <c r="H20" s="241"/>
      <c r="I20" s="241"/>
      <c r="J20" s="241"/>
      <c r="K20" s="241"/>
      <c r="L20" s="241"/>
      <c r="M20" s="241"/>
      <c r="N20" s="241"/>
      <c r="O20" s="241"/>
      <c r="P20" s="241"/>
      <c r="Q20" s="241"/>
      <c r="R20" s="242"/>
      <c r="T20"/>
      <c r="U20"/>
      <c r="V20"/>
      <c r="W20"/>
      <c r="X20"/>
      <c r="Y20"/>
      <c r="Z20"/>
      <c r="AA20"/>
      <c r="AB20"/>
      <c r="AC20"/>
      <c r="AD20"/>
      <c r="AE20"/>
      <c r="AF20"/>
      <c r="AG20"/>
      <c r="AH20"/>
      <c r="AI20"/>
      <c r="AJ20"/>
      <c r="AK20"/>
    </row>
    <row r="21" spans="1:45">
      <c r="A21" t="s">
        <v>99</v>
      </c>
      <c r="B21" t="s">
        <v>177</v>
      </c>
      <c r="C21" t="s">
        <v>1116</v>
      </c>
      <c r="T21" s="522" t="s">
        <v>1222</v>
      </c>
      <c r="U21" s="523"/>
      <c r="V21" s="523"/>
      <c r="W21" s="523"/>
      <c r="X21" s="523"/>
      <c r="Y21" s="523"/>
      <c r="Z21" s="523"/>
      <c r="AA21" s="523"/>
      <c r="AB21" s="523"/>
      <c r="AC21" s="523"/>
      <c r="AD21" s="523"/>
      <c r="AE21" s="523"/>
      <c r="AF21" s="523"/>
      <c r="AG21"/>
      <c r="AH21" s="526"/>
      <c r="AI21" s="526"/>
      <c r="AJ21" s="526"/>
      <c r="AK21" s="526"/>
      <c r="AL21" s="526"/>
      <c r="AM21" s="526"/>
      <c r="AN21" s="526"/>
      <c r="AO21" s="526"/>
      <c r="AP21" s="526"/>
      <c r="AQ21" s="526"/>
      <c r="AR21" s="526"/>
      <c r="AS21" s="526"/>
    </row>
    <row r="22" spans="1:45" ht="15.6">
      <c r="A22" t="s">
        <v>99</v>
      </c>
      <c r="B22" t="s">
        <v>177</v>
      </c>
      <c r="C22" s="251" t="s">
        <v>1201</v>
      </c>
      <c r="D22" s="251"/>
      <c r="E22" s="145">
        <f>VLOOKUP($A22&amp;" KWH Sales",'2017 TEST'!$A$13:$R$274,'2017 TEST'!C$9,FALSE)/1000</f>
        <v>8790.6970000000001</v>
      </c>
      <c r="F22" s="145">
        <f>VLOOKUP($A22&amp;" KWH Sales",'2017 TEST'!$A$13:$R$274,'2017 TEST'!D$9,FALSE)/1000</f>
        <v>8102.4390000000003</v>
      </c>
      <c r="G22" s="145">
        <f>VLOOKUP($A22&amp;" KWH Sales",'2017 TEST'!$A$13:$R$274,'2017 TEST'!E$9,FALSE)/1000</f>
        <v>8043.98</v>
      </c>
      <c r="H22" s="145">
        <f>VLOOKUP($A22&amp;" KWH Sales",'2017 TEST'!$A$13:$R$274,'2017 TEST'!F$9,FALSE)/1000</f>
        <v>8069.7969999999996</v>
      </c>
      <c r="I22" s="145">
        <f>VLOOKUP($A22&amp;" KWH Sales",'2017 TEST'!$A$13:$R$274,'2017 TEST'!G$9,FALSE)/1000</f>
        <v>8363.3909999999996</v>
      </c>
      <c r="J22" s="145">
        <f>VLOOKUP($A22&amp;" KWH Sales",'2017 TEST'!$A$13:$R$274,'2017 TEST'!H$9,FALSE)/1000</f>
        <v>8574.0930000000008</v>
      </c>
      <c r="K22" s="145">
        <f>VLOOKUP($A22&amp;" KWH Sales",'2017 TEST'!$A$13:$R$274,'2017 TEST'!I$9,FALSE)/1000</f>
        <v>8775.0720000000001</v>
      </c>
      <c r="L22" s="145">
        <f>VLOOKUP($A22&amp;" KWH Sales",'2017 TEST'!$A$13:$R$274,'2017 TEST'!J$9,FALSE)/1000</f>
        <v>8799.1929999999993</v>
      </c>
      <c r="M22" s="145">
        <f>VLOOKUP($A22&amp;" KWH Sales",'2017 TEST'!$A$13:$R$274,'2017 TEST'!K$9,FALSE)/1000</f>
        <v>8768.1460000000006</v>
      </c>
      <c r="N22" s="145">
        <f>VLOOKUP($A22&amp;" KWH Sales",'2017 TEST'!$A$13:$R$274,'2017 TEST'!L$9,FALSE)/1000</f>
        <v>8505.7330000000002</v>
      </c>
      <c r="O22" s="145">
        <f>VLOOKUP($A22&amp;" KWH Sales",'2017 TEST'!$A$13:$R$274,'2017 TEST'!M$9,FALSE)/1000</f>
        <v>8194.3979999999992</v>
      </c>
      <c r="P22" s="145">
        <f>VLOOKUP($A22&amp;" KWH Sales",'2017 TEST'!$A$13:$R$274,'2017 TEST'!N$9,FALSE)/1000</f>
        <v>8636.5630000000001</v>
      </c>
      <c r="T22" s="206" t="s">
        <v>1261</v>
      </c>
      <c r="U22" s="523">
        <v>8790.6970000000001</v>
      </c>
      <c r="V22" s="523">
        <v>8102.4390000000003</v>
      </c>
      <c r="W22" s="523">
        <v>8043.98</v>
      </c>
      <c r="X22" s="523">
        <v>8069.7969999999996</v>
      </c>
      <c r="Y22" s="523">
        <v>8363.3909999999996</v>
      </c>
      <c r="Z22" s="523">
        <v>8574.0930000000008</v>
      </c>
      <c r="AA22" s="523">
        <v>8775.0720000000001</v>
      </c>
      <c r="AB22" s="523">
        <v>8799.1929999999993</v>
      </c>
      <c r="AC22" s="523">
        <v>8768.1460000000006</v>
      </c>
      <c r="AD22" s="523">
        <v>8505.7330000000002</v>
      </c>
      <c r="AE22" s="523">
        <v>8194.3979999999992</v>
      </c>
      <c r="AF22" s="523">
        <v>8636.5630000000001</v>
      </c>
      <c r="AG22"/>
      <c r="AH22" s="526">
        <f>U22-E22</f>
        <v>0</v>
      </c>
      <c r="AI22" s="526">
        <f t="shared" ref="AI22:AI29" si="2">V22-F22</f>
        <v>0</v>
      </c>
      <c r="AJ22" s="526">
        <f t="shared" ref="AJ22:AJ29" si="3">W22-G22</f>
        <v>0</v>
      </c>
      <c r="AK22" s="526">
        <f t="shared" ref="AK22:AK29" si="4">X22-H22</f>
        <v>0</v>
      </c>
      <c r="AL22" s="526">
        <f t="shared" ref="AL22:AL29" si="5">Y22-I22</f>
        <v>0</v>
      </c>
      <c r="AM22" s="526">
        <f t="shared" ref="AM22:AM29" si="6">Z22-J22</f>
        <v>0</v>
      </c>
      <c r="AN22" s="526">
        <f t="shared" ref="AN22:AN29" si="7">AA22-K22</f>
        <v>0</v>
      </c>
      <c r="AO22" s="526">
        <f t="shared" ref="AO22:AO29" si="8">AB22-L22</f>
        <v>0</v>
      </c>
      <c r="AP22" s="526">
        <f t="shared" ref="AP22:AP29" si="9">AC22-M22</f>
        <v>0</v>
      </c>
      <c r="AQ22" s="526">
        <f t="shared" ref="AQ22:AQ29" si="10">AD22-N22</f>
        <v>0</v>
      </c>
      <c r="AR22" s="526">
        <f t="shared" ref="AR22:AR29" si="11">AE22-O22</f>
        <v>0</v>
      </c>
      <c r="AS22" s="526">
        <f t="shared" ref="AS22:AS24" si="12">AF22-P22</f>
        <v>0</v>
      </c>
    </row>
    <row r="23" spans="1:45" s="518" customFormat="1">
      <c r="A23" t="s">
        <v>99</v>
      </c>
      <c r="B23" t="s">
        <v>177</v>
      </c>
      <c r="C23" s="240" t="s">
        <v>148</v>
      </c>
      <c r="D23" s="240"/>
      <c r="E23" s="145">
        <f>VLOOKUP($A23&amp;" CP",'2017 TEST'!$A$13:$R$274,'2017 TEST'!C$9,FALSE)</f>
        <v>13652.207167938855</v>
      </c>
      <c r="F23" s="145">
        <f>VLOOKUP($A23&amp;" CP",'2017 TEST'!$A$13:$R$274,'2017 TEST'!D$9,FALSE)</f>
        <v>13966.238582213718</v>
      </c>
      <c r="G23" s="145">
        <f>VLOOKUP($A23&amp;" CP",'2017 TEST'!$A$13:$R$274,'2017 TEST'!E$9,FALSE)</f>
        <v>12895.782058481334</v>
      </c>
      <c r="H23" s="145">
        <f>VLOOKUP($A23&amp;" CP",'2017 TEST'!$A$13:$R$274,'2017 TEST'!F$9,FALSE)</f>
        <v>13653.94816517401</v>
      </c>
      <c r="I23" s="145">
        <f>VLOOKUP($A23&amp;" CP",'2017 TEST'!$A$13:$R$274,'2017 TEST'!G$9,FALSE)</f>
        <v>13981.703267041546</v>
      </c>
      <c r="J23" s="145">
        <f>VLOOKUP($A23&amp;" CP",'2017 TEST'!$A$13:$R$274,'2017 TEST'!H$9,FALSE)</f>
        <v>14261.658386714136</v>
      </c>
      <c r="K23" s="145">
        <f>VLOOKUP($A23&amp;" CP",'2017 TEST'!$A$13:$R$274,'2017 TEST'!I$9,FALSE)</f>
        <v>14060.015602793876</v>
      </c>
      <c r="L23" s="145">
        <f>VLOOKUP($A23&amp;" CP",'2017 TEST'!$A$13:$R$274,'2017 TEST'!J$9,FALSE)</f>
        <v>14517.481215724356</v>
      </c>
      <c r="M23" s="145">
        <f>VLOOKUP($A23&amp;" CP",'2017 TEST'!$A$13:$R$274,'2017 TEST'!K$9,FALSE)</f>
        <v>13532.90543943611</v>
      </c>
      <c r="N23" s="145">
        <f>VLOOKUP($A23&amp;" CP",'2017 TEST'!$A$13:$R$274,'2017 TEST'!L$9,FALSE)</f>
        <v>13324.076569427223</v>
      </c>
      <c r="O23" s="145">
        <f>VLOOKUP($A23&amp;" CP",'2017 TEST'!$A$13:$R$274,'2017 TEST'!M$9,FALSE)</f>
        <v>12685.917220739571</v>
      </c>
      <c r="P23" s="145">
        <f>VLOOKUP($A23&amp;" CP",'2017 TEST'!$A$13:$R$274,'2017 TEST'!N$9,FALSE)</f>
        <v>13012.028854087373</v>
      </c>
      <c r="Q23" s="240"/>
      <c r="R23" s="240"/>
      <c r="T23" s="206" t="s">
        <v>148</v>
      </c>
      <c r="U23" s="523">
        <v>13652.230967653279</v>
      </c>
      <c r="V23" s="523">
        <v>13966.290868798147</v>
      </c>
      <c r="W23" s="523">
        <v>12895.751815714884</v>
      </c>
      <c r="X23" s="523">
        <v>13653.811942644305</v>
      </c>
      <c r="Y23" s="523">
        <v>13981.841087012059</v>
      </c>
      <c r="Z23" s="523">
        <v>14261.679506301682</v>
      </c>
      <c r="AA23" s="523">
        <v>14060.057648951703</v>
      </c>
      <c r="AB23" s="523">
        <v>14517.443330951997</v>
      </c>
      <c r="AC23" s="523">
        <v>13532.885587474151</v>
      </c>
      <c r="AD23" s="523">
        <v>13324.072888800638</v>
      </c>
      <c r="AE23" s="523">
        <v>12685.933302976608</v>
      </c>
      <c r="AF23" s="523">
        <v>13012.019005716043</v>
      </c>
      <c r="AG23"/>
      <c r="AH23" s="526">
        <f t="shared" ref="AH23:AH29" si="13">U23-E23</f>
        <v>2.3799714423148544E-2</v>
      </c>
      <c r="AI23" s="526">
        <f t="shared" si="2"/>
        <v>5.2286584428657079E-2</v>
      </c>
      <c r="AJ23" s="526">
        <f t="shared" si="3"/>
        <v>-3.0242766450101044E-2</v>
      </c>
      <c r="AK23" s="526">
        <f t="shared" si="4"/>
        <v>-0.13622252970526461</v>
      </c>
      <c r="AL23" s="526">
        <f t="shared" si="5"/>
        <v>0.13781997051228245</v>
      </c>
      <c r="AM23" s="526">
        <f t="shared" si="6"/>
        <v>2.1119587545399554E-2</v>
      </c>
      <c r="AN23" s="526">
        <f t="shared" si="7"/>
        <v>4.2046157826916897E-2</v>
      </c>
      <c r="AO23" s="526">
        <f t="shared" si="8"/>
        <v>-3.7884772358665941E-2</v>
      </c>
      <c r="AP23" s="526">
        <f t="shared" si="9"/>
        <v>-1.9851961958920583E-2</v>
      </c>
      <c r="AQ23" s="526">
        <f t="shared" si="10"/>
        <v>-3.6806265852646902E-3</v>
      </c>
      <c r="AR23" s="526">
        <f t="shared" si="11"/>
        <v>1.6082237036243896E-2</v>
      </c>
      <c r="AS23" s="526">
        <f t="shared" si="12"/>
        <v>-9.8483713300083764E-3</v>
      </c>
    </row>
    <row r="24" spans="1:45" s="518" customFormat="1">
      <c r="A24" t="s">
        <v>99</v>
      </c>
      <c r="B24" t="s">
        <v>177</v>
      </c>
      <c r="C24" s="240" t="s">
        <v>147</v>
      </c>
      <c r="D24" s="240"/>
      <c r="E24" s="145">
        <f>VLOOKUP($A24&amp;" GNCP",'2017 TEST'!$A$13:$R$274,'2017 TEST'!C$9,FALSE)</f>
        <v>13889.150974322791</v>
      </c>
      <c r="F24" s="145">
        <f>VLOOKUP($A24&amp;" GNCP",'2017 TEST'!$A$13:$R$274,'2017 TEST'!D$9,FALSE)</f>
        <v>14438.315939332228</v>
      </c>
      <c r="G24" s="145">
        <f>VLOOKUP($A24&amp;" GNCP",'2017 TEST'!$A$13:$R$274,'2017 TEST'!E$9,FALSE)</f>
        <v>12895.782058481334</v>
      </c>
      <c r="H24" s="145">
        <f>VLOOKUP($A24&amp;" GNCP",'2017 TEST'!$A$13:$R$274,'2017 TEST'!F$9,FALSE)</f>
        <v>13653.94816517401</v>
      </c>
      <c r="I24" s="145">
        <f>VLOOKUP($A24&amp;" GNCP",'2017 TEST'!$A$13:$R$274,'2017 TEST'!G$9,FALSE)</f>
        <v>13981.703267041546</v>
      </c>
      <c r="J24" s="145">
        <f>VLOOKUP($A24&amp;" GNCP",'2017 TEST'!$A$13:$R$274,'2017 TEST'!H$9,FALSE)</f>
        <v>14261.658386714136</v>
      </c>
      <c r="K24" s="145">
        <f>VLOOKUP($A24&amp;" GNCP",'2017 TEST'!$A$13:$R$274,'2017 TEST'!I$9,FALSE)</f>
        <v>14060.015602793876</v>
      </c>
      <c r="L24" s="145">
        <f>VLOOKUP($A24&amp;" GNCP",'2017 TEST'!$A$13:$R$274,'2017 TEST'!J$9,FALSE)</f>
        <v>14517.481215724356</v>
      </c>
      <c r="M24" s="145">
        <f>VLOOKUP($A24&amp;" GNCP",'2017 TEST'!$A$13:$R$274,'2017 TEST'!K$9,FALSE)</f>
        <v>14397.185208889656</v>
      </c>
      <c r="N24" s="145">
        <f>VLOOKUP($A24&amp;" GNCP",'2017 TEST'!$A$13:$R$274,'2017 TEST'!L$9,FALSE)</f>
        <v>13664.465406347614</v>
      </c>
      <c r="O24" s="145">
        <f>VLOOKUP($A24&amp;" GNCP",'2017 TEST'!$A$13:$R$274,'2017 TEST'!M$9,FALSE)</f>
        <v>13594.845800257863</v>
      </c>
      <c r="P24" s="145">
        <f>VLOOKUP($A24&amp;" GNCP",'2017 TEST'!$A$13:$R$274,'2017 TEST'!N$9,FALSE)</f>
        <v>13802.147984461857</v>
      </c>
      <c r="Q24" s="240"/>
      <c r="R24" s="240"/>
      <c r="T24" s="206" t="s">
        <v>342</v>
      </c>
      <c r="U24" s="523">
        <v>13889.150974322791</v>
      </c>
      <c r="V24" s="523">
        <v>14438.315939332228</v>
      </c>
      <c r="W24" s="523">
        <v>12895.751815714884</v>
      </c>
      <c r="X24" s="523">
        <v>13653.811942644305</v>
      </c>
      <c r="Y24" s="523">
        <v>13981.841087012059</v>
      </c>
      <c r="Z24" s="523">
        <v>14261.679506301682</v>
      </c>
      <c r="AA24" s="523">
        <v>14060.057648951703</v>
      </c>
      <c r="AB24" s="523">
        <v>14517.443330951997</v>
      </c>
      <c r="AC24" s="523">
        <v>14397.185208889656</v>
      </c>
      <c r="AD24" s="523">
        <v>13664.465406347614</v>
      </c>
      <c r="AE24" s="523">
        <v>13594.845800257863</v>
      </c>
      <c r="AF24" s="523">
        <v>13802.147984461857</v>
      </c>
      <c r="AG24"/>
      <c r="AH24" s="526">
        <f t="shared" si="13"/>
        <v>0</v>
      </c>
      <c r="AI24" s="526">
        <f t="shared" si="2"/>
        <v>0</v>
      </c>
      <c r="AJ24" s="526">
        <f t="shared" si="3"/>
        <v>-3.0242766450101044E-2</v>
      </c>
      <c r="AK24" s="526">
        <f t="shared" si="4"/>
        <v>-0.13622252970526461</v>
      </c>
      <c r="AL24" s="526">
        <f t="shared" si="5"/>
        <v>0.13781997051228245</v>
      </c>
      <c r="AM24" s="526">
        <f t="shared" si="6"/>
        <v>2.1119587545399554E-2</v>
      </c>
      <c r="AN24" s="526">
        <f t="shared" si="7"/>
        <v>4.2046157826916897E-2</v>
      </c>
      <c r="AO24" s="526">
        <f t="shared" si="8"/>
        <v>-3.7884772358665941E-2</v>
      </c>
      <c r="AP24" s="526">
        <f t="shared" si="9"/>
        <v>0</v>
      </c>
      <c r="AQ24" s="526">
        <f t="shared" si="10"/>
        <v>0</v>
      </c>
      <c r="AR24" s="526">
        <f t="shared" si="11"/>
        <v>0</v>
      </c>
      <c r="AS24" s="526">
        <f t="shared" si="12"/>
        <v>0</v>
      </c>
    </row>
    <row r="25" spans="1:45" s="518" customFormat="1">
      <c r="A25" t="s">
        <v>99</v>
      </c>
      <c r="B25" t="s">
        <v>177</v>
      </c>
      <c r="C25" s="240" t="s">
        <v>133</v>
      </c>
      <c r="D25" s="240"/>
      <c r="E25" s="145">
        <f>VLOOKUP($A25&amp;" NCP",'2017 TEST'!$A$13:$R$274,'2017 TEST'!C$9,FALSE)</f>
        <v>17282.834545722744</v>
      </c>
      <c r="F25" s="145">
        <f>VLOOKUP($A25&amp;" NCP",'2017 TEST'!$A$13:$R$274,'2017 TEST'!D$9,FALSE)</f>
        <v>17596.220364477271</v>
      </c>
      <c r="G25" s="145">
        <f>VLOOKUP($A25&amp;" NCP",'2017 TEST'!$A$13:$R$274,'2017 TEST'!E$9,FALSE)</f>
        <v>15702.707558153619</v>
      </c>
      <c r="H25" s="145">
        <f>VLOOKUP($A25&amp;" NCP",'2017 TEST'!$A$13:$R$274,'2017 TEST'!F$9,FALSE)</f>
        <v>16241.580726507063</v>
      </c>
      <c r="I25" s="145">
        <f>VLOOKUP($A25&amp;" NCP",'2017 TEST'!$A$13:$R$274,'2017 TEST'!G$9,FALSE)</f>
        <v>16637.102910716356</v>
      </c>
      <c r="J25" s="145">
        <f>VLOOKUP($A25&amp;" NCP",'2017 TEST'!$A$13:$R$274,'2017 TEST'!H$9,FALSE)</f>
        <v>17520.463002891</v>
      </c>
      <c r="K25" s="145">
        <f>VLOOKUP($A25&amp;" NCP",'2017 TEST'!$A$13:$R$274,'2017 TEST'!I$9,FALSE)</f>
        <v>17208.942905055224</v>
      </c>
      <c r="L25" s="145">
        <f>VLOOKUP($A25&amp;" NCP",'2017 TEST'!$A$13:$R$274,'2017 TEST'!J$9,FALSE)</f>
        <v>17321.857737646511</v>
      </c>
      <c r="M25" s="145">
        <f>VLOOKUP($A25&amp;" NCP",'2017 TEST'!$A$13:$R$274,'2017 TEST'!K$9,FALSE)</f>
        <v>17734.266855229602</v>
      </c>
      <c r="N25" s="145">
        <f>VLOOKUP($A25&amp;" NCP",'2017 TEST'!$A$13:$R$274,'2017 TEST'!L$9,FALSE)</f>
        <v>16674.458826114642</v>
      </c>
      <c r="O25" s="145">
        <f>VLOOKUP($A25&amp;" NCP",'2017 TEST'!$A$13:$R$274,'2017 TEST'!M$9,FALSE)</f>
        <v>16812.66722012444</v>
      </c>
      <c r="P25" s="145">
        <f>VLOOKUP($A25&amp;" NCP",'2017 TEST'!$A$13:$R$274,'2017 TEST'!N$9,FALSE)</f>
        <v>17139.444337034918</v>
      </c>
      <c r="Q25" s="240"/>
      <c r="R25" s="240"/>
      <c r="T25" s="206" t="s">
        <v>133</v>
      </c>
      <c r="U25" s="523">
        <v>17282.834545722744</v>
      </c>
      <c r="V25" s="523">
        <v>17596.220364477271</v>
      </c>
      <c r="W25" s="523">
        <v>15702.707558153619</v>
      </c>
      <c r="X25" s="523">
        <v>16241.580726507063</v>
      </c>
      <c r="Y25" s="523">
        <v>16637.102910716356</v>
      </c>
      <c r="Z25" s="523">
        <v>17520.463002891</v>
      </c>
      <c r="AA25" s="523">
        <v>17208.942905055224</v>
      </c>
      <c r="AB25" s="523">
        <v>17321.857737646511</v>
      </c>
      <c r="AC25" s="523">
        <v>17734.266855229602</v>
      </c>
      <c r="AD25" s="523">
        <v>16674.458826114642</v>
      </c>
      <c r="AE25" s="523">
        <v>16812.66722012444</v>
      </c>
      <c r="AF25" s="523">
        <v>17139.444337034918</v>
      </c>
      <c r="AG25"/>
      <c r="AH25" s="526">
        <f t="shared" si="13"/>
        <v>0</v>
      </c>
      <c r="AI25" s="526">
        <f t="shared" si="2"/>
        <v>0</v>
      </c>
      <c r="AJ25" s="526">
        <f t="shared" si="3"/>
        <v>0</v>
      </c>
      <c r="AK25" s="526">
        <f t="shared" si="4"/>
        <v>0</v>
      </c>
      <c r="AL25" s="526">
        <f t="shared" si="5"/>
        <v>0</v>
      </c>
      <c r="AM25" s="526">
        <f t="shared" si="6"/>
        <v>0</v>
      </c>
      <c r="AN25" s="526">
        <f t="shared" si="7"/>
        <v>0</v>
      </c>
      <c r="AO25" s="526">
        <f t="shared" si="8"/>
        <v>0</v>
      </c>
      <c r="AP25" s="526">
        <f t="shared" si="9"/>
        <v>0</v>
      </c>
      <c r="AQ25" s="526">
        <f t="shared" si="10"/>
        <v>0</v>
      </c>
      <c r="AR25" s="526">
        <f t="shared" si="11"/>
        <v>0</v>
      </c>
      <c r="AS25" s="526">
        <f>AF25-P25</f>
        <v>0</v>
      </c>
    </row>
    <row r="26" spans="1:45" s="518" customFormat="1">
      <c r="A26" t="s">
        <v>99</v>
      </c>
      <c r="B26" t="s">
        <v>177</v>
      </c>
      <c r="C26" s="240" t="s">
        <v>1197</v>
      </c>
      <c r="D26" s="240"/>
      <c r="E26" s="230">
        <f>'CILC-1G'!C66</f>
        <v>0.86546100653503988</v>
      </c>
      <c r="F26" s="230">
        <f>'CILC-1G'!D66</f>
        <v>0.86331053432040228</v>
      </c>
      <c r="G26" s="230">
        <f>'CILC-1G'!E66</f>
        <v>0.83839824729032864</v>
      </c>
      <c r="H26" s="230">
        <f>'CILC-1G'!F66</f>
        <v>0.82086523643588549</v>
      </c>
      <c r="I26" s="230">
        <f>'CILC-1G'!G66</f>
        <v>0.80398766307550396</v>
      </c>
      <c r="J26" s="230">
        <f>'CILC-1G'!H66</f>
        <v>0.83499843966909737</v>
      </c>
      <c r="K26" s="230">
        <f>'CILC-1G'!I66</f>
        <v>0.8388647599053547</v>
      </c>
      <c r="L26" s="230">
        <f>'CILC-1G'!J66</f>
        <v>0.81466420628241543</v>
      </c>
      <c r="M26" s="230">
        <f>'CILC-1G'!K66</f>
        <v>0.89987923214683962</v>
      </c>
      <c r="N26" s="230">
        <f>'CILC-1G'!L66</f>
        <v>0.85802845460895216</v>
      </c>
      <c r="O26" s="230">
        <f>'CILC-1G'!M66</f>
        <v>0.89714508894374068</v>
      </c>
      <c r="P26" s="230">
        <f>'CILC-1G'!N66</f>
        <v>0.89211941752681501</v>
      </c>
      <c r="Q26" s="240"/>
      <c r="R26" s="240"/>
      <c r="T26" s="206" t="s">
        <v>1197</v>
      </c>
      <c r="U26" s="524">
        <v>0.86545949779080245</v>
      </c>
      <c r="V26" s="524">
        <v>0.86330730228409669</v>
      </c>
      <c r="W26" s="524">
        <v>0.83840021347909732</v>
      </c>
      <c r="X26" s="524">
        <v>0.82087342611504055</v>
      </c>
      <c r="Y26" s="524">
        <v>0.80397973811373891</v>
      </c>
      <c r="Z26" s="524">
        <v>0.83499720315115156</v>
      </c>
      <c r="AA26" s="524">
        <v>0.83886225130681469</v>
      </c>
      <c r="AB26" s="524">
        <v>0.81466633223305951</v>
      </c>
      <c r="AC26" s="524">
        <v>0.89988055221772689</v>
      </c>
      <c r="AD26" s="524">
        <v>0.8580286916297466</v>
      </c>
      <c r="AE26" s="524">
        <v>0.89714395161315297</v>
      </c>
      <c r="AF26" s="524">
        <v>0.89212009274280502</v>
      </c>
      <c r="AG26"/>
      <c r="AH26" s="526">
        <f t="shared" si="13"/>
        <v>-1.5087442374328575E-6</v>
      </c>
      <c r="AI26" s="526">
        <f t="shared" si="2"/>
        <v>-3.2320363055893253E-6</v>
      </c>
      <c r="AJ26" s="526">
        <f t="shared" si="3"/>
        <v>1.9661887686872603E-6</v>
      </c>
      <c r="AK26" s="526">
        <f t="shared" si="4"/>
        <v>8.1896791550573056E-6</v>
      </c>
      <c r="AL26" s="526">
        <f t="shared" si="5"/>
        <v>-7.9249617650489768E-6</v>
      </c>
      <c r="AM26" s="526">
        <f t="shared" si="6"/>
        <v>-1.2365179458129205E-6</v>
      </c>
      <c r="AN26" s="526">
        <f t="shared" si="7"/>
        <v>-2.5085985400075117E-6</v>
      </c>
      <c r="AO26" s="526">
        <f t="shared" si="8"/>
        <v>2.1259506440829412E-6</v>
      </c>
      <c r="AP26" s="526">
        <f t="shared" si="9"/>
        <v>1.3200708872673772E-6</v>
      </c>
      <c r="AQ26" s="526">
        <f t="shared" si="10"/>
        <v>2.3702079443577162E-7</v>
      </c>
      <c r="AR26" s="526">
        <f t="shared" si="11"/>
        <v>-1.1373305877082629E-6</v>
      </c>
      <c r="AS26" s="526">
        <f t="shared" ref="AS26:AS29" si="14">AF26-P26</f>
        <v>6.7521599000919252E-7</v>
      </c>
    </row>
    <row r="27" spans="1:45" s="518" customFormat="1">
      <c r="A27" t="s">
        <v>99</v>
      </c>
      <c r="B27" t="s">
        <v>177</v>
      </c>
      <c r="C27" s="240" t="s">
        <v>1198</v>
      </c>
      <c r="D27" s="240"/>
      <c r="E27" s="230">
        <f>'CILC-1G'!C67</f>
        <v>0.85069656013047601</v>
      </c>
      <c r="F27" s="230">
        <f>'CILC-1G'!D67</f>
        <v>0.83508360279133698</v>
      </c>
      <c r="G27" s="230">
        <f>'CILC-1G'!E67</f>
        <v>0.83839824729032864</v>
      </c>
      <c r="H27" s="230">
        <f>'CILC-1G'!F67</f>
        <v>0.82086523643588549</v>
      </c>
      <c r="I27" s="230">
        <f>'CILC-1G'!G67</f>
        <v>0.80398766307550396</v>
      </c>
      <c r="J27" s="230">
        <f>'CILC-1G'!H67</f>
        <v>0.83499843966909737</v>
      </c>
      <c r="K27" s="230">
        <f>'CILC-1G'!I67</f>
        <v>0.8388647599053547</v>
      </c>
      <c r="L27" s="230">
        <f>'CILC-1G'!J67</f>
        <v>0.81466420628241543</v>
      </c>
      <c r="M27" s="230">
        <f>'CILC-1G'!K67</f>
        <v>0.84585843544168382</v>
      </c>
      <c r="N27" s="230">
        <f>'CILC-1G'!L67</f>
        <v>0.83665452602677237</v>
      </c>
      <c r="O27" s="230">
        <f>'CILC-1G'!M67</f>
        <v>0.83716347360978971</v>
      </c>
      <c r="P27" s="230">
        <f>'CILC-1G'!N67</f>
        <v>0.84104906100259735</v>
      </c>
      <c r="Q27" s="240"/>
      <c r="R27" s="240"/>
      <c r="T27" s="206" t="s">
        <v>1221</v>
      </c>
      <c r="U27" s="524">
        <v>0.85069656013047601</v>
      </c>
      <c r="V27" s="524">
        <v>0.83508360279133698</v>
      </c>
      <c r="W27" s="524">
        <v>0.83840021347909732</v>
      </c>
      <c r="X27" s="524">
        <v>0.82087342611504055</v>
      </c>
      <c r="Y27" s="524">
        <v>0.80397973811373891</v>
      </c>
      <c r="Z27" s="524">
        <v>0.83499720315115156</v>
      </c>
      <c r="AA27" s="524">
        <v>0.83886225130681469</v>
      </c>
      <c r="AB27" s="524">
        <v>0.81466633223305951</v>
      </c>
      <c r="AC27" s="524">
        <v>0.84585843544168393</v>
      </c>
      <c r="AD27" s="524">
        <v>0.83665452602677226</v>
      </c>
      <c r="AE27" s="524">
        <v>0.8371634736097896</v>
      </c>
      <c r="AF27" s="524">
        <v>0.84104906100259746</v>
      </c>
      <c r="AG27"/>
      <c r="AH27" s="526">
        <f t="shared" si="13"/>
        <v>0</v>
      </c>
      <c r="AI27" s="526">
        <f t="shared" si="2"/>
        <v>0</v>
      </c>
      <c r="AJ27" s="526">
        <f t="shared" si="3"/>
        <v>1.9661887686872603E-6</v>
      </c>
      <c r="AK27" s="526">
        <f t="shared" si="4"/>
        <v>8.1896791550573056E-6</v>
      </c>
      <c r="AL27" s="526">
        <f t="shared" si="5"/>
        <v>-7.9249617650489768E-6</v>
      </c>
      <c r="AM27" s="526">
        <f t="shared" si="6"/>
        <v>-1.2365179458129205E-6</v>
      </c>
      <c r="AN27" s="526">
        <f t="shared" si="7"/>
        <v>-2.5085985400075117E-6</v>
      </c>
      <c r="AO27" s="526">
        <f t="shared" si="8"/>
        <v>2.1259506440829412E-6</v>
      </c>
      <c r="AP27" s="526">
        <f t="shared" si="9"/>
        <v>0</v>
      </c>
      <c r="AQ27" s="526">
        <f t="shared" si="10"/>
        <v>0</v>
      </c>
      <c r="AR27" s="526">
        <f t="shared" si="11"/>
        <v>0</v>
      </c>
      <c r="AS27" s="526">
        <f t="shared" si="14"/>
        <v>0</v>
      </c>
    </row>
    <row r="28" spans="1:45" s="518" customFormat="1">
      <c r="A28" t="s">
        <v>99</v>
      </c>
      <c r="B28" t="s">
        <v>177</v>
      </c>
      <c r="C28" s="240" t="s">
        <v>1199</v>
      </c>
      <c r="D28" s="240"/>
      <c r="E28" s="230">
        <f>'CILC-1G'!C68</f>
        <v>0.68365249494987523</v>
      </c>
      <c r="F28" s="230">
        <f>'CILC-1G'!D68</f>
        <v>0.68521538393539694</v>
      </c>
      <c r="G28" s="230">
        <f>'CILC-1G'!E68</f>
        <v>0.68853100875936502</v>
      </c>
      <c r="H28" s="230">
        <f>'CILC-1G'!F68</f>
        <v>0.69008377802763954</v>
      </c>
      <c r="I28" s="230">
        <f>'CILC-1G'!G68</f>
        <v>0.67566552877684005</v>
      </c>
      <c r="J28" s="230">
        <f>'CILC-1G'!H68</f>
        <v>0.67968880149086353</v>
      </c>
      <c r="K28" s="230">
        <f>'CILC-1G'!I68</f>
        <v>0.68536758346955395</v>
      </c>
      <c r="L28" s="230">
        <f>'CILC-1G'!J68</f>
        <v>0.68277158783748637</v>
      </c>
      <c r="M28" s="230">
        <f>'CILC-1G'!K68</f>
        <v>0.68669207782696862</v>
      </c>
      <c r="N28" s="230">
        <f>'CILC-1G'!L68</f>
        <v>0.68562565940983466</v>
      </c>
      <c r="O28" s="230">
        <f>'CILC-1G'!M68</f>
        <v>0.67693651366098329</v>
      </c>
      <c r="P28" s="230">
        <f>'CILC-1G'!N68</f>
        <v>0.67728471086237918</v>
      </c>
      <c r="Q28" s="240"/>
      <c r="R28" s="240"/>
      <c r="T28" s="206" t="s">
        <v>1199</v>
      </c>
      <c r="U28" s="524">
        <v>0.68365249494987523</v>
      </c>
      <c r="V28" s="524">
        <v>0.68521538393539694</v>
      </c>
      <c r="W28" s="524">
        <v>0.68853100875936502</v>
      </c>
      <c r="X28" s="524">
        <v>0.69008377802763943</v>
      </c>
      <c r="Y28" s="524">
        <v>0.67566552877684005</v>
      </c>
      <c r="Z28" s="524">
        <v>0.67968880149086364</v>
      </c>
      <c r="AA28" s="524">
        <v>0.68536758346955406</v>
      </c>
      <c r="AB28" s="524">
        <v>0.68277158783748626</v>
      </c>
      <c r="AC28" s="524">
        <v>0.68669207782696862</v>
      </c>
      <c r="AD28" s="524">
        <v>0.68562565940983466</v>
      </c>
      <c r="AE28" s="524">
        <v>0.67693651366098317</v>
      </c>
      <c r="AF28" s="524">
        <v>0.67728471086237929</v>
      </c>
      <c r="AG28"/>
      <c r="AH28" s="526">
        <f t="shared" si="13"/>
        <v>0</v>
      </c>
      <c r="AI28" s="526">
        <f t="shared" si="2"/>
        <v>0</v>
      </c>
      <c r="AJ28" s="526">
        <f t="shared" si="3"/>
        <v>0</v>
      </c>
      <c r="AK28" s="526">
        <f t="shared" si="4"/>
        <v>0</v>
      </c>
      <c r="AL28" s="526">
        <f t="shared" si="5"/>
        <v>0</v>
      </c>
      <c r="AM28" s="526">
        <f t="shared" si="6"/>
        <v>0</v>
      </c>
      <c r="AN28" s="526">
        <f t="shared" si="7"/>
        <v>0</v>
      </c>
      <c r="AO28" s="526">
        <f t="shared" si="8"/>
        <v>0</v>
      </c>
      <c r="AP28" s="526">
        <f t="shared" si="9"/>
        <v>0</v>
      </c>
      <c r="AQ28" s="526">
        <f t="shared" si="10"/>
        <v>0</v>
      </c>
      <c r="AR28" s="526">
        <f t="shared" si="11"/>
        <v>0</v>
      </c>
      <c r="AS28" s="526">
        <f t="shared" si="14"/>
        <v>0</v>
      </c>
    </row>
    <row r="29" spans="1:45" s="518" customFormat="1">
      <c r="A29" t="s">
        <v>99</v>
      </c>
      <c r="B29" t="s">
        <v>177</v>
      </c>
      <c r="C29" s="240" t="s">
        <v>1200</v>
      </c>
      <c r="D29" s="240"/>
      <c r="E29" s="145">
        <f>HOURS!$B$19</f>
        <v>744</v>
      </c>
      <c r="F29" s="145">
        <f>HOURS!$C$19</f>
        <v>672</v>
      </c>
      <c r="G29" s="145">
        <f>HOURS!$D$19</f>
        <v>744</v>
      </c>
      <c r="H29" s="145">
        <f>HOURS!$E$19</f>
        <v>720</v>
      </c>
      <c r="I29" s="145">
        <f>HOURS!$F$19</f>
        <v>744</v>
      </c>
      <c r="J29" s="145">
        <f>HOURS!$G$19</f>
        <v>720</v>
      </c>
      <c r="K29" s="145">
        <f>HOURS!$H$19</f>
        <v>744</v>
      </c>
      <c r="L29" s="145">
        <f>HOURS!$I$19</f>
        <v>744</v>
      </c>
      <c r="M29" s="145">
        <f>HOURS!$J$19</f>
        <v>720</v>
      </c>
      <c r="N29" s="145">
        <f>HOURS!$K$19</f>
        <v>744</v>
      </c>
      <c r="O29" s="145">
        <f>HOURS!$L$19</f>
        <v>720</v>
      </c>
      <c r="P29" s="145">
        <f>HOURS!$M$19</f>
        <v>744</v>
      </c>
      <c r="Q29" s="240"/>
      <c r="R29" s="240"/>
      <c r="T29" s="206" t="s">
        <v>1200</v>
      </c>
      <c r="U29" s="523">
        <v>744</v>
      </c>
      <c r="V29" s="523">
        <v>672</v>
      </c>
      <c r="W29" s="523">
        <v>744</v>
      </c>
      <c r="X29" s="523">
        <v>720</v>
      </c>
      <c r="Y29" s="523">
        <v>744</v>
      </c>
      <c r="Z29" s="523">
        <v>720</v>
      </c>
      <c r="AA29" s="523">
        <v>744</v>
      </c>
      <c r="AB29" s="523">
        <v>744</v>
      </c>
      <c r="AC29" s="523">
        <v>720</v>
      </c>
      <c r="AD29" s="523">
        <v>744</v>
      </c>
      <c r="AE29" s="523">
        <v>720</v>
      </c>
      <c r="AF29" s="523">
        <v>744</v>
      </c>
      <c r="AG29"/>
      <c r="AH29" s="526">
        <f t="shared" si="13"/>
        <v>0</v>
      </c>
      <c r="AI29" s="526">
        <f t="shared" si="2"/>
        <v>0</v>
      </c>
      <c r="AJ29" s="526">
        <f t="shared" si="3"/>
        <v>0</v>
      </c>
      <c r="AK29" s="526">
        <f t="shared" si="4"/>
        <v>0</v>
      </c>
      <c r="AL29" s="526">
        <f t="shared" si="5"/>
        <v>0</v>
      </c>
      <c r="AM29" s="526">
        <f t="shared" si="6"/>
        <v>0</v>
      </c>
      <c r="AN29" s="526">
        <f t="shared" si="7"/>
        <v>0</v>
      </c>
      <c r="AO29" s="526">
        <f t="shared" si="8"/>
        <v>0</v>
      </c>
      <c r="AP29" s="526">
        <f t="shared" si="9"/>
        <v>0</v>
      </c>
      <c r="AQ29" s="526">
        <f t="shared" si="10"/>
        <v>0</v>
      </c>
      <c r="AR29" s="526">
        <f t="shared" si="11"/>
        <v>0</v>
      </c>
      <c r="AS29" s="526">
        <f t="shared" si="14"/>
        <v>0</v>
      </c>
    </row>
    <row r="30" spans="1:45">
      <c r="E30" s="145"/>
      <c r="F30" s="145"/>
      <c r="G30" s="145"/>
      <c r="H30" s="145"/>
      <c r="I30" s="145"/>
      <c r="J30" s="145"/>
      <c r="K30" s="145"/>
      <c r="L30" s="145"/>
      <c r="M30" s="145"/>
      <c r="N30" s="145"/>
      <c r="O30" s="145"/>
      <c r="P30" s="145"/>
      <c r="Q30" s="241"/>
      <c r="R30" s="242"/>
      <c r="T30"/>
      <c r="U30"/>
      <c r="V30"/>
      <c r="W30"/>
      <c r="X30"/>
      <c r="Y30"/>
      <c r="Z30"/>
      <c r="AA30"/>
      <c r="AB30"/>
      <c r="AC30"/>
      <c r="AD30"/>
      <c r="AE30"/>
      <c r="AF30"/>
      <c r="AG30"/>
      <c r="AH30" s="526"/>
      <c r="AI30" s="526"/>
      <c r="AJ30" s="526"/>
      <c r="AK30" s="526"/>
      <c r="AL30" s="526"/>
      <c r="AM30" s="526"/>
      <c r="AN30" s="526"/>
      <c r="AO30" s="526"/>
      <c r="AP30" s="526"/>
      <c r="AQ30" s="526"/>
      <c r="AR30" s="526"/>
      <c r="AS30" s="526"/>
    </row>
    <row r="31" spans="1:45">
      <c r="A31" t="s">
        <v>50</v>
      </c>
      <c r="B31" t="s">
        <v>185</v>
      </c>
      <c r="C31" t="s">
        <v>1115</v>
      </c>
      <c r="T31" s="522" t="s">
        <v>1223</v>
      </c>
      <c r="U31" s="523"/>
      <c r="V31" s="523"/>
      <c r="W31" s="523"/>
      <c r="X31" s="523"/>
      <c r="Y31" s="523"/>
      <c r="Z31" s="523"/>
      <c r="AA31" s="523"/>
      <c r="AB31" s="523"/>
      <c r="AC31" s="523"/>
      <c r="AD31" s="523"/>
      <c r="AE31" s="523"/>
      <c r="AF31" s="523"/>
      <c r="AG31"/>
      <c r="AH31" s="526"/>
      <c r="AI31" s="526"/>
      <c r="AJ31" s="526"/>
      <c r="AK31" s="526"/>
      <c r="AL31" s="526"/>
      <c r="AM31" s="526"/>
      <c r="AN31" s="526"/>
      <c r="AO31" s="526"/>
      <c r="AP31" s="526"/>
      <c r="AQ31" s="526"/>
      <c r="AR31" s="526"/>
      <c r="AS31" s="526"/>
    </row>
    <row r="32" spans="1:45" ht="15.6">
      <c r="A32" t="s">
        <v>50</v>
      </c>
      <c r="B32" t="s">
        <v>185</v>
      </c>
      <c r="C32" s="251" t="s">
        <v>1201</v>
      </c>
      <c r="D32" s="251"/>
      <c r="E32" s="145">
        <f>VLOOKUP($A32&amp;" KWH Sales",'2017 TEST'!$A$13:$R$274,'2017 TEST'!C$9,FALSE)/1000</f>
        <v>125750.423</v>
      </c>
      <c r="F32" s="145">
        <f>VLOOKUP($A32&amp;" KWH Sales",'2017 TEST'!$A$13:$R$274,'2017 TEST'!D$9,FALSE)/1000</f>
        <v>117221.965</v>
      </c>
      <c r="G32" s="145">
        <f>VLOOKUP($A32&amp;" KWH Sales",'2017 TEST'!$A$13:$R$274,'2017 TEST'!E$9,FALSE)/1000</f>
        <v>118767.389</v>
      </c>
      <c r="H32" s="145">
        <f>VLOOKUP($A32&amp;" KWH Sales",'2017 TEST'!$A$13:$R$274,'2017 TEST'!F$9,FALSE)/1000</f>
        <v>123452.46</v>
      </c>
      <c r="I32" s="145">
        <f>VLOOKUP($A32&amp;" KWH Sales",'2017 TEST'!$A$13:$R$274,'2017 TEST'!G$9,FALSE)/1000</f>
        <v>122801.452</v>
      </c>
      <c r="J32" s="145">
        <f>VLOOKUP($A32&amp;" KWH Sales",'2017 TEST'!$A$13:$R$274,'2017 TEST'!H$9,FALSE)/1000</f>
        <v>127537.356</v>
      </c>
      <c r="K32" s="145">
        <f>VLOOKUP($A32&amp;" KWH Sales",'2017 TEST'!$A$13:$R$274,'2017 TEST'!I$9,FALSE)/1000</f>
        <v>128193.988</v>
      </c>
      <c r="L32" s="145">
        <f>VLOOKUP($A32&amp;" KWH Sales",'2017 TEST'!$A$13:$R$274,'2017 TEST'!J$9,FALSE)/1000</f>
        <v>127368.72900000001</v>
      </c>
      <c r="M32" s="145">
        <f>VLOOKUP($A32&amp;" KWH Sales",'2017 TEST'!$A$13:$R$274,'2017 TEST'!K$9,FALSE)/1000</f>
        <v>130512.33199999999</v>
      </c>
      <c r="N32" s="145">
        <f>VLOOKUP($A32&amp;" KWH Sales",'2017 TEST'!$A$13:$R$274,'2017 TEST'!L$9,FALSE)/1000</f>
        <v>126790.72199999999</v>
      </c>
      <c r="O32" s="145">
        <f>VLOOKUP($A32&amp;" KWH Sales",'2017 TEST'!$A$13:$R$274,'2017 TEST'!M$9,FALSE)/1000</f>
        <v>129769.17</v>
      </c>
      <c r="P32" s="145">
        <f>VLOOKUP($A32&amp;" KWH Sales",'2017 TEST'!$A$13:$R$274,'2017 TEST'!N$9,FALSE)/1000</f>
        <v>130169.32799999999</v>
      </c>
      <c r="T32" s="206" t="s">
        <v>1261</v>
      </c>
      <c r="U32" s="523">
        <v>125750.423</v>
      </c>
      <c r="V32" s="523">
        <v>117221.965</v>
      </c>
      <c r="W32" s="523">
        <v>118767.389</v>
      </c>
      <c r="X32" s="523">
        <v>123452.46</v>
      </c>
      <c r="Y32" s="523">
        <v>122801.452</v>
      </c>
      <c r="Z32" s="523">
        <v>127537.356</v>
      </c>
      <c r="AA32" s="523">
        <v>128193.988</v>
      </c>
      <c r="AB32" s="523">
        <v>127368.72900000001</v>
      </c>
      <c r="AC32" s="523">
        <v>130512.33199999999</v>
      </c>
      <c r="AD32" s="523">
        <v>126790.72199999999</v>
      </c>
      <c r="AE32" s="523">
        <v>129769.17</v>
      </c>
      <c r="AF32" s="523">
        <v>130169.32799999999</v>
      </c>
      <c r="AG32"/>
      <c r="AH32" s="526">
        <f>U32-E32</f>
        <v>0</v>
      </c>
      <c r="AI32" s="526">
        <f t="shared" ref="AI32:AI39" si="15">V32-F32</f>
        <v>0</v>
      </c>
      <c r="AJ32" s="526">
        <f t="shared" ref="AJ32:AJ39" si="16">W32-G32</f>
        <v>0</v>
      </c>
      <c r="AK32" s="526">
        <f t="shared" ref="AK32:AK39" si="17">X32-H32</f>
        <v>0</v>
      </c>
      <c r="AL32" s="526">
        <f t="shared" ref="AL32:AL39" si="18">Y32-I32</f>
        <v>0</v>
      </c>
      <c r="AM32" s="526">
        <f t="shared" ref="AM32:AM39" si="19">Z32-J32</f>
        <v>0</v>
      </c>
      <c r="AN32" s="526">
        <f t="shared" ref="AN32:AN39" si="20">AA32-K32</f>
        <v>0</v>
      </c>
      <c r="AO32" s="526">
        <f t="shared" ref="AO32:AO39" si="21">AB32-L32</f>
        <v>0</v>
      </c>
      <c r="AP32" s="526">
        <f t="shared" ref="AP32:AP39" si="22">AC32-M32</f>
        <v>0</v>
      </c>
      <c r="AQ32" s="526">
        <f t="shared" ref="AQ32:AQ39" si="23">AD32-N32</f>
        <v>0</v>
      </c>
      <c r="AR32" s="526">
        <f t="shared" ref="AR32:AR39" si="24">AE32-O32</f>
        <v>0</v>
      </c>
      <c r="AS32" s="526">
        <f t="shared" ref="AS32:AS34" si="25">AF32-P32</f>
        <v>0</v>
      </c>
    </row>
    <row r="33" spans="1:45" s="518" customFormat="1">
      <c r="A33" t="s">
        <v>50</v>
      </c>
      <c r="B33" t="s">
        <v>185</v>
      </c>
      <c r="C33" s="240" t="s">
        <v>148</v>
      </c>
      <c r="D33" s="240"/>
      <c r="E33" s="145">
        <f>VLOOKUP($A33&amp;" CP",'2017 TEST'!$A$13:$R$274,'2017 TEST'!C$9,FALSE)</f>
        <v>178847.2601098239</v>
      </c>
      <c r="F33" s="145">
        <f>VLOOKUP($A33&amp;" CP",'2017 TEST'!$A$13:$R$274,'2017 TEST'!D$9,FALSE)</f>
        <v>189732.33528198898</v>
      </c>
      <c r="G33" s="145">
        <f>VLOOKUP($A33&amp;" CP",'2017 TEST'!$A$13:$R$274,'2017 TEST'!E$9,FALSE)</f>
        <v>194425.96339507116</v>
      </c>
      <c r="H33" s="145">
        <f>VLOOKUP($A33&amp;" CP",'2017 TEST'!$A$13:$R$274,'2017 TEST'!F$9,FALSE)</f>
        <v>186008.45398665025</v>
      </c>
      <c r="I33" s="145">
        <f>VLOOKUP($A33&amp;" CP",'2017 TEST'!$A$13:$R$274,'2017 TEST'!G$9,FALSE)</f>
        <v>197021.87838095258</v>
      </c>
      <c r="J33" s="145">
        <f>VLOOKUP($A33&amp;" CP",'2017 TEST'!$A$13:$R$274,'2017 TEST'!H$9,FALSE)</f>
        <v>192145.77024849469</v>
      </c>
      <c r="K33" s="145">
        <f>VLOOKUP($A33&amp;" CP",'2017 TEST'!$A$13:$R$274,'2017 TEST'!I$9,FALSE)</f>
        <v>190790.68636265636</v>
      </c>
      <c r="L33" s="145">
        <f>VLOOKUP($A33&amp;" CP",'2017 TEST'!$A$13:$R$274,'2017 TEST'!J$9,FALSE)</f>
        <v>194012.58544435649</v>
      </c>
      <c r="M33" s="145">
        <f>VLOOKUP($A33&amp;" CP",'2017 TEST'!$A$13:$R$274,'2017 TEST'!K$9,FALSE)</f>
        <v>183900.95405735151</v>
      </c>
      <c r="N33" s="145">
        <f>VLOOKUP($A33&amp;" CP",'2017 TEST'!$A$13:$R$274,'2017 TEST'!L$9,FALSE)</f>
        <v>180860.84249159557</v>
      </c>
      <c r="O33" s="145">
        <f>VLOOKUP($A33&amp;" CP",'2017 TEST'!$A$13:$R$274,'2017 TEST'!M$9,FALSE)</f>
        <v>191816.03131902794</v>
      </c>
      <c r="P33" s="145">
        <f>VLOOKUP($A33&amp;" CP",'2017 TEST'!$A$13:$R$274,'2017 TEST'!N$9,FALSE)</f>
        <v>192914.64874432838</v>
      </c>
      <c r="Q33" s="240"/>
      <c r="R33" s="240"/>
      <c r="T33" s="206" t="s">
        <v>148</v>
      </c>
      <c r="U33" s="523">
        <v>178847.5718887476</v>
      </c>
      <c r="V33" s="523">
        <v>189733.04559087977</v>
      </c>
      <c r="W33" s="523">
        <v>194425.50743827721</v>
      </c>
      <c r="X33" s="523">
        <v>186006.59823918369</v>
      </c>
      <c r="Y33" s="523">
        <v>197023.82043861691</v>
      </c>
      <c r="Z33" s="523">
        <v>192146.05478733478</v>
      </c>
      <c r="AA33" s="523">
        <v>190791.25691186878</v>
      </c>
      <c r="AB33" s="523">
        <v>194012.07915494565</v>
      </c>
      <c r="AC33" s="523">
        <v>183900.68428854764</v>
      </c>
      <c r="AD33" s="523">
        <v>180860.79253127516</v>
      </c>
      <c r="AE33" s="523">
        <v>191816.27448577661</v>
      </c>
      <c r="AF33" s="523">
        <v>192914.50273529801</v>
      </c>
      <c r="AG33"/>
      <c r="AH33" s="526">
        <f t="shared" ref="AH33:AH39" si="26">U33-E33</f>
        <v>0.31177892370033078</v>
      </c>
      <c r="AI33" s="526">
        <f t="shared" si="15"/>
        <v>0.71030889078974724</v>
      </c>
      <c r="AJ33" s="526">
        <f t="shared" si="16"/>
        <v>-0.45595679394318722</v>
      </c>
      <c r="AK33" s="526">
        <f t="shared" si="17"/>
        <v>-1.8557474665576592</v>
      </c>
      <c r="AL33" s="526">
        <f t="shared" si="18"/>
        <v>1.9420576643315144</v>
      </c>
      <c r="AM33" s="526">
        <f t="shared" si="19"/>
        <v>0.28453884008922614</v>
      </c>
      <c r="AN33" s="526">
        <f t="shared" si="20"/>
        <v>0.5705492124252487</v>
      </c>
      <c r="AO33" s="526">
        <f t="shared" si="21"/>
        <v>-0.50628941084141843</v>
      </c>
      <c r="AP33" s="526">
        <f t="shared" si="22"/>
        <v>-0.26976880387519486</v>
      </c>
      <c r="AQ33" s="526">
        <f t="shared" si="23"/>
        <v>-4.9960320407990366E-2</v>
      </c>
      <c r="AR33" s="526">
        <f t="shared" si="24"/>
        <v>0.24316674866713583</v>
      </c>
      <c r="AS33" s="526">
        <f t="shared" si="25"/>
        <v>-0.14600903037353419</v>
      </c>
    </row>
    <row r="34" spans="1:45" s="518" customFormat="1">
      <c r="A34" t="s">
        <v>50</v>
      </c>
      <c r="B34" t="s">
        <v>185</v>
      </c>
      <c r="C34" s="240" t="s">
        <v>147</v>
      </c>
      <c r="D34" s="240"/>
      <c r="E34" s="145">
        <f>VLOOKUP($A34&amp;" GNCP",'2017 TEST'!$A$13:$R$274,'2017 TEST'!C$9,FALSE)</f>
        <v>197531.78586438962</v>
      </c>
      <c r="F34" s="145">
        <f>VLOOKUP($A34&amp;" GNCP",'2017 TEST'!$A$13:$R$274,'2017 TEST'!D$9,FALSE)</f>
        <v>208367.105216803</v>
      </c>
      <c r="G34" s="145">
        <f>VLOOKUP($A34&amp;" GNCP",'2017 TEST'!$A$13:$R$274,'2017 TEST'!E$9,FALSE)</f>
        <v>194425.96339507116</v>
      </c>
      <c r="H34" s="145">
        <f>VLOOKUP($A34&amp;" GNCP",'2017 TEST'!$A$13:$R$274,'2017 TEST'!F$9,FALSE)</f>
        <v>198616.4804224238</v>
      </c>
      <c r="I34" s="145">
        <f>VLOOKUP($A34&amp;" GNCP",'2017 TEST'!$A$13:$R$274,'2017 TEST'!G$9,FALSE)</f>
        <v>197021.87838095258</v>
      </c>
      <c r="J34" s="145">
        <f>VLOOKUP($A34&amp;" GNCP",'2017 TEST'!$A$13:$R$274,'2017 TEST'!H$9,FALSE)</f>
        <v>205530.62516474395</v>
      </c>
      <c r="K34" s="145">
        <f>VLOOKUP($A34&amp;" GNCP",'2017 TEST'!$A$13:$R$274,'2017 TEST'!I$9,FALSE)</f>
        <v>200006.71315031929</v>
      </c>
      <c r="L34" s="145">
        <f>VLOOKUP($A34&amp;" GNCP",'2017 TEST'!$A$13:$R$274,'2017 TEST'!J$9,FALSE)</f>
        <v>197283.62826070774</v>
      </c>
      <c r="M34" s="145">
        <f>VLOOKUP($A34&amp;" GNCP",'2017 TEST'!$A$13:$R$274,'2017 TEST'!K$9,FALSE)</f>
        <v>215869.608656397</v>
      </c>
      <c r="N34" s="145">
        <f>VLOOKUP($A34&amp;" GNCP",'2017 TEST'!$A$13:$R$274,'2017 TEST'!L$9,FALSE)</f>
        <v>200288.62506937026</v>
      </c>
      <c r="O34" s="145">
        <f>VLOOKUP($A34&amp;" GNCP",'2017 TEST'!$A$13:$R$274,'2017 TEST'!M$9,FALSE)</f>
        <v>212999.08518869491</v>
      </c>
      <c r="P34" s="145">
        <f>VLOOKUP($A34&amp;" GNCP",'2017 TEST'!$A$13:$R$274,'2017 TEST'!N$9,FALSE)</f>
        <v>208406.66961784184</v>
      </c>
      <c r="Q34" s="240"/>
      <c r="R34" s="240"/>
      <c r="T34" s="206" t="s">
        <v>342</v>
      </c>
      <c r="U34" s="523">
        <v>197531.78586438962</v>
      </c>
      <c r="V34" s="523">
        <v>208367.105216803</v>
      </c>
      <c r="W34" s="523">
        <v>194425.50743827721</v>
      </c>
      <c r="X34" s="523">
        <v>198616.4804224238</v>
      </c>
      <c r="Y34" s="523">
        <v>197023.82043861691</v>
      </c>
      <c r="Z34" s="523">
        <v>205530.62516474395</v>
      </c>
      <c r="AA34" s="523">
        <v>200006.71315031929</v>
      </c>
      <c r="AB34" s="523">
        <v>197283.62826070774</v>
      </c>
      <c r="AC34" s="523">
        <v>215869.608656397</v>
      </c>
      <c r="AD34" s="523">
        <v>200288.62506937026</v>
      </c>
      <c r="AE34" s="523">
        <v>212999.08518869491</v>
      </c>
      <c r="AF34" s="523">
        <v>208406.66961784184</v>
      </c>
      <c r="AG34"/>
      <c r="AH34" s="526">
        <f t="shared" si="26"/>
        <v>0</v>
      </c>
      <c r="AI34" s="526">
        <f t="shared" si="15"/>
        <v>0</v>
      </c>
      <c r="AJ34" s="526">
        <f t="shared" si="16"/>
        <v>-0.45595679394318722</v>
      </c>
      <c r="AK34" s="526">
        <f t="shared" si="17"/>
        <v>0</v>
      </c>
      <c r="AL34" s="526">
        <f t="shared" si="18"/>
        <v>1.9420576643315144</v>
      </c>
      <c r="AM34" s="526">
        <f t="shared" si="19"/>
        <v>0</v>
      </c>
      <c r="AN34" s="526">
        <f t="shared" si="20"/>
        <v>0</v>
      </c>
      <c r="AO34" s="526">
        <f t="shared" si="21"/>
        <v>0</v>
      </c>
      <c r="AP34" s="526">
        <f t="shared" si="22"/>
        <v>0</v>
      </c>
      <c r="AQ34" s="526">
        <f t="shared" si="23"/>
        <v>0</v>
      </c>
      <c r="AR34" s="526">
        <f t="shared" si="24"/>
        <v>0</v>
      </c>
      <c r="AS34" s="526">
        <f t="shared" si="25"/>
        <v>0</v>
      </c>
    </row>
    <row r="35" spans="1:45" s="518" customFormat="1">
      <c r="A35" t="s">
        <v>50</v>
      </c>
      <c r="B35" t="s">
        <v>185</v>
      </c>
      <c r="C35" s="240" t="s">
        <v>133</v>
      </c>
      <c r="D35" s="240"/>
      <c r="E35" s="145">
        <f>VLOOKUP($A35&amp;" NCP",'2017 TEST'!$A$13:$R$274,'2017 TEST'!C$9,FALSE)</f>
        <v>228933.21533313606</v>
      </c>
      <c r="F35" s="145">
        <f>VLOOKUP($A35&amp;" NCP",'2017 TEST'!$A$13:$R$274,'2017 TEST'!D$9,FALSE)</f>
        <v>242387.91869907276</v>
      </c>
      <c r="G35" s="145">
        <f>VLOOKUP($A35&amp;" NCP",'2017 TEST'!$A$13:$R$274,'2017 TEST'!E$9,FALSE)</f>
        <v>222089.05574353845</v>
      </c>
      <c r="H35" s="145">
        <f>VLOOKUP($A35&amp;" NCP",'2017 TEST'!$A$13:$R$274,'2017 TEST'!F$9,FALSE)</f>
        <v>230730.948406432</v>
      </c>
      <c r="I35" s="145">
        <f>VLOOKUP($A35&amp;" NCP",'2017 TEST'!$A$13:$R$274,'2017 TEST'!G$9,FALSE)</f>
        <v>218425.85194730497</v>
      </c>
      <c r="J35" s="145">
        <f>VLOOKUP($A35&amp;" NCP",'2017 TEST'!$A$13:$R$274,'2017 TEST'!H$9,FALSE)</f>
        <v>241521.38111059309</v>
      </c>
      <c r="K35" s="145">
        <f>VLOOKUP($A35&amp;" NCP",'2017 TEST'!$A$13:$R$274,'2017 TEST'!I$9,FALSE)</f>
        <v>231568.84282359079</v>
      </c>
      <c r="L35" s="145">
        <f>VLOOKUP($A35&amp;" NCP",'2017 TEST'!$A$13:$R$274,'2017 TEST'!J$9,FALSE)</f>
        <v>227643.11582501823</v>
      </c>
      <c r="M35" s="145">
        <f>VLOOKUP($A35&amp;" NCP",'2017 TEST'!$A$13:$R$274,'2017 TEST'!K$9,FALSE)</f>
        <v>249350.39315840468</v>
      </c>
      <c r="N35" s="145">
        <f>VLOOKUP($A35&amp;" NCP",'2017 TEST'!$A$13:$R$274,'2017 TEST'!L$9,FALSE)</f>
        <v>229519.27714811172</v>
      </c>
      <c r="O35" s="145">
        <f>VLOOKUP($A35&amp;" NCP",'2017 TEST'!$A$13:$R$274,'2017 TEST'!M$9,FALSE)</f>
        <v>246171.72360688169</v>
      </c>
      <c r="P35" s="145">
        <f>VLOOKUP($A35&amp;" NCP",'2017 TEST'!$A$13:$R$274,'2017 TEST'!N$9,FALSE)</f>
        <v>235858.97955450081</v>
      </c>
      <c r="Q35" s="240"/>
      <c r="R35" s="240"/>
      <c r="T35" s="206" t="s">
        <v>133</v>
      </c>
      <c r="U35" s="523">
        <v>228933.21533313606</v>
      </c>
      <c r="V35" s="523">
        <v>242387.91869907276</v>
      </c>
      <c r="W35" s="523">
        <v>222089.05574353845</v>
      </c>
      <c r="X35" s="523">
        <v>230730.948406432</v>
      </c>
      <c r="Y35" s="523">
        <v>218425.85194730497</v>
      </c>
      <c r="Z35" s="523">
        <v>241521.38111059309</v>
      </c>
      <c r="AA35" s="523">
        <v>231568.84282359079</v>
      </c>
      <c r="AB35" s="523">
        <v>227643.11582501823</v>
      </c>
      <c r="AC35" s="523">
        <v>249350.39315840468</v>
      </c>
      <c r="AD35" s="523">
        <v>229519.27714811172</v>
      </c>
      <c r="AE35" s="523">
        <v>246171.72360688169</v>
      </c>
      <c r="AF35" s="523">
        <v>235858.97955450081</v>
      </c>
      <c r="AG35"/>
      <c r="AH35" s="526">
        <f t="shared" si="26"/>
        <v>0</v>
      </c>
      <c r="AI35" s="526">
        <f t="shared" si="15"/>
        <v>0</v>
      </c>
      <c r="AJ35" s="526">
        <f t="shared" si="16"/>
        <v>0</v>
      </c>
      <c r="AK35" s="526">
        <f t="shared" si="17"/>
        <v>0</v>
      </c>
      <c r="AL35" s="526">
        <f t="shared" si="18"/>
        <v>0</v>
      </c>
      <c r="AM35" s="526">
        <f t="shared" si="19"/>
        <v>0</v>
      </c>
      <c r="AN35" s="526">
        <f t="shared" si="20"/>
        <v>0</v>
      </c>
      <c r="AO35" s="526">
        <f t="shared" si="21"/>
        <v>0</v>
      </c>
      <c r="AP35" s="526">
        <f t="shared" si="22"/>
        <v>0</v>
      </c>
      <c r="AQ35" s="526">
        <f t="shared" si="23"/>
        <v>0</v>
      </c>
      <c r="AR35" s="526">
        <f t="shared" si="24"/>
        <v>0</v>
      </c>
      <c r="AS35" s="526">
        <f>AF35-P35</f>
        <v>0</v>
      </c>
    </row>
    <row r="36" spans="1:45" s="518" customFormat="1">
      <c r="A36" t="s">
        <v>50</v>
      </c>
      <c r="B36" t="s">
        <v>185</v>
      </c>
      <c r="C36" s="240" t="s">
        <v>1197</v>
      </c>
      <c r="D36" s="240"/>
      <c r="E36" s="230">
        <f>'CILC-1T'!C66</f>
        <v>0.94504878435878314</v>
      </c>
      <c r="F36" s="230">
        <f>'CILC-1T'!D66</f>
        <v>0.91938702834922492</v>
      </c>
      <c r="G36" s="230">
        <f>'CILC-1T'!E66</f>
        <v>0.82105077211945154</v>
      </c>
      <c r="H36" s="230">
        <f>'CILC-1T'!F66</f>
        <v>0.92179546856674455</v>
      </c>
      <c r="I36" s="230">
        <f>'CILC-1T'!G66</f>
        <v>0.83775323030175963</v>
      </c>
      <c r="J36" s="230">
        <f>'CILC-1T'!H66</f>
        <v>0.92187934419573514</v>
      </c>
      <c r="K36" s="230">
        <f>'CILC-1T'!I66</f>
        <v>0.9031035560316174</v>
      </c>
      <c r="L36" s="230">
        <f>'CILC-1T'!J66</f>
        <v>0.88238877820070938</v>
      </c>
      <c r="M36" s="230">
        <f>'CILC-1T'!K66</f>
        <v>0.98567801731603666</v>
      </c>
      <c r="N36" s="230">
        <f>'CILC-1T'!L66</f>
        <v>0.94225833933452641</v>
      </c>
      <c r="O36" s="230">
        <f>'CILC-1T'!M66</f>
        <v>0.93962406110658714</v>
      </c>
      <c r="P36" s="230">
        <f>'CILC-1T'!N66</f>
        <v>0.90692321880347671</v>
      </c>
      <c r="Q36" s="240"/>
      <c r="R36" s="240"/>
      <c r="T36" s="206" t="s">
        <v>1197</v>
      </c>
      <c r="U36" s="524">
        <v>0.94504713688719755</v>
      </c>
      <c r="V36" s="524">
        <v>0.91938358641438278</v>
      </c>
      <c r="W36" s="524">
        <v>0.82105269760588917</v>
      </c>
      <c r="X36" s="524">
        <v>0.92180466512010162</v>
      </c>
      <c r="Y36" s="524">
        <v>0.8377449725942494</v>
      </c>
      <c r="Z36" s="524">
        <v>0.92187797903380353</v>
      </c>
      <c r="AA36" s="524">
        <v>0.90310085535743034</v>
      </c>
      <c r="AB36" s="524">
        <v>0.88239108086194884</v>
      </c>
      <c r="AC36" s="524">
        <v>0.98567946323333033</v>
      </c>
      <c r="AD36" s="524">
        <v>0.94225859962050573</v>
      </c>
      <c r="AE36" s="524">
        <v>0.9396228699390049</v>
      </c>
      <c r="AF36" s="524">
        <v>0.9069239052162551</v>
      </c>
      <c r="AG36"/>
      <c r="AH36" s="526">
        <f t="shared" si="26"/>
        <v>-1.6474715855974154E-6</v>
      </c>
      <c r="AI36" s="526">
        <f t="shared" si="15"/>
        <v>-3.4419348421410589E-6</v>
      </c>
      <c r="AJ36" s="526">
        <f t="shared" si="16"/>
        <v>1.9254864376261338E-6</v>
      </c>
      <c r="AK36" s="526">
        <f t="shared" si="17"/>
        <v>9.1965533570714797E-6</v>
      </c>
      <c r="AL36" s="526">
        <f t="shared" si="18"/>
        <v>-8.2577075102285846E-6</v>
      </c>
      <c r="AM36" s="526">
        <f t="shared" si="19"/>
        <v>-1.3651619316101815E-6</v>
      </c>
      <c r="AN36" s="526">
        <f t="shared" si="20"/>
        <v>-2.700674187061658E-6</v>
      </c>
      <c r="AO36" s="526">
        <f t="shared" si="21"/>
        <v>2.3026612394616564E-6</v>
      </c>
      <c r="AP36" s="526">
        <f t="shared" si="22"/>
        <v>1.4459172936742704E-6</v>
      </c>
      <c r="AQ36" s="526">
        <f t="shared" si="23"/>
        <v>2.6028597932548081E-7</v>
      </c>
      <c r="AR36" s="526">
        <f t="shared" si="24"/>
        <v>-1.1911675822373624E-6</v>
      </c>
      <c r="AS36" s="526">
        <f t="shared" ref="AS36:AS39" si="27">AF36-P36</f>
        <v>6.8641277839454062E-7</v>
      </c>
    </row>
    <row r="37" spans="1:45" s="518" customFormat="1">
      <c r="A37" t="s">
        <v>50</v>
      </c>
      <c r="B37" t="s">
        <v>185</v>
      </c>
      <c r="C37" s="240" t="s">
        <v>1198</v>
      </c>
      <c r="D37" s="240"/>
      <c r="E37" s="230">
        <f>'CILC-1T'!C67</f>
        <v>0.85565664793171103</v>
      </c>
      <c r="F37" s="230">
        <f>'CILC-1T'!D67</f>
        <v>0.83716404148902002</v>
      </c>
      <c r="G37" s="230">
        <f>'CILC-1T'!E67</f>
        <v>0.82105077211945154</v>
      </c>
      <c r="H37" s="230">
        <f>'CILC-1T'!F67</f>
        <v>0.86328057790234591</v>
      </c>
      <c r="I37" s="230">
        <f>'CILC-1T'!G67</f>
        <v>0.83775323030175963</v>
      </c>
      <c r="J37" s="230">
        <f>'CILC-1T'!H67</f>
        <v>0.86184341883202653</v>
      </c>
      <c r="K37" s="230">
        <f>'CILC-1T'!I67</f>
        <v>0.86148982000583862</v>
      </c>
      <c r="L37" s="230">
        <f>'CILC-1T'!J67</f>
        <v>0.86775841328087866</v>
      </c>
      <c r="M37" s="230">
        <f>'CILC-1T'!K67</f>
        <v>0.8397065659497418</v>
      </c>
      <c r="N37" s="230">
        <f>'CILC-1T'!L67</f>
        <v>0.85086028743644215</v>
      </c>
      <c r="O37" s="230">
        <f>'CILC-1T'!M67</f>
        <v>0.84617714753875128</v>
      </c>
      <c r="P37" s="230">
        <f>'CILC-1T'!N67</f>
        <v>0.83950659791441751</v>
      </c>
      <c r="Q37" s="240"/>
      <c r="R37" s="240"/>
      <c r="T37" s="206" t="s">
        <v>1221</v>
      </c>
      <c r="U37" s="524">
        <v>0.85565664793171103</v>
      </c>
      <c r="V37" s="524">
        <v>0.83716404148901991</v>
      </c>
      <c r="W37" s="524">
        <v>0.82105269760588917</v>
      </c>
      <c r="X37" s="524">
        <v>0.86328057790234591</v>
      </c>
      <c r="Y37" s="524">
        <v>0.8377449725942494</v>
      </c>
      <c r="Z37" s="524">
        <v>0.86184341883202664</v>
      </c>
      <c r="AA37" s="524">
        <v>0.86148982000583851</v>
      </c>
      <c r="AB37" s="524">
        <v>0.86775841328087866</v>
      </c>
      <c r="AC37" s="524">
        <v>0.8397065659497418</v>
      </c>
      <c r="AD37" s="524">
        <v>0.85086028743644215</v>
      </c>
      <c r="AE37" s="524">
        <v>0.84617714753875117</v>
      </c>
      <c r="AF37" s="524">
        <v>0.83950659791441751</v>
      </c>
      <c r="AG37"/>
      <c r="AH37" s="526">
        <f t="shared" si="26"/>
        <v>0</v>
      </c>
      <c r="AI37" s="526">
        <f t="shared" si="15"/>
        <v>0</v>
      </c>
      <c r="AJ37" s="526">
        <f t="shared" si="16"/>
        <v>1.9254864376261338E-6</v>
      </c>
      <c r="AK37" s="526">
        <f t="shared" si="17"/>
        <v>0</v>
      </c>
      <c r="AL37" s="526">
        <f t="shared" si="18"/>
        <v>-8.2577075102285846E-6</v>
      </c>
      <c r="AM37" s="526">
        <f t="shared" si="19"/>
        <v>0</v>
      </c>
      <c r="AN37" s="526">
        <f t="shared" si="20"/>
        <v>0</v>
      </c>
      <c r="AO37" s="526">
        <f t="shared" si="21"/>
        <v>0</v>
      </c>
      <c r="AP37" s="526">
        <f t="shared" si="22"/>
        <v>0</v>
      </c>
      <c r="AQ37" s="526">
        <f t="shared" si="23"/>
        <v>0</v>
      </c>
      <c r="AR37" s="526">
        <f t="shared" si="24"/>
        <v>0</v>
      </c>
      <c r="AS37" s="526">
        <f t="shared" si="27"/>
        <v>0</v>
      </c>
    </row>
    <row r="38" spans="1:45" s="518" customFormat="1">
      <c r="A38" t="s">
        <v>50</v>
      </c>
      <c r="B38" t="s">
        <v>185</v>
      </c>
      <c r="C38" s="240" t="s">
        <v>1199</v>
      </c>
      <c r="D38" s="240"/>
      <c r="E38" s="230">
        <f>'CILC-1T'!C68</f>
        <v>0.73829123269306607</v>
      </c>
      <c r="F38" s="230">
        <f>'CILC-1T'!D68</f>
        <v>0.71966230352112825</v>
      </c>
      <c r="G38" s="230">
        <f>'CILC-1T'!E68</f>
        <v>0.71878187257426729</v>
      </c>
      <c r="H38" s="230">
        <f>'CILC-1T'!F68</f>
        <v>0.74312419371661642</v>
      </c>
      <c r="I38" s="230">
        <f>'CILC-1T'!G68</f>
        <v>0.75566016376844891</v>
      </c>
      <c r="J38" s="230">
        <f>'CILC-1T'!H68</f>
        <v>0.73341422549068702</v>
      </c>
      <c r="K38" s="230">
        <f>'CILC-1T'!I68</f>
        <v>0.74407137510761323</v>
      </c>
      <c r="L38" s="230">
        <f>'CILC-1T'!J68</f>
        <v>0.75203033311755429</v>
      </c>
      <c r="M38" s="230">
        <f>'CILC-1T'!K68</f>
        <v>0.72695745726225636</v>
      </c>
      <c r="N38" s="230">
        <f>'CILC-1T'!L68</f>
        <v>0.74249814313767426</v>
      </c>
      <c r="O38" s="230">
        <f>'CILC-1T'!M68</f>
        <v>0.73215134416150673</v>
      </c>
      <c r="P38" s="230">
        <f>'CILC-1T'!N68</f>
        <v>0.74179399285122416</v>
      </c>
      <c r="Q38" s="240"/>
      <c r="R38" s="240"/>
      <c r="T38" s="206" t="s">
        <v>1199</v>
      </c>
      <c r="U38" s="524">
        <v>0.73829123269306607</v>
      </c>
      <c r="V38" s="524">
        <v>0.71966230352112814</v>
      </c>
      <c r="W38" s="524">
        <v>0.71878187257426718</v>
      </c>
      <c r="X38" s="524">
        <v>0.74312419371661642</v>
      </c>
      <c r="Y38" s="524">
        <v>0.75566016376844891</v>
      </c>
      <c r="Z38" s="524">
        <v>0.73341422549068702</v>
      </c>
      <c r="AA38" s="524">
        <v>0.74407137510761312</v>
      </c>
      <c r="AB38" s="524">
        <v>0.75203033311755441</v>
      </c>
      <c r="AC38" s="524">
        <v>0.72695745726225625</v>
      </c>
      <c r="AD38" s="524">
        <v>0.74249814313767415</v>
      </c>
      <c r="AE38" s="524">
        <v>0.73215134416150673</v>
      </c>
      <c r="AF38" s="524">
        <v>0.74179399285122416</v>
      </c>
      <c r="AG38"/>
      <c r="AH38" s="526">
        <f t="shared" si="26"/>
        <v>0</v>
      </c>
      <c r="AI38" s="526">
        <f t="shared" si="15"/>
        <v>0</v>
      </c>
      <c r="AJ38" s="526">
        <f t="shared" si="16"/>
        <v>0</v>
      </c>
      <c r="AK38" s="526">
        <f t="shared" si="17"/>
        <v>0</v>
      </c>
      <c r="AL38" s="526">
        <f t="shared" si="18"/>
        <v>0</v>
      </c>
      <c r="AM38" s="526">
        <f t="shared" si="19"/>
        <v>0</v>
      </c>
      <c r="AN38" s="526">
        <f t="shared" si="20"/>
        <v>0</v>
      </c>
      <c r="AO38" s="526">
        <f t="shared" si="21"/>
        <v>0</v>
      </c>
      <c r="AP38" s="526">
        <f t="shared" si="22"/>
        <v>0</v>
      </c>
      <c r="AQ38" s="526">
        <f t="shared" si="23"/>
        <v>0</v>
      </c>
      <c r="AR38" s="526">
        <f t="shared" si="24"/>
        <v>0</v>
      </c>
      <c r="AS38" s="526">
        <f t="shared" si="27"/>
        <v>0</v>
      </c>
    </row>
    <row r="39" spans="1:45" s="518" customFormat="1">
      <c r="A39" t="s">
        <v>50</v>
      </c>
      <c r="B39" t="s">
        <v>185</v>
      </c>
      <c r="C39" s="240" t="s">
        <v>1200</v>
      </c>
      <c r="D39" s="240"/>
      <c r="E39" s="145">
        <f>HOURS!$B$19</f>
        <v>744</v>
      </c>
      <c r="F39" s="145">
        <f>HOURS!$C$19</f>
        <v>672</v>
      </c>
      <c r="G39" s="145">
        <f>HOURS!$D$19</f>
        <v>744</v>
      </c>
      <c r="H39" s="145">
        <f>HOURS!$E$19</f>
        <v>720</v>
      </c>
      <c r="I39" s="145">
        <f>HOURS!$F$19</f>
        <v>744</v>
      </c>
      <c r="J39" s="145">
        <f>HOURS!$G$19</f>
        <v>720</v>
      </c>
      <c r="K39" s="145">
        <f>HOURS!$H$19</f>
        <v>744</v>
      </c>
      <c r="L39" s="145">
        <f>HOURS!$I$19</f>
        <v>744</v>
      </c>
      <c r="M39" s="145">
        <f>HOURS!$J$19</f>
        <v>720</v>
      </c>
      <c r="N39" s="145">
        <f>HOURS!$K$19</f>
        <v>744</v>
      </c>
      <c r="O39" s="145">
        <f>HOURS!$L$19</f>
        <v>720</v>
      </c>
      <c r="P39" s="145">
        <f>HOURS!$M$19</f>
        <v>744</v>
      </c>
      <c r="Q39" s="240"/>
      <c r="R39" s="240"/>
      <c r="T39" s="206" t="s">
        <v>1200</v>
      </c>
      <c r="U39" s="523">
        <v>744</v>
      </c>
      <c r="V39" s="523">
        <v>672</v>
      </c>
      <c r="W39" s="523">
        <v>744</v>
      </c>
      <c r="X39" s="523">
        <v>720</v>
      </c>
      <c r="Y39" s="523">
        <v>744</v>
      </c>
      <c r="Z39" s="523">
        <v>720</v>
      </c>
      <c r="AA39" s="523">
        <v>744</v>
      </c>
      <c r="AB39" s="523">
        <v>744</v>
      </c>
      <c r="AC39" s="523">
        <v>720</v>
      </c>
      <c r="AD39" s="523">
        <v>744</v>
      </c>
      <c r="AE39" s="523">
        <v>720</v>
      </c>
      <c r="AF39" s="523">
        <v>744</v>
      </c>
      <c r="AG39"/>
      <c r="AH39" s="526">
        <f t="shared" si="26"/>
        <v>0</v>
      </c>
      <c r="AI39" s="526">
        <f t="shared" si="15"/>
        <v>0</v>
      </c>
      <c r="AJ39" s="526">
        <f t="shared" si="16"/>
        <v>0</v>
      </c>
      <c r="AK39" s="526">
        <f t="shared" si="17"/>
        <v>0</v>
      </c>
      <c r="AL39" s="526">
        <f t="shared" si="18"/>
        <v>0</v>
      </c>
      <c r="AM39" s="526">
        <f t="shared" si="19"/>
        <v>0</v>
      </c>
      <c r="AN39" s="526">
        <f t="shared" si="20"/>
        <v>0</v>
      </c>
      <c r="AO39" s="526">
        <f t="shared" si="21"/>
        <v>0</v>
      </c>
      <c r="AP39" s="526">
        <f t="shared" si="22"/>
        <v>0</v>
      </c>
      <c r="AQ39" s="526">
        <f t="shared" si="23"/>
        <v>0</v>
      </c>
      <c r="AR39" s="526">
        <f t="shared" si="24"/>
        <v>0</v>
      </c>
      <c r="AS39" s="526">
        <f t="shared" si="27"/>
        <v>0</v>
      </c>
    </row>
    <row r="40" spans="1:45">
      <c r="E40" s="241"/>
      <c r="F40" s="241"/>
      <c r="G40" s="241"/>
      <c r="H40" s="241"/>
      <c r="I40" s="241"/>
      <c r="J40" s="241"/>
      <c r="K40" s="241"/>
      <c r="L40" s="241"/>
      <c r="M40" s="241"/>
      <c r="N40" s="241"/>
      <c r="O40" s="241"/>
      <c r="P40" s="241"/>
      <c r="Q40" s="241"/>
      <c r="R40" s="242"/>
      <c r="T40"/>
      <c r="U40"/>
      <c r="V40"/>
      <c r="W40"/>
      <c r="X40"/>
      <c r="Y40"/>
      <c r="Z40"/>
      <c r="AA40"/>
      <c r="AB40"/>
      <c r="AC40"/>
      <c r="AD40"/>
      <c r="AE40"/>
      <c r="AF40"/>
      <c r="AG40"/>
      <c r="AH40" s="526"/>
      <c r="AI40" s="526"/>
      <c r="AJ40" s="526"/>
      <c r="AK40" s="526"/>
      <c r="AL40" s="526"/>
      <c r="AM40" s="526"/>
      <c r="AN40" s="526"/>
      <c r="AO40" s="526"/>
      <c r="AP40" s="526"/>
      <c r="AQ40" s="526"/>
      <c r="AR40" s="526"/>
      <c r="AS40" s="526"/>
    </row>
    <row r="41" spans="1:45">
      <c r="A41" t="s">
        <v>49</v>
      </c>
      <c r="B41" t="s">
        <v>632</v>
      </c>
      <c r="C41" t="s">
        <v>1113</v>
      </c>
      <c r="T41" s="522" t="s">
        <v>1224</v>
      </c>
      <c r="U41" s="523"/>
      <c r="V41" s="523"/>
      <c r="W41" s="523"/>
      <c r="X41" s="523"/>
      <c r="Y41" s="523"/>
      <c r="Z41" s="523"/>
      <c r="AA41" s="523"/>
      <c r="AB41" s="523"/>
      <c r="AC41" s="523"/>
      <c r="AD41" s="523"/>
      <c r="AE41" s="523"/>
      <c r="AF41" s="523"/>
      <c r="AG41"/>
      <c r="AH41" s="526"/>
      <c r="AI41" s="526"/>
      <c r="AJ41" s="526"/>
      <c r="AK41" s="526"/>
      <c r="AL41" s="526"/>
      <c r="AM41" s="526"/>
      <c r="AN41" s="526"/>
      <c r="AO41" s="526"/>
      <c r="AP41" s="526"/>
      <c r="AQ41" s="526"/>
      <c r="AR41" s="526"/>
      <c r="AS41" s="526"/>
    </row>
    <row r="42" spans="1:45" ht="15.6">
      <c r="A42" t="s">
        <v>49</v>
      </c>
      <c r="B42" t="s">
        <v>632</v>
      </c>
      <c r="C42" s="251" t="s">
        <v>1201</v>
      </c>
      <c r="D42" s="251"/>
      <c r="E42" s="145">
        <f>VLOOKUP($A42&amp;" KWH Sales",'2017 TEST'!$A$13:$R$274,'2017 TEST'!C$9,FALSE)/1000</f>
        <v>474037.478</v>
      </c>
      <c r="F42" s="145">
        <f>VLOOKUP($A42&amp;" KWH Sales",'2017 TEST'!$A$13:$R$274,'2017 TEST'!D$9,FALSE)/1000</f>
        <v>421493.31900000002</v>
      </c>
      <c r="G42" s="145">
        <f>VLOOKUP($A42&amp;" KWH Sales",'2017 TEST'!$A$13:$R$274,'2017 TEST'!E$9,FALSE)/1000</f>
        <v>436128.45400000003</v>
      </c>
      <c r="H42" s="145">
        <f>VLOOKUP($A42&amp;" KWH Sales",'2017 TEST'!$A$13:$R$274,'2017 TEST'!F$9,FALSE)/1000</f>
        <v>452175.04100000003</v>
      </c>
      <c r="I42" s="145">
        <f>VLOOKUP($A42&amp;" KWH Sales",'2017 TEST'!$A$13:$R$274,'2017 TEST'!G$9,FALSE)/1000</f>
        <v>505437.20799999998</v>
      </c>
      <c r="J42" s="145">
        <f>VLOOKUP($A42&amp;" KWH Sales",'2017 TEST'!$A$13:$R$274,'2017 TEST'!H$9,FALSE)/1000</f>
        <v>540809.61699999997</v>
      </c>
      <c r="K42" s="145">
        <f>VLOOKUP($A42&amp;" KWH Sales",'2017 TEST'!$A$13:$R$274,'2017 TEST'!I$9,FALSE)/1000</f>
        <v>570905.18400000001</v>
      </c>
      <c r="L42" s="145">
        <f>VLOOKUP($A42&amp;" KWH Sales",'2017 TEST'!$A$13:$R$274,'2017 TEST'!J$9,FALSE)/1000</f>
        <v>571130.87399999995</v>
      </c>
      <c r="M42" s="145">
        <f>VLOOKUP($A42&amp;" KWH Sales",'2017 TEST'!$A$13:$R$274,'2017 TEST'!K$9,FALSE)/1000</f>
        <v>555576.89500000002</v>
      </c>
      <c r="N42" s="145">
        <f>VLOOKUP($A42&amp;" KWH Sales",'2017 TEST'!$A$13:$R$274,'2017 TEST'!L$9,FALSE)/1000</f>
        <v>515188.641</v>
      </c>
      <c r="O42" s="145">
        <f>VLOOKUP($A42&amp;" KWH Sales",'2017 TEST'!$A$13:$R$274,'2017 TEST'!M$9,FALSE)/1000</f>
        <v>464021.20199999999</v>
      </c>
      <c r="P42" s="145">
        <f>VLOOKUP($A42&amp;" KWH Sales",'2017 TEST'!$A$13:$R$274,'2017 TEST'!N$9,FALSE)/1000</f>
        <v>461888.20899999997</v>
      </c>
      <c r="T42" s="206" t="s">
        <v>1261</v>
      </c>
      <c r="U42" s="523">
        <v>474037.478</v>
      </c>
      <c r="V42" s="523">
        <v>421493.31900000002</v>
      </c>
      <c r="W42" s="523">
        <v>436128.45400000003</v>
      </c>
      <c r="X42" s="523">
        <v>452175.04100000003</v>
      </c>
      <c r="Y42" s="523">
        <v>505437.20799999998</v>
      </c>
      <c r="Z42" s="523">
        <v>540809.61699999997</v>
      </c>
      <c r="AA42" s="523">
        <v>570905.18400000001</v>
      </c>
      <c r="AB42" s="523">
        <v>571130.87399999995</v>
      </c>
      <c r="AC42" s="523">
        <v>555576.89500000002</v>
      </c>
      <c r="AD42" s="523">
        <v>515188.641</v>
      </c>
      <c r="AE42" s="523">
        <v>464021.20199999999</v>
      </c>
      <c r="AF42" s="523">
        <v>461888.20899999997</v>
      </c>
      <c r="AG42"/>
      <c r="AH42" s="526">
        <f>U42-E42</f>
        <v>0</v>
      </c>
      <c r="AI42" s="526">
        <f t="shared" ref="AI42:AI49" si="28">V42-F42</f>
        <v>0</v>
      </c>
      <c r="AJ42" s="526">
        <f t="shared" ref="AJ42:AJ49" si="29">W42-G42</f>
        <v>0</v>
      </c>
      <c r="AK42" s="526">
        <f t="shared" ref="AK42:AK49" si="30">X42-H42</f>
        <v>0</v>
      </c>
      <c r="AL42" s="526">
        <f t="shared" ref="AL42:AL49" si="31">Y42-I42</f>
        <v>0</v>
      </c>
      <c r="AM42" s="526">
        <f t="shared" ref="AM42:AM49" si="32">Z42-J42</f>
        <v>0</v>
      </c>
      <c r="AN42" s="526">
        <f t="shared" ref="AN42:AN49" si="33">AA42-K42</f>
        <v>0</v>
      </c>
      <c r="AO42" s="526">
        <f t="shared" ref="AO42:AO49" si="34">AB42-L42</f>
        <v>0</v>
      </c>
      <c r="AP42" s="526">
        <f t="shared" ref="AP42:AP49" si="35">AC42-M42</f>
        <v>0</v>
      </c>
      <c r="AQ42" s="526">
        <f t="shared" ref="AQ42:AQ49" si="36">AD42-N42</f>
        <v>0</v>
      </c>
      <c r="AR42" s="526">
        <f t="shared" ref="AR42:AR49" si="37">AE42-O42</f>
        <v>0</v>
      </c>
      <c r="AS42" s="526">
        <f t="shared" ref="AS42:AS44" si="38">AF42-P42</f>
        <v>0</v>
      </c>
    </row>
    <row r="43" spans="1:45" s="518" customFormat="1">
      <c r="A43" t="s">
        <v>49</v>
      </c>
      <c r="B43" t="s">
        <v>632</v>
      </c>
      <c r="C43" s="240" t="s">
        <v>148</v>
      </c>
      <c r="D43" s="240"/>
      <c r="E43" s="145">
        <f>VLOOKUP($A43&amp;" CP",'2017 TEST'!$A$13:$R$274,'2017 TEST'!C$9,FALSE)</f>
        <v>690874.0856189474</v>
      </c>
      <c r="F43" s="145">
        <f>VLOOKUP($A43&amp;" CP",'2017 TEST'!$A$13:$R$274,'2017 TEST'!D$9,FALSE)</f>
        <v>1032435.2478433686</v>
      </c>
      <c r="G43" s="145">
        <f>VLOOKUP($A43&amp;" CP",'2017 TEST'!$A$13:$R$274,'2017 TEST'!E$9,FALSE)</f>
        <v>674749.89799366985</v>
      </c>
      <c r="H43" s="145">
        <f>VLOOKUP($A43&amp;" CP",'2017 TEST'!$A$13:$R$274,'2017 TEST'!F$9,FALSE)</f>
        <v>1046339.897575738</v>
      </c>
      <c r="I43" s="145">
        <f>VLOOKUP($A43&amp;" CP",'2017 TEST'!$A$13:$R$274,'2017 TEST'!G$9,FALSE)</f>
        <v>1148792.0451476327</v>
      </c>
      <c r="J43" s="145">
        <f>VLOOKUP($A43&amp;" CP",'2017 TEST'!$A$13:$R$274,'2017 TEST'!H$9,FALSE)</f>
        <v>1285830.723460472</v>
      </c>
      <c r="K43" s="145">
        <f>VLOOKUP($A43&amp;" CP",'2017 TEST'!$A$13:$R$274,'2017 TEST'!I$9,FALSE)</f>
        <v>1277840.4318736196</v>
      </c>
      <c r="L43" s="145">
        <f>VLOOKUP($A43&amp;" CP",'2017 TEST'!$A$13:$R$274,'2017 TEST'!J$9,FALSE)</f>
        <v>1302483.2359596684</v>
      </c>
      <c r="M43" s="145">
        <f>VLOOKUP($A43&amp;" CP",'2017 TEST'!$A$13:$R$274,'2017 TEST'!K$9,FALSE)</f>
        <v>1151450.1952714974</v>
      </c>
      <c r="N43" s="145">
        <f>VLOOKUP($A43&amp;" CP",'2017 TEST'!$A$13:$R$274,'2017 TEST'!L$9,FALSE)</f>
        <v>1106355.7830160926</v>
      </c>
      <c r="O43" s="145">
        <f>VLOOKUP($A43&amp;" CP",'2017 TEST'!$A$13:$R$274,'2017 TEST'!M$9,FALSE)</f>
        <v>1005807.8886286853</v>
      </c>
      <c r="P43" s="145">
        <f>VLOOKUP($A43&amp;" CP",'2017 TEST'!$A$13:$R$274,'2017 TEST'!N$9,FALSE)</f>
        <v>896019.50969358871</v>
      </c>
      <c r="Q43" s="240"/>
      <c r="R43" s="240"/>
      <c r="T43" s="206" t="s">
        <v>148</v>
      </c>
      <c r="U43" s="523">
        <v>690875.28999621875</v>
      </c>
      <c r="V43" s="523">
        <v>1032439.1130103485</v>
      </c>
      <c r="W43" s="523">
        <v>674748.31560555182</v>
      </c>
      <c r="X43" s="523">
        <v>1046329.458570048</v>
      </c>
      <c r="Y43" s="523">
        <v>1148803.3688626925</v>
      </c>
      <c r="Z43" s="523">
        <v>1285832.6275773267</v>
      </c>
      <c r="AA43" s="523">
        <v>1277844.253182265</v>
      </c>
      <c r="AB43" s="523">
        <v>1302479.8370345766</v>
      </c>
      <c r="AC43" s="523">
        <v>1151448.5061775241</v>
      </c>
      <c r="AD43" s="523">
        <v>1106355.4773969501</v>
      </c>
      <c r="AE43" s="523">
        <v>1005809.1636956387</v>
      </c>
      <c r="AF43" s="523">
        <v>896018.83153389127</v>
      </c>
      <c r="AG43"/>
      <c r="AH43" s="526">
        <f t="shared" ref="AH43:AH49" si="39">U43-E43</f>
        <v>1.2043772713514045</v>
      </c>
      <c r="AI43" s="526">
        <f t="shared" si="28"/>
        <v>3.8651669799583033</v>
      </c>
      <c r="AJ43" s="526">
        <f t="shared" si="29"/>
        <v>-1.5823881180258468</v>
      </c>
      <c r="AK43" s="526">
        <f t="shared" si="30"/>
        <v>-10.439005690044723</v>
      </c>
      <c r="AL43" s="526">
        <f t="shared" si="31"/>
        <v>11.323715059785172</v>
      </c>
      <c r="AM43" s="526">
        <f t="shared" si="32"/>
        <v>1.9041168547701091</v>
      </c>
      <c r="AN43" s="526">
        <f t="shared" si="33"/>
        <v>3.8213086454197764</v>
      </c>
      <c r="AO43" s="526">
        <f t="shared" si="34"/>
        <v>-3.3989250918384641</v>
      </c>
      <c r="AP43" s="526">
        <f t="shared" si="35"/>
        <v>-1.6890939732547849</v>
      </c>
      <c r="AQ43" s="526">
        <f t="shared" si="36"/>
        <v>-0.30561914248391986</v>
      </c>
      <c r="AR43" s="526">
        <f t="shared" si="37"/>
        <v>1.2750669533852488</v>
      </c>
      <c r="AS43" s="526">
        <f t="shared" si="38"/>
        <v>-0.67815969744697213</v>
      </c>
    </row>
    <row r="44" spans="1:45" s="518" customFormat="1">
      <c r="A44" t="s">
        <v>49</v>
      </c>
      <c r="B44" t="s">
        <v>632</v>
      </c>
      <c r="C44" s="240" t="s">
        <v>147</v>
      </c>
      <c r="D44" s="240"/>
      <c r="E44" s="145">
        <f>VLOOKUP($A44&amp;" GNCP",'2017 TEST'!$A$13:$R$274,'2017 TEST'!C$9,FALSE)</f>
        <v>1035356.6217146016</v>
      </c>
      <c r="F44" s="145">
        <f>VLOOKUP($A44&amp;" GNCP",'2017 TEST'!$A$13:$R$274,'2017 TEST'!D$9,FALSE)</f>
        <v>1043251.4460692422</v>
      </c>
      <c r="G44" s="145">
        <f>VLOOKUP($A44&amp;" GNCP",'2017 TEST'!$A$13:$R$274,'2017 TEST'!E$9,FALSE)</f>
        <v>944414.92815516086</v>
      </c>
      <c r="H44" s="145">
        <f>VLOOKUP($A44&amp;" GNCP",'2017 TEST'!$A$13:$R$274,'2017 TEST'!F$9,FALSE)</f>
        <v>1089943.3578611384</v>
      </c>
      <c r="I44" s="145">
        <f>VLOOKUP($A44&amp;" GNCP",'2017 TEST'!$A$13:$R$274,'2017 TEST'!G$9,FALSE)</f>
        <v>1148792.0451476327</v>
      </c>
      <c r="J44" s="145">
        <f>VLOOKUP($A44&amp;" GNCP",'2017 TEST'!$A$13:$R$274,'2017 TEST'!H$9,FALSE)</f>
        <v>1285830.723460472</v>
      </c>
      <c r="K44" s="145">
        <f>VLOOKUP($A44&amp;" GNCP",'2017 TEST'!$A$13:$R$274,'2017 TEST'!I$9,FALSE)</f>
        <v>1277840.4318736196</v>
      </c>
      <c r="L44" s="145">
        <f>VLOOKUP($A44&amp;" GNCP",'2017 TEST'!$A$13:$R$274,'2017 TEST'!J$9,FALSE)</f>
        <v>1302483.2359596684</v>
      </c>
      <c r="M44" s="145">
        <f>VLOOKUP($A44&amp;" GNCP",'2017 TEST'!$A$13:$R$274,'2017 TEST'!K$9,FALSE)</f>
        <v>1300772.3928079293</v>
      </c>
      <c r="N44" s="145">
        <f>VLOOKUP($A44&amp;" GNCP",'2017 TEST'!$A$13:$R$274,'2017 TEST'!L$9,FALSE)</f>
        <v>1185969.3143891741</v>
      </c>
      <c r="O44" s="145">
        <f>VLOOKUP($A44&amp;" GNCP",'2017 TEST'!$A$13:$R$274,'2017 TEST'!M$9,FALSE)</f>
        <v>1101525.7809872732</v>
      </c>
      <c r="P44" s="145">
        <f>VLOOKUP($A44&amp;" GNCP",'2017 TEST'!$A$13:$R$274,'2017 TEST'!N$9,FALSE)</f>
        <v>1050205.8245858378</v>
      </c>
      <c r="Q44" s="240"/>
      <c r="R44" s="240"/>
      <c r="T44" s="206" t="s">
        <v>342</v>
      </c>
      <c r="U44" s="523">
        <v>1035356.6217146016</v>
      </c>
      <c r="V44" s="523">
        <v>1043251.4460692422</v>
      </c>
      <c r="W44" s="523">
        <v>944414.92815516086</v>
      </c>
      <c r="X44" s="523">
        <v>1089943.3578611384</v>
      </c>
      <c r="Y44" s="523">
        <v>1148803.3688626925</v>
      </c>
      <c r="Z44" s="523">
        <v>1285832.6275773267</v>
      </c>
      <c r="AA44" s="523">
        <v>1277844.253182265</v>
      </c>
      <c r="AB44" s="523">
        <v>1302479.8370345766</v>
      </c>
      <c r="AC44" s="523">
        <v>1300772.3928079293</v>
      </c>
      <c r="AD44" s="523">
        <v>1185969.3143891741</v>
      </c>
      <c r="AE44" s="523">
        <v>1101525.7809872732</v>
      </c>
      <c r="AF44" s="523">
        <v>1050205.8245858378</v>
      </c>
      <c r="AG44"/>
      <c r="AH44" s="526">
        <f t="shared" si="39"/>
        <v>0</v>
      </c>
      <c r="AI44" s="526">
        <f t="shared" si="28"/>
        <v>0</v>
      </c>
      <c r="AJ44" s="526">
        <f t="shared" si="29"/>
        <v>0</v>
      </c>
      <c r="AK44" s="526">
        <f t="shared" si="30"/>
        <v>0</v>
      </c>
      <c r="AL44" s="526">
        <f t="shared" si="31"/>
        <v>11.323715059785172</v>
      </c>
      <c r="AM44" s="526">
        <f t="shared" si="32"/>
        <v>1.9041168547701091</v>
      </c>
      <c r="AN44" s="526">
        <f t="shared" si="33"/>
        <v>3.8213086454197764</v>
      </c>
      <c r="AO44" s="526">
        <f t="shared" si="34"/>
        <v>-3.3989250918384641</v>
      </c>
      <c r="AP44" s="526">
        <f t="shared" si="35"/>
        <v>0</v>
      </c>
      <c r="AQ44" s="526">
        <f t="shared" si="36"/>
        <v>0</v>
      </c>
      <c r="AR44" s="526">
        <f t="shared" si="37"/>
        <v>0</v>
      </c>
      <c r="AS44" s="526">
        <f t="shared" si="38"/>
        <v>0</v>
      </c>
    </row>
    <row r="45" spans="1:45" s="518" customFormat="1">
      <c r="A45" t="s">
        <v>49</v>
      </c>
      <c r="B45" t="s">
        <v>632</v>
      </c>
      <c r="C45" s="240" t="s">
        <v>133</v>
      </c>
      <c r="D45" s="240"/>
      <c r="E45" s="145">
        <f>VLOOKUP($A45&amp;" NCP",'2017 TEST'!$A$13:$R$274,'2017 TEST'!C$9,FALSE)</f>
        <v>2109951.0515894201</v>
      </c>
      <c r="F45" s="145">
        <f>VLOOKUP($A45&amp;" NCP",'2017 TEST'!$A$13:$R$274,'2017 TEST'!D$9,FALSE)</f>
        <v>1984682.9736098244</v>
      </c>
      <c r="G45" s="145">
        <f>VLOOKUP($A45&amp;" NCP",'2017 TEST'!$A$13:$R$274,'2017 TEST'!E$9,FALSE)</f>
        <v>1839956.6340179285</v>
      </c>
      <c r="H45" s="145">
        <f>VLOOKUP($A45&amp;" NCP",'2017 TEST'!$A$13:$R$274,'2017 TEST'!F$9,FALSE)</f>
        <v>1848986.7097845688</v>
      </c>
      <c r="I45" s="145">
        <f>VLOOKUP($A45&amp;" NCP",'2017 TEST'!$A$13:$R$274,'2017 TEST'!G$9,FALSE)</f>
        <v>1928490.0783310693</v>
      </c>
      <c r="J45" s="145">
        <f>VLOOKUP($A45&amp;" NCP",'2017 TEST'!$A$13:$R$274,'2017 TEST'!H$9,FALSE)</f>
        <v>2103521.8359939246</v>
      </c>
      <c r="K45" s="145">
        <f>VLOOKUP($A45&amp;" NCP",'2017 TEST'!$A$13:$R$274,'2017 TEST'!I$9,FALSE)</f>
        <v>2072248.3596219746</v>
      </c>
      <c r="L45" s="145">
        <f>VLOOKUP($A45&amp;" NCP",'2017 TEST'!$A$13:$R$274,'2017 TEST'!J$9,FALSE)</f>
        <v>2043890.106807213</v>
      </c>
      <c r="M45" s="145">
        <f>VLOOKUP($A45&amp;" NCP",'2017 TEST'!$A$13:$R$274,'2017 TEST'!K$9,FALSE)</f>
        <v>2146000.5103850211</v>
      </c>
      <c r="N45" s="145">
        <f>VLOOKUP($A45&amp;" NCP",'2017 TEST'!$A$13:$R$274,'2017 TEST'!L$9,FALSE)</f>
        <v>1999008.9527433044</v>
      </c>
      <c r="O45" s="145">
        <f>VLOOKUP($A45&amp;" NCP",'2017 TEST'!$A$13:$R$274,'2017 TEST'!M$9,FALSE)</f>
        <v>2044494.6187718154</v>
      </c>
      <c r="P45" s="145">
        <f>VLOOKUP($A45&amp;" NCP",'2017 TEST'!$A$13:$R$274,'2017 TEST'!N$9,FALSE)</f>
        <v>1993855.7786780596</v>
      </c>
      <c r="Q45" s="240"/>
      <c r="R45" s="240"/>
      <c r="T45" s="206" t="s">
        <v>133</v>
      </c>
      <c r="U45" s="523">
        <v>2109951.0515894201</v>
      </c>
      <c r="V45" s="523">
        <v>1984682.9736098244</v>
      </c>
      <c r="W45" s="523">
        <v>1839956.6340179285</v>
      </c>
      <c r="X45" s="523">
        <v>1848986.7097845688</v>
      </c>
      <c r="Y45" s="523">
        <v>1928490.0783310693</v>
      </c>
      <c r="Z45" s="523">
        <v>2103521.8359939246</v>
      </c>
      <c r="AA45" s="523">
        <v>2072248.3596219746</v>
      </c>
      <c r="AB45" s="523">
        <v>2043890.106807213</v>
      </c>
      <c r="AC45" s="523">
        <v>2146000.5103850211</v>
      </c>
      <c r="AD45" s="523">
        <v>1999008.9527433044</v>
      </c>
      <c r="AE45" s="523">
        <v>2044494.6187718154</v>
      </c>
      <c r="AF45" s="523">
        <v>1993855.7786780596</v>
      </c>
      <c r="AG45"/>
      <c r="AH45" s="526">
        <f t="shared" si="39"/>
        <v>0</v>
      </c>
      <c r="AI45" s="526">
        <f t="shared" si="28"/>
        <v>0</v>
      </c>
      <c r="AJ45" s="526">
        <f t="shared" si="29"/>
        <v>0</v>
      </c>
      <c r="AK45" s="526">
        <f t="shared" si="30"/>
        <v>0</v>
      </c>
      <c r="AL45" s="526">
        <f t="shared" si="31"/>
        <v>0</v>
      </c>
      <c r="AM45" s="526">
        <f t="shared" si="32"/>
        <v>0</v>
      </c>
      <c r="AN45" s="526">
        <f t="shared" si="33"/>
        <v>0</v>
      </c>
      <c r="AO45" s="526">
        <f t="shared" si="34"/>
        <v>0</v>
      </c>
      <c r="AP45" s="526">
        <f t="shared" si="35"/>
        <v>0</v>
      </c>
      <c r="AQ45" s="526">
        <f t="shared" si="36"/>
        <v>0</v>
      </c>
      <c r="AR45" s="526">
        <f t="shared" si="37"/>
        <v>0</v>
      </c>
      <c r="AS45" s="526">
        <f>AF45-P45</f>
        <v>0</v>
      </c>
    </row>
    <row r="46" spans="1:45" s="518" customFormat="1">
      <c r="A46" t="s">
        <v>49</v>
      </c>
      <c r="B46" t="s">
        <v>632</v>
      </c>
      <c r="C46" s="240" t="s">
        <v>1197</v>
      </c>
      <c r="D46" s="240"/>
      <c r="E46" s="230">
        <f>'GS(T)-1'!C67</f>
        <v>0.92223338682424072</v>
      </c>
      <c r="F46" s="230">
        <f>'GS(T)-1'!D67</f>
        <v>0.60751722900109029</v>
      </c>
      <c r="G46" s="230">
        <f>'GS(T)-1'!E67</f>
        <v>0.86875768391394392</v>
      </c>
      <c r="H46" s="230">
        <f>'GS(T)-1'!F67</f>
        <v>0.60020734345774029</v>
      </c>
      <c r="I46" s="230">
        <f>'GS(T)-1'!G67</f>
        <v>0.59136123799865026</v>
      </c>
      <c r="J46" s="230">
        <f>'GS(T)-1'!H67</f>
        <v>0.58415501694819016</v>
      </c>
      <c r="K46" s="230">
        <f>'GS(T)-1'!I67</f>
        <v>0.60050195492268355</v>
      </c>
      <c r="L46" s="230">
        <f>'GS(T)-1'!J67</f>
        <v>0.58937343913524176</v>
      </c>
      <c r="M46" s="230">
        <f>'GS(T)-1'!K67</f>
        <v>0.6701415133347971</v>
      </c>
      <c r="N46" s="230">
        <f>'GS(T)-1'!L67</f>
        <v>0.62589075000693462</v>
      </c>
      <c r="O46" s="230">
        <f>'GS(T)-1'!M67</f>
        <v>0.64075247266686286</v>
      </c>
      <c r="P46" s="230">
        <f>'GS(T)-1'!N67</f>
        <v>0.69286157109163216</v>
      </c>
      <c r="Q46" s="240"/>
      <c r="R46" s="240"/>
      <c r="T46" s="206" t="s">
        <v>1197</v>
      </c>
      <c r="U46" s="524">
        <v>0.92223177912897936</v>
      </c>
      <c r="V46" s="524">
        <v>0.60751495462432192</v>
      </c>
      <c r="W46" s="524">
        <v>0.86875972128373746</v>
      </c>
      <c r="X46" s="524">
        <v>0.6002133315983037</v>
      </c>
      <c r="Y46" s="524">
        <v>0.59135540897138761</v>
      </c>
      <c r="Z46" s="524">
        <v>0.58415415190604558</v>
      </c>
      <c r="AA46" s="524">
        <v>0.60050015916134081</v>
      </c>
      <c r="AB46" s="524">
        <v>0.58937497715227194</v>
      </c>
      <c r="AC46" s="524">
        <v>0.67014249638526391</v>
      </c>
      <c r="AD46" s="524">
        <v>0.62589092290271553</v>
      </c>
      <c r="AE46" s="524">
        <v>0.64075166038324816</v>
      </c>
      <c r="AF46" s="524">
        <v>0.69286209548997824</v>
      </c>
      <c r="AG46"/>
      <c r="AH46" s="526">
        <f t="shared" si="39"/>
        <v>-1.6076952613630624E-6</v>
      </c>
      <c r="AI46" s="526">
        <f t="shared" si="28"/>
        <v>-2.2743767683630622E-6</v>
      </c>
      <c r="AJ46" s="526">
        <f t="shared" si="29"/>
        <v>2.0373697935394119E-6</v>
      </c>
      <c r="AK46" s="526">
        <f t="shared" si="30"/>
        <v>5.9881405634065743E-6</v>
      </c>
      <c r="AL46" s="526">
        <f t="shared" si="31"/>
        <v>-5.8290272626493334E-6</v>
      </c>
      <c r="AM46" s="526">
        <f t="shared" si="32"/>
        <v>-8.6504214458216211E-7</v>
      </c>
      <c r="AN46" s="526">
        <f t="shared" si="33"/>
        <v>-1.7957613427377339E-6</v>
      </c>
      <c r="AO46" s="526">
        <f t="shared" si="34"/>
        <v>1.5380170301781959E-6</v>
      </c>
      <c r="AP46" s="526">
        <f t="shared" si="35"/>
        <v>9.8305046680735586E-7</v>
      </c>
      <c r="AQ46" s="526">
        <f t="shared" si="36"/>
        <v>1.7289578091439495E-7</v>
      </c>
      <c r="AR46" s="526">
        <f t="shared" si="37"/>
        <v>-8.1228361470397914E-7</v>
      </c>
      <c r="AS46" s="526">
        <f t="shared" ref="AS46:AS49" si="40">AF46-P46</f>
        <v>5.243983460800905E-7</v>
      </c>
    </row>
    <row r="47" spans="1:45" s="518" customFormat="1">
      <c r="A47" t="s">
        <v>49</v>
      </c>
      <c r="B47" t="s">
        <v>632</v>
      </c>
      <c r="C47" s="240" t="s">
        <v>1198</v>
      </c>
      <c r="D47" s="240"/>
      <c r="E47" s="230">
        <f>'GS(T)-1'!C68</f>
        <v>0.61538906931827531</v>
      </c>
      <c r="F47" s="230">
        <f>'GS(T)-1'!D68</f>
        <v>0.60121862591813502</v>
      </c>
      <c r="G47" s="230">
        <f>'GS(T)-1'!E68</f>
        <v>0.62069556624569033</v>
      </c>
      <c r="H47" s="230">
        <f>'GS(T)-1'!F68</f>
        <v>0.57619589655574499</v>
      </c>
      <c r="I47" s="230">
        <f>'GS(T)-1'!G68</f>
        <v>0.59136123799865026</v>
      </c>
      <c r="J47" s="230">
        <f>'GS(T)-1'!H68</f>
        <v>0.58415501694819016</v>
      </c>
      <c r="K47" s="230">
        <f>'GS(T)-1'!I68</f>
        <v>0.60050195492268355</v>
      </c>
      <c r="L47" s="230">
        <f>'GS(T)-1'!J68</f>
        <v>0.58937343913524176</v>
      </c>
      <c r="M47" s="230">
        <f>'GS(T)-1'!K68</f>
        <v>0.59321260249319241</v>
      </c>
      <c r="N47" s="230">
        <f>'GS(T)-1'!L68</f>
        <v>0.58387501464411629</v>
      </c>
      <c r="O47" s="230">
        <f>'GS(T)-1'!M68</f>
        <v>0.58507381560242655</v>
      </c>
      <c r="P47" s="230">
        <f>'GS(T)-1'!N68</f>
        <v>0.59113887076362504</v>
      </c>
      <c r="Q47" s="240"/>
      <c r="R47" s="240"/>
      <c r="T47" s="206" t="s">
        <v>1221</v>
      </c>
      <c r="U47" s="524">
        <v>0.61538906931827531</v>
      </c>
      <c r="V47" s="524">
        <v>0.60121862591813502</v>
      </c>
      <c r="W47" s="524">
        <v>0.62069556624569033</v>
      </c>
      <c r="X47" s="524">
        <v>0.57619589655574499</v>
      </c>
      <c r="Y47" s="524">
        <v>0.59135540897138761</v>
      </c>
      <c r="Z47" s="524">
        <v>0.58415415190604558</v>
      </c>
      <c r="AA47" s="524">
        <v>0.60050015916134081</v>
      </c>
      <c r="AB47" s="524">
        <v>0.58937497715227194</v>
      </c>
      <c r="AC47" s="524">
        <v>0.59321260249319241</v>
      </c>
      <c r="AD47" s="524">
        <v>0.58387501464411629</v>
      </c>
      <c r="AE47" s="524">
        <v>0.58507381560242644</v>
      </c>
      <c r="AF47" s="524">
        <v>0.59113887076362492</v>
      </c>
      <c r="AG47"/>
      <c r="AH47" s="526">
        <f t="shared" si="39"/>
        <v>0</v>
      </c>
      <c r="AI47" s="526">
        <f t="shared" si="28"/>
        <v>0</v>
      </c>
      <c r="AJ47" s="526">
        <f t="shared" si="29"/>
        <v>0</v>
      </c>
      <c r="AK47" s="526">
        <f t="shared" si="30"/>
        <v>0</v>
      </c>
      <c r="AL47" s="526">
        <f t="shared" si="31"/>
        <v>-5.8290272626493334E-6</v>
      </c>
      <c r="AM47" s="526">
        <f t="shared" si="32"/>
        <v>-8.6504214458216211E-7</v>
      </c>
      <c r="AN47" s="526">
        <f t="shared" si="33"/>
        <v>-1.7957613427377339E-6</v>
      </c>
      <c r="AO47" s="526">
        <f t="shared" si="34"/>
        <v>1.5380170301781959E-6</v>
      </c>
      <c r="AP47" s="526">
        <f t="shared" si="35"/>
        <v>0</v>
      </c>
      <c r="AQ47" s="526">
        <f t="shared" si="36"/>
        <v>0</v>
      </c>
      <c r="AR47" s="526">
        <f t="shared" si="37"/>
        <v>0</v>
      </c>
      <c r="AS47" s="526">
        <f t="shared" si="40"/>
        <v>0</v>
      </c>
    </row>
    <row r="48" spans="1:45" s="518" customFormat="1">
      <c r="A48" t="s">
        <v>49</v>
      </c>
      <c r="B48" t="s">
        <v>632</v>
      </c>
      <c r="C48" s="240" t="s">
        <v>1199</v>
      </c>
      <c r="D48" s="240"/>
      <c r="E48" s="230">
        <f>'GS(T)-1'!C69</f>
        <v>0.30197247816223094</v>
      </c>
      <c r="F48" s="230">
        <f>'GS(T)-1'!D69</f>
        <v>0.31603143133335759</v>
      </c>
      <c r="G48" s="230">
        <f>'GS(T)-1'!E69</f>
        <v>0.31859129055779617</v>
      </c>
      <c r="H48" s="230">
        <f>'GS(T)-1'!F69</f>
        <v>0.33965678982676434</v>
      </c>
      <c r="I48" s="230">
        <f>'GS(T)-1'!G69</f>
        <v>0.3522709780334578</v>
      </c>
      <c r="J48" s="230">
        <f>'GS(T)-1'!H69</f>
        <v>0.35707947272182489</v>
      </c>
      <c r="K48" s="230">
        <f>'GS(T)-1'!I69</f>
        <v>0.37029619246958223</v>
      </c>
      <c r="L48" s="230">
        <f>'GS(T)-1'!J69</f>
        <v>0.37558233763981702</v>
      </c>
      <c r="M48" s="230">
        <f>'GS(T)-1'!K69</f>
        <v>0.3595686826050416</v>
      </c>
      <c r="N48" s="230">
        <f>'GS(T)-1'!L69</f>
        <v>0.34640057507304778</v>
      </c>
      <c r="O48" s="230">
        <f>'GS(T)-1'!M69</f>
        <v>0.3152240586741285</v>
      </c>
      <c r="P48" s="230">
        <f>'GS(T)-1'!N69</f>
        <v>0.31136529123819584</v>
      </c>
      <c r="Q48" s="240"/>
      <c r="R48" s="240"/>
      <c r="T48" s="206" t="s">
        <v>1199</v>
      </c>
      <c r="U48" s="524">
        <v>0.30197247816223094</v>
      </c>
      <c r="V48" s="524">
        <v>0.31603143133335759</v>
      </c>
      <c r="W48" s="524">
        <v>0.31859129055779623</v>
      </c>
      <c r="X48" s="524">
        <v>0.33965678982676434</v>
      </c>
      <c r="Y48" s="524">
        <v>0.3522709780334578</v>
      </c>
      <c r="Z48" s="524">
        <v>0.35707947272182483</v>
      </c>
      <c r="AA48" s="524">
        <v>0.37029619246958223</v>
      </c>
      <c r="AB48" s="524">
        <v>0.37558233763981702</v>
      </c>
      <c r="AC48" s="524">
        <v>0.3595686826050416</v>
      </c>
      <c r="AD48" s="524">
        <v>0.34640057507304772</v>
      </c>
      <c r="AE48" s="524">
        <v>0.31522405867412845</v>
      </c>
      <c r="AF48" s="524">
        <v>0.31136529123819578</v>
      </c>
      <c r="AG48"/>
      <c r="AH48" s="526">
        <f t="shared" si="39"/>
        <v>0</v>
      </c>
      <c r="AI48" s="526">
        <f t="shared" si="28"/>
        <v>0</v>
      </c>
      <c r="AJ48" s="526">
        <f t="shared" si="29"/>
        <v>0</v>
      </c>
      <c r="AK48" s="526">
        <f t="shared" si="30"/>
        <v>0</v>
      </c>
      <c r="AL48" s="526">
        <f t="shared" si="31"/>
        <v>0</v>
      </c>
      <c r="AM48" s="526">
        <f t="shared" si="32"/>
        <v>0</v>
      </c>
      <c r="AN48" s="526">
        <f t="shared" si="33"/>
        <v>0</v>
      </c>
      <c r="AO48" s="526">
        <f t="shared" si="34"/>
        <v>0</v>
      </c>
      <c r="AP48" s="526">
        <f t="shared" si="35"/>
        <v>0</v>
      </c>
      <c r="AQ48" s="526">
        <f t="shared" si="36"/>
        <v>0</v>
      </c>
      <c r="AR48" s="526">
        <f t="shared" si="37"/>
        <v>0</v>
      </c>
      <c r="AS48" s="526">
        <f t="shared" si="40"/>
        <v>0</v>
      </c>
    </row>
    <row r="49" spans="1:45" s="518" customFormat="1">
      <c r="A49" t="s">
        <v>49</v>
      </c>
      <c r="B49" t="s">
        <v>632</v>
      </c>
      <c r="C49" s="240" t="s">
        <v>1200</v>
      </c>
      <c r="D49" s="240"/>
      <c r="E49" s="145">
        <f>HOURS!$B$19</f>
        <v>744</v>
      </c>
      <c r="F49" s="145">
        <f>HOURS!$C$19</f>
        <v>672</v>
      </c>
      <c r="G49" s="145">
        <f>HOURS!$D$19</f>
        <v>744</v>
      </c>
      <c r="H49" s="145">
        <f>HOURS!$E$19</f>
        <v>720</v>
      </c>
      <c r="I49" s="145">
        <f>HOURS!$F$19</f>
        <v>744</v>
      </c>
      <c r="J49" s="145">
        <f>HOURS!$G$19</f>
        <v>720</v>
      </c>
      <c r="K49" s="145">
        <f>HOURS!$H$19</f>
        <v>744</v>
      </c>
      <c r="L49" s="145">
        <f>HOURS!$I$19</f>
        <v>744</v>
      </c>
      <c r="M49" s="145">
        <f>HOURS!$J$19</f>
        <v>720</v>
      </c>
      <c r="N49" s="145">
        <f>HOURS!$K$19</f>
        <v>744</v>
      </c>
      <c r="O49" s="145">
        <f>HOURS!$L$19</f>
        <v>720</v>
      </c>
      <c r="P49" s="145">
        <f>HOURS!$M$19</f>
        <v>744</v>
      </c>
      <c r="Q49" s="240"/>
      <c r="R49" s="240"/>
      <c r="T49" s="206" t="s">
        <v>1200</v>
      </c>
      <c r="U49" s="523">
        <v>744</v>
      </c>
      <c r="V49" s="523">
        <v>672</v>
      </c>
      <c r="W49" s="523">
        <v>744</v>
      </c>
      <c r="X49" s="523">
        <v>720</v>
      </c>
      <c r="Y49" s="523">
        <v>744</v>
      </c>
      <c r="Z49" s="523">
        <v>720</v>
      </c>
      <c r="AA49" s="523">
        <v>744</v>
      </c>
      <c r="AB49" s="523">
        <v>744</v>
      </c>
      <c r="AC49" s="523">
        <v>720</v>
      </c>
      <c r="AD49" s="523">
        <v>744</v>
      </c>
      <c r="AE49" s="523">
        <v>720</v>
      </c>
      <c r="AF49" s="523">
        <v>744</v>
      </c>
      <c r="AG49"/>
      <c r="AH49" s="526">
        <f t="shared" si="39"/>
        <v>0</v>
      </c>
      <c r="AI49" s="526">
        <f t="shared" si="28"/>
        <v>0</v>
      </c>
      <c r="AJ49" s="526">
        <f t="shared" si="29"/>
        <v>0</v>
      </c>
      <c r="AK49" s="526">
        <f t="shared" si="30"/>
        <v>0</v>
      </c>
      <c r="AL49" s="526">
        <f t="shared" si="31"/>
        <v>0</v>
      </c>
      <c r="AM49" s="526">
        <f t="shared" si="32"/>
        <v>0</v>
      </c>
      <c r="AN49" s="526">
        <f t="shared" si="33"/>
        <v>0</v>
      </c>
      <c r="AO49" s="526">
        <f t="shared" si="34"/>
        <v>0</v>
      </c>
      <c r="AP49" s="526">
        <f t="shared" si="35"/>
        <v>0</v>
      </c>
      <c r="AQ49" s="526">
        <f t="shared" si="36"/>
        <v>0</v>
      </c>
      <c r="AR49" s="526">
        <f t="shared" si="37"/>
        <v>0</v>
      </c>
      <c r="AS49" s="526">
        <f t="shared" si="40"/>
        <v>0</v>
      </c>
    </row>
    <row r="50" spans="1:45">
      <c r="E50" s="241"/>
      <c r="F50" s="241"/>
      <c r="G50" s="241"/>
      <c r="H50" s="241"/>
      <c r="I50" s="241"/>
      <c r="J50" s="241"/>
      <c r="K50" s="241"/>
      <c r="L50" s="241"/>
      <c r="M50" s="241"/>
      <c r="N50" s="241"/>
      <c r="O50" s="241"/>
      <c r="P50" s="241"/>
      <c r="Q50" s="241"/>
      <c r="R50" s="242"/>
      <c r="T50"/>
      <c r="U50"/>
      <c r="V50"/>
      <c r="W50"/>
      <c r="X50"/>
      <c r="Y50"/>
      <c r="Z50"/>
      <c r="AA50"/>
      <c r="AB50"/>
      <c r="AC50"/>
      <c r="AD50"/>
      <c r="AE50"/>
      <c r="AF50"/>
      <c r="AG50"/>
      <c r="AH50" s="526"/>
      <c r="AI50" s="526"/>
      <c r="AJ50" s="526"/>
      <c r="AK50" s="526"/>
      <c r="AL50" s="526"/>
      <c r="AM50" s="526"/>
      <c r="AN50" s="526"/>
      <c r="AO50" s="526"/>
      <c r="AP50" s="526"/>
      <c r="AQ50" s="526"/>
      <c r="AR50" s="526"/>
      <c r="AS50" s="526"/>
    </row>
    <row r="51" spans="1:45">
      <c r="A51" t="s">
        <v>325</v>
      </c>
      <c r="B51" t="s">
        <v>640</v>
      </c>
      <c r="C51" t="s">
        <v>1112</v>
      </c>
      <c r="T51" s="522" t="s">
        <v>1225</v>
      </c>
      <c r="U51" s="523"/>
      <c r="V51" s="523"/>
      <c r="W51" s="523"/>
      <c r="X51" s="523"/>
      <c r="Y51" s="523"/>
      <c r="Z51" s="523"/>
      <c r="AA51" s="523"/>
      <c r="AB51" s="523"/>
      <c r="AC51" s="523"/>
      <c r="AD51" s="523"/>
      <c r="AE51" s="523"/>
      <c r="AF51" s="523"/>
      <c r="AG51"/>
      <c r="AH51" s="526"/>
      <c r="AI51" s="526"/>
      <c r="AJ51" s="526"/>
      <c r="AK51" s="526"/>
      <c r="AL51" s="526"/>
      <c r="AM51" s="526"/>
      <c r="AN51" s="526"/>
      <c r="AO51" s="526"/>
      <c r="AP51" s="526"/>
      <c r="AQ51" s="526"/>
      <c r="AR51" s="526"/>
      <c r="AS51" s="526"/>
    </row>
    <row r="52" spans="1:45" ht="15.6">
      <c r="A52" t="s">
        <v>325</v>
      </c>
      <c r="B52" t="s">
        <v>640</v>
      </c>
      <c r="C52" s="251" t="s">
        <v>1201</v>
      </c>
      <c r="D52" s="251"/>
      <c r="E52" s="145">
        <f>VLOOKUP($A52&amp;" KWH Sales",'2017 TEST'!$A$13:$R$274,'2017 TEST'!C$9,FALSE)/1000</f>
        <v>5819.5460000000003</v>
      </c>
      <c r="F52" s="145">
        <f>VLOOKUP($A52&amp;" KWH Sales",'2017 TEST'!$A$13:$R$274,'2017 TEST'!D$9,FALSE)/1000</f>
        <v>5825.4639999999999</v>
      </c>
      <c r="G52" s="145">
        <f>VLOOKUP($A52&amp;" KWH Sales",'2017 TEST'!$A$13:$R$274,'2017 TEST'!E$9,FALSE)/1000</f>
        <v>5831.3819999999996</v>
      </c>
      <c r="H52" s="145">
        <f>VLOOKUP($A52&amp;" KWH Sales",'2017 TEST'!$A$13:$R$274,'2017 TEST'!F$9,FALSE)/1000</f>
        <v>5837.8379999999997</v>
      </c>
      <c r="I52" s="145">
        <f>VLOOKUP($A52&amp;" KWH Sales",'2017 TEST'!$A$13:$R$274,'2017 TEST'!G$9,FALSE)/1000</f>
        <v>5844.2939999999999</v>
      </c>
      <c r="J52" s="145">
        <f>VLOOKUP($A52&amp;" KWH Sales",'2017 TEST'!$A$13:$R$274,'2017 TEST'!H$9,FALSE)/1000</f>
        <v>5850.75</v>
      </c>
      <c r="K52" s="145">
        <f>VLOOKUP($A52&amp;" KWH Sales",'2017 TEST'!$A$13:$R$274,'2017 TEST'!I$9,FALSE)/1000</f>
        <v>5857.2060000000001</v>
      </c>
      <c r="L52" s="145">
        <f>VLOOKUP($A52&amp;" KWH Sales",'2017 TEST'!$A$13:$R$274,'2017 TEST'!J$9,FALSE)/1000</f>
        <v>5863.1239999999998</v>
      </c>
      <c r="M52" s="145">
        <f>VLOOKUP($A52&amp;" KWH Sales",'2017 TEST'!$A$13:$R$274,'2017 TEST'!K$9,FALSE)/1000</f>
        <v>5869.58</v>
      </c>
      <c r="N52" s="145">
        <f>VLOOKUP($A52&amp;" KWH Sales",'2017 TEST'!$A$13:$R$274,'2017 TEST'!L$9,FALSE)/1000</f>
        <v>5875.4979999999996</v>
      </c>
      <c r="O52" s="145">
        <f>VLOOKUP($A52&amp;" KWH Sales",'2017 TEST'!$A$13:$R$274,'2017 TEST'!M$9,FALSE)/1000</f>
        <v>5880.8779999999997</v>
      </c>
      <c r="P52" s="145">
        <f>VLOOKUP($A52&amp;" KWH Sales",'2017 TEST'!$A$13:$R$274,'2017 TEST'!N$9,FALSE)/1000</f>
        <v>5886.2579999999998</v>
      </c>
      <c r="T52" s="206" t="s">
        <v>1261</v>
      </c>
      <c r="U52" s="523">
        <v>5819.5460000000003</v>
      </c>
      <c r="V52" s="523">
        <v>5825.4639999999999</v>
      </c>
      <c r="W52" s="523">
        <v>5831.3819999999996</v>
      </c>
      <c r="X52" s="523">
        <v>5837.8379999999997</v>
      </c>
      <c r="Y52" s="523">
        <v>5844.2939999999999</v>
      </c>
      <c r="Z52" s="523">
        <v>5850.75</v>
      </c>
      <c r="AA52" s="523">
        <v>5857.2060000000001</v>
      </c>
      <c r="AB52" s="523">
        <v>5863.1239999999998</v>
      </c>
      <c r="AC52" s="523">
        <v>5869.58</v>
      </c>
      <c r="AD52" s="523">
        <v>5875.4979999999996</v>
      </c>
      <c r="AE52" s="523">
        <v>5880.8779999999997</v>
      </c>
      <c r="AF52" s="523">
        <v>5886.2579999999998</v>
      </c>
      <c r="AG52"/>
      <c r="AH52" s="526">
        <f>U52-E52</f>
        <v>0</v>
      </c>
      <c r="AI52" s="526">
        <f t="shared" ref="AI52:AI59" si="41">V52-F52</f>
        <v>0</v>
      </c>
      <c r="AJ52" s="526">
        <f t="shared" ref="AJ52:AJ59" si="42">W52-G52</f>
        <v>0</v>
      </c>
      <c r="AK52" s="526">
        <f t="shared" ref="AK52:AK59" si="43">X52-H52</f>
        <v>0</v>
      </c>
      <c r="AL52" s="526">
        <f t="shared" ref="AL52:AL59" si="44">Y52-I52</f>
        <v>0</v>
      </c>
      <c r="AM52" s="526">
        <f t="shared" ref="AM52:AM59" si="45">Z52-J52</f>
        <v>0</v>
      </c>
      <c r="AN52" s="526">
        <f t="shared" ref="AN52:AN59" si="46">AA52-K52</f>
        <v>0</v>
      </c>
      <c r="AO52" s="526">
        <f t="shared" ref="AO52:AO59" si="47">AB52-L52</f>
        <v>0</v>
      </c>
      <c r="AP52" s="526">
        <f t="shared" ref="AP52:AP59" si="48">AC52-M52</f>
        <v>0</v>
      </c>
      <c r="AQ52" s="526">
        <f t="shared" ref="AQ52:AQ59" si="49">AD52-N52</f>
        <v>0</v>
      </c>
      <c r="AR52" s="526">
        <f t="shared" ref="AR52:AR59" si="50">AE52-O52</f>
        <v>0</v>
      </c>
      <c r="AS52" s="526">
        <f t="shared" ref="AS52:AS54" si="51">AF52-P52</f>
        <v>0</v>
      </c>
    </row>
    <row r="53" spans="1:45" s="518" customFormat="1">
      <c r="A53" t="s">
        <v>325</v>
      </c>
      <c r="B53" t="s">
        <v>640</v>
      </c>
      <c r="C53" s="240" t="s">
        <v>148</v>
      </c>
      <c r="D53" s="240"/>
      <c r="E53" s="145">
        <f>VLOOKUP($A53&amp;" CP",'2017 TEST'!$A$13:$R$274,'2017 TEST'!C$9,FALSE)</f>
        <v>8352.0499438606785</v>
      </c>
      <c r="F53" s="145">
        <f>VLOOKUP($A53&amp;" CP",'2017 TEST'!$A$13:$R$274,'2017 TEST'!D$9,FALSE)</f>
        <v>8881.3220129599667</v>
      </c>
      <c r="G53" s="145">
        <f>VLOOKUP($A53&amp;" CP",'2017 TEST'!$A$13:$R$274,'2017 TEST'!E$9,FALSE)</f>
        <v>8787.0483368337991</v>
      </c>
      <c r="H53" s="145">
        <f>VLOOKUP($A53&amp;" CP",'2017 TEST'!$A$13:$R$274,'2017 TEST'!F$9,FALSE)</f>
        <v>8526.2688225451529</v>
      </c>
      <c r="I53" s="145">
        <f>VLOOKUP($A53&amp;" CP",'2017 TEST'!$A$13:$R$274,'2017 TEST'!G$9,FALSE)</f>
        <v>8682.739079162664</v>
      </c>
      <c r="J53" s="145">
        <f>VLOOKUP($A53&amp;" CP",'2017 TEST'!$A$13:$R$274,'2017 TEST'!H$9,FALSE)</f>
        <v>8577.4234656477165</v>
      </c>
      <c r="K53" s="145">
        <f>VLOOKUP($A53&amp;" CP",'2017 TEST'!$A$13:$R$274,'2017 TEST'!I$9,FALSE)</f>
        <v>8404.21576573938</v>
      </c>
      <c r="L53" s="145">
        <f>VLOOKUP($A53&amp;" CP",'2017 TEST'!$A$13:$R$274,'2017 TEST'!J$9,FALSE)</f>
        <v>8683.4211337929682</v>
      </c>
      <c r="M53" s="145">
        <f>VLOOKUP($A53&amp;" CP",'2017 TEST'!$A$13:$R$274,'2017 TEST'!K$9,FALSE)</f>
        <v>8272.1285186423611</v>
      </c>
      <c r="N53" s="145">
        <f>VLOOKUP($A53&amp;" CP",'2017 TEST'!$A$13:$R$274,'2017 TEST'!L$9,FALSE)</f>
        <v>8091.9164223082653</v>
      </c>
      <c r="O53" s="145">
        <f>VLOOKUP($A53&amp;" CP",'2017 TEST'!$A$13:$R$274,'2017 TEST'!M$9,FALSE)</f>
        <v>8075.4296004775097</v>
      </c>
      <c r="P53" s="145">
        <f>VLOOKUP($A53&amp;" CP",'2017 TEST'!$A$13:$R$274,'2017 TEST'!N$9,FALSE)</f>
        <v>8162.2486779021019</v>
      </c>
      <c r="Q53" s="240"/>
      <c r="R53" s="240"/>
      <c r="T53" s="206" t="s">
        <v>148</v>
      </c>
      <c r="U53" s="523">
        <v>8352.0645033899546</v>
      </c>
      <c r="V53" s="523">
        <v>8881.3552617279893</v>
      </c>
      <c r="W53" s="523">
        <v>8787.0277295372634</v>
      </c>
      <c r="X53" s="523">
        <v>8526.1837581173313</v>
      </c>
      <c r="Y53" s="523">
        <v>8682.8246649404446</v>
      </c>
      <c r="Z53" s="523">
        <v>8577.4361669445316</v>
      </c>
      <c r="AA53" s="523">
        <v>8404.2408975459966</v>
      </c>
      <c r="AB53" s="523">
        <v>8683.3984732375357</v>
      </c>
      <c r="AC53" s="523">
        <v>8272.1163835533571</v>
      </c>
      <c r="AD53" s="523">
        <v>8091.914186523798</v>
      </c>
      <c r="AE53" s="523">
        <v>8075.439837241247</v>
      </c>
      <c r="AF53" s="523">
        <v>8162.2425002374039</v>
      </c>
      <c r="AG53"/>
      <c r="AH53" s="526">
        <f t="shared" ref="AH53:AH59" si="52">U53-E53</f>
        <v>1.4559529276084504E-2</v>
      </c>
      <c r="AI53" s="526">
        <f t="shared" si="41"/>
        <v>3.3248768022531294E-2</v>
      </c>
      <c r="AJ53" s="526">
        <f t="shared" si="42"/>
        <v>-2.0607296535672504E-2</v>
      </c>
      <c r="AK53" s="526">
        <f t="shared" si="43"/>
        <v>-8.5064427821635036E-2</v>
      </c>
      <c r="AL53" s="526">
        <f t="shared" si="44"/>
        <v>8.5585777780579519E-2</v>
      </c>
      <c r="AM53" s="526">
        <f t="shared" si="45"/>
        <v>1.2701296815066598E-2</v>
      </c>
      <c r="AN53" s="526">
        <f t="shared" si="46"/>
        <v>2.5131806616627728E-2</v>
      </c>
      <c r="AO53" s="526">
        <f t="shared" si="47"/>
        <v>-2.2660555432594265E-2</v>
      </c>
      <c r="AP53" s="526">
        <f t="shared" si="48"/>
        <v>-1.213508900400484E-2</v>
      </c>
      <c r="AQ53" s="526">
        <f t="shared" si="49"/>
        <v>-2.2357844673024374E-3</v>
      </c>
      <c r="AR53" s="526">
        <f t="shared" si="50"/>
        <v>1.0236763737339061E-2</v>
      </c>
      <c r="AS53" s="526">
        <f t="shared" si="51"/>
        <v>-6.1776646980433725E-3</v>
      </c>
    </row>
    <row r="54" spans="1:45" s="518" customFormat="1">
      <c r="A54" t="s">
        <v>325</v>
      </c>
      <c r="B54" t="s">
        <v>640</v>
      </c>
      <c r="C54" s="240" t="s">
        <v>147</v>
      </c>
      <c r="D54" s="240"/>
      <c r="E54" s="145">
        <f>VLOOKUP($A54&amp;" GNCP",'2017 TEST'!$A$13:$R$274,'2017 TEST'!C$9,FALSE)</f>
        <v>8352.0499438606785</v>
      </c>
      <c r="F54" s="145">
        <f>VLOOKUP($A54&amp;" GNCP",'2017 TEST'!$A$13:$R$274,'2017 TEST'!D$9,FALSE)</f>
        <v>8881.3220129599667</v>
      </c>
      <c r="G54" s="145">
        <f>VLOOKUP($A54&amp;" GNCP",'2017 TEST'!$A$13:$R$274,'2017 TEST'!E$9,FALSE)</f>
        <v>8787.0483368337991</v>
      </c>
      <c r="H54" s="145">
        <f>VLOOKUP($A54&amp;" GNCP",'2017 TEST'!$A$13:$R$274,'2017 TEST'!F$9,FALSE)</f>
        <v>8526.2688225451529</v>
      </c>
      <c r="I54" s="145">
        <f>VLOOKUP($A54&amp;" GNCP",'2017 TEST'!$A$13:$R$274,'2017 TEST'!G$9,FALSE)</f>
        <v>8682.739079162664</v>
      </c>
      <c r="J54" s="145">
        <f>VLOOKUP($A54&amp;" GNCP",'2017 TEST'!$A$13:$R$274,'2017 TEST'!H$9,FALSE)</f>
        <v>8577.4234656477165</v>
      </c>
      <c r="K54" s="145">
        <f>VLOOKUP($A54&amp;" GNCP",'2017 TEST'!$A$13:$R$274,'2017 TEST'!I$9,FALSE)</f>
        <v>8404.21576573938</v>
      </c>
      <c r="L54" s="145">
        <f>VLOOKUP($A54&amp;" GNCP",'2017 TEST'!$A$13:$R$274,'2017 TEST'!J$9,FALSE)</f>
        <v>8683.4211337929682</v>
      </c>
      <c r="M54" s="145">
        <f>VLOOKUP($A54&amp;" GNCP",'2017 TEST'!$A$13:$R$274,'2017 TEST'!K$9,FALSE)</f>
        <v>8272.1285186423611</v>
      </c>
      <c r="N54" s="145">
        <f>VLOOKUP($A54&amp;" GNCP",'2017 TEST'!$A$13:$R$274,'2017 TEST'!L$9,FALSE)</f>
        <v>8091.9164223082653</v>
      </c>
      <c r="O54" s="145">
        <f>VLOOKUP($A54&amp;" GNCP",'2017 TEST'!$A$13:$R$274,'2017 TEST'!M$9,FALSE)</f>
        <v>8315.4784966452517</v>
      </c>
      <c r="P54" s="145">
        <f>VLOOKUP($A54&amp;" GNCP",'2017 TEST'!$A$13:$R$274,'2017 TEST'!N$9,FALSE)</f>
        <v>8250.925396060351</v>
      </c>
      <c r="Q54" s="240"/>
      <c r="R54" s="240"/>
      <c r="T54" s="206" t="s">
        <v>342</v>
      </c>
      <c r="U54" s="523">
        <v>8352.0645033899546</v>
      </c>
      <c r="V54" s="523">
        <v>8881.3552617279893</v>
      </c>
      <c r="W54" s="523">
        <v>8787.0277295372634</v>
      </c>
      <c r="X54" s="523">
        <v>8526.1837581173313</v>
      </c>
      <c r="Y54" s="523">
        <v>8682.8246649404446</v>
      </c>
      <c r="Z54" s="523">
        <v>8577.4361669445316</v>
      </c>
      <c r="AA54" s="523">
        <v>8404.2408975459966</v>
      </c>
      <c r="AB54" s="523">
        <v>8683.3984732375357</v>
      </c>
      <c r="AC54" s="523">
        <v>8272.1163835533571</v>
      </c>
      <c r="AD54" s="523">
        <v>8091.914186523798</v>
      </c>
      <c r="AE54" s="523">
        <v>8315.4784966452517</v>
      </c>
      <c r="AF54" s="523">
        <v>8250.925396060351</v>
      </c>
      <c r="AG54"/>
      <c r="AH54" s="526">
        <f t="shared" si="52"/>
        <v>1.4559529276084504E-2</v>
      </c>
      <c r="AI54" s="526">
        <f t="shared" si="41"/>
        <v>3.3248768022531294E-2</v>
      </c>
      <c r="AJ54" s="526">
        <f t="shared" si="42"/>
        <v>-2.0607296535672504E-2</v>
      </c>
      <c r="AK54" s="526">
        <f t="shared" si="43"/>
        <v>-8.5064427821635036E-2</v>
      </c>
      <c r="AL54" s="526">
        <f t="shared" si="44"/>
        <v>8.5585777780579519E-2</v>
      </c>
      <c r="AM54" s="526">
        <f t="shared" si="45"/>
        <v>1.2701296815066598E-2</v>
      </c>
      <c r="AN54" s="526">
        <f t="shared" si="46"/>
        <v>2.5131806616627728E-2</v>
      </c>
      <c r="AO54" s="526">
        <f t="shared" si="47"/>
        <v>-2.2660555432594265E-2</v>
      </c>
      <c r="AP54" s="526">
        <f t="shared" si="48"/>
        <v>-1.213508900400484E-2</v>
      </c>
      <c r="AQ54" s="526">
        <f t="shared" si="49"/>
        <v>-2.2357844673024374E-3</v>
      </c>
      <c r="AR54" s="526">
        <f t="shared" si="50"/>
        <v>0</v>
      </c>
      <c r="AS54" s="526">
        <f t="shared" si="51"/>
        <v>0</v>
      </c>
    </row>
    <row r="55" spans="1:45" s="518" customFormat="1">
      <c r="A55" t="s">
        <v>325</v>
      </c>
      <c r="B55" t="s">
        <v>640</v>
      </c>
      <c r="C55" s="240" t="s">
        <v>133</v>
      </c>
      <c r="D55" s="240"/>
      <c r="E55" s="145">
        <f>VLOOKUP($A55&amp;" NCP",'2017 TEST'!$A$13:$R$274,'2017 TEST'!C$9,FALSE)</f>
        <v>8482.9147301161938</v>
      </c>
      <c r="F55" s="145">
        <f>VLOOKUP($A55&amp;" NCP",'2017 TEST'!$A$13:$R$274,'2017 TEST'!D$9,FALSE)</f>
        <v>9279.4352414971563</v>
      </c>
      <c r="G55" s="145">
        <f>VLOOKUP($A55&amp;" NCP",'2017 TEST'!$A$13:$R$274,'2017 TEST'!E$9,FALSE)</f>
        <v>8787.0483368337991</v>
      </c>
      <c r="H55" s="145">
        <f>VLOOKUP($A55&amp;" NCP",'2017 TEST'!$A$13:$R$274,'2017 TEST'!F$9,FALSE)</f>
        <v>8581.8291807112746</v>
      </c>
      <c r="I55" s="145">
        <f>VLOOKUP($A55&amp;" NCP",'2017 TEST'!$A$13:$R$274,'2017 TEST'!G$9,FALSE)</f>
        <v>8682.739079162664</v>
      </c>
      <c r="J55" s="145">
        <f>VLOOKUP($A55&amp;" NCP",'2017 TEST'!$A$13:$R$274,'2017 TEST'!H$9,FALSE)</f>
        <v>8891.5780724903289</v>
      </c>
      <c r="K55" s="145">
        <f>VLOOKUP($A55&amp;" NCP",'2017 TEST'!$A$13:$R$274,'2017 TEST'!I$9,FALSE)</f>
        <v>8404.21576573938</v>
      </c>
      <c r="L55" s="145">
        <f>VLOOKUP($A55&amp;" NCP",'2017 TEST'!$A$13:$R$274,'2017 TEST'!J$9,FALSE)</f>
        <v>8683.4211337929682</v>
      </c>
      <c r="M55" s="145">
        <f>VLOOKUP($A55&amp;" NCP",'2017 TEST'!$A$13:$R$274,'2017 TEST'!K$9,FALSE)</f>
        <v>8848.504082864285</v>
      </c>
      <c r="N55" s="145">
        <f>VLOOKUP($A55&amp;" NCP",'2017 TEST'!$A$13:$R$274,'2017 TEST'!L$9,FALSE)</f>
        <v>8834.4939765813415</v>
      </c>
      <c r="O55" s="145">
        <f>VLOOKUP($A55&amp;" NCP",'2017 TEST'!$A$13:$R$274,'2017 TEST'!M$9,FALSE)</f>
        <v>8720.9585018409671</v>
      </c>
      <c r="P55" s="145">
        <f>VLOOKUP($A55&amp;" NCP",'2017 TEST'!$A$13:$R$274,'2017 TEST'!N$9,FALSE)</f>
        <v>8768.8984318386229</v>
      </c>
      <c r="Q55" s="240"/>
      <c r="R55" s="240"/>
      <c r="T55" s="206" t="s">
        <v>133</v>
      </c>
      <c r="U55" s="523">
        <v>8482.9147301161938</v>
      </c>
      <c r="V55" s="523">
        <v>9279.4352414971563</v>
      </c>
      <c r="W55" s="523">
        <v>8787.0277295372634</v>
      </c>
      <c r="X55" s="523">
        <v>8581.8291807112746</v>
      </c>
      <c r="Y55" s="523">
        <v>8682.8246649404446</v>
      </c>
      <c r="Z55" s="523">
        <v>8891.5780724903289</v>
      </c>
      <c r="AA55" s="523">
        <v>8404.2408975459966</v>
      </c>
      <c r="AB55" s="523">
        <v>8683.3984732375357</v>
      </c>
      <c r="AC55" s="523">
        <v>8848.504082864285</v>
      </c>
      <c r="AD55" s="523">
        <v>8834.4939765813415</v>
      </c>
      <c r="AE55" s="523">
        <v>8720.9585018409671</v>
      </c>
      <c r="AF55" s="523">
        <v>8768.8984318386229</v>
      </c>
      <c r="AG55"/>
      <c r="AH55" s="526">
        <f t="shared" si="52"/>
        <v>0</v>
      </c>
      <c r="AI55" s="526">
        <f t="shared" si="41"/>
        <v>0</v>
      </c>
      <c r="AJ55" s="526">
        <f t="shared" si="42"/>
        <v>-2.0607296535672504E-2</v>
      </c>
      <c r="AK55" s="526">
        <f t="shared" si="43"/>
        <v>0</v>
      </c>
      <c r="AL55" s="526">
        <f t="shared" si="44"/>
        <v>8.5585777780579519E-2</v>
      </c>
      <c r="AM55" s="526">
        <f t="shared" si="45"/>
        <v>0</v>
      </c>
      <c r="AN55" s="526">
        <f t="shared" si="46"/>
        <v>2.5131806616627728E-2</v>
      </c>
      <c r="AO55" s="526">
        <f t="shared" si="47"/>
        <v>-2.2660555432594265E-2</v>
      </c>
      <c r="AP55" s="526">
        <f t="shared" si="48"/>
        <v>0</v>
      </c>
      <c r="AQ55" s="526">
        <f t="shared" si="49"/>
        <v>0</v>
      </c>
      <c r="AR55" s="526">
        <f t="shared" si="50"/>
        <v>0</v>
      </c>
      <c r="AS55" s="526">
        <f>AF55-P55</f>
        <v>0</v>
      </c>
    </row>
    <row r="56" spans="1:45" s="518" customFormat="1">
      <c r="A56" t="s">
        <v>325</v>
      </c>
      <c r="B56" t="s">
        <v>640</v>
      </c>
      <c r="C56" s="240" t="s">
        <v>1197</v>
      </c>
      <c r="D56" s="240"/>
      <c r="E56" s="230">
        <f>'GSCU-1'!C67</f>
        <v>0.93653300479329682</v>
      </c>
      <c r="F56" s="230">
        <f>'GSCU-1'!D67</f>
        <v>0.97607599695690872</v>
      </c>
      <c r="G56" s="230">
        <f>'GSCU-1'!E67</f>
        <v>0.89198087136985693</v>
      </c>
      <c r="H56" s="230">
        <f>'GSCU-1'!F67</f>
        <v>0.95095621567711774</v>
      </c>
      <c r="I56" s="230">
        <f>'GSCU-1'!G67</f>
        <v>0.90469537312473003</v>
      </c>
      <c r="J56" s="230">
        <f>'GSCU-1'!H67</f>
        <v>0.94737559585476716</v>
      </c>
      <c r="K56" s="230">
        <f>'GSCU-1'!I67</f>
        <v>0.93674281207424603</v>
      </c>
      <c r="L56" s="230">
        <f>'GSCU-1'!J67</f>
        <v>0.90753896296521341</v>
      </c>
      <c r="M56" s="230">
        <f>'GSCU-1'!K67</f>
        <v>0.98550142518607764</v>
      </c>
      <c r="N56" s="230">
        <f>'GSCU-1'!L67</f>
        <v>0.9759337985018488</v>
      </c>
      <c r="O56" s="230">
        <f>'GSCU-1'!M67</f>
        <v>1.0114491135713863</v>
      </c>
      <c r="P56" s="230">
        <f>'GSCU-1'!N67</f>
        <v>0.96929625756117954</v>
      </c>
      <c r="Q56" s="240"/>
      <c r="R56" s="240"/>
      <c r="T56" s="206" t="s">
        <v>1197</v>
      </c>
      <c r="U56" s="524">
        <v>0.93653137220536653</v>
      </c>
      <c r="V56" s="524">
        <v>0.97607234286094713</v>
      </c>
      <c r="W56" s="524">
        <v>0.89198296323924497</v>
      </c>
      <c r="X56" s="524">
        <v>0.95096570322144758</v>
      </c>
      <c r="Y56" s="524">
        <v>0.9046864556283909</v>
      </c>
      <c r="Z56" s="524">
        <v>0.94737419299983427</v>
      </c>
      <c r="AA56" s="524">
        <v>0.93674001086477454</v>
      </c>
      <c r="AB56" s="524">
        <v>0.90754133131638848</v>
      </c>
      <c r="AC56" s="524">
        <v>0.98550287090407207</v>
      </c>
      <c r="AD56" s="524">
        <v>0.97593406815097961</v>
      </c>
      <c r="AE56" s="524">
        <v>1.0114478314163808</v>
      </c>
      <c r="AF56" s="524">
        <v>0.96929699118153845</v>
      </c>
      <c r="AG56"/>
      <c r="AH56" s="526">
        <f t="shared" si="52"/>
        <v>-1.6325879302891977E-6</v>
      </c>
      <c r="AI56" s="526">
        <f t="shared" si="41"/>
        <v>-3.654095961591608E-6</v>
      </c>
      <c r="AJ56" s="526">
        <f t="shared" si="42"/>
        <v>2.0918693880433992E-6</v>
      </c>
      <c r="AK56" s="526">
        <f t="shared" si="43"/>
        <v>9.4875443298336748E-6</v>
      </c>
      <c r="AL56" s="526">
        <f t="shared" si="44"/>
        <v>-8.9174963391336348E-6</v>
      </c>
      <c r="AM56" s="526">
        <f t="shared" si="45"/>
        <v>-1.4028549328859441E-6</v>
      </c>
      <c r="AN56" s="526">
        <f t="shared" si="46"/>
        <v>-2.8012094714924274E-6</v>
      </c>
      <c r="AO56" s="526">
        <f t="shared" si="47"/>
        <v>2.3683511750638431E-6</v>
      </c>
      <c r="AP56" s="526">
        <f t="shared" si="48"/>
        <v>1.4457179944304954E-6</v>
      </c>
      <c r="AQ56" s="526">
        <f t="shared" si="49"/>
        <v>2.6964913080185227E-7</v>
      </c>
      <c r="AR56" s="526">
        <f t="shared" si="50"/>
        <v>-1.2821550054997743E-6</v>
      </c>
      <c r="AS56" s="526">
        <f t="shared" ref="AS56:AS59" si="53">AF56-P56</f>
        <v>7.3362035890589539E-7</v>
      </c>
    </row>
    <row r="57" spans="1:45" s="518" customFormat="1">
      <c r="A57" t="s">
        <v>325</v>
      </c>
      <c r="B57" t="s">
        <v>640</v>
      </c>
      <c r="C57" s="240" t="s">
        <v>1198</v>
      </c>
      <c r="D57" s="240"/>
      <c r="E57" s="230">
        <f>'GSCU-1'!C68</f>
        <v>0.93653300479329682</v>
      </c>
      <c r="F57" s="230">
        <f>'GSCU-1'!D68</f>
        <v>0.97607599695690872</v>
      </c>
      <c r="G57" s="230">
        <f>'GSCU-1'!E68</f>
        <v>0.89198087136985693</v>
      </c>
      <c r="H57" s="230">
        <f>'GSCU-1'!F68</f>
        <v>0.95095621567711774</v>
      </c>
      <c r="I57" s="230">
        <f>'GSCU-1'!G68</f>
        <v>0.90469537312473003</v>
      </c>
      <c r="J57" s="230">
        <f>'GSCU-1'!H68</f>
        <v>0.94737559585476716</v>
      </c>
      <c r="K57" s="230">
        <f>'GSCU-1'!I68</f>
        <v>0.93674281207424603</v>
      </c>
      <c r="L57" s="230">
        <f>'GSCU-1'!J68</f>
        <v>0.90753896296521341</v>
      </c>
      <c r="M57" s="230">
        <f>'GSCU-1'!K68</f>
        <v>0.98550142518607764</v>
      </c>
      <c r="N57" s="230">
        <f>'GSCU-1'!L68</f>
        <v>0.9759337985018488</v>
      </c>
      <c r="O57" s="230">
        <f>'GSCU-1'!M68</f>
        <v>0.98225088482957601</v>
      </c>
      <c r="P57" s="230">
        <f>'GSCU-1'!N68</f>
        <v>0.95887875807868039</v>
      </c>
      <c r="Q57" s="240"/>
      <c r="R57" s="240"/>
      <c r="T57" s="206" t="s">
        <v>1221</v>
      </c>
      <c r="U57" s="524">
        <v>0.93653137220536653</v>
      </c>
      <c r="V57" s="524">
        <v>0.97607234286094713</v>
      </c>
      <c r="W57" s="524">
        <v>0.89198296323924497</v>
      </c>
      <c r="X57" s="524">
        <v>0.95096570322144758</v>
      </c>
      <c r="Y57" s="524">
        <v>0.9046864556283909</v>
      </c>
      <c r="Z57" s="524">
        <v>0.94737419299983427</v>
      </c>
      <c r="AA57" s="524">
        <v>0.93674001086477454</v>
      </c>
      <c r="AB57" s="524">
        <v>0.90754133131638848</v>
      </c>
      <c r="AC57" s="524">
        <v>0.98550287090407207</v>
      </c>
      <c r="AD57" s="524">
        <v>0.97593406815097961</v>
      </c>
      <c r="AE57" s="524">
        <v>0.98225088482957601</v>
      </c>
      <c r="AF57" s="524">
        <v>0.95887875807868039</v>
      </c>
      <c r="AG57"/>
      <c r="AH57" s="526">
        <f t="shared" si="52"/>
        <v>-1.6325879302891977E-6</v>
      </c>
      <c r="AI57" s="526">
        <f t="shared" si="41"/>
        <v>-3.654095961591608E-6</v>
      </c>
      <c r="AJ57" s="526">
        <f t="shared" si="42"/>
        <v>2.0918693880433992E-6</v>
      </c>
      <c r="AK57" s="526">
        <f t="shared" si="43"/>
        <v>9.4875443298336748E-6</v>
      </c>
      <c r="AL57" s="526">
        <f t="shared" si="44"/>
        <v>-8.9174963391336348E-6</v>
      </c>
      <c r="AM57" s="526">
        <f t="shared" si="45"/>
        <v>-1.4028549328859441E-6</v>
      </c>
      <c r="AN57" s="526">
        <f t="shared" si="46"/>
        <v>-2.8012094714924274E-6</v>
      </c>
      <c r="AO57" s="526">
        <f t="shared" si="47"/>
        <v>2.3683511750638431E-6</v>
      </c>
      <c r="AP57" s="526">
        <f t="shared" si="48"/>
        <v>1.4457179944304954E-6</v>
      </c>
      <c r="AQ57" s="526">
        <f t="shared" si="49"/>
        <v>2.6964913080185227E-7</v>
      </c>
      <c r="AR57" s="526">
        <f t="shared" si="50"/>
        <v>0</v>
      </c>
      <c r="AS57" s="526">
        <f t="shared" si="53"/>
        <v>0</v>
      </c>
    </row>
    <row r="58" spans="1:45" s="518" customFormat="1">
      <c r="A58" t="s">
        <v>325</v>
      </c>
      <c r="B58" t="s">
        <v>640</v>
      </c>
      <c r="C58" s="240" t="s">
        <v>1199</v>
      </c>
      <c r="D58" s="240"/>
      <c r="E58" s="230">
        <f>'GSCU-1'!C69</f>
        <v>0.92208523590810476</v>
      </c>
      <c r="F58" s="230">
        <f>'GSCU-1'!D69</f>
        <v>0.93419965897586199</v>
      </c>
      <c r="G58" s="230">
        <f>'GSCU-1'!E69</f>
        <v>0.89198087136985693</v>
      </c>
      <c r="H58" s="230">
        <f>'GSCU-1'!F69</f>
        <v>0.94479954827780921</v>
      </c>
      <c r="I58" s="230">
        <f>'GSCU-1'!G69</f>
        <v>0.90469537312473003</v>
      </c>
      <c r="J58" s="230">
        <f>'GSCU-1'!H69</f>
        <v>0.91390320148094339</v>
      </c>
      <c r="K58" s="230">
        <f>'GSCU-1'!I69</f>
        <v>0.93674281207424603</v>
      </c>
      <c r="L58" s="230">
        <f>'GSCU-1'!J69</f>
        <v>0.90753896296521341</v>
      </c>
      <c r="M58" s="230">
        <f>'GSCU-1'!K69</f>
        <v>0.92130764342774163</v>
      </c>
      <c r="N58" s="230">
        <f>'GSCU-1'!L69</f>
        <v>0.89390232786583923</v>
      </c>
      <c r="O58" s="230">
        <f>'GSCU-1'!M69</f>
        <v>0.93658123810437766</v>
      </c>
      <c r="P58" s="230">
        <f>'GSCU-1'!N69</f>
        <v>0.90223842347724825</v>
      </c>
      <c r="Q58" s="240"/>
      <c r="R58" s="240"/>
      <c r="T58" s="206" t="s">
        <v>1199</v>
      </c>
      <c r="U58" s="524">
        <v>0.92208523590810476</v>
      </c>
      <c r="V58" s="524">
        <v>0.93419965897586199</v>
      </c>
      <c r="W58" s="524">
        <v>0.89198296323924497</v>
      </c>
      <c r="X58" s="524">
        <v>0.94479954827780899</v>
      </c>
      <c r="Y58" s="524">
        <v>0.9046864556283909</v>
      </c>
      <c r="Z58" s="524">
        <v>0.91390320148094351</v>
      </c>
      <c r="AA58" s="524">
        <v>0.93674001086477454</v>
      </c>
      <c r="AB58" s="524">
        <v>0.90754133131638848</v>
      </c>
      <c r="AC58" s="524">
        <v>0.92130764342774152</v>
      </c>
      <c r="AD58" s="524">
        <v>0.89390232786583912</v>
      </c>
      <c r="AE58" s="524">
        <v>0.93658123810437766</v>
      </c>
      <c r="AF58" s="524">
        <v>0.90223842347724814</v>
      </c>
      <c r="AG58"/>
      <c r="AH58" s="526">
        <f t="shared" si="52"/>
        <v>0</v>
      </c>
      <c r="AI58" s="526">
        <f t="shared" si="41"/>
        <v>0</v>
      </c>
      <c r="AJ58" s="526">
        <f t="shared" si="42"/>
        <v>2.0918693880433992E-6</v>
      </c>
      <c r="AK58" s="526">
        <f t="shared" si="43"/>
        <v>0</v>
      </c>
      <c r="AL58" s="526">
        <f t="shared" si="44"/>
        <v>-8.9174963391336348E-6</v>
      </c>
      <c r="AM58" s="526">
        <f t="shared" si="45"/>
        <v>0</v>
      </c>
      <c r="AN58" s="526">
        <f t="shared" si="46"/>
        <v>-2.8012094714924274E-6</v>
      </c>
      <c r="AO58" s="526">
        <f t="shared" si="47"/>
        <v>2.3683511750638431E-6</v>
      </c>
      <c r="AP58" s="526">
        <f t="shared" si="48"/>
        <v>0</v>
      </c>
      <c r="AQ58" s="526">
        <f t="shared" si="49"/>
        <v>0</v>
      </c>
      <c r="AR58" s="526">
        <f t="shared" si="50"/>
        <v>0</v>
      </c>
      <c r="AS58" s="526">
        <f t="shared" si="53"/>
        <v>0</v>
      </c>
    </row>
    <row r="59" spans="1:45" s="518" customFormat="1">
      <c r="A59" t="s">
        <v>325</v>
      </c>
      <c r="B59" t="s">
        <v>640</v>
      </c>
      <c r="C59" s="240" t="s">
        <v>1200</v>
      </c>
      <c r="D59" s="240"/>
      <c r="E59" s="145">
        <f>HOURS!$B$19</f>
        <v>744</v>
      </c>
      <c r="F59" s="145">
        <f>HOURS!$C$19</f>
        <v>672</v>
      </c>
      <c r="G59" s="145">
        <f>HOURS!$D$19</f>
        <v>744</v>
      </c>
      <c r="H59" s="145">
        <f>HOURS!$E$19</f>
        <v>720</v>
      </c>
      <c r="I59" s="145">
        <f>HOURS!$F$19</f>
        <v>744</v>
      </c>
      <c r="J59" s="145">
        <f>HOURS!$G$19</f>
        <v>720</v>
      </c>
      <c r="K59" s="145">
        <f>HOURS!$H$19</f>
        <v>744</v>
      </c>
      <c r="L59" s="145">
        <f>HOURS!$I$19</f>
        <v>744</v>
      </c>
      <c r="M59" s="145">
        <f>HOURS!$J$19</f>
        <v>720</v>
      </c>
      <c r="N59" s="145">
        <f>HOURS!$K$19</f>
        <v>744</v>
      </c>
      <c r="O59" s="145">
        <f>HOURS!$L$19</f>
        <v>720</v>
      </c>
      <c r="P59" s="145">
        <f>HOURS!$M$19</f>
        <v>744</v>
      </c>
      <c r="Q59" s="240"/>
      <c r="R59" s="240"/>
      <c r="T59" s="206" t="s">
        <v>1200</v>
      </c>
      <c r="U59" s="523">
        <v>744</v>
      </c>
      <c r="V59" s="523">
        <v>672</v>
      </c>
      <c r="W59" s="523">
        <v>744</v>
      </c>
      <c r="X59" s="523">
        <v>720</v>
      </c>
      <c r="Y59" s="523">
        <v>744</v>
      </c>
      <c r="Z59" s="523">
        <v>720</v>
      </c>
      <c r="AA59" s="523">
        <v>744</v>
      </c>
      <c r="AB59" s="523">
        <v>744</v>
      </c>
      <c r="AC59" s="523">
        <v>720</v>
      </c>
      <c r="AD59" s="523">
        <v>744</v>
      </c>
      <c r="AE59" s="523">
        <v>720</v>
      </c>
      <c r="AF59" s="523">
        <v>744</v>
      </c>
      <c r="AG59"/>
      <c r="AH59" s="526">
        <f t="shared" si="52"/>
        <v>0</v>
      </c>
      <c r="AI59" s="526">
        <f t="shared" si="41"/>
        <v>0</v>
      </c>
      <c r="AJ59" s="526">
        <f t="shared" si="42"/>
        <v>0</v>
      </c>
      <c r="AK59" s="526">
        <f t="shared" si="43"/>
        <v>0</v>
      </c>
      <c r="AL59" s="526">
        <f t="shared" si="44"/>
        <v>0</v>
      </c>
      <c r="AM59" s="526">
        <f t="shared" si="45"/>
        <v>0</v>
      </c>
      <c r="AN59" s="526">
        <f t="shared" si="46"/>
        <v>0</v>
      </c>
      <c r="AO59" s="526">
        <f t="shared" si="47"/>
        <v>0</v>
      </c>
      <c r="AP59" s="526">
        <f t="shared" si="48"/>
        <v>0</v>
      </c>
      <c r="AQ59" s="526">
        <f t="shared" si="49"/>
        <v>0</v>
      </c>
      <c r="AR59" s="526">
        <f t="shared" si="50"/>
        <v>0</v>
      </c>
      <c r="AS59" s="526">
        <f t="shared" si="53"/>
        <v>0</v>
      </c>
    </row>
    <row r="60" spans="1:45">
      <c r="C60" s="240"/>
      <c r="D60" s="240"/>
      <c r="E60" s="241"/>
      <c r="F60" s="241"/>
      <c r="G60" s="241"/>
      <c r="H60" s="241"/>
      <c r="I60" s="241"/>
      <c r="J60" s="241"/>
      <c r="K60" s="241"/>
      <c r="L60" s="241"/>
      <c r="M60" s="241"/>
      <c r="N60" s="241"/>
      <c r="O60" s="241"/>
      <c r="P60" s="241"/>
      <c r="Q60" s="241"/>
      <c r="R60" s="242"/>
      <c r="T60"/>
      <c r="U60"/>
      <c r="V60"/>
      <c r="W60"/>
      <c r="X60"/>
      <c r="Y60"/>
      <c r="Z60"/>
      <c r="AA60"/>
      <c r="AB60"/>
      <c r="AC60"/>
      <c r="AD60"/>
      <c r="AE60"/>
      <c r="AF60"/>
      <c r="AG60"/>
      <c r="AH60" s="526"/>
      <c r="AI60" s="526"/>
      <c r="AJ60" s="526"/>
      <c r="AK60" s="526"/>
      <c r="AL60" s="526"/>
      <c r="AM60" s="526"/>
      <c r="AN60" s="526"/>
      <c r="AO60" s="526"/>
      <c r="AP60" s="526"/>
      <c r="AQ60" s="526"/>
      <c r="AR60" s="526"/>
      <c r="AS60" s="526"/>
    </row>
    <row r="61" spans="1:45">
      <c r="A61" t="s">
        <v>67</v>
      </c>
      <c r="B61" t="s">
        <v>651</v>
      </c>
      <c r="C61" t="s">
        <v>1111</v>
      </c>
      <c r="T61" s="522" t="s">
        <v>1226</v>
      </c>
      <c r="U61" s="523"/>
      <c r="V61" s="523"/>
      <c r="W61" s="523"/>
      <c r="X61" s="523"/>
      <c r="Y61" s="523"/>
      <c r="Z61" s="523"/>
      <c r="AA61" s="523"/>
      <c r="AB61" s="523"/>
      <c r="AC61" s="523"/>
      <c r="AD61" s="523"/>
      <c r="AE61" s="523"/>
      <c r="AF61" s="523"/>
      <c r="AG61"/>
      <c r="AH61" s="526"/>
      <c r="AI61" s="526"/>
      <c r="AJ61" s="526"/>
      <c r="AK61" s="526"/>
      <c r="AL61" s="526"/>
      <c r="AM61" s="526"/>
      <c r="AN61" s="526"/>
      <c r="AO61" s="526"/>
      <c r="AP61" s="526"/>
      <c r="AQ61" s="526"/>
      <c r="AR61" s="526"/>
      <c r="AS61" s="526"/>
    </row>
    <row r="62" spans="1:45" ht="15.6">
      <c r="A62" t="s">
        <v>67</v>
      </c>
      <c r="B62" t="s">
        <v>651</v>
      </c>
      <c r="C62" s="251" t="s">
        <v>1201</v>
      </c>
      <c r="D62" s="251"/>
      <c r="E62" s="145">
        <f>VLOOKUP($A62&amp;" KWH Sales",'2017 TEST'!$A$13:$R$274,'2017 TEST'!C$9,FALSE)/1000</f>
        <v>2125027.898</v>
      </c>
      <c r="F62" s="145">
        <f>VLOOKUP($A62&amp;" KWH Sales",'2017 TEST'!$A$13:$R$274,'2017 TEST'!D$9,FALSE)/1000</f>
        <v>1868655.365</v>
      </c>
      <c r="G62" s="145">
        <f>VLOOKUP($A62&amp;" KWH Sales",'2017 TEST'!$A$13:$R$274,'2017 TEST'!E$9,FALSE)/1000</f>
        <v>1921617.5419999999</v>
      </c>
      <c r="H62" s="145">
        <f>VLOOKUP($A62&amp;" KWH Sales",'2017 TEST'!$A$13:$R$274,'2017 TEST'!F$9,FALSE)/1000</f>
        <v>1978696.3489999999</v>
      </c>
      <c r="I62" s="145">
        <f>VLOOKUP($A62&amp;" KWH Sales",'2017 TEST'!$A$13:$R$274,'2017 TEST'!G$9,FALSE)/1000</f>
        <v>2175878.2379999999</v>
      </c>
      <c r="J62" s="145">
        <f>VLOOKUP($A62&amp;" KWH Sales",'2017 TEST'!$A$13:$R$274,'2017 TEST'!H$9,FALSE)/1000</f>
        <v>2293502.5260000001</v>
      </c>
      <c r="K62" s="145">
        <f>VLOOKUP($A62&amp;" KWH Sales",'2017 TEST'!$A$13:$R$274,'2017 TEST'!I$9,FALSE)/1000</f>
        <v>2382585.585</v>
      </c>
      <c r="L62" s="145">
        <f>VLOOKUP($A62&amp;" KWH Sales",'2017 TEST'!$A$13:$R$274,'2017 TEST'!J$9,FALSE)/1000</f>
        <v>2376881.395</v>
      </c>
      <c r="M62" s="145">
        <f>VLOOKUP($A62&amp;" KWH Sales",'2017 TEST'!$A$13:$R$274,'2017 TEST'!K$9,FALSE)/1000</f>
        <v>2357807.65</v>
      </c>
      <c r="N62" s="145">
        <f>VLOOKUP($A62&amp;" KWH Sales",'2017 TEST'!$A$13:$R$274,'2017 TEST'!L$9,FALSE)/1000</f>
        <v>2225515.8670000001</v>
      </c>
      <c r="O62" s="145">
        <f>VLOOKUP($A62&amp;" KWH Sales",'2017 TEST'!$A$13:$R$274,'2017 TEST'!M$9,FALSE)/1000</f>
        <v>2047495.2549999999</v>
      </c>
      <c r="P62" s="145">
        <f>VLOOKUP($A62&amp;" KWH Sales",'2017 TEST'!$A$13:$R$274,'2017 TEST'!N$9,FALSE)/1000</f>
        <v>2071765.1140000001</v>
      </c>
      <c r="T62" s="206" t="s">
        <v>1261</v>
      </c>
      <c r="U62" s="523">
        <v>2125027.898</v>
      </c>
      <c r="V62" s="523">
        <v>1868655.365</v>
      </c>
      <c r="W62" s="523">
        <v>1921617.5419999999</v>
      </c>
      <c r="X62" s="523">
        <v>1978696.3489999999</v>
      </c>
      <c r="Y62" s="523">
        <v>2175878.2379999999</v>
      </c>
      <c r="Z62" s="523">
        <v>2293502.5260000001</v>
      </c>
      <c r="AA62" s="523">
        <v>2382585.585</v>
      </c>
      <c r="AB62" s="523">
        <v>2376881.395</v>
      </c>
      <c r="AC62" s="523">
        <v>2357807.65</v>
      </c>
      <c r="AD62" s="523">
        <v>2225515.8670000001</v>
      </c>
      <c r="AE62" s="523">
        <v>2047495.2549999999</v>
      </c>
      <c r="AF62" s="523">
        <v>2071765.1140000001</v>
      </c>
      <c r="AG62"/>
      <c r="AH62" s="526">
        <f>U62-E62</f>
        <v>0</v>
      </c>
      <c r="AI62" s="526">
        <f t="shared" ref="AI62:AI69" si="54">V62-F62</f>
        <v>0</v>
      </c>
      <c r="AJ62" s="526">
        <f t="shared" ref="AJ62:AJ69" si="55">W62-G62</f>
        <v>0</v>
      </c>
      <c r="AK62" s="526">
        <f t="shared" ref="AK62:AK69" si="56">X62-H62</f>
        <v>0</v>
      </c>
      <c r="AL62" s="526">
        <f t="shared" ref="AL62:AL69" si="57">Y62-I62</f>
        <v>0</v>
      </c>
      <c r="AM62" s="526">
        <f t="shared" ref="AM62:AM69" si="58">Z62-J62</f>
        <v>0</v>
      </c>
      <c r="AN62" s="526">
        <f t="shared" ref="AN62:AN69" si="59">AA62-K62</f>
        <v>0</v>
      </c>
      <c r="AO62" s="526">
        <f t="shared" ref="AO62:AO69" si="60">AB62-L62</f>
        <v>0</v>
      </c>
      <c r="AP62" s="526">
        <f t="shared" ref="AP62:AP69" si="61">AC62-M62</f>
        <v>0</v>
      </c>
      <c r="AQ62" s="526">
        <f t="shared" ref="AQ62:AQ69" si="62">AD62-N62</f>
        <v>0</v>
      </c>
      <c r="AR62" s="526">
        <f t="shared" ref="AR62:AR69" si="63">AE62-O62</f>
        <v>0</v>
      </c>
      <c r="AS62" s="526">
        <f t="shared" ref="AS62:AS64" si="64">AF62-P62</f>
        <v>0</v>
      </c>
    </row>
    <row r="63" spans="1:45" s="518" customFormat="1">
      <c r="A63" t="s">
        <v>67</v>
      </c>
      <c r="B63" t="s">
        <v>651</v>
      </c>
      <c r="C63" s="240" t="s">
        <v>148</v>
      </c>
      <c r="D63" s="240"/>
      <c r="E63" s="145">
        <f>VLOOKUP($A63&amp;" CP",'2017 TEST'!$A$13:$R$274,'2017 TEST'!C$9,FALSE)</f>
        <v>3364719.4257909395</v>
      </c>
      <c r="F63" s="145">
        <f>VLOOKUP($A63&amp;" CP",'2017 TEST'!$A$13:$R$274,'2017 TEST'!D$9,FALSE)</f>
        <v>3961309.4661161024</v>
      </c>
      <c r="G63" s="145">
        <f>VLOOKUP($A63&amp;" CP",'2017 TEST'!$A$13:$R$274,'2017 TEST'!E$9,FALSE)</f>
        <v>3275109.4076653617</v>
      </c>
      <c r="H63" s="145">
        <f>VLOOKUP($A63&amp;" CP",'2017 TEST'!$A$13:$R$274,'2017 TEST'!F$9,FALSE)</f>
        <v>3986241.5397746819</v>
      </c>
      <c r="I63" s="145">
        <f>VLOOKUP($A63&amp;" CP",'2017 TEST'!$A$13:$R$274,'2017 TEST'!G$9,FALSE)</f>
        <v>4317220.3999030599</v>
      </c>
      <c r="J63" s="145">
        <f>VLOOKUP($A63&amp;" CP",'2017 TEST'!$A$13:$R$274,'2017 TEST'!H$9,FALSE)</f>
        <v>4536044.4577455465</v>
      </c>
      <c r="K63" s="145">
        <f>VLOOKUP($A63&amp;" CP",'2017 TEST'!$A$13:$R$274,'2017 TEST'!I$9,FALSE)</f>
        <v>4580720.2179859588</v>
      </c>
      <c r="L63" s="145">
        <f>VLOOKUP($A63&amp;" CP",'2017 TEST'!$A$13:$R$274,'2017 TEST'!J$9,FALSE)</f>
        <v>4583823.9927705741</v>
      </c>
      <c r="M63" s="145">
        <f>VLOOKUP($A63&amp;" CP",'2017 TEST'!$A$13:$R$274,'2017 TEST'!K$9,FALSE)</f>
        <v>4299307.7008263785</v>
      </c>
      <c r="N63" s="145">
        <f>VLOOKUP($A63&amp;" CP",'2017 TEST'!$A$13:$R$274,'2017 TEST'!L$9,FALSE)</f>
        <v>4213048.7621833598</v>
      </c>
      <c r="O63" s="145">
        <f>VLOOKUP($A63&amp;" CP",'2017 TEST'!$A$13:$R$274,'2017 TEST'!M$9,FALSE)</f>
        <v>3951865.6764787845</v>
      </c>
      <c r="P63" s="145">
        <f>VLOOKUP($A63&amp;" CP",'2017 TEST'!$A$13:$R$274,'2017 TEST'!N$9,FALSE)</f>
        <v>3721863.1454595318</v>
      </c>
      <c r="Q63" s="240"/>
      <c r="R63" s="240"/>
      <c r="T63" s="206" t="s">
        <v>148</v>
      </c>
      <c r="U63" s="523">
        <v>3364725.291274962</v>
      </c>
      <c r="V63" s="523">
        <v>3961324.2959959093</v>
      </c>
      <c r="W63" s="523">
        <v>3275101.726893825</v>
      </c>
      <c r="X63" s="523">
        <v>3986201.7699643075</v>
      </c>
      <c r="Y63" s="523">
        <v>4317262.9548392938</v>
      </c>
      <c r="Z63" s="523">
        <v>4536051.1746520605</v>
      </c>
      <c r="AA63" s="523">
        <v>4580733.9161113128</v>
      </c>
      <c r="AB63" s="523">
        <v>4583812.0306376815</v>
      </c>
      <c r="AC63" s="523">
        <v>4299301.3937900625</v>
      </c>
      <c r="AD63" s="523">
        <v>4213047.5981196556</v>
      </c>
      <c r="AE63" s="523">
        <v>3951870.6860445095</v>
      </c>
      <c r="AF63" s="523">
        <v>3721860.3285304899</v>
      </c>
      <c r="AG63"/>
      <c r="AH63" s="526">
        <f t="shared" ref="AH63:AH69" si="65">U63-E63</f>
        <v>5.8654840225353837</v>
      </c>
      <c r="AI63" s="526">
        <f t="shared" si="54"/>
        <v>14.829879806842655</v>
      </c>
      <c r="AJ63" s="526">
        <f t="shared" si="55"/>
        <v>-7.6807715366594493</v>
      </c>
      <c r="AK63" s="526">
        <f t="shared" si="56"/>
        <v>-39.769810374360532</v>
      </c>
      <c r="AL63" s="526">
        <f t="shared" si="57"/>
        <v>42.554936233907938</v>
      </c>
      <c r="AM63" s="526">
        <f t="shared" si="58"/>
        <v>6.716906514018774</v>
      </c>
      <c r="AN63" s="526">
        <f t="shared" si="59"/>
        <v>13.698125354014337</v>
      </c>
      <c r="AO63" s="526">
        <f t="shared" si="60"/>
        <v>-11.96213289257139</v>
      </c>
      <c r="AP63" s="526">
        <f t="shared" si="61"/>
        <v>-6.3070363160222769</v>
      </c>
      <c r="AQ63" s="526">
        <f t="shared" si="62"/>
        <v>-1.164063704200089</v>
      </c>
      <c r="AR63" s="526">
        <f t="shared" si="63"/>
        <v>5.009565724991262</v>
      </c>
      <c r="AS63" s="526">
        <f t="shared" si="64"/>
        <v>-2.8169290418736637</v>
      </c>
    </row>
    <row r="64" spans="1:45" s="518" customFormat="1">
      <c r="A64" t="s">
        <v>67</v>
      </c>
      <c r="B64" t="s">
        <v>651</v>
      </c>
      <c r="C64" s="240" t="s">
        <v>147</v>
      </c>
      <c r="D64" s="240"/>
      <c r="E64" s="145">
        <f>VLOOKUP($A64&amp;" GNCP",'2017 TEST'!$A$13:$R$274,'2017 TEST'!C$9,FALSE)</f>
        <v>4162991.6159461164</v>
      </c>
      <c r="F64" s="145">
        <f>VLOOKUP($A64&amp;" GNCP",'2017 TEST'!$A$13:$R$274,'2017 TEST'!D$9,FALSE)</f>
        <v>4054188.2313848315</v>
      </c>
      <c r="G64" s="145">
        <f>VLOOKUP($A64&amp;" GNCP",'2017 TEST'!$A$13:$R$274,'2017 TEST'!E$9,FALSE)</f>
        <v>3732874.5601373231</v>
      </c>
      <c r="H64" s="145">
        <f>VLOOKUP($A64&amp;" GNCP",'2017 TEST'!$A$13:$R$274,'2017 TEST'!F$9,FALSE)</f>
        <v>4062639.4880217826</v>
      </c>
      <c r="I64" s="145">
        <f>VLOOKUP($A64&amp;" GNCP",'2017 TEST'!$A$13:$R$274,'2017 TEST'!G$9,FALSE)</f>
        <v>4317220.3999030599</v>
      </c>
      <c r="J64" s="145">
        <f>VLOOKUP($A64&amp;" GNCP",'2017 TEST'!$A$13:$R$274,'2017 TEST'!H$9,FALSE)</f>
        <v>4548061.1015355242</v>
      </c>
      <c r="K64" s="145">
        <f>VLOOKUP($A64&amp;" GNCP",'2017 TEST'!$A$13:$R$274,'2017 TEST'!I$9,FALSE)</f>
        <v>4580720.2179859588</v>
      </c>
      <c r="L64" s="145">
        <f>VLOOKUP($A64&amp;" GNCP",'2017 TEST'!$A$13:$R$274,'2017 TEST'!J$9,FALSE)</f>
        <v>4583823.9927705741</v>
      </c>
      <c r="M64" s="145">
        <f>VLOOKUP($A64&amp;" GNCP",'2017 TEST'!$A$13:$R$274,'2017 TEST'!K$9,FALSE)</f>
        <v>4684415.5198050505</v>
      </c>
      <c r="N64" s="145">
        <f>VLOOKUP($A64&amp;" GNCP",'2017 TEST'!$A$13:$R$274,'2017 TEST'!L$9,FALSE)</f>
        <v>4378315.5982081927</v>
      </c>
      <c r="O64" s="145">
        <f>VLOOKUP($A64&amp;" GNCP",'2017 TEST'!$A$13:$R$274,'2017 TEST'!M$9,FALSE)</f>
        <v>4238799.9346630806</v>
      </c>
      <c r="P64" s="145">
        <f>VLOOKUP($A64&amp;" GNCP",'2017 TEST'!$A$13:$R$274,'2017 TEST'!N$9,FALSE)</f>
        <v>4101395.1772440812</v>
      </c>
      <c r="Q64" s="240"/>
      <c r="R64" s="240"/>
      <c r="T64" s="206" t="s">
        <v>342</v>
      </c>
      <c r="U64" s="523">
        <v>4162991.6159461164</v>
      </c>
      <c r="V64" s="523">
        <v>4054188.2313848315</v>
      </c>
      <c r="W64" s="523">
        <v>3732874.5601373231</v>
      </c>
      <c r="X64" s="523">
        <v>4062639.4880217826</v>
      </c>
      <c r="Y64" s="523">
        <v>4317262.9548392938</v>
      </c>
      <c r="Z64" s="523">
        <v>4548061.1015355242</v>
      </c>
      <c r="AA64" s="523">
        <v>4580733.9161113128</v>
      </c>
      <c r="AB64" s="523">
        <v>4583812.0306376815</v>
      </c>
      <c r="AC64" s="523">
        <v>4684415.5198050505</v>
      </c>
      <c r="AD64" s="523">
        <v>4378315.5982081927</v>
      </c>
      <c r="AE64" s="523">
        <v>4238799.9346630806</v>
      </c>
      <c r="AF64" s="523">
        <v>4101395.1772440812</v>
      </c>
      <c r="AG64"/>
      <c r="AH64" s="526">
        <f t="shared" si="65"/>
        <v>0</v>
      </c>
      <c r="AI64" s="526">
        <f t="shared" si="54"/>
        <v>0</v>
      </c>
      <c r="AJ64" s="526">
        <f t="shared" si="55"/>
        <v>0</v>
      </c>
      <c r="AK64" s="526">
        <f t="shared" si="56"/>
        <v>0</v>
      </c>
      <c r="AL64" s="526">
        <f t="shared" si="57"/>
        <v>42.554936233907938</v>
      </c>
      <c r="AM64" s="526">
        <f t="shared" si="58"/>
        <v>0</v>
      </c>
      <c r="AN64" s="526">
        <f t="shared" si="59"/>
        <v>13.698125354014337</v>
      </c>
      <c r="AO64" s="526">
        <f t="shared" si="60"/>
        <v>-11.96213289257139</v>
      </c>
      <c r="AP64" s="526">
        <f t="shared" si="61"/>
        <v>0</v>
      </c>
      <c r="AQ64" s="526">
        <f t="shared" si="62"/>
        <v>0</v>
      </c>
      <c r="AR64" s="526">
        <f t="shared" si="63"/>
        <v>0</v>
      </c>
      <c r="AS64" s="526">
        <f t="shared" si="64"/>
        <v>0</v>
      </c>
    </row>
    <row r="65" spans="1:45" s="518" customFormat="1">
      <c r="A65" t="s">
        <v>67</v>
      </c>
      <c r="B65" t="s">
        <v>651</v>
      </c>
      <c r="C65" s="240" t="s">
        <v>133</v>
      </c>
      <c r="D65" s="240"/>
      <c r="E65" s="145">
        <f>VLOOKUP($A65&amp;" NCP",'2017 TEST'!$A$13:$R$274,'2017 TEST'!C$9,FALSE)</f>
        <v>6047828.5659530647</v>
      </c>
      <c r="F65" s="145">
        <f>VLOOKUP($A65&amp;" NCP",'2017 TEST'!$A$13:$R$274,'2017 TEST'!D$9,FALSE)</f>
        <v>5809093.5543667004</v>
      </c>
      <c r="G65" s="145">
        <f>VLOOKUP($A65&amp;" NCP",'2017 TEST'!$A$13:$R$274,'2017 TEST'!E$9,FALSE)</f>
        <v>5410039.2042280966</v>
      </c>
      <c r="H65" s="145">
        <f>VLOOKUP($A65&amp;" NCP",'2017 TEST'!$A$13:$R$274,'2017 TEST'!F$9,FALSE)</f>
        <v>5563624.4375873804</v>
      </c>
      <c r="I65" s="145">
        <f>VLOOKUP($A65&amp;" NCP",'2017 TEST'!$A$13:$R$274,'2017 TEST'!G$9,FALSE)</f>
        <v>5738762.9851899119</v>
      </c>
      <c r="J65" s="145">
        <f>VLOOKUP($A65&amp;" NCP",'2017 TEST'!$A$13:$R$274,'2017 TEST'!H$9,FALSE)</f>
        <v>6121520.9779870743</v>
      </c>
      <c r="K65" s="145">
        <f>VLOOKUP($A65&amp;" NCP",'2017 TEST'!$A$13:$R$274,'2017 TEST'!I$9,FALSE)</f>
        <v>6011736.3191369297</v>
      </c>
      <c r="L65" s="145">
        <f>VLOOKUP($A65&amp;" NCP",'2017 TEST'!$A$13:$R$274,'2017 TEST'!J$9,FALSE)</f>
        <v>5974400.8057077946</v>
      </c>
      <c r="M65" s="145">
        <f>VLOOKUP($A65&amp;" NCP",'2017 TEST'!$A$13:$R$274,'2017 TEST'!K$9,FALSE)</f>
        <v>6244346.132533839</v>
      </c>
      <c r="N65" s="145">
        <f>VLOOKUP($A65&amp;" NCP",'2017 TEST'!$A$13:$R$274,'2017 TEST'!L$9,FALSE)</f>
        <v>5924812.1289751818</v>
      </c>
      <c r="O65" s="145">
        <f>VLOOKUP($A65&amp;" NCP",'2017 TEST'!$A$13:$R$274,'2017 TEST'!M$9,FALSE)</f>
        <v>5935624.1522393478</v>
      </c>
      <c r="P65" s="145">
        <f>VLOOKUP($A65&amp;" NCP",'2017 TEST'!$A$13:$R$274,'2017 TEST'!N$9,FALSE)</f>
        <v>5756206.6721373517</v>
      </c>
      <c r="Q65" s="240"/>
      <c r="R65" s="240"/>
      <c r="T65" s="206" t="s">
        <v>133</v>
      </c>
      <c r="U65" s="523">
        <v>6047828.5659530647</v>
      </c>
      <c r="V65" s="523">
        <v>5809093.5543667004</v>
      </c>
      <c r="W65" s="523">
        <v>5410039.2042280966</v>
      </c>
      <c r="X65" s="523">
        <v>5563624.4375873804</v>
      </c>
      <c r="Y65" s="523">
        <v>5738762.9851899119</v>
      </c>
      <c r="Z65" s="523">
        <v>6121520.9779870743</v>
      </c>
      <c r="AA65" s="523">
        <v>6011736.3191369297</v>
      </c>
      <c r="AB65" s="523">
        <v>5974400.8057077946</v>
      </c>
      <c r="AC65" s="523">
        <v>6244346.132533839</v>
      </c>
      <c r="AD65" s="523">
        <v>5924812.1289751818</v>
      </c>
      <c r="AE65" s="523">
        <v>5935624.1522393478</v>
      </c>
      <c r="AF65" s="523">
        <v>5756206.6721373517</v>
      </c>
      <c r="AG65"/>
      <c r="AH65" s="526">
        <f t="shared" si="65"/>
        <v>0</v>
      </c>
      <c r="AI65" s="526">
        <f t="shared" si="54"/>
        <v>0</v>
      </c>
      <c r="AJ65" s="526">
        <f t="shared" si="55"/>
        <v>0</v>
      </c>
      <c r="AK65" s="526">
        <f t="shared" si="56"/>
        <v>0</v>
      </c>
      <c r="AL65" s="526">
        <f t="shared" si="57"/>
        <v>0</v>
      </c>
      <c r="AM65" s="526">
        <f t="shared" si="58"/>
        <v>0</v>
      </c>
      <c r="AN65" s="526">
        <f t="shared" si="59"/>
        <v>0</v>
      </c>
      <c r="AO65" s="526">
        <f t="shared" si="60"/>
        <v>0</v>
      </c>
      <c r="AP65" s="526">
        <f t="shared" si="61"/>
        <v>0</v>
      </c>
      <c r="AQ65" s="526">
        <f t="shared" si="62"/>
        <v>0</v>
      </c>
      <c r="AR65" s="526">
        <f t="shared" si="63"/>
        <v>0</v>
      </c>
      <c r="AS65" s="526">
        <f>AF65-P65</f>
        <v>0</v>
      </c>
    </row>
    <row r="66" spans="1:45" s="518" customFormat="1">
      <c r="A66" t="s">
        <v>67</v>
      </c>
      <c r="B66" t="s">
        <v>651</v>
      </c>
      <c r="C66" s="240" t="s">
        <v>1197</v>
      </c>
      <c r="D66" s="240"/>
      <c r="E66" s="230">
        <f>'GSD(T)-1'!C67</f>
        <v>0.84887324367004102</v>
      </c>
      <c r="F66" s="230">
        <f>'GSD(T)-1'!D67</f>
        <v>0.7019742269780338</v>
      </c>
      <c r="G66" s="230">
        <f>'GSD(T)-1'!E67</f>
        <v>0.78862076205352316</v>
      </c>
      <c r="H66" s="230">
        <f>'GSD(T)-1'!F67</f>
        <v>0.68941867826866554</v>
      </c>
      <c r="I66" s="230">
        <f>'GSD(T)-1'!G67</f>
        <v>0.67741909221480046</v>
      </c>
      <c r="J66" s="230">
        <f>'GSD(T)-1'!H67</f>
        <v>0.70224624222117549</v>
      </c>
      <c r="K66" s="230">
        <f>'GSD(T)-1'!I67</f>
        <v>0.69910403330564774</v>
      </c>
      <c r="L66" s="230">
        <f>'GSD(T)-1'!J67</f>
        <v>0.69695805572690084</v>
      </c>
      <c r="M66" s="230">
        <f>'GSD(T)-1'!K67</f>
        <v>0.76168841011141841</v>
      </c>
      <c r="N66" s="230">
        <f>'GSD(T)-1'!L67</f>
        <v>0.71000478188695881</v>
      </c>
      <c r="O66" s="230">
        <f>'GSD(T)-1'!M67</f>
        <v>0.71959515897718251</v>
      </c>
      <c r="P66" s="230">
        <f>'GSD(T)-1'!N67</f>
        <v>0.74818187040729556</v>
      </c>
      <c r="Q66" s="240"/>
      <c r="R66" s="240"/>
      <c r="T66" s="206" t="s">
        <v>1197</v>
      </c>
      <c r="U66" s="524">
        <v>0.84887176389026209</v>
      </c>
      <c r="V66" s="524">
        <v>0.70197159902015016</v>
      </c>
      <c r="W66" s="524">
        <v>0.78862261152764868</v>
      </c>
      <c r="X66" s="524">
        <v>0.68942555650807369</v>
      </c>
      <c r="Y66" s="524">
        <v>0.67741241494575866</v>
      </c>
      <c r="Z66" s="524">
        <v>0.7022452023470257</v>
      </c>
      <c r="AA66" s="524">
        <v>0.69910194272041415</v>
      </c>
      <c r="AB66" s="524">
        <v>0.6969598745416401</v>
      </c>
      <c r="AC66" s="524">
        <v>0.76168952750143692</v>
      </c>
      <c r="AD66" s="524">
        <v>0.710004978061053</v>
      </c>
      <c r="AE66" s="524">
        <v>0.71959424678659467</v>
      </c>
      <c r="AF66" s="524">
        <v>0.74818243667659456</v>
      </c>
      <c r="AG66"/>
      <c r="AH66" s="526">
        <f t="shared" si="65"/>
        <v>-1.4797797789345424E-6</v>
      </c>
      <c r="AI66" s="526">
        <f t="shared" si="54"/>
        <v>-2.6279578836385653E-6</v>
      </c>
      <c r="AJ66" s="526">
        <f t="shared" si="55"/>
        <v>1.8494741255148384E-6</v>
      </c>
      <c r="AK66" s="526">
        <f t="shared" si="56"/>
        <v>6.8782394081479126E-6</v>
      </c>
      <c r="AL66" s="526">
        <f t="shared" si="57"/>
        <v>-6.6772690417993275E-6</v>
      </c>
      <c r="AM66" s="526">
        <f t="shared" si="58"/>
        <v>-1.0398741497885666E-6</v>
      </c>
      <c r="AN66" s="526">
        <f t="shared" si="59"/>
        <v>-2.0905852335939556E-6</v>
      </c>
      <c r="AO66" s="526">
        <f t="shared" si="60"/>
        <v>1.8188147392628196E-6</v>
      </c>
      <c r="AP66" s="526">
        <f t="shared" si="61"/>
        <v>1.1173900185124097E-6</v>
      </c>
      <c r="AQ66" s="526">
        <f t="shared" si="62"/>
        <v>1.9617409419137033E-7</v>
      </c>
      <c r="AR66" s="526">
        <f t="shared" si="63"/>
        <v>-9.1219058784286489E-7</v>
      </c>
      <c r="AS66" s="526">
        <f t="shared" ref="AS66:AS69" si="66">AF66-P66</f>
        <v>5.662692990071605E-7</v>
      </c>
    </row>
    <row r="67" spans="1:45" s="518" customFormat="1">
      <c r="A67" t="s">
        <v>67</v>
      </c>
      <c r="B67" t="s">
        <v>651</v>
      </c>
      <c r="C67" s="240" t="s">
        <v>1198</v>
      </c>
      <c r="D67" s="240"/>
      <c r="E67" s="230">
        <f>'GSD(T)-1'!C68</f>
        <v>0.68609801712550988</v>
      </c>
      <c r="F67" s="230">
        <f>'GSD(T)-1'!D68</f>
        <v>0.68589246270585058</v>
      </c>
      <c r="G67" s="230">
        <f>'GSD(T)-1'!E68</f>
        <v>0.69191161804984547</v>
      </c>
      <c r="H67" s="230">
        <f>'GSD(T)-1'!F68</f>
        <v>0.67645415787293606</v>
      </c>
      <c r="I67" s="230">
        <f>'GSD(T)-1'!G68</f>
        <v>0.67741909221480046</v>
      </c>
      <c r="J67" s="230">
        <f>'GSD(T)-1'!H68</f>
        <v>0.7003908047595343</v>
      </c>
      <c r="K67" s="230">
        <f>'GSD(T)-1'!I68</f>
        <v>0.69910403330564774</v>
      </c>
      <c r="L67" s="230">
        <f>'GSD(T)-1'!J68</f>
        <v>0.69695805572690084</v>
      </c>
      <c r="M67" s="230">
        <f>'GSD(T)-1'!K68</f>
        <v>0.69906967761017613</v>
      </c>
      <c r="N67" s="230">
        <f>'GSD(T)-1'!L68</f>
        <v>0.68320446536501145</v>
      </c>
      <c r="O67" s="230">
        <f>'GSD(T)-1'!M68</f>
        <v>0.67088408359812246</v>
      </c>
      <c r="P67" s="230">
        <f>'GSD(T)-1'!N68</f>
        <v>0.67894714096801956</v>
      </c>
      <c r="Q67" s="240"/>
      <c r="R67" s="240"/>
      <c r="T67" s="206" t="s">
        <v>1221</v>
      </c>
      <c r="U67" s="524">
        <v>0.68609801712550988</v>
      </c>
      <c r="V67" s="524">
        <v>0.68589246270585058</v>
      </c>
      <c r="W67" s="524">
        <v>0.69191161804984547</v>
      </c>
      <c r="X67" s="524">
        <v>0.67645415787293606</v>
      </c>
      <c r="Y67" s="524">
        <v>0.67741241494575866</v>
      </c>
      <c r="Z67" s="524">
        <v>0.7003908047595343</v>
      </c>
      <c r="AA67" s="524">
        <v>0.69910194272041415</v>
      </c>
      <c r="AB67" s="524">
        <v>0.6969598745416401</v>
      </c>
      <c r="AC67" s="524">
        <v>0.69906967761017602</v>
      </c>
      <c r="AD67" s="524">
        <v>0.68320446536501134</v>
      </c>
      <c r="AE67" s="524">
        <v>0.67088408359812246</v>
      </c>
      <c r="AF67" s="524">
        <v>0.67894714096801956</v>
      </c>
      <c r="AG67"/>
      <c r="AH67" s="526">
        <f t="shared" si="65"/>
        <v>0</v>
      </c>
      <c r="AI67" s="526">
        <f t="shared" si="54"/>
        <v>0</v>
      </c>
      <c r="AJ67" s="526">
        <f t="shared" si="55"/>
        <v>0</v>
      </c>
      <c r="AK67" s="526">
        <f t="shared" si="56"/>
        <v>0</v>
      </c>
      <c r="AL67" s="526">
        <f t="shared" si="57"/>
        <v>-6.6772690417993275E-6</v>
      </c>
      <c r="AM67" s="526">
        <f t="shared" si="58"/>
        <v>0</v>
      </c>
      <c r="AN67" s="526">
        <f t="shared" si="59"/>
        <v>-2.0905852335939556E-6</v>
      </c>
      <c r="AO67" s="526">
        <f t="shared" si="60"/>
        <v>1.8188147392628196E-6</v>
      </c>
      <c r="AP67" s="526">
        <f t="shared" si="61"/>
        <v>0</v>
      </c>
      <c r="AQ67" s="526">
        <f t="shared" si="62"/>
        <v>0</v>
      </c>
      <c r="AR67" s="526">
        <f t="shared" si="63"/>
        <v>0</v>
      </c>
      <c r="AS67" s="526">
        <f t="shared" si="66"/>
        <v>0</v>
      </c>
    </row>
    <row r="68" spans="1:45" s="518" customFormat="1">
      <c r="A68" t="s">
        <v>67</v>
      </c>
      <c r="B68" t="s">
        <v>651</v>
      </c>
      <c r="C68" s="240" t="s">
        <v>1199</v>
      </c>
      <c r="D68" s="240"/>
      <c r="E68" s="230">
        <f>'GSD(T)-1'!C69</f>
        <v>0.47227203315420813</v>
      </c>
      <c r="F68" s="230">
        <f>'GSD(T)-1'!D69</f>
        <v>0.47868692839476418</v>
      </c>
      <c r="G68" s="230">
        <f>'GSD(T)-1'!E69</f>
        <v>0.47741230319794636</v>
      </c>
      <c r="H68" s="230">
        <f>'GSD(T)-1'!F69</f>
        <v>0.49395666519914144</v>
      </c>
      <c r="I68" s="230">
        <f>'GSD(T)-1'!G69</f>
        <v>0.50961636362069873</v>
      </c>
      <c r="J68" s="230">
        <f>'GSD(T)-1'!H69</f>
        <v>0.52036416871799307</v>
      </c>
      <c r="K68" s="230">
        <f>'GSD(T)-1'!I69</f>
        <v>0.53269135734457163</v>
      </c>
      <c r="L68" s="230">
        <f>'GSD(T)-1'!J69</f>
        <v>0.53473698228339983</v>
      </c>
      <c r="M68" s="230">
        <f>'GSD(T)-1'!K69</f>
        <v>0.52443166629736404</v>
      </c>
      <c r="N68" s="230">
        <f>'GSD(T)-1'!L69</f>
        <v>0.50487419724995108</v>
      </c>
      <c r="O68" s="230">
        <f>'GSD(T)-1'!M69</f>
        <v>0.47909762087098384</v>
      </c>
      <c r="P68" s="230">
        <f>'GSD(T)-1'!N69</f>
        <v>0.4837613880420184</v>
      </c>
      <c r="Q68" s="240"/>
      <c r="R68" s="240"/>
      <c r="T68" s="206" t="s">
        <v>1199</v>
      </c>
      <c r="U68" s="524">
        <v>0.47227203315420813</v>
      </c>
      <c r="V68" s="524">
        <v>0.47868692839476418</v>
      </c>
      <c r="W68" s="524">
        <v>0.47741230319794631</v>
      </c>
      <c r="X68" s="524">
        <v>0.49395666519914139</v>
      </c>
      <c r="Y68" s="524">
        <v>0.50961636362069862</v>
      </c>
      <c r="Z68" s="524">
        <v>0.52036416871799307</v>
      </c>
      <c r="AA68" s="524">
        <v>0.53269135734457151</v>
      </c>
      <c r="AB68" s="524">
        <v>0.53473698228339983</v>
      </c>
      <c r="AC68" s="524">
        <v>0.52443166629736404</v>
      </c>
      <c r="AD68" s="524">
        <v>0.50487419724995108</v>
      </c>
      <c r="AE68" s="524">
        <v>0.4790976208709839</v>
      </c>
      <c r="AF68" s="524">
        <v>0.48376138804201835</v>
      </c>
      <c r="AG68"/>
      <c r="AH68" s="526">
        <f t="shared" si="65"/>
        <v>0</v>
      </c>
      <c r="AI68" s="526">
        <f t="shared" si="54"/>
        <v>0</v>
      </c>
      <c r="AJ68" s="526">
        <f t="shared" si="55"/>
        <v>0</v>
      </c>
      <c r="AK68" s="526">
        <f t="shared" si="56"/>
        <v>0</v>
      </c>
      <c r="AL68" s="526">
        <f t="shared" si="57"/>
        <v>0</v>
      </c>
      <c r="AM68" s="526">
        <f t="shared" si="58"/>
        <v>0</v>
      </c>
      <c r="AN68" s="526">
        <f t="shared" si="59"/>
        <v>0</v>
      </c>
      <c r="AO68" s="526">
        <f t="shared" si="60"/>
        <v>0</v>
      </c>
      <c r="AP68" s="526">
        <f t="shared" si="61"/>
        <v>0</v>
      </c>
      <c r="AQ68" s="526">
        <f t="shared" si="62"/>
        <v>0</v>
      </c>
      <c r="AR68" s="526">
        <f t="shared" si="63"/>
        <v>0</v>
      </c>
      <c r="AS68" s="526">
        <f t="shared" si="66"/>
        <v>0</v>
      </c>
    </row>
    <row r="69" spans="1:45" s="518" customFormat="1">
      <c r="A69" t="s">
        <v>67</v>
      </c>
      <c r="B69" t="s">
        <v>651</v>
      </c>
      <c r="C69" s="240" t="s">
        <v>1200</v>
      </c>
      <c r="D69" s="240"/>
      <c r="E69" s="145">
        <f>HOURS!$B$19</f>
        <v>744</v>
      </c>
      <c r="F69" s="145">
        <f>HOURS!$C$19</f>
        <v>672</v>
      </c>
      <c r="G69" s="145">
        <f>HOURS!$D$19</f>
        <v>744</v>
      </c>
      <c r="H69" s="145">
        <f>HOURS!$E$19</f>
        <v>720</v>
      </c>
      <c r="I69" s="145">
        <f>HOURS!$F$19</f>
        <v>744</v>
      </c>
      <c r="J69" s="145">
        <f>HOURS!$G$19</f>
        <v>720</v>
      </c>
      <c r="K69" s="145">
        <f>HOURS!$H$19</f>
        <v>744</v>
      </c>
      <c r="L69" s="145">
        <f>HOURS!$I$19</f>
        <v>744</v>
      </c>
      <c r="M69" s="145">
        <f>HOURS!$J$19</f>
        <v>720</v>
      </c>
      <c r="N69" s="145">
        <f>HOURS!$K$19</f>
        <v>744</v>
      </c>
      <c r="O69" s="145">
        <f>HOURS!$L$19</f>
        <v>720</v>
      </c>
      <c r="P69" s="145">
        <f>HOURS!$M$19</f>
        <v>744</v>
      </c>
      <c r="Q69" s="240"/>
      <c r="R69" s="240"/>
      <c r="T69" s="206" t="s">
        <v>1200</v>
      </c>
      <c r="U69" s="523">
        <v>744</v>
      </c>
      <c r="V69" s="523">
        <v>672</v>
      </c>
      <c r="W69" s="523">
        <v>744</v>
      </c>
      <c r="X69" s="523">
        <v>720</v>
      </c>
      <c r="Y69" s="523">
        <v>744</v>
      </c>
      <c r="Z69" s="523">
        <v>720</v>
      </c>
      <c r="AA69" s="523">
        <v>744</v>
      </c>
      <c r="AB69" s="523">
        <v>744</v>
      </c>
      <c r="AC69" s="523">
        <v>720</v>
      </c>
      <c r="AD69" s="523">
        <v>744</v>
      </c>
      <c r="AE69" s="523">
        <v>720</v>
      </c>
      <c r="AF69" s="523">
        <v>744</v>
      </c>
      <c r="AG69"/>
      <c r="AH69" s="526">
        <f t="shared" si="65"/>
        <v>0</v>
      </c>
      <c r="AI69" s="526">
        <f t="shared" si="54"/>
        <v>0</v>
      </c>
      <c r="AJ69" s="526">
        <f t="shared" si="55"/>
        <v>0</v>
      </c>
      <c r="AK69" s="526">
        <f t="shared" si="56"/>
        <v>0</v>
      </c>
      <c r="AL69" s="526">
        <f t="shared" si="57"/>
        <v>0</v>
      </c>
      <c r="AM69" s="526">
        <f t="shared" si="58"/>
        <v>0</v>
      </c>
      <c r="AN69" s="526">
        <f t="shared" si="59"/>
        <v>0</v>
      </c>
      <c r="AO69" s="526">
        <f t="shared" si="60"/>
        <v>0</v>
      </c>
      <c r="AP69" s="526">
        <f t="shared" si="61"/>
        <v>0</v>
      </c>
      <c r="AQ69" s="526">
        <f t="shared" si="62"/>
        <v>0</v>
      </c>
      <c r="AR69" s="526">
        <f t="shared" si="63"/>
        <v>0</v>
      </c>
      <c r="AS69" s="526">
        <f t="shared" si="66"/>
        <v>0</v>
      </c>
    </row>
    <row r="70" spans="1:45">
      <c r="E70" s="241"/>
      <c r="F70" s="241"/>
      <c r="G70" s="241"/>
      <c r="H70" s="241"/>
      <c r="I70" s="241"/>
      <c r="J70" s="241"/>
      <c r="K70" s="241"/>
      <c r="L70" s="241"/>
      <c r="M70" s="241"/>
      <c r="N70" s="241"/>
      <c r="O70" s="241"/>
      <c r="P70" s="241"/>
      <c r="Q70" s="241"/>
      <c r="R70" s="242"/>
      <c r="T70"/>
      <c r="U70"/>
      <c r="V70"/>
      <c r="W70"/>
      <c r="X70"/>
      <c r="Y70"/>
      <c r="Z70"/>
      <c r="AA70"/>
      <c r="AB70"/>
      <c r="AC70"/>
      <c r="AD70"/>
      <c r="AE70"/>
      <c r="AF70"/>
      <c r="AG70"/>
      <c r="AH70" s="526"/>
      <c r="AI70" s="526"/>
      <c r="AJ70" s="526"/>
      <c r="AK70" s="526"/>
      <c r="AL70" s="526"/>
      <c r="AM70" s="526"/>
      <c r="AN70" s="526"/>
      <c r="AO70" s="526"/>
      <c r="AP70" s="526"/>
      <c r="AQ70" s="526"/>
      <c r="AR70" s="526"/>
      <c r="AS70" s="526"/>
    </row>
    <row r="71" spans="1:45">
      <c r="A71" t="s">
        <v>68</v>
      </c>
      <c r="B71" t="s">
        <v>656</v>
      </c>
      <c r="C71" t="s">
        <v>1110</v>
      </c>
      <c r="T71" s="522" t="s">
        <v>1227</v>
      </c>
      <c r="U71" s="523"/>
      <c r="V71" s="523"/>
      <c r="W71" s="523"/>
      <c r="X71" s="523"/>
      <c r="Y71" s="523"/>
      <c r="Z71" s="523"/>
      <c r="AA71" s="523"/>
      <c r="AB71" s="523"/>
      <c r="AC71" s="523"/>
      <c r="AD71" s="523"/>
      <c r="AE71" s="523"/>
      <c r="AF71" s="523"/>
      <c r="AG71"/>
      <c r="AH71" s="526"/>
      <c r="AI71" s="526"/>
      <c r="AJ71" s="526"/>
      <c r="AK71" s="526"/>
      <c r="AL71" s="526"/>
      <c r="AM71" s="526"/>
      <c r="AN71" s="526"/>
      <c r="AO71" s="526"/>
      <c r="AP71" s="526"/>
      <c r="AQ71" s="526"/>
      <c r="AR71" s="526"/>
      <c r="AS71" s="526"/>
    </row>
    <row r="72" spans="1:45" ht="15.6">
      <c r="A72" t="s">
        <v>68</v>
      </c>
      <c r="B72" t="s">
        <v>656</v>
      </c>
      <c r="C72" s="251" t="s">
        <v>1201</v>
      </c>
      <c r="D72" s="251"/>
      <c r="E72" s="145">
        <f>VLOOKUP($A72&amp;" KWH Sales",'2017 TEST'!$A$13:$R$274,'2017 TEST'!C$9,FALSE)/1000</f>
        <v>869348.95499999996</v>
      </c>
      <c r="F72" s="145">
        <f>VLOOKUP($A72&amp;" KWH Sales",'2017 TEST'!$A$13:$R$274,'2017 TEST'!D$9,FALSE)/1000</f>
        <v>781904.16</v>
      </c>
      <c r="G72" s="145">
        <f>VLOOKUP($A72&amp;" KWH Sales",'2017 TEST'!$A$13:$R$274,'2017 TEST'!E$9,FALSE)/1000</f>
        <v>799875.14199999999</v>
      </c>
      <c r="H72" s="145">
        <f>VLOOKUP($A72&amp;" KWH Sales",'2017 TEST'!$A$13:$R$274,'2017 TEST'!F$9,FALSE)/1000</f>
        <v>813282.61300000001</v>
      </c>
      <c r="I72" s="145">
        <f>VLOOKUP($A72&amp;" KWH Sales",'2017 TEST'!$A$13:$R$274,'2017 TEST'!G$9,FALSE)/1000</f>
        <v>891962.73600000003</v>
      </c>
      <c r="J72" s="145">
        <f>VLOOKUP($A72&amp;" KWH Sales",'2017 TEST'!$A$13:$R$274,'2017 TEST'!H$9,FALSE)/1000</f>
        <v>918624.36899999995</v>
      </c>
      <c r="K72" s="145">
        <f>VLOOKUP($A72&amp;" KWH Sales",'2017 TEST'!$A$13:$R$274,'2017 TEST'!I$9,FALSE)/1000</f>
        <v>934555.62899999996</v>
      </c>
      <c r="L72" s="145">
        <f>VLOOKUP($A72&amp;" KWH Sales",'2017 TEST'!$A$13:$R$274,'2017 TEST'!J$9,FALSE)/1000</f>
        <v>941225.77</v>
      </c>
      <c r="M72" s="145">
        <f>VLOOKUP($A72&amp;" KWH Sales",'2017 TEST'!$A$13:$R$274,'2017 TEST'!K$9,FALSE)/1000</f>
        <v>945179.48499999999</v>
      </c>
      <c r="N72" s="145">
        <f>VLOOKUP($A72&amp;" KWH Sales",'2017 TEST'!$A$13:$R$274,'2017 TEST'!L$9,FALSE)/1000</f>
        <v>910044.50600000005</v>
      </c>
      <c r="O72" s="145">
        <f>VLOOKUP($A72&amp;" KWH Sales",'2017 TEST'!$A$13:$R$274,'2017 TEST'!M$9,FALSE)/1000</f>
        <v>839334.76699999999</v>
      </c>
      <c r="P72" s="145">
        <f>VLOOKUP($A72&amp;" KWH Sales",'2017 TEST'!$A$13:$R$274,'2017 TEST'!N$9,FALSE)/1000</f>
        <v>862159.57400000002</v>
      </c>
      <c r="T72" s="206" t="s">
        <v>1261</v>
      </c>
      <c r="U72" s="523">
        <v>869348.95499999996</v>
      </c>
      <c r="V72" s="523">
        <v>781904.16</v>
      </c>
      <c r="W72" s="523">
        <v>799875.14199999999</v>
      </c>
      <c r="X72" s="523">
        <v>813282.61300000001</v>
      </c>
      <c r="Y72" s="523">
        <v>891962.73600000003</v>
      </c>
      <c r="Z72" s="523">
        <v>918624.36899999995</v>
      </c>
      <c r="AA72" s="523">
        <v>934555.62899999996</v>
      </c>
      <c r="AB72" s="523">
        <v>941225.77</v>
      </c>
      <c r="AC72" s="523">
        <v>945179.48499999999</v>
      </c>
      <c r="AD72" s="523">
        <v>910044.50600000005</v>
      </c>
      <c r="AE72" s="523">
        <v>839334.76699999999</v>
      </c>
      <c r="AF72" s="523">
        <v>862159.57400000002</v>
      </c>
      <c r="AG72"/>
      <c r="AH72" s="526">
        <f>U72-E72</f>
        <v>0</v>
      </c>
      <c r="AI72" s="526">
        <f t="shared" ref="AI72:AI79" si="67">V72-F72</f>
        <v>0</v>
      </c>
      <c r="AJ72" s="526">
        <f t="shared" ref="AJ72:AJ79" si="68">W72-G72</f>
        <v>0</v>
      </c>
      <c r="AK72" s="526">
        <f t="shared" ref="AK72:AK79" si="69">X72-H72</f>
        <v>0</v>
      </c>
      <c r="AL72" s="526">
        <f t="shared" ref="AL72:AL79" si="70">Y72-I72</f>
        <v>0</v>
      </c>
      <c r="AM72" s="526">
        <f t="shared" ref="AM72:AM79" si="71">Z72-J72</f>
        <v>0</v>
      </c>
      <c r="AN72" s="526">
        <f t="shared" ref="AN72:AN79" si="72">AA72-K72</f>
        <v>0</v>
      </c>
      <c r="AO72" s="526">
        <f t="shared" ref="AO72:AO79" si="73">AB72-L72</f>
        <v>0</v>
      </c>
      <c r="AP72" s="526">
        <f t="shared" ref="AP72:AP79" si="74">AC72-M72</f>
        <v>0</v>
      </c>
      <c r="AQ72" s="526">
        <f t="shared" ref="AQ72:AQ79" si="75">AD72-N72</f>
        <v>0</v>
      </c>
      <c r="AR72" s="526">
        <f t="shared" ref="AR72:AR79" si="76">AE72-O72</f>
        <v>0</v>
      </c>
      <c r="AS72" s="526">
        <f t="shared" ref="AS72:AS74" si="77">AF72-P72</f>
        <v>0</v>
      </c>
    </row>
    <row r="73" spans="1:45" s="518" customFormat="1">
      <c r="A73" t="s">
        <v>68</v>
      </c>
      <c r="B73" t="s">
        <v>656</v>
      </c>
      <c r="C73" s="240" t="s">
        <v>148</v>
      </c>
      <c r="D73" s="240"/>
      <c r="E73" s="145">
        <f>VLOOKUP($A73&amp;" CP",'2017 TEST'!$A$13:$R$274,'2017 TEST'!C$9,FALSE)</f>
        <v>1450115.2703090464</v>
      </c>
      <c r="F73" s="145">
        <f>VLOOKUP($A73&amp;" CP",'2017 TEST'!$A$13:$R$274,'2017 TEST'!D$9,FALSE)</f>
        <v>1687241.7255671695</v>
      </c>
      <c r="G73" s="145">
        <f>VLOOKUP($A73&amp;" CP",'2017 TEST'!$A$13:$R$274,'2017 TEST'!E$9,FALSE)</f>
        <v>1411690.3401294961</v>
      </c>
      <c r="H73" s="145">
        <f>VLOOKUP($A73&amp;" CP",'2017 TEST'!$A$13:$R$274,'2017 TEST'!F$9,FALSE)</f>
        <v>1630929.2496511149</v>
      </c>
      <c r="I73" s="145">
        <f>VLOOKUP($A73&amp;" CP",'2017 TEST'!$A$13:$R$274,'2017 TEST'!G$9,FALSE)</f>
        <v>1725281.702437904</v>
      </c>
      <c r="J73" s="145">
        <f>VLOOKUP($A73&amp;" CP",'2017 TEST'!$A$13:$R$274,'2017 TEST'!H$9,FALSE)</f>
        <v>1812707.4866920363</v>
      </c>
      <c r="K73" s="145">
        <f>VLOOKUP($A73&amp;" CP",'2017 TEST'!$A$13:$R$274,'2017 TEST'!I$9,FALSE)</f>
        <v>1741961.5381444162</v>
      </c>
      <c r="L73" s="145">
        <f>VLOOKUP($A73&amp;" CP",'2017 TEST'!$A$13:$R$274,'2017 TEST'!J$9,FALSE)</f>
        <v>1797589.45455448</v>
      </c>
      <c r="M73" s="145">
        <f>VLOOKUP($A73&amp;" CP",'2017 TEST'!$A$13:$R$274,'2017 TEST'!K$9,FALSE)</f>
        <v>1626717.0502425006</v>
      </c>
      <c r="N73" s="145">
        <f>VLOOKUP($A73&amp;" CP",'2017 TEST'!$A$13:$R$274,'2017 TEST'!L$9,FALSE)</f>
        <v>1733418.1780960683</v>
      </c>
      <c r="O73" s="145">
        <f>VLOOKUP($A73&amp;" CP",'2017 TEST'!$A$13:$R$274,'2017 TEST'!M$9,FALSE)</f>
        <v>1589539.059413231</v>
      </c>
      <c r="P73" s="145">
        <f>VLOOKUP($A73&amp;" CP",'2017 TEST'!$A$13:$R$274,'2017 TEST'!N$9,FALSE)</f>
        <v>1510533.215283229</v>
      </c>
      <c r="Q73" s="240"/>
      <c r="R73" s="240"/>
      <c r="T73" s="206" t="s">
        <v>148</v>
      </c>
      <c r="U73" s="523">
        <v>1450117.7979903412</v>
      </c>
      <c r="V73" s="523">
        <v>1687248.0418183745</v>
      </c>
      <c r="W73" s="523">
        <v>1411687.0290648204</v>
      </c>
      <c r="X73" s="523">
        <v>1630912.9774528816</v>
      </c>
      <c r="Y73" s="523">
        <v>1725298.7086113486</v>
      </c>
      <c r="Z73" s="523">
        <v>1812710.1705859138</v>
      </c>
      <c r="AA73" s="523">
        <v>1741966.7470310137</v>
      </c>
      <c r="AB73" s="523">
        <v>1797584.7629807987</v>
      </c>
      <c r="AC73" s="523">
        <v>1626714.6634516541</v>
      </c>
      <c r="AD73" s="523">
        <v>1733417.6987502191</v>
      </c>
      <c r="AE73" s="523">
        <v>1589541.0740630054</v>
      </c>
      <c r="AF73" s="523">
        <v>1510532.0719892557</v>
      </c>
      <c r="AG73"/>
      <c r="AH73" s="526">
        <f t="shared" ref="AH73:AH79" si="78">U73-E73</f>
        <v>2.5276812948286533</v>
      </c>
      <c r="AI73" s="526">
        <f t="shared" si="67"/>
        <v>6.3162512050475925</v>
      </c>
      <c r="AJ73" s="526">
        <f t="shared" si="68"/>
        <v>-3.3110646756831557</v>
      </c>
      <c r="AK73" s="526">
        <f t="shared" si="69"/>
        <v>-16.272198233287781</v>
      </c>
      <c r="AL73" s="526">
        <f t="shared" si="70"/>
        <v>17.006173444679007</v>
      </c>
      <c r="AM73" s="526">
        <f t="shared" si="71"/>
        <v>2.6838938775472343</v>
      </c>
      <c r="AN73" s="526">
        <f t="shared" si="72"/>
        <v>5.2088865975383669</v>
      </c>
      <c r="AO73" s="526">
        <f t="shared" si="73"/>
        <v>-4.6915736813098192</v>
      </c>
      <c r="AP73" s="526">
        <f t="shared" si="74"/>
        <v>-2.3867908464744687</v>
      </c>
      <c r="AQ73" s="526">
        <f t="shared" si="75"/>
        <v>-0.47934584924951196</v>
      </c>
      <c r="AR73" s="526">
        <f t="shared" si="76"/>
        <v>2.0146497744135559</v>
      </c>
      <c r="AS73" s="526">
        <f t="shared" si="77"/>
        <v>-1.1432939732912928</v>
      </c>
    </row>
    <row r="74" spans="1:45" s="518" customFormat="1">
      <c r="A74" t="s">
        <v>68</v>
      </c>
      <c r="B74" t="s">
        <v>656</v>
      </c>
      <c r="C74" s="240" t="s">
        <v>147</v>
      </c>
      <c r="D74" s="240"/>
      <c r="E74" s="145">
        <f>VLOOKUP($A74&amp;" GNCP",'2017 TEST'!$A$13:$R$274,'2017 TEST'!C$9,FALSE)</f>
        <v>1764827.6494185436</v>
      </c>
      <c r="F74" s="145">
        <f>VLOOKUP($A74&amp;" GNCP",'2017 TEST'!$A$13:$R$274,'2017 TEST'!D$9,FALSE)</f>
        <v>1760319.2765099823</v>
      </c>
      <c r="G74" s="145">
        <f>VLOOKUP($A74&amp;" GNCP",'2017 TEST'!$A$13:$R$274,'2017 TEST'!E$9,FALSE)</f>
        <v>1635941.5589993983</v>
      </c>
      <c r="H74" s="145">
        <f>VLOOKUP($A74&amp;" GNCP",'2017 TEST'!$A$13:$R$274,'2017 TEST'!F$9,FALSE)</f>
        <v>1678945.5904998013</v>
      </c>
      <c r="I74" s="145">
        <f>VLOOKUP($A74&amp;" GNCP",'2017 TEST'!$A$13:$R$274,'2017 TEST'!G$9,FALSE)</f>
        <v>1757629.1396686677</v>
      </c>
      <c r="J74" s="145">
        <f>VLOOKUP($A74&amp;" GNCP",'2017 TEST'!$A$13:$R$274,'2017 TEST'!H$9,FALSE)</f>
        <v>1822863.6509203871</v>
      </c>
      <c r="K74" s="145">
        <f>VLOOKUP($A74&amp;" GNCP",'2017 TEST'!$A$13:$R$274,'2017 TEST'!I$9,FALSE)</f>
        <v>1745951.9220038231</v>
      </c>
      <c r="L74" s="145">
        <f>VLOOKUP($A74&amp;" GNCP",'2017 TEST'!$A$13:$R$274,'2017 TEST'!J$9,FALSE)</f>
        <v>1830142.0544232647</v>
      </c>
      <c r="M74" s="145">
        <f>VLOOKUP($A74&amp;" GNCP",'2017 TEST'!$A$13:$R$274,'2017 TEST'!K$9,FALSE)</f>
        <v>1927209.0425614775</v>
      </c>
      <c r="N74" s="145">
        <f>VLOOKUP($A74&amp;" GNCP",'2017 TEST'!$A$13:$R$274,'2017 TEST'!L$9,FALSE)</f>
        <v>1827624.8141559793</v>
      </c>
      <c r="O74" s="145">
        <f>VLOOKUP($A74&amp;" GNCP",'2017 TEST'!$A$13:$R$274,'2017 TEST'!M$9,FALSE)</f>
        <v>1826626.4907246556</v>
      </c>
      <c r="P74" s="145">
        <f>VLOOKUP($A74&amp;" GNCP",'2017 TEST'!$A$13:$R$274,'2017 TEST'!N$9,FALSE)</f>
        <v>1848974.6928449143</v>
      </c>
      <c r="Q74" s="240"/>
      <c r="R74" s="240"/>
      <c r="T74" s="206" t="s">
        <v>342</v>
      </c>
      <c r="U74" s="523">
        <v>1764827.6494185436</v>
      </c>
      <c r="V74" s="523">
        <v>1760319.2765099823</v>
      </c>
      <c r="W74" s="523">
        <v>1635941.5589993983</v>
      </c>
      <c r="X74" s="523">
        <v>1678945.5904998013</v>
      </c>
      <c r="Y74" s="523">
        <v>1757629.1396686677</v>
      </c>
      <c r="Z74" s="523">
        <v>1822863.6509203871</v>
      </c>
      <c r="AA74" s="523">
        <v>1745951.9220038231</v>
      </c>
      <c r="AB74" s="523">
        <v>1830142.0544232647</v>
      </c>
      <c r="AC74" s="523">
        <v>1927209.0425614775</v>
      </c>
      <c r="AD74" s="523">
        <v>1827624.8141559793</v>
      </c>
      <c r="AE74" s="523">
        <v>1826626.4907246556</v>
      </c>
      <c r="AF74" s="523">
        <v>1848974.6928449143</v>
      </c>
      <c r="AG74"/>
      <c r="AH74" s="526">
        <f t="shared" si="78"/>
        <v>0</v>
      </c>
      <c r="AI74" s="526">
        <f t="shared" si="67"/>
        <v>0</v>
      </c>
      <c r="AJ74" s="526">
        <f t="shared" si="68"/>
        <v>0</v>
      </c>
      <c r="AK74" s="526">
        <f t="shared" si="69"/>
        <v>0</v>
      </c>
      <c r="AL74" s="526">
        <f t="shared" si="70"/>
        <v>0</v>
      </c>
      <c r="AM74" s="526">
        <f t="shared" si="71"/>
        <v>0</v>
      </c>
      <c r="AN74" s="526">
        <f t="shared" si="72"/>
        <v>0</v>
      </c>
      <c r="AO74" s="526">
        <f t="shared" si="73"/>
        <v>0</v>
      </c>
      <c r="AP74" s="526">
        <f t="shared" si="74"/>
        <v>0</v>
      </c>
      <c r="AQ74" s="526">
        <f t="shared" si="75"/>
        <v>0</v>
      </c>
      <c r="AR74" s="526">
        <f t="shared" si="76"/>
        <v>0</v>
      </c>
      <c r="AS74" s="526">
        <f t="shared" si="77"/>
        <v>0</v>
      </c>
    </row>
    <row r="75" spans="1:45" s="518" customFormat="1">
      <c r="A75" t="s">
        <v>68</v>
      </c>
      <c r="B75" t="s">
        <v>656</v>
      </c>
      <c r="C75" s="240" t="s">
        <v>133</v>
      </c>
      <c r="D75" s="240"/>
      <c r="E75" s="145">
        <f>VLOOKUP($A75&amp;" NCP",'2017 TEST'!$A$13:$R$274,'2017 TEST'!C$9,FALSE)</f>
        <v>2107551.3936853614</v>
      </c>
      <c r="F75" s="145">
        <f>VLOOKUP($A75&amp;" NCP",'2017 TEST'!$A$13:$R$274,'2017 TEST'!D$9,FALSE)</f>
        <v>2067523.063458496</v>
      </c>
      <c r="G75" s="145">
        <f>VLOOKUP($A75&amp;" NCP",'2017 TEST'!$A$13:$R$274,'2017 TEST'!E$9,FALSE)</f>
        <v>1954010.1463722526</v>
      </c>
      <c r="H75" s="145">
        <f>VLOOKUP($A75&amp;" NCP",'2017 TEST'!$A$13:$R$274,'2017 TEST'!F$9,FALSE)</f>
        <v>1981357.4846518303</v>
      </c>
      <c r="I75" s="145">
        <f>VLOOKUP($A75&amp;" NCP",'2017 TEST'!$A$13:$R$274,'2017 TEST'!G$9,FALSE)</f>
        <v>2094924.1740699273</v>
      </c>
      <c r="J75" s="145">
        <f>VLOOKUP($A75&amp;" NCP",'2017 TEST'!$A$13:$R$274,'2017 TEST'!H$9,FALSE)</f>
        <v>2235802.3347024834</v>
      </c>
      <c r="K75" s="145">
        <f>VLOOKUP($A75&amp;" NCP",'2017 TEST'!$A$13:$R$274,'2017 TEST'!I$9,FALSE)</f>
        <v>2111453.5208494668</v>
      </c>
      <c r="L75" s="145">
        <f>VLOOKUP($A75&amp;" NCP",'2017 TEST'!$A$13:$R$274,'2017 TEST'!J$9,FALSE)</f>
        <v>2150047.1152855954</v>
      </c>
      <c r="M75" s="145">
        <f>VLOOKUP($A75&amp;" NCP",'2017 TEST'!$A$13:$R$274,'2017 TEST'!K$9,FALSE)</f>
        <v>2269087.3066900261</v>
      </c>
      <c r="N75" s="145">
        <f>VLOOKUP($A75&amp;" NCP",'2017 TEST'!$A$13:$R$274,'2017 TEST'!L$9,FALSE)</f>
        <v>2141850.8493044241</v>
      </c>
      <c r="O75" s="145">
        <f>VLOOKUP($A75&amp;" NCP",'2017 TEST'!$A$13:$R$274,'2017 TEST'!M$9,FALSE)</f>
        <v>2121576.9280349398</v>
      </c>
      <c r="P75" s="145">
        <f>VLOOKUP($A75&amp;" NCP",'2017 TEST'!$A$13:$R$274,'2017 TEST'!N$9,FALSE)</f>
        <v>2145573.065998822</v>
      </c>
      <c r="Q75" s="240"/>
      <c r="R75" s="240"/>
      <c r="T75" s="206" t="s">
        <v>133</v>
      </c>
      <c r="U75" s="523">
        <v>2107551.3936853614</v>
      </c>
      <c r="V75" s="523">
        <v>2067523.063458496</v>
      </c>
      <c r="W75" s="523">
        <v>1954010.1463722526</v>
      </c>
      <c r="X75" s="523">
        <v>1981357.4846518303</v>
      </c>
      <c r="Y75" s="523">
        <v>2094924.1740699273</v>
      </c>
      <c r="Z75" s="523">
        <v>2235802.3347024834</v>
      </c>
      <c r="AA75" s="523">
        <v>2111453.5208494668</v>
      </c>
      <c r="AB75" s="523">
        <v>2150047.1152855954</v>
      </c>
      <c r="AC75" s="523">
        <v>2269087.3066900261</v>
      </c>
      <c r="AD75" s="523">
        <v>2141850.8493044241</v>
      </c>
      <c r="AE75" s="523">
        <v>2121576.9280349398</v>
      </c>
      <c r="AF75" s="523">
        <v>2145573.065998822</v>
      </c>
      <c r="AG75"/>
      <c r="AH75" s="526">
        <f t="shared" si="78"/>
        <v>0</v>
      </c>
      <c r="AI75" s="526">
        <f t="shared" si="67"/>
        <v>0</v>
      </c>
      <c r="AJ75" s="526">
        <f t="shared" si="68"/>
        <v>0</v>
      </c>
      <c r="AK75" s="526">
        <f t="shared" si="69"/>
        <v>0</v>
      </c>
      <c r="AL75" s="526">
        <f t="shared" si="70"/>
        <v>0</v>
      </c>
      <c r="AM75" s="526">
        <f t="shared" si="71"/>
        <v>0</v>
      </c>
      <c r="AN75" s="526">
        <f t="shared" si="72"/>
        <v>0</v>
      </c>
      <c r="AO75" s="526">
        <f t="shared" si="73"/>
        <v>0</v>
      </c>
      <c r="AP75" s="526">
        <f t="shared" si="74"/>
        <v>0</v>
      </c>
      <c r="AQ75" s="526">
        <f t="shared" si="75"/>
        <v>0</v>
      </c>
      <c r="AR75" s="526">
        <f t="shared" si="76"/>
        <v>0</v>
      </c>
      <c r="AS75" s="526">
        <f>AF75-P75</f>
        <v>0</v>
      </c>
    </row>
    <row r="76" spans="1:45" s="518" customFormat="1">
      <c r="A76" t="s">
        <v>68</v>
      </c>
      <c r="B76" t="s">
        <v>656</v>
      </c>
      <c r="C76" s="240" t="s">
        <v>1197</v>
      </c>
      <c r="D76" s="240"/>
      <c r="E76" s="230">
        <f>'GSLD(T)-1'!C66</f>
        <v>0.8057840656879518</v>
      </c>
      <c r="F76" s="230">
        <f>'GSLD(T)-1'!D66</f>
        <v>0.68961538795025246</v>
      </c>
      <c r="G76" s="230">
        <f>'GSLD(T)-1'!E66</f>
        <v>0.76156998935985332</v>
      </c>
      <c r="H76" s="230">
        <f>'GSLD(T)-1'!F66</f>
        <v>0.69258625716833222</v>
      </c>
      <c r="I76" s="230">
        <f>'GSLD(T)-1'!G66</f>
        <v>0.69488631535779011</v>
      </c>
      <c r="J76" s="230">
        <f>'GSLD(T)-1'!H66</f>
        <v>0.70384614645960575</v>
      </c>
      <c r="K76" s="230">
        <f>'GSLD(T)-1'!I66</f>
        <v>0.7210969529190181</v>
      </c>
      <c r="L76" s="230">
        <f>'GSLD(T)-1'!J66</f>
        <v>0.70376937143925211</v>
      </c>
      <c r="M76" s="230">
        <f>'GSLD(T)-1'!K66</f>
        <v>0.80699300749723246</v>
      </c>
      <c r="N76" s="230">
        <f>'GSLD(T)-1'!L66</f>
        <v>0.7056451322126237</v>
      </c>
      <c r="O76" s="230">
        <f>'GSLD(T)-1'!M66</f>
        <v>0.7333841373956369</v>
      </c>
      <c r="P76" s="230">
        <f>'GSLD(T)-1'!N66</f>
        <v>0.76715733225578164</v>
      </c>
      <c r="Q76" s="240"/>
      <c r="R76" s="240"/>
      <c r="T76" s="206" t="s">
        <v>1197</v>
      </c>
      <c r="U76" s="524">
        <v>0.80578266113632591</v>
      </c>
      <c r="V76" s="524">
        <v>0.68961280635945066</v>
      </c>
      <c r="W76" s="524">
        <v>0.76157177559677258</v>
      </c>
      <c r="X76" s="524">
        <v>0.69259316734749332</v>
      </c>
      <c r="Y76" s="524">
        <v>0.6948794659020151</v>
      </c>
      <c r="Z76" s="524">
        <v>0.70384510434686542</v>
      </c>
      <c r="AA76" s="524">
        <v>0.72109479667105303</v>
      </c>
      <c r="AB76" s="524">
        <v>0.70377120822933215</v>
      </c>
      <c r="AC76" s="524">
        <v>0.80699419155462548</v>
      </c>
      <c r="AD76" s="524">
        <v>0.70564532734624075</v>
      </c>
      <c r="AE76" s="524">
        <v>0.73338320787439892</v>
      </c>
      <c r="AF76" s="524">
        <v>0.76715791290307189</v>
      </c>
      <c r="AG76"/>
      <c r="AH76" s="526">
        <f t="shared" si="78"/>
        <v>-1.404551625894257E-6</v>
      </c>
      <c r="AI76" s="526">
        <f t="shared" si="67"/>
        <v>-2.5815908017978728E-6</v>
      </c>
      <c r="AJ76" s="526">
        <f t="shared" si="68"/>
        <v>1.7862369192656047E-6</v>
      </c>
      <c r="AK76" s="526">
        <f t="shared" si="69"/>
        <v>6.9101791611014818E-6</v>
      </c>
      <c r="AL76" s="526">
        <f t="shared" si="70"/>
        <v>-6.8494557750042873E-6</v>
      </c>
      <c r="AM76" s="526">
        <f t="shared" si="71"/>
        <v>-1.0421127403237307E-6</v>
      </c>
      <c r="AN76" s="526">
        <f t="shared" si="72"/>
        <v>-2.1562479650683031E-6</v>
      </c>
      <c r="AO76" s="526">
        <f t="shared" si="73"/>
        <v>1.8367900800342341E-6</v>
      </c>
      <c r="AP76" s="526">
        <f t="shared" si="74"/>
        <v>1.1840573930221865E-6</v>
      </c>
      <c r="AQ76" s="526">
        <f t="shared" si="75"/>
        <v>1.9513361704248666E-7</v>
      </c>
      <c r="AR76" s="526">
        <f t="shared" si="76"/>
        <v>-9.295212379800688E-7</v>
      </c>
      <c r="AS76" s="526">
        <f t="shared" ref="AS76:AS79" si="79">AF76-P76</f>
        <v>5.8064729024920325E-7</v>
      </c>
    </row>
    <row r="77" spans="1:45" s="518" customFormat="1">
      <c r="A77" t="s">
        <v>68</v>
      </c>
      <c r="B77" t="s">
        <v>656</v>
      </c>
      <c r="C77" s="240" t="s">
        <v>1198</v>
      </c>
      <c r="D77" s="240"/>
      <c r="E77" s="230">
        <f>'GSLD(T)-1'!C67</f>
        <v>0.66209285570224641</v>
      </c>
      <c r="F77" s="230">
        <f>'GSLD(T)-1'!D67</f>
        <v>0.66098682930389352</v>
      </c>
      <c r="G77" s="230">
        <f>'GSLD(T)-1'!E67</f>
        <v>0.6571756743984174</v>
      </c>
      <c r="H77" s="230">
        <f>'GSLD(T)-1'!F67</f>
        <v>0.67277891023613601</v>
      </c>
      <c r="I77" s="230">
        <f>'GSLD(T)-1'!G67</f>
        <v>0.68209761553412307</v>
      </c>
      <c r="J77" s="230">
        <f>'GSLD(T)-1'!H67</f>
        <v>0.69992463699765206</v>
      </c>
      <c r="K77" s="230">
        <f>'GSLD(T)-1'!I67</f>
        <v>0.71944888139669749</v>
      </c>
      <c r="L77" s="230">
        <f>'GSLD(T)-1'!J67</f>
        <v>0.69125147825549726</v>
      </c>
      <c r="M77" s="230">
        <f>'GSLD(T)-1'!K67</f>
        <v>0.68116600520794091</v>
      </c>
      <c r="N77" s="230">
        <f>'GSLD(T)-1'!L67</f>
        <v>0.66927199170648433</v>
      </c>
      <c r="O77" s="230">
        <f>'GSLD(T)-1'!M67</f>
        <v>0.63819436423588338</v>
      </c>
      <c r="P77" s="230">
        <f>'GSLD(T)-1'!N67</f>
        <v>0.62673471746518261</v>
      </c>
      <c r="Q77" s="240"/>
      <c r="R77" s="240"/>
      <c r="T77" s="206" t="s">
        <v>1221</v>
      </c>
      <c r="U77" s="524">
        <v>0.6620928557022463</v>
      </c>
      <c r="V77" s="524">
        <v>0.66098682930389363</v>
      </c>
      <c r="W77" s="524">
        <v>0.65717567439841751</v>
      </c>
      <c r="X77" s="524">
        <v>0.67277891023613601</v>
      </c>
      <c r="Y77" s="524">
        <v>0.68209761553412307</v>
      </c>
      <c r="Z77" s="524">
        <v>0.69992463699765195</v>
      </c>
      <c r="AA77" s="524">
        <v>0.71944888139669749</v>
      </c>
      <c r="AB77" s="524">
        <v>0.69125147825549726</v>
      </c>
      <c r="AC77" s="524">
        <v>0.68116600520794091</v>
      </c>
      <c r="AD77" s="524">
        <v>0.66927199170648444</v>
      </c>
      <c r="AE77" s="524">
        <v>0.63819436423588349</v>
      </c>
      <c r="AF77" s="524">
        <v>0.62673471746518261</v>
      </c>
      <c r="AG77"/>
      <c r="AH77" s="526">
        <f t="shared" si="78"/>
        <v>0</v>
      </c>
      <c r="AI77" s="526">
        <f t="shared" si="67"/>
        <v>0</v>
      </c>
      <c r="AJ77" s="526">
        <f t="shared" si="68"/>
        <v>0</v>
      </c>
      <c r="AK77" s="526">
        <f t="shared" si="69"/>
        <v>0</v>
      </c>
      <c r="AL77" s="526">
        <f t="shared" si="70"/>
        <v>0</v>
      </c>
      <c r="AM77" s="526">
        <f t="shared" si="71"/>
        <v>0</v>
      </c>
      <c r="AN77" s="526">
        <f t="shared" si="72"/>
        <v>0</v>
      </c>
      <c r="AO77" s="526">
        <f t="shared" si="73"/>
        <v>0</v>
      </c>
      <c r="AP77" s="526">
        <f t="shared" si="74"/>
        <v>0</v>
      </c>
      <c r="AQ77" s="526">
        <f t="shared" si="75"/>
        <v>0</v>
      </c>
      <c r="AR77" s="526">
        <f t="shared" si="76"/>
        <v>0</v>
      </c>
      <c r="AS77" s="526">
        <f t="shared" si="79"/>
        <v>0</v>
      </c>
    </row>
    <row r="78" spans="1:45" s="518" customFormat="1">
      <c r="A78" t="s">
        <v>68</v>
      </c>
      <c r="B78" t="s">
        <v>656</v>
      </c>
      <c r="C78" s="240" t="s">
        <v>1199</v>
      </c>
      <c r="D78" s="240"/>
      <c r="E78" s="230">
        <f>'GSLD(T)-1'!C68</f>
        <v>0.55442528316358108</v>
      </c>
      <c r="F78" s="230">
        <f>'GSLD(T)-1'!D68</f>
        <v>0.56277382231301742</v>
      </c>
      <c r="G78" s="230">
        <f>'GSLD(T)-1'!E68</f>
        <v>0.5502023616959324</v>
      </c>
      <c r="H78" s="230">
        <f>'GSLD(T)-1'!F68</f>
        <v>0.57009358153292133</v>
      </c>
      <c r="I78" s="230">
        <f>'GSLD(T)-1'!G68</f>
        <v>0.57227591337216233</v>
      </c>
      <c r="J78" s="230">
        <f>'GSLD(T)-1'!H68</f>
        <v>0.57065294161455715</v>
      </c>
      <c r="K78" s="230">
        <f>'GSLD(T)-1'!I68</f>
        <v>0.59490921531282814</v>
      </c>
      <c r="L78" s="230">
        <f>'GSLD(T)-1'!J68</f>
        <v>0.58840031529708603</v>
      </c>
      <c r="M78" s="230">
        <f>'GSLD(T)-1'!K68</f>
        <v>0.57853626030686411</v>
      </c>
      <c r="N78" s="230">
        <f>'GSLD(T)-1'!L68</f>
        <v>0.57108462984693742</v>
      </c>
      <c r="O78" s="230">
        <f>'GSLD(T)-1'!M68</f>
        <v>0.54946993273733691</v>
      </c>
      <c r="P78" s="230">
        <f>'GSLD(T)-1'!N68</f>
        <v>0.54009655978831461</v>
      </c>
      <c r="Q78" s="240"/>
      <c r="R78" s="240"/>
      <c r="T78" s="206" t="s">
        <v>1199</v>
      </c>
      <c r="U78" s="524">
        <v>0.55442528316358097</v>
      </c>
      <c r="V78" s="524">
        <v>0.56277382231301742</v>
      </c>
      <c r="W78" s="524">
        <v>0.5502023616959324</v>
      </c>
      <c r="X78" s="524">
        <v>0.57009358153292133</v>
      </c>
      <c r="Y78" s="524">
        <v>0.57227591337216233</v>
      </c>
      <c r="Z78" s="524">
        <v>0.57065294161455704</v>
      </c>
      <c r="AA78" s="524">
        <v>0.59490921531282814</v>
      </c>
      <c r="AB78" s="524">
        <v>0.58840031529708592</v>
      </c>
      <c r="AC78" s="524">
        <v>0.57853626030686411</v>
      </c>
      <c r="AD78" s="524">
        <v>0.57108462984693742</v>
      </c>
      <c r="AE78" s="524">
        <v>0.54946993273733691</v>
      </c>
      <c r="AF78" s="524">
        <v>0.5400965597883145</v>
      </c>
      <c r="AG78"/>
      <c r="AH78" s="526">
        <f t="shared" si="78"/>
        <v>0</v>
      </c>
      <c r="AI78" s="526">
        <f t="shared" si="67"/>
        <v>0</v>
      </c>
      <c r="AJ78" s="526">
        <f t="shared" si="68"/>
        <v>0</v>
      </c>
      <c r="AK78" s="526">
        <f t="shared" si="69"/>
        <v>0</v>
      </c>
      <c r="AL78" s="526">
        <f t="shared" si="70"/>
        <v>0</v>
      </c>
      <c r="AM78" s="526">
        <f t="shared" si="71"/>
        <v>0</v>
      </c>
      <c r="AN78" s="526">
        <f t="shared" si="72"/>
        <v>0</v>
      </c>
      <c r="AO78" s="526">
        <f t="shared" si="73"/>
        <v>0</v>
      </c>
      <c r="AP78" s="526">
        <f t="shared" si="74"/>
        <v>0</v>
      </c>
      <c r="AQ78" s="526">
        <f t="shared" si="75"/>
        <v>0</v>
      </c>
      <c r="AR78" s="526">
        <f t="shared" si="76"/>
        <v>0</v>
      </c>
      <c r="AS78" s="526">
        <f t="shared" si="79"/>
        <v>0</v>
      </c>
    </row>
    <row r="79" spans="1:45" s="518" customFormat="1">
      <c r="A79" t="s">
        <v>68</v>
      </c>
      <c r="B79" t="s">
        <v>656</v>
      </c>
      <c r="C79" s="240" t="s">
        <v>1200</v>
      </c>
      <c r="D79" s="240"/>
      <c r="E79" s="145">
        <f>HOURS!$B$19</f>
        <v>744</v>
      </c>
      <c r="F79" s="145">
        <f>HOURS!$C$19</f>
        <v>672</v>
      </c>
      <c r="G79" s="145">
        <f>HOURS!$D$19</f>
        <v>744</v>
      </c>
      <c r="H79" s="145">
        <f>HOURS!$E$19</f>
        <v>720</v>
      </c>
      <c r="I79" s="145">
        <f>HOURS!$F$19</f>
        <v>744</v>
      </c>
      <c r="J79" s="145">
        <f>HOURS!$G$19</f>
        <v>720</v>
      </c>
      <c r="K79" s="145">
        <f>HOURS!$H$19</f>
        <v>744</v>
      </c>
      <c r="L79" s="145">
        <f>HOURS!$I$19</f>
        <v>744</v>
      </c>
      <c r="M79" s="145">
        <f>HOURS!$J$19</f>
        <v>720</v>
      </c>
      <c r="N79" s="145">
        <f>HOURS!$K$19</f>
        <v>744</v>
      </c>
      <c r="O79" s="145">
        <f>HOURS!$L$19</f>
        <v>720</v>
      </c>
      <c r="P79" s="145">
        <f>HOURS!$M$19</f>
        <v>744</v>
      </c>
      <c r="Q79" s="240"/>
      <c r="R79" s="240"/>
      <c r="T79" s="206" t="s">
        <v>1200</v>
      </c>
      <c r="U79" s="523">
        <v>744</v>
      </c>
      <c r="V79" s="523">
        <v>672</v>
      </c>
      <c r="W79" s="523">
        <v>744</v>
      </c>
      <c r="X79" s="523">
        <v>720</v>
      </c>
      <c r="Y79" s="523">
        <v>744</v>
      </c>
      <c r="Z79" s="523">
        <v>720</v>
      </c>
      <c r="AA79" s="523">
        <v>744</v>
      </c>
      <c r="AB79" s="523">
        <v>744</v>
      </c>
      <c r="AC79" s="523">
        <v>720</v>
      </c>
      <c r="AD79" s="523">
        <v>744</v>
      </c>
      <c r="AE79" s="523">
        <v>720</v>
      </c>
      <c r="AF79" s="523">
        <v>744</v>
      </c>
      <c r="AG79"/>
      <c r="AH79" s="526">
        <f t="shared" si="78"/>
        <v>0</v>
      </c>
      <c r="AI79" s="526">
        <f t="shared" si="67"/>
        <v>0</v>
      </c>
      <c r="AJ79" s="526">
        <f t="shared" si="68"/>
        <v>0</v>
      </c>
      <c r="AK79" s="526">
        <f t="shared" si="69"/>
        <v>0</v>
      </c>
      <c r="AL79" s="526">
        <f t="shared" si="70"/>
        <v>0</v>
      </c>
      <c r="AM79" s="526">
        <f t="shared" si="71"/>
        <v>0</v>
      </c>
      <c r="AN79" s="526">
        <f t="shared" si="72"/>
        <v>0</v>
      </c>
      <c r="AO79" s="526">
        <f t="shared" si="73"/>
        <v>0</v>
      </c>
      <c r="AP79" s="526">
        <f t="shared" si="74"/>
        <v>0</v>
      </c>
      <c r="AQ79" s="526">
        <f t="shared" si="75"/>
        <v>0</v>
      </c>
      <c r="AR79" s="526">
        <f t="shared" si="76"/>
        <v>0</v>
      </c>
      <c r="AS79" s="526">
        <f t="shared" si="79"/>
        <v>0</v>
      </c>
    </row>
    <row r="80" spans="1:45">
      <c r="E80" s="241"/>
      <c r="F80" s="241"/>
      <c r="G80" s="241"/>
      <c r="H80" s="241"/>
      <c r="I80" s="241"/>
      <c r="J80" s="241"/>
      <c r="K80" s="241"/>
      <c r="L80" s="241"/>
      <c r="M80" s="241"/>
      <c r="N80" s="241"/>
      <c r="O80" s="241"/>
      <c r="P80" s="241"/>
      <c r="Q80" s="241"/>
      <c r="R80" s="242"/>
      <c r="T80" s="206"/>
      <c r="U80" s="523"/>
      <c r="V80" s="523"/>
      <c r="W80" s="523"/>
      <c r="X80" s="523"/>
      <c r="Y80" s="523"/>
      <c r="Z80" s="523"/>
      <c r="AA80" s="523"/>
      <c r="AB80" s="523"/>
      <c r="AC80" s="523"/>
      <c r="AD80" s="523"/>
      <c r="AE80" s="523"/>
      <c r="AF80" s="523"/>
      <c r="AG80"/>
      <c r="AH80" s="526"/>
      <c r="AI80" s="526"/>
      <c r="AJ80" s="526"/>
      <c r="AK80" s="526"/>
      <c r="AL80" s="526"/>
      <c r="AM80" s="526"/>
      <c r="AN80" s="526"/>
      <c r="AO80" s="526"/>
      <c r="AP80" s="526"/>
      <c r="AQ80" s="526"/>
      <c r="AR80" s="526"/>
      <c r="AS80" s="526"/>
    </row>
    <row r="81" spans="1:45">
      <c r="A81" t="s">
        <v>15</v>
      </c>
      <c r="B81" t="s">
        <v>15</v>
      </c>
      <c r="C81" t="s">
        <v>1108</v>
      </c>
      <c r="T81" s="522" t="s">
        <v>1230</v>
      </c>
      <c r="U81" s="523"/>
      <c r="V81" s="523"/>
      <c r="W81" s="523"/>
      <c r="X81" s="523"/>
      <c r="Y81" s="523"/>
      <c r="Z81" s="523"/>
      <c r="AA81" s="523"/>
      <c r="AB81" s="523"/>
      <c r="AC81" s="523"/>
      <c r="AD81" s="523"/>
      <c r="AE81" s="523"/>
      <c r="AF81" s="523"/>
      <c r="AG81"/>
      <c r="AH81" s="526"/>
      <c r="AI81" s="526"/>
      <c r="AJ81" s="526"/>
      <c r="AK81" s="526"/>
      <c r="AL81" s="526"/>
      <c r="AM81" s="526"/>
      <c r="AN81" s="526"/>
      <c r="AO81" s="526"/>
      <c r="AP81" s="526"/>
      <c r="AQ81" s="526"/>
      <c r="AR81" s="526"/>
      <c r="AS81" s="526"/>
    </row>
    <row r="82" spans="1:45" ht="15.6">
      <c r="A82" t="s">
        <v>15</v>
      </c>
      <c r="B82" t="s">
        <v>15</v>
      </c>
      <c r="C82" s="251" t="s">
        <v>1201</v>
      </c>
      <c r="D82" s="251"/>
      <c r="E82" s="145">
        <f>VLOOKUP($A82&amp;" KWH Sales",'2017 TEST'!$A$13:$R$274,'2017 TEST'!C$9,FALSE)/1000</f>
        <v>7722.4880000000003</v>
      </c>
      <c r="F82" s="145">
        <f>VLOOKUP($A82&amp;" KWH Sales",'2017 TEST'!$A$13:$R$274,'2017 TEST'!D$9,FALSE)/1000</f>
        <v>7033.1629999999996</v>
      </c>
      <c r="G82" s="145">
        <f>VLOOKUP($A82&amp;" KWH Sales",'2017 TEST'!$A$13:$R$274,'2017 TEST'!E$9,FALSE)/1000</f>
        <v>6654.9</v>
      </c>
      <c r="H82" s="145">
        <f>VLOOKUP($A82&amp;" KWH Sales",'2017 TEST'!$A$13:$R$274,'2017 TEST'!F$9,FALSE)/1000</f>
        <v>7772.5379999999996</v>
      </c>
      <c r="I82" s="145">
        <f>VLOOKUP($A82&amp;" KWH Sales",'2017 TEST'!$A$13:$R$274,'2017 TEST'!G$9,FALSE)/1000</f>
        <v>7766.5</v>
      </c>
      <c r="J82" s="145">
        <f>VLOOKUP($A82&amp;" KWH Sales",'2017 TEST'!$A$13:$R$274,'2017 TEST'!H$9,FALSE)/1000</f>
        <v>7705.7749999999996</v>
      </c>
      <c r="K82" s="145">
        <f>VLOOKUP($A82&amp;" KWH Sales",'2017 TEST'!$A$13:$R$274,'2017 TEST'!I$9,FALSE)/1000</f>
        <v>8084.4449999999997</v>
      </c>
      <c r="L82" s="145">
        <f>VLOOKUP($A82&amp;" KWH Sales",'2017 TEST'!$A$13:$R$274,'2017 TEST'!J$9,FALSE)/1000</f>
        <v>8169.3519999999999</v>
      </c>
      <c r="M82" s="145">
        <f>VLOOKUP($A82&amp;" KWH Sales",'2017 TEST'!$A$13:$R$274,'2017 TEST'!K$9,FALSE)/1000</f>
        <v>8099.5060000000003</v>
      </c>
      <c r="N82" s="145">
        <f>VLOOKUP($A82&amp;" KWH Sales",'2017 TEST'!$A$13:$R$274,'2017 TEST'!L$9,FALSE)/1000</f>
        <v>8011.4859999999999</v>
      </c>
      <c r="O82" s="145">
        <f>VLOOKUP($A82&amp;" KWH Sales",'2017 TEST'!$A$13:$R$274,'2017 TEST'!M$9,FALSE)/1000</f>
        <v>7259.7179999999998</v>
      </c>
      <c r="P82" s="145">
        <f>VLOOKUP($A82&amp;" KWH Sales",'2017 TEST'!$A$13:$R$274,'2017 TEST'!N$9,FALSE)/1000</f>
        <v>6928.4250000000002</v>
      </c>
      <c r="T82" s="206" t="s">
        <v>1261</v>
      </c>
      <c r="U82" s="523">
        <v>7722.4880000000003</v>
      </c>
      <c r="V82" s="523">
        <v>7033.1629999999996</v>
      </c>
      <c r="W82" s="523">
        <v>6654.9</v>
      </c>
      <c r="X82" s="523">
        <v>7772.5379999999996</v>
      </c>
      <c r="Y82" s="523">
        <v>7766.5</v>
      </c>
      <c r="Z82" s="523">
        <v>7705.7749999999996</v>
      </c>
      <c r="AA82" s="523">
        <v>8084.4449999999997</v>
      </c>
      <c r="AB82" s="523">
        <v>8169.3519999999999</v>
      </c>
      <c r="AC82" s="523">
        <v>8099.5060000000003</v>
      </c>
      <c r="AD82" s="523">
        <v>8011.4859999999999</v>
      </c>
      <c r="AE82" s="523">
        <v>7259.7179999999998</v>
      </c>
      <c r="AF82" s="523">
        <v>6928.4250000000002</v>
      </c>
      <c r="AG82"/>
      <c r="AH82" s="526">
        <f>U82-E82</f>
        <v>0</v>
      </c>
      <c r="AI82" s="526">
        <f t="shared" ref="AI82:AI89" si="80">V82-F82</f>
        <v>0</v>
      </c>
      <c r="AJ82" s="526">
        <f t="shared" ref="AJ82:AJ89" si="81">W82-G82</f>
        <v>0</v>
      </c>
      <c r="AK82" s="526">
        <f t="shared" ref="AK82:AK89" si="82">X82-H82</f>
        <v>0</v>
      </c>
      <c r="AL82" s="526">
        <f t="shared" ref="AL82:AL89" si="83">Y82-I82</f>
        <v>0</v>
      </c>
      <c r="AM82" s="526">
        <f t="shared" ref="AM82:AM89" si="84">Z82-J82</f>
        <v>0</v>
      </c>
      <c r="AN82" s="526">
        <f t="shared" ref="AN82:AN89" si="85">AA82-K82</f>
        <v>0</v>
      </c>
      <c r="AO82" s="526">
        <f t="shared" ref="AO82:AO89" si="86">AB82-L82</f>
        <v>0</v>
      </c>
      <c r="AP82" s="526">
        <f t="shared" ref="AP82:AP89" si="87">AC82-M82</f>
        <v>0</v>
      </c>
      <c r="AQ82" s="526">
        <f t="shared" ref="AQ82:AQ89" si="88">AD82-N82</f>
        <v>0</v>
      </c>
      <c r="AR82" s="526">
        <f t="shared" ref="AR82:AR89" si="89">AE82-O82</f>
        <v>0</v>
      </c>
      <c r="AS82" s="526">
        <f t="shared" ref="AS82:AS84" si="90">AF82-P82</f>
        <v>0</v>
      </c>
    </row>
    <row r="83" spans="1:45" s="518" customFormat="1">
      <c r="A83" t="s">
        <v>15</v>
      </c>
      <c r="B83" t="s">
        <v>15</v>
      </c>
      <c r="C83" s="240" t="s">
        <v>148</v>
      </c>
      <c r="D83" s="240"/>
      <c r="E83" s="145">
        <f>VLOOKUP($A83&amp;" CP",'2017 TEST'!$A$13:$R$274,'2017 TEST'!C$9,FALSE)</f>
        <v>15651.905036883067</v>
      </c>
      <c r="F83" s="145">
        <f>VLOOKUP($A83&amp;" CP",'2017 TEST'!$A$13:$R$274,'2017 TEST'!D$9,FALSE)</f>
        <v>13769.013940389981</v>
      </c>
      <c r="G83" s="145">
        <f>VLOOKUP($A83&amp;" CP",'2017 TEST'!$A$13:$R$274,'2017 TEST'!E$9,FALSE)</f>
        <v>12228.866683931303</v>
      </c>
      <c r="H83" s="145">
        <f>VLOOKUP($A83&amp;" CP",'2017 TEST'!$A$13:$R$274,'2017 TEST'!F$9,FALSE)</f>
        <v>15782.496183618012</v>
      </c>
      <c r="I83" s="145">
        <f>VLOOKUP($A83&amp;" CP",'2017 TEST'!$A$13:$R$274,'2017 TEST'!G$9,FALSE)</f>
        <v>16039.320369401192</v>
      </c>
      <c r="J83" s="145">
        <f>VLOOKUP($A83&amp;" CP",'2017 TEST'!$A$13:$R$274,'2017 TEST'!H$9,FALSE)</f>
        <v>15236.084905668758</v>
      </c>
      <c r="K83" s="145">
        <f>VLOOKUP($A83&amp;" CP",'2017 TEST'!$A$13:$R$274,'2017 TEST'!I$9,FALSE)</f>
        <v>15694.569686031606</v>
      </c>
      <c r="L83" s="145">
        <f>VLOOKUP($A83&amp;" CP",'2017 TEST'!$A$13:$R$274,'2017 TEST'!J$9,FALSE)</f>
        <v>16417.310312346486</v>
      </c>
      <c r="M83" s="145">
        <f>VLOOKUP($A83&amp;" CP",'2017 TEST'!$A$13:$R$274,'2017 TEST'!K$9,FALSE)</f>
        <v>14104.048953653575</v>
      </c>
      <c r="N83" s="145">
        <f>VLOOKUP($A83&amp;" CP",'2017 TEST'!$A$13:$R$274,'2017 TEST'!L$9,FALSE)</f>
        <v>13957.614862208729</v>
      </c>
      <c r="O83" s="145">
        <f>VLOOKUP($A83&amp;" CP",'2017 TEST'!$A$13:$R$274,'2017 TEST'!M$9,FALSE)</f>
        <v>13801.52586131289</v>
      </c>
      <c r="P83" s="145">
        <f>VLOOKUP($A83&amp;" CP",'2017 TEST'!$A$13:$R$274,'2017 TEST'!N$9,FALSE)</f>
        <v>12264.339278454803</v>
      </c>
      <c r="Q83" s="240"/>
      <c r="R83" s="240"/>
      <c r="T83" s="206" t="s">
        <v>148</v>
      </c>
      <c r="U83" s="523">
        <v>15649.125285801552</v>
      </c>
      <c r="V83" s="523">
        <v>13768.636958836703</v>
      </c>
      <c r="W83" s="523">
        <v>12233.054946631968</v>
      </c>
      <c r="X83" s="523">
        <v>15795.909096115487</v>
      </c>
      <c r="Y83" s="523">
        <v>16021.543501196284</v>
      </c>
      <c r="Z83" s="523">
        <v>15234.574310213593</v>
      </c>
      <c r="AA83" s="523">
        <v>15690.731630746419</v>
      </c>
      <c r="AB83" s="523">
        <v>16422.453799022755</v>
      </c>
      <c r="AC83" s="523">
        <v>14104.317916392687</v>
      </c>
      <c r="AD83" s="523">
        <v>13957.723266894072</v>
      </c>
      <c r="AE83" s="523">
        <v>13802.003052374972</v>
      </c>
      <c r="AF83" s="523">
        <v>12264.655795915329</v>
      </c>
      <c r="AG83"/>
      <c r="AH83" s="526">
        <f t="shared" ref="AH83:AH89" si="91">U83-E83</f>
        <v>-2.7797510815144051</v>
      </c>
      <c r="AI83" s="526">
        <f t="shared" si="80"/>
        <v>-0.37698155327780114</v>
      </c>
      <c r="AJ83" s="526">
        <f t="shared" si="81"/>
        <v>4.188262700665291</v>
      </c>
      <c r="AK83" s="526">
        <f t="shared" si="82"/>
        <v>13.41291249747519</v>
      </c>
      <c r="AL83" s="526">
        <f t="shared" si="83"/>
        <v>-17.776868204908169</v>
      </c>
      <c r="AM83" s="526">
        <f t="shared" si="84"/>
        <v>-1.5105954551654577</v>
      </c>
      <c r="AN83" s="526">
        <f t="shared" si="85"/>
        <v>-3.8380552851867833</v>
      </c>
      <c r="AO83" s="526">
        <f t="shared" si="86"/>
        <v>5.1434866762683669</v>
      </c>
      <c r="AP83" s="526">
        <f t="shared" si="87"/>
        <v>0.26896273911188473</v>
      </c>
      <c r="AQ83" s="526">
        <f t="shared" si="88"/>
        <v>0.10840468534297543</v>
      </c>
      <c r="AR83" s="526">
        <f t="shared" si="89"/>
        <v>0.47719106208205631</v>
      </c>
      <c r="AS83" s="526">
        <f t="shared" si="90"/>
        <v>0.31651746052557428</v>
      </c>
    </row>
    <row r="84" spans="1:45" s="518" customFormat="1">
      <c r="A84" t="s">
        <v>15</v>
      </c>
      <c r="B84" t="s">
        <v>15</v>
      </c>
      <c r="C84" s="240" t="s">
        <v>147</v>
      </c>
      <c r="D84" s="240"/>
      <c r="E84" s="145">
        <f>VLOOKUP($A84&amp;" GNCP",'2017 TEST'!$A$13:$R$274,'2017 TEST'!C$9,FALSE)</f>
        <v>16371.617312401802</v>
      </c>
      <c r="F84" s="145">
        <f>VLOOKUP($A84&amp;" GNCP",'2017 TEST'!$A$13:$R$274,'2017 TEST'!D$9,FALSE)</f>
        <v>16723.704152489394</v>
      </c>
      <c r="G84" s="145">
        <f>VLOOKUP($A84&amp;" GNCP",'2017 TEST'!$A$13:$R$274,'2017 TEST'!E$9,FALSE)</f>
        <v>13961.156424651501</v>
      </c>
      <c r="H84" s="145">
        <f>VLOOKUP($A84&amp;" GNCP",'2017 TEST'!$A$13:$R$274,'2017 TEST'!F$9,FALSE)</f>
        <v>16287.525182393336</v>
      </c>
      <c r="I84" s="145">
        <f>VLOOKUP($A84&amp;" GNCP",'2017 TEST'!$A$13:$R$274,'2017 TEST'!G$9,FALSE)</f>
        <v>16039.320369401192</v>
      </c>
      <c r="J84" s="145">
        <f>VLOOKUP($A84&amp;" GNCP",'2017 TEST'!$A$13:$R$274,'2017 TEST'!H$9,FALSE)</f>
        <v>16528.05988322361</v>
      </c>
      <c r="K84" s="145">
        <f>VLOOKUP($A84&amp;" GNCP",'2017 TEST'!$A$13:$R$274,'2017 TEST'!I$9,FALSE)</f>
        <v>16563.659088807668</v>
      </c>
      <c r="L84" s="145">
        <f>VLOOKUP($A84&amp;" GNCP",'2017 TEST'!$A$13:$R$274,'2017 TEST'!J$9,FALSE)</f>
        <v>16462.083692263444</v>
      </c>
      <c r="M84" s="145">
        <f>VLOOKUP($A84&amp;" GNCP",'2017 TEST'!$A$13:$R$274,'2017 TEST'!K$9,FALSE)</f>
        <v>17139.200035167636</v>
      </c>
      <c r="N84" s="145">
        <f>VLOOKUP($A84&amp;" GNCP",'2017 TEST'!$A$13:$R$274,'2017 TEST'!L$9,FALSE)</f>
        <v>16299.325105729056</v>
      </c>
      <c r="O84" s="145">
        <f>VLOOKUP($A84&amp;" GNCP",'2017 TEST'!$A$13:$R$274,'2017 TEST'!M$9,FALSE)</f>
        <v>16290.060380807394</v>
      </c>
      <c r="P84" s="145">
        <f>VLOOKUP($A84&amp;" GNCP",'2017 TEST'!$A$13:$R$274,'2017 TEST'!N$9,FALSE)</f>
        <v>14691.183334088801</v>
      </c>
      <c r="Q84" s="240"/>
      <c r="R84" s="240"/>
      <c r="T84" s="206" t="s">
        <v>342</v>
      </c>
      <c r="U84" s="523">
        <v>16371.617312401802</v>
      </c>
      <c r="V84" s="523">
        <v>16723.704152489394</v>
      </c>
      <c r="W84" s="523">
        <v>13961.156424651501</v>
      </c>
      <c r="X84" s="523">
        <v>16287.525182393336</v>
      </c>
      <c r="Y84" s="523">
        <v>16021.543501196284</v>
      </c>
      <c r="Z84" s="523">
        <v>16528.05988322361</v>
      </c>
      <c r="AA84" s="523">
        <v>16563.659088807668</v>
      </c>
      <c r="AB84" s="523">
        <v>16462.083692263444</v>
      </c>
      <c r="AC84" s="523">
        <v>17139.200035167636</v>
      </c>
      <c r="AD84" s="523">
        <v>16299.325105729056</v>
      </c>
      <c r="AE84" s="523">
        <v>16290.060380807394</v>
      </c>
      <c r="AF84" s="523">
        <v>14691.183334088801</v>
      </c>
      <c r="AG84"/>
      <c r="AH84" s="526">
        <f t="shared" si="91"/>
        <v>0</v>
      </c>
      <c r="AI84" s="526">
        <f t="shared" si="80"/>
        <v>0</v>
      </c>
      <c r="AJ84" s="526">
        <f t="shared" si="81"/>
        <v>0</v>
      </c>
      <c r="AK84" s="526">
        <f t="shared" si="82"/>
        <v>0</v>
      </c>
      <c r="AL84" s="526">
        <f t="shared" si="83"/>
        <v>-17.776868204908169</v>
      </c>
      <c r="AM84" s="526">
        <f t="shared" si="84"/>
        <v>0</v>
      </c>
      <c r="AN84" s="526">
        <f t="shared" si="85"/>
        <v>0</v>
      </c>
      <c r="AO84" s="526">
        <f t="shared" si="86"/>
        <v>0</v>
      </c>
      <c r="AP84" s="526">
        <f t="shared" si="87"/>
        <v>0</v>
      </c>
      <c r="AQ84" s="526">
        <f t="shared" si="88"/>
        <v>0</v>
      </c>
      <c r="AR84" s="526">
        <f t="shared" si="89"/>
        <v>0</v>
      </c>
      <c r="AS84" s="526">
        <f t="shared" si="90"/>
        <v>0</v>
      </c>
    </row>
    <row r="85" spans="1:45" s="518" customFormat="1">
      <c r="A85" t="s">
        <v>15</v>
      </c>
      <c r="B85" t="s">
        <v>15</v>
      </c>
      <c r="C85" s="240" t="s">
        <v>133</v>
      </c>
      <c r="D85" s="240"/>
      <c r="E85" s="145">
        <f>VLOOKUP($A85&amp;" NCP",'2017 TEST'!$A$13:$R$274,'2017 TEST'!C$9,FALSE)</f>
        <v>18743.730585001242</v>
      </c>
      <c r="F85" s="145">
        <f>VLOOKUP($A85&amp;" NCP",'2017 TEST'!$A$13:$R$274,'2017 TEST'!D$9,FALSE)</f>
        <v>19831.678756991161</v>
      </c>
      <c r="G85" s="145">
        <f>VLOOKUP($A85&amp;" NCP",'2017 TEST'!$A$13:$R$274,'2017 TEST'!E$9,FALSE)</f>
        <v>16409.299102188164</v>
      </c>
      <c r="H85" s="145">
        <f>VLOOKUP($A85&amp;" NCP",'2017 TEST'!$A$13:$R$274,'2017 TEST'!F$9,FALSE)</f>
        <v>19559.206177200336</v>
      </c>
      <c r="I85" s="145">
        <f>VLOOKUP($A85&amp;" NCP",'2017 TEST'!$A$13:$R$274,'2017 TEST'!G$9,FALSE)</f>
        <v>18556.807739479758</v>
      </c>
      <c r="J85" s="145">
        <f>VLOOKUP($A85&amp;" NCP",'2017 TEST'!$A$13:$R$274,'2017 TEST'!H$9,FALSE)</f>
        <v>19857.659633424224</v>
      </c>
      <c r="K85" s="145">
        <f>VLOOKUP($A85&amp;" NCP",'2017 TEST'!$A$13:$R$274,'2017 TEST'!I$9,FALSE)</f>
        <v>20612.193098891323</v>
      </c>
      <c r="L85" s="145">
        <f>VLOOKUP($A85&amp;" NCP",'2017 TEST'!$A$13:$R$274,'2017 TEST'!J$9,FALSE)</f>
        <v>20452.989310958295</v>
      </c>
      <c r="M85" s="145">
        <f>VLOOKUP($A85&amp;" NCP",'2017 TEST'!$A$13:$R$274,'2017 TEST'!K$9,FALSE)</f>
        <v>21161.182968861365</v>
      </c>
      <c r="N85" s="145">
        <f>VLOOKUP($A85&amp;" NCP",'2017 TEST'!$A$13:$R$274,'2017 TEST'!L$9,FALSE)</f>
        <v>19976.080413590713</v>
      </c>
      <c r="O85" s="145">
        <f>VLOOKUP($A85&amp;" NCP",'2017 TEST'!$A$13:$R$274,'2017 TEST'!M$9,FALSE)</f>
        <v>18659.581485681971</v>
      </c>
      <c r="P85" s="145">
        <f>VLOOKUP($A85&amp;" NCP",'2017 TEST'!$A$13:$R$274,'2017 TEST'!N$9,FALSE)</f>
        <v>16612.261189025947</v>
      </c>
      <c r="Q85" s="240"/>
      <c r="R85" s="240"/>
      <c r="T85" s="206" t="s">
        <v>133</v>
      </c>
      <c r="U85" s="523">
        <v>18743.730585001242</v>
      </c>
      <c r="V85" s="523">
        <v>19831.678756991161</v>
      </c>
      <c r="W85" s="523">
        <v>16409.299102188164</v>
      </c>
      <c r="X85" s="523">
        <v>19559.206177200336</v>
      </c>
      <c r="Y85" s="523">
        <v>18556.807739479758</v>
      </c>
      <c r="Z85" s="523">
        <v>19857.659633424224</v>
      </c>
      <c r="AA85" s="523">
        <v>20612.193098891323</v>
      </c>
      <c r="AB85" s="523">
        <v>20452.989310958295</v>
      </c>
      <c r="AC85" s="523">
        <v>21161.182968861365</v>
      </c>
      <c r="AD85" s="523">
        <v>19976.080413590713</v>
      </c>
      <c r="AE85" s="523">
        <v>18659.581485681971</v>
      </c>
      <c r="AF85" s="523">
        <v>16612.261189025947</v>
      </c>
      <c r="AG85"/>
      <c r="AH85" s="526">
        <f t="shared" si="91"/>
        <v>0</v>
      </c>
      <c r="AI85" s="526">
        <f t="shared" si="80"/>
        <v>0</v>
      </c>
      <c r="AJ85" s="526">
        <f t="shared" si="81"/>
        <v>0</v>
      </c>
      <c r="AK85" s="526">
        <f t="shared" si="82"/>
        <v>0</v>
      </c>
      <c r="AL85" s="526">
        <f t="shared" si="83"/>
        <v>0</v>
      </c>
      <c r="AM85" s="526">
        <f t="shared" si="84"/>
        <v>0</v>
      </c>
      <c r="AN85" s="526">
        <f t="shared" si="85"/>
        <v>0</v>
      </c>
      <c r="AO85" s="526">
        <f t="shared" si="86"/>
        <v>0</v>
      </c>
      <c r="AP85" s="526">
        <f t="shared" si="87"/>
        <v>0</v>
      </c>
      <c r="AQ85" s="526">
        <f t="shared" si="88"/>
        <v>0</v>
      </c>
      <c r="AR85" s="526">
        <f t="shared" si="89"/>
        <v>0</v>
      </c>
      <c r="AS85" s="526">
        <f>AF85-P85</f>
        <v>0</v>
      </c>
    </row>
    <row r="86" spans="1:45" s="518" customFormat="1">
      <c r="A86" t="s">
        <v>15</v>
      </c>
      <c r="B86" t="s">
        <v>15</v>
      </c>
      <c r="C86" s="240" t="s">
        <v>1197</v>
      </c>
      <c r="D86" s="240"/>
      <c r="E86" s="230">
        <f>MET!C66</f>
        <v>0.66315813618749309</v>
      </c>
      <c r="F86" s="230">
        <f>MET!D66</f>
        <v>0.76011371724642096</v>
      </c>
      <c r="G86" s="230">
        <f>MET!E66</f>
        <v>0.73144619985673054</v>
      </c>
      <c r="H86" s="230">
        <f>MET!F66</f>
        <v>0.6839977365476515</v>
      </c>
      <c r="I86" s="230">
        <f>MET!G66</f>
        <v>0.65082832972998506</v>
      </c>
      <c r="J86" s="230">
        <f>MET!H66</f>
        <v>0.70244195566249457</v>
      </c>
      <c r="K86" s="230">
        <f>MET!I66</f>
        <v>0.69235345304179308</v>
      </c>
      <c r="L86" s="230">
        <f>MET!J66</f>
        <v>0.66882525937877579</v>
      </c>
      <c r="M86" s="230">
        <f>MET!K66</f>
        <v>0.79759464291811166</v>
      </c>
      <c r="N86" s="230">
        <f>MET!L66</f>
        <v>0.77148756792548545</v>
      </c>
      <c r="O86" s="230">
        <f>MET!M66</f>
        <v>0.73056716829623891</v>
      </c>
      <c r="P86" s="230">
        <f>MET!N66</f>
        <v>0.75930704313666586</v>
      </c>
      <c r="Q86" s="240"/>
      <c r="R86" s="240"/>
      <c r="T86" s="206" t="s">
        <v>1197</v>
      </c>
      <c r="U86" s="524">
        <v>0.6632759328382718</v>
      </c>
      <c r="V86" s="524">
        <v>0.76013452895426481</v>
      </c>
      <c r="W86" s="524">
        <v>0.73119577272714031</v>
      </c>
      <c r="X86" s="524">
        <v>0.68341692782477503</v>
      </c>
      <c r="Y86" s="524">
        <v>0.65155046299016484</v>
      </c>
      <c r="Z86" s="524">
        <v>0.70251160681284086</v>
      </c>
      <c r="AA86" s="524">
        <v>0.69252280721164305</v>
      </c>
      <c r="AB86" s="524">
        <v>0.66861578436045843</v>
      </c>
      <c r="AC86" s="524">
        <v>0.79757943316169999</v>
      </c>
      <c r="AD86" s="524">
        <v>0.77148157605521772</v>
      </c>
      <c r="AE86" s="524">
        <v>0.73054190963475052</v>
      </c>
      <c r="AF86" s="524">
        <v>0.75928744748383625</v>
      </c>
      <c r="AG86"/>
      <c r="AH86" s="526">
        <f t="shared" si="91"/>
        <v>1.1779665077871204E-4</v>
      </c>
      <c r="AI86" s="526">
        <f t="shared" si="80"/>
        <v>2.0811707843848559E-5</v>
      </c>
      <c r="AJ86" s="526">
        <f t="shared" si="81"/>
        <v>-2.5042712959022495E-4</v>
      </c>
      <c r="AK86" s="526">
        <f t="shared" si="82"/>
        <v>-5.8080872287646912E-4</v>
      </c>
      <c r="AL86" s="526">
        <f t="shared" si="83"/>
        <v>7.221332601797803E-4</v>
      </c>
      <c r="AM86" s="526">
        <f t="shared" si="84"/>
        <v>6.9651150346294877E-5</v>
      </c>
      <c r="AN86" s="526">
        <f t="shared" si="85"/>
        <v>1.6935416984997786E-4</v>
      </c>
      <c r="AO86" s="526">
        <f t="shared" si="86"/>
        <v>-2.0947501831736215E-4</v>
      </c>
      <c r="AP86" s="526">
        <f t="shared" si="87"/>
        <v>-1.5209756411671549E-5</v>
      </c>
      <c r="AQ86" s="526">
        <f t="shared" si="88"/>
        <v>-5.9918702677297375E-6</v>
      </c>
      <c r="AR86" s="526">
        <f t="shared" si="89"/>
        <v>-2.5258661488392065E-5</v>
      </c>
      <c r="AS86" s="526">
        <f t="shared" ref="AS86:AS89" si="92">AF86-P86</f>
        <v>-1.9595652829607069E-5</v>
      </c>
    </row>
    <row r="87" spans="1:45" s="518" customFormat="1">
      <c r="A87" t="s">
        <v>15</v>
      </c>
      <c r="B87" t="s">
        <v>15</v>
      </c>
      <c r="C87" s="240" t="s">
        <v>1198</v>
      </c>
      <c r="D87" s="240"/>
      <c r="E87" s="230">
        <f>MET!C67</f>
        <v>0.63400505728778578</v>
      </c>
      <c r="F87" s="230">
        <f>MET!D67</f>
        <v>0.62581927266930915</v>
      </c>
      <c r="G87" s="230">
        <f>MET!E67</f>
        <v>0.64068890802786116</v>
      </c>
      <c r="H87" s="230">
        <f>MET!F67</f>
        <v>0.66278894711003544</v>
      </c>
      <c r="I87" s="230">
        <f>MET!G67</f>
        <v>0.65082832972998506</v>
      </c>
      <c r="J87" s="230">
        <f>MET!H67</f>
        <v>0.64753306518698206</v>
      </c>
      <c r="K87" s="230">
        <f>MET!I67</f>
        <v>0.65602590936392136</v>
      </c>
      <c r="L87" s="230">
        <f>MET!J67</f>
        <v>0.66700619637338621</v>
      </c>
      <c r="M87" s="230">
        <f>MET!K67</f>
        <v>0.65634999683804451</v>
      </c>
      <c r="N87" s="230">
        <f>MET!L67</f>
        <v>0.66064860196580344</v>
      </c>
      <c r="O87" s="230">
        <f>MET!M67</f>
        <v>0.61896281726163382</v>
      </c>
      <c r="P87" s="230">
        <f>MET!N67</f>
        <v>0.63387672604563372</v>
      </c>
      <c r="Q87" s="240"/>
      <c r="R87" s="240"/>
      <c r="T87" s="206" t="s">
        <v>1221</v>
      </c>
      <c r="U87" s="524">
        <v>0.63400505728778578</v>
      </c>
      <c r="V87" s="524">
        <v>0.62581927266930926</v>
      </c>
      <c r="W87" s="524">
        <v>0.64068890802786116</v>
      </c>
      <c r="X87" s="524">
        <v>0.66278894711003533</v>
      </c>
      <c r="Y87" s="524">
        <v>0.65155046299016484</v>
      </c>
      <c r="Z87" s="524">
        <v>0.64753306518698206</v>
      </c>
      <c r="AA87" s="524">
        <v>0.65602590936392136</v>
      </c>
      <c r="AB87" s="524">
        <v>0.6670061963733861</v>
      </c>
      <c r="AC87" s="524">
        <v>0.6563499968380444</v>
      </c>
      <c r="AD87" s="524">
        <v>0.66064860196580333</v>
      </c>
      <c r="AE87" s="524">
        <v>0.61896281726163371</v>
      </c>
      <c r="AF87" s="524">
        <v>0.63387672604563383</v>
      </c>
      <c r="AG87"/>
      <c r="AH87" s="526">
        <f t="shared" si="91"/>
        <v>0</v>
      </c>
      <c r="AI87" s="526">
        <f t="shared" si="80"/>
        <v>0</v>
      </c>
      <c r="AJ87" s="526">
        <f t="shared" si="81"/>
        <v>0</v>
      </c>
      <c r="AK87" s="526">
        <f t="shared" si="82"/>
        <v>0</v>
      </c>
      <c r="AL87" s="526">
        <f t="shared" si="83"/>
        <v>7.221332601797803E-4</v>
      </c>
      <c r="AM87" s="526">
        <f t="shared" si="84"/>
        <v>0</v>
      </c>
      <c r="AN87" s="526">
        <f t="shared" si="85"/>
        <v>0</v>
      </c>
      <c r="AO87" s="526">
        <f t="shared" si="86"/>
        <v>0</v>
      </c>
      <c r="AP87" s="526">
        <f t="shared" si="87"/>
        <v>0</v>
      </c>
      <c r="AQ87" s="526">
        <f t="shared" si="88"/>
        <v>0</v>
      </c>
      <c r="AR87" s="526">
        <f t="shared" si="89"/>
        <v>0</v>
      </c>
      <c r="AS87" s="526">
        <f t="shared" si="92"/>
        <v>0</v>
      </c>
    </row>
    <row r="88" spans="1:45" s="518" customFormat="1">
      <c r="A88" t="s">
        <v>15</v>
      </c>
      <c r="B88" t="s">
        <v>15</v>
      </c>
      <c r="C88" s="240" t="s">
        <v>1199</v>
      </c>
      <c r="D88" s="240"/>
      <c r="E88" s="230">
        <f>MET!C68</f>
        <v>0.55376853209514498</v>
      </c>
      <c r="F88" s="230">
        <f>MET!D68</f>
        <v>0.52774233070703036</v>
      </c>
      <c r="G88" s="230">
        <f>MET!E68</f>
        <v>0.54510299366310866</v>
      </c>
      <c r="H88" s="230">
        <f>MET!F68</f>
        <v>0.55192381372053556</v>
      </c>
      <c r="I88" s="230">
        <f>MET!G68</f>
        <v>0.56253447427882652</v>
      </c>
      <c r="J88" s="230">
        <f>MET!H68</f>
        <v>0.53895904529270355</v>
      </c>
      <c r="K88" s="230">
        <f>MET!I68</f>
        <v>0.52717289538266054</v>
      </c>
      <c r="L88" s="230">
        <f>MET!J68</f>
        <v>0.53685608793008865</v>
      </c>
      <c r="M88" s="230">
        <f>MET!K68</f>
        <v>0.53160137150376852</v>
      </c>
      <c r="N88" s="230">
        <f>MET!L68</f>
        <v>0.53905101106621167</v>
      </c>
      <c r="O88" s="230">
        <f>MET!M68</f>
        <v>0.5403626911141387</v>
      </c>
      <c r="P88" s="230">
        <f>MET!N68</f>
        <v>0.56057384889301842</v>
      </c>
      <c r="Q88" s="240"/>
      <c r="R88" s="240"/>
      <c r="T88" s="206" t="s">
        <v>1199</v>
      </c>
      <c r="U88" s="524">
        <v>0.55376853209514498</v>
      </c>
      <c r="V88" s="524">
        <v>0.52774233070703047</v>
      </c>
      <c r="W88" s="524">
        <v>0.54510299366310855</v>
      </c>
      <c r="X88" s="524">
        <v>0.55192381372053545</v>
      </c>
      <c r="Y88" s="524">
        <v>0.56253447427882652</v>
      </c>
      <c r="Z88" s="524">
        <v>0.53895904529270355</v>
      </c>
      <c r="AA88" s="524">
        <v>0.52717289538266054</v>
      </c>
      <c r="AB88" s="524">
        <v>0.53685608793008865</v>
      </c>
      <c r="AC88" s="524">
        <v>0.53160137150376841</v>
      </c>
      <c r="AD88" s="524">
        <v>0.53905101106621167</v>
      </c>
      <c r="AE88" s="524">
        <v>0.54036269111413859</v>
      </c>
      <c r="AF88" s="524">
        <v>0.56057384889301842</v>
      </c>
      <c r="AG88"/>
      <c r="AH88" s="526">
        <f t="shared" si="91"/>
        <v>0</v>
      </c>
      <c r="AI88" s="526">
        <f t="shared" si="80"/>
        <v>0</v>
      </c>
      <c r="AJ88" s="526">
        <f t="shared" si="81"/>
        <v>0</v>
      </c>
      <c r="AK88" s="526">
        <f t="shared" si="82"/>
        <v>0</v>
      </c>
      <c r="AL88" s="526">
        <f t="shared" si="83"/>
        <v>0</v>
      </c>
      <c r="AM88" s="526">
        <f t="shared" si="84"/>
        <v>0</v>
      </c>
      <c r="AN88" s="526">
        <f t="shared" si="85"/>
        <v>0</v>
      </c>
      <c r="AO88" s="526">
        <f t="shared" si="86"/>
        <v>0</v>
      </c>
      <c r="AP88" s="526">
        <f t="shared" si="87"/>
        <v>0</v>
      </c>
      <c r="AQ88" s="526">
        <f t="shared" si="88"/>
        <v>0</v>
      </c>
      <c r="AR88" s="526">
        <f t="shared" si="89"/>
        <v>0</v>
      </c>
      <c r="AS88" s="526">
        <f t="shared" si="92"/>
        <v>0</v>
      </c>
    </row>
    <row r="89" spans="1:45" s="518" customFormat="1">
      <c r="A89" t="s">
        <v>15</v>
      </c>
      <c r="B89" t="s">
        <v>15</v>
      </c>
      <c r="C89" s="240" t="s">
        <v>1200</v>
      </c>
      <c r="D89" s="240"/>
      <c r="E89" s="145">
        <f>HOURS!$B$19</f>
        <v>744</v>
      </c>
      <c r="F89" s="145">
        <f>HOURS!$C$19</f>
        <v>672</v>
      </c>
      <c r="G89" s="145">
        <f>HOURS!$D$19</f>
        <v>744</v>
      </c>
      <c r="H89" s="145">
        <f>HOURS!$E$19</f>
        <v>720</v>
      </c>
      <c r="I89" s="145">
        <f>HOURS!$F$19</f>
        <v>744</v>
      </c>
      <c r="J89" s="145">
        <f>HOURS!$G$19</f>
        <v>720</v>
      </c>
      <c r="K89" s="145">
        <f>HOURS!$H$19</f>
        <v>744</v>
      </c>
      <c r="L89" s="145">
        <f>HOURS!$I$19</f>
        <v>744</v>
      </c>
      <c r="M89" s="145">
        <f>HOURS!$J$19</f>
        <v>720</v>
      </c>
      <c r="N89" s="145">
        <f>HOURS!$K$19</f>
        <v>744</v>
      </c>
      <c r="O89" s="145">
        <f>HOURS!$L$19</f>
        <v>720</v>
      </c>
      <c r="P89" s="145">
        <f>HOURS!$M$19</f>
        <v>744</v>
      </c>
      <c r="Q89" s="240"/>
      <c r="R89" s="240"/>
      <c r="T89" s="206" t="s">
        <v>1200</v>
      </c>
      <c r="U89" s="523">
        <v>744</v>
      </c>
      <c r="V89" s="523">
        <v>672</v>
      </c>
      <c r="W89" s="523">
        <v>744</v>
      </c>
      <c r="X89" s="523">
        <v>720</v>
      </c>
      <c r="Y89" s="523">
        <v>744</v>
      </c>
      <c r="Z89" s="523">
        <v>720</v>
      </c>
      <c r="AA89" s="523">
        <v>744</v>
      </c>
      <c r="AB89" s="523">
        <v>744</v>
      </c>
      <c r="AC89" s="523">
        <v>720</v>
      </c>
      <c r="AD89" s="523">
        <v>744</v>
      </c>
      <c r="AE89" s="523">
        <v>720</v>
      </c>
      <c r="AF89" s="523">
        <v>744</v>
      </c>
      <c r="AG89"/>
      <c r="AH89" s="526">
        <f t="shared" si="91"/>
        <v>0</v>
      </c>
      <c r="AI89" s="526">
        <f t="shared" si="80"/>
        <v>0</v>
      </c>
      <c r="AJ89" s="526">
        <f t="shared" si="81"/>
        <v>0</v>
      </c>
      <c r="AK89" s="526">
        <f t="shared" si="82"/>
        <v>0</v>
      </c>
      <c r="AL89" s="526">
        <f t="shared" si="83"/>
        <v>0</v>
      </c>
      <c r="AM89" s="526">
        <f t="shared" si="84"/>
        <v>0</v>
      </c>
      <c r="AN89" s="526">
        <f t="shared" si="85"/>
        <v>0</v>
      </c>
      <c r="AO89" s="526">
        <f t="shared" si="86"/>
        <v>0</v>
      </c>
      <c r="AP89" s="526">
        <f t="shared" si="87"/>
        <v>0</v>
      </c>
      <c r="AQ89" s="526">
        <f t="shared" si="88"/>
        <v>0</v>
      </c>
      <c r="AR89" s="526">
        <f t="shared" si="89"/>
        <v>0</v>
      </c>
      <c r="AS89" s="526">
        <f t="shared" si="92"/>
        <v>0</v>
      </c>
    </row>
    <row r="90" spans="1:45">
      <c r="T90" s="206"/>
      <c r="U90" s="523"/>
      <c r="V90" s="523"/>
      <c r="W90" s="523"/>
      <c r="X90" s="523"/>
      <c r="Y90" s="523"/>
      <c r="Z90" s="523"/>
      <c r="AA90" s="523"/>
      <c r="AB90" s="523"/>
      <c r="AC90" s="523"/>
      <c r="AD90" s="523"/>
      <c r="AE90" s="523"/>
      <c r="AF90" s="523"/>
      <c r="AG90"/>
      <c r="AH90" s="526"/>
      <c r="AI90" s="526"/>
      <c r="AJ90" s="526"/>
      <c r="AK90" s="526"/>
      <c r="AL90" s="526"/>
      <c r="AM90" s="526"/>
      <c r="AN90" s="526"/>
      <c r="AO90" s="526"/>
      <c r="AP90" s="526"/>
      <c r="AQ90" s="526"/>
      <c r="AR90" s="526"/>
      <c r="AS90" s="526"/>
    </row>
    <row r="91" spans="1:45">
      <c r="A91" t="s">
        <v>56</v>
      </c>
      <c r="B91" t="s">
        <v>19</v>
      </c>
      <c r="C91" t="s">
        <v>1106</v>
      </c>
      <c r="T91" s="522" t="s">
        <v>1231</v>
      </c>
      <c r="U91" s="523"/>
      <c r="V91" s="523"/>
      <c r="W91" s="523"/>
      <c r="X91" s="523"/>
      <c r="Y91" s="523"/>
      <c r="Z91" s="523"/>
      <c r="AA91" s="523"/>
      <c r="AB91" s="523"/>
      <c r="AC91" s="523"/>
      <c r="AD91" s="523"/>
      <c r="AE91" s="523"/>
      <c r="AF91" s="523"/>
      <c r="AG91"/>
      <c r="AH91" s="526"/>
      <c r="AI91" s="526"/>
      <c r="AJ91" s="526"/>
      <c r="AK91" s="526"/>
      <c r="AL91" s="526"/>
      <c r="AM91" s="526"/>
      <c r="AN91" s="526"/>
      <c r="AO91" s="526"/>
      <c r="AP91" s="526"/>
      <c r="AQ91" s="526"/>
      <c r="AR91" s="526"/>
      <c r="AS91" s="526"/>
    </row>
    <row r="92" spans="1:45" ht="15.6">
      <c r="A92" t="s">
        <v>56</v>
      </c>
      <c r="B92" t="s">
        <v>19</v>
      </c>
      <c r="C92" s="251" t="s">
        <v>1201</v>
      </c>
      <c r="D92" s="251"/>
      <c r="E92" s="145">
        <f>VLOOKUP($A92&amp;" KWH Sales",'2017 TEST'!$A$13:$R$274,'2017 TEST'!C$9,FALSE)/1000</f>
        <v>8180.6840000000002</v>
      </c>
      <c r="F92" s="145">
        <f>VLOOKUP($A92&amp;" KWH Sales",'2017 TEST'!$A$13:$R$274,'2017 TEST'!D$9,FALSE)/1000</f>
        <v>8176.62</v>
      </c>
      <c r="G92" s="145">
        <f>VLOOKUP($A92&amp;" KWH Sales",'2017 TEST'!$A$13:$R$274,'2017 TEST'!E$9,FALSE)/1000</f>
        <v>8172.5559999999996</v>
      </c>
      <c r="H92" s="145">
        <f>VLOOKUP($A92&amp;" KWH Sales",'2017 TEST'!$A$13:$R$274,'2017 TEST'!F$9,FALSE)/1000</f>
        <v>8168.4920000000002</v>
      </c>
      <c r="I92" s="145">
        <f>VLOOKUP($A92&amp;" KWH Sales",'2017 TEST'!$A$13:$R$274,'2017 TEST'!G$9,FALSE)/1000</f>
        <v>8164.4279999999999</v>
      </c>
      <c r="J92" s="145">
        <f>VLOOKUP($A92&amp;" KWH Sales",'2017 TEST'!$A$13:$R$274,'2017 TEST'!H$9,FALSE)/1000</f>
        <v>8160.3639999999996</v>
      </c>
      <c r="K92" s="145">
        <f>VLOOKUP($A92&amp;" KWH Sales",'2017 TEST'!$A$13:$R$274,'2017 TEST'!I$9,FALSE)/1000</f>
        <v>8156.3</v>
      </c>
      <c r="L92" s="145">
        <f>VLOOKUP($A92&amp;" KWH Sales",'2017 TEST'!$A$13:$R$274,'2017 TEST'!J$9,FALSE)/1000</f>
        <v>8152.2359999999999</v>
      </c>
      <c r="M92" s="145">
        <f>VLOOKUP($A92&amp;" KWH Sales",'2017 TEST'!$A$13:$R$274,'2017 TEST'!K$9,FALSE)/1000</f>
        <v>8148.1719999999996</v>
      </c>
      <c r="N92" s="145">
        <f>VLOOKUP($A92&amp;" KWH Sales",'2017 TEST'!$A$13:$R$274,'2017 TEST'!L$9,FALSE)/1000</f>
        <v>8144.1080000000002</v>
      </c>
      <c r="O92" s="145">
        <f>VLOOKUP($A92&amp;" KWH Sales",'2017 TEST'!$A$13:$R$274,'2017 TEST'!M$9,FALSE)/1000</f>
        <v>8140.0439999999999</v>
      </c>
      <c r="P92" s="145">
        <f>VLOOKUP($A92&amp;" KWH Sales",'2017 TEST'!$A$13:$R$274,'2017 TEST'!N$9,FALSE)/1000</f>
        <v>8135.98</v>
      </c>
      <c r="T92" s="206" t="s">
        <v>1261</v>
      </c>
      <c r="U92" s="523">
        <v>8180.6840000000002</v>
      </c>
      <c r="V92" s="523">
        <v>8176.62</v>
      </c>
      <c r="W92" s="523">
        <v>8172.5559999999996</v>
      </c>
      <c r="X92" s="523">
        <v>8168.4920000000002</v>
      </c>
      <c r="Y92" s="523">
        <v>8164.4279999999999</v>
      </c>
      <c r="Z92" s="523">
        <v>8160.3639999999996</v>
      </c>
      <c r="AA92" s="523">
        <v>8156.3</v>
      </c>
      <c r="AB92" s="523">
        <v>8152.2359999999999</v>
      </c>
      <c r="AC92" s="523">
        <v>8148.1719999999996</v>
      </c>
      <c r="AD92" s="523">
        <v>8144.1080000000002</v>
      </c>
      <c r="AE92" s="523">
        <v>8140.0439999999999</v>
      </c>
      <c r="AF92" s="523">
        <v>8135.98</v>
      </c>
      <c r="AG92"/>
      <c r="AH92" s="526">
        <f>U92-E92</f>
        <v>0</v>
      </c>
      <c r="AI92" s="526">
        <f t="shared" ref="AI92:AI99" si="93">V92-F92</f>
        <v>0</v>
      </c>
      <c r="AJ92" s="526">
        <f t="shared" ref="AJ92:AJ99" si="94">W92-G92</f>
        <v>0</v>
      </c>
      <c r="AK92" s="526">
        <f t="shared" ref="AK92:AK99" si="95">X92-H92</f>
        <v>0</v>
      </c>
      <c r="AL92" s="526">
        <f t="shared" ref="AL92:AL99" si="96">Y92-I92</f>
        <v>0</v>
      </c>
      <c r="AM92" s="526">
        <f t="shared" ref="AM92:AM99" si="97">Z92-J92</f>
        <v>0</v>
      </c>
      <c r="AN92" s="526">
        <f t="shared" ref="AN92:AN99" si="98">AA92-K92</f>
        <v>0</v>
      </c>
      <c r="AO92" s="526">
        <f t="shared" ref="AO92:AO99" si="99">AB92-L92</f>
        <v>0</v>
      </c>
      <c r="AP92" s="526">
        <f t="shared" ref="AP92:AP99" si="100">AC92-M92</f>
        <v>0</v>
      </c>
      <c r="AQ92" s="526">
        <f t="shared" ref="AQ92:AQ99" si="101">AD92-N92</f>
        <v>0</v>
      </c>
      <c r="AR92" s="526">
        <f t="shared" ref="AR92:AR99" si="102">AE92-O92</f>
        <v>0</v>
      </c>
      <c r="AS92" s="526">
        <f t="shared" ref="AS92:AS94" si="103">AF92-P92</f>
        <v>0</v>
      </c>
    </row>
    <row r="93" spans="1:45" s="518" customFormat="1">
      <c r="A93" t="s">
        <v>56</v>
      </c>
      <c r="B93" t="s">
        <v>19</v>
      </c>
      <c r="C93" s="240" t="s">
        <v>148</v>
      </c>
      <c r="D93" s="240"/>
      <c r="E93" s="145">
        <f>VLOOKUP($A93&amp;" CP",'2017 TEST'!$A$13:$R$274,'2017 TEST'!C$9,FALSE)</f>
        <v>8960.6300009775732</v>
      </c>
      <c r="F93" s="145">
        <f>VLOOKUP($A93&amp;" CP",'2017 TEST'!$A$13:$R$274,'2017 TEST'!D$9,FALSE)</f>
        <v>0</v>
      </c>
      <c r="G93" s="145">
        <f>VLOOKUP($A93&amp;" CP",'2017 TEST'!$A$13:$R$274,'2017 TEST'!E$9,FALSE)</f>
        <v>0</v>
      </c>
      <c r="H93" s="145">
        <f>VLOOKUP($A93&amp;" CP",'2017 TEST'!$A$13:$R$274,'2017 TEST'!F$9,FALSE)</f>
        <v>0</v>
      </c>
      <c r="I93" s="145">
        <f>VLOOKUP($A93&amp;" CP",'2017 TEST'!$A$13:$R$274,'2017 TEST'!G$9,FALSE)</f>
        <v>0</v>
      </c>
      <c r="J93" s="145">
        <f>VLOOKUP($A93&amp;" CP",'2017 TEST'!$A$13:$R$274,'2017 TEST'!H$9,FALSE)</f>
        <v>0</v>
      </c>
      <c r="K93" s="145">
        <f>VLOOKUP($A93&amp;" CP",'2017 TEST'!$A$13:$R$274,'2017 TEST'!I$9,FALSE)</f>
        <v>0</v>
      </c>
      <c r="L93" s="145">
        <f>VLOOKUP($A93&amp;" CP",'2017 TEST'!$A$13:$R$274,'2017 TEST'!J$9,FALSE)</f>
        <v>0</v>
      </c>
      <c r="M93" s="145">
        <f>VLOOKUP($A93&amp;" CP",'2017 TEST'!$A$13:$R$274,'2017 TEST'!K$9,FALSE)</f>
        <v>0</v>
      </c>
      <c r="N93" s="145">
        <f>VLOOKUP($A93&amp;" CP",'2017 TEST'!$A$13:$R$274,'2017 TEST'!L$9,FALSE)</f>
        <v>0</v>
      </c>
      <c r="O93" s="145">
        <f>VLOOKUP($A93&amp;" CP",'2017 TEST'!$A$13:$R$274,'2017 TEST'!M$9,FALSE)</f>
        <v>6761.2971105993411</v>
      </c>
      <c r="P93" s="145">
        <f>VLOOKUP($A93&amp;" CP",'2017 TEST'!$A$13:$R$274,'2017 TEST'!N$9,FALSE)</f>
        <v>6694.5732339721153</v>
      </c>
      <c r="Q93" s="240"/>
      <c r="R93" s="240"/>
      <c r="T93" s="206" t="s">
        <v>148</v>
      </c>
      <c r="U93" s="523">
        <v>8960.6456189220662</v>
      </c>
      <c r="V93" s="523">
        <v>0</v>
      </c>
      <c r="W93" s="523">
        <v>0</v>
      </c>
      <c r="X93" s="523">
        <v>0</v>
      </c>
      <c r="Y93" s="523">
        <v>0</v>
      </c>
      <c r="Z93" s="523">
        <v>0</v>
      </c>
      <c r="AA93" s="523">
        <v>0</v>
      </c>
      <c r="AB93" s="523">
        <v>0</v>
      </c>
      <c r="AC93" s="523">
        <v>0</v>
      </c>
      <c r="AD93" s="523">
        <v>0</v>
      </c>
      <c r="AE93" s="523">
        <v>6761.3056791288845</v>
      </c>
      <c r="AF93" s="523">
        <v>6694.5681671295861</v>
      </c>
      <c r="AG93"/>
      <c r="AH93" s="526">
        <f t="shared" ref="AH93:AH99" si="104">U93-E93</f>
        <v>1.561794449298759E-2</v>
      </c>
      <c r="AI93" s="526">
        <f t="shared" si="93"/>
        <v>0</v>
      </c>
      <c r="AJ93" s="526">
        <f t="shared" si="94"/>
        <v>0</v>
      </c>
      <c r="AK93" s="526">
        <f t="shared" si="95"/>
        <v>0</v>
      </c>
      <c r="AL93" s="526">
        <f t="shared" si="96"/>
        <v>0</v>
      </c>
      <c r="AM93" s="526">
        <f t="shared" si="97"/>
        <v>0</v>
      </c>
      <c r="AN93" s="526">
        <f t="shared" si="98"/>
        <v>0</v>
      </c>
      <c r="AO93" s="526">
        <f t="shared" si="99"/>
        <v>0</v>
      </c>
      <c r="AP93" s="526">
        <f t="shared" si="100"/>
        <v>0</v>
      </c>
      <c r="AQ93" s="526">
        <f t="shared" si="101"/>
        <v>0</v>
      </c>
      <c r="AR93" s="526">
        <f t="shared" si="102"/>
        <v>8.5685295434814179E-3</v>
      </c>
      <c r="AS93" s="526">
        <f t="shared" si="103"/>
        <v>-5.0668425292315078E-3</v>
      </c>
    </row>
    <row r="94" spans="1:45" s="518" customFormat="1">
      <c r="A94" t="s">
        <v>56</v>
      </c>
      <c r="B94" t="s">
        <v>19</v>
      </c>
      <c r="C94" s="240" t="s">
        <v>147</v>
      </c>
      <c r="D94" s="240"/>
      <c r="E94" s="145">
        <f>VLOOKUP($A94&amp;" GNCP",'2017 TEST'!$A$13:$R$274,'2017 TEST'!C$9,FALSE)</f>
        <v>19911.681915967529</v>
      </c>
      <c r="F94" s="145">
        <f>VLOOKUP($A94&amp;" GNCP",'2017 TEST'!$A$13:$R$274,'2017 TEST'!D$9,FALSE)</f>
        <v>22960.046461997095</v>
      </c>
      <c r="G94" s="145">
        <f>VLOOKUP($A94&amp;" GNCP",'2017 TEST'!$A$13:$R$274,'2017 TEST'!E$9,FALSE)</f>
        <v>22035.366080067903</v>
      </c>
      <c r="H94" s="145">
        <f>VLOOKUP($A94&amp;" GNCP",'2017 TEST'!$A$13:$R$274,'2017 TEST'!F$9,FALSE)</f>
        <v>24241.792484082052</v>
      </c>
      <c r="I94" s="145">
        <f>VLOOKUP($A94&amp;" GNCP",'2017 TEST'!$A$13:$R$274,'2017 TEST'!G$9,FALSE)</f>
        <v>24823.14579207835</v>
      </c>
      <c r="J94" s="145">
        <f>VLOOKUP($A94&amp;" GNCP",'2017 TEST'!$A$13:$R$274,'2017 TEST'!H$9,FALSE)</f>
        <v>26393.507330788761</v>
      </c>
      <c r="K94" s="145">
        <f>VLOOKUP($A94&amp;" GNCP",'2017 TEST'!$A$13:$R$274,'2017 TEST'!I$9,FALSE)</f>
        <v>25192.897437508876</v>
      </c>
      <c r="L94" s="145">
        <f>VLOOKUP($A94&amp;" GNCP",'2017 TEST'!$A$13:$R$274,'2017 TEST'!J$9,FALSE)</f>
        <v>23977.727271155429</v>
      </c>
      <c r="M94" s="145">
        <f>VLOOKUP($A94&amp;" GNCP",'2017 TEST'!$A$13:$R$274,'2017 TEST'!K$9,FALSE)</f>
        <v>23236.708661309625</v>
      </c>
      <c r="N94" s="145">
        <f>VLOOKUP($A94&amp;" GNCP",'2017 TEST'!$A$13:$R$274,'2017 TEST'!L$9,FALSE)</f>
        <v>21103.903475741536</v>
      </c>
      <c r="O94" s="145">
        <f>VLOOKUP($A94&amp;" GNCP",'2017 TEST'!$A$13:$R$274,'2017 TEST'!M$9,FALSE)</f>
        <v>20724.494800057044</v>
      </c>
      <c r="P94" s="145">
        <f>VLOOKUP($A94&amp;" GNCP",'2017 TEST'!$A$13:$R$274,'2017 TEST'!N$9,FALSE)</f>
        <v>19575.146358407917</v>
      </c>
      <c r="Q94" s="240"/>
      <c r="R94" s="240"/>
      <c r="T94" s="206" t="s">
        <v>342</v>
      </c>
      <c r="U94" s="523">
        <v>19911.681915967529</v>
      </c>
      <c r="V94" s="523">
        <v>22960.046461997095</v>
      </c>
      <c r="W94" s="523">
        <v>22035.366080067903</v>
      </c>
      <c r="X94" s="523">
        <v>24241.792484082052</v>
      </c>
      <c r="Y94" s="523">
        <v>24823.14579207835</v>
      </c>
      <c r="Z94" s="523">
        <v>26393.507330788761</v>
      </c>
      <c r="AA94" s="523">
        <v>25192.897437508876</v>
      </c>
      <c r="AB94" s="523">
        <v>23977.727271155429</v>
      </c>
      <c r="AC94" s="523">
        <v>23236.708661309625</v>
      </c>
      <c r="AD94" s="523">
        <v>21103.903475741536</v>
      </c>
      <c r="AE94" s="523">
        <v>20724.494800057044</v>
      </c>
      <c r="AF94" s="523">
        <v>19575.146358407917</v>
      </c>
      <c r="AG94"/>
      <c r="AH94" s="526">
        <f t="shared" si="104"/>
        <v>0</v>
      </c>
      <c r="AI94" s="526">
        <f t="shared" si="93"/>
        <v>0</v>
      </c>
      <c r="AJ94" s="526">
        <f t="shared" si="94"/>
        <v>0</v>
      </c>
      <c r="AK94" s="526">
        <f t="shared" si="95"/>
        <v>0</v>
      </c>
      <c r="AL94" s="526">
        <f t="shared" si="96"/>
        <v>0</v>
      </c>
      <c r="AM94" s="526">
        <f t="shared" si="97"/>
        <v>0</v>
      </c>
      <c r="AN94" s="526">
        <f t="shared" si="98"/>
        <v>0</v>
      </c>
      <c r="AO94" s="526">
        <f t="shared" si="99"/>
        <v>0</v>
      </c>
      <c r="AP94" s="526">
        <f t="shared" si="100"/>
        <v>0</v>
      </c>
      <c r="AQ94" s="526">
        <f t="shared" si="101"/>
        <v>0</v>
      </c>
      <c r="AR94" s="526">
        <f t="shared" si="102"/>
        <v>0</v>
      </c>
      <c r="AS94" s="526">
        <f t="shared" si="103"/>
        <v>0</v>
      </c>
    </row>
    <row r="95" spans="1:45" s="518" customFormat="1">
      <c r="A95" t="s">
        <v>56</v>
      </c>
      <c r="B95" t="s">
        <v>19</v>
      </c>
      <c r="C95" s="240" t="s">
        <v>133</v>
      </c>
      <c r="D95" s="240"/>
      <c r="E95" s="145">
        <f>VLOOKUP($A95&amp;" NCP",'2017 TEST'!$A$13:$R$274,'2017 TEST'!C$9,FALSE)</f>
        <v>19911.681915967529</v>
      </c>
      <c r="F95" s="145">
        <f>VLOOKUP($A95&amp;" NCP",'2017 TEST'!$A$13:$R$274,'2017 TEST'!D$9,FALSE)</f>
        <v>22960.046461997095</v>
      </c>
      <c r="G95" s="145">
        <f>VLOOKUP($A95&amp;" NCP",'2017 TEST'!$A$13:$R$274,'2017 TEST'!E$9,FALSE)</f>
        <v>22035.366080067903</v>
      </c>
      <c r="H95" s="145">
        <f>VLOOKUP($A95&amp;" NCP",'2017 TEST'!$A$13:$R$274,'2017 TEST'!F$9,FALSE)</f>
        <v>24241.792484082052</v>
      </c>
      <c r="I95" s="145">
        <f>VLOOKUP($A95&amp;" NCP",'2017 TEST'!$A$13:$R$274,'2017 TEST'!G$9,FALSE)</f>
        <v>24823.14579207835</v>
      </c>
      <c r="J95" s="145">
        <f>VLOOKUP($A95&amp;" NCP",'2017 TEST'!$A$13:$R$274,'2017 TEST'!H$9,FALSE)</f>
        <v>26393.507330788761</v>
      </c>
      <c r="K95" s="145">
        <f>VLOOKUP($A95&amp;" NCP",'2017 TEST'!$A$13:$R$274,'2017 TEST'!I$9,FALSE)</f>
        <v>25192.897437508876</v>
      </c>
      <c r="L95" s="145">
        <f>VLOOKUP($A95&amp;" NCP",'2017 TEST'!$A$13:$R$274,'2017 TEST'!J$9,FALSE)</f>
        <v>23977.727271155429</v>
      </c>
      <c r="M95" s="145">
        <f>VLOOKUP($A95&amp;" NCP",'2017 TEST'!$A$13:$R$274,'2017 TEST'!K$9,FALSE)</f>
        <v>23236.708661309625</v>
      </c>
      <c r="N95" s="145">
        <f>VLOOKUP($A95&amp;" NCP",'2017 TEST'!$A$13:$R$274,'2017 TEST'!L$9,FALSE)</f>
        <v>21103.903475741536</v>
      </c>
      <c r="O95" s="145">
        <f>VLOOKUP($A95&amp;" NCP",'2017 TEST'!$A$13:$R$274,'2017 TEST'!M$9,FALSE)</f>
        <v>20724.494800057044</v>
      </c>
      <c r="P95" s="145">
        <f>VLOOKUP($A95&amp;" NCP",'2017 TEST'!$A$13:$R$274,'2017 TEST'!N$9,FALSE)</f>
        <v>19575.146358407917</v>
      </c>
      <c r="Q95" s="240"/>
      <c r="R95" s="240"/>
      <c r="T95" s="206" t="s">
        <v>133</v>
      </c>
      <c r="U95" s="523">
        <v>19911.681915967529</v>
      </c>
      <c r="V95" s="523">
        <v>22960.046461997095</v>
      </c>
      <c r="W95" s="523">
        <v>22035.366080067903</v>
      </c>
      <c r="X95" s="523">
        <v>24241.792484082052</v>
      </c>
      <c r="Y95" s="523">
        <v>24823.14579207835</v>
      </c>
      <c r="Z95" s="523">
        <v>26393.507330788761</v>
      </c>
      <c r="AA95" s="523">
        <v>25192.897437508876</v>
      </c>
      <c r="AB95" s="523">
        <v>23977.727271155429</v>
      </c>
      <c r="AC95" s="523">
        <v>23236.708661309625</v>
      </c>
      <c r="AD95" s="523">
        <v>21103.903475741536</v>
      </c>
      <c r="AE95" s="523">
        <v>20724.494800057044</v>
      </c>
      <c r="AF95" s="523">
        <v>19575.146358407917</v>
      </c>
      <c r="AG95"/>
      <c r="AH95" s="526">
        <f t="shared" si="104"/>
        <v>0</v>
      </c>
      <c r="AI95" s="526">
        <f t="shared" si="93"/>
        <v>0</v>
      </c>
      <c r="AJ95" s="526">
        <f t="shared" si="94"/>
        <v>0</v>
      </c>
      <c r="AK95" s="526">
        <f t="shared" si="95"/>
        <v>0</v>
      </c>
      <c r="AL95" s="526">
        <f t="shared" si="96"/>
        <v>0</v>
      </c>
      <c r="AM95" s="526">
        <f t="shared" si="97"/>
        <v>0</v>
      </c>
      <c r="AN95" s="526">
        <f t="shared" si="98"/>
        <v>0</v>
      </c>
      <c r="AO95" s="526">
        <f t="shared" si="99"/>
        <v>0</v>
      </c>
      <c r="AP95" s="526">
        <f t="shared" si="100"/>
        <v>0</v>
      </c>
      <c r="AQ95" s="526">
        <f t="shared" si="101"/>
        <v>0</v>
      </c>
      <c r="AR95" s="526">
        <f t="shared" si="102"/>
        <v>0</v>
      </c>
      <c r="AS95" s="526">
        <f>AF95-P95</f>
        <v>0</v>
      </c>
    </row>
    <row r="96" spans="1:45" s="518" customFormat="1">
      <c r="A96" t="s">
        <v>56</v>
      </c>
      <c r="B96" t="s">
        <v>19</v>
      </c>
      <c r="C96" s="240" t="s">
        <v>1197</v>
      </c>
      <c r="D96" s="240"/>
      <c r="E96" s="230">
        <f>'OL-1'!C66</f>
        <v>1.2270948593517546</v>
      </c>
      <c r="F96" s="230">
        <f>'OL-1'!D66</f>
        <v>0</v>
      </c>
      <c r="G96" s="230">
        <f>'OL-1'!E66</f>
        <v>0</v>
      </c>
      <c r="H96" s="230">
        <f>'OL-1'!F66</f>
        <v>0</v>
      </c>
      <c r="I96" s="230">
        <f>'OL-1'!G66</f>
        <v>0</v>
      </c>
      <c r="J96" s="230">
        <f>'OL-1'!H66</f>
        <v>0</v>
      </c>
      <c r="K96" s="230">
        <f>'OL-1'!I66</f>
        <v>0</v>
      </c>
      <c r="L96" s="230">
        <f>'OL-1'!J66</f>
        <v>0</v>
      </c>
      <c r="M96" s="230">
        <f>'OL-1'!K66</f>
        <v>0</v>
      </c>
      <c r="N96" s="230">
        <f>'OL-1'!L66</f>
        <v>0</v>
      </c>
      <c r="O96" s="230">
        <f>'OL-1'!M66</f>
        <v>1.6721076565239867</v>
      </c>
      <c r="P96" s="230">
        <f>'OL-1'!N66</f>
        <v>1.6334808220118517</v>
      </c>
      <c r="Q96" s="240"/>
      <c r="R96" s="240"/>
      <c r="T96" s="206" t="s">
        <v>1197</v>
      </c>
      <c r="U96" s="524">
        <v>1.2270927205885209</v>
      </c>
      <c r="V96" s="524">
        <v>0</v>
      </c>
      <c r="W96" s="524">
        <v>0</v>
      </c>
      <c r="X96" s="524">
        <v>0</v>
      </c>
      <c r="Y96" s="524">
        <v>0</v>
      </c>
      <c r="Z96" s="524">
        <v>0</v>
      </c>
      <c r="AA96" s="524">
        <v>0</v>
      </c>
      <c r="AB96" s="524">
        <v>0</v>
      </c>
      <c r="AC96" s="524">
        <v>0</v>
      </c>
      <c r="AD96" s="524">
        <v>0</v>
      </c>
      <c r="AE96" s="524">
        <v>1.6721055374800426</v>
      </c>
      <c r="AF96" s="524">
        <v>1.6334820583261134</v>
      </c>
      <c r="AG96"/>
      <c r="AH96" s="526">
        <f t="shared" si="104"/>
        <v>-2.1387632336278273E-6</v>
      </c>
      <c r="AI96" s="526">
        <f t="shared" si="93"/>
        <v>0</v>
      </c>
      <c r="AJ96" s="526">
        <f t="shared" si="94"/>
        <v>0</v>
      </c>
      <c r="AK96" s="526">
        <f t="shared" si="95"/>
        <v>0</v>
      </c>
      <c r="AL96" s="526">
        <f t="shared" si="96"/>
        <v>0</v>
      </c>
      <c r="AM96" s="526">
        <f t="shared" si="97"/>
        <v>0</v>
      </c>
      <c r="AN96" s="526">
        <f t="shared" si="98"/>
        <v>0</v>
      </c>
      <c r="AO96" s="526">
        <f t="shared" si="99"/>
        <v>0</v>
      </c>
      <c r="AP96" s="526">
        <f t="shared" si="100"/>
        <v>0</v>
      </c>
      <c r="AQ96" s="526">
        <f t="shared" si="101"/>
        <v>0</v>
      </c>
      <c r="AR96" s="526">
        <f t="shared" si="102"/>
        <v>-2.1190439440932352E-6</v>
      </c>
      <c r="AS96" s="526">
        <f t="shared" ref="AS96:AS99" si="105">AF96-P96</f>
        <v>1.2363142616322875E-6</v>
      </c>
    </row>
    <row r="97" spans="1:45" s="518" customFormat="1">
      <c r="A97" t="s">
        <v>56</v>
      </c>
      <c r="B97" t="s">
        <v>19</v>
      </c>
      <c r="C97" s="240" t="s">
        <v>1198</v>
      </c>
      <c r="D97" s="240"/>
      <c r="E97" s="230">
        <f>'OL-1'!C67</f>
        <v>0.55221568208837091</v>
      </c>
      <c r="F97" s="230">
        <f>'OL-1'!D67</f>
        <v>0.52994619613918381</v>
      </c>
      <c r="G97" s="230">
        <f>'OL-1'!E67</f>
        <v>0.49849946852056309</v>
      </c>
      <c r="H97" s="230">
        <f>'OL-1'!F67</f>
        <v>0.46799871689469152</v>
      </c>
      <c r="I97" s="230">
        <f>'OL-1'!G67</f>
        <v>0.44207505528525964</v>
      </c>
      <c r="J97" s="230">
        <f>'OL-1'!H67</f>
        <v>0.42941768772305794</v>
      </c>
      <c r="K97" s="230">
        <f>'OL-1'!I67</f>
        <v>0.43515315554304584</v>
      </c>
      <c r="L97" s="230">
        <f>'OL-1'!J67</f>
        <v>0.45697852543323625</v>
      </c>
      <c r="M97" s="230">
        <f>'OL-1'!K67</f>
        <v>0.48702704503064215</v>
      </c>
      <c r="N97" s="230">
        <f>'OL-1'!L67</f>
        <v>0.51868990649112512</v>
      </c>
      <c r="O97" s="230">
        <f>'OL-1'!M67</f>
        <v>0.54551953018587207</v>
      </c>
      <c r="P97" s="230">
        <f>'OL-1'!N67</f>
        <v>0.55863985837073005</v>
      </c>
      <c r="Q97" s="240"/>
      <c r="R97" s="240"/>
      <c r="T97" s="206" t="s">
        <v>1221</v>
      </c>
      <c r="U97" s="524">
        <v>0.55221568208837091</v>
      </c>
      <c r="V97" s="524">
        <v>0.52994619613918381</v>
      </c>
      <c r="W97" s="524">
        <v>0.49849946852056309</v>
      </c>
      <c r="X97" s="524">
        <v>0.46799871689469158</v>
      </c>
      <c r="Y97" s="524">
        <v>0.44207505528525959</v>
      </c>
      <c r="Z97" s="524">
        <v>0.42941768772305788</v>
      </c>
      <c r="AA97" s="524">
        <v>0.43515315554304584</v>
      </c>
      <c r="AB97" s="524">
        <v>0.45697852543323625</v>
      </c>
      <c r="AC97" s="524">
        <v>0.48702704503064215</v>
      </c>
      <c r="AD97" s="524">
        <v>0.51868990649112512</v>
      </c>
      <c r="AE97" s="524">
        <v>0.54551953018587207</v>
      </c>
      <c r="AF97" s="524">
        <v>0.55863985837073005</v>
      </c>
      <c r="AG97"/>
      <c r="AH97" s="526">
        <f t="shared" si="104"/>
        <v>0</v>
      </c>
      <c r="AI97" s="526">
        <f t="shared" si="93"/>
        <v>0</v>
      </c>
      <c r="AJ97" s="526">
        <f t="shared" si="94"/>
        <v>0</v>
      </c>
      <c r="AK97" s="526">
        <f t="shared" si="95"/>
        <v>0</v>
      </c>
      <c r="AL97" s="526">
        <f t="shared" si="96"/>
        <v>0</v>
      </c>
      <c r="AM97" s="526">
        <f t="shared" si="97"/>
        <v>0</v>
      </c>
      <c r="AN97" s="526">
        <f t="shared" si="98"/>
        <v>0</v>
      </c>
      <c r="AO97" s="526">
        <f t="shared" si="99"/>
        <v>0</v>
      </c>
      <c r="AP97" s="526">
        <f t="shared" si="100"/>
        <v>0</v>
      </c>
      <c r="AQ97" s="526">
        <f t="shared" si="101"/>
        <v>0</v>
      </c>
      <c r="AR97" s="526">
        <f t="shared" si="102"/>
        <v>0</v>
      </c>
      <c r="AS97" s="526">
        <f t="shared" si="105"/>
        <v>0</v>
      </c>
    </row>
    <row r="98" spans="1:45" s="518" customFormat="1">
      <c r="A98" t="s">
        <v>56</v>
      </c>
      <c r="B98" t="s">
        <v>19</v>
      </c>
      <c r="C98" s="240" t="s">
        <v>1199</v>
      </c>
      <c r="D98" s="240"/>
      <c r="E98" s="230">
        <f>'OL-1'!C68</f>
        <v>0.55221568208837091</v>
      </c>
      <c r="F98" s="230">
        <f>'OL-1'!D68</f>
        <v>0.52994619613918381</v>
      </c>
      <c r="G98" s="230">
        <f>'OL-1'!E68</f>
        <v>0.49849946852056309</v>
      </c>
      <c r="H98" s="230">
        <f>'OL-1'!F68</f>
        <v>0.46799871689469152</v>
      </c>
      <c r="I98" s="230">
        <f>'OL-1'!G68</f>
        <v>0.44207505528525964</v>
      </c>
      <c r="J98" s="230">
        <f>'OL-1'!H68</f>
        <v>0.42941768772305794</v>
      </c>
      <c r="K98" s="230">
        <f>'OL-1'!I68</f>
        <v>0.43515315554304584</v>
      </c>
      <c r="L98" s="230">
        <f>'OL-1'!J68</f>
        <v>0.45697852543323625</v>
      </c>
      <c r="M98" s="230">
        <f>'OL-1'!K68</f>
        <v>0.48702704503064215</v>
      </c>
      <c r="N98" s="230">
        <f>'OL-1'!L68</f>
        <v>0.51868990649112512</v>
      </c>
      <c r="O98" s="230">
        <f>'OL-1'!M68</f>
        <v>0.54551953018587207</v>
      </c>
      <c r="P98" s="230">
        <f>'OL-1'!N68</f>
        <v>0.55863985837073005</v>
      </c>
      <c r="Q98" s="240"/>
      <c r="R98" s="240"/>
      <c r="T98" s="206" t="s">
        <v>1199</v>
      </c>
      <c r="U98" s="524">
        <v>0.55221568208837091</v>
      </c>
      <c r="V98" s="524">
        <v>0.52994619613918381</v>
      </c>
      <c r="W98" s="524">
        <v>0.49849946852056309</v>
      </c>
      <c r="X98" s="524">
        <v>0.46799871689469158</v>
      </c>
      <c r="Y98" s="524">
        <v>0.44207505528525959</v>
      </c>
      <c r="Z98" s="524">
        <v>0.42941768772305788</v>
      </c>
      <c r="AA98" s="524">
        <v>0.43515315554304584</v>
      </c>
      <c r="AB98" s="524">
        <v>0.45697852543323625</v>
      </c>
      <c r="AC98" s="524">
        <v>0.48702704503064215</v>
      </c>
      <c r="AD98" s="524">
        <v>0.51868990649112512</v>
      </c>
      <c r="AE98" s="524">
        <v>0.54551953018587207</v>
      </c>
      <c r="AF98" s="524">
        <v>0.55863985837073005</v>
      </c>
      <c r="AG98"/>
      <c r="AH98" s="526">
        <f t="shared" si="104"/>
        <v>0</v>
      </c>
      <c r="AI98" s="526">
        <f t="shared" si="93"/>
        <v>0</v>
      </c>
      <c r="AJ98" s="526">
        <f t="shared" si="94"/>
        <v>0</v>
      </c>
      <c r="AK98" s="526">
        <f t="shared" si="95"/>
        <v>0</v>
      </c>
      <c r="AL98" s="526">
        <f t="shared" si="96"/>
        <v>0</v>
      </c>
      <c r="AM98" s="526">
        <f t="shared" si="97"/>
        <v>0</v>
      </c>
      <c r="AN98" s="526">
        <f t="shared" si="98"/>
        <v>0</v>
      </c>
      <c r="AO98" s="526">
        <f t="shared" si="99"/>
        <v>0</v>
      </c>
      <c r="AP98" s="526">
        <f t="shared" si="100"/>
        <v>0</v>
      </c>
      <c r="AQ98" s="526">
        <f t="shared" si="101"/>
        <v>0</v>
      </c>
      <c r="AR98" s="526">
        <f t="shared" si="102"/>
        <v>0</v>
      </c>
      <c r="AS98" s="526">
        <f t="shared" si="105"/>
        <v>0</v>
      </c>
    </row>
    <row r="99" spans="1:45" s="518" customFormat="1">
      <c r="A99" t="s">
        <v>56</v>
      </c>
      <c r="B99" t="s">
        <v>19</v>
      </c>
      <c r="C99" s="240" t="s">
        <v>1200</v>
      </c>
      <c r="D99" s="240"/>
      <c r="E99" s="145">
        <f>HOURS!$B$19</f>
        <v>744</v>
      </c>
      <c r="F99" s="145">
        <f>HOURS!$C$19</f>
        <v>672</v>
      </c>
      <c r="G99" s="145">
        <f>HOURS!$D$19</f>
        <v>744</v>
      </c>
      <c r="H99" s="145">
        <f>HOURS!$E$19</f>
        <v>720</v>
      </c>
      <c r="I99" s="145">
        <f>HOURS!$F$19</f>
        <v>744</v>
      </c>
      <c r="J99" s="145">
        <f>HOURS!$G$19</f>
        <v>720</v>
      </c>
      <c r="K99" s="145">
        <f>HOURS!$H$19</f>
        <v>744</v>
      </c>
      <c r="L99" s="145">
        <f>HOURS!$I$19</f>
        <v>744</v>
      </c>
      <c r="M99" s="145">
        <f>HOURS!$J$19</f>
        <v>720</v>
      </c>
      <c r="N99" s="145">
        <f>HOURS!$K$19</f>
        <v>744</v>
      </c>
      <c r="O99" s="145">
        <f>HOURS!$L$19</f>
        <v>720</v>
      </c>
      <c r="P99" s="145">
        <f>HOURS!$M$19</f>
        <v>744</v>
      </c>
      <c r="Q99" s="240"/>
      <c r="R99" s="240"/>
      <c r="T99" s="206" t="s">
        <v>1200</v>
      </c>
      <c r="U99" s="523">
        <v>744</v>
      </c>
      <c r="V99" s="523">
        <v>672</v>
      </c>
      <c r="W99" s="523">
        <v>744</v>
      </c>
      <c r="X99" s="523">
        <v>720</v>
      </c>
      <c r="Y99" s="523">
        <v>744</v>
      </c>
      <c r="Z99" s="523">
        <v>720</v>
      </c>
      <c r="AA99" s="523">
        <v>744</v>
      </c>
      <c r="AB99" s="523">
        <v>744</v>
      </c>
      <c r="AC99" s="523">
        <v>720</v>
      </c>
      <c r="AD99" s="523">
        <v>744</v>
      </c>
      <c r="AE99" s="523">
        <v>720</v>
      </c>
      <c r="AF99" s="523">
        <v>744</v>
      </c>
      <c r="AG99"/>
      <c r="AH99" s="526">
        <f t="shared" si="104"/>
        <v>0</v>
      </c>
      <c r="AI99" s="526">
        <f t="shared" si="93"/>
        <v>0</v>
      </c>
      <c r="AJ99" s="526">
        <f t="shared" si="94"/>
        <v>0</v>
      </c>
      <c r="AK99" s="526">
        <f t="shared" si="95"/>
        <v>0</v>
      </c>
      <c r="AL99" s="526">
        <f t="shared" si="96"/>
        <v>0</v>
      </c>
      <c r="AM99" s="526">
        <f t="shared" si="97"/>
        <v>0</v>
      </c>
      <c r="AN99" s="526">
        <f t="shared" si="98"/>
        <v>0</v>
      </c>
      <c r="AO99" s="526">
        <f t="shared" si="99"/>
        <v>0</v>
      </c>
      <c r="AP99" s="526">
        <f t="shared" si="100"/>
        <v>0</v>
      </c>
      <c r="AQ99" s="526">
        <f t="shared" si="101"/>
        <v>0</v>
      </c>
      <c r="AR99" s="526">
        <f t="shared" si="102"/>
        <v>0</v>
      </c>
      <c r="AS99" s="526">
        <f t="shared" si="105"/>
        <v>0</v>
      </c>
    </row>
    <row r="100" spans="1:45" s="518" customFormat="1">
      <c r="A100"/>
      <c r="B100"/>
      <c r="C100" s="240"/>
      <c r="D100" s="240"/>
      <c r="E100" s="497"/>
      <c r="F100" s="240"/>
      <c r="G100" s="240"/>
      <c r="H100" s="240"/>
      <c r="I100" s="240"/>
      <c r="J100" s="240"/>
      <c r="K100" s="240"/>
      <c r="L100" s="240"/>
      <c r="M100" s="240"/>
      <c r="N100" s="240"/>
      <c r="O100" s="240"/>
      <c r="P100" s="240"/>
      <c r="Q100" s="240"/>
      <c r="R100" s="240"/>
      <c r="T100" s="206"/>
      <c r="U100" s="523"/>
      <c r="V100" s="523"/>
      <c r="W100" s="523"/>
      <c r="X100" s="523"/>
      <c r="Y100" s="523"/>
      <c r="Z100" s="523"/>
      <c r="AA100" s="523"/>
      <c r="AB100" s="523"/>
      <c r="AC100" s="523"/>
      <c r="AD100" s="523"/>
      <c r="AE100" s="523"/>
      <c r="AF100" s="523"/>
      <c r="AG100"/>
      <c r="AH100" s="526"/>
      <c r="AI100" s="526"/>
      <c r="AJ100" s="526"/>
      <c r="AK100" s="526"/>
      <c r="AL100" s="526"/>
      <c r="AM100" s="526"/>
      <c r="AN100" s="526"/>
      <c r="AO100" s="526"/>
      <c r="AP100" s="526"/>
      <c r="AQ100" s="526"/>
      <c r="AR100" s="526"/>
      <c r="AS100" s="526"/>
    </row>
    <row r="101" spans="1:45">
      <c r="A101" t="s">
        <v>57</v>
      </c>
      <c r="B101" t="s">
        <v>22</v>
      </c>
      <c r="C101" t="s">
        <v>1105</v>
      </c>
      <c r="T101" s="522" t="s">
        <v>1232</v>
      </c>
      <c r="U101" s="523"/>
      <c r="V101" s="523"/>
      <c r="W101" s="523"/>
      <c r="X101" s="523"/>
      <c r="Y101" s="523"/>
      <c r="Z101" s="523"/>
      <c r="AA101" s="523"/>
      <c r="AB101" s="523"/>
      <c r="AC101" s="523"/>
      <c r="AD101" s="523"/>
      <c r="AE101" s="523"/>
      <c r="AF101" s="523"/>
      <c r="AG101"/>
      <c r="AH101" s="526"/>
      <c r="AI101" s="526"/>
      <c r="AJ101" s="526"/>
      <c r="AK101" s="526"/>
      <c r="AL101" s="526"/>
      <c r="AM101" s="526"/>
      <c r="AN101" s="526"/>
      <c r="AO101" s="526"/>
      <c r="AP101" s="526"/>
      <c r="AQ101" s="526"/>
      <c r="AR101" s="526"/>
      <c r="AS101" s="526"/>
    </row>
    <row r="102" spans="1:45" ht="15.6">
      <c r="A102" t="s">
        <v>57</v>
      </c>
      <c r="B102" t="s">
        <v>22</v>
      </c>
      <c r="C102" s="251" t="s">
        <v>1201</v>
      </c>
      <c r="D102" s="251"/>
      <c r="E102" s="145">
        <f>VLOOKUP($A102&amp;" KWH Sales",'2017 TEST'!$A$13:$R$274,'2017 TEST'!C$9,FALSE)/1000</f>
        <v>868.04700000000003</v>
      </c>
      <c r="F102" s="145">
        <f>VLOOKUP($A102&amp;" KWH Sales",'2017 TEST'!$A$13:$R$274,'2017 TEST'!D$9,FALSE)/1000</f>
        <v>980.59299999999996</v>
      </c>
      <c r="G102" s="145">
        <f>VLOOKUP($A102&amp;" KWH Sales",'2017 TEST'!$A$13:$R$274,'2017 TEST'!E$9,FALSE)/1000</f>
        <v>1051.2380000000001</v>
      </c>
      <c r="H102" s="145">
        <f>VLOOKUP($A102&amp;" KWH Sales",'2017 TEST'!$A$13:$R$274,'2017 TEST'!F$9,FALSE)/1000</f>
        <v>908.43700000000001</v>
      </c>
      <c r="I102" s="145">
        <f>VLOOKUP($A102&amp;" KWH Sales",'2017 TEST'!$A$13:$R$274,'2017 TEST'!G$9,FALSE)/1000</f>
        <v>861.05799999999999</v>
      </c>
      <c r="J102" s="145">
        <f>VLOOKUP($A102&amp;" KWH Sales",'2017 TEST'!$A$13:$R$274,'2017 TEST'!H$9,FALSE)/1000</f>
        <v>823.75400000000002</v>
      </c>
      <c r="K102" s="145">
        <f>VLOOKUP($A102&amp;" KWH Sales",'2017 TEST'!$A$13:$R$274,'2017 TEST'!I$9,FALSE)/1000</f>
        <v>714.38</v>
      </c>
      <c r="L102" s="145">
        <f>VLOOKUP($A102&amp;" KWH Sales",'2017 TEST'!$A$13:$R$274,'2017 TEST'!J$9,FALSE)/1000</f>
        <v>720.43299999999999</v>
      </c>
      <c r="M102" s="145">
        <f>VLOOKUP($A102&amp;" KWH Sales",'2017 TEST'!$A$13:$R$274,'2017 TEST'!K$9,FALSE)/1000</f>
        <v>908.76800000000003</v>
      </c>
      <c r="N102" s="145">
        <f>VLOOKUP($A102&amp;" KWH Sales",'2017 TEST'!$A$13:$R$274,'2017 TEST'!L$9,FALSE)/1000</f>
        <v>936.45100000000002</v>
      </c>
      <c r="O102" s="145">
        <f>VLOOKUP($A102&amp;" KWH Sales",'2017 TEST'!$A$13:$R$274,'2017 TEST'!M$9,FALSE)/1000</f>
        <v>1075.8889999999999</v>
      </c>
      <c r="P102" s="145">
        <f>VLOOKUP($A102&amp;" KWH Sales",'2017 TEST'!$A$13:$R$274,'2017 TEST'!N$9,FALSE)/1000</f>
        <v>944.26499999999999</v>
      </c>
      <c r="T102" s="206" t="s">
        <v>1261</v>
      </c>
      <c r="U102" s="523">
        <v>868.04700000000003</v>
      </c>
      <c r="V102" s="523">
        <v>980.59299999999996</v>
      </c>
      <c r="W102" s="523">
        <v>1051.2380000000001</v>
      </c>
      <c r="X102" s="523">
        <v>908.43700000000001</v>
      </c>
      <c r="Y102" s="523">
        <v>861.05799999999999</v>
      </c>
      <c r="Z102" s="523">
        <v>823.75400000000002</v>
      </c>
      <c r="AA102" s="523">
        <v>714.38</v>
      </c>
      <c r="AB102" s="523">
        <v>720.43299999999999</v>
      </c>
      <c r="AC102" s="523">
        <v>908.76800000000003</v>
      </c>
      <c r="AD102" s="523">
        <v>936.45100000000002</v>
      </c>
      <c r="AE102" s="523">
        <v>1075.8889999999999</v>
      </c>
      <c r="AF102" s="523">
        <v>944.26499999999999</v>
      </c>
      <c r="AG102"/>
      <c r="AH102" s="526">
        <f>U102-E102</f>
        <v>0</v>
      </c>
      <c r="AI102" s="526">
        <f t="shared" ref="AI102:AI109" si="106">V102-F102</f>
        <v>0</v>
      </c>
      <c r="AJ102" s="526">
        <f t="shared" ref="AJ102:AJ109" si="107">W102-G102</f>
        <v>0</v>
      </c>
      <c r="AK102" s="526">
        <f t="shared" ref="AK102:AK109" si="108">X102-H102</f>
        <v>0</v>
      </c>
      <c r="AL102" s="526">
        <f t="shared" ref="AL102:AL109" si="109">Y102-I102</f>
        <v>0</v>
      </c>
      <c r="AM102" s="526">
        <f t="shared" ref="AM102:AM109" si="110">Z102-J102</f>
        <v>0</v>
      </c>
      <c r="AN102" s="526">
        <f t="shared" ref="AN102:AN109" si="111">AA102-K102</f>
        <v>0</v>
      </c>
      <c r="AO102" s="526">
        <f t="shared" ref="AO102:AO109" si="112">AB102-L102</f>
        <v>0</v>
      </c>
      <c r="AP102" s="526">
        <f t="shared" ref="AP102:AP109" si="113">AC102-M102</f>
        <v>0</v>
      </c>
      <c r="AQ102" s="526">
        <f t="shared" ref="AQ102:AQ109" si="114">AD102-N102</f>
        <v>0</v>
      </c>
      <c r="AR102" s="526">
        <f t="shared" ref="AR102:AR109" si="115">AE102-O102</f>
        <v>0</v>
      </c>
      <c r="AS102" s="526">
        <f t="shared" ref="AS102:AS104" si="116">AF102-P102</f>
        <v>0</v>
      </c>
    </row>
    <row r="103" spans="1:45" s="518" customFormat="1">
      <c r="A103" t="s">
        <v>57</v>
      </c>
      <c r="B103" t="s">
        <v>22</v>
      </c>
      <c r="C103" s="240" t="s">
        <v>148</v>
      </c>
      <c r="D103" s="240"/>
      <c r="E103" s="145">
        <f>VLOOKUP($A103&amp;" CP",'2017 TEST'!$A$13:$R$274,'2017 TEST'!C$9,FALSE)</f>
        <v>2434.9177674053576</v>
      </c>
      <c r="F103" s="145">
        <f>VLOOKUP($A103&amp;" CP",'2017 TEST'!$A$13:$R$274,'2017 TEST'!D$9,FALSE)</f>
        <v>596.38358712346064</v>
      </c>
      <c r="G103" s="145">
        <f>VLOOKUP($A103&amp;" CP",'2017 TEST'!$A$13:$R$274,'2017 TEST'!E$9,FALSE)</f>
        <v>936.19886833619989</v>
      </c>
      <c r="H103" s="145">
        <f>VLOOKUP($A103&amp;" CP",'2017 TEST'!$A$13:$R$274,'2017 TEST'!F$9,FALSE)</f>
        <v>984.98678523120191</v>
      </c>
      <c r="I103" s="145">
        <f>VLOOKUP($A103&amp;" CP",'2017 TEST'!$A$13:$R$274,'2017 TEST'!G$9,FALSE)</f>
        <v>950.52470366677721</v>
      </c>
      <c r="J103" s="145">
        <f>VLOOKUP($A103&amp;" CP",'2017 TEST'!$A$13:$R$274,'2017 TEST'!H$9,FALSE)</f>
        <v>938.22790036790718</v>
      </c>
      <c r="K103" s="145">
        <f>VLOOKUP($A103&amp;" CP",'2017 TEST'!$A$13:$R$274,'2017 TEST'!I$9,FALSE)</f>
        <v>805.49187546696589</v>
      </c>
      <c r="L103" s="145">
        <f>VLOOKUP($A103&amp;" CP",'2017 TEST'!$A$13:$R$274,'2017 TEST'!J$9,FALSE)</f>
        <v>958.60115186981579</v>
      </c>
      <c r="M103" s="145">
        <f>VLOOKUP($A103&amp;" CP",'2017 TEST'!$A$13:$R$274,'2017 TEST'!K$9,FALSE)</f>
        <v>941.04252046484748</v>
      </c>
      <c r="N103" s="145">
        <f>VLOOKUP($A103&amp;" CP",'2017 TEST'!$A$13:$R$274,'2017 TEST'!L$9,FALSE)</f>
        <v>812.8098036272105</v>
      </c>
      <c r="O103" s="145">
        <f>VLOOKUP($A103&amp;" CP",'2017 TEST'!$A$13:$R$274,'2017 TEST'!M$9,FALSE)</f>
        <v>2664.6745134017392</v>
      </c>
      <c r="P103" s="145">
        <f>VLOOKUP($A103&amp;" CP",'2017 TEST'!$A$13:$R$274,'2017 TEST'!N$9,FALSE)</f>
        <v>3062.8612562171766</v>
      </c>
      <c r="Q103" s="240"/>
      <c r="R103" s="240"/>
      <c r="T103" s="206" t="s">
        <v>148</v>
      </c>
      <c r="U103" s="523">
        <v>2434.922011348011</v>
      </c>
      <c r="V103" s="523">
        <v>596.38581956749215</v>
      </c>
      <c r="W103" s="523">
        <v>936.19667248259475</v>
      </c>
      <c r="X103" s="523">
        <v>984.97695793468267</v>
      </c>
      <c r="Y103" s="523">
        <v>950.53407267525017</v>
      </c>
      <c r="Z103" s="523">
        <v>938.22928937310076</v>
      </c>
      <c r="AA103" s="523">
        <v>805.49428393733479</v>
      </c>
      <c r="AB103" s="523">
        <v>958.59864996950682</v>
      </c>
      <c r="AC103" s="523">
        <v>941.04113967832791</v>
      </c>
      <c r="AD103" s="523">
        <v>812.80957877981143</v>
      </c>
      <c r="AE103" s="523">
        <v>2664.6778903181103</v>
      </c>
      <c r="AF103" s="523">
        <v>3062.8589380655735</v>
      </c>
      <c r="AG103"/>
      <c r="AH103" s="526">
        <f t="shared" ref="AH103:AH109" si="117">U103-E103</f>
        <v>4.2439426533746882E-3</v>
      </c>
      <c r="AI103" s="526">
        <f t="shared" si="106"/>
        <v>2.2324440315060201E-3</v>
      </c>
      <c r="AJ103" s="526">
        <f t="shared" si="107"/>
        <v>-2.1958536051442934E-3</v>
      </c>
      <c r="AK103" s="526">
        <f t="shared" si="108"/>
        <v>-9.8272965192336414E-3</v>
      </c>
      <c r="AL103" s="526">
        <f t="shared" si="109"/>
        <v>9.3690084729587397E-3</v>
      </c>
      <c r="AM103" s="526">
        <f t="shared" si="110"/>
        <v>1.3890051935732117E-3</v>
      </c>
      <c r="AN103" s="526">
        <f t="shared" si="111"/>
        <v>2.4084703688913578E-3</v>
      </c>
      <c r="AO103" s="526">
        <f t="shared" si="112"/>
        <v>-2.5019003089710168E-3</v>
      </c>
      <c r="AP103" s="526">
        <f t="shared" si="113"/>
        <v>-1.3807865195758495E-3</v>
      </c>
      <c r="AQ103" s="526">
        <f t="shared" si="114"/>
        <v>-2.2484739906758477E-4</v>
      </c>
      <c r="AR103" s="526">
        <f t="shared" si="115"/>
        <v>3.3769163710530847E-3</v>
      </c>
      <c r="AS103" s="526">
        <f t="shared" si="116"/>
        <v>-2.3181516030490457E-3</v>
      </c>
    </row>
    <row r="104" spans="1:45" s="518" customFormat="1">
      <c r="A104" t="s">
        <v>57</v>
      </c>
      <c r="B104" t="s">
        <v>22</v>
      </c>
      <c r="C104" s="240" t="s">
        <v>147</v>
      </c>
      <c r="D104" s="240"/>
      <c r="E104" s="145">
        <f>VLOOKUP($A104&amp;" GNCP",'2017 TEST'!$A$13:$R$274,'2017 TEST'!C$9,FALSE)</f>
        <v>8218.5706292996947</v>
      </c>
      <c r="F104" s="145">
        <f>VLOOKUP($A104&amp;" GNCP",'2017 TEST'!$A$13:$R$274,'2017 TEST'!D$9,FALSE)</f>
        <v>10671.343011832641</v>
      </c>
      <c r="G104" s="145">
        <f>VLOOKUP($A104&amp;" GNCP",'2017 TEST'!$A$13:$R$274,'2017 TEST'!E$9,FALSE)</f>
        <v>11767.813135979159</v>
      </c>
      <c r="H104" s="145">
        <f>VLOOKUP($A104&amp;" GNCP",'2017 TEST'!$A$13:$R$274,'2017 TEST'!F$9,FALSE)</f>
        <v>9102.4431259170797</v>
      </c>
      <c r="I104" s="145">
        <f>VLOOKUP($A104&amp;" GNCP",'2017 TEST'!$A$13:$R$274,'2017 TEST'!G$9,FALSE)</f>
        <v>7955.8681426633748</v>
      </c>
      <c r="J104" s="145">
        <f>VLOOKUP($A104&amp;" GNCP",'2017 TEST'!$A$13:$R$274,'2017 TEST'!H$9,FALSE)</f>
        <v>6645.0564150122536</v>
      </c>
      <c r="K104" s="145">
        <f>VLOOKUP($A104&amp;" GNCP",'2017 TEST'!$A$13:$R$274,'2017 TEST'!I$9,FALSE)</f>
        <v>5039.8283026899926</v>
      </c>
      <c r="L104" s="145">
        <f>VLOOKUP($A104&amp;" GNCP",'2017 TEST'!$A$13:$R$274,'2017 TEST'!J$9,FALSE)</f>
        <v>5681.5215009666026</v>
      </c>
      <c r="M104" s="145">
        <f>VLOOKUP($A104&amp;" GNCP",'2017 TEST'!$A$13:$R$274,'2017 TEST'!K$9,FALSE)</f>
        <v>8677.8369226822088</v>
      </c>
      <c r="N104" s="145">
        <f>VLOOKUP($A104&amp;" GNCP",'2017 TEST'!$A$13:$R$274,'2017 TEST'!L$9,FALSE)</f>
        <v>9169.4264582359356</v>
      </c>
      <c r="O104" s="145">
        <f>VLOOKUP($A104&amp;" GNCP",'2017 TEST'!$A$13:$R$274,'2017 TEST'!M$9,FALSE)</f>
        <v>10974.528980033554</v>
      </c>
      <c r="P104" s="145">
        <f>VLOOKUP($A104&amp;" GNCP",'2017 TEST'!$A$13:$R$274,'2017 TEST'!N$9,FALSE)</f>
        <v>9220.191465441023</v>
      </c>
      <c r="Q104" s="240"/>
      <c r="R104" s="240"/>
      <c r="T104" s="206" t="s">
        <v>342</v>
      </c>
      <c r="U104" s="523">
        <v>8218.5706292996947</v>
      </c>
      <c r="V104" s="523">
        <v>10671.343011832641</v>
      </c>
      <c r="W104" s="523">
        <v>11767.813135979159</v>
      </c>
      <c r="X104" s="523">
        <v>9102.4431259170797</v>
      </c>
      <c r="Y104" s="523">
        <v>7955.8681426633748</v>
      </c>
      <c r="Z104" s="523">
        <v>6645.0564150122536</v>
      </c>
      <c r="AA104" s="523">
        <v>5039.8283026899926</v>
      </c>
      <c r="AB104" s="523">
        <v>5681.5215009666026</v>
      </c>
      <c r="AC104" s="523">
        <v>8677.8369226822088</v>
      </c>
      <c r="AD104" s="523">
        <v>9169.4264582359356</v>
      </c>
      <c r="AE104" s="523">
        <v>10974.528980033554</v>
      </c>
      <c r="AF104" s="523">
        <v>9220.191465441023</v>
      </c>
      <c r="AG104"/>
      <c r="AH104" s="526">
        <f t="shared" si="117"/>
        <v>0</v>
      </c>
      <c r="AI104" s="526">
        <f t="shared" si="106"/>
        <v>0</v>
      </c>
      <c r="AJ104" s="526">
        <f t="shared" si="107"/>
        <v>0</v>
      </c>
      <c r="AK104" s="526">
        <f t="shared" si="108"/>
        <v>0</v>
      </c>
      <c r="AL104" s="526">
        <f t="shared" si="109"/>
        <v>0</v>
      </c>
      <c r="AM104" s="526">
        <f t="shared" si="110"/>
        <v>0</v>
      </c>
      <c r="AN104" s="526">
        <f t="shared" si="111"/>
        <v>0</v>
      </c>
      <c r="AO104" s="526">
        <f t="shared" si="112"/>
        <v>0</v>
      </c>
      <c r="AP104" s="526">
        <f t="shared" si="113"/>
        <v>0</v>
      </c>
      <c r="AQ104" s="526">
        <f t="shared" si="114"/>
        <v>0</v>
      </c>
      <c r="AR104" s="526">
        <f t="shared" si="115"/>
        <v>0</v>
      </c>
      <c r="AS104" s="526">
        <f t="shared" si="116"/>
        <v>0</v>
      </c>
    </row>
    <row r="105" spans="1:45" s="518" customFormat="1">
      <c r="A105" t="s">
        <v>57</v>
      </c>
      <c r="B105" t="s">
        <v>22</v>
      </c>
      <c r="C105" s="240" t="s">
        <v>133</v>
      </c>
      <c r="D105" s="240"/>
      <c r="E105" s="145">
        <f>VLOOKUP($A105&amp;" NCP",'2017 TEST'!$A$13:$R$274,'2017 TEST'!C$9,FALSE)</f>
        <v>11991.200878089297</v>
      </c>
      <c r="F105" s="145">
        <f>VLOOKUP($A105&amp;" NCP",'2017 TEST'!$A$13:$R$274,'2017 TEST'!D$9,FALSE)</f>
        <v>13791.184649160266</v>
      </c>
      <c r="G105" s="145">
        <f>VLOOKUP($A105&amp;" NCP",'2017 TEST'!$A$13:$R$274,'2017 TEST'!E$9,FALSE)</f>
        <v>14816.577729433437</v>
      </c>
      <c r="H105" s="145">
        <f>VLOOKUP($A105&amp;" NCP",'2017 TEST'!$A$13:$R$274,'2017 TEST'!F$9,FALSE)</f>
        <v>14240.468751154714</v>
      </c>
      <c r="I105" s="145">
        <f>VLOOKUP($A105&amp;" NCP",'2017 TEST'!$A$13:$R$274,'2017 TEST'!G$9,FALSE)</f>
        <v>13553.988327650901</v>
      </c>
      <c r="J105" s="145">
        <f>VLOOKUP($A105&amp;" NCP",'2017 TEST'!$A$13:$R$274,'2017 TEST'!H$9,FALSE)</f>
        <v>11959.033348750592</v>
      </c>
      <c r="K105" s="145">
        <f>VLOOKUP($A105&amp;" NCP",'2017 TEST'!$A$13:$R$274,'2017 TEST'!I$9,FALSE)</f>
        <v>9298.2927570898646</v>
      </c>
      <c r="L105" s="145">
        <f>VLOOKUP($A105&amp;" NCP",'2017 TEST'!$A$13:$R$274,'2017 TEST'!J$9,FALSE)</f>
        <v>9954.2867899705889</v>
      </c>
      <c r="M105" s="145">
        <f>VLOOKUP($A105&amp;" NCP",'2017 TEST'!$A$13:$R$274,'2017 TEST'!K$9,FALSE)</f>
        <v>14269.732730704134</v>
      </c>
      <c r="N105" s="145">
        <f>VLOOKUP($A105&amp;" NCP",'2017 TEST'!$A$13:$R$274,'2017 TEST'!L$9,FALSE)</f>
        <v>12796.831565301076</v>
      </c>
      <c r="O105" s="145">
        <f>VLOOKUP($A105&amp;" NCP",'2017 TEST'!$A$13:$R$274,'2017 TEST'!M$9,FALSE)</f>
        <v>14735.372465397017</v>
      </c>
      <c r="P105" s="145">
        <f>VLOOKUP($A105&amp;" NCP",'2017 TEST'!$A$13:$R$274,'2017 TEST'!N$9,FALSE)</f>
        <v>13886.153603066048</v>
      </c>
      <c r="Q105" s="240"/>
      <c r="R105" s="240"/>
      <c r="T105" s="206" t="s">
        <v>133</v>
      </c>
      <c r="U105" s="523">
        <v>11991.200878089297</v>
      </c>
      <c r="V105" s="523">
        <v>13791.184649160266</v>
      </c>
      <c r="W105" s="523">
        <v>14816.577729433437</v>
      </c>
      <c r="X105" s="523">
        <v>14240.468751154714</v>
      </c>
      <c r="Y105" s="523">
        <v>13553.988327650901</v>
      </c>
      <c r="Z105" s="523">
        <v>11959.033348750592</v>
      </c>
      <c r="AA105" s="523">
        <v>9298.2927570898646</v>
      </c>
      <c r="AB105" s="523">
        <v>9954.2867899705889</v>
      </c>
      <c r="AC105" s="523">
        <v>14269.732730704134</v>
      </c>
      <c r="AD105" s="523">
        <v>12796.831565301076</v>
      </c>
      <c r="AE105" s="523">
        <v>14735.372465397017</v>
      </c>
      <c r="AF105" s="523">
        <v>13886.153603066048</v>
      </c>
      <c r="AG105"/>
      <c r="AH105" s="526">
        <f t="shared" si="117"/>
        <v>0</v>
      </c>
      <c r="AI105" s="526">
        <f t="shared" si="106"/>
        <v>0</v>
      </c>
      <c r="AJ105" s="526">
        <f t="shared" si="107"/>
        <v>0</v>
      </c>
      <c r="AK105" s="526">
        <f t="shared" si="108"/>
        <v>0</v>
      </c>
      <c r="AL105" s="526">
        <f t="shared" si="109"/>
        <v>0</v>
      </c>
      <c r="AM105" s="526">
        <f t="shared" si="110"/>
        <v>0</v>
      </c>
      <c r="AN105" s="526">
        <f t="shared" si="111"/>
        <v>0</v>
      </c>
      <c r="AO105" s="526">
        <f t="shared" si="112"/>
        <v>0</v>
      </c>
      <c r="AP105" s="526">
        <f t="shared" si="113"/>
        <v>0</v>
      </c>
      <c r="AQ105" s="526">
        <f t="shared" si="114"/>
        <v>0</v>
      </c>
      <c r="AR105" s="526">
        <f t="shared" si="115"/>
        <v>0</v>
      </c>
      <c r="AS105" s="526">
        <f>AF105-P105</f>
        <v>0</v>
      </c>
    </row>
    <row r="106" spans="1:45" s="518" customFormat="1">
      <c r="A106" t="s">
        <v>57</v>
      </c>
      <c r="B106" t="s">
        <v>22</v>
      </c>
      <c r="C106" s="240" t="s">
        <v>1197</v>
      </c>
      <c r="D106" s="240"/>
      <c r="E106" s="230">
        <f>'OS-2'!C66</f>
        <v>0.47916601304895062</v>
      </c>
      <c r="F106" s="230">
        <f>'OS-2'!D66</f>
        <v>2.4467738638612864</v>
      </c>
      <c r="G106" s="230">
        <f>'OS-2'!E66</f>
        <v>1.5092458972807266</v>
      </c>
      <c r="H106" s="230">
        <f>'OS-2'!F66</f>
        <v>1.2809492213232054</v>
      </c>
      <c r="I106" s="230">
        <f>'OS-2'!G66</f>
        <v>1.2175759525668259</v>
      </c>
      <c r="J106" s="230">
        <f>'OS-2'!H66</f>
        <v>1.2194294982371991</v>
      </c>
      <c r="K106" s="230">
        <f>'OS-2'!I66</f>
        <v>1.1920519638840097</v>
      </c>
      <c r="L106" s="230">
        <f>'OS-2'!J66</f>
        <v>1.0101426676177074</v>
      </c>
      <c r="M106" s="230">
        <f>'OS-2'!K66</f>
        <v>1.3412547789597209</v>
      </c>
      <c r="N106" s="230">
        <f>'OS-2'!L66</f>
        <v>1.5485427135694485</v>
      </c>
      <c r="O106" s="230">
        <f>'OS-2'!M66</f>
        <v>0.56077778740419526</v>
      </c>
      <c r="P106" s="230">
        <f>'OS-2'!N66</f>
        <v>0.41437508294589942</v>
      </c>
      <c r="Q106" s="240"/>
      <c r="R106" s="240"/>
      <c r="T106" s="206" t="s">
        <v>1197</v>
      </c>
      <c r="U106" s="524">
        <v>0.47916517788746649</v>
      </c>
      <c r="V106" s="524">
        <v>2.4467647048814287</v>
      </c>
      <c r="W106" s="524">
        <v>1.5092494372239269</v>
      </c>
      <c r="X106" s="524">
        <v>1.2809620015895078</v>
      </c>
      <c r="Y106" s="524">
        <v>1.2175639514405707</v>
      </c>
      <c r="Z106" s="524">
        <v>1.2194276929280647</v>
      </c>
      <c r="AA106" s="524">
        <v>1.1920483995858011</v>
      </c>
      <c r="AB106" s="524">
        <v>1.0101453040456352</v>
      </c>
      <c r="AC106" s="524">
        <v>1.3412567469783763</v>
      </c>
      <c r="AD106" s="524">
        <v>1.5485431419426008</v>
      </c>
      <c r="AE106" s="524">
        <v>0.56077707673680166</v>
      </c>
      <c r="AF106" s="524">
        <v>0.41437539656930883</v>
      </c>
      <c r="AG106"/>
      <c r="AH106" s="526">
        <f t="shared" si="117"/>
        <v>-8.3516148413620428E-7</v>
      </c>
      <c r="AI106" s="526">
        <f t="shared" si="106"/>
        <v>-9.1589798576485748E-6</v>
      </c>
      <c r="AJ106" s="526">
        <f t="shared" si="107"/>
        <v>3.5399432003480058E-6</v>
      </c>
      <c r="AK106" s="526">
        <f t="shared" si="108"/>
        <v>1.2780266302359067E-5</v>
      </c>
      <c r="AL106" s="526">
        <f t="shared" si="109"/>
        <v>-1.2001126255212213E-5</v>
      </c>
      <c r="AM106" s="526">
        <f t="shared" si="110"/>
        <v>-1.8053091344061301E-6</v>
      </c>
      <c r="AN106" s="526">
        <f t="shared" si="111"/>
        <v>-3.5642982085803965E-6</v>
      </c>
      <c r="AO106" s="526">
        <f t="shared" si="112"/>
        <v>2.6364279277490965E-6</v>
      </c>
      <c r="AP106" s="526">
        <f t="shared" si="113"/>
        <v>1.9680186553738821E-6</v>
      </c>
      <c r="AQ106" s="526">
        <f t="shared" si="114"/>
        <v>4.2837315228361206E-7</v>
      </c>
      <c r="AR106" s="526">
        <f t="shared" si="115"/>
        <v>-7.1066739359970654E-7</v>
      </c>
      <c r="AS106" s="526">
        <f t="shared" ref="AS106:AS109" si="118">AF106-P106</f>
        <v>3.1362340940921385E-7</v>
      </c>
    </row>
    <row r="107" spans="1:45" s="518" customFormat="1">
      <c r="A107" t="s">
        <v>57</v>
      </c>
      <c r="B107" t="s">
        <v>22</v>
      </c>
      <c r="C107" s="240" t="s">
        <v>1198</v>
      </c>
      <c r="D107" s="240"/>
      <c r="E107" s="230">
        <f>'OS-2'!C67</f>
        <v>0.14196262237501686</v>
      </c>
      <c r="F107" s="230">
        <f>'OS-2'!D67</f>
        <v>0.13674153030143538</v>
      </c>
      <c r="G107" s="230">
        <f>'OS-2'!E67</f>
        <v>0.12006940327385661</v>
      </c>
      <c r="H107" s="230">
        <f>'OS-2'!F67</f>
        <v>0.13861312156547381</v>
      </c>
      <c r="I107" s="230">
        <f>'OS-2'!G67</f>
        <v>0.14546948249420541</v>
      </c>
      <c r="J107" s="230">
        <f>'OS-2'!H67</f>
        <v>0.17217352364278884</v>
      </c>
      <c r="K107" s="230">
        <f>'OS-2'!I67</f>
        <v>0.19052001663043033</v>
      </c>
      <c r="L107" s="230">
        <f>'OS-2'!J67</f>
        <v>0.17043391010074344</v>
      </c>
      <c r="M107" s="230">
        <f>'OS-2'!K67</f>
        <v>0.14544843248652045</v>
      </c>
      <c r="N107" s="230">
        <f>'OS-2'!L67</f>
        <v>0.13726820370473652</v>
      </c>
      <c r="O107" s="230">
        <f>'OS-2'!M67</f>
        <v>0.13615985528822297</v>
      </c>
      <c r="P107" s="230">
        <f>'OS-2'!N67</f>
        <v>0.13765152186414675</v>
      </c>
      <c r="Q107" s="240"/>
      <c r="R107" s="240"/>
      <c r="T107" s="206" t="s">
        <v>1221</v>
      </c>
      <c r="U107" s="524">
        <v>0.14196262237501686</v>
      </c>
      <c r="V107" s="524">
        <v>0.13674153030143538</v>
      </c>
      <c r="W107" s="524">
        <v>0.12006940327385662</v>
      </c>
      <c r="X107" s="524">
        <v>0.13861312156547381</v>
      </c>
      <c r="Y107" s="524">
        <v>0.14546948249420541</v>
      </c>
      <c r="Z107" s="524">
        <v>0.17217352364278884</v>
      </c>
      <c r="AA107" s="524">
        <v>0.19052001663043031</v>
      </c>
      <c r="AB107" s="524">
        <v>0.17043391010074341</v>
      </c>
      <c r="AC107" s="524">
        <v>0.14544843248652048</v>
      </c>
      <c r="AD107" s="524">
        <v>0.13726820370473652</v>
      </c>
      <c r="AE107" s="524">
        <v>0.13615985528822294</v>
      </c>
      <c r="AF107" s="524">
        <v>0.13765152186414673</v>
      </c>
      <c r="AG107"/>
      <c r="AH107" s="526">
        <f t="shared" si="117"/>
        <v>0</v>
      </c>
      <c r="AI107" s="526">
        <f t="shared" si="106"/>
        <v>0</v>
      </c>
      <c r="AJ107" s="526">
        <f t="shared" si="107"/>
        <v>0</v>
      </c>
      <c r="AK107" s="526">
        <f t="shared" si="108"/>
        <v>0</v>
      </c>
      <c r="AL107" s="526">
        <f t="shared" si="109"/>
        <v>0</v>
      </c>
      <c r="AM107" s="526">
        <f t="shared" si="110"/>
        <v>0</v>
      </c>
      <c r="AN107" s="526">
        <f t="shared" si="111"/>
        <v>0</v>
      </c>
      <c r="AO107" s="526">
        <f t="shared" si="112"/>
        <v>0</v>
      </c>
      <c r="AP107" s="526">
        <f t="shared" si="113"/>
        <v>0</v>
      </c>
      <c r="AQ107" s="526">
        <f t="shared" si="114"/>
        <v>0</v>
      </c>
      <c r="AR107" s="526">
        <f t="shared" si="115"/>
        <v>0</v>
      </c>
      <c r="AS107" s="526">
        <f t="shared" si="118"/>
        <v>0</v>
      </c>
    </row>
    <row r="108" spans="1:45" s="518" customFormat="1">
      <c r="A108" t="s">
        <v>57</v>
      </c>
      <c r="B108" t="s">
        <v>22</v>
      </c>
      <c r="C108" s="240" t="s">
        <v>1199</v>
      </c>
      <c r="D108" s="240"/>
      <c r="E108" s="230">
        <f>'OS-2'!C68</f>
        <v>9.7298831916123027E-2</v>
      </c>
      <c r="F108" s="230">
        <f>'OS-2'!D68</f>
        <v>0.10580786284362992</v>
      </c>
      <c r="G108" s="230">
        <f>'OS-2'!E68</f>
        <v>9.536306742874949E-2</v>
      </c>
      <c r="H108" s="230">
        <f>'OS-2'!F68</f>
        <v>8.8600879479704409E-2</v>
      </c>
      <c r="I108" s="230">
        <f>'OS-2'!G68</f>
        <v>8.5387119534723624E-2</v>
      </c>
      <c r="J108" s="230">
        <f>'OS-2'!H68</f>
        <v>9.5668499653218775E-2</v>
      </c>
      <c r="K108" s="230">
        <f>'OS-2'!I68</f>
        <v>0.10326499682545229</v>
      </c>
      <c r="L108" s="230">
        <f>'OS-2'!J68</f>
        <v>9.7277077219315666E-2</v>
      </c>
      <c r="M108" s="230">
        <f>'OS-2'!K68</f>
        <v>8.8451395803787844E-2</v>
      </c>
      <c r="N108" s="230">
        <f>'OS-2'!L68</f>
        <v>9.8357995297652254E-2</v>
      </c>
      <c r="O108" s="230">
        <f>'OS-2'!M68</f>
        <v>0.10140838185711358</v>
      </c>
      <c r="P108" s="230">
        <f>'OS-2'!N68</f>
        <v>9.1398483941337219E-2</v>
      </c>
      <c r="Q108" s="240"/>
      <c r="R108" s="240"/>
      <c r="T108" s="206" t="s">
        <v>1199</v>
      </c>
      <c r="U108" s="524">
        <v>9.7298831916123027E-2</v>
      </c>
      <c r="V108" s="524">
        <v>0.1058078628436299</v>
      </c>
      <c r="W108" s="524">
        <v>9.5363067428749504E-2</v>
      </c>
      <c r="X108" s="524">
        <v>8.8600879479704409E-2</v>
      </c>
      <c r="Y108" s="524">
        <v>8.5387119534723638E-2</v>
      </c>
      <c r="Z108" s="524">
        <v>9.5668499653218789E-2</v>
      </c>
      <c r="AA108" s="524">
        <v>0.10326499682545227</v>
      </c>
      <c r="AB108" s="524">
        <v>9.7277077219315652E-2</v>
      </c>
      <c r="AC108" s="524">
        <v>8.8451395803787858E-2</v>
      </c>
      <c r="AD108" s="524">
        <v>9.8357995297652254E-2</v>
      </c>
      <c r="AE108" s="524">
        <v>0.10140838185711355</v>
      </c>
      <c r="AF108" s="524">
        <v>9.1398483941337205E-2</v>
      </c>
      <c r="AG108"/>
      <c r="AH108" s="526">
        <f t="shared" si="117"/>
        <v>0</v>
      </c>
      <c r="AI108" s="526">
        <f t="shared" si="106"/>
        <v>0</v>
      </c>
      <c r="AJ108" s="526">
        <f t="shared" si="107"/>
        <v>0</v>
      </c>
      <c r="AK108" s="526">
        <f t="shared" si="108"/>
        <v>0</v>
      </c>
      <c r="AL108" s="526">
        <f t="shared" si="109"/>
        <v>0</v>
      </c>
      <c r="AM108" s="526">
        <f t="shared" si="110"/>
        <v>0</v>
      </c>
      <c r="AN108" s="526">
        <f t="shared" si="111"/>
        <v>0</v>
      </c>
      <c r="AO108" s="526">
        <f t="shared" si="112"/>
        <v>0</v>
      </c>
      <c r="AP108" s="526">
        <f t="shared" si="113"/>
        <v>0</v>
      </c>
      <c r="AQ108" s="526">
        <f t="shared" si="114"/>
        <v>0</v>
      </c>
      <c r="AR108" s="526">
        <f t="shared" si="115"/>
        <v>0</v>
      </c>
      <c r="AS108" s="526">
        <f t="shared" si="118"/>
        <v>0</v>
      </c>
    </row>
    <row r="109" spans="1:45" s="518" customFormat="1">
      <c r="A109" t="s">
        <v>57</v>
      </c>
      <c r="B109" t="s">
        <v>22</v>
      </c>
      <c r="C109" s="240" t="s">
        <v>1200</v>
      </c>
      <c r="D109" s="240"/>
      <c r="E109" s="145">
        <f>HOURS!$B$19</f>
        <v>744</v>
      </c>
      <c r="F109" s="145">
        <f>HOURS!$C$19</f>
        <v>672</v>
      </c>
      <c r="G109" s="145">
        <f>HOURS!$D$19</f>
        <v>744</v>
      </c>
      <c r="H109" s="145">
        <f>HOURS!$E$19</f>
        <v>720</v>
      </c>
      <c r="I109" s="145">
        <f>HOURS!$F$19</f>
        <v>744</v>
      </c>
      <c r="J109" s="145">
        <f>HOURS!$G$19</f>
        <v>720</v>
      </c>
      <c r="K109" s="145">
        <f>HOURS!$H$19</f>
        <v>744</v>
      </c>
      <c r="L109" s="145">
        <f>HOURS!$I$19</f>
        <v>744</v>
      </c>
      <c r="M109" s="145">
        <f>HOURS!$J$19</f>
        <v>720</v>
      </c>
      <c r="N109" s="145">
        <f>HOURS!$K$19</f>
        <v>744</v>
      </c>
      <c r="O109" s="145">
        <f>HOURS!$L$19</f>
        <v>720</v>
      </c>
      <c r="P109" s="145">
        <f>HOURS!$M$19</f>
        <v>744</v>
      </c>
      <c r="Q109" s="240"/>
      <c r="R109" s="240"/>
      <c r="T109" s="206" t="s">
        <v>1200</v>
      </c>
      <c r="U109" s="523">
        <v>744</v>
      </c>
      <c r="V109" s="523">
        <v>672</v>
      </c>
      <c r="W109" s="523">
        <v>744</v>
      </c>
      <c r="X109" s="523">
        <v>720</v>
      </c>
      <c r="Y109" s="523">
        <v>744</v>
      </c>
      <c r="Z109" s="523">
        <v>720</v>
      </c>
      <c r="AA109" s="523">
        <v>744</v>
      </c>
      <c r="AB109" s="523">
        <v>744</v>
      </c>
      <c r="AC109" s="523">
        <v>720</v>
      </c>
      <c r="AD109" s="523">
        <v>744</v>
      </c>
      <c r="AE109" s="523">
        <v>720</v>
      </c>
      <c r="AF109" s="523">
        <v>744</v>
      </c>
      <c r="AG109"/>
      <c r="AH109" s="526">
        <f t="shared" si="117"/>
        <v>0</v>
      </c>
      <c r="AI109" s="526">
        <f t="shared" si="106"/>
        <v>0</v>
      </c>
      <c r="AJ109" s="526">
        <f t="shared" si="107"/>
        <v>0</v>
      </c>
      <c r="AK109" s="526">
        <f t="shared" si="108"/>
        <v>0</v>
      </c>
      <c r="AL109" s="526">
        <f t="shared" si="109"/>
        <v>0</v>
      </c>
      <c r="AM109" s="526">
        <f t="shared" si="110"/>
        <v>0</v>
      </c>
      <c r="AN109" s="526">
        <f t="shared" si="111"/>
        <v>0</v>
      </c>
      <c r="AO109" s="526">
        <f t="shared" si="112"/>
        <v>0</v>
      </c>
      <c r="AP109" s="526">
        <f t="shared" si="113"/>
        <v>0</v>
      </c>
      <c r="AQ109" s="526">
        <f t="shared" si="114"/>
        <v>0</v>
      </c>
      <c r="AR109" s="526">
        <f t="shared" si="115"/>
        <v>0</v>
      </c>
      <c r="AS109" s="526">
        <f t="shared" si="118"/>
        <v>0</v>
      </c>
    </row>
    <row r="110" spans="1:45">
      <c r="T110" s="206"/>
      <c r="U110" s="523"/>
      <c r="V110" s="523"/>
      <c r="W110" s="523"/>
      <c r="X110" s="523"/>
      <c r="Y110" s="523"/>
      <c r="Z110" s="523"/>
      <c r="AA110" s="523"/>
      <c r="AB110" s="523"/>
      <c r="AC110" s="523"/>
      <c r="AD110" s="523"/>
      <c r="AE110" s="523"/>
      <c r="AF110" s="523"/>
      <c r="AG110"/>
      <c r="AH110" s="526"/>
      <c r="AI110" s="526"/>
      <c r="AJ110" s="526"/>
      <c r="AK110" s="526"/>
      <c r="AL110" s="526"/>
      <c r="AM110" s="526"/>
      <c r="AN110" s="526"/>
      <c r="AO110" s="526"/>
      <c r="AP110" s="526"/>
      <c r="AQ110" s="526"/>
      <c r="AR110" s="526"/>
      <c r="AS110" s="526"/>
    </row>
    <row r="111" spans="1:45">
      <c r="A111" t="s">
        <v>48</v>
      </c>
      <c r="B111" t="s">
        <v>687</v>
      </c>
      <c r="C111" t="s">
        <v>558</v>
      </c>
      <c r="T111" s="522" t="s">
        <v>1233</v>
      </c>
      <c r="U111" s="523"/>
      <c r="V111" s="523"/>
      <c r="W111" s="523"/>
      <c r="X111" s="523"/>
      <c r="Y111" s="523"/>
      <c r="Z111" s="523"/>
      <c r="AA111" s="523"/>
      <c r="AB111" s="523"/>
      <c r="AC111" s="523"/>
      <c r="AD111" s="523"/>
      <c r="AE111" s="523"/>
      <c r="AF111" s="523"/>
      <c r="AG111"/>
      <c r="AH111" s="526"/>
      <c r="AI111" s="526"/>
      <c r="AJ111" s="526"/>
      <c r="AK111" s="526"/>
      <c r="AL111" s="526"/>
      <c r="AM111" s="526"/>
      <c r="AN111" s="526"/>
      <c r="AO111" s="526"/>
      <c r="AP111" s="526"/>
      <c r="AQ111" s="526"/>
      <c r="AR111" s="526"/>
      <c r="AS111" s="526"/>
    </row>
    <row r="112" spans="1:45" ht="15.6">
      <c r="A112" t="s">
        <v>48</v>
      </c>
      <c r="B112" t="s">
        <v>687</v>
      </c>
      <c r="C112" s="251" t="s">
        <v>1201</v>
      </c>
      <c r="D112" s="251"/>
      <c r="E112" s="145">
        <f>VLOOKUP($A112&amp;" KWH Sales",'2017 TEST'!$A$13:$R$274,'2017 TEST'!C$9,FALSE)/1000</f>
        <v>4459036.2180000003</v>
      </c>
      <c r="F112" s="145">
        <f>VLOOKUP($A112&amp;" KWH Sales",'2017 TEST'!$A$13:$R$274,'2017 TEST'!D$9,FALSE)/1000</f>
        <v>3960503.9959999998</v>
      </c>
      <c r="G112" s="145">
        <f>VLOOKUP($A112&amp;" KWH Sales",'2017 TEST'!$A$13:$R$274,'2017 TEST'!E$9,FALSE)/1000</f>
        <v>3878065.213</v>
      </c>
      <c r="H112" s="145">
        <f>VLOOKUP($A112&amp;" KWH Sales",'2017 TEST'!$A$13:$R$274,'2017 TEST'!F$9,FALSE)/1000</f>
        <v>3972698.7480000001</v>
      </c>
      <c r="I112" s="145">
        <f>VLOOKUP($A112&amp;" KWH Sales",'2017 TEST'!$A$13:$R$274,'2017 TEST'!G$9,FALSE)/1000</f>
        <v>4630611.9970000004</v>
      </c>
      <c r="J112" s="145">
        <f>VLOOKUP($A112&amp;" KWH Sales",'2017 TEST'!$A$13:$R$274,'2017 TEST'!H$9,FALSE)/1000</f>
        <v>5289857.4960000003</v>
      </c>
      <c r="K112" s="145">
        <f>VLOOKUP($A112&amp;" KWH Sales",'2017 TEST'!$A$13:$R$274,'2017 TEST'!I$9,FALSE)/1000</f>
        <v>5760290.4000000004</v>
      </c>
      <c r="L112" s="145">
        <f>VLOOKUP($A112&amp;" KWH Sales",'2017 TEST'!$A$13:$R$274,'2017 TEST'!J$9,FALSE)/1000</f>
        <v>5891589.9759999998</v>
      </c>
      <c r="M112" s="145">
        <f>VLOOKUP($A112&amp;" KWH Sales",'2017 TEST'!$A$13:$R$274,'2017 TEST'!K$9,FALSE)/1000</f>
        <v>5704211.5429999996</v>
      </c>
      <c r="N112" s="145">
        <f>VLOOKUP($A112&amp;" KWH Sales",'2017 TEST'!$A$13:$R$274,'2017 TEST'!L$9,FALSE)/1000</f>
        <v>5133789.102</v>
      </c>
      <c r="O112" s="145">
        <f>VLOOKUP($A112&amp;" KWH Sales",'2017 TEST'!$A$13:$R$274,'2017 TEST'!M$9,FALSE)/1000</f>
        <v>4240281.03</v>
      </c>
      <c r="P112" s="145">
        <f>VLOOKUP($A112&amp;" KWH Sales",'2017 TEST'!$A$13:$R$274,'2017 TEST'!N$9,FALSE)/1000</f>
        <v>4072742.7880000002</v>
      </c>
      <c r="T112" s="206" t="s">
        <v>1261</v>
      </c>
      <c r="U112" s="523">
        <v>4459036.2180000003</v>
      </c>
      <c r="V112" s="523">
        <v>3960503.9959999998</v>
      </c>
      <c r="W112" s="523">
        <v>3878065.213</v>
      </c>
      <c r="X112" s="523">
        <v>3972698.7480000001</v>
      </c>
      <c r="Y112" s="523">
        <v>4630611.9970000004</v>
      </c>
      <c r="Z112" s="523">
        <v>5289857.4960000003</v>
      </c>
      <c r="AA112" s="523">
        <v>5760290.4000000004</v>
      </c>
      <c r="AB112" s="523">
        <v>5891589.9759999998</v>
      </c>
      <c r="AC112" s="523">
        <v>5704211.5429999996</v>
      </c>
      <c r="AD112" s="523">
        <v>5133789.102</v>
      </c>
      <c r="AE112" s="523">
        <v>4240281.03</v>
      </c>
      <c r="AF112" s="523">
        <v>4072742.7880000002</v>
      </c>
      <c r="AG112"/>
      <c r="AH112" s="526">
        <f>U112-E112</f>
        <v>0</v>
      </c>
      <c r="AI112" s="526">
        <f t="shared" ref="AI112:AI119" si="119">V112-F112</f>
        <v>0</v>
      </c>
      <c r="AJ112" s="526">
        <f t="shared" ref="AJ112:AJ119" si="120">W112-G112</f>
        <v>0</v>
      </c>
      <c r="AK112" s="526">
        <f t="shared" ref="AK112:AK119" si="121">X112-H112</f>
        <v>0</v>
      </c>
      <c r="AL112" s="526">
        <f t="shared" ref="AL112:AL119" si="122">Y112-I112</f>
        <v>0</v>
      </c>
      <c r="AM112" s="526">
        <f t="shared" ref="AM112:AM119" si="123">Z112-J112</f>
        <v>0</v>
      </c>
      <c r="AN112" s="526">
        <f t="shared" ref="AN112:AN119" si="124">AA112-K112</f>
        <v>0</v>
      </c>
      <c r="AO112" s="526">
        <f t="shared" ref="AO112:AO119" si="125">AB112-L112</f>
        <v>0</v>
      </c>
      <c r="AP112" s="526">
        <f t="shared" ref="AP112:AP119" si="126">AC112-M112</f>
        <v>0</v>
      </c>
      <c r="AQ112" s="526">
        <f t="shared" ref="AQ112:AQ119" si="127">AD112-N112</f>
        <v>0</v>
      </c>
      <c r="AR112" s="526">
        <f t="shared" ref="AR112:AR119" si="128">AE112-O112</f>
        <v>0</v>
      </c>
      <c r="AS112" s="526">
        <f t="shared" ref="AS112:AS114" si="129">AF112-P112</f>
        <v>0</v>
      </c>
    </row>
    <row r="113" spans="1:45" s="518" customFormat="1">
      <c r="A113" t="s">
        <v>48</v>
      </c>
      <c r="B113" t="s">
        <v>687</v>
      </c>
      <c r="C113" s="240" t="s">
        <v>148</v>
      </c>
      <c r="D113" s="240"/>
      <c r="E113" s="145">
        <f>VLOOKUP($A113&amp;" CP",'2017 TEST'!$A$13:$R$274,'2017 TEST'!C$9,FALSE)</f>
        <v>12266415.5011626</v>
      </c>
      <c r="F113" s="145">
        <f>VLOOKUP($A113&amp;" CP",'2017 TEST'!$A$13:$R$274,'2017 TEST'!D$9,FALSE)</f>
        <v>8706747.477381099</v>
      </c>
      <c r="G113" s="145">
        <f>VLOOKUP($A113&amp;" CP",'2017 TEST'!$A$13:$R$274,'2017 TEST'!E$9,FALSE)</f>
        <v>10092364.182004977</v>
      </c>
      <c r="H113" s="145">
        <f>VLOOKUP($A113&amp;" CP",'2017 TEST'!$A$13:$R$274,'2017 TEST'!F$9,FALSE)</f>
        <v>10223846.749515673</v>
      </c>
      <c r="I113" s="145">
        <f>VLOOKUP($A113&amp;" CP",'2017 TEST'!$A$13:$R$274,'2017 TEST'!G$9,FALSE)</f>
        <v>11309070.385756409</v>
      </c>
      <c r="J113" s="145">
        <f>VLOOKUP($A113&amp;" CP",'2017 TEST'!$A$13:$R$274,'2017 TEST'!H$9,FALSE)</f>
        <v>12157236.44132923</v>
      </c>
      <c r="K113" s="145">
        <f>VLOOKUP($A113&amp;" CP",'2017 TEST'!$A$13:$R$274,'2017 TEST'!I$9,FALSE)</f>
        <v>12587426.233733175</v>
      </c>
      <c r="L113" s="145">
        <f>VLOOKUP($A113&amp;" CP",'2017 TEST'!$A$13:$R$274,'2017 TEST'!J$9,FALSE)</f>
        <v>12995922.179471279</v>
      </c>
      <c r="M113" s="145">
        <f>VLOOKUP($A113&amp;" CP",'2017 TEST'!$A$13:$R$274,'2017 TEST'!K$9,FALSE)</f>
        <v>12467281.231084516</v>
      </c>
      <c r="N113" s="145">
        <f>VLOOKUP($A113&amp;" CP",'2017 TEST'!$A$13:$R$274,'2017 TEST'!L$9,FALSE)</f>
        <v>11211195.882100441</v>
      </c>
      <c r="O113" s="145">
        <f>VLOOKUP($A113&amp;" CP",'2017 TEST'!$A$13:$R$274,'2017 TEST'!M$9,FALSE)</f>
        <v>9341457.0087480452</v>
      </c>
      <c r="P113" s="145">
        <f>VLOOKUP($A113&amp;" CP",'2017 TEST'!$A$13:$R$274,'2017 TEST'!N$9,FALSE)</f>
        <v>9111417.9954972304</v>
      </c>
      <c r="Q113" s="240"/>
      <c r="R113" s="240"/>
      <c r="T113" s="206" t="s">
        <v>148</v>
      </c>
      <c r="U113" s="523">
        <v>12266436.880924381</v>
      </c>
      <c r="V113" s="523">
        <v>8706780.069368463</v>
      </c>
      <c r="W113" s="523">
        <v>10092340.510373533</v>
      </c>
      <c r="X113" s="523">
        <v>10223744.745331062</v>
      </c>
      <c r="Y113" s="523">
        <v>11309181.855532594</v>
      </c>
      <c r="Z113" s="523">
        <v>12157254.439583456</v>
      </c>
      <c r="AA113" s="523">
        <v>12587463.870913407</v>
      </c>
      <c r="AB113" s="523">
        <v>12995888.260774275</v>
      </c>
      <c r="AC113" s="523">
        <v>12467262.937910954</v>
      </c>
      <c r="AD113" s="523">
        <v>11211192.780749502</v>
      </c>
      <c r="AE113" s="523">
        <v>9341468.8470858168</v>
      </c>
      <c r="AF113" s="523">
        <v>9111411.0994459689</v>
      </c>
      <c r="AG113"/>
      <c r="AH113" s="526">
        <f t="shared" ref="AH113:AH119" si="130">U113-E113</f>
        <v>21.379761781543493</v>
      </c>
      <c r="AI113" s="526">
        <f t="shared" si="119"/>
        <v>32.591987363994122</v>
      </c>
      <c r="AJ113" s="526">
        <f t="shared" si="120"/>
        <v>-23.671631444245577</v>
      </c>
      <c r="AK113" s="526">
        <f t="shared" si="121"/>
        <v>-102.00418461114168</v>
      </c>
      <c r="AL113" s="526">
        <f t="shared" si="122"/>
        <v>111.46977618522942</v>
      </c>
      <c r="AM113" s="526">
        <f t="shared" si="123"/>
        <v>17.998254226520658</v>
      </c>
      <c r="AN113" s="526">
        <f t="shared" si="124"/>
        <v>37.637180231511593</v>
      </c>
      <c r="AO113" s="526">
        <f t="shared" si="125"/>
        <v>-33.918697003275156</v>
      </c>
      <c r="AP113" s="526">
        <f t="shared" si="126"/>
        <v>-18.293173562735319</v>
      </c>
      <c r="AQ113" s="526">
        <f t="shared" si="127"/>
        <v>-3.1013509389013052</v>
      </c>
      <c r="AR113" s="526">
        <f t="shared" si="128"/>
        <v>11.838337771594524</v>
      </c>
      <c r="AS113" s="526">
        <f t="shared" si="129"/>
        <v>-6.8960512615740299</v>
      </c>
    </row>
    <row r="114" spans="1:45" s="518" customFormat="1">
      <c r="A114" t="s">
        <v>48</v>
      </c>
      <c r="B114" t="s">
        <v>687</v>
      </c>
      <c r="C114" s="240" t="s">
        <v>147</v>
      </c>
      <c r="D114" s="240"/>
      <c r="E114" s="145">
        <f>VLOOKUP($A114&amp;" GNCP",'2017 TEST'!$A$13:$R$274,'2017 TEST'!C$9,FALSE)</f>
        <v>12266415.5011626</v>
      </c>
      <c r="F114" s="145">
        <f>VLOOKUP($A114&amp;" GNCP",'2017 TEST'!$A$13:$R$274,'2017 TEST'!D$9,FALSE)</f>
        <v>10690369.007435217</v>
      </c>
      <c r="G114" s="145">
        <f>VLOOKUP($A114&amp;" GNCP",'2017 TEST'!$A$13:$R$274,'2017 TEST'!E$9,FALSE)</f>
        <v>10092364.182004977</v>
      </c>
      <c r="H114" s="145">
        <f>VLOOKUP($A114&amp;" GNCP",'2017 TEST'!$A$13:$R$274,'2017 TEST'!F$9,FALSE)</f>
        <v>10223846.749515673</v>
      </c>
      <c r="I114" s="145">
        <f>VLOOKUP($A114&amp;" GNCP",'2017 TEST'!$A$13:$R$274,'2017 TEST'!G$9,FALSE)</f>
        <v>11309070.385756409</v>
      </c>
      <c r="J114" s="145">
        <f>VLOOKUP($A114&amp;" GNCP",'2017 TEST'!$A$13:$R$274,'2017 TEST'!H$9,FALSE)</f>
        <v>12157236.44132923</v>
      </c>
      <c r="K114" s="145">
        <f>VLOOKUP($A114&amp;" GNCP",'2017 TEST'!$A$13:$R$274,'2017 TEST'!I$9,FALSE)</f>
        <v>12587426.233733175</v>
      </c>
      <c r="L114" s="145">
        <f>VLOOKUP($A114&amp;" GNCP",'2017 TEST'!$A$13:$R$274,'2017 TEST'!J$9,FALSE)</f>
        <v>12995922.179471279</v>
      </c>
      <c r="M114" s="145">
        <f>VLOOKUP($A114&amp;" GNCP",'2017 TEST'!$A$13:$R$274,'2017 TEST'!K$9,FALSE)</f>
        <v>13187357.985081904</v>
      </c>
      <c r="N114" s="145">
        <f>VLOOKUP($A114&amp;" GNCP",'2017 TEST'!$A$13:$R$274,'2017 TEST'!L$9,FALSE)</f>
        <v>11711310.127020253</v>
      </c>
      <c r="O114" s="145">
        <f>VLOOKUP($A114&amp;" GNCP",'2017 TEST'!$A$13:$R$274,'2017 TEST'!M$9,FALSE)</f>
        <v>9915916.0956708156</v>
      </c>
      <c r="P114" s="145">
        <f>VLOOKUP($A114&amp;" GNCP",'2017 TEST'!$A$13:$R$274,'2017 TEST'!N$9,FALSE)</f>
        <v>9119559.8866352905</v>
      </c>
      <c r="Q114" s="240"/>
      <c r="R114" s="240"/>
      <c r="T114" s="206" t="s">
        <v>342</v>
      </c>
      <c r="U114" s="523">
        <v>12266436.880924381</v>
      </c>
      <c r="V114" s="523">
        <v>10690369.007435217</v>
      </c>
      <c r="W114" s="523">
        <v>10092340.510373533</v>
      </c>
      <c r="X114" s="523">
        <v>10223744.745331062</v>
      </c>
      <c r="Y114" s="523">
        <v>11309181.855532594</v>
      </c>
      <c r="Z114" s="523">
        <v>12157254.439583456</v>
      </c>
      <c r="AA114" s="523">
        <v>12587463.870913407</v>
      </c>
      <c r="AB114" s="523">
        <v>12995888.260774275</v>
      </c>
      <c r="AC114" s="523">
        <v>13187357.985081904</v>
      </c>
      <c r="AD114" s="523">
        <v>11711310.127020253</v>
      </c>
      <c r="AE114" s="523">
        <v>9915916.0956708156</v>
      </c>
      <c r="AF114" s="523">
        <v>9119559.8866352905</v>
      </c>
      <c r="AG114"/>
      <c r="AH114" s="526">
        <f t="shared" si="130"/>
        <v>21.379761781543493</v>
      </c>
      <c r="AI114" s="526">
        <f t="shared" si="119"/>
        <v>0</v>
      </c>
      <c r="AJ114" s="526">
        <f t="shared" si="120"/>
        <v>-23.671631444245577</v>
      </c>
      <c r="AK114" s="526">
        <f t="shared" si="121"/>
        <v>-102.00418461114168</v>
      </c>
      <c r="AL114" s="526">
        <f t="shared" si="122"/>
        <v>111.46977618522942</v>
      </c>
      <c r="AM114" s="526">
        <f t="shared" si="123"/>
        <v>17.998254226520658</v>
      </c>
      <c r="AN114" s="526">
        <f t="shared" si="124"/>
        <v>37.637180231511593</v>
      </c>
      <c r="AO114" s="526">
        <f t="shared" si="125"/>
        <v>-33.918697003275156</v>
      </c>
      <c r="AP114" s="526">
        <f t="shared" si="126"/>
        <v>0</v>
      </c>
      <c r="AQ114" s="526">
        <f t="shared" si="127"/>
        <v>0</v>
      </c>
      <c r="AR114" s="526">
        <f t="shared" si="128"/>
        <v>0</v>
      </c>
      <c r="AS114" s="526">
        <f t="shared" si="129"/>
        <v>0</v>
      </c>
    </row>
    <row r="115" spans="1:45" s="518" customFormat="1">
      <c r="A115" t="s">
        <v>48</v>
      </c>
      <c r="B115" t="s">
        <v>687</v>
      </c>
      <c r="C115" s="240" t="s">
        <v>133</v>
      </c>
      <c r="D115" s="240"/>
      <c r="E115" s="145">
        <f>VLOOKUP($A115&amp;" NCP",'2017 TEST'!$A$13:$R$274,'2017 TEST'!C$9,FALSE)</f>
        <v>33240569.502738744</v>
      </c>
      <c r="F115" s="145">
        <f>VLOOKUP($A115&amp;" NCP",'2017 TEST'!$A$13:$R$274,'2017 TEST'!D$9,FALSE)</f>
        <v>30841388.279193997</v>
      </c>
      <c r="G115" s="145">
        <f>VLOOKUP($A115&amp;" NCP",'2017 TEST'!$A$13:$R$274,'2017 TEST'!E$9,FALSE)</f>
        <v>26868871.895199031</v>
      </c>
      <c r="H115" s="145">
        <f>VLOOKUP($A115&amp;" NCP",'2017 TEST'!$A$13:$R$274,'2017 TEST'!F$9,FALSE)</f>
        <v>24206423.468358532</v>
      </c>
      <c r="I115" s="145">
        <f>VLOOKUP($A115&amp;" NCP",'2017 TEST'!$A$13:$R$274,'2017 TEST'!G$9,FALSE)</f>
        <v>24180258.305432726</v>
      </c>
      <c r="J115" s="145">
        <f>VLOOKUP($A115&amp;" NCP",'2017 TEST'!$A$13:$R$274,'2017 TEST'!H$9,FALSE)</f>
        <v>25527480.436159562</v>
      </c>
      <c r="K115" s="145">
        <f>VLOOKUP($A115&amp;" NCP",'2017 TEST'!$A$13:$R$274,'2017 TEST'!I$9,FALSE)</f>
        <v>26017220.015527923</v>
      </c>
      <c r="L115" s="145">
        <f>VLOOKUP($A115&amp;" NCP",'2017 TEST'!$A$13:$R$274,'2017 TEST'!J$9,FALSE)</f>
        <v>25729592.504112281</v>
      </c>
      <c r="M115" s="145">
        <f>VLOOKUP($A115&amp;" NCP",'2017 TEST'!$A$13:$R$274,'2017 TEST'!K$9,FALSE)</f>
        <v>27628681.680564873</v>
      </c>
      <c r="N115" s="145">
        <f>VLOOKUP($A115&amp;" NCP",'2017 TEST'!$A$13:$R$274,'2017 TEST'!L$9,FALSE)</f>
        <v>27124751.866285715</v>
      </c>
      <c r="O115" s="145">
        <f>VLOOKUP($A115&amp;" NCP",'2017 TEST'!$A$13:$R$274,'2017 TEST'!M$9,FALSE)</f>
        <v>29740365.650586989</v>
      </c>
      <c r="P115" s="145">
        <f>VLOOKUP($A115&amp;" NCP",'2017 TEST'!$A$13:$R$274,'2017 TEST'!N$9,FALSE)</f>
        <v>28509269.619979188</v>
      </c>
      <c r="Q115" s="240"/>
      <c r="R115" s="240"/>
      <c r="T115" s="206" t="s">
        <v>133</v>
      </c>
      <c r="U115" s="523">
        <v>33240569.502738744</v>
      </c>
      <c r="V115" s="523">
        <v>30841388.279193997</v>
      </c>
      <c r="W115" s="523">
        <v>26868871.895199031</v>
      </c>
      <c r="X115" s="523">
        <v>24206423.468358532</v>
      </c>
      <c r="Y115" s="523">
        <v>24180258.305432726</v>
      </c>
      <c r="Z115" s="523">
        <v>25527480.436159562</v>
      </c>
      <c r="AA115" s="523">
        <v>26017220.015527923</v>
      </c>
      <c r="AB115" s="523">
        <v>25729592.504112281</v>
      </c>
      <c r="AC115" s="523">
        <v>27628681.680564873</v>
      </c>
      <c r="AD115" s="523">
        <v>27124751.866285715</v>
      </c>
      <c r="AE115" s="523">
        <v>29740365.650586989</v>
      </c>
      <c r="AF115" s="523">
        <v>28509269.619979188</v>
      </c>
      <c r="AG115"/>
      <c r="AH115" s="526">
        <f t="shared" si="130"/>
        <v>0</v>
      </c>
      <c r="AI115" s="526">
        <f t="shared" si="119"/>
        <v>0</v>
      </c>
      <c r="AJ115" s="526">
        <f t="shared" si="120"/>
        <v>0</v>
      </c>
      <c r="AK115" s="526">
        <f t="shared" si="121"/>
        <v>0</v>
      </c>
      <c r="AL115" s="526">
        <f t="shared" si="122"/>
        <v>0</v>
      </c>
      <c r="AM115" s="526">
        <f t="shared" si="123"/>
        <v>0</v>
      </c>
      <c r="AN115" s="526">
        <f t="shared" si="124"/>
        <v>0</v>
      </c>
      <c r="AO115" s="526">
        <f t="shared" si="125"/>
        <v>0</v>
      </c>
      <c r="AP115" s="526">
        <f t="shared" si="126"/>
        <v>0</v>
      </c>
      <c r="AQ115" s="526">
        <f t="shared" si="127"/>
        <v>0</v>
      </c>
      <c r="AR115" s="526">
        <f t="shared" si="128"/>
        <v>0</v>
      </c>
      <c r="AS115" s="526">
        <f>AF115-P115</f>
        <v>0</v>
      </c>
    </row>
    <row r="116" spans="1:45" s="518" customFormat="1">
      <c r="A116" t="s">
        <v>48</v>
      </c>
      <c r="B116" t="s">
        <v>687</v>
      </c>
      <c r="C116" s="240" t="s">
        <v>1197</v>
      </c>
      <c r="D116" s="240"/>
      <c r="E116" s="230">
        <f>'RS(T)-1'!C66</f>
        <v>0.48859654635308558</v>
      </c>
      <c r="F116" s="230">
        <f>'RS(T)-1'!D66</f>
        <v>0.6769011220568325</v>
      </c>
      <c r="G116" s="230">
        <f>'RS(T)-1'!E66</f>
        <v>0.51647494573903197</v>
      </c>
      <c r="H116" s="230">
        <f>'RS(T)-1'!F66</f>
        <v>0.53968308457493097</v>
      </c>
      <c r="I116" s="230">
        <f>'RS(T)-1'!G66</f>
        <v>0.55034946674500751</v>
      </c>
      <c r="J116" s="230">
        <f>'RS(T)-1'!H66</f>
        <v>0.6043334219464026</v>
      </c>
      <c r="K116" s="230">
        <f>'RS(T)-1'!I66</f>
        <v>0.6150841055737728</v>
      </c>
      <c r="L116" s="230">
        <f>'RS(T)-1'!J66</f>
        <v>0.60932988223733442</v>
      </c>
      <c r="M116" s="230">
        <f>'RS(T)-1'!K66</f>
        <v>0.63546461213944017</v>
      </c>
      <c r="N116" s="230">
        <f>'RS(T)-1'!L66</f>
        <v>0.61547886968700982</v>
      </c>
      <c r="O116" s="230">
        <f>'RS(T)-1'!M66</f>
        <v>0.63044546507232946</v>
      </c>
      <c r="P116" s="230">
        <f>'RS(T)-1'!N66</f>
        <v>0.60079744483711395</v>
      </c>
      <c r="Q116" s="240"/>
      <c r="R116" s="240"/>
      <c r="T116" s="206" t="s">
        <v>1197</v>
      </c>
      <c r="U116" s="524">
        <v>0.48859569475470632</v>
      </c>
      <c r="V116" s="524">
        <v>0.67689858822082871</v>
      </c>
      <c r="W116" s="524">
        <v>0.516476157133411</v>
      </c>
      <c r="X116" s="524">
        <v>0.53968846909247925</v>
      </c>
      <c r="Y116" s="524">
        <v>0.55034404218532984</v>
      </c>
      <c r="Z116" s="524">
        <v>0.60433252725865716</v>
      </c>
      <c r="AA116" s="524">
        <v>0.61508226643988717</v>
      </c>
      <c r="AB116" s="524">
        <v>0.60933147256153819</v>
      </c>
      <c r="AC116" s="524">
        <v>0.63546554455455817</v>
      </c>
      <c r="AD116" s="524">
        <v>0.61547903994685704</v>
      </c>
      <c r="AE116" s="524">
        <v>0.63044466611592509</v>
      </c>
      <c r="AF116" s="524">
        <v>0.60079789955592011</v>
      </c>
      <c r="AG116"/>
      <c r="AH116" s="526">
        <f t="shared" si="130"/>
        <v>-8.5159837925896653E-7</v>
      </c>
      <c r="AI116" s="526">
        <f t="shared" si="119"/>
        <v>-2.5338360037929775E-6</v>
      </c>
      <c r="AJ116" s="526">
        <f t="shared" si="120"/>
        <v>1.2113943790303949E-6</v>
      </c>
      <c r="AK116" s="526">
        <f t="shared" si="121"/>
        <v>5.3845175482791774E-6</v>
      </c>
      <c r="AL116" s="526">
        <f t="shared" si="122"/>
        <v>-5.424559677669194E-6</v>
      </c>
      <c r="AM116" s="526">
        <f t="shared" si="123"/>
        <v>-8.9468774544521068E-7</v>
      </c>
      <c r="AN116" s="526">
        <f t="shared" si="124"/>
        <v>-1.8391338856282857E-6</v>
      </c>
      <c r="AO116" s="526">
        <f t="shared" si="125"/>
        <v>1.5903242037706988E-6</v>
      </c>
      <c r="AP116" s="526">
        <f t="shared" si="126"/>
        <v>9.3241511800457033E-7</v>
      </c>
      <c r="AQ116" s="526">
        <f t="shared" si="127"/>
        <v>1.7025984722085497E-7</v>
      </c>
      <c r="AR116" s="526">
        <f t="shared" si="128"/>
        <v>-7.9895640436866699E-7</v>
      </c>
      <c r="AS116" s="526">
        <f t="shared" ref="AS116:AS119" si="131">AF116-P116</f>
        <v>4.5471880616432259E-7</v>
      </c>
    </row>
    <row r="117" spans="1:45" s="518" customFormat="1">
      <c r="A117" t="s">
        <v>48</v>
      </c>
      <c r="B117" t="s">
        <v>687</v>
      </c>
      <c r="C117" s="240" t="s">
        <v>1198</v>
      </c>
      <c r="D117" s="240"/>
      <c r="E117" s="230">
        <f>'RS(T)-1'!C67</f>
        <v>0.48859654635308558</v>
      </c>
      <c r="F117" s="230">
        <f>'RS(T)-1'!D67</f>
        <v>0.55130062702285787</v>
      </c>
      <c r="G117" s="230">
        <f>'RS(T)-1'!E67</f>
        <v>0.51647494573903197</v>
      </c>
      <c r="H117" s="230">
        <f>'RS(T)-1'!F67</f>
        <v>0.53968308457493097</v>
      </c>
      <c r="I117" s="230">
        <f>'RS(T)-1'!G67</f>
        <v>0.55034946674500751</v>
      </c>
      <c r="J117" s="230">
        <f>'RS(T)-1'!H67</f>
        <v>0.6043334219464026</v>
      </c>
      <c r="K117" s="230">
        <f>'RS(T)-1'!I67</f>
        <v>0.6150841055737728</v>
      </c>
      <c r="L117" s="230">
        <f>'RS(T)-1'!J67</f>
        <v>0.60932988223733442</v>
      </c>
      <c r="M117" s="230">
        <f>'RS(T)-1'!K67</f>
        <v>0.60076597912233287</v>
      </c>
      <c r="N117" s="230">
        <f>'RS(T)-1'!L67</f>
        <v>0.58919575133055524</v>
      </c>
      <c r="O117" s="230">
        <f>'RS(T)-1'!M67</f>
        <v>0.59392184761471811</v>
      </c>
      <c r="P117" s="230">
        <f>'RS(T)-1'!N67</f>
        <v>0.60026105629943272</v>
      </c>
      <c r="Q117" s="240"/>
      <c r="R117" s="240"/>
      <c r="T117" s="206" t="s">
        <v>1221</v>
      </c>
      <c r="U117" s="524">
        <v>0.48859569475470632</v>
      </c>
      <c r="V117" s="524">
        <v>0.55130062702285776</v>
      </c>
      <c r="W117" s="524">
        <v>0.516476157133411</v>
      </c>
      <c r="X117" s="524">
        <v>0.53968846909247925</v>
      </c>
      <c r="Y117" s="524">
        <v>0.55034404218532984</v>
      </c>
      <c r="Z117" s="524">
        <v>0.60433252725865716</v>
      </c>
      <c r="AA117" s="524">
        <v>0.61508226643988717</v>
      </c>
      <c r="AB117" s="524">
        <v>0.60933147256153819</v>
      </c>
      <c r="AC117" s="524">
        <v>0.60076597912233287</v>
      </c>
      <c r="AD117" s="524">
        <v>0.58919575133055524</v>
      </c>
      <c r="AE117" s="524">
        <v>0.59392184761471822</v>
      </c>
      <c r="AF117" s="524">
        <v>0.60026105629943283</v>
      </c>
      <c r="AG117"/>
      <c r="AH117" s="526">
        <f t="shared" si="130"/>
        <v>-8.5159837925896653E-7</v>
      </c>
      <c r="AI117" s="526">
        <f t="shared" si="119"/>
        <v>0</v>
      </c>
      <c r="AJ117" s="526">
        <f t="shared" si="120"/>
        <v>1.2113943790303949E-6</v>
      </c>
      <c r="AK117" s="526">
        <f t="shared" si="121"/>
        <v>5.3845175482791774E-6</v>
      </c>
      <c r="AL117" s="526">
        <f t="shared" si="122"/>
        <v>-5.424559677669194E-6</v>
      </c>
      <c r="AM117" s="526">
        <f t="shared" si="123"/>
        <v>-8.9468774544521068E-7</v>
      </c>
      <c r="AN117" s="526">
        <f t="shared" si="124"/>
        <v>-1.8391338856282857E-6</v>
      </c>
      <c r="AO117" s="526">
        <f t="shared" si="125"/>
        <v>1.5903242037706988E-6</v>
      </c>
      <c r="AP117" s="526">
        <f t="shared" si="126"/>
        <v>0</v>
      </c>
      <c r="AQ117" s="526">
        <f t="shared" si="127"/>
        <v>0</v>
      </c>
      <c r="AR117" s="526">
        <f t="shared" si="128"/>
        <v>0</v>
      </c>
      <c r="AS117" s="526">
        <f t="shared" si="131"/>
        <v>0</v>
      </c>
    </row>
    <row r="118" spans="1:45" s="518" customFormat="1">
      <c r="A118" t="s">
        <v>48</v>
      </c>
      <c r="B118" t="s">
        <v>687</v>
      </c>
      <c r="C118" s="240" t="s">
        <v>1199</v>
      </c>
      <c r="D118" s="240"/>
      <c r="E118" s="230">
        <f>'RS(T)-1'!C68</f>
        <v>0.1803016115444773</v>
      </c>
      <c r="F118" s="230">
        <f>'RS(T)-1'!D68</f>
        <v>0.1910940935457392</v>
      </c>
      <c r="G118" s="230">
        <f>'RS(T)-1'!E68</f>
        <v>0.19399598403723597</v>
      </c>
      <c r="H118" s="230">
        <f>'RS(T)-1'!F68</f>
        <v>0.2279410321484456</v>
      </c>
      <c r="I118" s="230">
        <f>'RS(T)-1'!G68</f>
        <v>0.2573976165831291</v>
      </c>
      <c r="J118" s="230">
        <f>'RS(T)-1'!H68</f>
        <v>0.28780843915927451</v>
      </c>
      <c r="K118" s="230">
        <f>'RS(T)-1'!I68</f>
        <v>0.29758466899348746</v>
      </c>
      <c r="L118" s="230">
        <f>'RS(T)-1'!J68</f>
        <v>0.3077702738555676</v>
      </c>
      <c r="M118" s="230">
        <f>'RS(T)-1'!K68</f>
        <v>0.28674969452188742</v>
      </c>
      <c r="N118" s="230">
        <f>'RS(T)-1'!L68</f>
        <v>0.25438957758472258</v>
      </c>
      <c r="O118" s="230">
        <f>'RS(T)-1'!M68</f>
        <v>0.1980230935128767</v>
      </c>
      <c r="P118" s="230">
        <f>'RS(T)-1'!N68</f>
        <v>0.19201181663038447</v>
      </c>
      <c r="Q118" s="240"/>
      <c r="R118" s="240"/>
      <c r="T118" s="206" t="s">
        <v>1199</v>
      </c>
      <c r="U118" s="524">
        <v>0.1803016115444773</v>
      </c>
      <c r="V118" s="524">
        <v>0.19109409354573917</v>
      </c>
      <c r="W118" s="524">
        <v>0.19399598403723597</v>
      </c>
      <c r="X118" s="524">
        <v>0.2279410321484456</v>
      </c>
      <c r="Y118" s="524">
        <v>0.2573976165831291</v>
      </c>
      <c r="Z118" s="524">
        <v>0.28780843915927451</v>
      </c>
      <c r="AA118" s="524">
        <v>0.29758466899348746</v>
      </c>
      <c r="AB118" s="524">
        <v>0.3077702738555676</v>
      </c>
      <c r="AC118" s="524">
        <v>0.28674969452188742</v>
      </c>
      <c r="AD118" s="524">
        <v>0.25438957758472258</v>
      </c>
      <c r="AE118" s="524">
        <v>0.1980230935128767</v>
      </c>
      <c r="AF118" s="524">
        <v>0.19201181663038447</v>
      </c>
      <c r="AG118"/>
      <c r="AH118" s="526">
        <f t="shared" si="130"/>
        <v>0</v>
      </c>
      <c r="AI118" s="526">
        <f t="shared" si="119"/>
        <v>0</v>
      </c>
      <c r="AJ118" s="526">
        <f t="shared" si="120"/>
        <v>0</v>
      </c>
      <c r="AK118" s="526">
        <f t="shared" si="121"/>
        <v>0</v>
      </c>
      <c r="AL118" s="526">
        <f t="shared" si="122"/>
        <v>0</v>
      </c>
      <c r="AM118" s="526">
        <f t="shared" si="123"/>
        <v>0</v>
      </c>
      <c r="AN118" s="526">
        <f t="shared" si="124"/>
        <v>0</v>
      </c>
      <c r="AO118" s="526">
        <f t="shared" si="125"/>
        <v>0</v>
      </c>
      <c r="AP118" s="526">
        <f t="shared" si="126"/>
        <v>0</v>
      </c>
      <c r="AQ118" s="526">
        <f t="shared" si="127"/>
        <v>0</v>
      </c>
      <c r="AR118" s="526">
        <f t="shared" si="128"/>
        <v>0</v>
      </c>
      <c r="AS118" s="526">
        <f t="shared" si="131"/>
        <v>0</v>
      </c>
    </row>
    <row r="119" spans="1:45" s="518" customFormat="1">
      <c r="A119" t="s">
        <v>48</v>
      </c>
      <c r="B119" t="s">
        <v>687</v>
      </c>
      <c r="C119" s="240" t="s">
        <v>1200</v>
      </c>
      <c r="D119" s="240"/>
      <c r="E119" s="145">
        <f>HOURS!$B$19</f>
        <v>744</v>
      </c>
      <c r="F119" s="145">
        <f>HOURS!$C$19</f>
        <v>672</v>
      </c>
      <c r="G119" s="145">
        <f>HOURS!$D$19</f>
        <v>744</v>
      </c>
      <c r="H119" s="145">
        <f>HOURS!$E$19</f>
        <v>720</v>
      </c>
      <c r="I119" s="145">
        <f>HOURS!$F$19</f>
        <v>744</v>
      </c>
      <c r="J119" s="145">
        <f>HOURS!$G$19</f>
        <v>720</v>
      </c>
      <c r="K119" s="145">
        <f>HOURS!$H$19</f>
        <v>744</v>
      </c>
      <c r="L119" s="145">
        <f>HOURS!$I$19</f>
        <v>744</v>
      </c>
      <c r="M119" s="145">
        <f>HOURS!$J$19</f>
        <v>720</v>
      </c>
      <c r="N119" s="145">
        <f>HOURS!$K$19</f>
        <v>744</v>
      </c>
      <c r="O119" s="145">
        <f>HOURS!$L$19</f>
        <v>720</v>
      </c>
      <c r="P119" s="145">
        <f>HOURS!$M$19</f>
        <v>744</v>
      </c>
      <c r="Q119" s="240"/>
      <c r="R119" s="240"/>
      <c r="T119" s="206" t="s">
        <v>1200</v>
      </c>
      <c r="U119" s="523">
        <v>744</v>
      </c>
      <c r="V119" s="523">
        <v>672</v>
      </c>
      <c r="W119" s="523">
        <v>744</v>
      </c>
      <c r="X119" s="523">
        <v>720</v>
      </c>
      <c r="Y119" s="523">
        <v>744</v>
      </c>
      <c r="Z119" s="523">
        <v>720</v>
      </c>
      <c r="AA119" s="523">
        <v>744</v>
      </c>
      <c r="AB119" s="523">
        <v>744</v>
      </c>
      <c r="AC119" s="523">
        <v>720</v>
      </c>
      <c r="AD119" s="523">
        <v>744</v>
      </c>
      <c r="AE119" s="523">
        <v>720</v>
      </c>
      <c r="AF119" s="523">
        <v>744</v>
      </c>
      <c r="AG119"/>
      <c r="AH119" s="526">
        <f t="shared" si="130"/>
        <v>0</v>
      </c>
      <c r="AI119" s="526">
        <f t="shared" si="119"/>
        <v>0</v>
      </c>
      <c r="AJ119" s="526">
        <f t="shared" si="120"/>
        <v>0</v>
      </c>
      <c r="AK119" s="526">
        <f t="shared" si="121"/>
        <v>0</v>
      </c>
      <c r="AL119" s="526">
        <f t="shared" si="122"/>
        <v>0</v>
      </c>
      <c r="AM119" s="526">
        <f t="shared" si="123"/>
        <v>0</v>
      </c>
      <c r="AN119" s="526">
        <f t="shared" si="124"/>
        <v>0</v>
      </c>
      <c r="AO119" s="526">
        <f t="shared" si="125"/>
        <v>0</v>
      </c>
      <c r="AP119" s="526">
        <f t="shared" si="126"/>
        <v>0</v>
      </c>
      <c r="AQ119" s="526">
        <f t="shared" si="127"/>
        <v>0</v>
      </c>
      <c r="AR119" s="526">
        <f t="shared" si="128"/>
        <v>0</v>
      </c>
      <c r="AS119" s="526">
        <f t="shared" si="131"/>
        <v>0</v>
      </c>
    </row>
    <row r="120" spans="1:45">
      <c r="E120" s="241"/>
      <c r="F120" s="241"/>
      <c r="G120" s="241"/>
      <c r="H120" s="241"/>
      <c r="I120" s="241"/>
      <c r="J120" s="241"/>
      <c r="K120" s="241"/>
      <c r="L120" s="241"/>
      <c r="M120" s="241"/>
      <c r="N120" s="241"/>
      <c r="O120" s="241"/>
      <c r="P120" s="241"/>
      <c r="Q120" s="241"/>
      <c r="R120" s="242"/>
      <c r="T120" s="206"/>
      <c r="U120" s="523"/>
      <c r="V120" s="523"/>
      <c r="W120" s="523"/>
      <c r="X120" s="523"/>
      <c r="Y120" s="523"/>
      <c r="Z120" s="523"/>
      <c r="AA120" s="523"/>
      <c r="AB120" s="523"/>
      <c r="AC120" s="523"/>
      <c r="AD120" s="523"/>
      <c r="AE120" s="523"/>
      <c r="AF120" s="523"/>
      <c r="AG120"/>
      <c r="AH120" s="526"/>
      <c r="AI120" s="526"/>
      <c r="AJ120" s="526"/>
      <c r="AK120" s="526"/>
      <c r="AL120" s="526"/>
      <c r="AM120" s="526"/>
      <c r="AN120" s="526"/>
      <c r="AO120" s="526"/>
      <c r="AP120" s="526"/>
      <c r="AQ120" s="526"/>
      <c r="AR120" s="526"/>
      <c r="AS120" s="526"/>
    </row>
    <row r="121" spans="1:45">
      <c r="A121" t="s">
        <v>53</v>
      </c>
      <c r="B121" t="s">
        <v>35</v>
      </c>
      <c r="C121" t="s">
        <v>1103</v>
      </c>
      <c r="T121" s="522" t="s">
        <v>1234</v>
      </c>
      <c r="U121" s="523"/>
      <c r="V121" s="523"/>
      <c r="W121" s="523"/>
      <c r="X121" s="523"/>
      <c r="Y121" s="523"/>
      <c r="Z121" s="523"/>
      <c r="AA121" s="523"/>
      <c r="AB121" s="523"/>
      <c r="AC121" s="523"/>
      <c r="AD121" s="523"/>
      <c r="AE121" s="523"/>
      <c r="AF121" s="523"/>
      <c r="AG121"/>
      <c r="AH121" s="526"/>
      <c r="AI121" s="526"/>
      <c r="AJ121" s="526"/>
      <c r="AK121" s="526"/>
      <c r="AL121" s="526"/>
      <c r="AM121" s="526"/>
      <c r="AN121" s="526"/>
      <c r="AO121" s="526"/>
      <c r="AP121" s="526"/>
      <c r="AQ121" s="526"/>
      <c r="AR121" s="526"/>
      <c r="AS121" s="526"/>
    </row>
    <row r="122" spans="1:45" ht="15.6">
      <c r="A122" t="s">
        <v>53</v>
      </c>
      <c r="B122" t="s">
        <v>35</v>
      </c>
      <c r="C122" s="251" t="s">
        <v>1201</v>
      </c>
      <c r="D122" s="251"/>
      <c r="E122" s="145">
        <f>VLOOKUP($A122&amp;" KWH Sales",'2017 TEST'!$A$13:$R$274,'2017 TEST'!C$9,FALSE)/1000</f>
        <v>49089.77</v>
      </c>
      <c r="F122" s="145">
        <f>VLOOKUP($A122&amp;" KWH Sales",'2017 TEST'!$A$13:$R$274,'2017 TEST'!D$9,FALSE)/1000</f>
        <v>45452.137999999999</v>
      </c>
      <c r="G122" s="145">
        <f>VLOOKUP($A122&amp;" KWH Sales",'2017 TEST'!$A$13:$R$274,'2017 TEST'!E$9,FALSE)/1000</f>
        <v>45698.883000000002</v>
      </c>
      <c r="H122" s="145">
        <f>VLOOKUP($A122&amp;" KWH Sales",'2017 TEST'!$A$13:$R$274,'2017 TEST'!F$9,FALSE)/1000</f>
        <v>47161.000999999997</v>
      </c>
      <c r="I122" s="145">
        <f>VLOOKUP($A122&amp;" KWH Sales",'2017 TEST'!$A$13:$R$274,'2017 TEST'!G$9,FALSE)/1000</f>
        <v>46982.784</v>
      </c>
      <c r="J122" s="145">
        <f>VLOOKUP($A122&amp;" KWH Sales",'2017 TEST'!$A$13:$R$274,'2017 TEST'!H$9,FALSE)/1000</f>
        <v>44454.046000000002</v>
      </c>
      <c r="K122" s="145">
        <f>VLOOKUP($A122&amp;" KWH Sales",'2017 TEST'!$A$13:$R$274,'2017 TEST'!I$9,FALSE)/1000</f>
        <v>45978.606</v>
      </c>
      <c r="L122" s="145">
        <f>VLOOKUP($A122&amp;" KWH Sales",'2017 TEST'!$A$13:$R$274,'2017 TEST'!J$9,FALSE)/1000</f>
        <v>52412.648000000001</v>
      </c>
      <c r="M122" s="145">
        <f>VLOOKUP($A122&amp;" KWH Sales",'2017 TEST'!$A$13:$R$274,'2017 TEST'!K$9,FALSE)/1000</f>
        <v>46488.434000000001</v>
      </c>
      <c r="N122" s="145">
        <f>VLOOKUP($A122&amp;" KWH Sales",'2017 TEST'!$A$13:$R$274,'2017 TEST'!L$9,FALSE)/1000</f>
        <v>43851.383000000002</v>
      </c>
      <c r="O122" s="145">
        <f>VLOOKUP($A122&amp;" KWH Sales",'2017 TEST'!$A$13:$R$274,'2017 TEST'!M$9,FALSE)/1000</f>
        <v>43397.173999999999</v>
      </c>
      <c r="P122" s="145">
        <f>VLOOKUP($A122&amp;" KWH Sales",'2017 TEST'!$A$13:$R$274,'2017 TEST'!N$9,FALSE)/1000</f>
        <v>49840.091</v>
      </c>
      <c r="T122" s="206" t="s">
        <v>1261</v>
      </c>
      <c r="U122" s="523">
        <v>49089.77</v>
      </c>
      <c r="V122" s="523">
        <v>45452.137999999999</v>
      </c>
      <c r="W122" s="523">
        <v>45698.883000000002</v>
      </c>
      <c r="X122" s="523">
        <v>47161.000999999997</v>
      </c>
      <c r="Y122" s="523">
        <v>46982.784</v>
      </c>
      <c r="Z122" s="523">
        <v>44454.046000000002</v>
      </c>
      <c r="AA122" s="523">
        <v>45978.606</v>
      </c>
      <c r="AB122" s="523">
        <v>52412.648000000001</v>
      </c>
      <c r="AC122" s="523">
        <v>46488.434000000001</v>
      </c>
      <c r="AD122" s="523">
        <v>43851.383000000002</v>
      </c>
      <c r="AE122" s="523">
        <v>43397.173999999999</v>
      </c>
      <c r="AF122" s="523">
        <v>49840.091</v>
      </c>
      <c r="AG122"/>
      <c r="AH122" s="526">
        <f>U122-E122</f>
        <v>0</v>
      </c>
      <c r="AI122" s="526">
        <f t="shared" ref="AI122:AI129" si="132">V122-F122</f>
        <v>0</v>
      </c>
      <c r="AJ122" s="526">
        <f t="shared" ref="AJ122:AJ129" si="133">W122-G122</f>
        <v>0</v>
      </c>
      <c r="AK122" s="526">
        <f t="shared" ref="AK122:AK129" si="134">X122-H122</f>
        <v>0</v>
      </c>
      <c r="AL122" s="526">
        <f t="shared" ref="AL122:AL129" si="135">Y122-I122</f>
        <v>0</v>
      </c>
      <c r="AM122" s="526">
        <f t="shared" ref="AM122:AM129" si="136">Z122-J122</f>
        <v>0</v>
      </c>
      <c r="AN122" s="526">
        <f t="shared" ref="AN122:AN129" si="137">AA122-K122</f>
        <v>0</v>
      </c>
      <c r="AO122" s="526">
        <f t="shared" ref="AO122:AO129" si="138">AB122-L122</f>
        <v>0</v>
      </c>
      <c r="AP122" s="526">
        <f t="shared" ref="AP122:AP129" si="139">AC122-M122</f>
        <v>0</v>
      </c>
      <c r="AQ122" s="526">
        <f t="shared" ref="AQ122:AQ129" si="140">AD122-N122</f>
        <v>0</v>
      </c>
      <c r="AR122" s="526">
        <f t="shared" ref="AR122:AR129" si="141">AE122-O122</f>
        <v>0</v>
      </c>
      <c r="AS122" s="526">
        <f t="shared" ref="AS122:AS124" si="142">AF122-P122</f>
        <v>0</v>
      </c>
    </row>
    <row r="123" spans="1:45" s="518" customFormat="1">
      <c r="A123" t="s">
        <v>53</v>
      </c>
      <c r="B123" t="s">
        <v>35</v>
      </c>
      <c r="C123" s="240" t="s">
        <v>148</v>
      </c>
      <c r="D123" s="240"/>
      <c r="E123" s="145">
        <f>VLOOKUP($A123&amp;" CP",'2017 TEST'!$A$13:$R$274,'2017 TEST'!C$9,FALSE)</f>
        <v>54020.564074318027</v>
      </c>
      <c r="F123" s="145">
        <f>VLOOKUP($A123&amp;" CP",'2017 TEST'!$A$13:$R$274,'2017 TEST'!D$9,FALSE)</f>
        <v>0</v>
      </c>
      <c r="G123" s="145">
        <f>VLOOKUP($A123&amp;" CP",'2017 TEST'!$A$13:$R$274,'2017 TEST'!E$9,FALSE)</f>
        <v>0</v>
      </c>
      <c r="H123" s="145">
        <f>VLOOKUP($A123&amp;" CP",'2017 TEST'!$A$13:$R$274,'2017 TEST'!F$9,FALSE)</f>
        <v>0</v>
      </c>
      <c r="I123" s="145">
        <f>VLOOKUP($A123&amp;" CP",'2017 TEST'!$A$13:$R$274,'2017 TEST'!G$9,FALSE)</f>
        <v>0</v>
      </c>
      <c r="J123" s="145">
        <f>VLOOKUP($A123&amp;" CP",'2017 TEST'!$A$13:$R$274,'2017 TEST'!H$9,FALSE)</f>
        <v>0</v>
      </c>
      <c r="K123" s="145">
        <f>VLOOKUP($A123&amp;" CP",'2017 TEST'!$A$13:$R$274,'2017 TEST'!I$9,FALSE)</f>
        <v>0</v>
      </c>
      <c r="L123" s="145">
        <f>VLOOKUP($A123&amp;" CP",'2017 TEST'!$A$13:$R$274,'2017 TEST'!J$9,FALSE)</f>
        <v>0</v>
      </c>
      <c r="M123" s="145">
        <f>VLOOKUP($A123&amp;" CP",'2017 TEST'!$A$13:$R$274,'2017 TEST'!K$9,FALSE)</f>
        <v>0</v>
      </c>
      <c r="N123" s="145">
        <f>VLOOKUP($A123&amp;" CP",'2017 TEST'!$A$13:$R$274,'2017 TEST'!L$9,FALSE)</f>
        <v>0</v>
      </c>
      <c r="O123" s="145">
        <f>VLOOKUP($A123&amp;" CP",'2017 TEST'!$A$13:$R$274,'2017 TEST'!M$9,FALSE)</f>
        <v>38700.43993345058</v>
      </c>
      <c r="P123" s="145">
        <f>VLOOKUP($A123&amp;" CP",'2017 TEST'!$A$13:$R$274,'2017 TEST'!N$9,FALSE)</f>
        <v>39095.873467606427</v>
      </c>
      <c r="Q123" s="240"/>
      <c r="R123" s="240"/>
      <c r="T123" s="206" t="s">
        <v>148</v>
      </c>
      <c r="U123" s="523">
        <v>54020.65819333963</v>
      </c>
      <c r="V123" s="523">
        <v>0</v>
      </c>
      <c r="W123" s="523">
        <v>0</v>
      </c>
      <c r="X123" s="523">
        <v>0</v>
      </c>
      <c r="Y123" s="523">
        <v>0</v>
      </c>
      <c r="Z123" s="523">
        <v>0</v>
      </c>
      <c r="AA123" s="523">
        <v>0</v>
      </c>
      <c r="AB123" s="523">
        <v>0</v>
      </c>
      <c r="AC123" s="523">
        <v>0</v>
      </c>
      <c r="AD123" s="523">
        <v>0</v>
      </c>
      <c r="AE123" s="523">
        <v>38700.488956206726</v>
      </c>
      <c r="AF123" s="523">
        <v>39095.843877574705</v>
      </c>
      <c r="AG123"/>
      <c r="AH123" s="526">
        <f t="shared" ref="AH123:AH129" si="143">U123-E123</f>
        <v>9.4119021603546571E-2</v>
      </c>
      <c r="AI123" s="526">
        <f t="shared" si="132"/>
        <v>0</v>
      </c>
      <c r="AJ123" s="526">
        <f t="shared" si="133"/>
        <v>0</v>
      </c>
      <c r="AK123" s="526">
        <f t="shared" si="134"/>
        <v>0</v>
      </c>
      <c r="AL123" s="526">
        <f t="shared" si="135"/>
        <v>0</v>
      </c>
      <c r="AM123" s="526">
        <f t="shared" si="136"/>
        <v>0</v>
      </c>
      <c r="AN123" s="526">
        <f t="shared" si="137"/>
        <v>0</v>
      </c>
      <c r="AO123" s="526">
        <f t="shared" si="138"/>
        <v>0</v>
      </c>
      <c r="AP123" s="526">
        <f t="shared" si="139"/>
        <v>0</v>
      </c>
      <c r="AQ123" s="526">
        <f t="shared" si="140"/>
        <v>0</v>
      </c>
      <c r="AR123" s="526">
        <f t="shared" si="141"/>
        <v>4.9022756145859603E-2</v>
      </c>
      <c r="AS123" s="526">
        <f t="shared" si="142"/>
        <v>-2.9590031721454579E-2</v>
      </c>
    </row>
    <row r="124" spans="1:45" s="518" customFormat="1">
      <c r="A124" t="s">
        <v>53</v>
      </c>
      <c r="B124" t="s">
        <v>35</v>
      </c>
      <c r="C124" s="240" t="s">
        <v>147</v>
      </c>
      <c r="D124" s="240"/>
      <c r="E124" s="145">
        <f>VLOOKUP($A124&amp;" GNCP",'2017 TEST'!$A$13:$R$274,'2017 TEST'!C$9,FALSE)</f>
        <v>119483.88445949471</v>
      </c>
      <c r="F124" s="145">
        <f>VLOOKUP($A124&amp;" GNCP",'2017 TEST'!$A$13:$R$274,'2017 TEST'!D$9,FALSE)</f>
        <v>127621.49050286223</v>
      </c>
      <c r="G124" s="145">
        <f>VLOOKUP($A124&amp;" GNCP",'2017 TEST'!$A$13:$R$274,'2017 TEST'!E$9,FALSE)</f>
        <v>123213.8151418301</v>
      </c>
      <c r="H124" s="145">
        <f>VLOOKUP($A124&amp;" GNCP",'2017 TEST'!$A$13:$R$274,'2017 TEST'!F$9,FALSE)</f>
        <v>139960.60055607607</v>
      </c>
      <c r="I124" s="145">
        <f>VLOOKUP($A124&amp;" GNCP",'2017 TEST'!$A$13:$R$274,'2017 TEST'!G$9,FALSE)</f>
        <v>142845.08839493283</v>
      </c>
      <c r="J124" s="145">
        <f>VLOOKUP($A124&amp;" GNCP",'2017 TEST'!$A$13:$R$274,'2017 TEST'!H$9,FALSE)</f>
        <v>143774.11424105286</v>
      </c>
      <c r="K124" s="145">
        <f>VLOOKUP($A124&amp;" GNCP",'2017 TEST'!$A$13:$R$274,'2017 TEST'!I$9,FALSE)</f>
        <v>142026.89631069452</v>
      </c>
      <c r="L124" s="145">
        <f>VLOOKUP($A124&amp;" GNCP",'2017 TEST'!$A$13:$R$274,'2017 TEST'!J$9,FALSE)</f>
        <v>154156.97344601792</v>
      </c>
      <c r="M124" s="145">
        <f>VLOOKUP($A124&amp;" GNCP",'2017 TEST'!$A$13:$R$274,'2017 TEST'!K$9,FALSE)</f>
        <v>132575.29153453262</v>
      </c>
      <c r="N124" s="145">
        <f>VLOOKUP($A124&amp;" GNCP",'2017 TEST'!$A$13:$R$274,'2017 TEST'!L$9,FALSE)</f>
        <v>113636.47497520296</v>
      </c>
      <c r="O124" s="145">
        <f>VLOOKUP($A124&amp;" GNCP",'2017 TEST'!$A$13:$R$274,'2017 TEST'!M$9,FALSE)</f>
        <v>110486.38803361877</v>
      </c>
      <c r="P124" s="145">
        <f>VLOOKUP($A124&amp;" GNCP",'2017 TEST'!$A$13:$R$274,'2017 TEST'!N$9,FALSE)</f>
        <v>119847.20146159657</v>
      </c>
      <c r="Q124" s="240"/>
      <c r="R124" s="240"/>
      <c r="T124" s="206" t="s">
        <v>342</v>
      </c>
      <c r="U124" s="523">
        <v>119483.88445949471</v>
      </c>
      <c r="V124" s="523">
        <v>127621.49050286223</v>
      </c>
      <c r="W124" s="523">
        <v>123213.8151418301</v>
      </c>
      <c r="X124" s="523">
        <v>139960.60055607607</v>
      </c>
      <c r="Y124" s="523">
        <v>142845.08839493283</v>
      </c>
      <c r="Z124" s="523">
        <v>143774.11424105286</v>
      </c>
      <c r="AA124" s="523">
        <v>142026.89631069452</v>
      </c>
      <c r="AB124" s="523">
        <v>154156.97344601792</v>
      </c>
      <c r="AC124" s="523">
        <v>132575.29153453262</v>
      </c>
      <c r="AD124" s="523">
        <v>113636.47497520296</v>
      </c>
      <c r="AE124" s="523">
        <v>110486.38803361877</v>
      </c>
      <c r="AF124" s="523">
        <v>119847.20146159657</v>
      </c>
      <c r="AG124"/>
      <c r="AH124" s="526">
        <f t="shared" si="143"/>
        <v>0</v>
      </c>
      <c r="AI124" s="526">
        <f t="shared" si="132"/>
        <v>0</v>
      </c>
      <c r="AJ124" s="526">
        <f t="shared" si="133"/>
        <v>0</v>
      </c>
      <c r="AK124" s="526">
        <f t="shared" si="134"/>
        <v>0</v>
      </c>
      <c r="AL124" s="526">
        <f t="shared" si="135"/>
        <v>0</v>
      </c>
      <c r="AM124" s="526">
        <f t="shared" si="136"/>
        <v>0</v>
      </c>
      <c r="AN124" s="526">
        <f t="shared" si="137"/>
        <v>0</v>
      </c>
      <c r="AO124" s="526">
        <f t="shared" si="138"/>
        <v>0</v>
      </c>
      <c r="AP124" s="526">
        <f t="shared" si="139"/>
        <v>0</v>
      </c>
      <c r="AQ124" s="526">
        <f t="shared" si="140"/>
        <v>0</v>
      </c>
      <c r="AR124" s="526">
        <f t="shared" si="141"/>
        <v>0</v>
      </c>
      <c r="AS124" s="526">
        <f t="shared" si="142"/>
        <v>0</v>
      </c>
    </row>
    <row r="125" spans="1:45" s="518" customFormat="1">
      <c r="A125" t="s">
        <v>53</v>
      </c>
      <c r="B125" t="s">
        <v>35</v>
      </c>
      <c r="C125" s="240" t="s">
        <v>133</v>
      </c>
      <c r="D125" s="240"/>
      <c r="E125" s="145">
        <f>VLOOKUP($A125&amp;" NCP",'2017 TEST'!$A$13:$R$274,'2017 TEST'!C$9,FALSE)</f>
        <v>119483.88445949471</v>
      </c>
      <c r="F125" s="145">
        <f>VLOOKUP($A125&amp;" NCP",'2017 TEST'!$A$13:$R$274,'2017 TEST'!D$9,FALSE)</f>
        <v>127621.49050286223</v>
      </c>
      <c r="G125" s="145">
        <f>VLOOKUP($A125&amp;" NCP",'2017 TEST'!$A$13:$R$274,'2017 TEST'!E$9,FALSE)</f>
        <v>123213.8151418301</v>
      </c>
      <c r="H125" s="145">
        <f>VLOOKUP($A125&amp;" NCP",'2017 TEST'!$A$13:$R$274,'2017 TEST'!F$9,FALSE)</f>
        <v>139960.60055607607</v>
      </c>
      <c r="I125" s="145">
        <f>VLOOKUP($A125&amp;" NCP",'2017 TEST'!$A$13:$R$274,'2017 TEST'!G$9,FALSE)</f>
        <v>142845.08839493283</v>
      </c>
      <c r="J125" s="145">
        <f>VLOOKUP($A125&amp;" NCP",'2017 TEST'!$A$13:$R$274,'2017 TEST'!H$9,FALSE)</f>
        <v>143774.11424105286</v>
      </c>
      <c r="K125" s="145">
        <f>VLOOKUP($A125&amp;" NCP",'2017 TEST'!$A$13:$R$274,'2017 TEST'!I$9,FALSE)</f>
        <v>142026.89631069452</v>
      </c>
      <c r="L125" s="145">
        <f>VLOOKUP($A125&amp;" NCP",'2017 TEST'!$A$13:$R$274,'2017 TEST'!J$9,FALSE)</f>
        <v>154156.97344601792</v>
      </c>
      <c r="M125" s="145">
        <f>VLOOKUP($A125&amp;" NCP",'2017 TEST'!$A$13:$R$274,'2017 TEST'!K$9,FALSE)</f>
        <v>132575.29153453262</v>
      </c>
      <c r="N125" s="145">
        <f>VLOOKUP($A125&amp;" NCP",'2017 TEST'!$A$13:$R$274,'2017 TEST'!L$9,FALSE)</f>
        <v>113636.47497520296</v>
      </c>
      <c r="O125" s="145">
        <f>VLOOKUP($A125&amp;" NCP",'2017 TEST'!$A$13:$R$274,'2017 TEST'!M$9,FALSE)</f>
        <v>110486.38803361877</v>
      </c>
      <c r="P125" s="145">
        <f>VLOOKUP($A125&amp;" NCP",'2017 TEST'!$A$13:$R$274,'2017 TEST'!N$9,FALSE)</f>
        <v>119847.20146159657</v>
      </c>
      <c r="Q125" s="240"/>
      <c r="R125" s="240"/>
      <c r="T125" s="206" t="s">
        <v>133</v>
      </c>
      <c r="U125" s="523">
        <v>119483.88445949471</v>
      </c>
      <c r="V125" s="523">
        <v>127621.49050286223</v>
      </c>
      <c r="W125" s="523">
        <v>123213.8151418301</v>
      </c>
      <c r="X125" s="523">
        <v>139960.60055607607</v>
      </c>
      <c r="Y125" s="523">
        <v>142845.08839493283</v>
      </c>
      <c r="Z125" s="523">
        <v>143774.11424105286</v>
      </c>
      <c r="AA125" s="523">
        <v>142026.89631069452</v>
      </c>
      <c r="AB125" s="523">
        <v>154156.97344601792</v>
      </c>
      <c r="AC125" s="523">
        <v>132575.29153453262</v>
      </c>
      <c r="AD125" s="523">
        <v>113636.47497520296</v>
      </c>
      <c r="AE125" s="523">
        <v>110486.38803361877</v>
      </c>
      <c r="AF125" s="523">
        <v>119847.20146159657</v>
      </c>
      <c r="AG125"/>
      <c r="AH125" s="526">
        <f t="shared" si="143"/>
        <v>0</v>
      </c>
      <c r="AI125" s="526">
        <f t="shared" si="132"/>
        <v>0</v>
      </c>
      <c r="AJ125" s="526">
        <f t="shared" si="133"/>
        <v>0</v>
      </c>
      <c r="AK125" s="526">
        <f t="shared" si="134"/>
        <v>0</v>
      </c>
      <c r="AL125" s="526">
        <f t="shared" si="135"/>
        <v>0</v>
      </c>
      <c r="AM125" s="526">
        <f t="shared" si="136"/>
        <v>0</v>
      </c>
      <c r="AN125" s="526">
        <f t="shared" si="137"/>
        <v>0</v>
      </c>
      <c r="AO125" s="526">
        <f t="shared" si="138"/>
        <v>0</v>
      </c>
      <c r="AP125" s="526">
        <f t="shared" si="139"/>
        <v>0</v>
      </c>
      <c r="AQ125" s="526">
        <f t="shared" si="140"/>
        <v>0</v>
      </c>
      <c r="AR125" s="526">
        <f t="shared" si="141"/>
        <v>0</v>
      </c>
      <c r="AS125" s="526">
        <f>AF125-P125</f>
        <v>0</v>
      </c>
    </row>
    <row r="126" spans="1:45" s="518" customFormat="1">
      <c r="A126" t="s">
        <v>53</v>
      </c>
      <c r="B126" t="s">
        <v>35</v>
      </c>
      <c r="C126" s="240" t="s">
        <v>1197</v>
      </c>
      <c r="D126" s="240"/>
      <c r="E126" s="230">
        <f>VLOOKUP($A126&amp;" CP - L.F.",'2017 TEST'!$A$13:$R$274,'2017 TEST'!C$9,FALSE)</f>
        <v>1.3338849075762926</v>
      </c>
      <c r="F126" s="230" t="str">
        <f>VLOOKUP($A126&amp;" CP - L.F.",'2017 TEST'!$A$13:$R$274,'2017 TEST'!D$9,FALSE)</f>
        <v/>
      </c>
      <c r="G126" s="230" t="str">
        <f>VLOOKUP($A126&amp;" CP - L.F.",'2017 TEST'!$A$13:$R$274,'2017 TEST'!E$9,FALSE)</f>
        <v/>
      </c>
      <c r="H126" s="230" t="str">
        <f>VLOOKUP($A126&amp;" CP - L.F.",'2017 TEST'!$A$13:$R$274,'2017 TEST'!F$9,FALSE)</f>
        <v/>
      </c>
      <c r="I126" s="230" t="str">
        <f>VLOOKUP($A126&amp;" CP - L.F.",'2017 TEST'!$A$13:$R$274,'2017 TEST'!G$9,FALSE)</f>
        <v/>
      </c>
      <c r="J126" s="230" t="str">
        <f>VLOOKUP($A126&amp;" CP - L.F.",'2017 TEST'!$A$13:$R$274,'2017 TEST'!H$9,FALSE)</f>
        <v/>
      </c>
      <c r="K126" s="230" t="str">
        <f>VLOOKUP($A126&amp;" CP - L.F.",'2017 TEST'!$A$13:$R$274,'2017 TEST'!I$9,FALSE)</f>
        <v/>
      </c>
      <c r="L126" s="230" t="str">
        <f>VLOOKUP($A126&amp;" CP - L.F.",'2017 TEST'!$A$13:$R$274,'2017 TEST'!J$9,FALSE)</f>
        <v/>
      </c>
      <c r="M126" s="230" t="str">
        <f>VLOOKUP($A126&amp;" CP - L.F.",'2017 TEST'!$A$13:$R$274,'2017 TEST'!K$9,FALSE)</f>
        <v/>
      </c>
      <c r="N126" s="230" t="str">
        <f>VLOOKUP($A126&amp;" CP - L.F.",'2017 TEST'!$A$13:$R$274,'2017 TEST'!L$9,FALSE)</f>
        <v/>
      </c>
      <c r="O126" s="230">
        <f>VLOOKUP($A126&amp;" CP - L.F.",'2017 TEST'!$A$13:$R$274,'2017 TEST'!M$9,FALSE)</f>
        <v>1.52514980491481</v>
      </c>
      <c r="P126" s="230">
        <f>VLOOKUP($A126&amp;" CP - L.F.",'2017 TEST'!$A$13:$R$274,'2017 TEST'!N$9,FALSE)</f>
        <v>1.7580388400454101</v>
      </c>
      <c r="Q126" s="240"/>
      <c r="R126" s="240"/>
      <c r="T126" s="206" t="s">
        <v>1197</v>
      </c>
      <c r="U126" s="524">
        <v>1.2214007726408811</v>
      </c>
      <c r="V126" s="524">
        <v>0</v>
      </c>
      <c r="W126" s="524">
        <v>0</v>
      </c>
      <c r="X126" s="524">
        <v>0</v>
      </c>
      <c r="Y126" s="524">
        <v>0</v>
      </c>
      <c r="Z126" s="524">
        <v>0</v>
      </c>
      <c r="AA126" s="524">
        <v>0</v>
      </c>
      <c r="AB126" s="524">
        <v>0</v>
      </c>
      <c r="AC126" s="524">
        <v>0</v>
      </c>
      <c r="AD126" s="524">
        <v>0</v>
      </c>
      <c r="AE126" s="524">
        <v>1.5574442184951038</v>
      </c>
      <c r="AF126" s="524">
        <v>1.7134652428382773</v>
      </c>
      <c r="AG126"/>
      <c r="AH126" s="526">
        <f t="shared" si="143"/>
        <v>-0.11248413493541154</v>
      </c>
      <c r="AI126" s="526" t="e">
        <f t="shared" si="132"/>
        <v>#VALUE!</v>
      </c>
      <c r="AJ126" s="526" t="e">
        <f t="shared" si="133"/>
        <v>#VALUE!</v>
      </c>
      <c r="AK126" s="526" t="e">
        <f t="shared" si="134"/>
        <v>#VALUE!</v>
      </c>
      <c r="AL126" s="526" t="e">
        <f t="shared" si="135"/>
        <v>#VALUE!</v>
      </c>
      <c r="AM126" s="526" t="e">
        <f t="shared" si="136"/>
        <v>#VALUE!</v>
      </c>
      <c r="AN126" s="526" t="e">
        <f t="shared" si="137"/>
        <v>#VALUE!</v>
      </c>
      <c r="AO126" s="526" t="e">
        <f t="shared" si="138"/>
        <v>#VALUE!</v>
      </c>
      <c r="AP126" s="526" t="e">
        <f t="shared" si="139"/>
        <v>#VALUE!</v>
      </c>
      <c r="AQ126" s="526" t="e">
        <f t="shared" si="140"/>
        <v>#VALUE!</v>
      </c>
      <c r="AR126" s="526">
        <f t="shared" si="141"/>
        <v>3.2294413580293835E-2</v>
      </c>
      <c r="AS126" s="526">
        <f t="shared" ref="AS126:AS129" si="144">AF126-P126</f>
        <v>-4.4573597207132831E-2</v>
      </c>
    </row>
    <row r="127" spans="1:45" s="518" customFormat="1">
      <c r="A127" t="s">
        <v>53</v>
      </c>
      <c r="B127" t="s">
        <v>35</v>
      </c>
      <c r="C127" s="240" t="s">
        <v>1198</v>
      </c>
      <c r="D127" s="240"/>
      <c r="E127" s="230">
        <f>VLOOKUP($A127&amp;" GCP - L.F.",'2017 TEST'!$A$13:$R$274,'2017 TEST'!C$9,FALSE)</f>
        <v>0.55221567288667817</v>
      </c>
      <c r="F127" s="230">
        <f>VLOOKUP($A127&amp;" GCP - L.F.",'2017 TEST'!$A$13:$R$274,'2017 TEST'!D$9,FALSE)</f>
        <v>0.52998213586551624</v>
      </c>
      <c r="G127" s="230">
        <f>VLOOKUP($A127&amp;" GCP - L.F.",'2017 TEST'!$A$13:$R$274,'2017 TEST'!E$9,FALSE)</f>
        <v>0.49850927648012566</v>
      </c>
      <c r="H127" s="230">
        <f>VLOOKUP($A127&amp;" GCP - L.F.",'2017 TEST'!$A$13:$R$274,'2017 TEST'!F$9,FALSE)</f>
        <v>0.46799877978184468</v>
      </c>
      <c r="I127" s="230">
        <f>VLOOKUP($A127&amp;" GCP - L.F.",'2017 TEST'!$A$13:$R$274,'2017 TEST'!G$9,FALSE)</f>
        <v>0.44207962580564686</v>
      </c>
      <c r="J127" s="230">
        <f>VLOOKUP($A127&amp;" GCP - L.F.",'2017 TEST'!$A$13:$R$274,'2017 TEST'!H$9,FALSE)</f>
        <v>0.42943565245715143</v>
      </c>
      <c r="K127" s="230">
        <f>VLOOKUP($A127&amp;" GCP - L.F.",'2017 TEST'!$A$13:$R$274,'2017 TEST'!I$9,FALSE)</f>
        <v>0.43512322819272786</v>
      </c>
      <c r="L127" s="230">
        <f>VLOOKUP($A127&amp;" GCP - L.F.",'2017 TEST'!$A$13:$R$274,'2017 TEST'!J$9,FALSE)</f>
        <v>0.45698294376251891</v>
      </c>
      <c r="M127" s="230">
        <f>VLOOKUP($A127&amp;" GCP - L.F.",'2017 TEST'!$A$13:$R$274,'2017 TEST'!K$9,FALSE)</f>
        <v>0.4870234015485928</v>
      </c>
      <c r="N127" s="230">
        <f>VLOOKUP($A127&amp;" GCP - L.F.",'2017 TEST'!$A$13:$R$274,'2017 TEST'!L$9,FALSE)</f>
        <v>0.51867176385786362</v>
      </c>
      <c r="O127" s="230">
        <f>VLOOKUP($A127&amp;" GCP - L.F.",'2017 TEST'!$A$13:$R$274,'2017 TEST'!M$9,FALSE)</f>
        <v>0.54553193248961729</v>
      </c>
      <c r="P127" s="230">
        <f>VLOOKUP($A127&amp;" GCP - L.F.",'2017 TEST'!$A$13:$R$274,'2017 TEST'!N$9,FALSE)</f>
        <v>0.55895647797100845</v>
      </c>
      <c r="Q127" s="240"/>
      <c r="R127" s="240"/>
      <c r="T127" s="206" t="s">
        <v>1221</v>
      </c>
      <c r="U127" s="524">
        <v>0.55221567288667806</v>
      </c>
      <c r="V127" s="524">
        <v>0.52998213586551624</v>
      </c>
      <c r="W127" s="524">
        <v>0.49850927648012577</v>
      </c>
      <c r="X127" s="524">
        <v>0.46799877978184468</v>
      </c>
      <c r="Y127" s="524">
        <v>0.44207962580564686</v>
      </c>
      <c r="Z127" s="524">
        <v>0.42943565245715137</v>
      </c>
      <c r="AA127" s="524">
        <v>0.43512322819272781</v>
      </c>
      <c r="AB127" s="524">
        <v>0.45698294376251891</v>
      </c>
      <c r="AC127" s="524">
        <v>0.48702340154859286</v>
      </c>
      <c r="AD127" s="524">
        <v>0.51867176385786362</v>
      </c>
      <c r="AE127" s="524">
        <v>0.5455319324896174</v>
      </c>
      <c r="AF127" s="524">
        <v>0.55895647797100845</v>
      </c>
      <c r="AG127"/>
      <c r="AH127" s="526">
        <f t="shared" si="143"/>
        <v>0</v>
      </c>
      <c r="AI127" s="526">
        <f t="shared" si="132"/>
        <v>0</v>
      </c>
      <c r="AJ127" s="526">
        <f t="shared" si="133"/>
        <v>0</v>
      </c>
      <c r="AK127" s="526">
        <f t="shared" si="134"/>
        <v>0</v>
      </c>
      <c r="AL127" s="526">
        <f t="shared" si="135"/>
        <v>0</v>
      </c>
      <c r="AM127" s="526">
        <f t="shared" si="136"/>
        <v>0</v>
      </c>
      <c r="AN127" s="526">
        <f t="shared" si="137"/>
        <v>0</v>
      </c>
      <c r="AO127" s="526">
        <f t="shared" si="138"/>
        <v>0</v>
      </c>
      <c r="AP127" s="526">
        <f t="shared" si="139"/>
        <v>0</v>
      </c>
      <c r="AQ127" s="526">
        <f t="shared" si="140"/>
        <v>0</v>
      </c>
      <c r="AR127" s="526">
        <f t="shared" si="141"/>
        <v>0</v>
      </c>
      <c r="AS127" s="526">
        <f t="shared" si="144"/>
        <v>0</v>
      </c>
    </row>
    <row r="128" spans="1:45" s="518" customFormat="1">
      <c r="A128" t="s">
        <v>53</v>
      </c>
      <c r="B128" t="s">
        <v>35</v>
      </c>
      <c r="C128" s="240" t="s">
        <v>1199</v>
      </c>
      <c r="D128" s="240"/>
      <c r="E128" s="230">
        <f>VLOOKUP($A128&amp;" NCP - L.F.",'2017 TEST'!$A$13:$R$274,'2017 TEST'!C$9,FALSE)</f>
        <v>0.55221567288667817</v>
      </c>
      <c r="F128" s="230">
        <f>VLOOKUP($A128&amp;" NCP - L.F.",'2017 TEST'!$A$13:$R$274,'2017 TEST'!D$9,FALSE)</f>
        <v>0.52998213586551624</v>
      </c>
      <c r="G128" s="230">
        <f>VLOOKUP($A128&amp;" NCP - L.F.",'2017 TEST'!$A$13:$R$274,'2017 TEST'!E$9,FALSE)</f>
        <v>0.49850927648012566</v>
      </c>
      <c r="H128" s="230">
        <f>VLOOKUP($A128&amp;" NCP - L.F.",'2017 TEST'!$A$13:$R$274,'2017 TEST'!F$9,FALSE)</f>
        <v>0.46799877978184468</v>
      </c>
      <c r="I128" s="230">
        <f>VLOOKUP($A128&amp;" NCP - L.F.",'2017 TEST'!$A$13:$R$274,'2017 TEST'!G$9,FALSE)</f>
        <v>0.44207962580564686</v>
      </c>
      <c r="J128" s="230">
        <f>VLOOKUP($A128&amp;" NCP - L.F.",'2017 TEST'!$A$13:$R$274,'2017 TEST'!H$9,FALSE)</f>
        <v>0.42943565245715143</v>
      </c>
      <c r="K128" s="230">
        <f>VLOOKUP($A128&amp;" NCP - L.F.",'2017 TEST'!$A$13:$R$274,'2017 TEST'!I$9,FALSE)</f>
        <v>0.43512322819272786</v>
      </c>
      <c r="L128" s="230">
        <f>VLOOKUP($A128&amp;" NCP - L.F.",'2017 TEST'!$A$13:$R$274,'2017 TEST'!J$9,FALSE)</f>
        <v>0.45698294376251891</v>
      </c>
      <c r="M128" s="230">
        <f>VLOOKUP($A128&amp;" NCP - L.F.",'2017 TEST'!$A$13:$R$274,'2017 TEST'!K$9,FALSE)</f>
        <v>0.4870234015485928</v>
      </c>
      <c r="N128" s="230">
        <f>VLOOKUP($A128&amp;" NCP - L.F.",'2017 TEST'!$A$13:$R$274,'2017 TEST'!L$9,FALSE)</f>
        <v>0.51867176385786362</v>
      </c>
      <c r="O128" s="230">
        <f>VLOOKUP($A128&amp;" NCP - L.F.",'2017 TEST'!$A$13:$R$274,'2017 TEST'!M$9,FALSE)</f>
        <v>0.54553193248961729</v>
      </c>
      <c r="P128" s="230">
        <f>VLOOKUP($A128&amp;" NCP - L.F.",'2017 TEST'!$A$13:$R$274,'2017 TEST'!N$9,FALSE)</f>
        <v>0.55895647797100845</v>
      </c>
      <c r="Q128" s="240"/>
      <c r="R128" s="240"/>
      <c r="T128" s="206" t="s">
        <v>1199</v>
      </c>
      <c r="U128" s="524">
        <v>0.55221567288667806</v>
      </c>
      <c r="V128" s="524">
        <v>0.52998213586551624</v>
      </c>
      <c r="W128" s="524">
        <v>0.49850927648012577</v>
      </c>
      <c r="X128" s="524">
        <v>0.46799877978184468</v>
      </c>
      <c r="Y128" s="524">
        <v>0.44207962580564686</v>
      </c>
      <c r="Z128" s="524">
        <v>0.42943565245715137</v>
      </c>
      <c r="AA128" s="524">
        <v>0.43512322819272781</v>
      </c>
      <c r="AB128" s="524">
        <v>0.45698294376251891</v>
      </c>
      <c r="AC128" s="524">
        <v>0.48702340154859286</v>
      </c>
      <c r="AD128" s="524">
        <v>0.51867176385786362</v>
      </c>
      <c r="AE128" s="524">
        <v>0.5455319324896174</v>
      </c>
      <c r="AF128" s="524">
        <v>0.55895647797100845</v>
      </c>
      <c r="AG128"/>
      <c r="AH128" s="526">
        <f t="shared" si="143"/>
        <v>0</v>
      </c>
      <c r="AI128" s="526">
        <f t="shared" si="132"/>
        <v>0</v>
      </c>
      <c r="AJ128" s="526">
        <f t="shared" si="133"/>
        <v>0</v>
      </c>
      <c r="AK128" s="526">
        <f t="shared" si="134"/>
        <v>0</v>
      </c>
      <c r="AL128" s="526">
        <f t="shared" si="135"/>
        <v>0</v>
      </c>
      <c r="AM128" s="526">
        <f t="shared" si="136"/>
        <v>0</v>
      </c>
      <c r="AN128" s="526">
        <f t="shared" si="137"/>
        <v>0</v>
      </c>
      <c r="AO128" s="526">
        <f t="shared" si="138"/>
        <v>0</v>
      </c>
      <c r="AP128" s="526">
        <f t="shared" si="139"/>
        <v>0</v>
      </c>
      <c r="AQ128" s="526">
        <f t="shared" si="140"/>
        <v>0</v>
      </c>
      <c r="AR128" s="526">
        <f t="shared" si="141"/>
        <v>0</v>
      </c>
      <c r="AS128" s="526">
        <f t="shared" si="144"/>
        <v>0</v>
      </c>
    </row>
    <row r="129" spans="1:45" s="518" customFormat="1">
      <c r="A129" t="s">
        <v>53</v>
      </c>
      <c r="B129" t="s">
        <v>35</v>
      </c>
      <c r="C129" s="240" t="s">
        <v>1200</v>
      </c>
      <c r="D129" s="240"/>
      <c r="E129" s="145">
        <f>HOURS!$B$19</f>
        <v>744</v>
      </c>
      <c r="F129" s="145">
        <f>HOURS!$C$19</f>
        <v>672</v>
      </c>
      <c r="G129" s="145">
        <f>HOURS!$D$19</f>
        <v>744</v>
      </c>
      <c r="H129" s="145">
        <f>HOURS!$E$19</f>
        <v>720</v>
      </c>
      <c r="I129" s="145">
        <f>HOURS!$F$19</f>
        <v>744</v>
      </c>
      <c r="J129" s="145">
        <f>HOURS!$G$19</f>
        <v>720</v>
      </c>
      <c r="K129" s="145">
        <f>HOURS!$H$19</f>
        <v>744</v>
      </c>
      <c r="L129" s="145">
        <f>HOURS!$I$19</f>
        <v>744</v>
      </c>
      <c r="M129" s="145">
        <f>HOURS!$J$19</f>
        <v>720</v>
      </c>
      <c r="N129" s="145">
        <f>HOURS!$K$19</f>
        <v>744</v>
      </c>
      <c r="O129" s="145">
        <f>HOURS!$L$19</f>
        <v>720</v>
      </c>
      <c r="P129" s="145">
        <f>HOURS!$M$19</f>
        <v>744</v>
      </c>
      <c r="Q129" s="240"/>
      <c r="R129" s="240"/>
      <c r="T129" s="206" t="s">
        <v>1200</v>
      </c>
      <c r="U129" s="523">
        <v>744</v>
      </c>
      <c r="V129" s="523">
        <v>672</v>
      </c>
      <c r="W129" s="523">
        <v>744</v>
      </c>
      <c r="X129" s="523">
        <v>720</v>
      </c>
      <c r="Y129" s="523">
        <v>744</v>
      </c>
      <c r="Z129" s="523">
        <v>720</v>
      </c>
      <c r="AA129" s="523">
        <v>744</v>
      </c>
      <c r="AB129" s="523">
        <v>744</v>
      </c>
      <c r="AC129" s="523">
        <v>720</v>
      </c>
      <c r="AD129" s="523">
        <v>744</v>
      </c>
      <c r="AE129" s="523">
        <v>720</v>
      </c>
      <c r="AF129" s="523">
        <v>744</v>
      </c>
      <c r="AG129"/>
      <c r="AH129" s="526">
        <f t="shared" si="143"/>
        <v>0</v>
      </c>
      <c r="AI129" s="526">
        <f t="shared" si="132"/>
        <v>0</v>
      </c>
      <c r="AJ129" s="526">
        <f t="shared" si="133"/>
        <v>0</v>
      </c>
      <c r="AK129" s="526">
        <f t="shared" si="134"/>
        <v>0</v>
      </c>
      <c r="AL129" s="526">
        <f t="shared" si="135"/>
        <v>0</v>
      </c>
      <c r="AM129" s="526">
        <f t="shared" si="136"/>
        <v>0</v>
      </c>
      <c r="AN129" s="526">
        <f t="shared" si="137"/>
        <v>0</v>
      </c>
      <c r="AO129" s="526">
        <f t="shared" si="138"/>
        <v>0</v>
      </c>
      <c r="AP129" s="526">
        <f t="shared" si="139"/>
        <v>0</v>
      </c>
      <c r="AQ129" s="526">
        <f t="shared" si="140"/>
        <v>0</v>
      </c>
      <c r="AR129" s="526">
        <f t="shared" si="141"/>
        <v>0</v>
      </c>
      <c r="AS129" s="526">
        <f t="shared" si="144"/>
        <v>0</v>
      </c>
    </row>
    <row r="130" spans="1:45">
      <c r="T130" s="206"/>
      <c r="U130" s="523"/>
      <c r="V130" s="523"/>
      <c r="W130" s="523"/>
      <c r="X130" s="523"/>
      <c r="Y130" s="523"/>
      <c r="Z130" s="523"/>
      <c r="AA130" s="523"/>
      <c r="AB130" s="523"/>
      <c r="AC130" s="523"/>
      <c r="AD130" s="523"/>
      <c r="AE130" s="523"/>
      <c r="AF130" s="523"/>
      <c r="AG130"/>
      <c r="AH130" s="526"/>
      <c r="AI130" s="526"/>
      <c r="AJ130" s="526"/>
      <c r="AK130" s="526"/>
      <c r="AL130" s="526"/>
      <c r="AM130" s="526"/>
      <c r="AN130" s="526"/>
      <c r="AO130" s="526"/>
      <c r="AP130" s="526"/>
      <c r="AQ130" s="526"/>
      <c r="AR130" s="526"/>
      <c r="AS130" s="526"/>
    </row>
    <row r="131" spans="1:45">
      <c r="A131" t="s">
        <v>55</v>
      </c>
      <c r="B131" t="s">
        <v>38</v>
      </c>
      <c r="C131" t="s">
        <v>1102</v>
      </c>
      <c r="T131" s="522" t="s">
        <v>1235</v>
      </c>
      <c r="U131" s="523"/>
      <c r="V131" s="523"/>
      <c r="W131" s="523"/>
      <c r="X131" s="523"/>
      <c r="Y131" s="523"/>
      <c r="Z131" s="523"/>
      <c r="AA131" s="523"/>
      <c r="AB131" s="523"/>
      <c r="AC131" s="523"/>
      <c r="AD131" s="523"/>
      <c r="AE131" s="523"/>
      <c r="AF131" s="523"/>
      <c r="AG131"/>
      <c r="AH131" s="526"/>
      <c r="AI131" s="526"/>
      <c r="AJ131" s="526"/>
      <c r="AK131" s="526"/>
      <c r="AL131" s="526"/>
      <c r="AM131" s="526"/>
      <c r="AN131" s="526"/>
      <c r="AO131" s="526"/>
      <c r="AP131" s="526"/>
      <c r="AQ131" s="526"/>
      <c r="AR131" s="526"/>
      <c r="AS131" s="526"/>
    </row>
    <row r="132" spans="1:45" ht="15.6">
      <c r="A132" t="s">
        <v>55</v>
      </c>
      <c r="B132" t="s">
        <v>38</v>
      </c>
      <c r="C132" s="251" t="s">
        <v>1201</v>
      </c>
      <c r="D132" s="251"/>
      <c r="E132" s="145">
        <f>VLOOKUP($A132&amp;" KWH Sales",'2017 TEST'!$A$13:$R$274,'2017 TEST'!C$9,FALSE)/1000</f>
        <v>2699.4169999999999</v>
      </c>
      <c r="F132" s="145">
        <f>VLOOKUP($A132&amp;" KWH Sales",'2017 TEST'!$A$13:$R$274,'2017 TEST'!D$9,FALSE)/1000</f>
        <v>2705.431</v>
      </c>
      <c r="G132" s="145">
        <f>VLOOKUP($A132&amp;" KWH Sales",'2017 TEST'!$A$13:$R$274,'2017 TEST'!E$9,FALSE)/1000</f>
        <v>2710.2379999999998</v>
      </c>
      <c r="H132" s="145">
        <f>VLOOKUP($A132&amp;" KWH Sales",'2017 TEST'!$A$13:$R$274,'2017 TEST'!F$9,FALSE)/1000</f>
        <v>2716.2559999999999</v>
      </c>
      <c r="I132" s="145">
        <f>VLOOKUP($A132&amp;" KWH Sales",'2017 TEST'!$A$13:$R$274,'2017 TEST'!G$9,FALSE)/1000</f>
        <v>2721.9740000000002</v>
      </c>
      <c r="J132" s="145">
        <f>VLOOKUP($A132&amp;" KWH Sales",'2017 TEST'!$A$13:$R$274,'2017 TEST'!H$9,FALSE)/1000</f>
        <v>2729.808</v>
      </c>
      <c r="K132" s="145">
        <f>VLOOKUP($A132&amp;" KWH Sales",'2017 TEST'!$A$13:$R$274,'2017 TEST'!I$9,FALSE)/1000</f>
        <v>2735.8359999999998</v>
      </c>
      <c r="L132" s="145">
        <f>VLOOKUP($A132&amp;" KWH Sales",'2017 TEST'!$A$13:$R$274,'2017 TEST'!J$9,FALSE)/1000</f>
        <v>2738.85</v>
      </c>
      <c r="M132" s="145">
        <f>VLOOKUP($A132&amp;" KWH Sales",'2017 TEST'!$A$13:$R$274,'2017 TEST'!K$9,FALSE)/1000</f>
        <v>2743.058</v>
      </c>
      <c r="N132" s="145">
        <f>VLOOKUP($A132&amp;" KWH Sales",'2017 TEST'!$A$13:$R$274,'2017 TEST'!L$9,FALSE)/1000</f>
        <v>2747.8919999999998</v>
      </c>
      <c r="O132" s="145">
        <f>VLOOKUP($A132&amp;" KWH Sales",'2017 TEST'!$A$13:$R$274,'2017 TEST'!M$9,FALSE)/1000</f>
        <v>2754.8330000000001</v>
      </c>
      <c r="P132" s="145">
        <f>VLOOKUP($A132&amp;" KWH Sales",'2017 TEST'!$A$13:$R$274,'2017 TEST'!N$9,FALSE)/1000</f>
        <v>2759.0329999999999</v>
      </c>
      <c r="T132" s="206" t="s">
        <v>1261</v>
      </c>
      <c r="U132" s="523">
        <v>2699.4169999999999</v>
      </c>
      <c r="V132" s="523">
        <v>2705.431</v>
      </c>
      <c r="W132" s="523">
        <v>2710.2379999999998</v>
      </c>
      <c r="X132" s="523">
        <v>2716.2559999999999</v>
      </c>
      <c r="Y132" s="523">
        <v>2721.9740000000002</v>
      </c>
      <c r="Z132" s="523">
        <v>2729.808</v>
      </c>
      <c r="AA132" s="523">
        <v>2735.8359999999998</v>
      </c>
      <c r="AB132" s="523">
        <v>2738.85</v>
      </c>
      <c r="AC132" s="523">
        <v>2743.058</v>
      </c>
      <c r="AD132" s="523">
        <v>2747.8919999999998</v>
      </c>
      <c r="AE132" s="523">
        <v>2754.8330000000001</v>
      </c>
      <c r="AF132" s="523">
        <v>2759.0329999999999</v>
      </c>
      <c r="AG132"/>
      <c r="AH132" s="526">
        <f>U132-E132</f>
        <v>0</v>
      </c>
      <c r="AI132" s="526">
        <f t="shared" ref="AI132:AI139" si="145">V132-F132</f>
        <v>0</v>
      </c>
      <c r="AJ132" s="526">
        <f t="shared" ref="AJ132:AJ139" si="146">W132-G132</f>
        <v>0</v>
      </c>
      <c r="AK132" s="526">
        <f t="shared" ref="AK132:AK139" si="147">X132-H132</f>
        <v>0</v>
      </c>
      <c r="AL132" s="526">
        <f t="shared" ref="AL132:AL139" si="148">Y132-I132</f>
        <v>0</v>
      </c>
      <c r="AM132" s="526">
        <f t="shared" ref="AM132:AM139" si="149">Z132-J132</f>
        <v>0</v>
      </c>
      <c r="AN132" s="526">
        <f t="shared" ref="AN132:AN139" si="150">AA132-K132</f>
        <v>0</v>
      </c>
      <c r="AO132" s="526">
        <f t="shared" ref="AO132:AO139" si="151">AB132-L132</f>
        <v>0</v>
      </c>
      <c r="AP132" s="526">
        <f t="shared" ref="AP132:AP139" si="152">AC132-M132</f>
        <v>0</v>
      </c>
      <c r="AQ132" s="526">
        <f t="shared" ref="AQ132:AQ139" si="153">AD132-N132</f>
        <v>0</v>
      </c>
      <c r="AR132" s="526">
        <f t="shared" ref="AR132:AR139" si="154">AE132-O132</f>
        <v>0</v>
      </c>
      <c r="AS132" s="526">
        <f t="shared" ref="AS132:AS134" si="155">AF132-P132</f>
        <v>0</v>
      </c>
    </row>
    <row r="133" spans="1:45" s="518" customFormat="1">
      <c r="A133" t="s">
        <v>55</v>
      </c>
      <c r="B133" t="s">
        <v>38</v>
      </c>
      <c r="C133" s="240" t="s">
        <v>148</v>
      </c>
      <c r="D133" s="240"/>
      <c r="E133" s="145">
        <f>VLOOKUP($A133&amp;" CP",'2017 TEST'!$A$13:$R$274,'2017 TEST'!C$9,FALSE)</f>
        <v>3962.0823928458581</v>
      </c>
      <c r="F133" s="145">
        <f>VLOOKUP($A133&amp;" CP",'2017 TEST'!$A$13:$R$274,'2017 TEST'!D$9,FALSE)</f>
        <v>4054.539319730723</v>
      </c>
      <c r="G133" s="145">
        <f>VLOOKUP($A133&amp;" CP",'2017 TEST'!$A$13:$R$274,'2017 TEST'!E$9,FALSE)</f>
        <v>4081.4998214886623</v>
      </c>
      <c r="H133" s="145">
        <f>VLOOKUP($A133&amp;" CP",'2017 TEST'!$A$13:$R$274,'2017 TEST'!F$9,FALSE)</f>
        <v>4074.5319442008267</v>
      </c>
      <c r="I133" s="145">
        <f>VLOOKUP($A133&amp;" CP",'2017 TEST'!$A$13:$R$274,'2017 TEST'!G$9,FALSE)</f>
        <v>4025.1455470028263</v>
      </c>
      <c r="J133" s="145">
        <f>VLOOKUP($A133&amp;" CP",'2017 TEST'!$A$13:$R$274,'2017 TEST'!H$9,FALSE)</f>
        <v>3986.4576620040561</v>
      </c>
      <c r="K133" s="145">
        <f>VLOOKUP($A133&amp;" CP",'2017 TEST'!$A$13:$R$274,'2017 TEST'!I$9,FALSE)</f>
        <v>3912.3106958443718</v>
      </c>
      <c r="L133" s="145">
        <f>VLOOKUP($A133&amp;" CP",'2017 TEST'!$A$13:$R$274,'2017 TEST'!J$9,FALSE)</f>
        <v>4039.3490313857428</v>
      </c>
      <c r="M133" s="145">
        <f>VLOOKUP($A133&amp;" CP",'2017 TEST'!$A$13:$R$274,'2017 TEST'!K$9,FALSE)</f>
        <v>3845.8361742166671</v>
      </c>
      <c r="N133" s="145">
        <f>VLOOKUP($A133&amp;" CP",'2017 TEST'!$A$13:$R$274,'2017 TEST'!L$9,FALSE)</f>
        <v>3766.9366092699011</v>
      </c>
      <c r="O133" s="145">
        <f>VLOOKUP($A133&amp;" CP",'2017 TEST'!$A$13:$R$274,'2017 TEST'!M$9,FALSE)</f>
        <v>3752.0930057116352</v>
      </c>
      <c r="P133" s="145">
        <f>VLOOKUP($A133&amp;" CP",'2017 TEST'!$A$13:$R$274,'2017 TEST'!N$9,FALSE)</f>
        <v>3804.8424594890562</v>
      </c>
      <c r="Q133" s="240"/>
      <c r="R133" s="240"/>
      <c r="T133" s="206" t="s">
        <v>148</v>
      </c>
      <c r="U133" s="523">
        <v>3962.0892958964555</v>
      </c>
      <c r="V133" s="523">
        <v>4054.5544948873094</v>
      </c>
      <c r="W133" s="523">
        <v>4081.4902457566295</v>
      </c>
      <c r="X133" s="523">
        <v>4074.4912898589623</v>
      </c>
      <c r="Y133" s="523">
        <v>4025.1852191409102</v>
      </c>
      <c r="Z133" s="523">
        <v>3986.4635613909127</v>
      </c>
      <c r="AA133" s="523">
        <v>3912.3223915126041</v>
      </c>
      <c r="AB133" s="523">
        <v>4039.3384864110903</v>
      </c>
      <c r="AC133" s="523">
        <v>3845.8305288458023</v>
      </c>
      <c r="AD133" s="523">
        <v>3766.9355649694489</v>
      </c>
      <c r="AE133" s="523">
        <v>3752.0977585671535</v>
      </c>
      <c r="AF133" s="523">
        <v>3804.8395797629087</v>
      </c>
      <c r="AG133"/>
      <c r="AH133" s="526">
        <f t="shared" ref="AH133:AH139" si="156">U133-E133</f>
        <v>6.903050597429683E-3</v>
      </c>
      <c r="AI133" s="526">
        <f t="shared" si="145"/>
        <v>1.5175156586337835E-2</v>
      </c>
      <c r="AJ133" s="526">
        <f t="shared" si="146"/>
        <v>-9.5757320327720663E-3</v>
      </c>
      <c r="AK133" s="526">
        <f t="shared" si="147"/>
        <v>-4.0654341864410526E-2</v>
      </c>
      <c r="AL133" s="526">
        <f t="shared" si="148"/>
        <v>3.9672138083915343E-2</v>
      </c>
      <c r="AM133" s="526">
        <f t="shared" si="149"/>
        <v>5.8993868565266894E-3</v>
      </c>
      <c r="AN133" s="526">
        <f t="shared" si="150"/>
        <v>1.1695668232277967E-2</v>
      </c>
      <c r="AO133" s="526">
        <f t="shared" si="151"/>
        <v>-1.0544974652475503E-2</v>
      </c>
      <c r="AP133" s="526">
        <f t="shared" si="152"/>
        <v>-5.6453708648405154E-3</v>
      </c>
      <c r="AQ133" s="526">
        <f t="shared" si="153"/>
        <v>-1.0443004521221155E-3</v>
      </c>
      <c r="AR133" s="526">
        <f t="shared" si="154"/>
        <v>4.7528555182907439E-3</v>
      </c>
      <c r="AS133" s="526">
        <f t="shared" si="155"/>
        <v>-2.879726147511974E-3</v>
      </c>
    </row>
    <row r="134" spans="1:45" s="518" customFormat="1">
      <c r="A134" t="s">
        <v>55</v>
      </c>
      <c r="B134" t="s">
        <v>38</v>
      </c>
      <c r="C134" s="240" t="s">
        <v>147</v>
      </c>
      <c r="D134" s="240"/>
      <c r="E134" s="145">
        <f>VLOOKUP($A134&amp;" GNCP",'2017 TEST'!$A$13:$R$274,'2017 TEST'!C$9,FALSE)</f>
        <v>3962.0823928458581</v>
      </c>
      <c r="F134" s="145">
        <f>VLOOKUP($A134&amp;" GNCP",'2017 TEST'!$A$13:$R$274,'2017 TEST'!D$9,FALSE)</f>
        <v>4054.539319730723</v>
      </c>
      <c r="G134" s="145">
        <f>VLOOKUP($A134&amp;" GNCP",'2017 TEST'!$A$13:$R$274,'2017 TEST'!E$9,FALSE)</f>
        <v>4081.4998214886623</v>
      </c>
      <c r="H134" s="145">
        <f>VLOOKUP($A134&amp;" GNCP",'2017 TEST'!$A$13:$R$274,'2017 TEST'!F$9,FALSE)</f>
        <v>4074.5319442008267</v>
      </c>
      <c r="I134" s="145">
        <f>VLOOKUP($A134&amp;" GNCP",'2017 TEST'!$A$13:$R$274,'2017 TEST'!G$9,FALSE)</f>
        <v>4025.1455470028263</v>
      </c>
      <c r="J134" s="145">
        <f>VLOOKUP($A134&amp;" GNCP",'2017 TEST'!$A$13:$R$274,'2017 TEST'!H$9,FALSE)</f>
        <v>3986.4576620040561</v>
      </c>
      <c r="K134" s="145">
        <f>VLOOKUP($A134&amp;" GNCP",'2017 TEST'!$A$13:$R$274,'2017 TEST'!I$9,FALSE)</f>
        <v>3912.3106958443718</v>
      </c>
      <c r="L134" s="145">
        <f>VLOOKUP($A134&amp;" GNCP",'2017 TEST'!$A$13:$R$274,'2017 TEST'!J$9,FALSE)</f>
        <v>4039.3490313857428</v>
      </c>
      <c r="M134" s="145">
        <f>VLOOKUP($A134&amp;" GNCP",'2017 TEST'!$A$13:$R$274,'2017 TEST'!K$9,FALSE)</f>
        <v>3845.8361742166671</v>
      </c>
      <c r="N134" s="145">
        <f>VLOOKUP($A134&amp;" GNCP",'2017 TEST'!$A$13:$R$274,'2017 TEST'!L$9,FALSE)</f>
        <v>3766.9366092699011</v>
      </c>
      <c r="O134" s="145">
        <f>VLOOKUP($A134&amp;" GNCP",'2017 TEST'!$A$13:$R$274,'2017 TEST'!M$9,FALSE)</f>
        <v>3831.5468700131928</v>
      </c>
      <c r="P134" s="145">
        <f>VLOOKUP($A134&amp;" GNCP",'2017 TEST'!$A$13:$R$274,'2017 TEST'!N$9,FALSE)</f>
        <v>3804.8424594890562</v>
      </c>
      <c r="Q134" s="240"/>
      <c r="R134" s="240"/>
      <c r="T134" s="206" t="s">
        <v>342</v>
      </c>
      <c r="U134" s="523">
        <v>3962.0892958964555</v>
      </c>
      <c r="V134" s="523">
        <v>4054.5544948873094</v>
      </c>
      <c r="W134" s="523">
        <v>4081.4902457566295</v>
      </c>
      <c r="X134" s="523">
        <v>4074.4912898589623</v>
      </c>
      <c r="Y134" s="523">
        <v>4025.1852191409102</v>
      </c>
      <c r="Z134" s="523">
        <v>3986.4635613909127</v>
      </c>
      <c r="AA134" s="523">
        <v>3912.3223915126041</v>
      </c>
      <c r="AB134" s="523">
        <v>4039.3384864110903</v>
      </c>
      <c r="AC134" s="523">
        <v>3845.8305288458023</v>
      </c>
      <c r="AD134" s="523">
        <v>3766.9355649694489</v>
      </c>
      <c r="AE134" s="523">
        <v>3831.5468700131928</v>
      </c>
      <c r="AF134" s="523">
        <v>3804.8395797629087</v>
      </c>
      <c r="AG134"/>
      <c r="AH134" s="526">
        <f t="shared" si="156"/>
        <v>6.903050597429683E-3</v>
      </c>
      <c r="AI134" s="526">
        <f t="shared" si="145"/>
        <v>1.5175156586337835E-2</v>
      </c>
      <c r="AJ134" s="526">
        <f t="shared" si="146"/>
        <v>-9.5757320327720663E-3</v>
      </c>
      <c r="AK134" s="526">
        <f t="shared" si="147"/>
        <v>-4.0654341864410526E-2</v>
      </c>
      <c r="AL134" s="526">
        <f t="shared" si="148"/>
        <v>3.9672138083915343E-2</v>
      </c>
      <c r="AM134" s="526">
        <f t="shared" si="149"/>
        <v>5.8993868565266894E-3</v>
      </c>
      <c r="AN134" s="526">
        <f t="shared" si="150"/>
        <v>1.1695668232277967E-2</v>
      </c>
      <c r="AO134" s="526">
        <f t="shared" si="151"/>
        <v>-1.0544974652475503E-2</v>
      </c>
      <c r="AP134" s="526">
        <f t="shared" si="152"/>
        <v>-5.6453708648405154E-3</v>
      </c>
      <c r="AQ134" s="526">
        <f t="shared" si="153"/>
        <v>-1.0443004521221155E-3</v>
      </c>
      <c r="AR134" s="526">
        <f t="shared" si="154"/>
        <v>0</v>
      </c>
      <c r="AS134" s="526">
        <f t="shared" si="155"/>
        <v>-2.879726147511974E-3</v>
      </c>
    </row>
    <row r="135" spans="1:45" s="518" customFormat="1">
      <c r="A135" t="s">
        <v>55</v>
      </c>
      <c r="B135" t="s">
        <v>38</v>
      </c>
      <c r="C135" s="240" t="s">
        <v>133</v>
      </c>
      <c r="D135" s="240"/>
      <c r="E135" s="145">
        <f>VLOOKUP($A135&amp;" NCP",'2017 TEST'!$A$13:$R$274,'2017 TEST'!C$9,FALSE)</f>
        <v>3962.0823928458581</v>
      </c>
      <c r="F135" s="145">
        <f>VLOOKUP($A135&amp;" NCP",'2017 TEST'!$A$13:$R$274,'2017 TEST'!D$9,FALSE)</f>
        <v>4054.539319730723</v>
      </c>
      <c r="G135" s="145">
        <f>VLOOKUP($A135&amp;" NCP",'2017 TEST'!$A$13:$R$274,'2017 TEST'!E$9,FALSE)</f>
        <v>4081.4998214886623</v>
      </c>
      <c r="H135" s="145">
        <f>VLOOKUP($A135&amp;" NCP",'2017 TEST'!$A$13:$R$274,'2017 TEST'!F$9,FALSE)</f>
        <v>4074.5319442008267</v>
      </c>
      <c r="I135" s="145">
        <f>VLOOKUP($A135&amp;" NCP",'2017 TEST'!$A$13:$R$274,'2017 TEST'!G$9,FALSE)</f>
        <v>4025.1455470028263</v>
      </c>
      <c r="J135" s="145">
        <f>VLOOKUP($A135&amp;" NCP",'2017 TEST'!$A$13:$R$274,'2017 TEST'!H$9,FALSE)</f>
        <v>3986.4576620040561</v>
      </c>
      <c r="K135" s="145">
        <f>VLOOKUP($A135&amp;" NCP",'2017 TEST'!$A$13:$R$274,'2017 TEST'!I$9,FALSE)</f>
        <v>3912.3106958443718</v>
      </c>
      <c r="L135" s="145">
        <f>VLOOKUP($A135&amp;" NCP",'2017 TEST'!$A$13:$R$274,'2017 TEST'!J$9,FALSE)</f>
        <v>4039.3490313857428</v>
      </c>
      <c r="M135" s="145">
        <f>VLOOKUP($A135&amp;" NCP",'2017 TEST'!$A$13:$R$274,'2017 TEST'!K$9,FALSE)</f>
        <v>3845.8361742166671</v>
      </c>
      <c r="N135" s="145">
        <f>VLOOKUP($A135&amp;" NCP",'2017 TEST'!$A$13:$R$274,'2017 TEST'!L$9,FALSE)</f>
        <v>3766.9366092699011</v>
      </c>
      <c r="O135" s="145">
        <f>VLOOKUP($A135&amp;" NCP",'2017 TEST'!$A$13:$R$274,'2017 TEST'!M$9,FALSE)</f>
        <v>3831.5468700131928</v>
      </c>
      <c r="P135" s="145">
        <f>VLOOKUP($A135&amp;" NCP",'2017 TEST'!$A$13:$R$274,'2017 TEST'!N$9,FALSE)</f>
        <v>3804.8424594890562</v>
      </c>
      <c r="Q135" s="240"/>
      <c r="R135" s="240"/>
      <c r="T135" s="206" t="s">
        <v>133</v>
      </c>
      <c r="U135" s="523">
        <v>3962.0892958964555</v>
      </c>
      <c r="V135" s="523">
        <v>4054.5544948873094</v>
      </c>
      <c r="W135" s="523">
        <v>4081.4902457566295</v>
      </c>
      <c r="X135" s="523">
        <v>4074.4912898589623</v>
      </c>
      <c r="Y135" s="523">
        <v>4025.1852191409102</v>
      </c>
      <c r="Z135" s="523">
        <v>3986.4635613909127</v>
      </c>
      <c r="AA135" s="523">
        <v>3912.3223915126041</v>
      </c>
      <c r="AB135" s="523">
        <v>4039.3384864110903</v>
      </c>
      <c r="AC135" s="523">
        <v>3845.8305288458023</v>
      </c>
      <c r="AD135" s="523">
        <v>3766.9355649694489</v>
      </c>
      <c r="AE135" s="523">
        <v>3831.5468700131928</v>
      </c>
      <c r="AF135" s="523">
        <v>3804.8395797629087</v>
      </c>
      <c r="AG135"/>
      <c r="AH135" s="526">
        <f t="shared" si="156"/>
        <v>6.903050597429683E-3</v>
      </c>
      <c r="AI135" s="526">
        <f t="shared" si="145"/>
        <v>1.5175156586337835E-2</v>
      </c>
      <c r="AJ135" s="526">
        <f t="shared" si="146"/>
        <v>-9.5757320327720663E-3</v>
      </c>
      <c r="AK135" s="526">
        <f t="shared" si="147"/>
        <v>-4.0654341864410526E-2</v>
      </c>
      <c r="AL135" s="526">
        <f t="shared" si="148"/>
        <v>3.9672138083915343E-2</v>
      </c>
      <c r="AM135" s="526">
        <f t="shared" si="149"/>
        <v>5.8993868565266894E-3</v>
      </c>
      <c r="AN135" s="526">
        <f t="shared" si="150"/>
        <v>1.1695668232277967E-2</v>
      </c>
      <c r="AO135" s="526">
        <f t="shared" si="151"/>
        <v>-1.0544974652475503E-2</v>
      </c>
      <c r="AP135" s="526">
        <f t="shared" si="152"/>
        <v>-5.6453708648405154E-3</v>
      </c>
      <c r="AQ135" s="526">
        <f t="shared" si="153"/>
        <v>-1.0443004521221155E-3</v>
      </c>
      <c r="AR135" s="526">
        <f t="shared" si="154"/>
        <v>0</v>
      </c>
      <c r="AS135" s="526">
        <f>AF135-P135</f>
        <v>-2.879726147511974E-3</v>
      </c>
    </row>
    <row r="136" spans="1:45" s="518" customFormat="1">
      <c r="A136" t="s">
        <v>55</v>
      </c>
      <c r="B136" t="s">
        <v>38</v>
      </c>
      <c r="C136" s="240" t="s">
        <v>1197</v>
      </c>
      <c r="D136" s="240"/>
      <c r="E136" s="230">
        <f>VLOOKUP($A136&amp;" CP - L.F.",'2017 TEST'!$A$13:$R$274,'2017 TEST'!C$9,FALSE)</f>
        <v>1.0000758778841261</v>
      </c>
      <c r="F136" s="230">
        <f>VLOOKUP($A136&amp;" CP - L.F.",'2017 TEST'!$A$13:$R$274,'2017 TEST'!D$9,FALSE)</f>
        <v>0.99978379329874034</v>
      </c>
      <c r="G136" s="230">
        <f>VLOOKUP($A136&amp;" CP - L.F.",'2017 TEST'!$A$13:$R$274,'2017 TEST'!E$9,FALSE)</f>
        <v>0.99864752059431272</v>
      </c>
      <c r="H136" s="230">
        <f>VLOOKUP($A136&amp;" CP - L.F.",'2017 TEST'!$A$13:$R$274,'2017 TEST'!F$9,FALSE)</f>
        <v>1.0000240582897992</v>
      </c>
      <c r="I136" s="230">
        <f>VLOOKUP($A136&amp;" CP - L.F.",'2017 TEST'!$A$13:$R$274,'2017 TEST'!G$9,FALSE)</f>
        <v>1.0000360159880335</v>
      </c>
      <c r="J136" s="230">
        <f>VLOOKUP($A136&amp;" CP - L.F.",'2017 TEST'!$A$13:$R$274,'2017 TEST'!H$9,FALSE)</f>
        <v>1.0000971502590674</v>
      </c>
      <c r="K136" s="230">
        <f>VLOOKUP($A136&amp;" CP - L.F.",'2017 TEST'!$A$13:$R$274,'2017 TEST'!I$9,FALSE)</f>
        <v>0.99995011481267726</v>
      </c>
      <c r="L136" s="230">
        <f>VLOOKUP($A136&amp;" CP - L.F.",'2017 TEST'!$A$13:$R$274,'2017 TEST'!J$9,FALSE)</f>
        <v>1.0000409774539751</v>
      </c>
      <c r="M136" s="230">
        <f>VLOOKUP($A136&amp;" CP - L.F.",'2017 TEST'!$A$13:$R$274,'2017 TEST'!K$9,FALSE)</f>
        <v>0.99991407979326186</v>
      </c>
      <c r="N136" s="230">
        <f>VLOOKUP($A136&amp;" CP - L.F.",'2017 TEST'!$A$13:$R$274,'2017 TEST'!L$9,FALSE)</f>
        <v>0.99999923253557976</v>
      </c>
      <c r="O136" s="230">
        <f>VLOOKUP($A136&amp;" CP - L.F.",'2017 TEST'!$A$13:$R$274,'2017 TEST'!M$9,FALSE)</f>
        <v>0.99859327687965105</v>
      </c>
      <c r="P136" s="230">
        <f>VLOOKUP($A136&amp;" CP - L.F.",'2017 TEST'!$A$13:$R$274,'2017 TEST'!N$9,FALSE)</f>
        <v>1.0000017846362197</v>
      </c>
      <c r="Q136" s="240"/>
      <c r="R136" s="240"/>
      <c r="T136" s="206" t="s">
        <v>1197</v>
      </c>
      <c r="U136" s="524">
        <v>0.91574126299267489</v>
      </c>
      <c r="V136" s="524">
        <v>0.992942379531918</v>
      </c>
      <c r="W136" s="524">
        <v>0.89251542730990507</v>
      </c>
      <c r="X136" s="524">
        <v>0.9259015443639258</v>
      </c>
      <c r="Y136" s="524">
        <v>0.90891897021372803</v>
      </c>
      <c r="Z136" s="524">
        <v>0.95106852015904209</v>
      </c>
      <c r="AA136" s="524">
        <v>0.93990181706612452</v>
      </c>
      <c r="AB136" s="524">
        <v>0.91134972035254014</v>
      </c>
      <c r="AC136" s="524">
        <v>0.9906319972245794</v>
      </c>
      <c r="AD136" s="524">
        <v>0.98047953359043072</v>
      </c>
      <c r="AE136" s="524">
        <v>1.0197380747098583</v>
      </c>
      <c r="AF136" s="524">
        <v>0.9746475798601536</v>
      </c>
      <c r="AG136"/>
      <c r="AH136" s="526">
        <f t="shared" si="156"/>
        <v>-8.4334614891451221E-2</v>
      </c>
      <c r="AI136" s="526">
        <f t="shared" si="145"/>
        <v>-6.8414137668223463E-3</v>
      </c>
      <c r="AJ136" s="526">
        <f t="shared" si="146"/>
        <v>-0.10613209328440765</v>
      </c>
      <c r="AK136" s="526">
        <f t="shared" si="147"/>
        <v>-7.4122513925873434E-2</v>
      </c>
      <c r="AL136" s="526">
        <f t="shared" si="148"/>
        <v>-9.1117045774305461E-2</v>
      </c>
      <c r="AM136" s="526">
        <f t="shared" si="149"/>
        <v>-4.9028630100025339E-2</v>
      </c>
      <c r="AN136" s="526">
        <f t="shared" si="150"/>
        <v>-6.0048297746552737E-2</v>
      </c>
      <c r="AO136" s="526">
        <f t="shared" si="151"/>
        <v>-8.8691257101434995E-2</v>
      </c>
      <c r="AP136" s="526">
        <f t="shared" si="152"/>
        <v>-9.2820825686824593E-3</v>
      </c>
      <c r="AQ136" s="526">
        <f t="shared" si="153"/>
        <v>-1.9519698945149044E-2</v>
      </c>
      <c r="AR136" s="526">
        <f t="shared" si="154"/>
        <v>2.1144797830207285E-2</v>
      </c>
      <c r="AS136" s="526">
        <f t="shared" ref="AS136:AS139" si="157">AF136-P136</f>
        <v>-2.5354204776066092E-2</v>
      </c>
    </row>
    <row r="137" spans="1:45" s="518" customFormat="1">
      <c r="A137" t="s">
        <v>55</v>
      </c>
      <c r="B137" t="s">
        <v>38</v>
      </c>
      <c r="C137" s="240" t="s">
        <v>1198</v>
      </c>
      <c r="D137" s="240"/>
      <c r="E137" s="230">
        <f>VLOOKUP($A137&amp;" GCP - L.F.",'2017 TEST'!$A$13:$R$274,'2017 TEST'!C$9,FALSE)</f>
        <v>1.0000758778841261</v>
      </c>
      <c r="F137" s="230">
        <f>VLOOKUP($A137&amp;" GCP - L.F.",'2017 TEST'!$A$13:$R$274,'2017 TEST'!D$9,FALSE)</f>
        <v>0.99978379329874034</v>
      </c>
      <c r="G137" s="230">
        <f>VLOOKUP($A137&amp;" GCP - L.F.",'2017 TEST'!$A$13:$R$274,'2017 TEST'!E$9,FALSE)</f>
        <v>0.99864752059431272</v>
      </c>
      <c r="H137" s="230">
        <f>VLOOKUP($A137&amp;" GCP - L.F.",'2017 TEST'!$A$13:$R$274,'2017 TEST'!F$9,FALSE)</f>
        <v>1.0000240582897992</v>
      </c>
      <c r="I137" s="230">
        <f>VLOOKUP($A137&amp;" GCP - L.F.",'2017 TEST'!$A$13:$R$274,'2017 TEST'!G$9,FALSE)</f>
        <v>1.0000360159880335</v>
      </c>
      <c r="J137" s="230">
        <f>VLOOKUP($A137&amp;" GCP - L.F.",'2017 TEST'!$A$13:$R$274,'2017 TEST'!H$9,FALSE)</f>
        <v>1.0000971502590674</v>
      </c>
      <c r="K137" s="230">
        <f>VLOOKUP($A137&amp;" GCP - L.F.",'2017 TEST'!$A$13:$R$274,'2017 TEST'!I$9,FALSE)</f>
        <v>0.99995011481267726</v>
      </c>
      <c r="L137" s="230">
        <f>VLOOKUP($A137&amp;" GCP - L.F.",'2017 TEST'!$A$13:$R$274,'2017 TEST'!J$9,FALSE)</f>
        <v>1.0000409774539751</v>
      </c>
      <c r="M137" s="230">
        <f>VLOOKUP($A137&amp;" GCP - L.F.",'2017 TEST'!$A$13:$R$274,'2017 TEST'!K$9,FALSE)</f>
        <v>0.99991407979326186</v>
      </c>
      <c r="N137" s="230">
        <f>VLOOKUP($A137&amp;" GCP - L.F.",'2017 TEST'!$A$13:$R$274,'2017 TEST'!L$9,FALSE)</f>
        <v>0.99999923253557976</v>
      </c>
      <c r="O137" s="230">
        <f>VLOOKUP($A137&amp;" GCP - L.F.",'2017 TEST'!$A$13:$R$274,'2017 TEST'!M$9,FALSE)</f>
        <v>0.99859327687965105</v>
      </c>
      <c r="P137" s="230">
        <f>VLOOKUP($A137&amp;" GCP - L.F.",'2017 TEST'!$A$13:$R$274,'2017 TEST'!N$9,FALSE)</f>
        <v>1.0000017846362197</v>
      </c>
      <c r="Q137" s="240"/>
      <c r="R137" s="240"/>
      <c r="T137" s="206" t="s">
        <v>1221</v>
      </c>
      <c r="U137" s="524">
        <v>0.91574126299267489</v>
      </c>
      <c r="V137" s="524">
        <v>0.992942379531918</v>
      </c>
      <c r="W137" s="524">
        <v>0.89251542730990507</v>
      </c>
      <c r="X137" s="524">
        <v>0.9259015443639258</v>
      </c>
      <c r="Y137" s="524">
        <v>0.90891897021372803</v>
      </c>
      <c r="Z137" s="524">
        <v>0.95106852015904209</v>
      </c>
      <c r="AA137" s="524">
        <v>0.93990181706612452</v>
      </c>
      <c r="AB137" s="524">
        <v>0.91134972035254014</v>
      </c>
      <c r="AC137" s="524">
        <v>0.9906319972245794</v>
      </c>
      <c r="AD137" s="524">
        <v>0.98047953359043072</v>
      </c>
      <c r="AE137" s="524">
        <v>0.99859327687965105</v>
      </c>
      <c r="AF137" s="524">
        <v>0.9746475798601536</v>
      </c>
      <c r="AG137"/>
      <c r="AH137" s="526">
        <f t="shared" si="156"/>
        <v>-8.4334614891451221E-2</v>
      </c>
      <c r="AI137" s="526">
        <f t="shared" si="145"/>
        <v>-6.8414137668223463E-3</v>
      </c>
      <c r="AJ137" s="526">
        <f t="shared" si="146"/>
        <v>-0.10613209328440765</v>
      </c>
      <c r="AK137" s="526">
        <f t="shared" si="147"/>
        <v>-7.4122513925873434E-2</v>
      </c>
      <c r="AL137" s="526">
        <f t="shared" si="148"/>
        <v>-9.1117045774305461E-2</v>
      </c>
      <c r="AM137" s="526">
        <f t="shared" si="149"/>
        <v>-4.9028630100025339E-2</v>
      </c>
      <c r="AN137" s="526">
        <f t="shared" si="150"/>
        <v>-6.0048297746552737E-2</v>
      </c>
      <c r="AO137" s="526">
        <f t="shared" si="151"/>
        <v>-8.8691257101434995E-2</v>
      </c>
      <c r="AP137" s="526">
        <f t="shared" si="152"/>
        <v>-9.2820825686824593E-3</v>
      </c>
      <c r="AQ137" s="526">
        <f t="shared" si="153"/>
        <v>-1.9519698945149044E-2</v>
      </c>
      <c r="AR137" s="526">
        <f t="shared" si="154"/>
        <v>0</v>
      </c>
      <c r="AS137" s="526">
        <f t="shared" si="157"/>
        <v>-2.5354204776066092E-2</v>
      </c>
    </row>
    <row r="138" spans="1:45" s="518" customFormat="1">
      <c r="A138" t="s">
        <v>55</v>
      </c>
      <c r="B138" t="s">
        <v>38</v>
      </c>
      <c r="C138" s="240" t="s">
        <v>1199</v>
      </c>
      <c r="D138" s="240"/>
      <c r="E138" s="230">
        <f>VLOOKUP($A138&amp;" NCP - L.F.",'2017 TEST'!$A$13:$R$274,'2017 TEST'!C$9,FALSE)</f>
        <v>1.0000758778841261</v>
      </c>
      <c r="F138" s="230">
        <f>VLOOKUP($A138&amp;" NCP - L.F.",'2017 TEST'!$A$13:$R$274,'2017 TEST'!D$9,FALSE)</f>
        <v>0.99978379329874034</v>
      </c>
      <c r="G138" s="230">
        <f>VLOOKUP($A138&amp;" NCP - L.F.",'2017 TEST'!$A$13:$R$274,'2017 TEST'!E$9,FALSE)</f>
        <v>0.99864752059431272</v>
      </c>
      <c r="H138" s="230">
        <f>VLOOKUP($A138&amp;" NCP - L.F.",'2017 TEST'!$A$13:$R$274,'2017 TEST'!F$9,FALSE)</f>
        <v>1.0000240582897992</v>
      </c>
      <c r="I138" s="230">
        <f>VLOOKUP($A138&amp;" NCP - L.F.",'2017 TEST'!$A$13:$R$274,'2017 TEST'!G$9,FALSE)</f>
        <v>1.0000360159880335</v>
      </c>
      <c r="J138" s="230">
        <f>VLOOKUP($A138&amp;" NCP - L.F.",'2017 TEST'!$A$13:$R$274,'2017 TEST'!H$9,FALSE)</f>
        <v>1.0000971502590674</v>
      </c>
      <c r="K138" s="230">
        <f>VLOOKUP($A138&amp;" NCP - L.F.",'2017 TEST'!$A$13:$R$274,'2017 TEST'!I$9,FALSE)</f>
        <v>0.99995011481267726</v>
      </c>
      <c r="L138" s="230">
        <f>VLOOKUP($A138&amp;" NCP - L.F.",'2017 TEST'!$A$13:$R$274,'2017 TEST'!J$9,FALSE)</f>
        <v>1.0000409774539751</v>
      </c>
      <c r="M138" s="230">
        <f>VLOOKUP($A138&amp;" NCP - L.F.",'2017 TEST'!$A$13:$R$274,'2017 TEST'!K$9,FALSE)</f>
        <v>0.99991407979326186</v>
      </c>
      <c r="N138" s="230">
        <f>VLOOKUP($A138&amp;" NCP - L.F.",'2017 TEST'!$A$13:$R$274,'2017 TEST'!L$9,FALSE)</f>
        <v>0.99999923253557976</v>
      </c>
      <c r="O138" s="230">
        <f>VLOOKUP($A138&amp;" NCP - L.F.",'2017 TEST'!$A$13:$R$274,'2017 TEST'!M$9,FALSE)</f>
        <v>0.99859327687965105</v>
      </c>
      <c r="P138" s="230">
        <f>VLOOKUP($A138&amp;" NCP - L.F.",'2017 TEST'!$A$13:$R$274,'2017 TEST'!N$9,FALSE)</f>
        <v>1.0000017846362197</v>
      </c>
      <c r="Q138" s="240"/>
      <c r="R138" s="240"/>
      <c r="T138" s="206" t="s">
        <v>1199</v>
      </c>
      <c r="U138" s="524">
        <v>0.91574126299267489</v>
      </c>
      <c r="V138" s="524">
        <v>0.992942379531918</v>
      </c>
      <c r="W138" s="524">
        <v>0.89251542730990507</v>
      </c>
      <c r="X138" s="524">
        <v>0.9259015443639258</v>
      </c>
      <c r="Y138" s="524">
        <v>0.90891897021372803</v>
      </c>
      <c r="Z138" s="524">
        <v>0.95106852015904209</v>
      </c>
      <c r="AA138" s="524">
        <v>0.93990181706612452</v>
      </c>
      <c r="AB138" s="524">
        <v>0.91134972035254014</v>
      </c>
      <c r="AC138" s="524">
        <v>0.9906319972245794</v>
      </c>
      <c r="AD138" s="524">
        <v>0.98047953359043072</v>
      </c>
      <c r="AE138" s="524">
        <v>0.99859327687965105</v>
      </c>
      <c r="AF138" s="524">
        <v>0.9746475798601536</v>
      </c>
      <c r="AG138"/>
      <c r="AH138" s="526">
        <f t="shared" si="156"/>
        <v>-8.4334614891451221E-2</v>
      </c>
      <c r="AI138" s="526">
        <f t="shared" si="145"/>
        <v>-6.8414137668223463E-3</v>
      </c>
      <c r="AJ138" s="526">
        <f t="shared" si="146"/>
        <v>-0.10613209328440765</v>
      </c>
      <c r="AK138" s="526">
        <f t="shared" si="147"/>
        <v>-7.4122513925873434E-2</v>
      </c>
      <c r="AL138" s="526">
        <f t="shared" si="148"/>
        <v>-9.1117045774305461E-2</v>
      </c>
      <c r="AM138" s="526">
        <f t="shared" si="149"/>
        <v>-4.9028630100025339E-2</v>
      </c>
      <c r="AN138" s="526">
        <f t="shared" si="150"/>
        <v>-6.0048297746552737E-2</v>
      </c>
      <c r="AO138" s="526">
        <f t="shared" si="151"/>
        <v>-8.8691257101434995E-2</v>
      </c>
      <c r="AP138" s="526">
        <f t="shared" si="152"/>
        <v>-9.2820825686824593E-3</v>
      </c>
      <c r="AQ138" s="526">
        <f t="shared" si="153"/>
        <v>-1.9519698945149044E-2</v>
      </c>
      <c r="AR138" s="526">
        <f t="shared" si="154"/>
        <v>0</v>
      </c>
      <c r="AS138" s="526">
        <f t="shared" si="157"/>
        <v>-2.5354204776066092E-2</v>
      </c>
    </row>
    <row r="139" spans="1:45" s="518" customFormat="1">
      <c r="A139" t="s">
        <v>55</v>
      </c>
      <c r="B139" t="s">
        <v>38</v>
      </c>
      <c r="C139" s="240" t="s">
        <v>1200</v>
      </c>
      <c r="D139" s="240"/>
      <c r="E139" s="145">
        <f>HOURS!$B$19</f>
        <v>744</v>
      </c>
      <c r="F139" s="145">
        <f>HOURS!$C$19</f>
        <v>672</v>
      </c>
      <c r="G139" s="145">
        <f>HOURS!$D$19</f>
        <v>744</v>
      </c>
      <c r="H139" s="145">
        <f>HOURS!$E$19</f>
        <v>720</v>
      </c>
      <c r="I139" s="145">
        <f>HOURS!$F$19</f>
        <v>744</v>
      </c>
      <c r="J139" s="145">
        <f>HOURS!$G$19</f>
        <v>720</v>
      </c>
      <c r="K139" s="145">
        <f>HOURS!$H$19</f>
        <v>744</v>
      </c>
      <c r="L139" s="145">
        <f>HOURS!$I$19</f>
        <v>744</v>
      </c>
      <c r="M139" s="145">
        <f>HOURS!$J$19</f>
        <v>720</v>
      </c>
      <c r="N139" s="145">
        <f>HOURS!$K$19</f>
        <v>744</v>
      </c>
      <c r="O139" s="145">
        <f>HOURS!$L$19</f>
        <v>720</v>
      </c>
      <c r="P139" s="145">
        <f>HOURS!$M$19</f>
        <v>744</v>
      </c>
      <c r="Q139" s="240"/>
      <c r="R139" s="240"/>
      <c r="T139" s="206" t="s">
        <v>1200</v>
      </c>
      <c r="U139" s="523">
        <v>744</v>
      </c>
      <c r="V139" s="523">
        <v>672</v>
      </c>
      <c r="W139" s="523">
        <v>744</v>
      </c>
      <c r="X139" s="523">
        <v>720</v>
      </c>
      <c r="Y139" s="523">
        <v>744</v>
      </c>
      <c r="Z139" s="523">
        <v>720</v>
      </c>
      <c r="AA139" s="523">
        <v>744</v>
      </c>
      <c r="AB139" s="523">
        <v>744</v>
      </c>
      <c r="AC139" s="523">
        <v>720</v>
      </c>
      <c r="AD139" s="523">
        <v>744</v>
      </c>
      <c r="AE139" s="523">
        <v>720</v>
      </c>
      <c r="AF139" s="523">
        <v>744</v>
      </c>
      <c r="AG139"/>
      <c r="AH139" s="526">
        <f t="shared" si="156"/>
        <v>0</v>
      </c>
      <c r="AI139" s="526">
        <f t="shared" si="145"/>
        <v>0</v>
      </c>
      <c r="AJ139" s="526">
        <f t="shared" si="146"/>
        <v>0</v>
      </c>
      <c r="AK139" s="526">
        <f t="shared" si="147"/>
        <v>0</v>
      </c>
      <c r="AL139" s="526">
        <f t="shared" si="148"/>
        <v>0</v>
      </c>
      <c r="AM139" s="526">
        <f t="shared" si="149"/>
        <v>0</v>
      </c>
      <c r="AN139" s="526">
        <f t="shared" si="150"/>
        <v>0</v>
      </c>
      <c r="AO139" s="526">
        <f t="shared" si="151"/>
        <v>0</v>
      </c>
      <c r="AP139" s="526">
        <f t="shared" si="152"/>
        <v>0</v>
      </c>
      <c r="AQ139" s="526">
        <f t="shared" si="153"/>
        <v>0</v>
      </c>
      <c r="AR139" s="526">
        <f t="shared" si="154"/>
        <v>0</v>
      </c>
      <c r="AS139" s="526">
        <f t="shared" si="157"/>
        <v>0</v>
      </c>
    </row>
    <row r="140" spans="1:45">
      <c r="T140"/>
      <c r="U140"/>
      <c r="V140"/>
      <c r="W140"/>
      <c r="X140"/>
      <c r="Y140"/>
      <c r="Z140"/>
      <c r="AA140"/>
      <c r="AB140"/>
      <c r="AC140"/>
      <c r="AD140"/>
      <c r="AE140"/>
      <c r="AF140"/>
      <c r="AG140"/>
      <c r="AH140" s="526"/>
      <c r="AI140" s="526"/>
      <c r="AJ140" s="526"/>
      <c r="AK140" s="526"/>
      <c r="AL140" s="526"/>
      <c r="AM140" s="526"/>
      <c r="AN140" s="526"/>
      <c r="AO140" s="526"/>
      <c r="AP140" s="526"/>
      <c r="AQ140" s="526"/>
      <c r="AR140" s="526"/>
      <c r="AS140" s="526"/>
    </row>
    <row r="141" spans="1:45">
      <c r="A141" t="s">
        <v>87</v>
      </c>
      <c r="B141" t="s">
        <v>40</v>
      </c>
      <c r="C141" t="s">
        <v>1101</v>
      </c>
      <c r="T141" s="522" t="s">
        <v>1236</v>
      </c>
      <c r="U141" s="523"/>
      <c r="V141" s="523"/>
      <c r="W141" s="523"/>
      <c r="X141" s="523"/>
      <c r="Y141" s="523"/>
      <c r="Z141" s="523"/>
      <c r="AA141" s="523"/>
      <c r="AB141" s="523"/>
      <c r="AC141" s="523"/>
      <c r="AD141" s="523"/>
      <c r="AE141" s="523"/>
      <c r="AF141" s="523"/>
      <c r="AG141"/>
      <c r="AH141" s="526"/>
      <c r="AI141" s="526"/>
      <c r="AJ141" s="526"/>
      <c r="AK141" s="526"/>
      <c r="AL141" s="526"/>
      <c r="AM141" s="526"/>
      <c r="AN141" s="526"/>
      <c r="AO141" s="526"/>
      <c r="AP141" s="526"/>
      <c r="AQ141" s="526"/>
      <c r="AR141" s="526"/>
      <c r="AS141" s="526"/>
    </row>
    <row r="142" spans="1:45" ht="15.6">
      <c r="A142" t="s">
        <v>87</v>
      </c>
      <c r="B142" t="s">
        <v>40</v>
      </c>
      <c r="C142" s="251" t="s">
        <v>1201</v>
      </c>
      <c r="D142" s="251"/>
      <c r="E142" s="145">
        <f>VLOOKUP($A142&amp;" KWH Sales",'2017 TEST'!$A$13:$R$274,'2017 TEST'!C$9,FALSE)/1000</f>
        <v>602.85599999999999</v>
      </c>
      <c r="F142" s="145">
        <f>VLOOKUP($A142&amp;" KWH Sales",'2017 TEST'!$A$13:$R$274,'2017 TEST'!D$9,FALSE)/1000</f>
        <v>685.78399999999999</v>
      </c>
      <c r="G142" s="145">
        <f>VLOOKUP($A142&amp;" KWH Sales",'2017 TEST'!$A$13:$R$274,'2017 TEST'!E$9,FALSE)/1000</f>
        <v>666.58500000000004</v>
      </c>
      <c r="H142" s="145">
        <f>VLOOKUP($A142&amp;" KWH Sales",'2017 TEST'!$A$13:$R$274,'2017 TEST'!F$9,FALSE)/1000</f>
        <v>1230.6990000000001</v>
      </c>
      <c r="I142" s="145">
        <f>VLOOKUP($A142&amp;" KWH Sales",'2017 TEST'!$A$13:$R$274,'2017 TEST'!G$9,FALSE)/1000</f>
        <v>1462.0830000000001</v>
      </c>
      <c r="J142" s="145">
        <f>VLOOKUP($A142&amp;" KWH Sales",'2017 TEST'!$A$13:$R$274,'2017 TEST'!H$9,FALSE)/1000</f>
        <v>1187.857</v>
      </c>
      <c r="K142" s="145">
        <f>VLOOKUP($A142&amp;" KWH Sales",'2017 TEST'!$A$13:$R$274,'2017 TEST'!I$9,FALSE)/1000</f>
        <v>1087.713</v>
      </c>
      <c r="L142" s="145">
        <f>VLOOKUP($A142&amp;" KWH Sales",'2017 TEST'!$A$13:$R$274,'2017 TEST'!J$9,FALSE)/1000</f>
        <v>1181.8030000000001</v>
      </c>
      <c r="M142" s="145">
        <f>VLOOKUP($A142&amp;" KWH Sales",'2017 TEST'!$A$13:$R$274,'2017 TEST'!K$9,FALSE)/1000</f>
        <v>1205.075</v>
      </c>
      <c r="N142" s="145">
        <f>VLOOKUP($A142&amp;" KWH Sales",'2017 TEST'!$A$13:$R$274,'2017 TEST'!L$9,FALSE)/1000</f>
        <v>1239.3119999999999</v>
      </c>
      <c r="O142" s="145">
        <f>VLOOKUP($A142&amp;" KWH Sales",'2017 TEST'!$A$13:$R$274,'2017 TEST'!M$9,FALSE)/1000</f>
        <v>799.61500000000001</v>
      </c>
      <c r="P142" s="145">
        <f>VLOOKUP($A142&amp;" KWH Sales",'2017 TEST'!$A$13:$R$274,'2017 TEST'!N$9,FALSE)/1000</f>
        <v>507.54399999999998</v>
      </c>
      <c r="T142" s="206" t="s">
        <v>1261</v>
      </c>
      <c r="U142" s="523">
        <v>602.85599999999999</v>
      </c>
      <c r="V142" s="523">
        <v>685.78399999999999</v>
      </c>
      <c r="W142" s="523">
        <v>666.58500000000004</v>
      </c>
      <c r="X142" s="523">
        <v>1230.6990000000001</v>
      </c>
      <c r="Y142" s="523">
        <v>1462.0830000000001</v>
      </c>
      <c r="Z142" s="523">
        <v>1187.857</v>
      </c>
      <c r="AA142" s="523">
        <v>1087.713</v>
      </c>
      <c r="AB142" s="523">
        <v>1181.8030000000001</v>
      </c>
      <c r="AC142" s="523">
        <v>1205.075</v>
      </c>
      <c r="AD142" s="523">
        <v>1239.3119999999999</v>
      </c>
      <c r="AE142" s="523">
        <v>799.61500000000001</v>
      </c>
      <c r="AF142" s="523">
        <v>507.54399999999998</v>
      </c>
      <c r="AG142"/>
      <c r="AH142" s="526">
        <f>U142-E142</f>
        <v>0</v>
      </c>
      <c r="AI142" s="526">
        <f t="shared" ref="AI142:AI149" si="158">V142-F142</f>
        <v>0</v>
      </c>
      <c r="AJ142" s="526">
        <f t="shared" ref="AJ142:AJ149" si="159">W142-G142</f>
        <v>0</v>
      </c>
      <c r="AK142" s="526">
        <f t="shared" ref="AK142:AK149" si="160">X142-H142</f>
        <v>0</v>
      </c>
      <c r="AL142" s="526">
        <f t="shared" ref="AL142:AL149" si="161">Y142-I142</f>
        <v>0</v>
      </c>
      <c r="AM142" s="526">
        <f t="shared" ref="AM142:AM149" si="162">Z142-J142</f>
        <v>0</v>
      </c>
      <c r="AN142" s="526">
        <f t="shared" ref="AN142:AN149" si="163">AA142-K142</f>
        <v>0</v>
      </c>
      <c r="AO142" s="526">
        <f t="shared" ref="AO142:AO149" si="164">AB142-L142</f>
        <v>0</v>
      </c>
      <c r="AP142" s="526">
        <f t="shared" ref="AP142:AP149" si="165">AC142-M142</f>
        <v>0</v>
      </c>
      <c r="AQ142" s="526">
        <f t="shared" ref="AQ142:AQ149" si="166">AD142-N142</f>
        <v>0</v>
      </c>
      <c r="AR142" s="526">
        <f t="shared" ref="AR142:AR149" si="167">AE142-O142</f>
        <v>0</v>
      </c>
      <c r="AS142" s="526">
        <f t="shared" ref="AS142:AS144" si="168">AF142-P142</f>
        <v>0</v>
      </c>
    </row>
    <row r="143" spans="1:45" s="518" customFormat="1">
      <c r="A143" t="s">
        <v>87</v>
      </c>
      <c r="B143" t="s">
        <v>40</v>
      </c>
      <c r="C143" s="240" t="s">
        <v>148</v>
      </c>
      <c r="D143" s="240"/>
      <c r="E143" s="145">
        <f>VLOOKUP($A143&amp;" CP",'2017 TEST'!$A$13:$R$274,'2017 TEST'!C$9,FALSE)</f>
        <v>1075.9812695726557</v>
      </c>
      <c r="F143" s="145">
        <f>VLOOKUP($A143&amp;" CP",'2017 TEST'!$A$13:$R$274,'2017 TEST'!D$9,FALSE)</f>
        <v>1499.8973860562123</v>
      </c>
      <c r="G143" s="145">
        <f>VLOOKUP($A143&amp;" CP",'2017 TEST'!$A$13:$R$274,'2017 TEST'!E$9,FALSE)</f>
        <v>1167.3707862224389</v>
      </c>
      <c r="H143" s="145">
        <f>VLOOKUP($A143&amp;" CP",'2017 TEST'!$A$13:$R$274,'2017 TEST'!F$9,FALSE)</f>
        <v>2151.2499749676181</v>
      </c>
      <c r="I143" s="145">
        <f>VLOOKUP($A143&amp;" CP",'2017 TEST'!$A$13:$R$274,'2017 TEST'!G$9,FALSE)</f>
        <v>1889.3118054345764</v>
      </c>
      <c r="J143" s="145">
        <f>VLOOKUP($A143&amp;" CP",'2017 TEST'!$A$13:$R$274,'2017 TEST'!H$9,FALSE)</f>
        <v>2225.6050705951811</v>
      </c>
      <c r="K143" s="145">
        <f>VLOOKUP($A143&amp;" CP",'2017 TEST'!$A$13:$R$274,'2017 TEST'!I$9,FALSE)</f>
        <v>2122.5027104877245</v>
      </c>
      <c r="L143" s="145">
        <f>VLOOKUP($A143&amp;" CP",'2017 TEST'!$A$13:$R$274,'2017 TEST'!J$9,FALSE)</f>
        <v>1706.8247332163101</v>
      </c>
      <c r="M143" s="145">
        <f>VLOOKUP($A143&amp;" CP",'2017 TEST'!$A$13:$R$274,'2017 TEST'!K$9,FALSE)</f>
        <v>1233.7726965818874</v>
      </c>
      <c r="N143" s="145">
        <f>VLOOKUP($A143&amp;" CP",'2017 TEST'!$A$13:$R$274,'2017 TEST'!L$9,FALSE)</f>
        <v>2597.3490188439355</v>
      </c>
      <c r="O143" s="145">
        <f>VLOOKUP($A143&amp;" CP",'2017 TEST'!$A$13:$R$274,'2017 TEST'!M$9,FALSE)</f>
        <v>2591.3923655165499</v>
      </c>
      <c r="P143" s="145">
        <f>VLOOKUP($A143&amp;" CP",'2017 TEST'!$A$13:$R$274,'2017 TEST'!N$9,FALSE)</f>
        <v>562.83343419499784</v>
      </c>
      <c r="Q143" s="240"/>
      <c r="R143" s="240"/>
      <c r="T143" s="206" t="s">
        <v>148</v>
      </c>
      <c r="U143" s="523">
        <v>1075.9831442313546</v>
      </c>
      <c r="V143" s="523">
        <v>1499.9029998077042</v>
      </c>
      <c r="W143" s="523">
        <v>1167.3680474177011</v>
      </c>
      <c r="X143" s="523">
        <v>2151.2285105012288</v>
      </c>
      <c r="Y143" s="523">
        <v>1889.3304266338209</v>
      </c>
      <c r="Z143" s="523">
        <v>2225.6083641717528</v>
      </c>
      <c r="AA143" s="523">
        <v>2122.5090556090308</v>
      </c>
      <c r="AB143" s="523">
        <v>1706.8202774426882</v>
      </c>
      <c r="AC143" s="523">
        <v>1233.770885504912</v>
      </c>
      <c r="AD143" s="523">
        <v>2597.3482987854363</v>
      </c>
      <c r="AE143" s="523">
        <v>2591.3956480874435</v>
      </c>
      <c r="AF143" s="523">
        <v>562.83300820990792</v>
      </c>
      <c r="AG143"/>
      <c r="AH143" s="526">
        <f t="shared" ref="AH143:AH149" si="169">U143-E143</f>
        <v>1.874658698852727E-3</v>
      </c>
      <c r="AI143" s="526">
        <f t="shared" si="158"/>
        <v>5.6137514918646048E-3</v>
      </c>
      <c r="AJ143" s="526">
        <f t="shared" si="159"/>
        <v>-2.7388047378735791E-3</v>
      </c>
      <c r="AK143" s="526">
        <f t="shared" si="160"/>
        <v>-2.1464466389261361E-2</v>
      </c>
      <c r="AL143" s="526">
        <f t="shared" si="161"/>
        <v>1.8621199244535092E-2</v>
      </c>
      <c r="AM143" s="526">
        <f t="shared" si="162"/>
        <v>3.2935765716501919E-3</v>
      </c>
      <c r="AN143" s="526">
        <f t="shared" si="163"/>
        <v>6.3451213063672185E-3</v>
      </c>
      <c r="AO143" s="526">
        <f t="shared" si="164"/>
        <v>-4.4557736218848731E-3</v>
      </c>
      <c r="AP143" s="526">
        <f t="shared" si="165"/>
        <v>-1.8110769754002831E-3</v>
      </c>
      <c r="AQ143" s="526">
        <f t="shared" si="166"/>
        <v>-7.2005849915512954E-4</v>
      </c>
      <c r="AR143" s="526">
        <f t="shared" si="167"/>
        <v>3.2825708935888542E-3</v>
      </c>
      <c r="AS143" s="526">
        <f t="shared" si="168"/>
        <v>-4.2598508991886774E-4</v>
      </c>
    </row>
    <row r="144" spans="1:45" s="518" customFormat="1">
      <c r="A144" t="s">
        <v>87</v>
      </c>
      <c r="B144" t="s">
        <v>40</v>
      </c>
      <c r="C144" s="240" t="s">
        <v>147</v>
      </c>
      <c r="D144" s="240"/>
      <c r="E144" s="145">
        <f>VLOOKUP($A144&amp;" GNCP",'2017 TEST'!$A$13:$R$274,'2017 TEST'!C$9,FALSE)</f>
        <v>2094.8997814579911</v>
      </c>
      <c r="F144" s="145">
        <f>VLOOKUP($A144&amp;" GNCP",'2017 TEST'!$A$13:$R$274,'2017 TEST'!D$9,FALSE)</f>
        <v>3688.2855722195604</v>
      </c>
      <c r="G144" s="145">
        <f>VLOOKUP($A144&amp;" GNCP",'2017 TEST'!$A$13:$R$274,'2017 TEST'!E$9,FALSE)</f>
        <v>1559.5730910102195</v>
      </c>
      <c r="H144" s="145">
        <f>VLOOKUP($A144&amp;" GNCP",'2017 TEST'!$A$13:$R$274,'2017 TEST'!F$9,FALSE)</f>
        <v>3752.7793593986644</v>
      </c>
      <c r="I144" s="145">
        <f>VLOOKUP($A144&amp;" GNCP",'2017 TEST'!$A$13:$R$274,'2017 TEST'!G$9,FALSE)</f>
        <v>3780.5827207051971</v>
      </c>
      <c r="J144" s="145">
        <f>VLOOKUP($A144&amp;" GNCP",'2017 TEST'!$A$13:$R$274,'2017 TEST'!H$9,FALSE)</f>
        <v>3297.8128041258401</v>
      </c>
      <c r="K144" s="145">
        <f>VLOOKUP($A144&amp;" GNCP",'2017 TEST'!$A$13:$R$274,'2017 TEST'!I$9,FALSE)</f>
        <v>3153.7324038724787</v>
      </c>
      <c r="L144" s="145">
        <f>VLOOKUP($A144&amp;" GNCP",'2017 TEST'!$A$13:$R$274,'2017 TEST'!J$9,FALSE)</f>
        <v>3347.9186106707907</v>
      </c>
      <c r="M144" s="145">
        <f>VLOOKUP($A144&amp;" GNCP",'2017 TEST'!$A$13:$R$274,'2017 TEST'!K$9,FALSE)</f>
        <v>3632.0019128777417</v>
      </c>
      <c r="N144" s="145">
        <f>VLOOKUP($A144&amp;" GNCP",'2017 TEST'!$A$13:$R$274,'2017 TEST'!L$9,FALSE)</f>
        <v>5011.848283997344</v>
      </c>
      <c r="O144" s="145">
        <f>VLOOKUP($A144&amp;" GNCP",'2017 TEST'!$A$13:$R$274,'2017 TEST'!M$9,FALSE)</f>
        <v>8201.2538466420647</v>
      </c>
      <c r="P144" s="145">
        <f>VLOOKUP($A144&amp;" GNCP",'2017 TEST'!$A$13:$R$274,'2017 TEST'!N$9,FALSE)</f>
        <v>2237.9847529906788</v>
      </c>
      <c r="Q144" s="240"/>
      <c r="R144" s="240"/>
      <c r="T144" s="206" t="s">
        <v>342</v>
      </c>
      <c r="U144" s="523">
        <v>2094.8997814579911</v>
      </c>
      <c r="V144" s="523">
        <v>3688.2855722195604</v>
      </c>
      <c r="W144" s="523">
        <v>1559.5730910102195</v>
      </c>
      <c r="X144" s="523">
        <v>3752.7793593986644</v>
      </c>
      <c r="Y144" s="523">
        <v>3780.5827207051971</v>
      </c>
      <c r="Z144" s="523">
        <v>3297.8128041258401</v>
      </c>
      <c r="AA144" s="523">
        <v>3153.7324038724787</v>
      </c>
      <c r="AB144" s="523">
        <v>3347.9186106707907</v>
      </c>
      <c r="AC144" s="523">
        <v>3632.0019128777417</v>
      </c>
      <c r="AD144" s="523">
        <v>5011.848283997344</v>
      </c>
      <c r="AE144" s="523">
        <v>8201.2538466420647</v>
      </c>
      <c r="AF144" s="523">
        <v>2237.9847529906788</v>
      </c>
      <c r="AG144"/>
      <c r="AH144" s="526">
        <f t="shared" si="169"/>
        <v>0</v>
      </c>
      <c r="AI144" s="526">
        <f t="shared" si="158"/>
        <v>0</v>
      </c>
      <c r="AJ144" s="526">
        <f t="shared" si="159"/>
        <v>0</v>
      </c>
      <c r="AK144" s="526">
        <f t="shared" si="160"/>
        <v>0</v>
      </c>
      <c r="AL144" s="526">
        <f t="shared" si="161"/>
        <v>0</v>
      </c>
      <c r="AM144" s="526">
        <f t="shared" si="162"/>
        <v>0</v>
      </c>
      <c r="AN144" s="526">
        <f t="shared" si="163"/>
        <v>0</v>
      </c>
      <c r="AO144" s="526">
        <f t="shared" si="164"/>
        <v>0</v>
      </c>
      <c r="AP144" s="526">
        <f t="shared" si="165"/>
        <v>0</v>
      </c>
      <c r="AQ144" s="526">
        <f t="shared" si="166"/>
        <v>0</v>
      </c>
      <c r="AR144" s="526">
        <f t="shared" si="167"/>
        <v>0</v>
      </c>
      <c r="AS144" s="526">
        <f t="shared" si="168"/>
        <v>0</v>
      </c>
    </row>
    <row r="145" spans="1:45" s="518" customFormat="1">
      <c r="A145" t="s">
        <v>87</v>
      </c>
      <c r="B145" t="s">
        <v>40</v>
      </c>
      <c r="C145" s="240" t="s">
        <v>133</v>
      </c>
      <c r="D145" s="240"/>
      <c r="E145" s="145">
        <f>VLOOKUP($A145&amp;" NCP",'2017 TEST'!$A$13:$R$274,'2017 TEST'!C$9,FALSE)</f>
        <v>2593.5189042567204</v>
      </c>
      <c r="F145" s="145">
        <f>VLOOKUP($A145&amp;" NCP",'2017 TEST'!$A$13:$R$274,'2017 TEST'!D$9,FALSE)</f>
        <v>4194.7799959621143</v>
      </c>
      <c r="G145" s="145">
        <f>VLOOKUP($A145&amp;" NCP",'2017 TEST'!$A$13:$R$274,'2017 TEST'!E$9,FALSE)</f>
        <v>2074.4309236034824</v>
      </c>
      <c r="H145" s="145">
        <f>VLOOKUP($A145&amp;" NCP",'2017 TEST'!$A$13:$R$274,'2017 TEST'!F$9,FALSE)</f>
        <v>4502.7040479529442</v>
      </c>
      <c r="I145" s="145">
        <f>VLOOKUP($A145&amp;" NCP",'2017 TEST'!$A$13:$R$274,'2017 TEST'!G$9,FALSE)</f>
        <v>4384.7171398394057</v>
      </c>
      <c r="J145" s="145">
        <f>VLOOKUP($A145&amp;" NCP",'2017 TEST'!$A$13:$R$274,'2017 TEST'!H$9,FALSE)</f>
        <v>4269.2452020184992</v>
      </c>
      <c r="K145" s="145">
        <f>VLOOKUP($A145&amp;" NCP",'2017 TEST'!$A$13:$R$274,'2017 TEST'!I$9,FALSE)</f>
        <v>3783.8880214331334</v>
      </c>
      <c r="L145" s="145">
        <f>VLOOKUP($A145&amp;" NCP",'2017 TEST'!$A$13:$R$274,'2017 TEST'!J$9,FALSE)</f>
        <v>4125.9206866137783</v>
      </c>
      <c r="M145" s="145">
        <f>VLOOKUP($A145&amp;" NCP",'2017 TEST'!$A$13:$R$274,'2017 TEST'!K$9,FALSE)</f>
        <v>4196.8912214794764</v>
      </c>
      <c r="N145" s="145">
        <f>VLOOKUP($A145&amp;" NCP",'2017 TEST'!$A$13:$R$274,'2017 TEST'!L$9,FALSE)</f>
        <v>7191.7662933466345</v>
      </c>
      <c r="O145" s="145">
        <f>VLOOKUP($A145&amp;" NCP",'2017 TEST'!$A$13:$R$274,'2017 TEST'!M$9,FALSE)</f>
        <v>9915.8901043602818</v>
      </c>
      <c r="P145" s="145">
        <f>VLOOKUP($A145&amp;" NCP",'2017 TEST'!$A$13:$R$274,'2017 TEST'!N$9,FALSE)</f>
        <v>3484.258878399472</v>
      </c>
      <c r="Q145" s="240"/>
      <c r="R145" s="240"/>
      <c r="T145" s="206" t="s">
        <v>133</v>
      </c>
      <c r="U145" s="523">
        <v>2593.5189042567204</v>
      </c>
      <c r="V145" s="523">
        <v>4194.7799959621143</v>
      </c>
      <c r="W145" s="523">
        <v>2074.4309236034824</v>
      </c>
      <c r="X145" s="523">
        <v>4502.7040479529442</v>
      </c>
      <c r="Y145" s="523">
        <v>4384.7171398394057</v>
      </c>
      <c r="Z145" s="523">
        <v>4269.2452020184992</v>
      </c>
      <c r="AA145" s="523">
        <v>3783.8880214331334</v>
      </c>
      <c r="AB145" s="523">
        <v>4125.9206866137783</v>
      </c>
      <c r="AC145" s="523">
        <v>4196.8912214794764</v>
      </c>
      <c r="AD145" s="523">
        <v>7191.7662933466345</v>
      </c>
      <c r="AE145" s="523">
        <v>9915.8901043602818</v>
      </c>
      <c r="AF145" s="523">
        <v>3484.258878399472</v>
      </c>
      <c r="AG145"/>
      <c r="AH145" s="526">
        <f t="shared" si="169"/>
        <v>0</v>
      </c>
      <c r="AI145" s="526">
        <f t="shared" si="158"/>
        <v>0</v>
      </c>
      <c r="AJ145" s="526">
        <f t="shared" si="159"/>
        <v>0</v>
      </c>
      <c r="AK145" s="526">
        <f t="shared" si="160"/>
        <v>0</v>
      </c>
      <c r="AL145" s="526">
        <f t="shared" si="161"/>
        <v>0</v>
      </c>
      <c r="AM145" s="526">
        <f t="shared" si="162"/>
        <v>0</v>
      </c>
      <c r="AN145" s="526">
        <f t="shared" si="163"/>
        <v>0</v>
      </c>
      <c r="AO145" s="526">
        <f t="shared" si="164"/>
        <v>0</v>
      </c>
      <c r="AP145" s="526">
        <f t="shared" si="165"/>
        <v>0</v>
      </c>
      <c r="AQ145" s="526">
        <f t="shared" si="166"/>
        <v>0</v>
      </c>
      <c r="AR145" s="526">
        <f t="shared" si="167"/>
        <v>0</v>
      </c>
      <c r="AS145" s="526">
        <f>AF145-P145</f>
        <v>0</v>
      </c>
    </row>
    <row r="146" spans="1:45" s="518" customFormat="1">
      <c r="A146" t="s">
        <v>87</v>
      </c>
      <c r="B146" t="s">
        <v>40</v>
      </c>
      <c r="C146" s="240" t="s">
        <v>1197</v>
      </c>
      <c r="D146" s="240"/>
      <c r="E146" s="230">
        <f>VLOOKUP($A146&amp;" CP - L.F.",'2017 TEST'!$A$13:$R$274,'2017 TEST'!C$9,FALSE)</f>
        <v>0.82242319897925797</v>
      </c>
      <c r="F146" s="230">
        <f>VLOOKUP($A146&amp;" CP - L.F.",'2017 TEST'!$A$13:$R$274,'2017 TEST'!D$9,FALSE)</f>
        <v>0.68507315061113161</v>
      </c>
      <c r="G146" s="230">
        <f>VLOOKUP($A146&amp;" CP - L.F.",'2017 TEST'!$A$13:$R$274,'2017 TEST'!E$9,FALSE)</f>
        <v>0.85875898810042894</v>
      </c>
      <c r="H146" s="230">
        <f>VLOOKUP($A146&amp;" CP - L.F.",'2017 TEST'!$A$13:$R$274,'2017 TEST'!F$9,FALSE)</f>
        <v>0.85818011267357686</v>
      </c>
      <c r="I146" s="230">
        <f>VLOOKUP($A146&amp;" CP - L.F.",'2017 TEST'!$A$13:$R$274,'2017 TEST'!G$9,FALSE)</f>
        <v>1.1444100070588075</v>
      </c>
      <c r="J146" s="230">
        <f>VLOOKUP($A146&amp;" CP - L.F.",'2017 TEST'!$A$13:$R$274,'2017 TEST'!H$9,FALSE)</f>
        <v>0.77949494446656931</v>
      </c>
      <c r="K146" s="230">
        <f>VLOOKUP($A146&amp;" CP - L.F.",'2017 TEST'!$A$13:$R$274,'2017 TEST'!I$9,FALSE)</f>
        <v>0.73280373995468362</v>
      </c>
      <c r="L146" s="230">
        <f>VLOOKUP($A146&amp;" CP - L.F.",'2017 TEST'!$A$13:$R$274,'2017 TEST'!J$9,FALSE)</f>
        <v>1.0212147761752199</v>
      </c>
      <c r="M146" s="230">
        <f>VLOOKUP($A146&amp;" CP - L.F.",'2017 TEST'!$A$13:$R$274,'2017 TEST'!K$9,FALSE)</f>
        <v>1.3692961752602275</v>
      </c>
      <c r="N146" s="230">
        <f>VLOOKUP($A146&amp;" CP - L.F.",'2017 TEST'!$A$13:$R$274,'2017 TEST'!L$9,FALSE)</f>
        <v>0.65409173557945832</v>
      </c>
      <c r="O146" s="230">
        <f>VLOOKUP($A146&amp;" CP - L.F.",'2017 TEST'!$A$13:$R$274,'2017 TEST'!M$9,FALSE)</f>
        <v>0.41967656012176563</v>
      </c>
      <c r="P146" s="230">
        <f>VLOOKUP($A146&amp;" CP - L.F.",'2017 TEST'!$A$13:$R$274,'2017 TEST'!N$9,FALSE)</f>
        <v>1.2435818343986917</v>
      </c>
      <c r="Q146" s="240"/>
      <c r="R146" s="240"/>
      <c r="T146" s="206" t="s">
        <v>1197</v>
      </c>
      <c r="U146" s="524">
        <v>0.75306971761113295</v>
      </c>
      <c r="V146" s="524">
        <v>0.68038526817583533</v>
      </c>
      <c r="W146" s="524">
        <v>0.76749366459623369</v>
      </c>
      <c r="X146" s="524">
        <v>0.79457117564344892</v>
      </c>
      <c r="Y146" s="524">
        <v>1.0401385035025015</v>
      </c>
      <c r="Z146" s="524">
        <v>0.74128108765571299</v>
      </c>
      <c r="AA146" s="524">
        <v>0.68879792755003266</v>
      </c>
      <c r="AB146" s="524">
        <v>0.93064566519743352</v>
      </c>
      <c r="AC146" s="524">
        <v>1.3565851629679375</v>
      </c>
      <c r="AD146" s="524">
        <v>0.64132405201982334</v>
      </c>
      <c r="AE146" s="524">
        <v>0.42856303695213033</v>
      </c>
      <c r="AF146" s="524">
        <v>1.2120518621830818</v>
      </c>
      <c r="AG146"/>
      <c r="AH146" s="526">
        <f t="shared" si="169"/>
        <v>-6.9353481368125025E-2</v>
      </c>
      <c r="AI146" s="526">
        <f t="shared" si="158"/>
        <v>-4.6878824352962756E-3</v>
      </c>
      <c r="AJ146" s="526">
        <f t="shared" si="159"/>
        <v>-9.126532350419525E-2</v>
      </c>
      <c r="AK146" s="526">
        <f t="shared" si="160"/>
        <v>-6.3608937030127932E-2</v>
      </c>
      <c r="AL146" s="526">
        <f t="shared" si="161"/>
        <v>-0.10427150355630599</v>
      </c>
      <c r="AM146" s="526">
        <f t="shared" si="162"/>
        <v>-3.8213856810856317E-2</v>
      </c>
      <c r="AN146" s="526">
        <f t="shared" si="163"/>
        <v>-4.4005812404650957E-2</v>
      </c>
      <c r="AO146" s="526">
        <f t="shared" si="164"/>
        <v>-9.0569110977786416E-2</v>
      </c>
      <c r="AP146" s="526">
        <f t="shared" si="165"/>
        <v>-1.2711012292289992E-2</v>
      </c>
      <c r="AQ146" s="526">
        <f t="shared" si="166"/>
        <v>-1.2767683559634979E-2</v>
      </c>
      <c r="AR146" s="526">
        <f t="shared" si="167"/>
        <v>8.8864768303646979E-3</v>
      </c>
      <c r="AS146" s="526">
        <f t="shared" ref="AS146:AS149" si="170">AF146-P146</f>
        <v>-3.1529972215609936E-2</v>
      </c>
    </row>
    <row r="147" spans="1:45" s="518" customFormat="1">
      <c r="A147" t="s">
        <v>87</v>
      </c>
      <c r="B147" t="s">
        <v>40</v>
      </c>
      <c r="C147" s="240" t="s">
        <v>1198</v>
      </c>
      <c r="D147" s="240"/>
      <c r="E147" s="230">
        <f>VLOOKUP($A147&amp;" GCP - L.F.",'2017 TEST'!$A$13:$R$274,'2017 TEST'!C$9,FALSE)</f>
        <v>0.38679192663656015</v>
      </c>
      <c r="F147" s="230">
        <f>VLOOKUP($A147&amp;" GCP - L.F.",'2017 TEST'!$A$13:$R$274,'2017 TEST'!D$9,FALSE)</f>
        <v>0.27669004603344055</v>
      </c>
      <c r="G147" s="230">
        <f>VLOOKUP($A147&amp;" GCP - L.F.",'2017 TEST'!$A$13:$R$274,'2017 TEST'!E$9,FALSE)</f>
        <v>0.57448258488789894</v>
      </c>
      <c r="H147" s="230">
        <f>VLOOKUP($A147&amp;" GCP - L.F.",'2017 TEST'!$A$13:$R$274,'2017 TEST'!F$9,FALSE)</f>
        <v>0.45547686207178484</v>
      </c>
      <c r="I147" s="230">
        <f>VLOOKUP($A147&amp;" GCP - L.F.",'2017 TEST'!$A$13:$R$274,'2017 TEST'!G$9,FALSE)</f>
        <v>0.51980487341752446</v>
      </c>
      <c r="J147" s="230">
        <f>VLOOKUP($A147&amp;" GCP - L.F.",'2017 TEST'!$A$13:$R$274,'2017 TEST'!H$9,FALSE)</f>
        <v>0.5002713880014199</v>
      </c>
      <c r="K147" s="230">
        <f>VLOOKUP($A147&amp;" GCP - L.F.",'2017 TEST'!$A$13:$R$274,'2017 TEST'!I$9,FALSE)</f>
        <v>0.46357130266173102</v>
      </c>
      <c r="L147" s="230">
        <f>VLOOKUP($A147&amp;" GCP - L.F.",'2017 TEST'!$A$13:$R$274,'2017 TEST'!J$9,FALSE)</f>
        <v>0.47445743973891186</v>
      </c>
      <c r="M147" s="230">
        <f>VLOOKUP($A147&amp;" GCP - L.F.",'2017 TEST'!$A$13:$R$274,'2017 TEST'!K$9,FALSE)</f>
        <v>0.4608244483141376</v>
      </c>
      <c r="N147" s="230">
        <f>VLOOKUP($A147&amp;" GCP - L.F.",'2017 TEST'!$A$13:$R$274,'2017 TEST'!L$9,FALSE)</f>
        <v>0.33236080605283419</v>
      </c>
      <c r="O147" s="230">
        <f>VLOOKUP($A147&amp;" GCP - L.F.",'2017 TEST'!$A$13:$R$274,'2017 TEST'!M$9,FALSE)</f>
        <v>0.13541543886531512</v>
      </c>
      <c r="P147" s="230">
        <f>VLOOKUP($A147&amp;" GCP - L.F.",'2017 TEST'!$A$13:$R$274,'2017 TEST'!N$9,FALSE)</f>
        <v>0.3048201265836622</v>
      </c>
      <c r="Q147" s="240"/>
      <c r="R147" s="240"/>
      <c r="T147" s="206" t="s">
        <v>1221</v>
      </c>
      <c r="U147" s="524">
        <v>0.38679192663656009</v>
      </c>
      <c r="V147" s="524">
        <v>0.2766900460334405</v>
      </c>
      <c r="W147" s="524">
        <v>0.57448258488789894</v>
      </c>
      <c r="X147" s="524">
        <v>0.45547686207178489</v>
      </c>
      <c r="Y147" s="524">
        <v>0.51980487341752446</v>
      </c>
      <c r="Z147" s="524">
        <v>0.50027138800142001</v>
      </c>
      <c r="AA147" s="524">
        <v>0.46357130266173102</v>
      </c>
      <c r="AB147" s="524">
        <v>0.47445743973891197</v>
      </c>
      <c r="AC147" s="524">
        <v>0.4608244483141376</v>
      </c>
      <c r="AD147" s="524">
        <v>0.33236080605283408</v>
      </c>
      <c r="AE147" s="524">
        <v>0.1354154388653151</v>
      </c>
      <c r="AF147" s="524">
        <v>0.3048201265836622</v>
      </c>
      <c r="AG147"/>
      <c r="AH147" s="526">
        <f t="shared" si="169"/>
        <v>0</v>
      </c>
      <c r="AI147" s="526">
        <f t="shared" si="158"/>
        <v>0</v>
      </c>
      <c r="AJ147" s="526">
        <f t="shared" si="159"/>
        <v>0</v>
      </c>
      <c r="AK147" s="526">
        <f t="shared" si="160"/>
        <v>0</v>
      </c>
      <c r="AL147" s="526">
        <f t="shared" si="161"/>
        <v>0</v>
      </c>
      <c r="AM147" s="526">
        <f t="shared" si="162"/>
        <v>0</v>
      </c>
      <c r="AN147" s="526">
        <f t="shared" si="163"/>
        <v>0</v>
      </c>
      <c r="AO147" s="526">
        <f t="shared" si="164"/>
        <v>0</v>
      </c>
      <c r="AP147" s="526">
        <f t="shared" si="165"/>
        <v>0</v>
      </c>
      <c r="AQ147" s="526">
        <f t="shared" si="166"/>
        <v>0</v>
      </c>
      <c r="AR147" s="526">
        <f t="shared" si="167"/>
        <v>0</v>
      </c>
      <c r="AS147" s="526">
        <f t="shared" si="170"/>
        <v>0</v>
      </c>
    </row>
    <row r="148" spans="1:45" s="518" customFormat="1">
      <c r="A148" t="s">
        <v>87</v>
      </c>
      <c r="B148" t="s">
        <v>40</v>
      </c>
      <c r="C148" s="240" t="s">
        <v>1199</v>
      </c>
      <c r="D148" s="240"/>
      <c r="E148" s="230">
        <f>VLOOKUP($A148&amp;" NCP - L.F.",'2017 TEST'!$A$13:$R$274,'2017 TEST'!C$9,FALSE)</f>
        <v>0.31242892475189693</v>
      </c>
      <c r="F148" s="230">
        <f>VLOOKUP($A148&amp;" NCP - L.F.",'2017 TEST'!$A$13:$R$274,'2017 TEST'!D$9,FALSE)</f>
        <v>0.24328138918948006</v>
      </c>
      <c r="G148" s="230">
        <f>VLOOKUP($A148&amp;" NCP - L.F.",'2017 TEST'!$A$13:$R$274,'2017 TEST'!E$9,FALSE)</f>
        <v>0.43190041685688707</v>
      </c>
      <c r="H148" s="230">
        <f>VLOOKUP($A148&amp;" NCP - L.F.",'2017 TEST'!$A$13:$R$274,'2017 TEST'!F$9,FALSE)</f>
        <v>0.37961725853240663</v>
      </c>
      <c r="I148" s="230">
        <f>VLOOKUP($A148&amp;" NCP - L.F.",'2017 TEST'!$A$13:$R$274,'2017 TEST'!G$9,FALSE)</f>
        <v>0.4481851987042022</v>
      </c>
      <c r="J148" s="230">
        <f>VLOOKUP($A148&amp;" NCP - L.F.",'2017 TEST'!$A$13:$R$274,'2017 TEST'!H$9,FALSE)</f>
        <v>0.38643865854996162</v>
      </c>
      <c r="K148" s="230">
        <f>VLOOKUP($A148&amp;" NCP - L.F.",'2017 TEST'!$A$13:$R$274,'2017 TEST'!I$9,FALSE)</f>
        <v>0.38636974202951119</v>
      </c>
      <c r="L148" s="230">
        <f>VLOOKUP($A148&amp;" NCP - L.F.",'2017 TEST'!$A$13:$R$274,'2017 TEST'!J$9,FALSE)</f>
        <v>0.38499162081004162</v>
      </c>
      <c r="M148" s="230">
        <f>VLOOKUP($A148&amp;" NCP - L.F.",'2017 TEST'!$A$13:$R$274,'2017 TEST'!K$9,FALSE)</f>
        <v>0.39879882261703326</v>
      </c>
      <c r="N148" s="230">
        <f>VLOOKUP($A148&amp;" NCP - L.F.",'2017 TEST'!$A$13:$R$274,'2017 TEST'!L$9,FALSE)</f>
        <v>0.2316179179828062</v>
      </c>
      <c r="O148" s="230">
        <f>VLOOKUP($A148&amp;" NCP - L.F.",'2017 TEST'!$A$13:$R$274,'2017 TEST'!M$9,FALSE)</f>
        <v>0.11199966691850878</v>
      </c>
      <c r="P148" s="230">
        <f>VLOOKUP($A148&amp;" NCP - L.F.",'2017 TEST'!$A$13:$R$274,'2017 TEST'!N$9,FALSE)</f>
        <v>0.19578992821919478</v>
      </c>
      <c r="Q148" s="240"/>
      <c r="R148" s="240"/>
      <c r="T148" s="206" t="s">
        <v>1199</v>
      </c>
      <c r="U148" s="524">
        <v>0.31242892475189699</v>
      </c>
      <c r="V148" s="524">
        <v>0.24328138918948006</v>
      </c>
      <c r="W148" s="524">
        <v>0.43190041685688707</v>
      </c>
      <c r="X148" s="524">
        <v>0.37961725853240663</v>
      </c>
      <c r="Y148" s="524">
        <v>0.4481851987042022</v>
      </c>
      <c r="Z148" s="524">
        <v>0.38643865854996162</v>
      </c>
      <c r="AA148" s="524">
        <v>0.38636974202951119</v>
      </c>
      <c r="AB148" s="524">
        <v>0.38499162081004168</v>
      </c>
      <c r="AC148" s="524">
        <v>0.39879882261703326</v>
      </c>
      <c r="AD148" s="524">
        <v>0.23161791798280615</v>
      </c>
      <c r="AE148" s="524">
        <v>0.11199966691850879</v>
      </c>
      <c r="AF148" s="524">
        <v>0.19578992821919478</v>
      </c>
      <c r="AG148"/>
      <c r="AH148" s="526">
        <f t="shared" si="169"/>
        <v>0</v>
      </c>
      <c r="AI148" s="526">
        <f t="shared" si="158"/>
        <v>0</v>
      </c>
      <c r="AJ148" s="526">
        <f t="shared" si="159"/>
        <v>0</v>
      </c>
      <c r="AK148" s="526">
        <f t="shared" si="160"/>
        <v>0</v>
      </c>
      <c r="AL148" s="526">
        <f t="shared" si="161"/>
        <v>0</v>
      </c>
      <c r="AM148" s="526">
        <f t="shared" si="162"/>
        <v>0</v>
      </c>
      <c r="AN148" s="526">
        <f t="shared" si="163"/>
        <v>0</v>
      </c>
      <c r="AO148" s="526">
        <f t="shared" si="164"/>
        <v>0</v>
      </c>
      <c r="AP148" s="526">
        <f t="shared" si="165"/>
        <v>0</v>
      </c>
      <c r="AQ148" s="526">
        <f t="shared" si="166"/>
        <v>0</v>
      </c>
      <c r="AR148" s="526">
        <f t="shared" si="167"/>
        <v>0</v>
      </c>
      <c r="AS148" s="526">
        <f t="shared" si="170"/>
        <v>0</v>
      </c>
    </row>
    <row r="149" spans="1:45" s="518" customFormat="1">
      <c r="A149" t="s">
        <v>87</v>
      </c>
      <c r="B149" t="s">
        <v>40</v>
      </c>
      <c r="C149" s="240" t="s">
        <v>1200</v>
      </c>
      <c r="D149" s="240"/>
      <c r="E149" s="145">
        <f>HOURS!$B$19</f>
        <v>744</v>
      </c>
      <c r="F149" s="145">
        <f>HOURS!$C$19</f>
        <v>672</v>
      </c>
      <c r="G149" s="145">
        <f>HOURS!$D$19</f>
        <v>744</v>
      </c>
      <c r="H149" s="145">
        <f>HOURS!$E$19</f>
        <v>720</v>
      </c>
      <c r="I149" s="145">
        <f>HOURS!$F$19</f>
        <v>744</v>
      </c>
      <c r="J149" s="145">
        <f>HOURS!$G$19</f>
        <v>720</v>
      </c>
      <c r="K149" s="145">
        <f>HOURS!$H$19</f>
        <v>744</v>
      </c>
      <c r="L149" s="145">
        <f>HOURS!$I$19</f>
        <v>744</v>
      </c>
      <c r="M149" s="145">
        <f>HOURS!$J$19</f>
        <v>720</v>
      </c>
      <c r="N149" s="145">
        <f>HOURS!$K$19</f>
        <v>744</v>
      </c>
      <c r="O149" s="145">
        <f>HOURS!$L$19</f>
        <v>720</v>
      </c>
      <c r="P149" s="145">
        <f>HOURS!$M$19</f>
        <v>744</v>
      </c>
      <c r="Q149" s="240"/>
      <c r="R149" s="240"/>
      <c r="T149" s="206" t="s">
        <v>1200</v>
      </c>
      <c r="U149" s="523">
        <v>744</v>
      </c>
      <c r="V149" s="523">
        <v>672</v>
      </c>
      <c r="W149" s="523">
        <v>744</v>
      </c>
      <c r="X149" s="523">
        <v>720</v>
      </c>
      <c r="Y149" s="523">
        <v>744</v>
      </c>
      <c r="Z149" s="523">
        <v>720</v>
      </c>
      <c r="AA149" s="523">
        <v>744</v>
      </c>
      <c r="AB149" s="523">
        <v>744</v>
      </c>
      <c r="AC149" s="523">
        <v>720</v>
      </c>
      <c r="AD149" s="523">
        <v>744</v>
      </c>
      <c r="AE149" s="523">
        <v>720</v>
      </c>
      <c r="AF149" s="523">
        <v>744</v>
      </c>
      <c r="AG149"/>
      <c r="AH149" s="526">
        <f t="shared" si="169"/>
        <v>0</v>
      </c>
      <c r="AI149" s="526">
        <f t="shared" si="158"/>
        <v>0</v>
      </c>
      <c r="AJ149" s="526">
        <f t="shared" si="159"/>
        <v>0</v>
      </c>
      <c r="AK149" s="526">
        <f t="shared" si="160"/>
        <v>0</v>
      </c>
      <c r="AL149" s="526">
        <f t="shared" si="161"/>
        <v>0</v>
      </c>
      <c r="AM149" s="526">
        <f t="shared" si="162"/>
        <v>0</v>
      </c>
      <c r="AN149" s="526">
        <f t="shared" si="163"/>
        <v>0</v>
      </c>
      <c r="AO149" s="526">
        <f t="shared" si="164"/>
        <v>0</v>
      </c>
      <c r="AP149" s="526">
        <f t="shared" si="165"/>
        <v>0</v>
      </c>
      <c r="AQ149" s="526">
        <f t="shared" si="166"/>
        <v>0</v>
      </c>
      <c r="AR149" s="526">
        <f t="shared" si="167"/>
        <v>0</v>
      </c>
      <c r="AS149" s="526">
        <f t="shared" si="170"/>
        <v>0</v>
      </c>
    </row>
    <row r="150" spans="1:45">
      <c r="E150" s="241"/>
      <c r="F150" s="241"/>
      <c r="G150" s="241"/>
      <c r="H150" s="241"/>
      <c r="I150" s="241"/>
      <c r="J150" s="241"/>
      <c r="K150" s="241"/>
      <c r="L150" s="241"/>
      <c r="M150" s="241"/>
      <c r="N150" s="241"/>
      <c r="O150" s="241"/>
      <c r="P150" s="241"/>
      <c r="Q150" s="241"/>
      <c r="R150" s="242"/>
      <c r="T150"/>
      <c r="U150"/>
      <c r="V150"/>
      <c r="W150"/>
      <c r="X150"/>
      <c r="Y150"/>
      <c r="Z150"/>
      <c r="AA150"/>
      <c r="AB150"/>
      <c r="AC150"/>
      <c r="AD150"/>
      <c r="AE150"/>
      <c r="AF150"/>
      <c r="AG150"/>
      <c r="AH150" s="526"/>
      <c r="AI150" s="526"/>
      <c r="AJ150" s="526"/>
      <c r="AK150" s="526"/>
      <c r="AL150" s="526"/>
      <c r="AM150" s="526"/>
      <c r="AN150" s="526"/>
      <c r="AO150" s="526"/>
      <c r="AP150" s="526"/>
      <c r="AQ150" s="526"/>
      <c r="AR150" s="526"/>
      <c r="AS150" s="526"/>
    </row>
    <row r="151" spans="1:45">
      <c r="A151" t="s">
        <v>88</v>
      </c>
      <c r="B151" t="s">
        <v>45</v>
      </c>
      <c r="C151" t="s">
        <v>559</v>
      </c>
      <c r="Q151" s="241"/>
      <c r="R151" s="242"/>
      <c r="T151" s="522" t="s">
        <v>1237</v>
      </c>
      <c r="U151" s="523"/>
      <c r="V151" s="523"/>
      <c r="W151" s="523"/>
      <c r="X151" s="523"/>
      <c r="Y151" s="523"/>
      <c r="Z151" s="523"/>
      <c r="AA151" s="523"/>
      <c r="AB151" s="523"/>
      <c r="AC151" s="523"/>
      <c r="AD151" s="523"/>
      <c r="AE151" s="523"/>
      <c r="AF151" s="523"/>
      <c r="AG151"/>
      <c r="AI151" s="526"/>
      <c r="AJ151" s="526"/>
      <c r="AK151" s="526"/>
      <c r="AL151" s="526"/>
      <c r="AM151" s="526"/>
      <c r="AN151" s="526"/>
      <c r="AO151" s="526"/>
      <c r="AP151" s="526"/>
      <c r="AQ151" s="526"/>
      <c r="AR151" s="526"/>
      <c r="AS151" s="526"/>
    </row>
    <row r="152" spans="1:45" ht="15.6">
      <c r="A152" t="s">
        <v>88</v>
      </c>
      <c r="B152" t="s">
        <v>45</v>
      </c>
      <c r="C152" s="251" t="s">
        <v>1201</v>
      </c>
      <c r="D152" s="251"/>
      <c r="E152" s="145">
        <f>VLOOKUP($A152&amp;" KWH Sales",'2017 TEST'!$A$13:$R$274,'2017 TEST'!C$9,FALSE)/1000</f>
        <v>5811.71</v>
      </c>
      <c r="F152" s="145">
        <f>VLOOKUP($A152&amp;" KWH Sales",'2017 TEST'!$A$13:$R$274,'2017 TEST'!D$9,FALSE)/1000</f>
        <v>6787.3440000000001</v>
      </c>
      <c r="G152" s="145">
        <f>VLOOKUP($A152&amp;" KWH Sales",'2017 TEST'!$A$13:$R$274,'2017 TEST'!E$9,FALSE)/1000</f>
        <v>8318.0480000000007</v>
      </c>
      <c r="H152" s="145">
        <f>VLOOKUP($A152&amp;" KWH Sales",'2017 TEST'!$A$13:$R$274,'2017 TEST'!F$9,FALSE)/1000</f>
        <v>7683.8180000000002</v>
      </c>
      <c r="I152" s="145">
        <f>VLOOKUP($A152&amp;" KWH Sales",'2017 TEST'!$A$13:$R$274,'2017 TEST'!G$9,FALSE)/1000</f>
        <v>10687.136</v>
      </c>
      <c r="J152" s="145">
        <f>VLOOKUP($A152&amp;" KWH Sales",'2017 TEST'!$A$13:$R$274,'2017 TEST'!H$9,FALSE)/1000</f>
        <v>7415.9620000000004</v>
      </c>
      <c r="K152" s="145">
        <f>VLOOKUP($A152&amp;" KWH Sales",'2017 TEST'!$A$13:$R$274,'2017 TEST'!I$9,FALSE)/1000</f>
        <v>7202.482</v>
      </c>
      <c r="L152" s="145">
        <f>VLOOKUP($A152&amp;" KWH Sales",'2017 TEST'!$A$13:$R$274,'2017 TEST'!J$9,FALSE)/1000</f>
        <v>6421.3779999999997</v>
      </c>
      <c r="M152" s="145">
        <f>VLOOKUP($A152&amp;" KWH Sales",'2017 TEST'!$A$13:$R$274,'2017 TEST'!K$9,FALSE)/1000</f>
        <v>4740.82</v>
      </c>
      <c r="N152" s="145">
        <f>VLOOKUP($A152&amp;" KWH Sales",'2017 TEST'!$A$13:$R$274,'2017 TEST'!L$9,FALSE)/1000</f>
        <v>9837.7819999999992</v>
      </c>
      <c r="O152" s="145">
        <f>VLOOKUP($A152&amp;" KWH Sales",'2017 TEST'!$A$13:$R$274,'2017 TEST'!M$9,FALSE)/1000</f>
        <v>9758.5040000000008</v>
      </c>
      <c r="P152" s="145">
        <f>VLOOKUP($A152&amp;" KWH Sales",'2017 TEST'!$A$13:$R$274,'2017 TEST'!N$9,FALSE)/1000</f>
        <v>5002.7700000000004</v>
      </c>
      <c r="Q152" s="241"/>
      <c r="R152" s="242"/>
      <c r="T152" s="206" t="s">
        <v>1261</v>
      </c>
      <c r="U152" s="523">
        <v>5811.71</v>
      </c>
      <c r="V152" s="523">
        <v>6787.3440000000001</v>
      </c>
      <c r="W152" s="523">
        <v>8318.0480000000007</v>
      </c>
      <c r="X152" s="523">
        <v>7683.8180000000002</v>
      </c>
      <c r="Y152" s="523">
        <v>10687.136</v>
      </c>
      <c r="Z152" s="523">
        <v>7415.9620000000004</v>
      </c>
      <c r="AA152" s="523">
        <v>7202.482</v>
      </c>
      <c r="AB152" s="523">
        <v>6421.3779999999997</v>
      </c>
      <c r="AC152" s="523">
        <v>4740.82</v>
      </c>
      <c r="AD152" s="523">
        <v>9837.7819999999992</v>
      </c>
      <c r="AE152" s="523">
        <v>9758.5040000000008</v>
      </c>
      <c r="AF152" s="523">
        <v>5002.7700000000004</v>
      </c>
      <c r="AG152"/>
      <c r="AH152" s="526">
        <f>U152-E152</f>
        <v>0</v>
      </c>
      <c r="AI152" s="526">
        <f t="shared" ref="AI152:AI159" si="171">V152-F152</f>
        <v>0</v>
      </c>
      <c r="AJ152" s="526">
        <f t="shared" ref="AJ152:AJ159" si="172">W152-G152</f>
        <v>0</v>
      </c>
      <c r="AK152" s="526">
        <f t="shared" ref="AK152:AK159" si="173">X152-H152</f>
        <v>0</v>
      </c>
      <c r="AL152" s="526">
        <f t="shared" ref="AL152:AL159" si="174">Y152-I152</f>
        <v>0</v>
      </c>
      <c r="AM152" s="526">
        <f t="shared" ref="AM152:AM159" si="175">Z152-J152</f>
        <v>0</v>
      </c>
      <c r="AN152" s="526">
        <f t="shared" ref="AN152:AN159" si="176">AA152-K152</f>
        <v>0</v>
      </c>
      <c r="AO152" s="526">
        <f t="shared" ref="AO152:AO159" si="177">AB152-L152</f>
        <v>0</v>
      </c>
      <c r="AP152" s="526">
        <f t="shared" ref="AP152:AP159" si="178">AC152-M152</f>
        <v>0</v>
      </c>
      <c r="AQ152" s="526">
        <f t="shared" ref="AQ152:AQ159" si="179">AD152-N152</f>
        <v>0</v>
      </c>
      <c r="AR152" s="526">
        <f t="shared" ref="AR152:AR159" si="180">AE152-O152</f>
        <v>0</v>
      </c>
      <c r="AS152" s="526">
        <f t="shared" ref="AS152:AS154" si="181">AF152-P152</f>
        <v>0</v>
      </c>
    </row>
    <row r="153" spans="1:45">
      <c r="A153" t="s">
        <v>88</v>
      </c>
      <c r="B153" t="s">
        <v>45</v>
      </c>
      <c r="C153" s="240" t="s">
        <v>148</v>
      </c>
      <c r="D153" s="240"/>
      <c r="E153" s="145">
        <f>VLOOKUP($A153&amp;" CP",'2017 TEST'!$A$13:$R$274,'2017 TEST'!C$9,FALSE)</f>
        <v>11021.075215833998</v>
      </c>
      <c r="F153" s="145">
        <f>VLOOKUP($A153&amp;" CP",'2017 TEST'!$A$13:$R$274,'2017 TEST'!D$9,FALSE)</f>
        <v>9702.0123146749138</v>
      </c>
      <c r="G153" s="145">
        <f>VLOOKUP($A153&amp;" CP",'2017 TEST'!$A$13:$R$274,'2017 TEST'!E$9,FALSE)</f>
        <v>8563.4327641211858</v>
      </c>
      <c r="H153" s="145">
        <f>VLOOKUP($A153&amp;" CP",'2017 TEST'!$A$13:$R$274,'2017 TEST'!F$9,FALSE)</f>
        <v>9228.2940349624841</v>
      </c>
      <c r="I153" s="145">
        <f>VLOOKUP($A153&amp;" CP",'2017 TEST'!$A$13:$R$274,'2017 TEST'!G$9,FALSE)</f>
        <v>10153.988426159569</v>
      </c>
      <c r="J153" s="145">
        <f>VLOOKUP($A153&amp;" CP",'2017 TEST'!$A$13:$R$274,'2017 TEST'!H$9,FALSE)</f>
        <v>8162.7682530984976</v>
      </c>
      <c r="K153" s="145">
        <f>VLOOKUP($A153&amp;" CP",'2017 TEST'!$A$13:$R$274,'2017 TEST'!I$9,FALSE)</f>
        <v>6926.1773277994444</v>
      </c>
      <c r="L153" s="145">
        <f>VLOOKUP($A153&amp;" CP",'2017 TEST'!$A$13:$R$274,'2017 TEST'!J$9,FALSE)</f>
        <v>6129.1825110428363</v>
      </c>
      <c r="M153" s="145">
        <f>VLOOKUP($A153&amp;" CP",'2017 TEST'!$A$13:$R$274,'2017 TEST'!K$9,FALSE)</f>
        <v>10819.659901942814</v>
      </c>
      <c r="N153" s="145">
        <f>VLOOKUP($A153&amp;" CP",'2017 TEST'!$A$13:$R$274,'2017 TEST'!L$9,FALSE)</f>
        <v>7217.6156372699625</v>
      </c>
      <c r="O153" s="145">
        <f>VLOOKUP($A153&amp;" CP",'2017 TEST'!$A$13:$R$274,'2017 TEST'!M$9,FALSE)</f>
        <v>18841.53959363902</v>
      </c>
      <c r="P153" s="145">
        <f>VLOOKUP($A153&amp;" CP",'2017 TEST'!$A$13:$R$274,'2017 TEST'!N$9,FALSE)</f>
        <v>7999.2362365977997</v>
      </c>
      <c r="Q153" s="241"/>
      <c r="R153" s="242"/>
      <c r="T153" s="206" t="s">
        <v>148</v>
      </c>
      <c r="U153" s="523">
        <v>11021.094417612632</v>
      </c>
      <c r="V153" s="523">
        <v>9702.0486269492594</v>
      </c>
      <c r="W153" s="523">
        <v>8563.4126731861579</v>
      </c>
      <c r="X153" s="523">
        <v>9228.2019580719498</v>
      </c>
      <c r="Y153" s="523">
        <v>10154.088504632611</v>
      </c>
      <c r="Z153" s="523">
        <v>8162.780332825293</v>
      </c>
      <c r="AA153" s="523">
        <v>6926.1980332780786</v>
      </c>
      <c r="AB153" s="523">
        <v>6129.166510425036</v>
      </c>
      <c r="AC153" s="523">
        <v>10819.644019570453</v>
      </c>
      <c r="AD153" s="523">
        <v>7217.6136363425412</v>
      </c>
      <c r="AE153" s="523">
        <v>18841.563460609599</v>
      </c>
      <c r="AF153" s="523">
        <v>7999.2301823104017</v>
      </c>
      <c r="AG153"/>
      <c r="AH153" s="526">
        <f t="shared" ref="AH153:AH159" si="182">U153-E153</f>
        <v>1.9201778633942013E-2</v>
      </c>
      <c r="AI153" s="526">
        <f t="shared" si="171"/>
        <v>3.6312274345618789E-2</v>
      </c>
      <c r="AJ153" s="526">
        <f t="shared" si="172"/>
        <v>-2.0090935027837986E-2</v>
      </c>
      <c r="AK153" s="526">
        <f t="shared" si="173"/>
        <v>-9.2076890534372069E-2</v>
      </c>
      <c r="AL153" s="526">
        <f t="shared" si="174"/>
        <v>0.10007847304223105</v>
      </c>
      <c r="AM153" s="526">
        <f t="shared" si="175"/>
        <v>1.2079726795491297E-2</v>
      </c>
      <c r="AN153" s="526">
        <f t="shared" si="176"/>
        <v>2.0705478634226893E-2</v>
      </c>
      <c r="AO153" s="526">
        <f t="shared" si="177"/>
        <v>-1.6000617800273176E-2</v>
      </c>
      <c r="AP153" s="526">
        <f t="shared" si="178"/>
        <v>-1.5882372361375019E-2</v>
      </c>
      <c r="AQ153" s="526">
        <f t="shared" si="179"/>
        <v>-2.0009274212497985E-3</v>
      </c>
      <c r="AR153" s="526">
        <f t="shared" si="180"/>
        <v>2.3866970579547342E-2</v>
      </c>
      <c r="AS153" s="526">
        <f t="shared" si="181"/>
        <v>-6.0542873980011791E-3</v>
      </c>
    </row>
    <row r="154" spans="1:45">
      <c r="A154" t="s">
        <v>88</v>
      </c>
      <c r="B154" t="s">
        <v>45</v>
      </c>
      <c r="C154" s="240" t="s">
        <v>147</v>
      </c>
      <c r="D154" s="240"/>
      <c r="E154" s="145">
        <f>VLOOKUP($A154&amp;" GNCP",'2017 TEST'!$A$13:$R$274,'2017 TEST'!C$9,FALSE)</f>
        <v>27161.062652635701</v>
      </c>
      <c r="F154" s="145">
        <f>VLOOKUP($A154&amp;" GNCP",'2017 TEST'!$A$13:$R$274,'2017 TEST'!D$9,FALSE)</f>
        <v>35824.269817482767</v>
      </c>
      <c r="G154" s="145">
        <f>VLOOKUP($A154&amp;" GNCP",'2017 TEST'!$A$13:$R$274,'2017 TEST'!E$9,FALSE)</f>
        <v>51499.060994838059</v>
      </c>
      <c r="H154" s="145">
        <f>VLOOKUP($A154&amp;" GNCP",'2017 TEST'!$A$13:$R$274,'2017 TEST'!F$9,FALSE)</f>
        <v>38254.510631621291</v>
      </c>
      <c r="I154" s="145">
        <f>VLOOKUP($A154&amp;" GNCP",'2017 TEST'!$A$13:$R$274,'2017 TEST'!G$9,FALSE)</f>
        <v>51961.080237677292</v>
      </c>
      <c r="J154" s="145">
        <f>VLOOKUP($A154&amp;" GNCP",'2017 TEST'!$A$13:$R$274,'2017 TEST'!H$9,FALSE)</f>
        <v>42020.066943799786</v>
      </c>
      <c r="K154" s="145">
        <f>VLOOKUP($A154&amp;" GNCP",'2017 TEST'!$A$13:$R$274,'2017 TEST'!I$9,FALSE)</f>
        <v>27417.529125675708</v>
      </c>
      <c r="L154" s="145">
        <f>VLOOKUP($A154&amp;" GNCP",'2017 TEST'!$A$13:$R$274,'2017 TEST'!J$9,FALSE)</f>
        <v>33207.601247620143</v>
      </c>
      <c r="M154" s="145">
        <f>VLOOKUP($A154&amp;" GNCP",'2017 TEST'!$A$13:$R$274,'2017 TEST'!K$9,FALSE)</f>
        <v>25998.538042951037</v>
      </c>
      <c r="N154" s="145">
        <f>VLOOKUP($A154&amp;" GNCP",'2017 TEST'!$A$13:$R$274,'2017 TEST'!L$9,FALSE)</f>
        <v>35228.26656812647</v>
      </c>
      <c r="O154" s="145">
        <f>VLOOKUP($A154&amp;" GNCP",'2017 TEST'!$A$13:$R$274,'2017 TEST'!M$9,FALSE)</f>
        <v>57625.579904252947</v>
      </c>
      <c r="P154" s="145">
        <f>VLOOKUP($A154&amp;" GNCP",'2017 TEST'!$A$13:$R$274,'2017 TEST'!N$9,FALSE)</f>
        <v>29998.785873165416</v>
      </c>
      <c r="Q154" s="241"/>
      <c r="R154" s="242"/>
      <c r="T154" s="206" t="s">
        <v>342</v>
      </c>
      <c r="U154" s="523">
        <v>27161.062652635701</v>
      </c>
      <c r="V154" s="523">
        <v>35824.269817482767</v>
      </c>
      <c r="W154" s="523">
        <v>51499.060994838059</v>
      </c>
      <c r="X154" s="523">
        <v>38254.510631621291</v>
      </c>
      <c r="Y154" s="523">
        <v>51961.080237677292</v>
      </c>
      <c r="Z154" s="523">
        <v>42020.066943799786</v>
      </c>
      <c r="AA154" s="523">
        <v>27417.529125675708</v>
      </c>
      <c r="AB154" s="523">
        <v>33207.601247620143</v>
      </c>
      <c r="AC154" s="523">
        <v>25998.538042951037</v>
      </c>
      <c r="AD154" s="523">
        <v>35228.26656812647</v>
      </c>
      <c r="AE154" s="523">
        <v>57625.579904252947</v>
      </c>
      <c r="AF154" s="523">
        <v>29998.785873165416</v>
      </c>
      <c r="AG154"/>
      <c r="AH154" s="526">
        <f t="shared" si="182"/>
        <v>0</v>
      </c>
      <c r="AI154" s="526">
        <f t="shared" si="171"/>
        <v>0</v>
      </c>
      <c r="AJ154" s="526">
        <f t="shared" si="172"/>
        <v>0</v>
      </c>
      <c r="AK154" s="526">
        <f t="shared" si="173"/>
        <v>0</v>
      </c>
      <c r="AL154" s="526">
        <f t="shared" si="174"/>
        <v>0</v>
      </c>
      <c r="AM154" s="526">
        <f t="shared" si="175"/>
        <v>0</v>
      </c>
      <c r="AN154" s="526">
        <f t="shared" si="176"/>
        <v>0</v>
      </c>
      <c r="AO154" s="526">
        <f t="shared" si="177"/>
        <v>0</v>
      </c>
      <c r="AP154" s="526">
        <f t="shared" si="178"/>
        <v>0</v>
      </c>
      <c r="AQ154" s="526">
        <f t="shared" si="179"/>
        <v>0</v>
      </c>
      <c r="AR154" s="526">
        <f t="shared" si="180"/>
        <v>0</v>
      </c>
      <c r="AS154" s="526">
        <f t="shared" si="181"/>
        <v>0</v>
      </c>
    </row>
    <row r="155" spans="1:45">
      <c r="A155" t="s">
        <v>88</v>
      </c>
      <c r="B155" t="s">
        <v>45</v>
      </c>
      <c r="C155" s="240" t="s">
        <v>133</v>
      </c>
      <c r="D155" s="240"/>
      <c r="E155" s="145">
        <f>VLOOKUP($A155&amp;" NCP",'2017 TEST'!$A$13:$R$274,'2017 TEST'!C$9,FALSE)</f>
        <v>77165.349050049161</v>
      </c>
      <c r="F155" s="145">
        <f>VLOOKUP($A155&amp;" NCP",'2017 TEST'!$A$13:$R$274,'2017 TEST'!D$9,FALSE)</f>
        <v>79339.846464051327</v>
      </c>
      <c r="G155" s="145">
        <f>VLOOKUP($A155&amp;" NCP",'2017 TEST'!$A$13:$R$274,'2017 TEST'!E$9,FALSE)</f>
        <v>126194.63538322384</v>
      </c>
      <c r="H155" s="145">
        <f>VLOOKUP($A155&amp;" NCP",'2017 TEST'!$A$13:$R$274,'2017 TEST'!F$9,FALSE)</f>
        <v>85236.757496452658</v>
      </c>
      <c r="I155" s="145">
        <f>VLOOKUP($A155&amp;" NCP",'2017 TEST'!$A$13:$R$274,'2017 TEST'!G$9,FALSE)</f>
        <v>130358.62287063993</v>
      </c>
      <c r="J155" s="145">
        <f>VLOOKUP($A155&amp;" NCP",'2017 TEST'!$A$13:$R$274,'2017 TEST'!H$9,FALSE)</f>
        <v>93864.854941203899</v>
      </c>
      <c r="K155" s="145">
        <f>VLOOKUP($A155&amp;" NCP",'2017 TEST'!$A$13:$R$274,'2017 TEST'!I$9,FALSE)</f>
        <v>69829.322856681159</v>
      </c>
      <c r="L155" s="145">
        <f>VLOOKUP($A155&amp;" NCP",'2017 TEST'!$A$13:$R$274,'2017 TEST'!J$9,FALSE)</f>
        <v>81030.196231143462</v>
      </c>
      <c r="M155" s="145">
        <f>VLOOKUP($A155&amp;" NCP",'2017 TEST'!$A$13:$R$274,'2017 TEST'!K$9,FALSE)</f>
        <v>54470.549108778629</v>
      </c>
      <c r="N155" s="145">
        <f>VLOOKUP($A155&amp;" NCP",'2017 TEST'!$A$13:$R$274,'2017 TEST'!L$9,FALSE)</f>
        <v>75766.052788883608</v>
      </c>
      <c r="O155" s="145">
        <f>VLOOKUP($A155&amp;" NCP",'2017 TEST'!$A$13:$R$274,'2017 TEST'!M$9,FALSE)</f>
        <v>143697.99467250583</v>
      </c>
      <c r="P155" s="145">
        <f>VLOOKUP($A155&amp;" NCP",'2017 TEST'!$A$13:$R$274,'2017 TEST'!N$9,FALSE)</f>
        <v>68168.578564909767</v>
      </c>
      <c r="Q155" s="241"/>
      <c r="R155" s="242"/>
      <c r="T155" s="206" t="s">
        <v>133</v>
      </c>
      <c r="U155" s="523">
        <v>77165.349050049161</v>
      </c>
      <c r="V155" s="523">
        <v>79339.846464051327</v>
      </c>
      <c r="W155" s="523">
        <v>126194.63538322384</v>
      </c>
      <c r="X155" s="523">
        <v>85236.757496452658</v>
      </c>
      <c r="Y155" s="523">
        <v>130358.62287063993</v>
      </c>
      <c r="Z155" s="523">
        <v>93864.854941203899</v>
      </c>
      <c r="AA155" s="523">
        <v>69829.322856681159</v>
      </c>
      <c r="AB155" s="523">
        <v>81030.196231143462</v>
      </c>
      <c r="AC155" s="523">
        <v>54470.549108778629</v>
      </c>
      <c r="AD155" s="523">
        <v>75766.052788883608</v>
      </c>
      <c r="AE155" s="523">
        <v>143697.99467250583</v>
      </c>
      <c r="AF155" s="523">
        <v>68168.578564909767</v>
      </c>
      <c r="AG155"/>
      <c r="AH155" s="526">
        <f t="shared" si="182"/>
        <v>0</v>
      </c>
      <c r="AI155" s="526">
        <f t="shared" si="171"/>
        <v>0</v>
      </c>
      <c r="AJ155" s="526">
        <f t="shared" si="172"/>
        <v>0</v>
      </c>
      <c r="AK155" s="526">
        <f t="shared" si="173"/>
        <v>0</v>
      </c>
      <c r="AL155" s="526">
        <f t="shared" si="174"/>
        <v>0</v>
      </c>
      <c r="AM155" s="526">
        <f t="shared" si="175"/>
        <v>0</v>
      </c>
      <c r="AN155" s="526">
        <f t="shared" si="176"/>
        <v>0</v>
      </c>
      <c r="AO155" s="526">
        <f t="shared" si="177"/>
        <v>0</v>
      </c>
      <c r="AP155" s="526">
        <f t="shared" si="178"/>
        <v>0</v>
      </c>
      <c r="AQ155" s="526">
        <f t="shared" si="179"/>
        <v>0</v>
      </c>
      <c r="AR155" s="526">
        <f t="shared" si="180"/>
        <v>0</v>
      </c>
      <c r="AS155" s="526">
        <f>AF155-P155</f>
        <v>0</v>
      </c>
    </row>
    <row r="156" spans="1:45">
      <c r="A156" t="s">
        <v>88</v>
      </c>
      <c r="B156" t="s">
        <v>45</v>
      </c>
      <c r="C156" s="240" t="s">
        <v>1197</v>
      </c>
      <c r="D156" s="240"/>
      <c r="E156" s="230">
        <f>VLOOKUP($A156&amp;" CP - L.F.",'2017 TEST'!$A$13:$R$274,'2017 TEST'!C$9,FALSE)</f>
        <v>0.77404541941893379</v>
      </c>
      <c r="F156" s="230">
        <f>VLOOKUP($A156&amp;" CP - L.F.",'2017 TEST'!$A$13:$R$274,'2017 TEST'!D$9,FALSE)</f>
        <v>1.0482121423946116</v>
      </c>
      <c r="G156" s="230">
        <f>VLOOKUP($A156&amp;" CP - L.F.",'2017 TEST'!$A$13:$R$274,'2017 TEST'!E$9,FALSE)</f>
        <v>1.4608247211521603</v>
      </c>
      <c r="H156" s="230">
        <f>VLOOKUP($A156&amp;" CP - L.F.",'2017 TEST'!$A$13:$R$274,'2017 TEST'!F$9,FALSE)</f>
        <v>1.2490307270458127</v>
      </c>
      <c r="I156" s="230">
        <f>VLOOKUP($A156&amp;" CP - L.F.",'2017 TEST'!$A$13:$R$274,'2017 TEST'!G$9,FALSE)</f>
        <v>1.5564598763265356</v>
      </c>
      <c r="J156" s="230">
        <f>VLOOKUP($A156&amp;" CP - L.F.",'2017 TEST'!$A$13:$R$274,'2017 TEST'!H$9,FALSE)</f>
        <v>1.3268666322473692</v>
      </c>
      <c r="K156" s="230">
        <f>VLOOKUP($A156&amp;" CP - L.F.",'2017 TEST'!$A$13:$R$274,'2017 TEST'!I$9,FALSE)</f>
        <v>1.4869973232203042</v>
      </c>
      <c r="L156" s="230">
        <f>VLOOKUP($A156&amp;" CP - L.F.",'2017 TEST'!$A$13:$R$274,'2017 TEST'!J$9,FALSE)</f>
        <v>1.5452068031603396</v>
      </c>
      <c r="M156" s="230">
        <f>VLOOKUP($A156&amp;" CP - L.F.",'2017 TEST'!$A$13:$R$274,'2017 TEST'!K$9,FALSE)</f>
        <v>0.61426862005757321</v>
      </c>
      <c r="N156" s="230">
        <f>VLOOKUP($A156&amp;" CP - L.F.",'2017 TEST'!$A$13:$R$274,'2017 TEST'!L$9,FALSE)</f>
        <v>1.86849423738638</v>
      </c>
      <c r="O156" s="230">
        <f>VLOOKUP($A156&amp;" CP - L.F.",'2017 TEST'!$A$13:$R$274,'2017 TEST'!M$9,FALSE)</f>
        <v>0.70442346330583916</v>
      </c>
      <c r="P156" s="230">
        <f>VLOOKUP($A156&amp;" CP - L.F.",'2017 TEST'!$A$13:$R$274,'2017 TEST'!N$9,FALSE)</f>
        <v>0.86246717209256218</v>
      </c>
      <c r="Q156" s="241"/>
      <c r="R156" s="242"/>
      <c r="T156" s="206" t="s">
        <v>1197</v>
      </c>
      <c r="U156" s="524">
        <v>0.70877154990702906</v>
      </c>
      <c r="V156" s="524">
        <v>1.0410393386051524</v>
      </c>
      <c r="W156" s="524">
        <v>1.3055743626624721</v>
      </c>
      <c r="X156" s="524">
        <v>1.1564516568809622</v>
      </c>
      <c r="Y156" s="524">
        <v>1.4146449581341922</v>
      </c>
      <c r="Z156" s="524">
        <v>1.2618184983862251</v>
      </c>
      <c r="AA156" s="524">
        <v>1.3977012106542832</v>
      </c>
      <c r="AB156" s="524">
        <v>1.4081660848864144</v>
      </c>
      <c r="AC156" s="524">
        <v>0.60856643807433042</v>
      </c>
      <c r="AD156" s="524">
        <v>1.832021764401031</v>
      </c>
      <c r="AE156" s="524">
        <v>0.71933933752965051</v>
      </c>
      <c r="AF156" s="524">
        <v>0.84060004182356562</v>
      </c>
      <c r="AG156"/>
      <c r="AH156" s="526">
        <f t="shared" si="182"/>
        <v>-6.5273869511904725E-2</v>
      </c>
      <c r="AI156" s="526">
        <f t="shared" si="171"/>
        <v>-7.1728037894591701E-3</v>
      </c>
      <c r="AJ156" s="526">
        <f t="shared" si="172"/>
        <v>-0.15525035848968827</v>
      </c>
      <c r="AK156" s="526">
        <f t="shared" si="173"/>
        <v>-9.2579070164850563E-2</v>
      </c>
      <c r="AL156" s="526">
        <f t="shared" si="174"/>
        <v>-0.14181491819234338</v>
      </c>
      <c r="AM156" s="526">
        <f t="shared" si="175"/>
        <v>-6.5048133861144164E-2</v>
      </c>
      <c r="AN156" s="526">
        <f t="shared" si="176"/>
        <v>-8.9296112566020991E-2</v>
      </c>
      <c r="AO156" s="526">
        <f t="shared" si="177"/>
        <v>-0.13704071827392528</v>
      </c>
      <c r="AP156" s="526">
        <f t="shared" si="178"/>
        <v>-5.7021819832427934E-3</v>
      </c>
      <c r="AQ156" s="526">
        <f t="shared" si="179"/>
        <v>-3.6472472985348947E-2</v>
      </c>
      <c r="AR156" s="526">
        <f t="shared" si="180"/>
        <v>1.4915874223811354E-2</v>
      </c>
      <c r="AS156" s="526">
        <f t="shared" ref="AS156:AS159" si="183">AF156-P156</f>
        <v>-2.186713026899656E-2</v>
      </c>
    </row>
    <row r="157" spans="1:45">
      <c r="A157" t="s">
        <v>88</v>
      </c>
      <c r="B157" t="s">
        <v>45</v>
      </c>
      <c r="C157" s="240" t="s">
        <v>1198</v>
      </c>
      <c r="D157" s="240"/>
      <c r="E157" s="230">
        <f>VLOOKUP($A157&amp;" GCP - L.F.",'2017 TEST'!$A$13:$R$274,'2017 TEST'!C$9,FALSE)</f>
        <v>0.28759692770286333</v>
      </c>
      <c r="F157" s="230">
        <f>VLOOKUP($A157&amp;" GCP - L.F.",'2017 TEST'!$A$13:$R$274,'2017 TEST'!D$9,FALSE)</f>
        <v>0.28193775720127123</v>
      </c>
      <c r="G157" s="230">
        <f>VLOOKUP($A157&amp;" GCP - L.F.",'2017 TEST'!$A$13:$R$274,'2017 TEST'!E$9,FALSE)</f>
        <v>0.21709467759288625</v>
      </c>
      <c r="H157" s="230">
        <f>VLOOKUP($A157&amp;" GCP - L.F.",'2017 TEST'!$A$13:$R$274,'2017 TEST'!F$9,FALSE)</f>
        <v>0.27897283923488392</v>
      </c>
      <c r="I157" s="230">
        <f>VLOOKUP($A157&amp;" GCP - L.F.",'2017 TEST'!$A$13:$R$274,'2017 TEST'!G$9,FALSE)</f>
        <v>0.276445948425667</v>
      </c>
      <c r="J157" s="230">
        <f>VLOOKUP($A157&amp;" GCP - L.F.",'2017 TEST'!$A$13:$R$274,'2017 TEST'!H$9,FALSE)</f>
        <v>0.24511972424979722</v>
      </c>
      <c r="K157" s="230">
        <f>VLOOKUP($A157&amp;" GCP - L.F.",'2017 TEST'!$A$13:$R$274,'2017 TEST'!I$9,FALSE)</f>
        <v>0.35308635333146576</v>
      </c>
      <c r="L157" s="230">
        <f>VLOOKUP($A157&amp;" GCP - L.F.",'2017 TEST'!$A$13:$R$274,'2017 TEST'!J$9,FALSE)</f>
        <v>0.25990689132418715</v>
      </c>
      <c r="M157" s="230">
        <f>VLOOKUP($A157&amp;" GCP - L.F.",'2017 TEST'!$A$13:$R$274,'2017 TEST'!K$9,FALSE)</f>
        <v>0.25326317238855151</v>
      </c>
      <c r="N157" s="230">
        <f>VLOOKUP($A157&amp;" GCP - L.F.",'2017 TEST'!$A$13:$R$274,'2017 TEST'!L$9,FALSE)</f>
        <v>0.37534703114744911</v>
      </c>
      <c r="O157" s="230">
        <f>VLOOKUP($A157&amp;" GCP - L.F.",'2017 TEST'!$A$13:$R$274,'2017 TEST'!M$9,FALSE)</f>
        <v>0.23519898281800178</v>
      </c>
      <c r="P157" s="230">
        <f>VLOOKUP($A157&amp;" GCP - L.F.",'2017 TEST'!$A$13:$R$274,'2017 TEST'!N$9,FALSE)</f>
        <v>0.22414751231053512</v>
      </c>
      <c r="Q157" s="241"/>
      <c r="R157" s="242"/>
      <c r="T157" s="206" t="s">
        <v>1221</v>
      </c>
      <c r="U157" s="524">
        <v>0.28759692770286333</v>
      </c>
      <c r="V157" s="524">
        <v>0.28193775720127118</v>
      </c>
      <c r="W157" s="524">
        <v>0.21709467759288625</v>
      </c>
      <c r="X157" s="524">
        <v>0.27897283923488397</v>
      </c>
      <c r="Y157" s="524">
        <v>0.276445948425667</v>
      </c>
      <c r="Z157" s="524">
        <v>0.24511972424979719</v>
      </c>
      <c r="AA157" s="524">
        <v>0.35308635333146571</v>
      </c>
      <c r="AB157" s="524">
        <v>0.25990689132418709</v>
      </c>
      <c r="AC157" s="524">
        <v>0.25326317238855145</v>
      </c>
      <c r="AD157" s="524">
        <v>0.37534703114744905</v>
      </c>
      <c r="AE157" s="524">
        <v>0.23519898281800181</v>
      </c>
      <c r="AF157" s="524">
        <v>0.22414751231053512</v>
      </c>
      <c r="AG157"/>
      <c r="AH157" s="526">
        <f t="shared" si="182"/>
        <v>0</v>
      </c>
      <c r="AI157" s="526">
        <f t="shared" si="171"/>
        <v>0</v>
      </c>
      <c r="AJ157" s="526">
        <f t="shared" si="172"/>
        <v>0</v>
      </c>
      <c r="AK157" s="526">
        <f t="shared" si="173"/>
        <v>0</v>
      </c>
      <c r="AL157" s="526">
        <f t="shared" si="174"/>
        <v>0</v>
      </c>
      <c r="AM157" s="526">
        <f t="shared" si="175"/>
        <v>0</v>
      </c>
      <c r="AN157" s="526">
        <f t="shared" si="176"/>
        <v>0</v>
      </c>
      <c r="AO157" s="526">
        <f t="shared" si="177"/>
        <v>0</v>
      </c>
      <c r="AP157" s="526">
        <f t="shared" si="178"/>
        <v>0</v>
      </c>
      <c r="AQ157" s="526">
        <f t="shared" si="179"/>
        <v>0</v>
      </c>
      <c r="AR157" s="526">
        <f t="shared" si="180"/>
        <v>0</v>
      </c>
      <c r="AS157" s="526">
        <f t="shared" si="183"/>
        <v>0</v>
      </c>
    </row>
    <row r="158" spans="1:45">
      <c r="A158" t="s">
        <v>88</v>
      </c>
      <c r="B158" t="s">
        <v>45</v>
      </c>
      <c r="C158" s="240" t="s">
        <v>1199</v>
      </c>
      <c r="D158" s="240"/>
      <c r="E158" s="230">
        <f>VLOOKUP($A158&amp;" NCP - L.F.",'2017 TEST'!$A$13:$R$274,'2017 TEST'!C$9,FALSE)</f>
        <v>0.10122986895292264</v>
      </c>
      <c r="F158" s="230">
        <f>VLOOKUP($A158&amp;" NCP - L.F.",'2017 TEST'!$A$13:$R$274,'2017 TEST'!D$9,FALSE)</f>
        <v>0.12730317407773994</v>
      </c>
      <c r="G158" s="230">
        <f>VLOOKUP($A158&amp;" NCP - L.F.",'2017 TEST'!$A$13:$R$274,'2017 TEST'!E$9,FALSE)</f>
        <v>8.8594669726325237E-2</v>
      </c>
      <c r="H158" s="230">
        <f>VLOOKUP($A158&amp;" NCP - L.F.",'2017 TEST'!$A$13:$R$274,'2017 TEST'!F$9,FALSE)</f>
        <v>0.12520384113495384</v>
      </c>
      <c r="I158" s="230">
        <f>VLOOKUP($A158&amp;" NCP - L.F.",'2017 TEST'!$A$13:$R$274,'2017 TEST'!G$9,FALSE)</f>
        <v>0.11019163743223399</v>
      </c>
      <c r="J158" s="230">
        <f>VLOOKUP($A158&amp;" NCP - L.F.",'2017 TEST'!$A$13:$R$274,'2017 TEST'!H$9,FALSE)</f>
        <v>0.10973166930981801</v>
      </c>
      <c r="K158" s="230">
        <f>VLOOKUP($A158&amp;" NCP - L.F.",'2017 TEST'!$A$13:$R$274,'2017 TEST'!I$9,FALSE)</f>
        <v>0.13863453031347628</v>
      </c>
      <c r="L158" s="230">
        <f>VLOOKUP($A158&amp;" NCP - L.F.",'2017 TEST'!$A$13:$R$274,'2017 TEST'!J$9,FALSE)</f>
        <v>0.10651442067327641</v>
      </c>
      <c r="M158" s="230">
        <f>VLOOKUP($A158&amp;" NCP - L.F.",'2017 TEST'!$A$13:$R$274,'2017 TEST'!K$9,FALSE)</f>
        <v>0.12088132633054456</v>
      </c>
      <c r="N158" s="230">
        <f>VLOOKUP($A158&amp;" NCP - L.F.",'2017 TEST'!$A$13:$R$274,'2017 TEST'!L$9,FALSE)</f>
        <v>0.17452176511902515</v>
      </c>
      <c r="O158" s="230">
        <f>VLOOKUP($A158&amp;" NCP - L.F.",'2017 TEST'!$A$13:$R$274,'2017 TEST'!M$9,FALSE)</f>
        <v>9.4319185237530717E-2</v>
      </c>
      <c r="P158" s="230">
        <f>VLOOKUP($A158&amp;" NCP - L.F.",'2017 TEST'!$A$13:$R$274,'2017 TEST'!N$9,FALSE)</f>
        <v>9.8640068010274667E-2</v>
      </c>
      <c r="Q158" s="241"/>
      <c r="R158" s="242"/>
      <c r="T158" s="206" t="s">
        <v>1199</v>
      </c>
      <c r="U158" s="524">
        <v>0.10122986895292266</v>
      </c>
      <c r="V158" s="524">
        <v>0.12730317407773994</v>
      </c>
      <c r="W158" s="524">
        <v>8.8594669726325251E-2</v>
      </c>
      <c r="X158" s="524">
        <v>0.12520384113495384</v>
      </c>
      <c r="Y158" s="524">
        <v>0.11019163743223401</v>
      </c>
      <c r="Z158" s="524">
        <v>0.10973166930981799</v>
      </c>
      <c r="AA158" s="524">
        <v>0.13863453031347628</v>
      </c>
      <c r="AB158" s="524">
        <v>0.10651442067327638</v>
      </c>
      <c r="AC158" s="524">
        <v>0.12088132633054455</v>
      </c>
      <c r="AD158" s="524">
        <v>0.17452176511902512</v>
      </c>
      <c r="AE158" s="524">
        <v>9.4319185237530717E-2</v>
      </c>
      <c r="AF158" s="524">
        <v>9.8640068010274681E-2</v>
      </c>
      <c r="AG158"/>
      <c r="AH158" s="526">
        <f t="shared" si="182"/>
        <v>0</v>
      </c>
      <c r="AI158" s="526">
        <f t="shared" si="171"/>
        <v>0</v>
      </c>
      <c r="AJ158" s="526">
        <f t="shared" si="172"/>
        <v>0</v>
      </c>
      <c r="AK158" s="526">
        <f t="shared" si="173"/>
        <v>0</v>
      </c>
      <c r="AL158" s="526">
        <f t="shared" si="174"/>
        <v>0</v>
      </c>
      <c r="AM158" s="526">
        <f t="shared" si="175"/>
        <v>0</v>
      </c>
      <c r="AN158" s="526">
        <f t="shared" si="176"/>
        <v>0</v>
      </c>
      <c r="AO158" s="526">
        <f t="shared" si="177"/>
        <v>0</v>
      </c>
      <c r="AP158" s="526">
        <f t="shared" si="178"/>
        <v>0</v>
      </c>
      <c r="AQ158" s="526">
        <f t="shared" si="179"/>
        <v>0</v>
      </c>
      <c r="AR158" s="526">
        <f t="shared" si="180"/>
        <v>0</v>
      </c>
      <c r="AS158" s="526">
        <f t="shared" si="183"/>
        <v>0</v>
      </c>
    </row>
    <row r="159" spans="1:45">
      <c r="A159" t="s">
        <v>88</v>
      </c>
      <c r="B159" t="s">
        <v>45</v>
      </c>
      <c r="C159" s="240" t="s">
        <v>1200</v>
      </c>
      <c r="D159" s="240"/>
      <c r="E159" s="145">
        <f>HOURS!$B$19</f>
        <v>744</v>
      </c>
      <c r="F159" s="145">
        <f>HOURS!$C$19</f>
        <v>672</v>
      </c>
      <c r="G159" s="145">
        <f>HOURS!$D$19</f>
        <v>744</v>
      </c>
      <c r="H159" s="145">
        <f>HOURS!$E$19</f>
        <v>720</v>
      </c>
      <c r="I159" s="145">
        <f>HOURS!$F$19</f>
        <v>744</v>
      </c>
      <c r="J159" s="145">
        <f>HOURS!$G$19</f>
        <v>720</v>
      </c>
      <c r="K159" s="145">
        <f>HOURS!$H$19</f>
        <v>744</v>
      </c>
      <c r="L159" s="145">
        <f>HOURS!$I$19</f>
        <v>744</v>
      </c>
      <c r="M159" s="145">
        <f>HOURS!$J$19</f>
        <v>720</v>
      </c>
      <c r="N159" s="145">
        <f>HOURS!$K$19</f>
        <v>744</v>
      </c>
      <c r="O159" s="145">
        <f>HOURS!$L$19</f>
        <v>720</v>
      </c>
      <c r="P159" s="145">
        <f>HOURS!$M$19</f>
        <v>744</v>
      </c>
      <c r="Q159" s="241"/>
      <c r="R159" s="242"/>
      <c r="T159" s="206" t="s">
        <v>1200</v>
      </c>
      <c r="U159" s="523">
        <v>744</v>
      </c>
      <c r="V159" s="523">
        <v>672</v>
      </c>
      <c r="W159" s="523">
        <v>744</v>
      </c>
      <c r="X159" s="523">
        <v>720</v>
      </c>
      <c r="Y159" s="523">
        <v>744</v>
      </c>
      <c r="Z159" s="523">
        <v>720</v>
      </c>
      <c r="AA159" s="523">
        <v>744</v>
      </c>
      <c r="AB159" s="523">
        <v>744</v>
      </c>
      <c r="AC159" s="523">
        <v>720</v>
      </c>
      <c r="AD159" s="523">
        <v>744</v>
      </c>
      <c r="AE159" s="523">
        <v>720</v>
      </c>
      <c r="AF159" s="523">
        <v>744</v>
      </c>
      <c r="AG159"/>
      <c r="AH159" s="526">
        <f t="shared" si="182"/>
        <v>0</v>
      </c>
      <c r="AI159" s="526">
        <f t="shared" si="171"/>
        <v>0</v>
      </c>
      <c r="AJ159" s="526">
        <f t="shared" si="172"/>
        <v>0</v>
      </c>
      <c r="AK159" s="526">
        <f t="shared" si="173"/>
        <v>0</v>
      </c>
      <c r="AL159" s="526">
        <f t="shared" si="174"/>
        <v>0</v>
      </c>
      <c r="AM159" s="526">
        <f t="shared" si="175"/>
        <v>0</v>
      </c>
      <c r="AN159" s="526">
        <f t="shared" si="176"/>
        <v>0</v>
      </c>
      <c r="AO159" s="526">
        <f t="shared" si="177"/>
        <v>0</v>
      </c>
      <c r="AP159" s="526">
        <f t="shared" si="178"/>
        <v>0</v>
      </c>
      <c r="AQ159" s="526">
        <f t="shared" si="179"/>
        <v>0</v>
      </c>
      <c r="AR159" s="526">
        <f t="shared" si="180"/>
        <v>0</v>
      </c>
      <c r="AS159" s="526">
        <f t="shared" si="183"/>
        <v>0</v>
      </c>
    </row>
    <row r="160" spans="1:45">
      <c r="E160" s="241"/>
      <c r="F160" s="241"/>
      <c r="G160" s="241"/>
      <c r="H160" s="241"/>
      <c r="I160" s="241"/>
      <c r="J160" s="241"/>
      <c r="K160" s="241"/>
      <c r="L160" s="241"/>
      <c r="M160" s="241"/>
      <c r="N160" s="241"/>
      <c r="O160" s="241"/>
      <c r="P160" s="241"/>
      <c r="Q160" s="241"/>
      <c r="R160" s="242"/>
      <c r="T160" s="206"/>
      <c r="U160" s="523"/>
      <c r="V160" s="523"/>
      <c r="W160" s="523"/>
      <c r="X160" s="523"/>
      <c r="Y160" s="523"/>
      <c r="Z160" s="523"/>
      <c r="AA160" s="523"/>
      <c r="AB160" s="523"/>
      <c r="AC160" s="523"/>
      <c r="AD160" s="523"/>
      <c r="AE160" s="523"/>
      <c r="AF160" s="523"/>
      <c r="AG160"/>
      <c r="AH160" s="526"/>
      <c r="AI160" s="526"/>
      <c r="AJ160" s="526"/>
      <c r="AK160" s="526"/>
      <c r="AL160" s="526"/>
      <c r="AM160" s="526"/>
      <c r="AN160" s="526"/>
      <c r="AO160" s="526"/>
      <c r="AP160" s="526"/>
      <c r="AQ160" s="526"/>
      <c r="AR160" s="526"/>
      <c r="AS160" s="526"/>
    </row>
    <row r="161" spans="1:45">
      <c r="A161" t="s">
        <v>69</v>
      </c>
      <c r="B161" t="s">
        <v>713</v>
      </c>
      <c r="C161" t="s">
        <v>1100</v>
      </c>
      <c r="T161" s="522" t="s">
        <v>1228</v>
      </c>
      <c r="U161" s="523"/>
      <c r="V161" s="523"/>
      <c r="W161" s="523"/>
      <c r="X161" s="523"/>
      <c r="Y161" s="523"/>
      <c r="Z161" s="523"/>
      <c r="AA161" s="523"/>
      <c r="AB161" s="523"/>
      <c r="AC161" s="523"/>
      <c r="AD161" s="523"/>
      <c r="AE161" s="523"/>
      <c r="AF161" s="523"/>
      <c r="AG161"/>
      <c r="AH161" s="526"/>
      <c r="AI161" s="526"/>
      <c r="AJ161" s="526"/>
      <c r="AK161" s="526"/>
      <c r="AL161" s="526"/>
      <c r="AM161" s="526"/>
      <c r="AN161" s="526"/>
      <c r="AO161" s="526"/>
      <c r="AP161" s="526"/>
      <c r="AQ161" s="526"/>
      <c r="AR161" s="526"/>
      <c r="AS161" s="526"/>
    </row>
    <row r="162" spans="1:45" ht="15.6">
      <c r="A162" t="s">
        <v>69</v>
      </c>
      <c r="B162" t="s">
        <v>713</v>
      </c>
      <c r="C162" s="251" t="s">
        <v>1201</v>
      </c>
      <c r="D162" s="251"/>
      <c r="E162" s="145">
        <f>VLOOKUP($A162&amp;" KWH Sales",'2017 TEST'!$A$13:$R$274,'2017 TEST'!C$9,FALSE)/1000</f>
        <v>214054.84299999999</v>
      </c>
      <c r="F162" s="145">
        <f>VLOOKUP($A162&amp;" KWH Sales",'2017 TEST'!$A$13:$R$274,'2017 TEST'!D$9,FALSE)/1000</f>
        <v>188478.61300000001</v>
      </c>
      <c r="G162" s="145">
        <f>VLOOKUP($A162&amp;" KWH Sales",'2017 TEST'!$A$13:$R$274,'2017 TEST'!E$9,FALSE)/1000</f>
        <v>192959.73800000001</v>
      </c>
      <c r="H162" s="145">
        <f>VLOOKUP($A162&amp;" KWH Sales",'2017 TEST'!$A$13:$R$274,'2017 TEST'!F$9,FALSE)/1000</f>
        <v>194210.79699999999</v>
      </c>
      <c r="I162" s="145">
        <f>VLOOKUP($A162&amp;" KWH Sales",'2017 TEST'!$A$13:$R$274,'2017 TEST'!G$9,FALSE)/1000</f>
        <v>207828.81</v>
      </c>
      <c r="J162" s="145">
        <f>VLOOKUP($A162&amp;" KWH Sales",'2017 TEST'!$A$13:$R$274,'2017 TEST'!H$9,FALSE)/1000</f>
        <v>219261.90700000001</v>
      </c>
      <c r="K162" s="145">
        <f>VLOOKUP($A162&amp;" KWH Sales",'2017 TEST'!$A$13:$R$274,'2017 TEST'!I$9,FALSE)/1000</f>
        <v>226094.44699999999</v>
      </c>
      <c r="L162" s="145">
        <f>VLOOKUP($A162&amp;" KWH Sales",'2017 TEST'!$A$13:$R$274,'2017 TEST'!J$9,FALSE)/1000</f>
        <v>228910.09899999999</v>
      </c>
      <c r="M162" s="145">
        <f>VLOOKUP($A162&amp;" KWH Sales",'2017 TEST'!$A$13:$R$274,'2017 TEST'!K$9,FALSE)/1000</f>
        <v>222456.18400000001</v>
      </c>
      <c r="N162" s="145">
        <f>VLOOKUP($A162&amp;" KWH Sales",'2017 TEST'!$A$13:$R$274,'2017 TEST'!L$9,FALSE)/1000</f>
        <v>213252.95499999999</v>
      </c>
      <c r="O162" s="145">
        <f>VLOOKUP($A162&amp;" KWH Sales",'2017 TEST'!$A$13:$R$274,'2017 TEST'!M$9,FALSE)/1000</f>
        <v>201077.83100000001</v>
      </c>
      <c r="P162" s="145">
        <f>VLOOKUP($A162&amp;" KWH Sales",'2017 TEST'!$A$13:$R$274,'2017 TEST'!N$9,FALSE)/1000</f>
        <v>206884.701</v>
      </c>
      <c r="T162" s="206" t="s">
        <v>1261</v>
      </c>
      <c r="U162" s="523">
        <v>214054.84299999999</v>
      </c>
      <c r="V162" s="523">
        <v>188478.61300000001</v>
      </c>
      <c r="W162" s="523">
        <v>192959.73800000001</v>
      </c>
      <c r="X162" s="523">
        <v>194210.79699999999</v>
      </c>
      <c r="Y162" s="523">
        <v>207828.81</v>
      </c>
      <c r="Z162" s="523">
        <v>219261.90700000001</v>
      </c>
      <c r="AA162" s="523">
        <v>226094.44699999999</v>
      </c>
      <c r="AB162" s="523">
        <v>228910.09899999999</v>
      </c>
      <c r="AC162" s="523">
        <v>222456.18400000001</v>
      </c>
      <c r="AD162" s="523">
        <v>213252.95499999999</v>
      </c>
      <c r="AE162" s="523">
        <v>201077.83100000001</v>
      </c>
      <c r="AF162" s="523">
        <v>206884.701</v>
      </c>
      <c r="AG162"/>
      <c r="AH162" s="526">
        <f>U162-E162</f>
        <v>0</v>
      </c>
      <c r="AI162" s="526">
        <f t="shared" ref="AI162:AI169" si="184">V162-F162</f>
        <v>0</v>
      </c>
      <c r="AJ162" s="526">
        <f t="shared" ref="AJ162:AJ169" si="185">W162-G162</f>
        <v>0</v>
      </c>
      <c r="AK162" s="526">
        <f t="shared" ref="AK162:AK169" si="186">X162-H162</f>
        <v>0</v>
      </c>
      <c r="AL162" s="526">
        <f t="shared" ref="AL162:AL169" si="187">Y162-I162</f>
        <v>0</v>
      </c>
      <c r="AM162" s="526">
        <f t="shared" ref="AM162:AM169" si="188">Z162-J162</f>
        <v>0</v>
      </c>
      <c r="AN162" s="526">
        <f t="shared" ref="AN162:AN169" si="189">AA162-K162</f>
        <v>0</v>
      </c>
      <c r="AO162" s="526">
        <f t="shared" ref="AO162:AO169" si="190">AB162-L162</f>
        <v>0</v>
      </c>
      <c r="AP162" s="526">
        <f t="shared" ref="AP162:AP169" si="191">AC162-M162</f>
        <v>0</v>
      </c>
      <c r="AQ162" s="526">
        <f t="shared" ref="AQ162:AQ169" si="192">AD162-N162</f>
        <v>0</v>
      </c>
      <c r="AR162" s="526">
        <f t="shared" ref="AR162:AR169" si="193">AE162-O162</f>
        <v>0</v>
      </c>
      <c r="AS162" s="526">
        <f t="shared" ref="AS162:AS164" si="194">AF162-P162</f>
        <v>0</v>
      </c>
    </row>
    <row r="163" spans="1:45" s="518" customFormat="1">
      <c r="A163" t="s">
        <v>69</v>
      </c>
      <c r="B163" t="s">
        <v>713</v>
      </c>
      <c r="C163" s="240" t="s">
        <v>148</v>
      </c>
      <c r="D163" s="240"/>
      <c r="E163" s="145">
        <f>VLOOKUP($A163&amp;" CP",'2017 TEST'!$A$13:$R$274,'2017 TEST'!C$9,FALSE)</f>
        <v>304591.18204203673</v>
      </c>
      <c r="F163" s="145">
        <f>VLOOKUP($A163&amp;" CP",'2017 TEST'!$A$13:$R$274,'2017 TEST'!D$9,FALSE)</f>
        <v>342033.2990072653</v>
      </c>
      <c r="G163" s="145">
        <f>VLOOKUP($A163&amp;" CP",'2017 TEST'!$A$13:$R$274,'2017 TEST'!E$9,FALSE)</f>
        <v>307882.04605695495</v>
      </c>
      <c r="H163" s="145">
        <f>VLOOKUP($A163&amp;" CP",'2017 TEST'!$A$13:$R$274,'2017 TEST'!F$9,FALSE)</f>
        <v>318876.35361237591</v>
      </c>
      <c r="I163" s="145">
        <f>VLOOKUP($A163&amp;" CP",'2017 TEST'!$A$13:$R$274,'2017 TEST'!G$9,FALSE)</f>
        <v>332897.31550847436</v>
      </c>
      <c r="J163" s="145">
        <f>VLOOKUP($A163&amp;" CP",'2017 TEST'!$A$13:$R$274,'2017 TEST'!H$9,FALSE)</f>
        <v>334532.63402922382</v>
      </c>
      <c r="K163" s="145">
        <f>VLOOKUP($A163&amp;" CP",'2017 TEST'!$A$13:$R$274,'2017 TEST'!I$9,FALSE)</f>
        <v>344056.70838933898</v>
      </c>
      <c r="L163" s="145">
        <f>VLOOKUP($A163&amp;" CP",'2017 TEST'!$A$13:$R$274,'2017 TEST'!J$9,FALSE)</f>
        <v>348553.29453942197</v>
      </c>
      <c r="M163" s="145">
        <f>VLOOKUP($A163&amp;" CP",'2017 TEST'!$A$13:$R$274,'2017 TEST'!K$9,FALSE)</f>
        <v>327748.93450638035</v>
      </c>
      <c r="N163" s="145">
        <f>VLOOKUP($A163&amp;" CP",'2017 TEST'!$A$13:$R$274,'2017 TEST'!L$9,FALSE)</f>
        <v>325394.2894738153</v>
      </c>
      <c r="O163" s="145">
        <f>VLOOKUP($A163&amp;" CP",'2017 TEST'!$A$13:$R$274,'2017 TEST'!M$9,FALSE)</f>
        <v>330022.84873199061</v>
      </c>
      <c r="P163" s="145">
        <f>VLOOKUP($A163&amp;" CP",'2017 TEST'!$A$13:$R$274,'2017 TEST'!N$9,FALSE)</f>
        <v>328472.66411577549</v>
      </c>
      <c r="Q163" s="240"/>
      <c r="R163" s="240"/>
      <c r="T163" s="206" t="s">
        <v>148</v>
      </c>
      <c r="U163" s="523">
        <v>304591.71301489364</v>
      </c>
      <c r="V163" s="523">
        <v>342034.57956924191</v>
      </c>
      <c r="W163" s="523">
        <v>307881.32380733476</v>
      </c>
      <c r="X163" s="523">
        <v>318873.17164371256</v>
      </c>
      <c r="Y163" s="523">
        <v>332900.5972879398</v>
      </c>
      <c r="Z163" s="523">
        <v>334533.12937453022</v>
      </c>
      <c r="AA163" s="523">
        <v>344057.73731051863</v>
      </c>
      <c r="AB163" s="523">
        <v>348552.3846885704</v>
      </c>
      <c r="AC163" s="523">
        <v>327748.45352336793</v>
      </c>
      <c r="AD163" s="523">
        <v>325394.19944868889</v>
      </c>
      <c r="AE163" s="523">
        <v>330023.26704841078</v>
      </c>
      <c r="AF163" s="523">
        <v>328472.41546493705</v>
      </c>
      <c r="AG163"/>
      <c r="AH163" s="526">
        <f t="shared" ref="AH163:AH169" si="195">U163-E163</f>
        <v>0.5309728569118306</v>
      </c>
      <c r="AI163" s="526">
        <f t="shared" si="184"/>
        <v>1.2805619766004384</v>
      </c>
      <c r="AJ163" s="526">
        <f t="shared" si="185"/>
        <v>-0.72224962018663064</v>
      </c>
      <c r="AK163" s="526">
        <f t="shared" si="186"/>
        <v>-3.1819686633534729</v>
      </c>
      <c r="AL163" s="526">
        <f t="shared" si="187"/>
        <v>3.2817794654401951</v>
      </c>
      <c r="AM163" s="526">
        <f t="shared" si="188"/>
        <v>0.49534530640812591</v>
      </c>
      <c r="AN163" s="526">
        <f t="shared" si="189"/>
        <v>1.0289211796480231</v>
      </c>
      <c r="AO163" s="526">
        <f t="shared" si="190"/>
        <v>-0.90985085157444701</v>
      </c>
      <c r="AP163" s="526">
        <f t="shared" si="191"/>
        <v>-0.48098301241407171</v>
      </c>
      <c r="AQ163" s="526">
        <f t="shared" si="192"/>
        <v>-9.0025126410182565E-2</v>
      </c>
      <c r="AR163" s="526">
        <f t="shared" si="193"/>
        <v>0.41831642016768456</v>
      </c>
      <c r="AS163" s="526">
        <f t="shared" si="194"/>
        <v>-0.24865083844633773</v>
      </c>
    </row>
    <row r="164" spans="1:45" s="518" customFormat="1">
      <c r="A164" t="s">
        <v>69</v>
      </c>
      <c r="B164" t="s">
        <v>713</v>
      </c>
      <c r="C164" s="240" t="s">
        <v>147</v>
      </c>
      <c r="D164" s="240"/>
      <c r="E164" s="145">
        <f>VLOOKUP($A164&amp;" GNCP",'2017 TEST'!$A$13:$R$274,'2017 TEST'!C$9,FALSE)</f>
        <v>364887.57950277161</v>
      </c>
      <c r="F164" s="145">
        <f>VLOOKUP($A164&amp;" GNCP",'2017 TEST'!$A$13:$R$274,'2017 TEST'!D$9,FALSE)</f>
        <v>352583.97572562215</v>
      </c>
      <c r="G164" s="145">
        <f>VLOOKUP($A164&amp;" GNCP",'2017 TEST'!$A$13:$R$274,'2017 TEST'!E$9,FALSE)</f>
        <v>327008.4660980269</v>
      </c>
      <c r="H164" s="145">
        <f>VLOOKUP($A164&amp;" GNCP",'2017 TEST'!$A$13:$R$274,'2017 TEST'!F$9,FALSE)</f>
        <v>334280.01410252368</v>
      </c>
      <c r="I164" s="145">
        <f>VLOOKUP($A164&amp;" GNCP",'2017 TEST'!$A$13:$R$274,'2017 TEST'!G$9,FALSE)</f>
        <v>337928.17807881092</v>
      </c>
      <c r="J164" s="145">
        <f>VLOOKUP($A164&amp;" GNCP",'2017 TEST'!$A$13:$R$274,'2017 TEST'!H$9,FALSE)</f>
        <v>351419.05588015489</v>
      </c>
      <c r="K164" s="145">
        <f>VLOOKUP($A164&amp;" GNCP",'2017 TEST'!$A$13:$R$274,'2017 TEST'!I$9,FALSE)</f>
        <v>357853.66143690783</v>
      </c>
      <c r="L164" s="145">
        <f>VLOOKUP($A164&amp;" GNCP",'2017 TEST'!$A$13:$R$274,'2017 TEST'!J$9,FALSE)</f>
        <v>353564.7650832223</v>
      </c>
      <c r="M164" s="145">
        <f>VLOOKUP($A164&amp;" GNCP",'2017 TEST'!$A$13:$R$274,'2017 TEST'!K$9,FALSE)</f>
        <v>369017.27366884856</v>
      </c>
      <c r="N164" s="145">
        <f>VLOOKUP($A164&amp;" GNCP",'2017 TEST'!$A$13:$R$274,'2017 TEST'!L$9,FALSE)</f>
        <v>347695.94641523022</v>
      </c>
      <c r="O164" s="145">
        <f>VLOOKUP($A164&amp;" GNCP",'2017 TEST'!$A$13:$R$274,'2017 TEST'!M$9,FALSE)</f>
        <v>360255.98288697412</v>
      </c>
      <c r="P164" s="145">
        <f>VLOOKUP($A164&amp;" GNCP",'2017 TEST'!$A$13:$R$274,'2017 TEST'!N$9,FALSE)</f>
        <v>358198.02019957156</v>
      </c>
      <c r="Q164" s="240"/>
      <c r="R164" s="240"/>
      <c r="T164" s="206" t="s">
        <v>342</v>
      </c>
      <c r="U164" s="523">
        <v>364887.57950277161</v>
      </c>
      <c r="V164" s="523">
        <v>352583.97572562215</v>
      </c>
      <c r="W164" s="523">
        <v>327008.4660980269</v>
      </c>
      <c r="X164" s="523">
        <v>334280.01410252368</v>
      </c>
      <c r="Y164" s="523">
        <v>337928.17807881092</v>
      </c>
      <c r="Z164" s="523">
        <v>351419.05588015489</v>
      </c>
      <c r="AA164" s="523">
        <v>357853.66143690783</v>
      </c>
      <c r="AB164" s="523">
        <v>353564.7650832223</v>
      </c>
      <c r="AC164" s="523">
        <v>369017.27366884856</v>
      </c>
      <c r="AD164" s="523">
        <v>347695.94641523022</v>
      </c>
      <c r="AE164" s="523">
        <v>360255.98288697412</v>
      </c>
      <c r="AF164" s="523">
        <v>358198.02019957156</v>
      </c>
      <c r="AG164"/>
      <c r="AH164" s="526">
        <f t="shared" si="195"/>
        <v>0</v>
      </c>
      <c r="AI164" s="526">
        <f t="shared" si="184"/>
        <v>0</v>
      </c>
      <c r="AJ164" s="526">
        <f t="shared" si="185"/>
        <v>0</v>
      </c>
      <c r="AK164" s="526">
        <f t="shared" si="186"/>
        <v>0</v>
      </c>
      <c r="AL164" s="526">
        <f t="shared" si="187"/>
        <v>0</v>
      </c>
      <c r="AM164" s="526">
        <f t="shared" si="188"/>
        <v>0</v>
      </c>
      <c r="AN164" s="526">
        <f t="shared" si="189"/>
        <v>0</v>
      </c>
      <c r="AO164" s="526">
        <f t="shared" si="190"/>
        <v>0</v>
      </c>
      <c r="AP164" s="526">
        <f t="shared" si="191"/>
        <v>0</v>
      </c>
      <c r="AQ164" s="526">
        <f t="shared" si="192"/>
        <v>0</v>
      </c>
      <c r="AR164" s="526">
        <f t="shared" si="193"/>
        <v>0</v>
      </c>
      <c r="AS164" s="526">
        <f t="shared" si="194"/>
        <v>0</v>
      </c>
    </row>
    <row r="165" spans="1:45" s="518" customFormat="1">
      <c r="A165" t="s">
        <v>69</v>
      </c>
      <c r="B165" t="s">
        <v>713</v>
      </c>
      <c r="C165" s="240" t="s">
        <v>133</v>
      </c>
      <c r="D165" s="240"/>
      <c r="E165" s="145">
        <f>VLOOKUP($A165&amp;" NCP",'2017 TEST'!$A$13:$R$274,'2017 TEST'!C$9,FALSE)</f>
        <v>450751.00525824953</v>
      </c>
      <c r="F165" s="145">
        <f>VLOOKUP($A165&amp;" NCP",'2017 TEST'!$A$13:$R$274,'2017 TEST'!D$9,FALSE)</f>
        <v>437031.83343359036</v>
      </c>
      <c r="G165" s="145">
        <f>VLOOKUP($A165&amp;" NCP",'2017 TEST'!$A$13:$R$274,'2017 TEST'!E$9,FALSE)</f>
        <v>406580.36542430503</v>
      </c>
      <c r="H165" s="145">
        <f>VLOOKUP($A165&amp;" NCP",'2017 TEST'!$A$13:$R$274,'2017 TEST'!F$9,FALSE)</f>
        <v>414178.38995005778</v>
      </c>
      <c r="I165" s="145">
        <f>VLOOKUP($A165&amp;" NCP",'2017 TEST'!$A$13:$R$274,'2017 TEST'!G$9,FALSE)</f>
        <v>421205.70278192882</v>
      </c>
      <c r="J165" s="145">
        <f>VLOOKUP($A165&amp;" NCP",'2017 TEST'!$A$13:$R$274,'2017 TEST'!H$9,FALSE)</f>
        <v>437137.93302910629</v>
      </c>
      <c r="K165" s="145">
        <f>VLOOKUP($A165&amp;" NCP",'2017 TEST'!$A$13:$R$274,'2017 TEST'!I$9,FALSE)</f>
        <v>446577.44094397483</v>
      </c>
      <c r="L165" s="145">
        <f>VLOOKUP($A165&amp;" NCP",'2017 TEST'!$A$13:$R$274,'2017 TEST'!J$9,FALSE)</f>
        <v>441975.42238874774</v>
      </c>
      <c r="M165" s="145">
        <f>VLOOKUP($A165&amp;" NCP",'2017 TEST'!$A$13:$R$274,'2017 TEST'!K$9,FALSE)</f>
        <v>460738.40953069774</v>
      </c>
      <c r="N165" s="145">
        <f>VLOOKUP($A165&amp;" NCP",'2017 TEST'!$A$13:$R$274,'2017 TEST'!L$9,FALSE)</f>
        <v>437853.24669540901</v>
      </c>
      <c r="O165" s="145">
        <f>VLOOKUP($A165&amp;" NCP",'2017 TEST'!$A$13:$R$274,'2017 TEST'!M$9,FALSE)</f>
        <v>441706.24083108903</v>
      </c>
      <c r="P165" s="145">
        <f>VLOOKUP($A165&amp;" NCP",'2017 TEST'!$A$13:$R$274,'2017 TEST'!N$9,FALSE)</f>
        <v>441763.67475281918</v>
      </c>
      <c r="Q165" s="240"/>
      <c r="R165" s="240"/>
      <c r="T165" s="206" t="s">
        <v>133</v>
      </c>
      <c r="U165" s="523">
        <v>450751.00525824953</v>
      </c>
      <c r="V165" s="523">
        <v>437031.83343359036</v>
      </c>
      <c r="W165" s="523">
        <v>406580.36542430503</v>
      </c>
      <c r="X165" s="523">
        <v>414178.38995005778</v>
      </c>
      <c r="Y165" s="523">
        <v>421205.70278192882</v>
      </c>
      <c r="Z165" s="523">
        <v>437137.93302910629</v>
      </c>
      <c r="AA165" s="523">
        <v>446577.44094397483</v>
      </c>
      <c r="AB165" s="523">
        <v>441975.42238874774</v>
      </c>
      <c r="AC165" s="523">
        <v>460738.40953069774</v>
      </c>
      <c r="AD165" s="523">
        <v>437853.24669540901</v>
      </c>
      <c r="AE165" s="523">
        <v>441706.24083108903</v>
      </c>
      <c r="AF165" s="523">
        <v>441763.67475281918</v>
      </c>
      <c r="AG165"/>
      <c r="AH165" s="526">
        <f t="shared" si="195"/>
        <v>0</v>
      </c>
      <c r="AI165" s="526">
        <f t="shared" si="184"/>
        <v>0</v>
      </c>
      <c r="AJ165" s="526">
        <f t="shared" si="185"/>
        <v>0</v>
      </c>
      <c r="AK165" s="526">
        <f t="shared" si="186"/>
        <v>0</v>
      </c>
      <c r="AL165" s="526">
        <f t="shared" si="187"/>
        <v>0</v>
      </c>
      <c r="AM165" s="526">
        <f t="shared" si="188"/>
        <v>0</v>
      </c>
      <c r="AN165" s="526">
        <f t="shared" si="189"/>
        <v>0</v>
      </c>
      <c r="AO165" s="526">
        <f t="shared" si="190"/>
        <v>0</v>
      </c>
      <c r="AP165" s="526">
        <f t="shared" si="191"/>
        <v>0</v>
      </c>
      <c r="AQ165" s="526">
        <f t="shared" si="192"/>
        <v>0</v>
      </c>
      <c r="AR165" s="526">
        <f t="shared" si="193"/>
        <v>0</v>
      </c>
      <c r="AS165" s="526">
        <f>AF165-P165</f>
        <v>0</v>
      </c>
    </row>
    <row r="166" spans="1:45" s="518" customFormat="1">
      <c r="A166" t="s">
        <v>69</v>
      </c>
      <c r="B166" t="s">
        <v>713</v>
      </c>
      <c r="C166" s="240" t="s">
        <v>1197</v>
      </c>
      <c r="D166" s="240"/>
      <c r="E166" s="230">
        <f>VLOOKUP($A166&amp;" CP - L.F.",'2017 TEST'!$A$13:$R$274,'2017 TEST'!C$9,FALSE)</f>
        <v>1.0315744931339021</v>
      </c>
      <c r="F166" s="230">
        <f>VLOOKUP($A166&amp;" CP - L.F.",'2017 TEST'!$A$13:$R$274,'2017 TEST'!D$9,FALSE)</f>
        <v>0.82566780904677295</v>
      </c>
      <c r="G166" s="230">
        <f>VLOOKUP($A166&amp;" CP - L.F.",'2017 TEST'!$A$13:$R$274,'2017 TEST'!E$9,FALSE)</f>
        <v>0.94257293714037149</v>
      </c>
      <c r="H166" s="230">
        <f>VLOOKUP($A166&amp;" CP - L.F.",'2017 TEST'!$A$13:$R$274,'2017 TEST'!F$9,FALSE)</f>
        <v>0.91363798388385842</v>
      </c>
      <c r="I166" s="230">
        <f>VLOOKUP($A166&amp;" CP - L.F.",'2017 TEST'!$A$13:$R$274,'2017 TEST'!G$9,FALSE)</f>
        <v>0.92324213362707752</v>
      </c>
      <c r="J166" s="230">
        <f>VLOOKUP($A166&amp;" CP - L.F.",'2017 TEST'!$A$13:$R$274,'2017 TEST'!H$9,FALSE)</f>
        <v>0.95725061422752555</v>
      </c>
      <c r="K166" s="230">
        <f>VLOOKUP($A166&amp;" CP - L.F.",'2017 TEST'!$A$13:$R$274,'2017 TEST'!I$9,FALSE)</f>
        <v>0.93969307351868614</v>
      </c>
      <c r="L166" s="230">
        <f>VLOOKUP($A166&amp;" CP - L.F.",'2017 TEST'!$A$13:$R$274,'2017 TEST'!J$9,FALSE)</f>
        <v>0.96864225040557017</v>
      </c>
      <c r="M166" s="230">
        <f>VLOOKUP($A166&amp;" CP - L.F.",'2017 TEST'!$A$13:$R$274,'2017 TEST'!K$9,FALSE)</f>
        <v>0.95152974972597526</v>
      </c>
      <c r="N166" s="230">
        <f>VLOOKUP($A166&amp;" CP - L.F.",'2017 TEST'!$A$13:$R$274,'2017 TEST'!L$9,FALSE)</f>
        <v>0.89841072583110193</v>
      </c>
      <c r="O166" s="230">
        <f>VLOOKUP($A166&amp;" CP - L.F.",'2017 TEST'!$A$13:$R$274,'2017 TEST'!M$9,FALSE)</f>
        <v>0.82867747726501473</v>
      </c>
      <c r="P166" s="230">
        <f>VLOOKUP($A166&amp;" CP - L.F.",'2017 TEST'!$A$13:$R$274,'2017 TEST'!N$9,FALSE)</f>
        <v>0.8685835960529884</v>
      </c>
      <c r="Q166" s="240"/>
      <c r="R166" s="240"/>
      <c r="T166" s="206" t="s">
        <v>1197</v>
      </c>
      <c r="U166" s="524">
        <v>0.94456976345170574</v>
      </c>
      <c r="V166" s="524">
        <v>0.8200168732685571</v>
      </c>
      <c r="W166" s="524">
        <v>0.84238460245623092</v>
      </c>
      <c r="X166" s="524">
        <v>0.84590753328392831</v>
      </c>
      <c r="Y166" s="524">
        <v>0.83910873294554034</v>
      </c>
      <c r="Z166" s="524">
        <v>0.91031470323511221</v>
      </c>
      <c r="AA166" s="524">
        <v>0.88325403790707757</v>
      </c>
      <c r="AB166" s="524">
        <v>0.88272201758773672</v>
      </c>
      <c r="AC166" s="524">
        <v>0.94269528628056032</v>
      </c>
      <c r="AD166" s="524">
        <v>0.88087100613916602</v>
      </c>
      <c r="AE166" s="524">
        <v>0.84622750321664808</v>
      </c>
      <c r="AF166" s="524">
        <v>0.84655764559049318</v>
      </c>
      <c r="AG166"/>
      <c r="AH166" s="526">
        <f t="shared" si="195"/>
        <v>-8.7004729682196413E-2</v>
      </c>
      <c r="AI166" s="526">
        <f t="shared" si="184"/>
        <v>-5.6509357782158487E-3</v>
      </c>
      <c r="AJ166" s="526">
        <f t="shared" si="185"/>
        <v>-0.10018833468414057</v>
      </c>
      <c r="AK166" s="526">
        <f t="shared" si="186"/>
        <v>-6.7730450599930103E-2</v>
      </c>
      <c r="AL166" s="526">
        <f t="shared" si="187"/>
        <v>-8.4133400681537185E-2</v>
      </c>
      <c r="AM166" s="526">
        <f t="shared" si="188"/>
        <v>-4.6935910992413343E-2</v>
      </c>
      <c r="AN166" s="526">
        <f t="shared" si="189"/>
        <v>-5.6439035611608568E-2</v>
      </c>
      <c r="AO166" s="526">
        <f t="shared" si="190"/>
        <v>-8.5920232817833453E-2</v>
      </c>
      <c r="AP166" s="526">
        <f t="shared" si="191"/>
        <v>-8.8344634454149418E-3</v>
      </c>
      <c r="AQ166" s="526">
        <f t="shared" si="192"/>
        <v>-1.7539719691935907E-2</v>
      </c>
      <c r="AR166" s="526">
        <f t="shared" si="193"/>
        <v>1.7550025951633352E-2</v>
      </c>
      <c r="AS166" s="526">
        <f t="shared" ref="AS166:AS169" si="196">AF166-P166</f>
        <v>-2.2025950462495225E-2</v>
      </c>
    </row>
    <row r="167" spans="1:45" s="518" customFormat="1">
      <c r="A167" t="s">
        <v>69</v>
      </c>
      <c r="B167" t="s">
        <v>713</v>
      </c>
      <c r="C167" s="240" t="s">
        <v>1198</v>
      </c>
      <c r="D167" s="240"/>
      <c r="E167" s="230">
        <f>VLOOKUP($A167&amp;" GCP - L.F.",'2017 TEST'!$A$13:$R$274,'2017 TEST'!C$9,FALSE)</f>
        <v>0.78848428522528702</v>
      </c>
      <c r="F167" s="230">
        <f>VLOOKUP($A167&amp;" GCP - L.F.",'2017 TEST'!$A$13:$R$274,'2017 TEST'!D$9,FALSE)</f>
        <v>0.79548177398271169</v>
      </c>
      <c r="G167" s="230">
        <f>VLOOKUP($A167&amp;" GCP - L.F.",'2017 TEST'!$A$13:$R$274,'2017 TEST'!E$9,FALSE)</f>
        <v>0.7931124525729969</v>
      </c>
      <c r="H167" s="230">
        <f>VLOOKUP($A167&amp;" GCP - L.F.",'2017 TEST'!$A$13:$R$274,'2017 TEST'!F$9,FALSE)</f>
        <v>0.80691996732065219</v>
      </c>
      <c r="I167" s="230">
        <f>VLOOKUP($A167&amp;" GCP - L.F.",'2017 TEST'!$A$13:$R$274,'2017 TEST'!G$9,FALSE)</f>
        <v>0.82662475788553424</v>
      </c>
      <c r="J167" s="230">
        <f>VLOOKUP($A167&amp;" GCP - L.F.",'2017 TEST'!$A$13:$R$274,'2017 TEST'!H$9,FALSE)</f>
        <v>0.86657345779434203</v>
      </c>
      <c r="K167" s="230">
        <f>VLOOKUP($A167&amp;" GCP - L.F.",'2017 TEST'!$A$13:$R$274,'2017 TEST'!I$9,FALSE)</f>
        <v>0.84920295221365572</v>
      </c>
      <c r="L167" s="230">
        <f>VLOOKUP($A167&amp;" GCP - L.F.",'2017 TEST'!$A$13:$R$274,'2017 TEST'!J$9,FALSE)</f>
        <v>0.87020793538318542</v>
      </c>
      <c r="M167" s="230">
        <f>VLOOKUP($A167&amp;" GCP - L.F.",'2017 TEST'!$A$13:$R$274,'2017 TEST'!K$9,FALSE)</f>
        <v>0.83726953795524817</v>
      </c>
      <c r="N167" s="230">
        <f>VLOOKUP($A167&amp;" GCP - L.F.",'2017 TEST'!$A$13:$R$274,'2017 TEST'!L$9,FALSE)</f>
        <v>0.82437059970181958</v>
      </c>
      <c r="O167" s="230">
        <f>VLOOKUP($A167&amp;" GCP - L.F.",'2017 TEST'!$A$13:$R$274,'2017 TEST'!M$9,FALSE)</f>
        <v>0.77521201185823696</v>
      </c>
      <c r="P167" s="230">
        <f>VLOOKUP($A167&amp;" GCP - L.F.",'2017 TEST'!$A$13:$R$274,'2017 TEST'!N$9,FALSE)</f>
        <v>0.77630477835274181</v>
      </c>
      <c r="Q167" s="240"/>
      <c r="R167" s="240"/>
      <c r="T167" s="206" t="s">
        <v>1221</v>
      </c>
      <c r="U167" s="524">
        <v>0.78848428522528691</v>
      </c>
      <c r="V167" s="524">
        <v>0.79548177398271158</v>
      </c>
      <c r="W167" s="524">
        <v>0.79311245257299678</v>
      </c>
      <c r="X167" s="524">
        <v>0.80691996732065219</v>
      </c>
      <c r="Y167" s="524">
        <v>0.82662475788553424</v>
      </c>
      <c r="Z167" s="524">
        <v>0.86657345779434192</v>
      </c>
      <c r="AA167" s="524">
        <v>0.8492029522136556</v>
      </c>
      <c r="AB167" s="524">
        <v>0.8702079353831853</v>
      </c>
      <c r="AC167" s="524">
        <v>0.83726953795524839</v>
      </c>
      <c r="AD167" s="524">
        <v>0.82437059970181947</v>
      </c>
      <c r="AE167" s="524">
        <v>0.77521201185823685</v>
      </c>
      <c r="AF167" s="524">
        <v>0.77630477835274192</v>
      </c>
      <c r="AG167"/>
      <c r="AH167" s="526">
        <f t="shared" si="195"/>
        <v>0</v>
      </c>
      <c r="AI167" s="526">
        <f t="shared" si="184"/>
        <v>0</v>
      </c>
      <c r="AJ167" s="526">
        <f t="shared" si="185"/>
        <v>0</v>
      </c>
      <c r="AK167" s="526">
        <f t="shared" si="186"/>
        <v>0</v>
      </c>
      <c r="AL167" s="526">
        <f t="shared" si="187"/>
        <v>0</v>
      </c>
      <c r="AM167" s="526">
        <f t="shared" si="188"/>
        <v>0</v>
      </c>
      <c r="AN167" s="526">
        <f t="shared" si="189"/>
        <v>0</v>
      </c>
      <c r="AO167" s="526">
        <f t="shared" si="190"/>
        <v>0</v>
      </c>
      <c r="AP167" s="526">
        <f t="shared" si="191"/>
        <v>0</v>
      </c>
      <c r="AQ167" s="526">
        <f t="shared" si="192"/>
        <v>0</v>
      </c>
      <c r="AR167" s="526">
        <f t="shared" si="193"/>
        <v>0</v>
      </c>
      <c r="AS167" s="526">
        <f t="shared" si="196"/>
        <v>0</v>
      </c>
    </row>
    <row r="168" spans="1:45" s="518" customFormat="1">
      <c r="A168" t="s">
        <v>69</v>
      </c>
      <c r="B168" t="s">
        <v>713</v>
      </c>
      <c r="C168" s="240" t="s">
        <v>1199</v>
      </c>
      <c r="D168" s="240"/>
      <c r="E168" s="230">
        <f>VLOOKUP($A168&amp;" NCP - L.F.",'2017 TEST'!$A$13:$R$274,'2017 TEST'!C$9,FALSE)</f>
        <v>0.63828614679847662</v>
      </c>
      <c r="F168" s="230">
        <f>VLOOKUP($A168&amp;" NCP - L.F.",'2017 TEST'!$A$13:$R$274,'2017 TEST'!D$9,FALSE)</f>
        <v>0.64177047306718682</v>
      </c>
      <c r="G168" s="230">
        <f>VLOOKUP($A168&amp;" NCP - L.F.",'2017 TEST'!$A$13:$R$274,'2017 TEST'!E$9,FALSE)</f>
        <v>0.63789230522354146</v>
      </c>
      <c r="H168" s="230">
        <f>VLOOKUP($A168&amp;" NCP - L.F.",'2017 TEST'!$A$13:$R$274,'2017 TEST'!F$9,FALSE)</f>
        <v>0.65125855090624318</v>
      </c>
      <c r="I168" s="230">
        <f>VLOOKUP($A168&amp;" NCP - L.F.",'2017 TEST'!$A$13:$R$274,'2017 TEST'!G$9,FALSE)</f>
        <v>0.66319092201778573</v>
      </c>
      <c r="J168" s="230">
        <f>VLOOKUP($A168&amp;" NCP - L.F.",'2017 TEST'!$A$13:$R$274,'2017 TEST'!H$9,FALSE)</f>
        <v>0.69664607754050056</v>
      </c>
      <c r="K168" s="230">
        <f>VLOOKUP($A168&amp;" NCP - L.F.",'2017 TEST'!$A$13:$R$274,'2017 TEST'!I$9,FALSE)</f>
        <v>0.68048754346015561</v>
      </c>
      <c r="L168" s="230">
        <f>VLOOKUP($A168&amp;" NCP - L.F.",'2017 TEST'!$A$13:$R$274,'2017 TEST'!J$9,FALSE)</f>
        <v>0.69613568687692928</v>
      </c>
      <c r="M168" s="230">
        <f>VLOOKUP($A168&amp;" NCP - L.F.",'2017 TEST'!$A$13:$R$274,'2017 TEST'!K$9,FALSE)</f>
        <v>0.67059076437089749</v>
      </c>
      <c r="N168" s="230">
        <f>VLOOKUP($A168&amp;" NCP - L.F.",'2017 TEST'!$A$13:$R$274,'2017 TEST'!L$9,FALSE)</f>
        <v>0.65462644852696128</v>
      </c>
      <c r="O168" s="230">
        <f>VLOOKUP($A168&amp;" NCP - L.F.",'2017 TEST'!$A$13:$R$274,'2017 TEST'!M$9,FALSE)</f>
        <v>0.63226357126471766</v>
      </c>
      <c r="P168" s="230">
        <f>VLOOKUP($A168&amp;" NCP - L.F.",'2017 TEST'!$A$13:$R$274,'2017 TEST'!N$9,FALSE)</f>
        <v>0.62945608833276934</v>
      </c>
      <c r="Q168" s="240"/>
      <c r="R168" s="240"/>
      <c r="T168" s="206" t="s">
        <v>1199</v>
      </c>
      <c r="U168" s="524">
        <v>0.63828614679847651</v>
      </c>
      <c r="V168" s="524">
        <v>0.64177047306718671</v>
      </c>
      <c r="W168" s="524">
        <v>0.63789230522354146</v>
      </c>
      <c r="X168" s="524">
        <v>0.65125855090624318</v>
      </c>
      <c r="Y168" s="524">
        <v>0.66319092201778573</v>
      </c>
      <c r="Z168" s="524">
        <v>0.69664607754050045</v>
      </c>
      <c r="AA168" s="524">
        <v>0.68048754346015561</v>
      </c>
      <c r="AB168" s="524">
        <v>0.69613568687692917</v>
      </c>
      <c r="AC168" s="524">
        <v>0.6705907643708976</v>
      </c>
      <c r="AD168" s="524">
        <v>0.65462644852696128</v>
      </c>
      <c r="AE168" s="524">
        <v>0.63226357126471755</v>
      </c>
      <c r="AF168" s="524">
        <v>0.62945608833276956</v>
      </c>
      <c r="AG168"/>
      <c r="AH168" s="526">
        <f t="shared" si="195"/>
        <v>0</v>
      </c>
      <c r="AI168" s="526">
        <f t="shared" si="184"/>
        <v>0</v>
      </c>
      <c r="AJ168" s="526">
        <f t="shared" si="185"/>
        <v>0</v>
      </c>
      <c r="AK168" s="526">
        <f t="shared" si="186"/>
        <v>0</v>
      </c>
      <c r="AL168" s="526">
        <f t="shared" si="187"/>
        <v>0</v>
      </c>
      <c r="AM168" s="526">
        <f t="shared" si="188"/>
        <v>0</v>
      </c>
      <c r="AN168" s="526">
        <f t="shared" si="189"/>
        <v>0</v>
      </c>
      <c r="AO168" s="526">
        <f t="shared" si="190"/>
        <v>0</v>
      </c>
      <c r="AP168" s="526">
        <f t="shared" si="191"/>
        <v>0</v>
      </c>
      <c r="AQ168" s="526">
        <f t="shared" si="192"/>
        <v>0</v>
      </c>
      <c r="AR168" s="526">
        <f t="shared" si="193"/>
        <v>0</v>
      </c>
      <c r="AS168" s="526">
        <f t="shared" si="196"/>
        <v>0</v>
      </c>
    </row>
    <row r="169" spans="1:45" s="518" customFormat="1">
      <c r="A169" t="s">
        <v>69</v>
      </c>
      <c r="B169" t="s">
        <v>713</v>
      </c>
      <c r="C169" s="240" t="s">
        <v>1200</v>
      </c>
      <c r="D169" s="240"/>
      <c r="E169" s="145">
        <f>HOURS!$B$19</f>
        <v>744</v>
      </c>
      <c r="F169" s="145">
        <f>HOURS!$C$19</f>
        <v>672</v>
      </c>
      <c r="G169" s="145">
        <f>HOURS!$D$19</f>
        <v>744</v>
      </c>
      <c r="H169" s="145">
        <f>HOURS!$E$19</f>
        <v>720</v>
      </c>
      <c r="I169" s="145">
        <f>HOURS!$F$19</f>
        <v>744</v>
      </c>
      <c r="J169" s="145">
        <f>HOURS!$G$19</f>
        <v>720</v>
      </c>
      <c r="K169" s="145">
        <f>HOURS!$H$19</f>
        <v>744</v>
      </c>
      <c r="L169" s="145">
        <f>HOURS!$I$19</f>
        <v>744</v>
      </c>
      <c r="M169" s="145">
        <f>HOURS!$J$19</f>
        <v>720</v>
      </c>
      <c r="N169" s="145">
        <f>HOURS!$K$19</f>
        <v>744</v>
      </c>
      <c r="O169" s="145">
        <f>HOURS!$L$19</f>
        <v>720</v>
      </c>
      <c r="P169" s="145">
        <f>HOURS!$M$19</f>
        <v>744</v>
      </c>
      <c r="Q169" s="240"/>
      <c r="R169" s="240"/>
      <c r="T169" s="206" t="s">
        <v>1200</v>
      </c>
      <c r="U169" s="523">
        <v>744</v>
      </c>
      <c r="V169" s="523">
        <v>672</v>
      </c>
      <c r="W169" s="523">
        <v>744</v>
      </c>
      <c r="X169" s="523">
        <v>720</v>
      </c>
      <c r="Y169" s="523">
        <v>744</v>
      </c>
      <c r="Z169" s="523">
        <v>720</v>
      </c>
      <c r="AA169" s="523">
        <v>744</v>
      </c>
      <c r="AB169" s="523">
        <v>744</v>
      </c>
      <c r="AC169" s="523">
        <v>720</v>
      </c>
      <c r="AD169" s="523">
        <v>744</v>
      </c>
      <c r="AE169" s="523">
        <v>720</v>
      </c>
      <c r="AF169" s="523">
        <v>744</v>
      </c>
      <c r="AG169"/>
      <c r="AH169" s="526">
        <f t="shared" si="195"/>
        <v>0</v>
      </c>
      <c r="AI169" s="526">
        <f t="shared" si="184"/>
        <v>0</v>
      </c>
      <c r="AJ169" s="526">
        <f t="shared" si="185"/>
        <v>0</v>
      </c>
      <c r="AK169" s="526">
        <f t="shared" si="186"/>
        <v>0</v>
      </c>
      <c r="AL169" s="526">
        <f t="shared" si="187"/>
        <v>0</v>
      </c>
      <c r="AM169" s="526">
        <f t="shared" si="188"/>
        <v>0</v>
      </c>
      <c r="AN169" s="526">
        <f t="shared" si="189"/>
        <v>0</v>
      </c>
      <c r="AO169" s="526">
        <f t="shared" si="190"/>
        <v>0</v>
      </c>
      <c r="AP169" s="526">
        <f t="shared" si="191"/>
        <v>0</v>
      </c>
      <c r="AQ169" s="526">
        <f t="shared" si="192"/>
        <v>0</v>
      </c>
      <c r="AR169" s="526">
        <f t="shared" si="193"/>
        <v>0</v>
      </c>
      <c r="AS169" s="526">
        <f t="shared" si="196"/>
        <v>0</v>
      </c>
    </row>
    <row r="170" spans="1:45">
      <c r="T170"/>
      <c r="U170"/>
      <c r="V170"/>
      <c r="W170"/>
      <c r="X170"/>
      <c r="Y170"/>
      <c r="Z170"/>
      <c r="AA170"/>
      <c r="AB170"/>
      <c r="AC170"/>
      <c r="AD170"/>
      <c r="AE170"/>
      <c r="AF170"/>
      <c r="AG170"/>
      <c r="AH170" s="526"/>
      <c r="AI170" s="526"/>
      <c r="AJ170" s="526"/>
      <c r="AK170" s="526"/>
      <c r="AL170" s="526"/>
      <c r="AM170" s="526"/>
      <c r="AN170" s="526"/>
      <c r="AO170" s="526"/>
      <c r="AP170" s="526"/>
      <c r="AQ170" s="526"/>
      <c r="AR170" s="526"/>
      <c r="AS170" s="526"/>
    </row>
    <row r="171" spans="1:45">
      <c r="A171" t="s">
        <v>52</v>
      </c>
      <c r="B171" t="s">
        <v>717</v>
      </c>
      <c r="C171" t="s">
        <v>1099</v>
      </c>
      <c r="T171" s="522" t="s">
        <v>1229</v>
      </c>
      <c r="U171" s="523"/>
      <c r="V171" s="523"/>
      <c r="W171" s="523"/>
      <c r="X171" s="523"/>
      <c r="Y171" s="523"/>
      <c r="Z171" s="523"/>
      <c r="AA171" s="523"/>
      <c r="AB171" s="523"/>
      <c r="AC171" s="523"/>
      <c r="AD171" s="523"/>
      <c r="AE171" s="523"/>
      <c r="AF171" s="523"/>
      <c r="AG171"/>
      <c r="AH171" s="526"/>
      <c r="AI171" s="526"/>
      <c r="AJ171" s="526"/>
      <c r="AK171" s="526"/>
      <c r="AL171" s="526"/>
      <c r="AM171" s="526"/>
      <c r="AN171" s="526"/>
      <c r="AO171" s="526"/>
      <c r="AP171" s="526"/>
      <c r="AQ171" s="526"/>
      <c r="AR171" s="526"/>
      <c r="AS171" s="526"/>
    </row>
    <row r="172" spans="1:45" ht="15.6">
      <c r="A172" t="s">
        <v>52</v>
      </c>
      <c r="B172" t="s">
        <v>717</v>
      </c>
      <c r="C172" s="251" t="s">
        <v>1201</v>
      </c>
      <c r="D172" s="251"/>
      <c r="E172" s="145">
        <f>VLOOKUP($A172&amp;" KWH Sales",'2017 TEST'!$A$13:$R$274,'2017 TEST'!C$9,FALSE)/1000</f>
        <v>15148.163</v>
      </c>
      <c r="F172" s="145">
        <f>VLOOKUP($A172&amp;" KWH Sales",'2017 TEST'!$A$13:$R$274,'2017 TEST'!D$9,FALSE)/1000</f>
        <v>16443.605</v>
      </c>
      <c r="G172" s="145">
        <f>VLOOKUP($A172&amp;" KWH Sales",'2017 TEST'!$A$13:$R$274,'2017 TEST'!E$9,FALSE)/1000</f>
        <v>14960.739</v>
      </c>
      <c r="H172" s="145">
        <f>VLOOKUP($A172&amp;" KWH Sales",'2017 TEST'!$A$13:$R$274,'2017 TEST'!F$9,FALSE)/1000</f>
        <v>15206.466</v>
      </c>
      <c r="I172" s="145">
        <f>VLOOKUP($A172&amp;" KWH Sales",'2017 TEST'!$A$13:$R$274,'2017 TEST'!G$9,FALSE)/1000</f>
        <v>16116.48</v>
      </c>
      <c r="J172" s="145">
        <f>VLOOKUP($A172&amp;" KWH Sales",'2017 TEST'!$A$13:$R$274,'2017 TEST'!H$9,FALSE)/1000</f>
        <v>16104.073</v>
      </c>
      <c r="K172" s="145">
        <f>VLOOKUP($A172&amp;" KWH Sales",'2017 TEST'!$A$13:$R$274,'2017 TEST'!I$9,FALSE)/1000</f>
        <v>13743.742</v>
      </c>
      <c r="L172" s="145">
        <f>VLOOKUP($A172&amp;" KWH Sales",'2017 TEST'!$A$13:$R$274,'2017 TEST'!J$9,FALSE)/1000</f>
        <v>14208.254000000001</v>
      </c>
      <c r="M172" s="145">
        <f>VLOOKUP($A172&amp;" KWH Sales",'2017 TEST'!$A$13:$R$274,'2017 TEST'!K$9,FALSE)/1000</f>
        <v>12822.300999999999</v>
      </c>
      <c r="N172" s="145">
        <f>VLOOKUP($A172&amp;" KWH Sales",'2017 TEST'!$A$13:$R$274,'2017 TEST'!L$9,FALSE)/1000</f>
        <v>13194.995999999999</v>
      </c>
      <c r="O172" s="145">
        <f>VLOOKUP($A172&amp;" KWH Sales",'2017 TEST'!$A$13:$R$274,'2017 TEST'!M$9,FALSE)/1000</f>
        <v>12004.69</v>
      </c>
      <c r="P172" s="145">
        <f>VLOOKUP($A172&amp;" KWH Sales",'2017 TEST'!$A$13:$R$274,'2017 TEST'!N$9,FALSE)/1000</f>
        <v>13038.751</v>
      </c>
      <c r="T172" s="206" t="s">
        <v>1261</v>
      </c>
      <c r="U172" s="523">
        <v>15148.163</v>
      </c>
      <c r="V172" s="523">
        <v>16443.605</v>
      </c>
      <c r="W172" s="523">
        <v>14960.739</v>
      </c>
      <c r="X172" s="523">
        <v>15206.466</v>
      </c>
      <c r="Y172" s="523">
        <v>16116.48</v>
      </c>
      <c r="Z172" s="523">
        <v>16104.073</v>
      </c>
      <c r="AA172" s="523">
        <v>13743.742</v>
      </c>
      <c r="AB172" s="523">
        <v>14208.254000000001</v>
      </c>
      <c r="AC172" s="523">
        <v>12822.300999999999</v>
      </c>
      <c r="AD172" s="523">
        <v>13194.995999999999</v>
      </c>
      <c r="AE172" s="523">
        <v>12004.69</v>
      </c>
      <c r="AF172" s="523">
        <v>13038.751</v>
      </c>
      <c r="AG172"/>
      <c r="AH172" s="526">
        <f>U172-E172</f>
        <v>0</v>
      </c>
      <c r="AI172" s="526">
        <f t="shared" ref="AI172:AI179" si="197">V172-F172</f>
        <v>0</v>
      </c>
      <c r="AJ172" s="526">
        <f t="shared" ref="AJ172:AJ179" si="198">W172-G172</f>
        <v>0</v>
      </c>
      <c r="AK172" s="526">
        <f t="shared" ref="AK172:AK179" si="199">X172-H172</f>
        <v>0</v>
      </c>
      <c r="AL172" s="526">
        <f t="shared" ref="AL172:AL179" si="200">Y172-I172</f>
        <v>0</v>
      </c>
      <c r="AM172" s="526">
        <f t="shared" ref="AM172:AM179" si="201">Z172-J172</f>
        <v>0</v>
      </c>
      <c r="AN172" s="526">
        <f t="shared" ref="AN172:AN179" si="202">AA172-K172</f>
        <v>0</v>
      </c>
      <c r="AO172" s="526">
        <f t="shared" ref="AO172:AO179" si="203">AB172-L172</f>
        <v>0</v>
      </c>
      <c r="AP172" s="526">
        <f t="shared" ref="AP172:AP179" si="204">AC172-M172</f>
        <v>0</v>
      </c>
      <c r="AQ172" s="526">
        <f t="shared" ref="AQ172:AQ179" si="205">AD172-N172</f>
        <v>0</v>
      </c>
      <c r="AR172" s="526">
        <f t="shared" ref="AR172:AR179" si="206">AE172-O172</f>
        <v>0</v>
      </c>
      <c r="AS172" s="526">
        <f t="shared" ref="AS172:AS174" si="207">AF172-P172</f>
        <v>0</v>
      </c>
    </row>
    <row r="173" spans="1:45">
      <c r="A173" t="s">
        <v>52</v>
      </c>
      <c r="B173" t="s">
        <v>717</v>
      </c>
      <c r="C173" s="240" t="s">
        <v>148</v>
      </c>
      <c r="D173" s="240"/>
      <c r="E173" s="145">
        <f>VLOOKUP($A173&amp;" CP",'2017 TEST'!$A$13:$R$274,'2017 TEST'!C$9,FALSE)</f>
        <v>22546.288741339005</v>
      </c>
      <c r="F173" s="145">
        <f>VLOOKUP($A173&amp;" CP",'2017 TEST'!$A$13:$R$274,'2017 TEST'!D$9,FALSE)</f>
        <v>26328.467026883409</v>
      </c>
      <c r="G173" s="145">
        <f>VLOOKUP($A173&amp;" CP",'2017 TEST'!$A$13:$R$274,'2017 TEST'!E$9,FALSE)</f>
        <v>25352.986687441775</v>
      </c>
      <c r="H173" s="145">
        <f>VLOOKUP($A173&amp;" CP",'2017 TEST'!$A$13:$R$274,'2017 TEST'!F$9,FALSE)</f>
        <v>27078.354683110661</v>
      </c>
      <c r="I173" s="145">
        <f>VLOOKUP($A173&amp;" CP",'2017 TEST'!$A$13:$R$274,'2017 TEST'!G$9,FALSE)</f>
        <v>24834.778915500832</v>
      </c>
      <c r="J173" s="145">
        <f>VLOOKUP($A173&amp;" CP",'2017 TEST'!$A$13:$R$274,'2017 TEST'!H$9,FALSE)</f>
        <v>26616.790102447776</v>
      </c>
      <c r="K173" s="145">
        <f>VLOOKUP($A173&amp;" CP",'2017 TEST'!$A$13:$R$274,'2017 TEST'!I$9,FALSE)</f>
        <v>22699.210291129508</v>
      </c>
      <c r="L173" s="145">
        <f>VLOOKUP($A173&amp;" CP",'2017 TEST'!$A$13:$R$274,'2017 TEST'!J$9,FALSE)</f>
        <v>25653.857937895773</v>
      </c>
      <c r="M173" s="145">
        <f>VLOOKUP($A173&amp;" CP",'2017 TEST'!$A$13:$R$274,'2017 TEST'!K$9,FALSE)</f>
        <v>18977.582687882652</v>
      </c>
      <c r="N173" s="145">
        <f>VLOOKUP($A173&amp;" CP",'2017 TEST'!$A$13:$R$274,'2017 TEST'!L$9,FALSE)</f>
        <v>21283.473050646378</v>
      </c>
      <c r="O173" s="145">
        <f>VLOOKUP($A173&amp;" CP",'2017 TEST'!$A$13:$R$274,'2017 TEST'!M$9,FALSE)</f>
        <v>17671.113815647899</v>
      </c>
      <c r="P173" s="145">
        <f>VLOOKUP($A173&amp;" CP",'2017 TEST'!$A$13:$R$274,'2017 TEST'!N$9,FALSE)</f>
        <v>17189.029539196759</v>
      </c>
      <c r="T173" s="206" t="s">
        <v>148</v>
      </c>
      <c r="U173" s="523">
        <v>22546.328038448893</v>
      </c>
      <c r="V173" s="523">
        <v>26328.565582320298</v>
      </c>
      <c r="W173" s="523">
        <v>25352.92722205813</v>
      </c>
      <c r="X173" s="523">
        <v>27078.084520101496</v>
      </c>
      <c r="Y173" s="523">
        <v>24835.023703746898</v>
      </c>
      <c r="Z173" s="523">
        <v>26616.829507458733</v>
      </c>
      <c r="AA173" s="523">
        <v>22699.278163185329</v>
      </c>
      <c r="AB173" s="523">
        <v>25653.790982650848</v>
      </c>
      <c r="AC173" s="523">
        <v>18977.554842193043</v>
      </c>
      <c r="AD173" s="523">
        <v>21283.467163020443</v>
      </c>
      <c r="AE173" s="523">
        <v>17671.136210101926</v>
      </c>
      <c r="AF173" s="523">
        <v>17189.016529539105</v>
      </c>
      <c r="AG173"/>
      <c r="AH173" s="526">
        <f t="shared" ref="AH173:AH179" si="208">U173-E173</f>
        <v>3.9297109888138948E-2</v>
      </c>
      <c r="AI173" s="526">
        <f t="shared" si="197"/>
        <v>9.8555436889000703E-2</v>
      </c>
      <c r="AJ173" s="526">
        <f t="shared" si="198"/>
        <v>-5.9465383645147085E-2</v>
      </c>
      <c r="AK173" s="526">
        <f t="shared" si="199"/>
        <v>-0.27016300916511682</v>
      </c>
      <c r="AL173" s="526">
        <f t="shared" si="200"/>
        <v>0.24478824606558192</v>
      </c>
      <c r="AM173" s="526">
        <f t="shared" si="201"/>
        <v>3.9405010957125342E-2</v>
      </c>
      <c r="AN173" s="526">
        <f t="shared" si="202"/>
        <v>6.7872055820771493E-2</v>
      </c>
      <c r="AO173" s="526">
        <f t="shared" si="203"/>
        <v>-6.6955244925338775E-2</v>
      </c>
      <c r="AP173" s="526">
        <f t="shared" si="204"/>
        <v>-2.7845689608511748E-2</v>
      </c>
      <c r="AQ173" s="526">
        <f t="shared" si="205"/>
        <v>-5.8876259354292415E-3</v>
      </c>
      <c r="AR173" s="526">
        <f t="shared" si="206"/>
        <v>2.2394454026652966E-2</v>
      </c>
      <c r="AS173" s="526">
        <f t="shared" si="207"/>
        <v>-1.3009657654038165E-2</v>
      </c>
    </row>
    <row r="174" spans="1:45">
      <c r="A174" t="s">
        <v>52</v>
      </c>
      <c r="B174" t="s">
        <v>717</v>
      </c>
      <c r="C174" s="240" t="s">
        <v>147</v>
      </c>
      <c r="D174" s="240"/>
      <c r="E174" s="145">
        <f>VLOOKUP($A174&amp;" GNCP",'2017 TEST'!$A$13:$R$274,'2017 TEST'!C$9,FALSE)</f>
        <v>27380.683146390817</v>
      </c>
      <c r="F174" s="145">
        <f>VLOOKUP($A174&amp;" GNCP",'2017 TEST'!$A$13:$R$274,'2017 TEST'!D$9,FALSE)</f>
        <v>36183.576392223775</v>
      </c>
      <c r="G174" s="145">
        <f>VLOOKUP($A174&amp;" GNCP",'2017 TEST'!$A$13:$R$274,'2017 TEST'!E$9,FALSE)</f>
        <v>28922.057366479581</v>
      </c>
      <c r="H174" s="145">
        <f>VLOOKUP($A174&amp;" GNCP",'2017 TEST'!$A$13:$R$274,'2017 TEST'!F$9,FALSE)</f>
        <v>31958.381878042073</v>
      </c>
      <c r="I174" s="145">
        <f>VLOOKUP($A174&amp;" GNCP",'2017 TEST'!$A$13:$R$274,'2017 TEST'!G$9,FALSE)</f>
        <v>31038.891568586663</v>
      </c>
      <c r="J174" s="145">
        <f>VLOOKUP($A174&amp;" GNCP",'2017 TEST'!$A$13:$R$274,'2017 TEST'!H$9,FALSE)</f>
        <v>33975.765575338191</v>
      </c>
      <c r="K174" s="145">
        <f>VLOOKUP($A174&amp;" GNCP",'2017 TEST'!$A$13:$R$274,'2017 TEST'!I$9,FALSE)</f>
        <v>25818.698279335804</v>
      </c>
      <c r="L174" s="145">
        <f>VLOOKUP($A174&amp;" GNCP",'2017 TEST'!$A$13:$R$274,'2017 TEST'!J$9,FALSE)</f>
        <v>28906.859855872557</v>
      </c>
      <c r="M174" s="145">
        <f>VLOOKUP($A174&amp;" GNCP",'2017 TEST'!$A$13:$R$274,'2017 TEST'!K$9,FALSE)</f>
        <v>27487.675292421976</v>
      </c>
      <c r="N174" s="145">
        <f>VLOOKUP($A174&amp;" GNCP",'2017 TEST'!$A$13:$R$274,'2017 TEST'!L$9,FALSE)</f>
        <v>27112.400607396637</v>
      </c>
      <c r="O174" s="145">
        <f>VLOOKUP($A174&amp;" GNCP",'2017 TEST'!$A$13:$R$274,'2017 TEST'!M$9,FALSE)</f>
        <v>25303.056522634241</v>
      </c>
      <c r="P174" s="145">
        <f>VLOOKUP($A174&amp;" GNCP",'2017 TEST'!$A$13:$R$274,'2017 TEST'!N$9,FALSE)</f>
        <v>25394.551630268208</v>
      </c>
      <c r="T174" s="206" t="s">
        <v>342</v>
      </c>
      <c r="U174" s="523">
        <v>27380.683146390817</v>
      </c>
      <c r="V174" s="523">
        <v>36183.576392223775</v>
      </c>
      <c r="W174" s="523">
        <v>28922.057366479581</v>
      </c>
      <c r="X174" s="523">
        <v>31958.381878042073</v>
      </c>
      <c r="Y174" s="523">
        <v>31038.891568586663</v>
      </c>
      <c r="Z174" s="523">
        <v>33975.765575338191</v>
      </c>
      <c r="AA174" s="523">
        <v>25818.698279335804</v>
      </c>
      <c r="AB174" s="523">
        <v>28906.859855872557</v>
      </c>
      <c r="AC174" s="523">
        <v>27487.675292421976</v>
      </c>
      <c r="AD174" s="523">
        <v>27112.400607396637</v>
      </c>
      <c r="AE174" s="523">
        <v>25303.056522634241</v>
      </c>
      <c r="AF174" s="523">
        <v>25394.551630268208</v>
      </c>
      <c r="AG174"/>
      <c r="AH174" s="526">
        <f t="shared" si="208"/>
        <v>0</v>
      </c>
      <c r="AI174" s="526">
        <f t="shared" si="197"/>
        <v>0</v>
      </c>
      <c r="AJ174" s="526">
        <f t="shared" si="198"/>
        <v>0</v>
      </c>
      <c r="AK174" s="526">
        <f t="shared" si="199"/>
        <v>0</v>
      </c>
      <c r="AL174" s="526">
        <f t="shared" si="200"/>
        <v>0</v>
      </c>
      <c r="AM174" s="526">
        <f t="shared" si="201"/>
        <v>0</v>
      </c>
      <c r="AN174" s="526">
        <f t="shared" si="202"/>
        <v>0</v>
      </c>
      <c r="AO174" s="526">
        <f t="shared" si="203"/>
        <v>0</v>
      </c>
      <c r="AP174" s="526">
        <f t="shared" si="204"/>
        <v>0</v>
      </c>
      <c r="AQ174" s="526">
        <f t="shared" si="205"/>
        <v>0</v>
      </c>
      <c r="AR174" s="526">
        <f t="shared" si="206"/>
        <v>0</v>
      </c>
      <c r="AS174" s="526">
        <f t="shared" si="207"/>
        <v>0</v>
      </c>
    </row>
    <row r="175" spans="1:45">
      <c r="A175" t="s">
        <v>52</v>
      </c>
      <c r="B175" t="s">
        <v>717</v>
      </c>
      <c r="C175" s="240" t="s">
        <v>133</v>
      </c>
      <c r="D175" s="240"/>
      <c r="E175" s="145">
        <f>VLOOKUP($A175&amp;" NCP",'2017 TEST'!$A$13:$R$274,'2017 TEST'!C$9,FALSE)</f>
        <v>34932.455366929462</v>
      </c>
      <c r="F175" s="145">
        <f>VLOOKUP($A175&amp;" NCP",'2017 TEST'!$A$13:$R$274,'2017 TEST'!D$9,FALSE)</f>
        <v>42817.111829887137</v>
      </c>
      <c r="G175" s="145">
        <f>VLOOKUP($A175&amp;" NCP",'2017 TEST'!$A$13:$R$274,'2017 TEST'!E$9,FALSE)</f>
        <v>36442.631007449134</v>
      </c>
      <c r="H175" s="145">
        <f>VLOOKUP($A175&amp;" NCP",'2017 TEST'!$A$13:$R$274,'2017 TEST'!F$9,FALSE)</f>
        <v>37758.092011112749</v>
      </c>
      <c r="I175" s="145">
        <f>VLOOKUP($A175&amp;" NCP",'2017 TEST'!$A$13:$R$274,'2017 TEST'!G$9,FALSE)</f>
        <v>37992.026316302392</v>
      </c>
      <c r="J175" s="145">
        <f>VLOOKUP($A175&amp;" NCP",'2017 TEST'!$A$13:$R$274,'2017 TEST'!H$9,FALSE)</f>
        <v>41596.436313306571</v>
      </c>
      <c r="K175" s="145">
        <f>VLOOKUP($A175&amp;" NCP",'2017 TEST'!$A$13:$R$274,'2017 TEST'!I$9,FALSE)</f>
        <v>33414.648319386113</v>
      </c>
      <c r="L175" s="145">
        <f>VLOOKUP($A175&amp;" NCP",'2017 TEST'!$A$13:$R$274,'2017 TEST'!J$9,FALSE)</f>
        <v>32680.020319588162</v>
      </c>
      <c r="M175" s="145">
        <f>VLOOKUP($A175&amp;" NCP",'2017 TEST'!$A$13:$R$274,'2017 TEST'!K$9,FALSE)</f>
        <v>33164.308317758558</v>
      </c>
      <c r="N175" s="145">
        <f>VLOOKUP($A175&amp;" NCP",'2017 TEST'!$A$13:$R$274,'2017 TEST'!L$9,FALSE)</f>
        <v>32760.129617737512</v>
      </c>
      <c r="O175" s="145">
        <f>VLOOKUP($A175&amp;" NCP",'2017 TEST'!$A$13:$R$274,'2017 TEST'!M$9,FALSE)</f>
        <v>34101.238985656164</v>
      </c>
      <c r="P175" s="145">
        <f>VLOOKUP($A175&amp;" NCP",'2017 TEST'!$A$13:$R$274,'2017 TEST'!N$9,FALSE)</f>
        <v>32251.040804944627</v>
      </c>
      <c r="T175" s="206" t="s">
        <v>133</v>
      </c>
      <c r="U175" s="523">
        <v>34932.455366929462</v>
      </c>
      <c r="V175" s="523">
        <v>42817.111829887137</v>
      </c>
      <c r="W175" s="523">
        <v>36442.631007449134</v>
      </c>
      <c r="X175" s="523">
        <v>37758.092011112749</v>
      </c>
      <c r="Y175" s="523">
        <v>37992.026316302392</v>
      </c>
      <c r="Z175" s="523">
        <v>41596.436313306571</v>
      </c>
      <c r="AA175" s="523">
        <v>33414.648319386113</v>
      </c>
      <c r="AB175" s="523">
        <v>32680.020319588162</v>
      </c>
      <c r="AC175" s="523">
        <v>33164.308317758558</v>
      </c>
      <c r="AD175" s="523">
        <v>32760.129617737512</v>
      </c>
      <c r="AE175" s="523">
        <v>34101.238985656164</v>
      </c>
      <c r="AF175" s="523">
        <v>32251.040804944627</v>
      </c>
      <c r="AG175"/>
      <c r="AH175" s="526">
        <f t="shared" si="208"/>
        <v>0</v>
      </c>
      <c r="AI175" s="526">
        <f t="shared" si="197"/>
        <v>0</v>
      </c>
      <c r="AJ175" s="526">
        <f t="shared" si="198"/>
        <v>0</v>
      </c>
      <c r="AK175" s="526">
        <f t="shared" si="199"/>
        <v>0</v>
      </c>
      <c r="AL175" s="526">
        <f t="shared" si="200"/>
        <v>0</v>
      </c>
      <c r="AM175" s="526">
        <f t="shared" si="201"/>
        <v>0</v>
      </c>
      <c r="AN175" s="526">
        <f t="shared" si="202"/>
        <v>0</v>
      </c>
      <c r="AO175" s="526">
        <f t="shared" si="203"/>
        <v>0</v>
      </c>
      <c r="AP175" s="526">
        <f t="shared" si="204"/>
        <v>0</v>
      </c>
      <c r="AQ175" s="526">
        <f t="shared" si="205"/>
        <v>0</v>
      </c>
      <c r="AR175" s="526">
        <f t="shared" si="206"/>
        <v>0</v>
      </c>
      <c r="AS175" s="526">
        <f>AF175-P175</f>
        <v>0</v>
      </c>
    </row>
    <row r="176" spans="1:45">
      <c r="A176" t="s">
        <v>52</v>
      </c>
      <c r="B176" t="s">
        <v>717</v>
      </c>
      <c r="C176" s="240" t="s">
        <v>1197</v>
      </c>
      <c r="D176" s="240"/>
      <c r="E176" s="230">
        <f>VLOOKUP($A176&amp;" CP - L.F.",'2017 TEST'!$A$13:$R$274,'2017 TEST'!C$9,FALSE)</f>
        <v>0.98621449471411038</v>
      </c>
      <c r="F176" s="230">
        <f>VLOOKUP($A176&amp;" CP - L.F.",'2017 TEST'!$A$13:$R$274,'2017 TEST'!D$9,FALSE)</f>
        <v>0.93579907076026014</v>
      </c>
      <c r="G176" s="230">
        <f>VLOOKUP($A176&amp;" CP - L.F.",'2017 TEST'!$A$13:$R$274,'2017 TEST'!E$9,FALSE)</f>
        <v>0.88745940813364743</v>
      </c>
      <c r="H176" s="230">
        <f>VLOOKUP($A176&amp;" CP - L.F.",'2017 TEST'!$A$13:$R$274,'2017 TEST'!F$9,FALSE)</f>
        <v>0.84240997239198023</v>
      </c>
      <c r="I176" s="230">
        <f>VLOOKUP($A176&amp;" CP - L.F.",'2017 TEST'!$A$13:$R$274,'2017 TEST'!G$9,FALSE)</f>
        <v>0.95967272748201327</v>
      </c>
      <c r="J176" s="230">
        <f>VLOOKUP($A176&amp;" CP - L.F.",'2017 TEST'!$A$13:$R$274,'2017 TEST'!H$9,FALSE)</f>
        <v>0.88364392160273686</v>
      </c>
      <c r="K176" s="230">
        <f>VLOOKUP($A176&amp;" CP - L.F.",'2017 TEST'!$A$13:$R$274,'2017 TEST'!I$9,FALSE)</f>
        <v>0.86579656246840642</v>
      </c>
      <c r="L176" s="230">
        <f>VLOOKUP($A176&amp;" CP - L.F.",'2017 TEST'!$A$13:$R$274,'2017 TEST'!J$9,FALSE)</f>
        <v>0.81686249471507089</v>
      </c>
      <c r="M176" s="230">
        <f>VLOOKUP($A176&amp;" CP - L.F.",'2017 TEST'!$A$13:$R$274,'2017 TEST'!K$9,FALSE)</f>
        <v>0.94720405483514281</v>
      </c>
      <c r="N176" s="230">
        <f>VLOOKUP($A176&amp;" CP - L.F.",'2017 TEST'!$A$13:$R$274,'2017 TEST'!L$9,FALSE)</f>
        <v>0.84987505816502251</v>
      </c>
      <c r="O176" s="230">
        <f>VLOOKUP($A176&amp;" CP - L.F.",'2017 TEST'!$A$13:$R$274,'2017 TEST'!M$9,FALSE)</f>
        <v>0.92396172634110796</v>
      </c>
      <c r="P176" s="230">
        <f>VLOOKUP($A176&amp;" CP - L.F.",'2017 TEST'!$A$13:$R$274,'2017 TEST'!N$9,FALSE)</f>
        <v>1.046080709066054</v>
      </c>
      <c r="T176" s="206" t="s">
        <v>1197</v>
      </c>
      <c r="U176" s="524">
        <v>0.90304878493135199</v>
      </c>
      <c r="V176" s="524">
        <v>0.92939549711171821</v>
      </c>
      <c r="W176" s="524">
        <v>0.79314392319144311</v>
      </c>
      <c r="X176" s="524">
        <v>0.77996992922405961</v>
      </c>
      <c r="Y176" s="524">
        <v>0.87223333234035916</v>
      </c>
      <c r="Z176" s="524">
        <v>0.84032427864061732</v>
      </c>
      <c r="AA176" s="524">
        <v>0.81380435856045341</v>
      </c>
      <c r="AB176" s="524">
        <v>0.74441690135827698</v>
      </c>
      <c r="AC176" s="524">
        <v>0.93841127252571332</v>
      </c>
      <c r="AD176" s="524">
        <v>0.83328573965777031</v>
      </c>
      <c r="AE176" s="524">
        <v>0.9435262315517734</v>
      </c>
      <c r="AF176" s="524">
        <v>1.01955821188911</v>
      </c>
      <c r="AG176"/>
      <c r="AH176" s="526">
        <f t="shared" si="208"/>
        <v>-8.316570978275839E-2</v>
      </c>
      <c r="AI176" s="526">
        <f t="shared" si="197"/>
        <v>-6.4035736485419381E-3</v>
      </c>
      <c r="AJ176" s="526">
        <f t="shared" si="198"/>
        <v>-9.431548494220432E-2</v>
      </c>
      <c r="AK176" s="526">
        <f t="shared" si="199"/>
        <v>-6.2440043167920622E-2</v>
      </c>
      <c r="AL176" s="526">
        <f t="shared" si="200"/>
        <v>-8.7439395141654108E-2</v>
      </c>
      <c r="AM176" s="526">
        <f t="shared" si="201"/>
        <v>-4.3319642962119542E-2</v>
      </c>
      <c r="AN176" s="526">
        <f t="shared" si="202"/>
        <v>-5.1992203907953005E-2</v>
      </c>
      <c r="AO176" s="526">
        <f t="shared" si="203"/>
        <v>-7.2445593356793903E-2</v>
      </c>
      <c r="AP176" s="526">
        <f t="shared" si="204"/>
        <v>-8.792782309429481E-3</v>
      </c>
      <c r="AQ176" s="526">
        <f t="shared" si="205"/>
        <v>-1.6589318507252204E-2</v>
      </c>
      <c r="AR176" s="526">
        <f t="shared" si="206"/>
        <v>1.9564505210665439E-2</v>
      </c>
      <c r="AS176" s="526">
        <f t="shared" ref="AS176:AS179" si="209">AF176-P176</f>
        <v>-2.6522497176943993E-2</v>
      </c>
    </row>
    <row r="177" spans="1:45">
      <c r="A177" t="s">
        <v>52</v>
      </c>
      <c r="B177" t="s">
        <v>717</v>
      </c>
      <c r="C177" s="240" t="s">
        <v>1198</v>
      </c>
      <c r="D177" s="240"/>
      <c r="E177" s="230">
        <f>VLOOKUP($A177&amp;" GCP - L.F.",'2017 TEST'!$A$13:$R$274,'2017 TEST'!C$9,FALSE)</f>
        <v>0.74360577604758393</v>
      </c>
      <c r="F177" s="230">
        <f>VLOOKUP($A177&amp;" GCP - L.F.",'2017 TEST'!$A$13:$R$274,'2017 TEST'!D$9,FALSE)</f>
        <v>0.67626400531479325</v>
      </c>
      <c r="G177" s="230">
        <f>VLOOKUP($A177&amp;" GCP - L.F.",'2017 TEST'!$A$13:$R$274,'2017 TEST'!E$9,FALSE)</f>
        <v>0.69526589711408038</v>
      </c>
      <c r="H177" s="230">
        <f>VLOOKUP($A177&amp;" GCP - L.F.",'2017 TEST'!$A$13:$R$274,'2017 TEST'!F$9,FALSE)</f>
        <v>0.66086235990495612</v>
      </c>
      <c r="I177" s="230">
        <f>VLOOKUP($A177&amp;" GCP - L.F.",'2017 TEST'!$A$13:$R$274,'2017 TEST'!G$9,FALSE)</f>
        <v>0.69789655458554534</v>
      </c>
      <c r="J177" s="230">
        <f>VLOOKUP($A177&amp;" GCP - L.F.",'2017 TEST'!$A$13:$R$274,'2017 TEST'!H$9,FALSE)</f>
        <v>0.65831535145129449</v>
      </c>
      <c r="K177" s="230">
        <f>VLOOKUP($A177&amp;" GCP - L.F.",'2017 TEST'!$A$13:$R$274,'2017 TEST'!I$9,FALSE)</f>
        <v>0.71548035867327875</v>
      </c>
      <c r="L177" s="230">
        <f>VLOOKUP($A177&amp;" GCP - L.F.",'2017 TEST'!$A$13:$R$274,'2017 TEST'!J$9,FALSE)</f>
        <v>0.66064303375097266</v>
      </c>
      <c r="M177" s="230">
        <f>VLOOKUP($A177&amp;" GCP - L.F.",'2017 TEST'!$A$13:$R$274,'2017 TEST'!K$9,FALSE)</f>
        <v>0.64788132133525855</v>
      </c>
      <c r="N177" s="230">
        <f>VLOOKUP($A177&amp;" GCP - L.F.",'2017 TEST'!$A$13:$R$274,'2017 TEST'!L$9,FALSE)</f>
        <v>0.6541364571229058</v>
      </c>
      <c r="O177" s="230">
        <f>VLOOKUP($A177&amp;" GCP - L.F.",'2017 TEST'!$A$13:$R$274,'2017 TEST'!M$9,FALSE)</f>
        <v>0.65893938705155886</v>
      </c>
      <c r="P177" s="230">
        <f>VLOOKUP($A177&amp;" GCP - L.F.",'2017 TEST'!$A$13:$R$274,'2017 TEST'!N$9,FALSE)</f>
        <v>0.69011665227042851</v>
      </c>
      <c r="T177" s="206" t="s">
        <v>1221</v>
      </c>
      <c r="U177" s="524">
        <v>0.74360577604758404</v>
      </c>
      <c r="V177" s="524">
        <v>0.67626400531479325</v>
      </c>
      <c r="W177" s="524">
        <v>0.69526589711408027</v>
      </c>
      <c r="X177" s="524">
        <v>0.66086235990495612</v>
      </c>
      <c r="Y177" s="524">
        <v>0.69789655458554534</v>
      </c>
      <c r="Z177" s="524">
        <v>0.65831535145129449</v>
      </c>
      <c r="AA177" s="524">
        <v>0.71548035867327864</v>
      </c>
      <c r="AB177" s="524">
        <v>0.66064303375097277</v>
      </c>
      <c r="AC177" s="524">
        <v>0.64788132133525844</v>
      </c>
      <c r="AD177" s="524">
        <v>0.6541364571229058</v>
      </c>
      <c r="AE177" s="524">
        <v>0.65893938705155897</v>
      </c>
      <c r="AF177" s="524">
        <v>0.69011665227042851</v>
      </c>
      <c r="AG177"/>
      <c r="AH177" s="526">
        <f t="shared" si="208"/>
        <v>0</v>
      </c>
      <c r="AI177" s="526">
        <f t="shared" si="197"/>
        <v>0</v>
      </c>
      <c r="AJ177" s="526">
        <f t="shared" si="198"/>
        <v>0</v>
      </c>
      <c r="AK177" s="526">
        <f t="shared" si="199"/>
        <v>0</v>
      </c>
      <c r="AL177" s="526">
        <f t="shared" si="200"/>
        <v>0</v>
      </c>
      <c r="AM177" s="526">
        <f t="shared" si="201"/>
        <v>0</v>
      </c>
      <c r="AN177" s="526">
        <f t="shared" si="202"/>
        <v>0</v>
      </c>
      <c r="AO177" s="526">
        <f t="shared" si="203"/>
        <v>0</v>
      </c>
      <c r="AP177" s="526">
        <f t="shared" si="204"/>
        <v>0</v>
      </c>
      <c r="AQ177" s="526">
        <f t="shared" si="205"/>
        <v>0</v>
      </c>
      <c r="AR177" s="526">
        <f t="shared" si="206"/>
        <v>0</v>
      </c>
      <c r="AS177" s="526">
        <f t="shared" si="209"/>
        <v>0</v>
      </c>
    </row>
    <row r="178" spans="1:45">
      <c r="A178" t="s">
        <v>52</v>
      </c>
      <c r="B178" t="s">
        <v>717</v>
      </c>
      <c r="C178" s="240" t="s">
        <v>1199</v>
      </c>
      <c r="D178" s="240"/>
      <c r="E178" s="230">
        <f>VLOOKUP($A178&amp;" NCP - L.F.",'2017 TEST'!$A$13:$R$274,'2017 TEST'!C$9,FALSE)</f>
        <v>0.58285150373541039</v>
      </c>
      <c r="F178" s="230">
        <f>VLOOKUP($A178&amp;" NCP - L.F.",'2017 TEST'!$A$13:$R$274,'2017 TEST'!D$9,FALSE)</f>
        <v>0.57149231351328034</v>
      </c>
      <c r="G178" s="230">
        <f>VLOOKUP($A178&amp;" NCP - L.F.",'2017 TEST'!$A$13:$R$274,'2017 TEST'!E$9,FALSE)</f>
        <v>0.55178563142655634</v>
      </c>
      <c r="H178" s="230">
        <f>VLOOKUP($A178&amp;" NCP - L.F.",'2017 TEST'!$A$13:$R$274,'2017 TEST'!F$9,FALSE)</f>
        <v>0.55935272525027802</v>
      </c>
      <c r="I178" s="230">
        <f>VLOOKUP($A178&amp;" NCP - L.F.",'2017 TEST'!$A$13:$R$274,'2017 TEST'!G$9,FALSE)</f>
        <v>0.57017057483390465</v>
      </c>
      <c r="J178" s="230">
        <f>VLOOKUP($A178&amp;" NCP - L.F.",'2017 TEST'!$A$13:$R$274,'2017 TEST'!H$9,FALSE)</f>
        <v>0.53770875675713825</v>
      </c>
      <c r="K178" s="230">
        <f>VLOOKUP($A178&amp;" NCP - L.F.",'2017 TEST'!$A$13:$R$274,'2017 TEST'!I$9,FALSE)</f>
        <v>0.55283453319061371</v>
      </c>
      <c r="L178" s="230">
        <f>VLOOKUP($A178&amp;" NCP - L.F.",'2017 TEST'!$A$13:$R$274,'2017 TEST'!J$9,FALSE)</f>
        <v>0.58436669881600967</v>
      </c>
      <c r="M178" s="230">
        <f>VLOOKUP($A178&amp;" NCP - L.F.",'2017 TEST'!$A$13:$R$274,'2017 TEST'!K$9,FALSE)</f>
        <v>0.53698546094364952</v>
      </c>
      <c r="N178" s="230">
        <f>VLOOKUP($A178&amp;" NCP - L.F.",'2017 TEST'!$A$13:$R$274,'2017 TEST'!L$9,FALSE)</f>
        <v>0.54136567481152076</v>
      </c>
      <c r="O178" s="230">
        <f>VLOOKUP($A178&amp;" NCP - L.F.",'2017 TEST'!$A$13:$R$274,'2017 TEST'!M$9,FALSE)</f>
        <v>0.4889318116144904</v>
      </c>
      <c r="P178" s="230">
        <f>VLOOKUP($A178&amp;" NCP - L.F.",'2017 TEST'!$A$13:$R$274,'2017 TEST'!N$9,FALSE)</f>
        <v>0.54339960880587579</v>
      </c>
      <c r="T178" s="206" t="s">
        <v>1199</v>
      </c>
      <c r="U178" s="524">
        <v>0.5828515037354105</v>
      </c>
      <c r="V178" s="524">
        <v>0.57149231351328034</v>
      </c>
      <c r="W178" s="524">
        <v>0.55178563142655634</v>
      </c>
      <c r="X178" s="524">
        <v>0.55935272525027802</v>
      </c>
      <c r="Y178" s="524">
        <v>0.57017057483390454</v>
      </c>
      <c r="Z178" s="524">
        <v>0.53770875675713836</v>
      </c>
      <c r="AA178" s="524">
        <v>0.5528345331906136</v>
      </c>
      <c r="AB178" s="524">
        <v>0.58436669881600978</v>
      </c>
      <c r="AC178" s="524">
        <v>0.53698546094364952</v>
      </c>
      <c r="AD178" s="524">
        <v>0.54136567481152076</v>
      </c>
      <c r="AE178" s="524">
        <v>0.4889318116144904</v>
      </c>
      <c r="AF178" s="524">
        <v>0.54339960880587579</v>
      </c>
      <c r="AG178"/>
      <c r="AH178" s="526">
        <f t="shared" si="208"/>
        <v>0</v>
      </c>
      <c r="AI178" s="526">
        <f t="shared" si="197"/>
        <v>0</v>
      </c>
      <c r="AJ178" s="526">
        <f t="shared" si="198"/>
        <v>0</v>
      </c>
      <c r="AK178" s="526">
        <f t="shared" si="199"/>
        <v>0</v>
      </c>
      <c r="AL178" s="526">
        <f t="shared" si="200"/>
        <v>0</v>
      </c>
      <c r="AM178" s="526">
        <f t="shared" si="201"/>
        <v>0</v>
      </c>
      <c r="AN178" s="526">
        <f t="shared" si="202"/>
        <v>0</v>
      </c>
      <c r="AO178" s="526">
        <f t="shared" si="203"/>
        <v>0</v>
      </c>
      <c r="AP178" s="526">
        <f t="shared" si="204"/>
        <v>0</v>
      </c>
      <c r="AQ178" s="526">
        <f t="shared" si="205"/>
        <v>0</v>
      </c>
      <c r="AR178" s="526">
        <f t="shared" si="206"/>
        <v>0</v>
      </c>
      <c r="AS178" s="526">
        <f t="shared" si="209"/>
        <v>0</v>
      </c>
    </row>
    <row r="179" spans="1:45">
      <c r="A179" t="s">
        <v>52</v>
      </c>
      <c r="B179" t="s">
        <v>717</v>
      </c>
      <c r="C179" s="240" t="s">
        <v>1200</v>
      </c>
      <c r="D179" s="240"/>
      <c r="E179" s="145">
        <f>HOURS!$B$19</f>
        <v>744</v>
      </c>
      <c r="F179" s="145">
        <f>HOURS!$C$19</f>
        <v>672</v>
      </c>
      <c r="G179" s="145">
        <f>HOURS!$D$19</f>
        <v>744</v>
      </c>
      <c r="H179" s="145">
        <f>HOURS!$E$19</f>
        <v>720</v>
      </c>
      <c r="I179" s="145">
        <f>HOURS!$F$19</f>
        <v>744</v>
      </c>
      <c r="J179" s="145">
        <f>HOURS!$G$19</f>
        <v>720</v>
      </c>
      <c r="K179" s="145">
        <f>HOURS!$H$19</f>
        <v>744</v>
      </c>
      <c r="L179" s="145">
        <f>HOURS!$I$19</f>
        <v>744</v>
      </c>
      <c r="M179" s="145">
        <f>HOURS!$J$19</f>
        <v>720</v>
      </c>
      <c r="N179" s="145">
        <f>HOURS!$K$19</f>
        <v>744</v>
      </c>
      <c r="O179" s="145">
        <f>HOURS!$L$19</f>
        <v>720</v>
      </c>
      <c r="P179" s="145">
        <f>HOURS!$M$19</f>
        <v>744</v>
      </c>
      <c r="T179" s="206" t="s">
        <v>1200</v>
      </c>
      <c r="U179" s="523">
        <v>744</v>
      </c>
      <c r="V179" s="523">
        <v>672</v>
      </c>
      <c r="W179" s="523">
        <v>744</v>
      </c>
      <c r="X179" s="523">
        <v>720</v>
      </c>
      <c r="Y179" s="523">
        <v>744</v>
      </c>
      <c r="Z179" s="523">
        <v>720</v>
      </c>
      <c r="AA179" s="523">
        <v>744</v>
      </c>
      <c r="AB179" s="523">
        <v>744</v>
      </c>
      <c r="AC179" s="523">
        <v>720</v>
      </c>
      <c r="AD179" s="523">
        <v>744</v>
      </c>
      <c r="AE179" s="523">
        <v>720</v>
      </c>
      <c r="AF179" s="523">
        <v>744</v>
      </c>
      <c r="AG179"/>
      <c r="AH179" s="526">
        <f t="shared" si="208"/>
        <v>0</v>
      </c>
      <c r="AI179" s="526">
        <f t="shared" si="197"/>
        <v>0</v>
      </c>
      <c r="AJ179" s="526">
        <f t="shared" si="198"/>
        <v>0</v>
      </c>
      <c r="AK179" s="526">
        <f t="shared" si="199"/>
        <v>0</v>
      </c>
      <c r="AL179" s="526">
        <f t="shared" si="200"/>
        <v>0</v>
      </c>
      <c r="AM179" s="526">
        <f t="shared" si="201"/>
        <v>0</v>
      </c>
      <c r="AN179" s="526">
        <f t="shared" si="202"/>
        <v>0</v>
      </c>
      <c r="AO179" s="526">
        <f t="shared" si="203"/>
        <v>0</v>
      </c>
      <c r="AP179" s="526">
        <f t="shared" si="204"/>
        <v>0</v>
      </c>
      <c r="AQ179" s="526">
        <f t="shared" si="205"/>
        <v>0</v>
      </c>
      <c r="AR179" s="526">
        <f t="shared" si="206"/>
        <v>0</v>
      </c>
      <c r="AS179" s="526">
        <f t="shared" si="209"/>
        <v>0</v>
      </c>
    </row>
    <row r="180" spans="1:45">
      <c r="T180"/>
      <c r="U180"/>
      <c r="V180"/>
      <c r="W180"/>
      <c r="X180"/>
      <c r="Y180"/>
      <c r="Z180"/>
      <c r="AA180"/>
      <c r="AB180"/>
      <c r="AC180"/>
      <c r="AD180"/>
      <c r="AE180"/>
      <c r="AF180"/>
      <c r="AG180"/>
      <c r="AH180" s="526"/>
      <c r="AI180" s="526"/>
      <c r="AJ180" s="526"/>
      <c r="AK180" s="526"/>
      <c r="AL180" s="526"/>
      <c r="AM180" s="526"/>
      <c r="AN180" s="526"/>
      <c r="AO180" s="526"/>
      <c r="AP180" s="526"/>
      <c r="AQ180" s="526"/>
      <c r="AR180" s="526"/>
      <c r="AS180" s="526"/>
    </row>
    <row r="181" spans="1:45">
      <c r="A181" t="s">
        <v>983</v>
      </c>
      <c r="B181" t="s">
        <v>245</v>
      </c>
      <c r="C181" t="s">
        <v>1114</v>
      </c>
      <c r="T181" s="522" t="s">
        <v>1238</v>
      </c>
      <c r="U181" s="523"/>
      <c r="V181" s="523"/>
      <c r="W181" s="523"/>
      <c r="X181" s="523"/>
      <c r="Y181" s="523"/>
      <c r="Z181" s="523"/>
      <c r="AA181" s="523"/>
      <c r="AB181" s="523"/>
      <c r="AC181" s="523"/>
      <c r="AD181" s="523"/>
      <c r="AE181" s="523"/>
      <c r="AF181" s="523"/>
      <c r="AG181"/>
      <c r="AH181" s="526"/>
      <c r="AI181" s="526"/>
      <c r="AJ181" s="526"/>
      <c r="AK181" s="526"/>
      <c r="AL181" s="526"/>
      <c r="AM181" s="526"/>
      <c r="AN181" s="526"/>
      <c r="AO181" s="526"/>
      <c r="AP181" s="526"/>
      <c r="AQ181" s="526"/>
      <c r="AR181" s="526"/>
      <c r="AS181" s="526"/>
    </row>
    <row r="182" spans="1:45" ht="15.6">
      <c r="A182" t="s">
        <v>983</v>
      </c>
      <c r="B182" t="s">
        <v>245</v>
      </c>
      <c r="C182" s="251" t="s">
        <v>1201</v>
      </c>
      <c r="D182" s="251"/>
      <c r="E182" s="145">
        <f>VLOOKUP($A182&amp;" KWH Sales",'2017 TEST'!$A$13:$R$274,'2017 TEST'!C$9,FALSE)/1000</f>
        <v>56726.099686267953</v>
      </c>
      <c r="F182" s="145">
        <f>VLOOKUP($A182&amp;" KWH Sales",'2017 TEST'!$A$13:$R$274,'2017 TEST'!D$9,FALSE)/1000</f>
        <v>56898.680068652589</v>
      </c>
      <c r="G182" s="145">
        <f>VLOOKUP($A182&amp;" KWH Sales",'2017 TEST'!$A$13:$R$274,'2017 TEST'!E$9,FALSE)/1000</f>
        <v>53651.9425789175</v>
      </c>
      <c r="H182" s="145">
        <f>VLOOKUP($A182&amp;" KWH Sales",'2017 TEST'!$A$13:$R$274,'2017 TEST'!F$9,FALSE)/1000</f>
        <v>61310.285553964131</v>
      </c>
      <c r="I182" s="145">
        <f>VLOOKUP($A182&amp;" KWH Sales",'2017 TEST'!$A$13:$R$274,'2017 TEST'!G$9,FALSE)/1000</f>
        <v>64372.571632696869</v>
      </c>
      <c r="J182" s="145">
        <f>VLOOKUP($A182&amp;" KWH Sales",'2017 TEST'!$A$13:$R$274,'2017 TEST'!H$9,FALSE)/1000</f>
        <v>72852.357595788562</v>
      </c>
      <c r="K182" s="145">
        <f>VLOOKUP($A182&amp;" KWH Sales",'2017 TEST'!$A$13:$R$274,'2017 TEST'!I$9,FALSE)/1000</f>
        <v>79286.019678151046</v>
      </c>
      <c r="L182" s="145">
        <f>VLOOKUP($A182&amp;" KWH Sales",'2017 TEST'!$A$13:$R$274,'2017 TEST'!J$9,FALSE)/1000</f>
        <v>86702.208746304605</v>
      </c>
      <c r="M182" s="145">
        <f>VLOOKUP($A182&amp;" KWH Sales",'2017 TEST'!$A$13:$R$274,'2017 TEST'!K$9,FALSE)/1000</f>
        <v>85960.980486881133</v>
      </c>
      <c r="N182" s="145">
        <f>VLOOKUP($A182&amp;" KWH Sales",'2017 TEST'!$A$13:$R$274,'2017 TEST'!L$9,FALSE)/1000</f>
        <v>73136.975095376081</v>
      </c>
      <c r="O182" s="145">
        <f>VLOOKUP($A182&amp;" KWH Sales",'2017 TEST'!$A$13:$R$274,'2017 TEST'!M$9,FALSE)/1000</f>
        <v>67623.525068842209</v>
      </c>
      <c r="P182" s="145">
        <f>VLOOKUP($A182&amp;" KWH Sales",'2017 TEST'!$A$13:$R$274,'2017 TEST'!N$9,FALSE)/1000</f>
        <v>55652.102077390431</v>
      </c>
      <c r="T182" s="206" t="s">
        <v>1261</v>
      </c>
      <c r="U182" s="523">
        <v>56726.099686268004</v>
      </c>
      <c r="V182" s="523">
        <v>56898.680068652597</v>
      </c>
      <c r="W182" s="523">
        <v>53651.9425789175</v>
      </c>
      <c r="X182" s="523">
        <v>61310.285553964102</v>
      </c>
      <c r="Y182" s="523">
        <v>64372.571632696898</v>
      </c>
      <c r="Z182" s="523">
        <v>72852.357595788591</v>
      </c>
      <c r="AA182" s="523">
        <v>79286.019678151002</v>
      </c>
      <c r="AB182" s="523">
        <v>86702.208746304605</v>
      </c>
      <c r="AC182" s="523">
        <v>85960.980486881104</v>
      </c>
      <c r="AD182" s="523">
        <v>73136.97509537611</v>
      </c>
      <c r="AE182" s="523">
        <v>67623.525068842209</v>
      </c>
      <c r="AF182" s="523">
        <v>55652.102077390402</v>
      </c>
      <c r="AG182"/>
      <c r="AH182" s="526"/>
      <c r="AI182" s="526"/>
      <c r="AJ182" s="526"/>
      <c r="AK182" s="526"/>
      <c r="AL182" s="526"/>
      <c r="AM182" s="526"/>
      <c r="AN182" s="526"/>
      <c r="AO182" s="526"/>
      <c r="AP182" s="526"/>
      <c r="AQ182" s="526"/>
      <c r="AR182" s="526"/>
      <c r="AS182" s="526"/>
    </row>
    <row r="183" spans="1:45">
      <c r="A183" t="s">
        <v>983</v>
      </c>
      <c r="B183" t="s">
        <v>245</v>
      </c>
      <c r="C183" s="240" t="s">
        <v>148</v>
      </c>
      <c r="D183" s="240"/>
      <c r="E183" s="145">
        <f>VLOOKUP($A183&amp;" CP",'2017 TEST'!$A$13:$R$274,'2017 TEST'!C$9,FALSE)</f>
        <v>110001.33761168281</v>
      </c>
      <c r="F183" s="145">
        <f>VLOOKUP($A183&amp;" CP",'2017 TEST'!$A$13:$R$274,'2017 TEST'!D$9,FALSE)</f>
        <v>117045.37158572645</v>
      </c>
      <c r="G183" s="145">
        <f>VLOOKUP($A183&amp;" CP",'2017 TEST'!$A$13:$R$274,'2017 TEST'!E$9,FALSE)</f>
        <v>111072.60348421408</v>
      </c>
      <c r="H183" s="145">
        <f>VLOOKUP($A183&amp;" CP",'2017 TEST'!$A$13:$R$274,'2017 TEST'!F$9,FALSE)</f>
        <v>131904.56711477655</v>
      </c>
      <c r="I183" s="145">
        <f>VLOOKUP($A183&amp;" CP",'2017 TEST'!$A$13:$R$274,'2017 TEST'!G$9,FALSE)</f>
        <v>140213.20789276794</v>
      </c>
      <c r="J183" s="145">
        <f>VLOOKUP($A183&amp;" CP",'2017 TEST'!$A$13:$R$274,'2017 TEST'!H$9,FALSE)</f>
        <v>144301.15246978568</v>
      </c>
      <c r="K183" s="145">
        <f>VLOOKUP($A183&amp;" CP",'2017 TEST'!$A$13:$R$274,'2017 TEST'!I$9,FALSE)</f>
        <v>155346.66662196617</v>
      </c>
      <c r="L183" s="145">
        <f>VLOOKUP($A183&amp;" CP",'2017 TEST'!$A$13:$R$274,'2017 TEST'!J$9,FALSE)</f>
        <v>152483.48089780848</v>
      </c>
      <c r="M183" s="145">
        <f>VLOOKUP($A183&amp;" CP",'2017 TEST'!$A$13:$R$274,'2017 TEST'!K$9,FALSE)</f>
        <v>140672.40946206337</v>
      </c>
      <c r="N183" s="145">
        <f>VLOOKUP($A183&amp;" CP",'2017 TEST'!$A$13:$R$274,'2017 TEST'!L$9,FALSE)</f>
        <v>134494.24380944361</v>
      </c>
      <c r="O183" s="145">
        <f>VLOOKUP($A183&amp;" CP",'2017 TEST'!$A$13:$R$274,'2017 TEST'!M$9,FALSE)</f>
        <v>119320.06141392268</v>
      </c>
      <c r="P183" s="145">
        <f>VLOOKUP($A183&amp;" CP",'2017 TEST'!$A$13:$R$274,'2017 TEST'!N$9,FALSE)</f>
        <v>113729.81405168137</v>
      </c>
      <c r="T183" s="206" t="s">
        <v>148</v>
      </c>
      <c r="U183" s="523">
        <v>110001.33765089262</v>
      </c>
      <c r="V183" s="523">
        <v>117045.37162744634</v>
      </c>
      <c r="W183" s="523">
        <v>111072.60352380517</v>
      </c>
      <c r="X183" s="523">
        <v>131904.56716179321</v>
      </c>
      <c r="Y183" s="523">
        <v>140213.20794274565</v>
      </c>
      <c r="Z183" s="523">
        <v>144301.15252122039</v>
      </c>
      <c r="AA183" s="523">
        <v>155346.66667733787</v>
      </c>
      <c r="AB183" s="523">
        <v>152483.48095215994</v>
      </c>
      <c r="AC183" s="523">
        <v>140672.40951220482</v>
      </c>
      <c r="AD183" s="523">
        <v>134494.24385738344</v>
      </c>
      <c r="AE183" s="523">
        <v>119320.06145645292</v>
      </c>
      <c r="AF183" s="523">
        <v>113729.81405168075</v>
      </c>
      <c r="AG183"/>
      <c r="AH183" s="526"/>
      <c r="AI183" s="526"/>
      <c r="AJ183" s="526"/>
      <c r="AK183" s="526"/>
      <c r="AL183" s="526"/>
      <c r="AM183" s="526"/>
      <c r="AN183" s="526"/>
      <c r="AO183" s="526"/>
      <c r="AP183" s="526"/>
      <c r="AQ183" s="526"/>
      <c r="AR183" s="526"/>
      <c r="AS183" s="526"/>
    </row>
    <row r="184" spans="1:45">
      <c r="A184" t="s">
        <v>983</v>
      </c>
      <c r="B184" t="s">
        <v>245</v>
      </c>
      <c r="C184" s="240" t="s">
        <v>147</v>
      </c>
      <c r="D184" s="240"/>
      <c r="E184" s="145">
        <f>VLOOKUP($A184&amp;" GNCP",'2017 TEST'!$A$13:$R$274,'2017 TEST'!C$9,FALSE)</f>
        <v>127064.78774922132</v>
      </c>
      <c r="F184" s="145">
        <f>VLOOKUP($A184&amp;" GNCP",'2017 TEST'!$A$13:$R$274,'2017 TEST'!D$9,FALSE)</f>
        <v>125678.96472347097</v>
      </c>
      <c r="G184" s="145">
        <f>VLOOKUP($A184&amp;" GNCP",'2017 TEST'!$A$13:$R$274,'2017 TEST'!E$9,FALSE)</f>
        <v>133007.53045568668</v>
      </c>
      <c r="H184" s="145">
        <f>VLOOKUP($A184&amp;" GNCP",'2017 TEST'!$A$13:$R$274,'2017 TEST'!F$9,FALSE)</f>
        <v>138253.75554397303</v>
      </c>
      <c r="I184" s="145">
        <f>VLOOKUP($A184&amp;" GNCP",'2017 TEST'!$A$13:$R$274,'2017 TEST'!G$9,FALSE)</f>
        <v>151373.4919895276</v>
      </c>
      <c r="J184" s="145">
        <f>VLOOKUP($A184&amp;" GNCP",'2017 TEST'!$A$13:$R$274,'2017 TEST'!H$9,FALSE)</f>
        <v>154828.47225884761</v>
      </c>
      <c r="K184" s="145">
        <f>VLOOKUP($A184&amp;" GNCP",'2017 TEST'!$A$13:$R$274,'2017 TEST'!I$9,FALSE)</f>
        <v>162584.70506904923</v>
      </c>
      <c r="L184" s="145">
        <f>VLOOKUP($A184&amp;" GNCP",'2017 TEST'!$A$13:$R$274,'2017 TEST'!J$9,FALSE)</f>
        <v>162016.21781365061</v>
      </c>
      <c r="M184" s="145">
        <f>VLOOKUP($A184&amp;" GNCP",'2017 TEST'!$A$13:$R$274,'2017 TEST'!K$9,FALSE)</f>
        <v>152912.57936841325</v>
      </c>
      <c r="N184" s="145">
        <f>VLOOKUP($A184&amp;" GNCP",'2017 TEST'!$A$13:$R$274,'2017 TEST'!L$9,FALSE)</f>
        <v>138146.0758434821</v>
      </c>
      <c r="O184" s="145">
        <f>VLOOKUP($A184&amp;" GNCP",'2017 TEST'!$A$13:$R$274,'2017 TEST'!M$9,FALSE)</f>
        <v>123425.47613882527</v>
      </c>
      <c r="P184" s="145">
        <f>VLOOKUP($A184&amp;" GNCP",'2017 TEST'!$A$13:$R$274,'2017 TEST'!N$9,FALSE)</f>
        <v>128105.0915332975</v>
      </c>
      <c r="T184" s="206" t="s">
        <v>342</v>
      </c>
      <c r="U184" s="523">
        <v>112404.392790873</v>
      </c>
      <c r="V184" s="523">
        <v>119602.244515292</v>
      </c>
      <c r="W184" s="523">
        <v>113499.051467467</v>
      </c>
      <c r="X184" s="523">
        <v>134785.91434942</v>
      </c>
      <c r="Y184" s="523">
        <v>143275.98759038001</v>
      </c>
      <c r="Z184" s="523">
        <v>147453.19897684499</v>
      </c>
      <c r="AA184" s="523">
        <v>158739.90960037801</v>
      </c>
      <c r="AB184" s="523">
        <v>155814.20163560999</v>
      </c>
      <c r="AC184" s="523">
        <v>143745.21656053999</v>
      </c>
      <c r="AD184" s="523">
        <v>137432.14077749799</v>
      </c>
      <c r="AE184" s="523">
        <v>121926.605834776</v>
      </c>
      <c r="AF184" s="523">
        <v>116214.286478494</v>
      </c>
      <c r="AG184"/>
      <c r="AH184" s="526"/>
      <c r="AI184" s="526"/>
      <c r="AJ184" s="526"/>
      <c r="AK184" s="526"/>
      <c r="AL184" s="526"/>
      <c r="AM184" s="526"/>
      <c r="AN184" s="526"/>
      <c r="AO184" s="526"/>
      <c r="AP184" s="526"/>
      <c r="AQ184" s="526"/>
      <c r="AR184" s="526"/>
      <c r="AS184" s="526"/>
    </row>
    <row r="185" spans="1:45">
      <c r="A185" t="s">
        <v>983</v>
      </c>
      <c r="B185" t="s">
        <v>245</v>
      </c>
      <c r="C185" s="240" t="s">
        <v>133</v>
      </c>
      <c r="D185" s="240"/>
      <c r="E185" s="145">
        <f>VLOOKUP($A185&amp;" NCP",'2017 TEST'!$A$13:$R$274,'2017 TEST'!C$9,FALSE)</f>
        <v>127064.78774922132</v>
      </c>
      <c r="F185" s="145">
        <f>VLOOKUP($A185&amp;" NCP",'2017 TEST'!$A$13:$R$274,'2017 TEST'!D$9,FALSE)</f>
        <v>125678.96472347097</v>
      </c>
      <c r="G185" s="145">
        <f>VLOOKUP($A185&amp;" NCP",'2017 TEST'!$A$13:$R$274,'2017 TEST'!E$9,FALSE)</f>
        <v>133007.53045568668</v>
      </c>
      <c r="H185" s="145">
        <f>VLOOKUP($A185&amp;" NCP",'2017 TEST'!$A$13:$R$274,'2017 TEST'!F$9,FALSE)</f>
        <v>138253.75554397303</v>
      </c>
      <c r="I185" s="145">
        <f>VLOOKUP($A185&amp;" NCP",'2017 TEST'!$A$13:$R$274,'2017 TEST'!G$9,FALSE)</f>
        <v>151373.4919895276</v>
      </c>
      <c r="J185" s="145">
        <f>VLOOKUP($A185&amp;" NCP",'2017 TEST'!$A$13:$R$274,'2017 TEST'!H$9,FALSE)</f>
        <v>154828.47225884761</v>
      </c>
      <c r="K185" s="145">
        <f>VLOOKUP($A185&amp;" NCP",'2017 TEST'!$A$13:$R$274,'2017 TEST'!I$9,FALSE)</f>
        <v>162584.70506904923</v>
      </c>
      <c r="L185" s="145">
        <f>VLOOKUP($A185&amp;" NCP",'2017 TEST'!$A$13:$R$274,'2017 TEST'!J$9,FALSE)</f>
        <v>162016.21781365061</v>
      </c>
      <c r="M185" s="145">
        <f>VLOOKUP($A185&amp;" NCP",'2017 TEST'!$A$13:$R$274,'2017 TEST'!K$9,FALSE)</f>
        <v>152912.57936841325</v>
      </c>
      <c r="N185" s="145">
        <f>VLOOKUP($A185&amp;" NCP",'2017 TEST'!$A$13:$R$274,'2017 TEST'!L$9,FALSE)</f>
        <v>138146.0758434821</v>
      </c>
      <c r="O185" s="145">
        <f>VLOOKUP($A185&amp;" NCP",'2017 TEST'!$A$13:$R$274,'2017 TEST'!M$9,FALSE)</f>
        <v>123425.47613882527</v>
      </c>
      <c r="P185" s="145">
        <f>VLOOKUP($A185&amp;" NCP",'2017 TEST'!$A$13:$R$274,'2017 TEST'!N$9,FALSE)</f>
        <v>128105.0915332975</v>
      </c>
      <c r="T185" s="206" t="s">
        <v>133</v>
      </c>
      <c r="U185" s="523">
        <v>112404.392790873</v>
      </c>
      <c r="V185" s="523">
        <v>119602.244515292</v>
      </c>
      <c r="W185" s="523">
        <v>113499.051467467</v>
      </c>
      <c r="X185" s="523">
        <v>134785.91434942</v>
      </c>
      <c r="Y185" s="523">
        <v>143275.98759038001</v>
      </c>
      <c r="Z185" s="523">
        <v>147453.19897684499</v>
      </c>
      <c r="AA185" s="523">
        <v>158739.90960037801</v>
      </c>
      <c r="AB185" s="523">
        <v>155814.20163560999</v>
      </c>
      <c r="AC185" s="523">
        <v>143745.21656053999</v>
      </c>
      <c r="AD185" s="523">
        <v>137432.14077749799</v>
      </c>
      <c r="AE185" s="523">
        <v>121926.605834776</v>
      </c>
      <c r="AF185" s="523">
        <v>116214.286478494</v>
      </c>
      <c r="AG185"/>
      <c r="AH185" s="526"/>
      <c r="AI185" s="526"/>
      <c r="AJ185" s="526"/>
      <c r="AK185" s="526"/>
      <c r="AL185" s="526"/>
      <c r="AM185" s="526"/>
      <c r="AN185" s="526"/>
      <c r="AO185" s="526"/>
      <c r="AP185" s="526"/>
      <c r="AQ185" s="526"/>
      <c r="AR185" s="526"/>
      <c r="AS185" s="526"/>
    </row>
    <row r="186" spans="1:45">
      <c r="A186" t="s">
        <v>983</v>
      </c>
      <c r="B186" t="s">
        <v>245</v>
      </c>
      <c r="C186" s="240" t="s">
        <v>1197</v>
      </c>
      <c r="D186" s="240"/>
      <c r="E186" s="230">
        <f>VLOOKUP($A186&amp;" CP - L.F.",'2017 TEST'!$A$13:$R$274,'2017 TEST'!C$9,FALSE)</f>
        <v>0.69312573190687832</v>
      </c>
      <c r="F186" s="230">
        <f>VLOOKUP($A186&amp;" CP - L.F.",'2017 TEST'!$A$13:$R$274,'2017 TEST'!D$9,FALSE)</f>
        <v>0.72340028244561394</v>
      </c>
      <c r="G186" s="230">
        <f>VLOOKUP($A186&amp;" CP - L.F.",'2017 TEST'!$A$13:$R$274,'2017 TEST'!E$9,FALSE)</f>
        <v>0.64924044080033638</v>
      </c>
      <c r="H186" s="230">
        <f>VLOOKUP($A186&amp;" CP - L.F.",'2017 TEST'!$A$13:$R$274,'2017 TEST'!F$9,FALSE)</f>
        <v>0.6455665352846337</v>
      </c>
      <c r="I186" s="230">
        <f>VLOOKUP($A186&amp;" CP - L.F.",'2017 TEST'!$A$13:$R$274,'2017 TEST'!G$9,FALSE)</f>
        <v>0.61707648658913616</v>
      </c>
      <c r="J186" s="230">
        <f>VLOOKUP($A186&amp;" CP - L.F.",'2017 TEST'!$A$13:$R$274,'2017 TEST'!H$9,FALSE)</f>
        <v>0.70119904285128309</v>
      </c>
      <c r="K186" s="230">
        <f>VLOOKUP($A186&amp;" CP - L.F.",'2017 TEST'!$A$13:$R$274,'2017 TEST'!I$9,FALSE)</f>
        <v>0.68599624998412623</v>
      </c>
      <c r="L186" s="230">
        <f>VLOOKUP($A186&amp;" CP - L.F.",'2017 TEST'!$A$13:$R$274,'2017 TEST'!J$9,FALSE)</f>
        <v>0.76424820658212067</v>
      </c>
      <c r="M186" s="230">
        <f>VLOOKUP($A186&amp;" CP - L.F.",'2017 TEST'!$A$13:$R$274,'2017 TEST'!K$9,FALSE)</f>
        <v>0.84871120877773154</v>
      </c>
      <c r="N186" s="230">
        <f>VLOOKUP($A186&amp;" CP - L.F.",'2017 TEST'!$A$13:$R$274,'2017 TEST'!L$9,FALSE)</f>
        <v>0.73090403794648828</v>
      </c>
      <c r="O186" s="230">
        <f>VLOOKUP($A186&amp;" CP - L.F.",'2017 TEST'!$A$13:$R$274,'2017 TEST'!M$9,FALSE)</f>
        <v>0.78713974400163256</v>
      </c>
      <c r="P186" s="230">
        <f>VLOOKUP($A186&amp;" CP - L.F.",'2017 TEST'!$A$13:$R$274,'2017 TEST'!N$9,FALSE)</f>
        <v>0.65770979310332334</v>
      </c>
      <c r="T186" s="206" t="s">
        <v>1197</v>
      </c>
      <c r="U186" s="524">
        <v>0.69312573165981539</v>
      </c>
      <c r="V186" s="524">
        <v>0.72340028218776387</v>
      </c>
      <c r="W186" s="524">
        <v>0.64924044056891894</v>
      </c>
      <c r="X186" s="524">
        <v>0.64556653505452488</v>
      </c>
      <c r="Y186" s="524">
        <v>0.61707648636918522</v>
      </c>
      <c r="Z186" s="524">
        <v>0.70119904260134802</v>
      </c>
      <c r="AA186" s="524">
        <v>0.68599624973960971</v>
      </c>
      <c r="AB186" s="524">
        <v>0.76424820630971091</v>
      </c>
      <c r="AC186" s="524">
        <v>0.84871120847521553</v>
      </c>
      <c r="AD186" s="524">
        <v>0.73090403768596146</v>
      </c>
      <c r="AE186" s="524">
        <v>0.78713974372106577</v>
      </c>
      <c r="AF186" s="524">
        <v>0.65770979310332667</v>
      </c>
      <c r="AG186"/>
      <c r="AH186" s="526"/>
      <c r="AI186" s="526"/>
      <c r="AJ186" s="526"/>
      <c r="AK186" s="526"/>
      <c r="AL186" s="526"/>
      <c r="AM186" s="526"/>
      <c r="AN186" s="526"/>
      <c r="AO186" s="526"/>
      <c r="AP186" s="526"/>
      <c r="AQ186" s="526"/>
      <c r="AR186" s="526"/>
      <c r="AS186" s="526"/>
    </row>
    <row r="187" spans="1:45">
      <c r="A187" t="s">
        <v>983</v>
      </c>
      <c r="B187" t="s">
        <v>245</v>
      </c>
      <c r="C187" s="240" t="s">
        <v>1198</v>
      </c>
      <c r="D187" s="240"/>
      <c r="E187" s="230">
        <f>VLOOKUP($A187&amp;" GCP - L.F.",'2017 TEST'!$A$13:$R$274,'2017 TEST'!C$9,FALSE)</f>
        <v>0.60004631490285176</v>
      </c>
      <c r="F187" s="230">
        <f>VLOOKUP($A187&amp;" GCP - L.F.",'2017 TEST'!$A$13:$R$274,'2017 TEST'!D$9,FALSE)</f>
        <v>0.6737058588154794</v>
      </c>
      <c r="G187" s="230">
        <f>VLOOKUP($A187&amp;" GCP - L.F.",'2017 TEST'!$A$13:$R$274,'2017 TEST'!E$9,FALSE)</f>
        <v>0.54217100189644918</v>
      </c>
      <c r="H187" s="230">
        <f>VLOOKUP($A187&amp;" GCP - L.F.",'2017 TEST'!$A$13:$R$274,'2017 TEST'!F$9,FALSE)</f>
        <v>0.61591943050995013</v>
      </c>
      <c r="I187" s="230">
        <f>VLOOKUP($A187&amp;" GCP - L.F.",'2017 TEST'!$A$13:$R$274,'2017 TEST'!G$9,FALSE)</f>
        <v>0.57158140809651936</v>
      </c>
      <c r="J187" s="230">
        <f>VLOOKUP($A187&amp;" GCP - L.F.",'2017 TEST'!$A$13:$R$274,'2017 TEST'!H$9,FALSE)</f>
        <v>0.65352211074580746</v>
      </c>
      <c r="K187" s="230">
        <f>VLOOKUP($A187&amp;" GCP - L.F.",'2017 TEST'!$A$13:$R$274,'2017 TEST'!I$9,FALSE)</f>
        <v>0.65545667844305677</v>
      </c>
      <c r="L187" s="230">
        <f>VLOOKUP($A187&amp;" GCP - L.F.",'2017 TEST'!$A$13:$R$274,'2017 TEST'!J$9,FALSE)</f>
        <v>0.71928124469358257</v>
      </c>
      <c r="M187" s="230">
        <f>VLOOKUP($A187&amp;" GCP - L.F.",'2017 TEST'!$A$13:$R$274,'2017 TEST'!K$9,FALSE)</f>
        <v>0.78077455216144198</v>
      </c>
      <c r="N187" s="230">
        <f>VLOOKUP($A187&amp;" GCP - L.F.",'2017 TEST'!$A$13:$R$274,'2017 TEST'!L$9,FALSE)</f>
        <v>0.71158290440516947</v>
      </c>
      <c r="O187" s="230">
        <f>VLOOKUP($A187&amp;" GCP - L.F.",'2017 TEST'!$A$13:$R$274,'2017 TEST'!M$9,FALSE)</f>
        <v>0.76095766882012283</v>
      </c>
      <c r="P187" s="230">
        <f>VLOOKUP($A187&amp;" GCP - L.F.",'2017 TEST'!$A$13:$R$274,'2017 TEST'!N$9,FALSE)</f>
        <v>0.58390507023811944</v>
      </c>
      <c r="T187" s="206" t="s">
        <v>1221</v>
      </c>
      <c r="U187" s="524">
        <v>0.67830763326737398</v>
      </c>
      <c r="V187" s="524">
        <v>0.70793533354836513</v>
      </c>
      <c r="W187" s="524">
        <v>0.63536060534922012</v>
      </c>
      <c r="X187" s="524">
        <v>0.63176612179039704</v>
      </c>
      <c r="Y187" s="524">
        <v>0.60388537643324391</v>
      </c>
      <c r="Z187" s="524">
        <v>0.68620979874461741</v>
      </c>
      <c r="AA187" s="524">
        <v>0.6713323134584247</v>
      </c>
      <c r="AB187" s="524">
        <v>0.7479114585593466</v>
      </c>
      <c r="AC187" s="524">
        <v>0.83056851235074758</v>
      </c>
      <c r="AD187" s="524">
        <v>0.7152794486410059</v>
      </c>
      <c r="AE187" s="524">
        <v>0.7703122870728335</v>
      </c>
      <c r="AF187" s="524">
        <v>0.643649027466628</v>
      </c>
      <c r="AG187"/>
      <c r="AH187" s="526"/>
      <c r="AI187" s="526"/>
      <c r="AJ187" s="526"/>
      <c r="AK187" s="526"/>
      <c r="AL187" s="526"/>
      <c r="AM187" s="526"/>
      <c r="AN187" s="526"/>
      <c r="AO187" s="526"/>
      <c r="AP187" s="526"/>
      <c r="AQ187" s="526"/>
      <c r="AR187" s="526"/>
      <c r="AS187" s="526"/>
    </row>
    <row r="188" spans="1:45">
      <c r="A188" t="s">
        <v>983</v>
      </c>
      <c r="B188" t="s">
        <v>245</v>
      </c>
      <c r="C188" s="240" t="s">
        <v>1199</v>
      </c>
      <c r="D188" s="240"/>
      <c r="E188" s="230">
        <f>VLOOKUP($A188&amp;" NCP - L.F.",'2017 TEST'!$A$13:$R$274,'2017 TEST'!C$9,FALSE)</f>
        <v>0.60004631490285176</v>
      </c>
      <c r="F188" s="230">
        <f>VLOOKUP($A188&amp;" NCP - L.F.",'2017 TEST'!$A$13:$R$274,'2017 TEST'!D$9,FALSE)</f>
        <v>0.6737058588154794</v>
      </c>
      <c r="G188" s="230">
        <f>VLOOKUP($A188&amp;" NCP - L.F.",'2017 TEST'!$A$13:$R$274,'2017 TEST'!E$9,FALSE)</f>
        <v>0.54217100189644918</v>
      </c>
      <c r="H188" s="230">
        <f>VLOOKUP($A188&amp;" NCP - L.F.",'2017 TEST'!$A$13:$R$274,'2017 TEST'!F$9,FALSE)</f>
        <v>0.61591943050995013</v>
      </c>
      <c r="I188" s="230">
        <f>VLOOKUP($A188&amp;" NCP - L.F.",'2017 TEST'!$A$13:$R$274,'2017 TEST'!G$9,FALSE)</f>
        <v>0.57158140809651936</v>
      </c>
      <c r="J188" s="230">
        <f>VLOOKUP($A188&amp;" NCP - L.F.",'2017 TEST'!$A$13:$R$274,'2017 TEST'!H$9,FALSE)</f>
        <v>0.65352211074580746</v>
      </c>
      <c r="K188" s="230">
        <f>VLOOKUP($A188&amp;" NCP - L.F.",'2017 TEST'!$A$13:$R$274,'2017 TEST'!I$9,FALSE)</f>
        <v>0.65545667844305677</v>
      </c>
      <c r="L188" s="230">
        <f>VLOOKUP($A188&amp;" NCP - L.F.",'2017 TEST'!$A$13:$R$274,'2017 TEST'!J$9,FALSE)</f>
        <v>0.71928124469358257</v>
      </c>
      <c r="M188" s="230">
        <f>VLOOKUP($A188&amp;" NCP - L.F.",'2017 TEST'!$A$13:$R$274,'2017 TEST'!K$9,FALSE)</f>
        <v>0.78077455216144198</v>
      </c>
      <c r="N188" s="230">
        <f>VLOOKUP($A188&amp;" NCP - L.F.",'2017 TEST'!$A$13:$R$274,'2017 TEST'!L$9,FALSE)</f>
        <v>0.71158290440516947</v>
      </c>
      <c r="O188" s="230">
        <f>VLOOKUP($A188&amp;" NCP - L.F.",'2017 TEST'!$A$13:$R$274,'2017 TEST'!M$9,FALSE)</f>
        <v>0.76095766882012283</v>
      </c>
      <c r="P188" s="230">
        <f>VLOOKUP($A188&amp;" NCP - L.F.",'2017 TEST'!$A$13:$R$274,'2017 TEST'!N$9,FALSE)</f>
        <v>0.58390507023811944</v>
      </c>
      <c r="T188" s="206" t="s">
        <v>1199</v>
      </c>
      <c r="U188" s="524">
        <v>0.67830763326737398</v>
      </c>
      <c r="V188" s="524">
        <v>0.70793533354836513</v>
      </c>
      <c r="W188" s="524">
        <v>0.63536060534922012</v>
      </c>
      <c r="X188" s="524">
        <v>0.63176612179039704</v>
      </c>
      <c r="Y188" s="524">
        <v>0.60388537643324391</v>
      </c>
      <c r="Z188" s="524">
        <v>0.68620979874461741</v>
      </c>
      <c r="AA188" s="524">
        <v>0.6713323134584247</v>
      </c>
      <c r="AB188" s="524">
        <v>0.7479114585593466</v>
      </c>
      <c r="AC188" s="524">
        <v>0.83056851235074758</v>
      </c>
      <c r="AD188" s="524">
        <v>0.7152794486410059</v>
      </c>
      <c r="AE188" s="524">
        <v>0.7703122870728335</v>
      </c>
      <c r="AF188" s="524">
        <v>0.643649027466628</v>
      </c>
      <c r="AG188"/>
      <c r="AH188" s="526"/>
      <c r="AI188" s="526"/>
      <c r="AJ188" s="526"/>
      <c r="AK188" s="526"/>
      <c r="AL188" s="526"/>
      <c r="AM188" s="526"/>
      <c r="AN188" s="526"/>
      <c r="AO188" s="526"/>
      <c r="AP188" s="526"/>
      <c r="AQ188" s="526"/>
      <c r="AR188" s="526"/>
      <c r="AS188" s="526"/>
    </row>
    <row r="189" spans="1:45">
      <c r="A189" t="s">
        <v>983</v>
      </c>
      <c r="B189" t="s">
        <v>245</v>
      </c>
      <c r="C189" s="240" t="s">
        <v>1200</v>
      </c>
      <c r="D189" s="240"/>
      <c r="E189" s="145">
        <f>HOURS!$B$19</f>
        <v>744</v>
      </c>
      <c r="F189" s="145">
        <f>HOURS!$C$19</f>
        <v>672</v>
      </c>
      <c r="G189" s="145">
        <f>HOURS!$D$19</f>
        <v>744</v>
      </c>
      <c r="H189" s="145">
        <f>HOURS!$E$19</f>
        <v>720</v>
      </c>
      <c r="I189" s="145">
        <f>HOURS!$F$19</f>
        <v>744</v>
      </c>
      <c r="J189" s="145">
        <f>HOURS!$G$19</f>
        <v>720</v>
      </c>
      <c r="K189" s="145">
        <f>HOURS!$H$19</f>
        <v>744</v>
      </c>
      <c r="L189" s="145">
        <f>HOURS!$I$19</f>
        <v>744</v>
      </c>
      <c r="M189" s="145">
        <f>HOURS!$J$19</f>
        <v>720</v>
      </c>
      <c r="N189" s="145">
        <f>HOURS!$K$19</f>
        <v>744</v>
      </c>
      <c r="O189" s="145">
        <f>HOURS!$L$19</f>
        <v>720</v>
      </c>
      <c r="P189" s="145">
        <f>HOURS!$M$19</f>
        <v>744</v>
      </c>
      <c r="T189" s="206" t="s">
        <v>1200</v>
      </c>
      <c r="U189" s="523">
        <v>744</v>
      </c>
      <c r="V189" s="523">
        <v>672</v>
      </c>
      <c r="W189" s="523">
        <v>744</v>
      </c>
      <c r="X189" s="523">
        <v>720</v>
      </c>
      <c r="Y189" s="523">
        <v>744</v>
      </c>
      <c r="Z189" s="523">
        <v>720</v>
      </c>
      <c r="AA189" s="523">
        <v>744</v>
      </c>
      <c r="AB189" s="523">
        <v>744</v>
      </c>
      <c r="AC189" s="523">
        <v>720</v>
      </c>
      <c r="AD189" s="523">
        <v>744</v>
      </c>
      <c r="AE189" s="523">
        <v>720</v>
      </c>
      <c r="AF189" s="523">
        <v>744</v>
      </c>
      <c r="AG189"/>
      <c r="AH189" s="526"/>
      <c r="AI189" s="526"/>
      <c r="AJ189" s="526"/>
      <c r="AK189" s="526"/>
      <c r="AL189" s="526"/>
      <c r="AM189" s="526"/>
      <c r="AN189" s="526"/>
      <c r="AO189" s="526"/>
      <c r="AP189" s="526"/>
      <c r="AQ189" s="526"/>
      <c r="AR189" s="526"/>
      <c r="AS189" s="526"/>
    </row>
    <row r="190" spans="1:45">
      <c r="T190"/>
      <c r="U190"/>
      <c r="V190"/>
      <c r="W190"/>
      <c r="X190"/>
      <c r="Y190"/>
      <c r="Z190"/>
      <c r="AA190"/>
      <c r="AB190"/>
      <c r="AC190"/>
      <c r="AD190"/>
      <c r="AE190"/>
      <c r="AF190"/>
      <c r="AG190"/>
      <c r="AH190" s="526"/>
      <c r="AI190" s="526"/>
      <c r="AJ190" s="526"/>
      <c r="AK190" s="526"/>
      <c r="AL190" s="526"/>
      <c r="AM190" s="526"/>
      <c r="AN190" s="526"/>
      <c r="AO190" s="526"/>
      <c r="AP190" s="526"/>
      <c r="AQ190" s="526"/>
      <c r="AR190" s="526"/>
      <c r="AS190" s="526"/>
    </row>
    <row r="191" spans="1:45">
      <c r="A191" t="s">
        <v>1192</v>
      </c>
      <c r="B191" t="s">
        <v>1192</v>
      </c>
      <c r="C191" t="s">
        <v>1206</v>
      </c>
      <c r="AG191"/>
      <c r="AH191" s="526"/>
      <c r="AI191" s="526"/>
      <c r="AJ191" s="526"/>
      <c r="AK191" s="526"/>
      <c r="AL191" s="526"/>
      <c r="AM191" s="526"/>
      <c r="AN191" s="526"/>
      <c r="AO191" s="526"/>
      <c r="AP191" s="526"/>
      <c r="AQ191" s="526"/>
      <c r="AR191" s="526"/>
      <c r="AS191" s="526"/>
    </row>
    <row r="192" spans="1:45">
      <c r="A192" t="s">
        <v>1192</v>
      </c>
      <c r="B192" t="s">
        <v>1192</v>
      </c>
      <c r="C192" s="251" t="s">
        <v>1201</v>
      </c>
      <c r="D192" s="251"/>
      <c r="E192" s="145">
        <f>VLOOKUP($A192&amp;" KWH Sales",'2017 TEST'!$A$13:$R$274,'2017 TEST'!C$9,FALSE)/1000</f>
        <v>0</v>
      </c>
      <c r="F192" s="145">
        <f>VLOOKUP($A192&amp;" KWH Sales",'2017 TEST'!$A$13:$R$274,'2017 TEST'!D$9,FALSE)/1000</f>
        <v>84</v>
      </c>
      <c r="G192" s="145">
        <f>VLOOKUP($A192&amp;" KWH Sales",'2017 TEST'!$A$13:$R$274,'2017 TEST'!E$9,FALSE)/1000</f>
        <v>0</v>
      </c>
      <c r="H192" s="145">
        <f>VLOOKUP($A192&amp;" KWH Sales",'2017 TEST'!$A$13:$R$274,'2017 TEST'!F$9,FALSE)/1000</f>
        <v>0</v>
      </c>
      <c r="I192" s="145">
        <f>VLOOKUP($A192&amp;" KWH Sales",'2017 TEST'!$A$13:$R$274,'2017 TEST'!G$9,FALSE)/1000</f>
        <v>0</v>
      </c>
      <c r="J192" s="145">
        <f>VLOOKUP($A192&amp;" KWH Sales",'2017 TEST'!$A$13:$R$274,'2017 TEST'!H$9,FALSE)/1000</f>
        <v>0</v>
      </c>
      <c r="K192" s="145">
        <f>VLOOKUP($A192&amp;" KWH Sales",'2017 TEST'!$A$13:$R$274,'2017 TEST'!I$9,FALSE)/1000</f>
        <v>0</v>
      </c>
      <c r="L192" s="145">
        <f>VLOOKUP($A192&amp;" KWH Sales",'2017 TEST'!$A$13:$R$274,'2017 TEST'!J$9,FALSE)/1000</f>
        <v>0</v>
      </c>
      <c r="M192" s="145">
        <f>VLOOKUP($A192&amp;" KWH Sales",'2017 TEST'!$A$13:$R$274,'2017 TEST'!K$9,FALSE)/1000</f>
        <v>84</v>
      </c>
      <c r="N192" s="145">
        <f>VLOOKUP($A192&amp;" KWH Sales",'2017 TEST'!$A$13:$R$274,'2017 TEST'!L$9,FALSE)/1000</f>
        <v>0</v>
      </c>
      <c r="O192" s="145">
        <f>VLOOKUP($A192&amp;" KWH Sales",'2017 TEST'!$A$13:$R$274,'2017 TEST'!M$9,FALSE)/1000</f>
        <v>0</v>
      </c>
      <c r="P192" s="145">
        <f>VLOOKUP($A192&amp;" KWH Sales",'2017 TEST'!$A$13:$R$274,'2017 TEST'!N$9,FALSE)/1000</f>
        <v>0</v>
      </c>
      <c r="AH192" s="526"/>
      <c r="AI192" s="526"/>
      <c r="AJ192" s="526"/>
      <c r="AK192" s="526"/>
      <c r="AL192" s="526"/>
      <c r="AM192" s="526"/>
      <c r="AN192" s="526"/>
      <c r="AO192" s="526"/>
      <c r="AP192" s="526"/>
      <c r="AQ192" s="526"/>
      <c r="AR192" s="526"/>
      <c r="AS192" s="526"/>
    </row>
    <row r="193" spans="1:45">
      <c r="A193" t="s">
        <v>1192</v>
      </c>
      <c r="B193" t="s">
        <v>1192</v>
      </c>
      <c r="C193" s="240" t="s">
        <v>148</v>
      </c>
      <c r="D193" s="240"/>
      <c r="E193" s="145">
        <f>VLOOKUP($A193&amp;" CP",'2017 TEST'!$A$13:$R$274,'2017 TEST'!C$9,FALSE)</f>
        <v>20551.230994807815</v>
      </c>
      <c r="F193" s="145">
        <f>VLOOKUP($A193&amp;" CP",'2017 TEST'!$A$13:$R$274,'2017 TEST'!D$9,FALSE)</f>
        <v>0</v>
      </c>
      <c r="G193" s="145">
        <f>VLOOKUP($A193&amp;" CP",'2017 TEST'!$A$13:$R$274,'2017 TEST'!E$9,FALSE)</f>
        <v>0</v>
      </c>
      <c r="H193" s="145">
        <f>VLOOKUP($A193&amp;" CP",'2017 TEST'!$A$13:$R$274,'2017 TEST'!F$9,FALSE)</f>
        <v>0</v>
      </c>
      <c r="I193" s="145">
        <f>VLOOKUP($A193&amp;" CP",'2017 TEST'!$A$13:$R$274,'2017 TEST'!G$9,FALSE)</f>
        <v>0</v>
      </c>
      <c r="J193" s="145">
        <f>VLOOKUP($A193&amp;" CP",'2017 TEST'!$A$13:$R$274,'2017 TEST'!H$9,FALSE)</f>
        <v>0</v>
      </c>
      <c r="K193" s="145">
        <f>VLOOKUP($A193&amp;" CP",'2017 TEST'!$A$13:$R$274,'2017 TEST'!I$9,FALSE)</f>
        <v>0</v>
      </c>
      <c r="L193" s="145">
        <f>VLOOKUP($A193&amp;" CP",'2017 TEST'!$A$13:$R$274,'2017 TEST'!J$9,FALSE)</f>
        <v>20551.230994807815</v>
      </c>
      <c r="M193" s="145">
        <f>VLOOKUP($A193&amp;" CP",'2017 TEST'!$A$13:$R$274,'2017 TEST'!K$9,FALSE)</f>
        <v>0</v>
      </c>
      <c r="N193" s="145">
        <f>VLOOKUP($A193&amp;" CP",'2017 TEST'!$A$13:$R$274,'2017 TEST'!L$9,FALSE)</f>
        <v>0</v>
      </c>
      <c r="O193" s="145">
        <f>VLOOKUP($A193&amp;" CP",'2017 TEST'!$A$13:$R$274,'2017 TEST'!M$9,FALSE)</f>
        <v>0</v>
      </c>
      <c r="P193" s="145">
        <f>VLOOKUP($A193&amp;" CP",'2017 TEST'!$A$13:$R$274,'2017 TEST'!N$9,FALSE)</f>
        <v>0</v>
      </c>
      <c r="T193" s="518"/>
      <c r="U193" s="518"/>
      <c r="V193" s="518"/>
      <c r="W193" s="518"/>
      <c r="X193" s="518"/>
      <c r="Y193" s="518"/>
      <c r="Z193" s="518"/>
      <c r="AA193" s="518"/>
      <c r="AB193" s="518"/>
      <c r="AC193" s="518"/>
      <c r="AD193" s="518"/>
      <c r="AE193" s="518"/>
      <c r="AF193" s="518"/>
      <c r="AH193" s="526"/>
      <c r="AI193" s="526"/>
      <c r="AJ193" s="526"/>
      <c r="AK193" s="526"/>
      <c r="AL193" s="526"/>
      <c r="AM193" s="526"/>
      <c r="AN193" s="526"/>
      <c r="AO193" s="526"/>
      <c r="AP193" s="526"/>
      <c r="AQ193" s="526"/>
      <c r="AR193" s="526"/>
      <c r="AS193" s="526"/>
    </row>
    <row r="194" spans="1:45">
      <c r="A194" t="s">
        <v>1192</v>
      </c>
      <c r="B194" t="s">
        <v>1192</v>
      </c>
      <c r="C194" s="240" t="s">
        <v>147</v>
      </c>
      <c r="D194" s="240"/>
      <c r="E194" s="145">
        <f>VLOOKUP($A194&amp;" GNCP",'2017 TEST'!$A$13:$R$274,'2017 TEST'!C$9,FALSE)</f>
        <v>21000</v>
      </c>
      <c r="F194" s="145">
        <f>VLOOKUP($A194&amp;" GNCP",'2017 TEST'!$A$13:$R$274,'2017 TEST'!D$9,FALSE)</f>
        <v>0</v>
      </c>
      <c r="G194" s="145">
        <f>VLOOKUP($A194&amp;" GNCP",'2017 TEST'!$A$13:$R$274,'2017 TEST'!E$9,FALSE)</f>
        <v>0</v>
      </c>
      <c r="H194" s="145">
        <f>VLOOKUP($A194&amp;" GNCP",'2017 TEST'!$A$13:$R$274,'2017 TEST'!F$9,FALSE)</f>
        <v>0</v>
      </c>
      <c r="I194" s="145">
        <f>VLOOKUP($A194&amp;" GNCP",'2017 TEST'!$A$13:$R$274,'2017 TEST'!G$9,FALSE)</f>
        <v>0</v>
      </c>
      <c r="J194" s="145">
        <f>VLOOKUP($A194&amp;" GNCP",'2017 TEST'!$A$13:$R$274,'2017 TEST'!H$9,FALSE)</f>
        <v>0</v>
      </c>
      <c r="K194" s="145">
        <f>VLOOKUP($A194&amp;" GNCP",'2017 TEST'!$A$13:$R$274,'2017 TEST'!I$9,FALSE)</f>
        <v>0</v>
      </c>
      <c r="L194" s="145">
        <f>VLOOKUP($A194&amp;" GNCP",'2017 TEST'!$A$13:$R$274,'2017 TEST'!J$9,FALSE)</f>
        <v>21000</v>
      </c>
      <c r="M194" s="145">
        <f>VLOOKUP($A194&amp;" GNCP",'2017 TEST'!$A$13:$R$274,'2017 TEST'!K$9,FALSE)</f>
        <v>0</v>
      </c>
      <c r="N194" s="145">
        <f>VLOOKUP($A194&amp;" GNCP",'2017 TEST'!$A$13:$R$274,'2017 TEST'!L$9,FALSE)</f>
        <v>0</v>
      </c>
      <c r="O194" s="145">
        <f>VLOOKUP($A194&amp;" GNCP",'2017 TEST'!$A$13:$R$274,'2017 TEST'!M$9,FALSE)</f>
        <v>0</v>
      </c>
      <c r="P194" s="145">
        <f>VLOOKUP($A194&amp;" GNCP",'2017 TEST'!$A$13:$R$274,'2017 TEST'!N$9,FALSE)</f>
        <v>0</v>
      </c>
      <c r="T194" s="518"/>
      <c r="U194" s="518"/>
      <c r="V194" s="518"/>
      <c r="W194" s="518"/>
      <c r="X194" s="518"/>
      <c r="Y194" s="518"/>
      <c r="Z194" s="518"/>
      <c r="AA194" s="518"/>
      <c r="AB194" s="518"/>
      <c r="AC194" s="518"/>
      <c r="AD194" s="518"/>
      <c r="AE194" s="518"/>
      <c r="AF194" s="518"/>
      <c r="AG194" s="518"/>
      <c r="AH194" s="526"/>
      <c r="AI194" s="526"/>
      <c r="AJ194" s="526"/>
      <c r="AK194" s="526"/>
      <c r="AL194" s="526"/>
      <c r="AM194" s="526"/>
      <c r="AN194" s="526"/>
      <c r="AO194" s="526"/>
      <c r="AP194" s="526"/>
      <c r="AQ194" s="526"/>
      <c r="AR194" s="526"/>
      <c r="AS194" s="526"/>
    </row>
    <row r="195" spans="1:45">
      <c r="A195" t="s">
        <v>1192</v>
      </c>
      <c r="B195" t="s">
        <v>1192</v>
      </c>
      <c r="C195" s="240" t="s">
        <v>133</v>
      </c>
      <c r="D195" s="240"/>
      <c r="E195" s="145">
        <f>VLOOKUP($A195&amp;" NCP",'2017 TEST'!$A$13:$R$274,'2017 TEST'!C$9,FALSE)</f>
        <v>21000</v>
      </c>
      <c r="F195" s="145">
        <f>VLOOKUP($A195&amp;" NCP",'2017 TEST'!$A$13:$R$274,'2017 TEST'!D$9,FALSE)</f>
        <v>0</v>
      </c>
      <c r="G195" s="145">
        <f>VLOOKUP($A195&amp;" NCP",'2017 TEST'!$A$13:$R$274,'2017 TEST'!E$9,FALSE)</f>
        <v>0</v>
      </c>
      <c r="H195" s="145">
        <f>VLOOKUP($A195&amp;" NCP",'2017 TEST'!$A$13:$R$274,'2017 TEST'!F$9,FALSE)</f>
        <v>0</v>
      </c>
      <c r="I195" s="145">
        <f>VLOOKUP($A195&amp;" NCP",'2017 TEST'!$A$13:$R$274,'2017 TEST'!G$9,FALSE)</f>
        <v>0</v>
      </c>
      <c r="J195" s="145">
        <f>VLOOKUP($A195&amp;" NCP",'2017 TEST'!$A$13:$R$274,'2017 TEST'!H$9,FALSE)</f>
        <v>0</v>
      </c>
      <c r="K195" s="145">
        <f>VLOOKUP($A195&amp;" NCP",'2017 TEST'!$A$13:$R$274,'2017 TEST'!I$9,FALSE)</f>
        <v>0</v>
      </c>
      <c r="L195" s="145">
        <f>VLOOKUP($A195&amp;" NCP",'2017 TEST'!$A$13:$R$274,'2017 TEST'!J$9,FALSE)</f>
        <v>21000</v>
      </c>
      <c r="M195" s="145">
        <f>VLOOKUP($A195&amp;" NCP",'2017 TEST'!$A$13:$R$274,'2017 TEST'!K$9,FALSE)</f>
        <v>0</v>
      </c>
      <c r="N195" s="145">
        <f>VLOOKUP($A195&amp;" NCP",'2017 TEST'!$A$13:$R$274,'2017 TEST'!L$9,FALSE)</f>
        <v>0</v>
      </c>
      <c r="O195" s="145">
        <f>VLOOKUP($A195&amp;" NCP",'2017 TEST'!$A$13:$R$274,'2017 TEST'!M$9,FALSE)</f>
        <v>0</v>
      </c>
      <c r="P195" s="145">
        <f>VLOOKUP($A195&amp;" NCP",'2017 TEST'!$A$13:$R$274,'2017 TEST'!N$9,FALSE)</f>
        <v>0</v>
      </c>
      <c r="T195" s="518"/>
      <c r="U195" s="518"/>
      <c r="V195" s="518"/>
      <c r="W195" s="518"/>
      <c r="X195" s="518"/>
      <c r="Y195" s="518"/>
      <c r="Z195" s="518"/>
      <c r="AA195" s="518"/>
      <c r="AB195" s="518"/>
      <c r="AC195" s="518"/>
      <c r="AD195" s="518"/>
      <c r="AE195" s="518"/>
      <c r="AF195" s="518"/>
      <c r="AG195" s="518"/>
      <c r="AH195" s="526"/>
      <c r="AI195" s="526"/>
      <c r="AJ195" s="526"/>
      <c r="AK195" s="526"/>
      <c r="AL195" s="526"/>
      <c r="AM195" s="526"/>
      <c r="AN195" s="526"/>
      <c r="AO195" s="526"/>
      <c r="AP195" s="526"/>
      <c r="AQ195" s="526"/>
      <c r="AR195" s="526"/>
      <c r="AS195" s="526"/>
    </row>
    <row r="196" spans="1:45">
      <c r="A196" t="s">
        <v>1192</v>
      </c>
      <c r="B196" t="s">
        <v>1192</v>
      </c>
      <c r="C196" s="240" t="s">
        <v>1197</v>
      </c>
      <c r="D196" s="240"/>
      <c r="E196" s="230">
        <f>VLOOKUP($A196&amp;" CP - L.F.",'2017 TEST'!$A$13:$R$274,'2017 TEST'!C$9,FALSE)</f>
        <v>0</v>
      </c>
      <c r="F196" s="230">
        <f>VLOOKUP($A196&amp;" CP - L.F.",'2017 TEST'!$A$13:$R$274,'2017 TEST'!D$9,FALSE)</f>
        <v>0</v>
      </c>
      <c r="G196" s="230">
        <f>VLOOKUP($A196&amp;" CP - L.F.",'2017 TEST'!$A$13:$R$274,'2017 TEST'!E$9,FALSE)</f>
        <v>0</v>
      </c>
      <c r="H196" s="230">
        <f>VLOOKUP($A196&amp;" CP - L.F.",'2017 TEST'!$A$13:$R$274,'2017 TEST'!F$9,FALSE)</f>
        <v>0</v>
      </c>
      <c r="I196" s="230">
        <f>VLOOKUP($A196&amp;" CP - L.F.",'2017 TEST'!$A$13:$R$274,'2017 TEST'!G$9,FALSE)</f>
        <v>0</v>
      </c>
      <c r="J196" s="230">
        <f>VLOOKUP($A196&amp;" CP - L.F.",'2017 TEST'!$A$13:$R$274,'2017 TEST'!H$9,FALSE)</f>
        <v>0</v>
      </c>
      <c r="K196" s="230">
        <f>VLOOKUP($A196&amp;" CP - L.F.",'2017 TEST'!$A$13:$R$274,'2017 TEST'!I$9,FALSE)</f>
        <v>0</v>
      </c>
      <c r="L196" s="230">
        <f>VLOOKUP($A196&amp;" CP - L.F.",'2017 TEST'!$A$13:$R$274,'2017 TEST'!J$9,FALSE)</f>
        <v>0</v>
      </c>
      <c r="M196" s="230">
        <f>VLOOKUP($A196&amp;" CP - L.F.",'2017 TEST'!$A$13:$R$274,'2017 TEST'!K$9,FALSE)</f>
        <v>0</v>
      </c>
      <c r="N196" s="230">
        <f>VLOOKUP($A196&amp;" CP - L.F.",'2017 TEST'!$A$13:$R$274,'2017 TEST'!L$9,FALSE)</f>
        <v>0</v>
      </c>
      <c r="O196" s="230">
        <f>VLOOKUP($A196&amp;" CP - L.F.",'2017 TEST'!$A$13:$R$274,'2017 TEST'!M$9,FALSE)</f>
        <v>0</v>
      </c>
      <c r="P196" s="230">
        <f>VLOOKUP($A196&amp;" CP - L.F.",'2017 TEST'!$A$13:$R$274,'2017 TEST'!N$9,FALSE)</f>
        <v>0</v>
      </c>
      <c r="T196" s="518"/>
      <c r="U196" s="518"/>
      <c r="V196" s="518"/>
      <c r="W196" s="518"/>
      <c r="X196" s="518"/>
      <c r="Y196" s="518"/>
      <c r="Z196" s="518"/>
      <c r="AA196" s="518"/>
      <c r="AB196" s="518"/>
      <c r="AC196" s="518"/>
      <c r="AD196" s="518"/>
      <c r="AE196" s="518"/>
      <c r="AF196" s="518"/>
      <c r="AG196" s="518"/>
      <c r="AH196" s="526"/>
      <c r="AI196" s="526"/>
      <c r="AJ196" s="526"/>
      <c r="AK196" s="526"/>
      <c r="AL196" s="526"/>
      <c r="AM196" s="526"/>
      <c r="AN196" s="526"/>
      <c r="AO196" s="526"/>
      <c r="AP196" s="526"/>
      <c r="AQ196" s="526"/>
      <c r="AR196" s="526"/>
      <c r="AS196" s="526"/>
    </row>
    <row r="197" spans="1:45">
      <c r="A197" t="s">
        <v>1192</v>
      </c>
      <c r="B197" t="s">
        <v>1192</v>
      </c>
      <c r="C197" s="240" t="s">
        <v>1198</v>
      </c>
      <c r="D197" s="240"/>
      <c r="E197" s="230">
        <f>VLOOKUP($A197&amp;" GCP - L.F.",'2017 TEST'!$A$13:$R$274,'2017 TEST'!C$9,FALSE)</f>
        <v>0</v>
      </c>
      <c r="F197" s="230">
        <f>VLOOKUP($A197&amp;" GCP - L.F.",'2017 TEST'!$A$13:$R$274,'2017 TEST'!D$9,FALSE)</f>
        <v>0</v>
      </c>
      <c r="G197" s="230">
        <f>VLOOKUP($A197&amp;" GCP - L.F.",'2017 TEST'!$A$13:$R$274,'2017 TEST'!E$9,FALSE)</f>
        <v>0</v>
      </c>
      <c r="H197" s="230">
        <f>VLOOKUP($A197&amp;" GCP - L.F.",'2017 TEST'!$A$13:$R$274,'2017 TEST'!F$9,FALSE)</f>
        <v>0</v>
      </c>
      <c r="I197" s="230">
        <f>VLOOKUP($A197&amp;" GCP - L.F.",'2017 TEST'!$A$13:$R$274,'2017 TEST'!G$9,FALSE)</f>
        <v>0</v>
      </c>
      <c r="J197" s="230">
        <f>VLOOKUP($A197&amp;" GCP - L.F.",'2017 TEST'!$A$13:$R$274,'2017 TEST'!H$9,FALSE)</f>
        <v>0</v>
      </c>
      <c r="K197" s="230">
        <f>VLOOKUP($A197&amp;" GCP - L.F.",'2017 TEST'!$A$13:$R$274,'2017 TEST'!I$9,FALSE)</f>
        <v>0</v>
      </c>
      <c r="L197" s="230">
        <f>VLOOKUP($A197&amp;" GCP - L.F.",'2017 TEST'!$A$13:$R$274,'2017 TEST'!J$9,FALSE)</f>
        <v>0</v>
      </c>
      <c r="M197" s="230">
        <f>VLOOKUP($A197&amp;" GCP - L.F.",'2017 TEST'!$A$13:$R$274,'2017 TEST'!K$9,FALSE)</f>
        <v>0</v>
      </c>
      <c r="N197" s="230">
        <f>VLOOKUP($A197&amp;" GCP - L.F.",'2017 TEST'!$A$13:$R$274,'2017 TEST'!L$9,FALSE)</f>
        <v>0</v>
      </c>
      <c r="O197" s="230">
        <f>VLOOKUP($A197&amp;" GCP - L.F.",'2017 TEST'!$A$13:$R$274,'2017 TEST'!M$9,FALSE)</f>
        <v>0</v>
      </c>
      <c r="P197" s="230">
        <f>VLOOKUP($A197&amp;" GCP - L.F.",'2017 TEST'!$A$13:$R$274,'2017 TEST'!N$9,FALSE)</f>
        <v>0</v>
      </c>
      <c r="T197" s="518"/>
      <c r="U197" s="518"/>
      <c r="V197" s="518"/>
      <c r="W197" s="518"/>
      <c r="X197" s="518"/>
      <c r="Y197" s="518"/>
      <c r="Z197" s="518"/>
      <c r="AA197" s="518"/>
      <c r="AB197" s="518"/>
      <c r="AC197" s="518"/>
      <c r="AD197" s="518"/>
      <c r="AE197" s="518"/>
      <c r="AF197" s="518"/>
      <c r="AG197" s="518"/>
      <c r="AH197" s="526"/>
      <c r="AI197" s="526"/>
      <c r="AJ197" s="526"/>
      <c r="AK197" s="526"/>
      <c r="AL197" s="526"/>
      <c r="AM197" s="526"/>
      <c r="AN197" s="526"/>
      <c r="AO197" s="526"/>
      <c r="AP197" s="526"/>
      <c r="AQ197" s="526"/>
      <c r="AR197" s="526"/>
      <c r="AS197" s="526"/>
    </row>
    <row r="198" spans="1:45">
      <c r="A198" t="s">
        <v>1192</v>
      </c>
      <c r="B198" t="s">
        <v>1192</v>
      </c>
      <c r="C198" s="240" t="s">
        <v>1199</v>
      </c>
      <c r="D198" s="240"/>
      <c r="E198" s="230">
        <f>VLOOKUP($A198&amp;" NCP - L.F.",'2017 TEST'!$A$13:$R$274,'2017 TEST'!C$9,FALSE)</f>
        <v>0</v>
      </c>
      <c r="F198" s="230">
        <f>VLOOKUP($A198&amp;" NCP - L.F.",'2017 TEST'!$A$13:$R$274,'2017 TEST'!D$9,FALSE)</f>
        <v>0</v>
      </c>
      <c r="G198" s="230">
        <f>VLOOKUP($A198&amp;" NCP - L.F.",'2017 TEST'!$A$13:$R$274,'2017 TEST'!E$9,FALSE)</f>
        <v>0</v>
      </c>
      <c r="H198" s="230">
        <f>VLOOKUP($A198&amp;" NCP - L.F.",'2017 TEST'!$A$13:$R$274,'2017 TEST'!F$9,FALSE)</f>
        <v>0</v>
      </c>
      <c r="I198" s="230">
        <f>VLOOKUP($A198&amp;" NCP - L.F.",'2017 TEST'!$A$13:$R$274,'2017 TEST'!G$9,FALSE)</f>
        <v>0</v>
      </c>
      <c r="J198" s="230">
        <f>VLOOKUP($A198&amp;" NCP - L.F.",'2017 TEST'!$A$13:$R$274,'2017 TEST'!H$9,FALSE)</f>
        <v>0</v>
      </c>
      <c r="K198" s="230">
        <f>VLOOKUP($A198&amp;" NCP - L.F.",'2017 TEST'!$A$13:$R$274,'2017 TEST'!I$9,FALSE)</f>
        <v>0</v>
      </c>
      <c r="L198" s="230">
        <f>VLOOKUP($A198&amp;" NCP - L.F.",'2017 TEST'!$A$13:$R$274,'2017 TEST'!J$9,FALSE)</f>
        <v>0</v>
      </c>
      <c r="M198" s="230">
        <f>VLOOKUP($A198&amp;" NCP - L.F.",'2017 TEST'!$A$13:$R$274,'2017 TEST'!K$9,FALSE)</f>
        <v>0</v>
      </c>
      <c r="N198" s="230">
        <f>VLOOKUP($A198&amp;" NCP - L.F.",'2017 TEST'!$A$13:$R$274,'2017 TEST'!L$9,FALSE)</f>
        <v>0</v>
      </c>
      <c r="O198" s="230">
        <f>VLOOKUP($A198&amp;" NCP - L.F.",'2017 TEST'!$A$13:$R$274,'2017 TEST'!M$9,FALSE)</f>
        <v>0</v>
      </c>
      <c r="P198" s="230">
        <f>VLOOKUP($A198&amp;" NCP - L.F.",'2017 TEST'!$A$13:$R$274,'2017 TEST'!N$9,FALSE)</f>
        <v>0</v>
      </c>
      <c r="T198" s="518"/>
      <c r="U198" s="518"/>
      <c r="V198" s="518"/>
      <c r="W198" s="518"/>
      <c r="X198" s="518"/>
      <c r="Y198" s="518"/>
      <c r="Z198" s="518"/>
      <c r="AA198" s="518"/>
      <c r="AB198" s="518"/>
      <c r="AC198" s="518"/>
      <c r="AD198" s="518"/>
      <c r="AE198" s="518"/>
      <c r="AF198" s="518"/>
      <c r="AG198" s="518"/>
      <c r="AH198" s="526"/>
      <c r="AI198" s="526"/>
      <c r="AJ198" s="526"/>
      <c r="AK198" s="526"/>
      <c r="AL198" s="526"/>
      <c r="AM198" s="526"/>
      <c r="AN198" s="526"/>
      <c r="AO198" s="526"/>
      <c r="AP198" s="526"/>
      <c r="AQ198" s="526"/>
      <c r="AR198" s="526"/>
      <c r="AS198" s="526"/>
    </row>
    <row r="199" spans="1:45">
      <c r="A199" t="s">
        <v>1192</v>
      </c>
      <c r="B199" t="s">
        <v>1192</v>
      </c>
      <c r="C199" s="240" t="s">
        <v>1200</v>
      </c>
      <c r="D199" s="240"/>
      <c r="E199" s="145">
        <f>HOURS!$B$19</f>
        <v>744</v>
      </c>
      <c r="F199" s="145">
        <f>HOURS!$C$19</f>
        <v>672</v>
      </c>
      <c r="G199" s="145">
        <f>HOURS!$D$19</f>
        <v>744</v>
      </c>
      <c r="H199" s="145">
        <f>HOURS!$E$19</f>
        <v>720</v>
      </c>
      <c r="I199" s="145">
        <f>HOURS!$F$19</f>
        <v>744</v>
      </c>
      <c r="J199" s="145">
        <f>HOURS!$G$19</f>
        <v>720</v>
      </c>
      <c r="K199" s="145">
        <f>HOURS!$H$19</f>
        <v>744</v>
      </c>
      <c r="L199" s="145">
        <f>HOURS!$I$19</f>
        <v>744</v>
      </c>
      <c r="M199" s="145">
        <f>HOURS!$J$19</f>
        <v>720</v>
      </c>
      <c r="N199" s="145">
        <f>HOURS!$K$19</f>
        <v>744</v>
      </c>
      <c r="O199" s="145">
        <f>HOURS!$L$19</f>
        <v>720</v>
      </c>
      <c r="P199" s="145">
        <f>HOURS!$M$19</f>
        <v>744</v>
      </c>
      <c r="T199" s="518"/>
      <c r="U199" s="518"/>
      <c r="V199" s="518"/>
      <c r="W199" s="518"/>
      <c r="X199" s="518"/>
      <c r="Y199" s="518"/>
      <c r="Z199" s="518"/>
      <c r="AA199" s="518"/>
      <c r="AB199" s="518"/>
      <c r="AC199" s="518"/>
      <c r="AD199" s="518"/>
      <c r="AE199" s="518"/>
      <c r="AF199" s="518"/>
      <c r="AG199" s="518"/>
      <c r="AH199" s="526"/>
      <c r="AI199" s="526"/>
      <c r="AJ199" s="526"/>
      <c r="AK199" s="526"/>
      <c r="AL199" s="526"/>
      <c r="AM199" s="526"/>
      <c r="AN199" s="526"/>
      <c r="AO199" s="526"/>
      <c r="AP199" s="526"/>
      <c r="AQ199" s="526"/>
      <c r="AR199" s="526"/>
      <c r="AS199" s="526"/>
    </row>
    <row r="200" spans="1:45">
      <c r="T200"/>
      <c r="U200"/>
      <c r="V200"/>
      <c r="W200"/>
      <c r="X200"/>
      <c r="Y200"/>
      <c r="Z200"/>
      <c r="AA200"/>
      <c r="AB200"/>
      <c r="AC200"/>
      <c r="AD200"/>
      <c r="AE200"/>
      <c r="AF200"/>
      <c r="AG200" s="518"/>
      <c r="AH200" s="526"/>
      <c r="AI200" s="526"/>
      <c r="AJ200" s="526"/>
      <c r="AK200" s="526"/>
      <c r="AL200" s="526"/>
      <c r="AM200" s="526"/>
      <c r="AN200" s="526"/>
      <c r="AO200" s="526"/>
      <c r="AP200" s="526"/>
      <c r="AQ200" s="526"/>
      <c r="AR200" s="526"/>
      <c r="AS200" s="526"/>
    </row>
    <row r="201" spans="1:45">
      <c r="A201" t="s">
        <v>984</v>
      </c>
      <c r="B201" t="s">
        <v>661</v>
      </c>
      <c r="C201" t="s">
        <v>1109</v>
      </c>
      <c r="T201" s="522" t="s">
        <v>1241</v>
      </c>
      <c r="U201" s="523"/>
      <c r="V201" s="523"/>
      <c r="W201" s="523"/>
      <c r="X201" s="523"/>
      <c r="Y201" s="523"/>
      <c r="Z201" s="523"/>
      <c r="AA201" s="523"/>
      <c r="AB201" s="523"/>
      <c r="AC201" s="523"/>
      <c r="AD201" s="523"/>
      <c r="AE201" s="523"/>
      <c r="AF201" s="523"/>
      <c r="AG201"/>
      <c r="AH201" s="526"/>
      <c r="AI201" s="526"/>
      <c r="AJ201" s="526"/>
      <c r="AK201" s="526"/>
      <c r="AL201" s="526"/>
      <c r="AM201" s="526"/>
      <c r="AN201" s="526"/>
      <c r="AO201" s="526"/>
      <c r="AP201" s="526"/>
      <c r="AQ201" s="526"/>
      <c r="AR201" s="526"/>
      <c r="AS201" s="526"/>
    </row>
    <row r="202" spans="1:45" ht="15.6">
      <c r="A202" t="s">
        <v>984</v>
      </c>
      <c r="B202" t="s">
        <v>661</v>
      </c>
      <c r="C202" s="251" t="s">
        <v>1201</v>
      </c>
      <c r="D202" s="251"/>
      <c r="E202" s="4">
        <f>$E$8</f>
        <v>42736</v>
      </c>
      <c r="F202" s="4">
        <f>$F$8</f>
        <v>42767</v>
      </c>
      <c r="G202" s="4">
        <f>$G$8</f>
        <v>42795</v>
      </c>
      <c r="H202" s="4">
        <f>$H$8</f>
        <v>42826</v>
      </c>
      <c r="I202" s="4">
        <f>$I$8</f>
        <v>42856</v>
      </c>
      <c r="J202" s="4">
        <f>$J$8</f>
        <v>42887</v>
      </c>
      <c r="K202" s="4">
        <f>$K$8</f>
        <v>42917</v>
      </c>
      <c r="L202" s="4">
        <f>$L$8</f>
        <v>42948</v>
      </c>
      <c r="M202" s="4">
        <f>$M$8</f>
        <v>42979</v>
      </c>
      <c r="N202" s="4">
        <f>$N$8</f>
        <v>43009</v>
      </c>
      <c r="O202" s="4">
        <f>$O$8</f>
        <v>43040</v>
      </c>
      <c r="P202" s="4">
        <f>$P$8</f>
        <v>43070</v>
      </c>
      <c r="T202" s="206" t="s">
        <v>1261</v>
      </c>
      <c r="U202" s="523">
        <v>286734.03399999999</v>
      </c>
      <c r="V202" s="523">
        <v>283976.641</v>
      </c>
      <c r="W202" s="523">
        <v>275764.42200000002</v>
      </c>
      <c r="X202" s="523">
        <v>327267.20799999998</v>
      </c>
      <c r="Y202" s="523">
        <v>357933.924</v>
      </c>
      <c r="Z202" s="523">
        <v>362782.75199999998</v>
      </c>
      <c r="AA202" s="523">
        <v>374673.12099999998</v>
      </c>
      <c r="AB202" s="523">
        <v>352543.565</v>
      </c>
      <c r="AC202" s="523">
        <v>378177.52100000001</v>
      </c>
      <c r="AD202" s="523">
        <v>373296.75400000002</v>
      </c>
      <c r="AE202" s="523">
        <v>341336.63799999998</v>
      </c>
      <c r="AF202" s="523">
        <v>310714.022</v>
      </c>
      <c r="AH202" s="526"/>
      <c r="AI202" s="526"/>
      <c r="AJ202" s="526"/>
      <c r="AK202" s="526"/>
      <c r="AL202" s="526"/>
      <c r="AM202" s="526"/>
      <c r="AN202" s="526"/>
      <c r="AO202" s="526"/>
      <c r="AP202" s="526"/>
      <c r="AQ202" s="526"/>
      <c r="AR202" s="526"/>
      <c r="AS202" s="526"/>
    </row>
    <row r="203" spans="1:45">
      <c r="A203" t="s">
        <v>984</v>
      </c>
      <c r="B203" t="s">
        <v>661</v>
      </c>
      <c r="C203" s="240" t="s">
        <v>148</v>
      </c>
      <c r="D203" s="240"/>
      <c r="E203" s="145">
        <f>VLOOKUP($A203&amp;" CP",'2017 TEST'!$A$13:$R$274,'2017 TEST'!C$9,FALSE)</f>
        <v>729243.6675621185</v>
      </c>
      <c r="F203" s="145">
        <f>VLOOKUP($A203&amp;" CP",'2017 TEST'!$A$13:$R$274,'2017 TEST'!D$9,FALSE)</f>
        <v>654650.46165759023</v>
      </c>
      <c r="G203" s="145">
        <f>VLOOKUP($A203&amp;" CP",'2017 TEST'!$A$13:$R$274,'2017 TEST'!E$9,FALSE)</f>
        <v>603275.64951211831</v>
      </c>
      <c r="H203" s="145">
        <f>VLOOKUP($A203&amp;" CP",'2017 TEST'!$A$13:$R$274,'2017 TEST'!F$9,FALSE)</f>
        <v>591012.52546677541</v>
      </c>
      <c r="I203" s="145">
        <f>VLOOKUP($A203&amp;" CP",'2017 TEST'!$A$13:$R$274,'2017 TEST'!G$9,FALSE)</f>
        <v>684847.26003287057</v>
      </c>
      <c r="J203" s="145">
        <f>VLOOKUP($A203&amp;" CP",'2017 TEST'!$A$13:$R$274,'2017 TEST'!H$9,FALSE)</f>
        <v>752108.90504498081</v>
      </c>
      <c r="K203" s="145">
        <f>VLOOKUP($A203&amp;" CP",'2017 TEST'!$A$13:$R$274,'2017 TEST'!I$9,FALSE)</f>
        <v>733115.22753193637</v>
      </c>
      <c r="L203" s="145">
        <f>VLOOKUP($A203&amp;" CP",'2017 TEST'!$A$13:$R$274,'2017 TEST'!J$9,FALSE)</f>
        <v>766732.83892759238</v>
      </c>
      <c r="M203" s="145">
        <f>VLOOKUP($A203&amp;" CP",'2017 TEST'!$A$13:$R$274,'2017 TEST'!K$9,FALSE)</f>
        <v>658437.90981861157</v>
      </c>
      <c r="N203" s="145">
        <f>VLOOKUP($A203&amp;" CP",'2017 TEST'!$A$13:$R$274,'2017 TEST'!L$9,FALSE)</f>
        <v>693524.83414618904</v>
      </c>
      <c r="O203" s="145">
        <f>VLOOKUP($A203&amp;" CP",'2017 TEST'!$A$13:$R$274,'2017 TEST'!M$9,FALSE)</f>
        <v>569677.30658885243</v>
      </c>
      <c r="P203" s="145">
        <f>VLOOKUP($A203&amp;" CP",'2017 TEST'!$A$13:$R$274,'2017 TEST'!N$9,FALSE)</f>
        <v>535486.95004009875</v>
      </c>
      <c r="T203" s="206" t="s">
        <v>148</v>
      </c>
      <c r="U203" s="523">
        <v>729243.66775452765</v>
      </c>
      <c r="V203" s="523">
        <v>654650.46181549237</v>
      </c>
      <c r="W203" s="523">
        <v>603275.64965465909</v>
      </c>
      <c r="X203" s="523">
        <v>591012.52560230426</v>
      </c>
      <c r="Y203" s="523">
        <v>684847.2601966426</v>
      </c>
      <c r="Z203" s="523">
        <v>752108.90522959433</v>
      </c>
      <c r="AA203" s="523">
        <v>733115.22770863189</v>
      </c>
      <c r="AB203" s="523">
        <v>766732.83912516793</v>
      </c>
      <c r="AC203" s="523">
        <v>658437.90997394314</v>
      </c>
      <c r="AD203" s="523">
        <v>693524.83431365481</v>
      </c>
      <c r="AE203" s="523">
        <v>569677.30671960046</v>
      </c>
      <c r="AF203" s="523">
        <v>535486.95004009677</v>
      </c>
      <c r="AH203" s="526"/>
      <c r="AI203" s="526"/>
      <c r="AJ203" s="526"/>
      <c r="AK203" s="526"/>
      <c r="AL203" s="526"/>
      <c r="AM203" s="526"/>
      <c r="AN203" s="526"/>
      <c r="AO203" s="526"/>
      <c r="AP203" s="526"/>
      <c r="AQ203" s="526"/>
      <c r="AR203" s="526"/>
      <c r="AS203" s="526"/>
    </row>
    <row r="204" spans="1:45">
      <c r="A204" t="s">
        <v>984</v>
      </c>
      <c r="B204" t="s">
        <v>661</v>
      </c>
      <c r="C204" s="240" t="s">
        <v>147</v>
      </c>
      <c r="D204" s="240"/>
      <c r="E204" s="145">
        <f>VLOOKUP($A204&amp;" GNCP",'2017 TEST'!$A$13:$R$274,'2017 TEST'!C$9,FALSE)</f>
        <v>752102</v>
      </c>
      <c r="F204" s="145">
        <f>VLOOKUP($A204&amp;" GNCP",'2017 TEST'!$A$13:$R$274,'2017 TEST'!D$9,FALSE)</f>
        <v>672677</v>
      </c>
      <c r="G204" s="145">
        <f>VLOOKUP($A204&amp;" GNCP",'2017 TEST'!$A$13:$R$274,'2017 TEST'!E$9,FALSE)</f>
        <v>619483</v>
      </c>
      <c r="H204" s="145">
        <f>VLOOKUP($A204&amp;" GNCP",'2017 TEST'!$A$13:$R$274,'2017 TEST'!F$9,FALSE)</f>
        <v>632208</v>
      </c>
      <c r="I204" s="145">
        <f>VLOOKUP($A204&amp;" GNCP",'2017 TEST'!$A$13:$R$274,'2017 TEST'!G$9,FALSE)</f>
        <v>721094</v>
      </c>
      <c r="J204" s="145">
        <f>VLOOKUP($A204&amp;" GNCP",'2017 TEST'!$A$13:$R$274,'2017 TEST'!H$9,FALSE)</f>
        <v>776545</v>
      </c>
      <c r="K204" s="145">
        <f>VLOOKUP($A204&amp;" GNCP",'2017 TEST'!$A$13:$R$274,'2017 TEST'!I$9,FALSE)</f>
        <v>782863</v>
      </c>
      <c r="L204" s="145">
        <f>VLOOKUP($A204&amp;" GNCP",'2017 TEST'!$A$13:$R$274,'2017 TEST'!J$9,FALSE)</f>
        <v>795259</v>
      </c>
      <c r="M204" s="145">
        <f>VLOOKUP($A204&amp;" GNCP",'2017 TEST'!$A$13:$R$274,'2017 TEST'!K$9,FALSE)</f>
        <v>760044</v>
      </c>
      <c r="N204" s="145">
        <f>VLOOKUP($A204&amp;" GNCP",'2017 TEST'!$A$13:$R$274,'2017 TEST'!L$9,FALSE)</f>
        <v>713212</v>
      </c>
      <c r="O204" s="145">
        <f>VLOOKUP($A204&amp;" GNCP",'2017 TEST'!$A$13:$R$274,'2017 TEST'!M$9,FALSE)</f>
        <v>585750</v>
      </c>
      <c r="P204" s="145">
        <f>VLOOKUP($A204&amp;" GNCP",'2017 TEST'!$A$13:$R$274,'2017 TEST'!N$9,FALSE)</f>
        <v>554266</v>
      </c>
      <c r="T204" s="206" t="s">
        <v>342</v>
      </c>
      <c r="U204" s="523">
        <v>745168.869636302</v>
      </c>
      <c r="V204" s="523">
        <v>668946.80175185995</v>
      </c>
      <c r="W204" s="523">
        <v>616450.13839736395</v>
      </c>
      <c r="X204" s="523">
        <v>603919.22942080395</v>
      </c>
      <c r="Y204" s="523">
        <v>699802.99552638899</v>
      </c>
      <c r="Z204" s="523">
        <v>768533.40615780896</v>
      </c>
      <c r="AA204" s="523">
        <v>749124.97131151205</v>
      </c>
      <c r="AB204" s="523">
        <v>783476.67703109304</v>
      </c>
      <c r="AC204" s="523">
        <v>672816.95490237197</v>
      </c>
      <c r="AD204" s="523">
        <v>708670.058352247</v>
      </c>
      <c r="AE204" s="523">
        <v>582118.12190809206</v>
      </c>
      <c r="AF204" s="523">
        <v>547181.16422875796</v>
      </c>
      <c r="AH204" s="526"/>
      <c r="AI204" s="526"/>
      <c r="AJ204" s="526"/>
      <c r="AK204" s="526"/>
      <c r="AL204" s="526"/>
      <c r="AM204" s="526"/>
      <c r="AN204" s="526"/>
      <c r="AO204" s="526"/>
      <c r="AP204" s="526"/>
      <c r="AQ204" s="526"/>
      <c r="AR204" s="526"/>
      <c r="AS204" s="526"/>
    </row>
    <row r="205" spans="1:45">
      <c r="A205" t="s">
        <v>984</v>
      </c>
      <c r="B205" t="s">
        <v>661</v>
      </c>
      <c r="C205" s="240" t="s">
        <v>133</v>
      </c>
      <c r="D205" s="240"/>
      <c r="E205" s="145">
        <f>VLOOKUP($A205&amp;" NCP",'2017 TEST'!$A$13:$R$274,'2017 TEST'!C$9,FALSE)</f>
        <v>752102</v>
      </c>
      <c r="F205" s="145">
        <f>VLOOKUP($A205&amp;" NCP",'2017 TEST'!$A$13:$R$274,'2017 TEST'!D$9,FALSE)</f>
        <v>672677</v>
      </c>
      <c r="G205" s="145">
        <f>VLOOKUP($A205&amp;" NCP",'2017 TEST'!$A$13:$R$274,'2017 TEST'!E$9,FALSE)</f>
        <v>619483</v>
      </c>
      <c r="H205" s="145">
        <f>VLOOKUP($A205&amp;" NCP",'2017 TEST'!$A$13:$R$274,'2017 TEST'!F$9,FALSE)</f>
        <v>632208</v>
      </c>
      <c r="I205" s="145">
        <f>VLOOKUP($A205&amp;" NCP",'2017 TEST'!$A$13:$R$274,'2017 TEST'!G$9,FALSE)</f>
        <v>721094</v>
      </c>
      <c r="J205" s="145">
        <f>VLOOKUP($A205&amp;" NCP",'2017 TEST'!$A$13:$R$274,'2017 TEST'!H$9,FALSE)</f>
        <v>776545</v>
      </c>
      <c r="K205" s="145">
        <f>VLOOKUP($A205&amp;" NCP",'2017 TEST'!$A$13:$R$274,'2017 TEST'!I$9,FALSE)</f>
        <v>782863</v>
      </c>
      <c r="L205" s="145">
        <f>VLOOKUP($A205&amp;" NCP",'2017 TEST'!$A$13:$R$274,'2017 TEST'!J$9,FALSE)</f>
        <v>795259</v>
      </c>
      <c r="M205" s="145">
        <f>VLOOKUP($A205&amp;" NCP",'2017 TEST'!$A$13:$R$274,'2017 TEST'!K$9,FALSE)</f>
        <v>760044</v>
      </c>
      <c r="N205" s="145">
        <f>VLOOKUP($A205&amp;" NCP",'2017 TEST'!$A$13:$R$274,'2017 TEST'!L$9,FALSE)</f>
        <v>713212</v>
      </c>
      <c r="O205" s="145">
        <f>VLOOKUP($A205&amp;" NCP",'2017 TEST'!$A$13:$R$274,'2017 TEST'!M$9,FALSE)</f>
        <v>585750</v>
      </c>
      <c r="P205" s="145">
        <f>VLOOKUP($A205&amp;" NCP",'2017 TEST'!$A$13:$R$274,'2017 TEST'!N$9,FALSE)</f>
        <v>554266</v>
      </c>
      <c r="T205" s="206" t="s">
        <v>133</v>
      </c>
      <c r="U205" s="523">
        <v>745168.869636302</v>
      </c>
      <c r="V205" s="523">
        <v>668946.80175185995</v>
      </c>
      <c r="W205" s="523">
        <v>616450.13839736395</v>
      </c>
      <c r="X205" s="523">
        <v>603919.22942080395</v>
      </c>
      <c r="Y205" s="523">
        <v>699802.99552638899</v>
      </c>
      <c r="Z205" s="523">
        <v>768533.40615780896</v>
      </c>
      <c r="AA205" s="523">
        <v>749124.97131151205</v>
      </c>
      <c r="AB205" s="523">
        <v>783476.67703109304</v>
      </c>
      <c r="AC205" s="523">
        <v>672816.95490237197</v>
      </c>
      <c r="AD205" s="523">
        <v>708670.058352247</v>
      </c>
      <c r="AE205" s="523">
        <v>582118.12190809206</v>
      </c>
      <c r="AF205" s="523">
        <v>547181.16422875796</v>
      </c>
      <c r="AH205" s="526"/>
      <c r="AI205" s="526"/>
      <c r="AJ205" s="526"/>
      <c r="AK205" s="526"/>
      <c r="AL205" s="526"/>
      <c r="AM205" s="526"/>
      <c r="AN205" s="526"/>
      <c r="AO205" s="526"/>
      <c r="AP205" s="526"/>
      <c r="AQ205" s="526"/>
      <c r="AR205" s="526"/>
      <c r="AS205" s="526"/>
    </row>
    <row r="206" spans="1:45">
      <c r="A206" t="s">
        <v>984</v>
      </c>
      <c r="B206" t="s">
        <v>661</v>
      </c>
      <c r="C206" s="240" t="s">
        <v>1197</v>
      </c>
      <c r="D206" s="240"/>
      <c r="E206" s="230">
        <f>VLOOKUP($A206&amp;" CP - L.F.",'2017 TEST'!$A$13:$R$274,'2017 TEST'!C$9,FALSE)</f>
        <v>0.52848618936607838</v>
      </c>
      <c r="F206" s="230">
        <f>VLOOKUP($A206&amp;" CP - L.F.",'2017 TEST'!$A$13:$R$274,'2017 TEST'!D$9,FALSE)</f>
        <v>0.6455113254367647</v>
      </c>
      <c r="G206" s="230">
        <f>VLOOKUP($A206&amp;" CP - L.F.",'2017 TEST'!$A$13:$R$274,'2017 TEST'!E$9,FALSE)</f>
        <v>0.61439758945759382</v>
      </c>
      <c r="H206" s="230">
        <f>VLOOKUP($A206&amp;" CP - L.F.",'2017 TEST'!$A$13:$R$274,'2017 TEST'!F$9,FALSE)</f>
        <v>0.76908317388011327</v>
      </c>
      <c r="I206" s="230">
        <f>VLOOKUP($A206&amp;" CP - L.F.",'2017 TEST'!$A$13:$R$274,'2017 TEST'!G$9,FALSE)</f>
        <v>0.70248362218442217</v>
      </c>
      <c r="J206" s="230">
        <f>VLOOKUP($A206&amp;" CP - L.F.",'2017 TEST'!$A$13:$R$274,'2017 TEST'!H$9,FALSE)</f>
        <v>0.66993613551643705</v>
      </c>
      <c r="K206" s="230">
        <f>VLOOKUP($A206&amp;" CP - L.F.",'2017 TEST'!$A$13:$R$274,'2017 TEST'!I$9,FALSE)</f>
        <v>0.6869218993926226</v>
      </c>
      <c r="L206" s="230">
        <f>VLOOKUP($A206&amp;" CP - L.F.",'2017 TEST'!$A$13:$R$274,'2017 TEST'!J$9,FALSE)</f>
        <v>0.61801041201121776</v>
      </c>
      <c r="M206" s="230">
        <f>VLOOKUP($A206&amp;" CP - L.F.",'2017 TEST'!$A$13:$R$274,'2017 TEST'!K$9,FALSE)</f>
        <v>0.79771615381189231</v>
      </c>
      <c r="N206" s="230">
        <f>VLOOKUP($A206&amp;" CP - L.F.",'2017 TEST'!$A$13:$R$274,'2017 TEST'!L$9,FALSE)</f>
        <v>0.72346789072439777</v>
      </c>
      <c r="O206" s="230">
        <f>VLOOKUP($A206&amp;" CP - L.F.",'2017 TEST'!$A$13:$R$274,'2017 TEST'!M$9,FALSE)</f>
        <v>0.83218807982295318</v>
      </c>
      <c r="P206" s="230">
        <f>VLOOKUP($A206&amp;" CP - L.F.",'2017 TEST'!$A$13:$R$274,'2017 TEST'!N$9,FALSE)</f>
        <v>0.7799001892102897</v>
      </c>
      <c r="T206" s="206" t="s">
        <v>1197</v>
      </c>
      <c r="U206" s="524">
        <v>0.5284861892266387</v>
      </c>
      <c r="V206" s="524">
        <v>0.64551132528106692</v>
      </c>
      <c r="W206" s="524">
        <v>0.61439758931242516</v>
      </c>
      <c r="X206" s="524">
        <v>0.7690831737037499</v>
      </c>
      <c r="Y206" s="524">
        <v>0.70248362201643255</v>
      </c>
      <c r="Z206" s="524">
        <v>0.6699361353519937</v>
      </c>
      <c r="AA206" s="524">
        <v>0.6869218992270606</v>
      </c>
      <c r="AB206" s="524">
        <v>0.6180104118519657</v>
      </c>
      <c r="AC206" s="524">
        <v>0.79771615362370374</v>
      </c>
      <c r="AD206" s="524">
        <v>0.72346789054970173</v>
      </c>
      <c r="AE206" s="524">
        <v>0.83218807963195562</v>
      </c>
      <c r="AF206" s="524">
        <v>0.77990018921029269</v>
      </c>
      <c r="AH206" s="526"/>
      <c r="AI206" s="526"/>
      <c r="AJ206" s="526"/>
      <c r="AK206" s="526"/>
      <c r="AL206" s="526"/>
      <c r="AM206" s="526"/>
      <c r="AN206" s="526"/>
      <c r="AO206" s="526"/>
      <c r="AP206" s="526"/>
      <c r="AQ206" s="526"/>
      <c r="AR206" s="526"/>
      <c r="AS206" s="526"/>
    </row>
    <row r="207" spans="1:45">
      <c r="A207" t="s">
        <v>984</v>
      </c>
      <c r="B207" t="s">
        <v>661</v>
      </c>
      <c r="C207" s="240" t="s">
        <v>1198</v>
      </c>
      <c r="D207" s="240"/>
      <c r="E207" s="230">
        <f>VLOOKUP($A207&amp;" GCP - L.F.",'2017 TEST'!$A$13:$R$274,'2017 TEST'!C$9,FALSE)</f>
        <v>0.51242412197979437</v>
      </c>
      <c r="F207" s="230">
        <f>VLOOKUP($A207&amp;" GCP - L.F.",'2017 TEST'!$A$13:$R$274,'2017 TEST'!D$9,FALSE)</f>
        <v>0.62821277849901358</v>
      </c>
      <c r="G207" s="230">
        <f>VLOOKUP($A207&amp;" GCP - L.F.",'2017 TEST'!$A$13:$R$274,'2017 TEST'!E$9,FALSE)</f>
        <v>0.59832328706148463</v>
      </c>
      <c r="H207" s="230">
        <f>VLOOKUP($A207&amp;" GCP - L.F.",'2017 TEST'!$A$13:$R$274,'2017 TEST'!F$9,FALSE)</f>
        <v>0.71896873954282281</v>
      </c>
      <c r="I207" s="230">
        <f>VLOOKUP($A207&amp;" GCP - L.F.",'2017 TEST'!$A$13:$R$274,'2017 TEST'!G$9,FALSE)</f>
        <v>0.66717235737777292</v>
      </c>
      <c r="J207" s="230">
        <f>VLOOKUP($A207&amp;" GCP - L.F.",'2017 TEST'!$A$13:$R$274,'2017 TEST'!H$9,FALSE)</f>
        <v>0.64885477767976529</v>
      </c>
      <c r="K207" s="230">
        <f>VLOOKUP($A207&amp;" GCP - L.F.",'2017 TEST'!$A$13:$R$274,'2017 TEST'!I$9,FALSE)</f>
        <v>0.64327079523478881</v>
      </c>
      <c r="L207" s="230">
        <f>VLOOKUP($A207&amp;" GCP - L.F.",'2017 TEST'!$A$13:$R$274,'2017 TEST'!J$9,FALSE)</f>
        <v>0.59584220698938595</v>
      </c>
      <c r="M207" s="230">
        <f>VLOOKUP($A207&amp;" GCP - L.F.",'2017 TEST'!$A$13:$R$274,'2017 TEST'!K$9,FALSE)</f>
        <v>0.69107388117588509</v>
      </c>
      <c r="N207" s="230">
        <f>VLOOKUP($A207&amp;" GCP - L.F.",'2017 TEST'!$A$13:$R$274,'2017 TEST'!L$9,FALSE)</f>
        <v>0.70349762612621658</v>
      </c>
      <c r="O207" s="230">
        <f>VLOOKUP($A207&amp;" GCP - L.F.",'2017 TEST'!$A$13:$R$274,'2017 TEST'!M$9,FALSE)</f>
        <v>0.8093532460757813</v>
      </c>
      <c r="P207" s="230">
        <f>VLOOKUP($A207&amp;" GCP - L.F.",'2017 TEST'!$A$13:$R$274,'2017 TEST'!N$9,FALSE)</f>
        <v>0.7534764420980431</v>
      </c>
      <c r="T207" s="206" t="s">
        <v>1221</v>
      </c>
      <c r="U207" s="524">
        <v>0.51719177047391818</v>
      </c>
      <c r="V207" s="524">
        <v>0.63171583464589898</v>
      </c>
      <c r="W207" s="524">
        <v>0.60126696670443103</v>
      </c>
      <c r="X207" s="524">
        <v>0.75264665661469132</v>
      </c>
      <c r="Y207" s="524">
        <v>0.68747059807752153</v>
      </c>
      <c r="Z207" s="524">
        <v>0.65561877895763299</v>
      </c>
      <c r="AA207" s="524">
        <v>0.67224151357314865</v>
      </c>
      <c r="AB207" s="524">
        <v>0.60480278683441513</v>
      </c>
      <c r="AC207" s="524">
        <v>0.78066783709494891</v>
      </c>
      <c r="AD207" s="524">
        <v>0.70800641710664469</v>
      </c>
      <c r="AE207" s="524">
        <v>0.81440286094329661</v>
      </c>
      <c r="AF207" s="524">
        <v>0.76323236426559171</v>
      </c>
      <c r="AH207" s="526"/>
      <c r="AI207" s="526"/>
      <c r="AJ207" s="526"/>
      <c r="AK207" s="526"/>
      <c r="AL207" s="526"/>
      <c r="AM207" s="526"/>
      <c r="AN207" s="526"/>
      <c r="AO207" s="526"/>
      <c r="AP207" s="526"/>
      <c r="AQ207" s="526"/>
      <c r="AR207" s="526"/>
      <c r="AS207" s="526"/>
    </row>
    <row r="208" spans="1:45">
      <c r="A208" t="s">
        <v>984</v>
      </c>
      <c r="B208" t="s">
        <v>661</v>
      </c>
      <c r="C208" s="240" t="s">
        <v>1199</v>
      </c>
      <c r="D208" s="240"/>
      <c r="E208" s="230">
        <f>VLOOKUP($A208&amp;" NCP - L.F.",'2017 TEST'!$A$13:$R$274,'2017 TEST'!C$9,FALSE)</f>
        <v>0.51242412197979437</v>
      </c>
      <c r="F208" s="230">
        <f>VLOOKUP($A208&amp;" NCP - L.F.",'2017 TEST'!$A$13:$R$274,'2017 TEST'!D$9,FALSE)</f>
        <v>0.62821277849901358</v>
      </c>
      <c r="G208" s="230">
        <f>VLOOKUP($A208&amp;" NCP - L.F.",'2017 TEST'!$A$13:$R$274,'2017 TEST'!E$9,FALSE)</f>
        <v>0.59832328706148463</v>
      </c>
      <c r="H208" s="230">
        <f>VLOOKUP($A208&amp;" NCP - L.F.",'2017 TEST'!$A$13:$R$274,'2017 TEST'!F$9,FALSE)</f>
        <v>0.71896873954282281</v>
      </c>
      <c r="I208" s="230">
        <f>VLOOKUP($A208&amp;" NCP - L.F.",'2017 TEST'!$A$13:$R$274,'2017 TEST'!G$9,FALSE)</f>
        <v>0.66717235737777292</v>
      </c>
      <c r="J208" s="230">
        <f>VLOOKUP($A208&amp;" NCP - L.F.",'2017 TEST'!$A$13:$R$274,'2017 TEST'!H$9,FALSE)</f>
        <v>0.64885477767976529</v>
      </c>
      <c r="K208" s="230">
        <f>VLOOKUP($A208&amp;" NCP - L.F.",'2017 TEST'!$A$13:$R$274,'2017 TEST'!I$9,FALSE)</f>
        <v>0.64327079523478881</v>
      </c>
      <c r="L208" s="230">
        <f>VLOOKUP($A208&amp;" NCP - L.F.",'2017 TEST'!$A$13:$R$274,'2017 TEST'!J$9,FALSE)</f>
        <v>0.59584220698938595</v>
      </c>
      <c r="M208" s="230">
        <f>VLOOKUP($A208&amp;" NCP - L.F.",'2017 TEST'!$A$13:$R$274,'2017 TEST'!K$9,FALSE)</f>
        <v>0.69107388117588509</v>
      </c>
      <c r="N208" s="230">
        <f>VLOOKUP($A208&amp;" NCP - L.F.",'2017 TEST'!$A$13:$R$274,'2017 TEST'!L$9,FALSE)</f>
        <v>0.70349762612621658</v>
      </c>
      <c r="O208" s="230">
        <f>VLOOKUP($A208&amp;" NCP - L.F.",'2017 TEST'!$A$13:$R$274,'2017 TEST'!M$9,FALSE)</f>
        <v>0.8093532460757813</v>
      </c>
      <c r="P208" s="230">
        <f>VLOOKUP($A208&amp;" NCP - L.F.",'2017 TEST'!$A$13:$R$274,'2017 TEST'!N$9,FALSE)</f>
        <v>0.7534764420980431</v>
      </c>
      <c r="T208" s="206" t="s">
        <v>1199</v>
      </c>
      <c r="U208" s="524">
        <v>0.51719177047391818</v>
      </c>
      <c r="V208" s="524">
        <v>0.63171583464589898</v>
      </c>
      <c r="W208" s="524">
        <v>0.60126696670443103</v>
      </c>
      <c r="X208" s="524">
        <v>0.75264665661469132</v>
      </c>
      <c r="Y208" s="524">
        <v>0.68747059807752153</v>
      </c>
      <c r="Z208" s="524">
        <v>0.65561877895763299</v>
      </c>
      <c r="AA208" s="524">
        <v>0.67224151357314865</v>
      </c>
      <c r="AB208" s="524">
        <v>0.60480278683441513</v>
      </c>
      <c r="AC208" s="524">
        <v>0.78066783709494891</v>
      </c>
      <c r="AD208" s="524">
        <v>0.70800641710664469</v>
      </c>
      <c r="AE208" s="524">
        <v>0.81440286094329661</v>
      </c>
      <c r="AF208" s="524">
        <v>0.76323236426559171</v>
      </c>
      <c r="AH208" s="526"/>
      <c r="AI208" s="526"/>
      <c r="AJ208" s="526"/>
      <c r="AK208" s="526"/>
      <c r="AL208" s="526"/>
      <c r="AM208" s="526"/>
      <c r="AN208" s="526"/>
      <c r="AO208" s="526"/>
      <c r="AP208" s="526"/>
      <c r="AQ208" s="526"/>
      <c r="AR208" s="526"/>
      <c r="AS208" s="526"/>
    </row>
    <row r="209" spans="1:45">
      <c r="A209" t="s">
        <v>984</v>
      </c>
      <c r="B209" t="s">
        <v>661</v>
      </c>
      <c r="C209" s="240" t="s">
        <v>1200</v>
      </c>
      <c r="D209" s="240"/>
      <c r="E209" s="145">
        <f>HOURS!$B$19</f>
        <v>744</v>
      </c>
      <c r="F209" s="145">
        <f>HOURS!$C$19</f>
        <v>672</v>
      </c>
      <c r="G209" s="145">
        <f>HOURS!$D$19</f>
        <v>744</v>
      </c>
      <c r="H209" s="145">
        <f>HOURS!$E$19</f>
        <v>720</v>
      </c>
      <c r="I209" s="145">
        <f>HOURS!$F$19</f>
        <v>744</v>
      </c>
      <c r="J209" s="145">
        <f>HOURS!$G$19</f>
        <v>720</v>
      </c>
      <c r="K209" s="145">
        <f>HOURS!$H$19</f>
        <v>744</v>
      </c>
      <c r="L209" s="145">
        <f>HOURS!$I$19</f>
        <v>744</v>
      </c>
      <c r="M209" s="145">
        <f>HOURS!$J$19</f>
        <v>720</v>
      </c>
      <c r="N209" s="145">
        <f>HOURS!$K$19</f>
        <v>744</v>
      </c>
      <c r="O209" s="145">
        <f>HOURS!$L$19</f>
        <v>720</v>
      </c>
      <c r="P209" s="145">
        <f>HOURS!$M$19</f>
        <v>744</v>
      </c>
      <c r="T209" s="206" t="s">
        <v>1200</v>
      </c>
      <c r="U209" s="523">
        <v>744</v>
      </c>
      <c r="V209" s="523">
        <v>672</v>
      </c>
      <c r="W209" s="523">
        <v>744</v>
      </c>
      <c r="X209" s="523">
        <v>720</v>
      </c>
      <c r="Y209" s="523">
        <v>744</v>
      </c>
      <c r="Z209" s="523">
        <v>720</v>
      </c>
      <c r="AA209" s="523">
        <v>744</v>
      </c>
      <c r="AB209" s="523">
        <v>744</v>
      </c>
      <c r="AC209" s="523">
        <v>720</v>
      </c>
      <c r="AD209" s="523">
        <v>744</v>
      </c>
      <c r="AE209" s="523">
        <v>720</v>
      </c>
      <c r="AF209" s="523">
        <v>744</v>
      </c>
      <c r="AH209" s="526"/>
      <c r="AI209" s="526"/>
      <c r="AJ209" s="526"/>
      <c r="AK209" s="526"/>
      <c r="AL209" s="526"/>
      <c r="AM209" s="526"/>
      <c r="AN209" s="526"/>
      <c r="AO209" s="526"/>
      <c r="AP209" s="526"/>
      <c r="AQ209" s="526"/>
      <c r="AR209" s="526"/>
      <c r="AS209" s="526"/>
    </row>
    <row r="210" spans="1:45">
      <c r="T210"/>
      <c r="U210"/>
      <c r="V210"/>
      <c r="W210"/>
      <c r="X210"/>
      <c r="Y210"/>
      <c r="Z210"/>
      <c r="AA210"/>
      <c r="AB210"/>
      <c r="AC210"/>
      <c r="AD210"/>
      <c r="AE210"/>
      <c r="AF210"/>
      <c r="AH210" s="526"/>
      <c r="AI210" s="526"/>
      <c r="AJ210" s="526"/>
      <c r="AK210" s="526"/>
      <c r="AL210" s="526"/>
      <c r="AM210" s="526"/>
      <c r="AN210" s="526"/>
      <c r="AO210" s="526"/>
      <c r="AP210" s="526"/>
      <c r="AQ210" s="526"/>
      <c r="AR210" s="526"/>
      <c r="AS210" s="526"/>
    </row>
    <row r="211" spans="1:45" ht="13.8" thickBot="1">
      <c r="A211" t="s">
        <v>985</v>
      </c>
      <c r="B211" t="s">
        <v>673</v>
      </c>
      <c r="C211" t="s">
        <v>1107</v>
      </c>
      <c r="T211" s="503"/>
      <c r="U211" s="503"/>
      <c r="V211" s="503"/>
      <c r="W211" s="503"/>
      <c r="X211" s="503"/>
      <c r="Y211" s="503"/>
      <c r="Z211" s="503"/>
      <c r="AA211" s="503"/>
      <c r="AB211" s="503"/>
      <c r="AC211" s="503"/>
      <c r="AD211" s="503"/>
      <c r="AE211" s="503"/>
      <c r="AF211" s="503"/>
      <c r="AG211"/>
      <c r="AH211" s="526"/>
      <c r="AI211" s="526"/>
      <c r="AJ211" s="526"/>
      <c r="AK211" s="526"/>
      <c r="AL211" s="526"/>
      <c r="AM211" s="526"/>
      <c r="AN211" s="526"/>
      <c r="AO211" s="526"/>
      <c r="AP211" s="526"/>
      <c r="AQ211" s="526"/>
      <c r="AR211" s="526"/>
      <c r="AS211" s="526"/>
    </row>
    <row r="212" spans="1:45">
      <c r="A212" t="s">
        <v>985</v>
      </c>
      <c r="B212" t="s">
        <v>673</v>
      </c>
      <c r="C212" s="251" t="s">
        <v>1201</v>
      </c>
      <c r="D212" s="251"/>
      <c r="E212" s="4">
        <f>$E$8</f>
        <v>42736</v>
      </c>
      <c r="F212" s="4">
        <f>$F$8</f>
        <v>42767</v>
      </c>
      <c r="G212" s="4">
        <f>$G$8</f>
        <v>42795</v>
      </c>
      <c r="H212" s="4">
        <f>$H$8</f>
        <v>42826</v>
      </c>
      <c r="I212" s="4">
        <f>$I$8</f>
        <v>42856</v>
      </c>
      <c r="J212" s="4">
        <f>$J$8</f>
        <v>42887</v>
      </c>
      <c r="K212" s="4">
        <f>$K$8</f>
        <v>42917</v>
      </c>
      <c r="L212" s="4">
        <f>$L$8</f>
        <v>42948</v>
      </c>
      <c r="M212" s="4">
        <f>$M$8</f>
        <v>42979</v>
      </c>
      <c r="N212" s="4">
        <f>$N$8</f>
        <v>43009</v>
      </c>
      <c r="O212" s="4">
        <f>$O$8</f>
        <v>43040</v>
      </c>
      <c r="P212" s="4">
        <f>$P$8</f>
        <v>43070</v>
      </c>
      <c r="AG212"/>
      <c r="AH212" s="526"/>
      <c r="AI212" s="526"/>
      <c r="AJ212" s="526"/>
      <c r="AK212" s="526"/>
      <c r="AL212" s="526"/>
      <c r="AM212" s="526"/>
      <c r="AN212" s="526"/>
      <c r="AO212" s="526"/>
      <c r="AP212" s="526"/>
      <c r="AQ212" s="526"/>
      <c r="AR212" s="526"/>
      <c r="AS212" s="526"/>
    </row>
    <row r="213" spans="1:45">
      <c r="A213" t="s">
        <v>985</v>
      </c>
      <c r="B213" t="s">
        <v>673</v>
      </c>
      <c r="C213" s="240" t="s">
        <v>148</v>
      </c>
      <c r="D213" s="240"/>
      <c r="E213" s="145">
        <f>VLOOKUP($A213&amp;" CP",'2017 TEST'!$A$13:$R$274,'2017 TEST'!C$9,FALSE)</f>
        <v>44038.35213173103</v>
      </c>
      <c r="F213" s="145">
        <f>VLOOKUP($A213&amp;" CP",'2017 TEST'!$A$13:$R$274,'2017 TEST'!D$9,FALSE)</f>
        <v>0</v>
      </c>
      <c r="G213" s="145">
        <f>VLOOKUP($A213&amp;" CP",'2017 TEST'!$A$13:$R$274,'2017 TEST'!E$9,FALSE)</f>
        <v>0</v>
      </c>
      <c r="H213" s="145">
        <f>VLOOKUP($A213&amp;" CP",'2017 TEST'!$A$13:$R$274,'2017 TEST'!F$9,FALSE)</f>
        <v>0</v>
      </c>
      <c r="I213" s="145">
        <f>VLOOKUP($A213&amp;" CP",'2017 TEST'!$A$13:$R$274,'2017 TEST'!G$9,FALSE)</f>
        <v>0</v>
      </c>
      <c r="J213" s="145">
        <f>VLOOKUP($A213&amp;" CP",'2017 TEST'!$A$13:$R$274,'2017 TEST'!H$9,FALSE)</f>
        <v>0</v>
      </c>
      <c r="K213" s="145">
        <f>VLOOKUP($A213&amp;" CP",'2017 TEST'!$A$13:$R$274,'2017 TEST'!I$9,FALSE)</f>
        <v>0</v>
      </c>
      <c r="L213" s="145">
        <f>VLOOKUP($A213&amp;" CP",'2017 TEST'!$A$13:$R$274,'2017 TEST'!J$9,FALSE)</f>
        <v>44038.35213173103</v>
      </c>
      <c r="M213" s="145">
        <f>VLOOKUP($A213&amp;" CP",'2017 TEST'!$A$13:$R$274,'2017 TEST'!K$9,FALSE)</f>
        <v>0</v>
      </c>
      <c r="N213" s="145">
        <f>VLOOKUP($A213&amp;" CP",'2017 TEST'!$A$13:$R$274,'2017 TEST'!L$9,FALSE)</f>
        <v>0</v>
      </c>
      <c r="O213" s="145">
        <f>VLOOKUP($A213&amp;" CP",'2017 TEST'!$A$13:$R$274,'2017 TEST'!M$9,FALSE)</f>
        <v>0</v>
      </c>
      <c r="P213" s="145">
        <f>VLOOKUP($A213&amp;" CP",'2017 TEST'!$A$13:$R$274,'2017 TEST'!N$9,FALSE)</f>
        <v>0</v>
      </c>
      <c r="AG213"/>
      <c r="AH213" s="526"/>
      <c r="AI213" s="526"/>
      <c r="AJ213" s="526"/>
      <c r="AK213" s="526"/>
      <c r="AL213" s="526"/>
      <c r="AM213" s="526"/>
      <c r="AN213" s="526"/>
      <c r="AO213" s="526"/>
      <c r="AP213" s="526"/>
      <c r="AQ213" s="526"/>
      <c r="AR213" s="526"/>
      <c r="AS213" s="526"/>
    </row>
    <row r="214" spans="1:45">
      <c r="A214" t="s">
        <v>985</v>
      </c>
      <c r="B214" t="s">
        <v>673</v>
      </c>
      <c r="C214" s="240" t="s">
        <v>147</v>
      </c>
      <c r="D214" s="240"/>
      <c r="E214" s="145">
        <f>VLOOKUP($A214&amp;" GNCP",'2017 TEST'!$A$13:$R$274,'2017 TEST'!C$9,FALSE)</f>
        <v>45000</v>
      </c>
      <c r="F214" s="145">
        <f>VLOOKUP($A214&amp;" GNCP",'2017 TEST'!$A$13:$R$274,'2017 TEST'!D$9,FALSE)</f>
        <v>0</v>
      </c>
      <c r="G214" s="145">
        <f>VLOOKUP($A214&amp;" GNCP",'2017 TEST'!$A$13:$R$274,'2017 TEST'!E$9,FALSE)</f>
        <v>0</v>
      </c>
      <c r="H214" s="145">
        <f>VLOOKUP($A214&amp;" GNCP",'2017 TEST'!$A$13:$R$274,'2017 TEST'!F$9,FALSE)</f>
        <v>0</v>
      </c>
      <c r="I214" s="145">
        <f>VLOOKUP($A214&amp;" GNCP",'2017 TEST'!$A$13:$R$274,'2017 TEST'!G$9,FALSE)</f>
        <v>0</v>
      </c>
      <c r="J214" s="145">
        <f>VLOOKUP($A214&amp;" GNCP",'2017 TEST'!$A$13:$R$274,'2017 TEST'!H$9,FALSE)</f>
        <v>0</v>
      </c>
      <c r="K214" s="145">
        <f>VLOOKUP($A214&amp;" GNCP",'2017 TEST'!$A$13:$R$274,'2017 TEST'!I$9,FALSE)</f>
        <v>0</v>
      </c>
      <c r="L214" s="145">
        <f>VLOOKUP($A214&amp;" GNCP",'2017 TEST'!$A$13:$R$274,'2017 TEST'!J$9,FALSE)</f>
        <v>45000</v>
      </c>
      <c r="M214" s="145">
        <f>VLOOKUP($A214&amp;" GNCP",'2017 TEST'!$A$13:$R$274,'2017 TEST'!K$9,FALSE)</f>
        <v>0</v>
      </c>
      <c r="N214" s="145">
        <f>VLOOKUP($A214&amp;" GNCP",'2017 TEST'!$A$13:$R$274,'2017 TEST'!L$9,FALSE)</f>
        <v>0</v>
      </c>
      <c r="O214" s="145">
        <f>VLOOKUP($A214&amp;" GNCP",'2017 TEST'!$A$13:$R$274,'2017 TEST'!M$9,FALSE)</f>
        <v>0</v>
      </c>
      <c r="P214" s="145">
        <f>VLOOKUP($A214&amp;" GNCP",'2017 TEST'!$A$13:$R$274,'2017 TEST'!N$9,FALSE)</f>
        <v>0</v>
      </c>
      <c r="AG214"/>
      <c r="AH214" s="526"/>
      <c r="AI214" s="526"/>
      <c r="AJ214" s="526"/>
      <c r="AK214" s="526"/>
      <c r="AL214" s="526"/>
      <c r="AM214" s="526"/>
      <c r="AN214" s="526"/>
      <c r="AO214" s="526"/>
      <c r="AP214" s="526"/>
      <c r="AQ214" s="526"/>
      <c r="AR214" s="526"/>
      <c r="AS214" s="526"/>
    </row>
    <row r="215" spans="1:45">
      <c r="A215" t="s">
        <v>985</v>
      </c>
      <c r="B215" t="s">
        <v>673</v>
      </c>
      <c r="C215" s="240" t="s">
        <v>133</v>
      </c>
      <c r="D215" s="240"/>
      <c r="E215" s="145">
        <f>VLOOKUP($A215&amp;" NCP",'2017 TEST'!$A$13:$R$274,'2017 TEST'!C$9,FALSE)</f>
        <v>45000</v>
      </c>
      <c r="F215" s="145">
        <f>VLOOKUP($A215&amp;" NCP",'2017 TEST'!$A$13:$R$274,'2017 TEST'!D$9,FALSE)</f>
        <v>0</v>
      </c>
      <c r="G215" s="145">
        <f>VLOOKUP($A215&amp;" NCP",'2017 TEST'!$A$13:$R$274,'2017 TEST'!E$9,FALSE)</f>
        <v>0</v>
      </c>
      <c r="H215" s="145">
        <f>VLOOKUP($A215&amp;" NCP",'2017 TEST'!$A$13:$R$274,'2017 TEST'!F$9,FALSE)</f>
        <v>0</v>
      </c>
      <c r="I215" s="145">
        <f>VLOOKUP($A215&amp;" NCP",'2017 TEST'!$A$13:$R$274,'2017 TEST'!G$9,FALSE)</f>
        <v>0</v>
      </c>
      <c r="J215" s="145">
        <f>VLOOKUP($A215&amp;" NCP",'2017 TEST'!$A$13:$R$274,'2017 TEST'!H$9,FALSE)</f>
        <v>0</v>
      </c>
      <c r="K215" s="145">
        <f>VLOOKUP($A215&amp;" NCP",'2017 TEST'!$A$13:$R$274,'2017 TEST'!I$9,FALSE)</f>
        <v>0</v>
      </c>
      <c r="L215" s="145">
        <f>VLOOKUP($A215&amp;" NCP",'2017 TEST'!$A$13:$R$274,'2017 TEST'!J$9,FALSE)</f>
        <v>45000</v>
      </c>
      <c r="M215" s="145">
        <f>VLOOKUP($A215&amp;" NCP",'2017 TEST'!$A$13:$R$274,'2017 TEST'!K$9,FALSE)</f>
        <v>0</v>
      </c>
      <c r="N215" s="145">
        <f>VLOOKUP($A215&amp;" NCP",'2017 TEST'!$A$13:$R$274,'2017 TEST'!L$9,FALSE)</f>
        <v>0</v>
      </c>
      <c r="O215" s="145">
        <f>VLOOKUP($A215&amp;" NCP",'2017 TEST'!$A$13:$R$274,'2017 TEST'!M$9,FALSE)</f>
        <v>0</v>
      </c>
      <c r="P215" s="145">
        <f>VLOOKUP($A215&amp;" NCP",'2017 TEST'!$A$13:$R$274,'2017 TEST'!N$9,FALSE)</f>
        <v>0</v>
      </c>
      <c r="AG215"/>
      <c r="AH215" s="526"/>
      <c r="AI215" s="526"/>
      <c r="AJ215" s="526"/>
      <c r="AK215" s="526"/>
      <c r="AL215" s="526"/>
      <c r="AM215" s="526"/>
      <c r="AN215" s="526"/>
      <c r="AO215" s="526"/>
      <c r="AP215" s="526"/>
      <c r="AQ215" s="526"/>
      <c r="AR215" s="526"/>
      <c r="AS215" s="526"/>
    </row>
    <row r="216" spans="1:45">
      <c r="A216" t="s">
        <v>985</v>
      </c>
      <c r="B216" t="s">
        <v>673</v>
      </c>
      <c r="C216" s="240" t="s">
        <v>1197</v>
      </c>
      <c r="D216" s="240"/>
      <c r="E216" s="230">
        <f>VLOOKUP($A216&amp;" CP - L.F.",'2017 TEST'!$A$13:$R$274,'2017 TEST'!C$9,FALSE)</f>
        <v>0.5676869998499946</v>
      </c>
      <c r="F216" s="230">
        <f>VLOOKUP($A216&amp;" CP - L.F.",'2017 TEST'!$A$13:$R$274,'2017 TEST'!D$9,FALSE)</f>
        <v>0</v>
      </c>
      <c r="G216" s="230">
        <f>VLOOKUP($A216&amp;" CP - L.F.",'2017 TEST'!$A$13:$R$274,'2017 TEST'!E$9,FALSE)</f>
        <v>0</v>
      </c>
      <c r="H216" s="230">
        <f>VLOOKUP($A216&amp;" CP - L.F.",'2017 TEST'!$A$13:$R$274,'2017 TEST'!F$9,FALSE)</f>
        <v>0</v>
      </c>
      <c r="I216" s="230">
        <f>VLOOKUP($A216&amp;" CP - L.F.",'2017 TEST'!$A$13:$R$274,'2017 TEST'!G$9,FALSE)</f>
        <v>0</v>
      </c>
      <c r="J216" s="230">
        <f>VLOOKUP($A216&amp;" CP - L.F.",'2017 TEST'!$A$13:$R$274,'2017 TEST'!H$9,FALSE)</f>
        <v>0</v>
      </c>
      <c r="K216" s="230">
        <f>VLOOKUP($A216&amp;" CP - L.F.",'2017 TEST'!$A$13:$R$274,'2017 TEST'!I$9,FALSE)</f>
        <v>0</v>
      </c>
      <c r="L216" s="230">
        <f>VLOOKUP($A216&amp;" CP - L.F.",'2017 TEST'!$A$13:$R$274,'2017 TEST'!J$9,FALSE)</f>
        <v>0</v>
      </c>
      <c r="M216" s="230">
        <f>VLOOKUP($A216&amp;" CP - L.F.",'2017 TEST'!$A$13:$R$274,'2017 TEST'!K$9,FALSE)</f>
        <v>0</v>
      </c>
      <c r="N216" s="230">
        <f>VLOOKUP($A216&amp;" CP - L.F.",'2017 TEST'!$A$13:$R$274,'2017 TEST'!L$9,FALSE)</f>
        <v>0</v>
      </c>
      <c r="O216" s="230">
        <f>VLOOKUP($A216&amp;" CP - L.F.",'2017 TEST'!$A$13:$R$274,'2017 TEST'!M$9,FALSE)</f>
        <v>0</v>
      </c>
      <c r="P216" s="230">
        <f>VLOOKUP($A216&amp;" CP - L.F.",'2017 TEST'!$A$13:$R$274,'2017 TEST'!N$9,FALSE)</f>
        <v>0</v>
      </c>
      <c r="AG216"/>
      <c r="AH216" s="526"/>
      <c r="AI216" s="526"/>
      <c r="AJ216"/>
      <c r="AK216"/>
    </row>
    <row r="217" spans="1:45">
      <c r="A217" t="s">
        <v>985</v>
      </c>
      <c r="B217" t="s">
        <v>673</v>
      </c>
      <c r="C217" s="240" t="s">
        <v>1198</v>
      </c>
      <c r="D217" s="240"/>
      <c r="E217" s="230">
        <f>VLOOKUP($A217&amp;" GCP - L.F.",'2017 TEST'!$A$13:$R$274,'2017 TEST'!C$9,FALSE)</f>
        <v>0.55555555555555558</v>
      </c>
      <c r="F217" s="230">
        <f>VLOOKUP($A217&amp;" GCP - L.F.",'2017 TEST'!$A$13:$R$274,'2017 TEST'!D$9,FALSE)</f>
        <v>0</v>
      </c>
      <c r="G217" s="230">
        <f>VLOOKUP($A217&amp;" GCP - L.F.",'2017 TEST'!$A$13:$R$274,'2017 TEST'!E$9,FALSE)</f>
        <v>0</v>
      </c>
      <c r="H217" s="230">
        <f>VLOOKUP($A217&amp;" GCP - L.F.",'2017 TEST'!$A$13:$R$274,'2017 TEST'!F$9,FALSE)</f>
        <v>0</v>
      </c>
      <c r="I217" s="230">
        <f>VLOOKUP($A217&amp;" GCP - L.F.",'2017 TEST'!$A$13:$R$274,'2017 TEST'!G$9,FALSE)</f>
        <v>0</v>
      </c>
      <c r="J217" s="230">
        <f>VLOOKUP($A217&amp;" GCP - L.F.",'2017 TEST'!$A$13:$R$274,'2017 TEST'!H$9,FALSE)</f>
        <v>0</v>
      </c>
      <c r="K217" s="230">
        <f>VLOOKUP($A217&amp;" GCP - L.F.",'2017 TEST'!$A$13:$R$274,'2017 TEST'!I$9,FALSE)</f>
        <v>0</v>
      </c>
      <c r="L217" s="230">
        <f>VLOOKUP($A217&amp;" GCP - L.F.",'2017 TEST'!$A$13:$R$274,'2017 TEST'!J$9,FALSE)</f>
        <v>0</v>
      </c>
      <c r="M217" s="230">
        <f>VLOOKUP($A217&amp;" GCP - L.F.",'2017 TEST'!$A$13:$R$274,'2017 TEST'!K$9,FALSE)</f>
        <v>0</v>
      </c>
      <c r="N217" s="230">
        <f>VLOOKUP($A217&amp;" GCP - L.F.",'2017 TEST'!$A$13:$R$274,'2017 TEST'!L$9,FALSE)</f>
        <v>0</v>
      </c>
      <c r="O217" s="230">
        <f>VLOOKUP($A217&amp;" GCP - L.F.",'2017 TEST'!$A$13:$R$274,'2017 TEST'!M$9,FALSE)</f>
        <v>0</v>
      </c>
      <c r="P217" s="230">
        <f>VLOOKUP($A217&amp;" GCP - L.F.",'2017 TEST'!$A$13:$R$274,'2017 TEST'!N$9,FALSE)</f>
        <v>0</v>
      </c>
      <c r="AG217"/>
      <c r="AH217" s="526"/>
      <c r="AI217" s="526"/>
      <c r="AJ217"/>
      <c r="AK217"/>
    </row>
    <row r="218" spans="1:45">
      <c r="A218" t="s">
        <v>985</v>
      </c>
      <c r="B218" t="s">
        <v>673</v>
      </c>
      <c r="C218" s="240" t="s">
        <v>1199</v>
      </c>
      <c r="D218" s="240"/>
      <c r="E218" s="230">
        <f>VLOOKUP($A218&amp;" NCP - L.F.",'2017 TEST'!$A$13:$R$274,'2017 TEST'!C$9,FALSE)</f>
        <v>0.55555555555555558</v>
      </c>
      <c r="F218" s="230">
        <f>VLOOKUP($A218&amp;" NCP - L.F.",'2017 TEST'!$A$13:$R$274,'2017 TEST'!D$9,FALSE)</f>
        <v>0</v>
      </c>
      <c r="G218" s="230">
        <f>VLOOKUP($A218&amp;" NCP - L.F.",'2017 TEST'!$A$13:$R$274,'2017 TEST'!E$9,FALSE)</f>
        <v>0</v>
      </c>
      <c r="H218" s="230">
        <f>VLOOKUP($A218&amp;" NCP - L.F.",'2017 TEST'!$A$13:$R$274,'2017 TEST'!F$9,FALSE)</f>
        <v>0</v>
      </c>
      <c r="I218" s="230">
        <f>VLOOKUP($A218&amp;" NCP - L.F.",'2017 TEST'!$A$13:$R$274,'2017 TEST'!G$9,FALSE)</f>
        <v>0</v>
      </c>
      <c r="J218" s="230">
        <f>VLOOKUP($A218&amp;" NCP - L.F.",'2017 TEST'!$A$13:$R$274,'2017 TEST'!H$9,FALSE)</f>
        <v>0</v>
      </c>
      <c r="K218" s="230">
        <f>VLOOKUP($A218&amp;" NCP - L.F.",'2017 TEST'!$A$13:$R$274,'2017 TEST'!I$9,FALSE)</f>
        <v>0</v>
      </c>
      <c r="L218" s="230">
        <f>VLOOKUP($A218&amp;" NCP - L.F.",'2017 TEST'!$A$13:$R$274,'2017 TEST'!J$9,FALSE)</f>
        <v>0</v>
      </c>
      <c r="M218" s="230">
        <f>VLOOKUP($A218&amp;" NCP - L.F.",'2017 TEST'!$A$13:$R$274,'2017 TEST'!K$9,FALSE)</f>
        <v>0</v>
      </c>
      <c r="N218" s="230">
        <f>VLOOKUP($A218&amp;" NCP - L.F.",'2017 TEST'!$A$13:$R$274,'2017 TEST'!L$9,FALSE)</f>
        <v>0</v>
      </c>
      <c r="O218" s="230">
        <f>VLOOKUP($A218&amp;" NCP - L.F.",'2017 TEST'!$A$13:$R$274,'2017 TEST'!M$9,FALSE)</f>
        <v>0</v>
      </c>
      <c r="P218" s="230">
        <f>VLOOKUP($A218&amp;" NCP - L.F.",'2017 TEST'!$A$13:$R$274,'2017 TEST'!N$9,FALSE)</f>
        <v>0</v>
      </c>
      <c r="AG218"/>
      <c r="AH218" s="526"/>
      <c r="AI218" s="526"/>
      <c r="AJ218"/>
      <c r="AK218"/>
    </row>
    <row r="219" spans="1:45">
      <c r="A219" t="s">
        <v>985</v>
      </c>
      <c r="B219" t="s">
        <v>673</v>
      </c>
      <c r="C219" s="240" t="s">
        <v>1200</v>
      </c>
      <c r="D219" s="240"/>
      <c r="E219" s="145">
        <f>HOURS!$B$19</f>
        <v>744</v>
      </c>
      <c r="F219" s="145">
        <f>HOURS!$C$19</f>
        <v>672</v>
      </c>
      <c r="G219" s="145">
        <f>HOURS!$D$19</f>
        <v>744</v>
      </c>
      <c r="H219" s="145">
        <f>HOURS!$E$19</f>
        <v>720</v>
      </c>
      <c r="I219" s="145">
        <f>HOURS!$F$19</f>
        <v>744</v>
      </c>
      <c r="J219" s="145">
        <f>HOURS!$G$19</f>
        <v>720</v>
      </c>
      <c r="K219" s="145">
        <f>HOURS!$H$19</f>
        <v>744</v>
      </c>
      <c r="L219" s="145">
        <f>HOURS!$I$19</f>
        <v>744</v>
      </c>
      <c r="M219" s="145">
        <f>HOURS!$J$19</f>
        <v>720</v>
      </c>
      <c r="N219" s="145">
        <f>HOURS!$K$19</f>
        <v>744</v>
      </c>
      <c r="O219" s="145">
        <f>HOURS!$L$19</f>
        <v>720</v>
      </c>
      <c r="P219" s="145">
        <f>HOURS!$M$19</f>
        <v>744</v>
      </c>
      <c r="AG219"/>
      <c r="AH219" s="526"/>
      <c r="AI219" s="526"/>
      <c r="AJ219"/>
      <c r="AK219"/>
    </row>
    <row r="220" spans="1:45">
      <c r="C220" s="240"/>
      <c r="D220" s="240"/>
      <c r="E220" s="240"/>
      <c r="F220" s="240"/>
      <c r="G220" s="240"/>
      <c r="H220" s="240"/>
      <c r="I220" s="240"/>
      <c r="J220" s="240"/>
      <c r="K220" s="240"/>
      <c r="L220" s="240"/>
      <c r="M220" s="240"/>
      <c r="N220" s="240"/>
      <c r="O220" s="240"/>
      <c r="P220" s="240"/>
      <c r="AG220"/>
      <c r="AH220" s="526"/>
      <c r="AI220" s="526"/>
      <c r="AJ220"/>
      <c r="AK220"/>
    </row>
    <row r="221" spans="1:45">
      <c r="A221" t="s">
        <v>1193</v>
      </c>
      <c r="B221" t="s">
        <v>1193</v>
      </c>
      <c r="C221" t="s">
        <v>1107</v>
      </c>
      <c r="T221"/>
      <c r="U221"/>
      <c r="V221"/>
      <c r="W221"/>
      <c r="X221"/>
      <c r="Y221"/>
      <c r="Z221"/>
      <c r="AA221"/>
      <c r="AB221"/>
      <c r="AC221"/>
      <c r="AD221"/>
      <c r="AE221"/>
      <c r="AF221"/>
      <c r="AG221"/>
      <c r="AH221" s="526"/>
      <c r="AI221" s="526"/>
      <c r="AJ221"/>
      <c r="AK221"/>
    </row>
    <row r="222" spans="1:45">
      <c r="A222" t="s">
        <v>1193</v>
      </c>
      <c r="B222" t="s">
        <v>1193</v>
      </c>
      <c r="C222" s="251" t="s">
        <v>1201</v>
      </c>
      <c r="D222" s="251"/>
      <c r="E222" s="4">
        <f>$E$8</f>
        <v>42736</v>
      </c>
      <c r="F222" s="4">
        <f>$F$8</f>
        <v>42767</v>
      </c>
      <c r="G222" s="4">
        <f>$G$8</f>
        <v>42795</v>
      </c>
      <c r="H222" s="4">
        <f>$H$8</f>
        <v>42826</v>
      </c>
      <c r="I222" s="4">
        <f>$I$8</f>
        <v>42856</v>
      </c>
      <c r="J222" s="4">
        <f>$J$8</f>
        <v>42887</v>
      </c>
      <c r="K222" s="4">
        <f>$K$8</f>
        <v>42917</v>
      </c>
      <c r="L222" s="4">
        <f>$L$8</f>
        <v>42948</v>
      </c>
      <c r="M222" s="4">
        <f>$M$8</f>
        <v>42979</v>
      </c>
      <c r="N222" s="4">
        <f>$N$8</f>
        <v>43009</v>
      </c>
      <c r="O222" s="4">
        <f>$O$8</f>
        <v>43040</v>
      </c>
      <c r="P222" s="4">
        <f>$P$8</f>
        <v>43070</v>
      </c>
      <c r="AG222"/>
      <c r="AH222" s="526"/>
      <c r="AI222" s="526"/>
      <c r="AJ222"/>
      <c r="AK222"/>
    </row>
    <row r="223" spans="1:45">
      <c r="A223" t="s">
        <v>1193</v>
      </c>
      <c r="B223" t="s">
        <v>1193</v>
      </c>
      <c r="C223" s="240" t="s">
        <v>148</v>
      </c>
      <c r="D223" s="240"/>
      <c r="E223" s="145">
        <f>VLOOKUP($A223&amp;" CP",'2017 TEST'!$A$13:$R$274,'2017 TEST'!C$9,FALSE)</f>
        <v>18593.970900064214</v>
      </c>
      <c r="F223" s="145">
        <f>VLOOKUP($A223&amp;" CP",'2017 TEST'!$A$13:$R$274,'2017 TEST'!D$9,FALSE)</f>
        <v>0</v>
      </c>
      <c r="G223" s="145">
        <f>VLOOKUP($A223&amp;" CP",'2017 TEST'!$A$13:$R$274,'2017 TEST'!E$9,FALSE)</f>
        <v>0</v>
      </c>
      <c r="H223" s="145">
        <f>VLOOKUP($A223&amp;" CP",'2017 TEST'!$A$13:$R$274,'2017 TEST'!F$9,FALSE)</f>
        <v>0</v>
      </c>
      <c r="I223" s="145">
        <f>VLOOKUP($A223&amp;" CP",'2017 TEST'!$A$13:$R$274,'2017 TEST'!G$9,FALSE)</f>
        <v>0</v>
      </c>
      <c r="J223" s="145">
        <f>VLOOKUP($A223&amp;" CP",'2017 TEST'!$A$13:$R$274,'2017 TEST'!H$9,FALSE)</f>
        <v>0</v>
      </c>
      <c r="K223" s="145">
        <f>VLOOKUP($A223&amp;" CP",'2017 TEST'!$A$13:$R$274,'2017 TEST'!I$9,FALSE)</f>
        <v>0</v>
      </c>
      <c r="L223" s="145">
        <f>VLOOKUP($A223&amp;" CP",'2017 TEST'!$A$13:$R$274,'2017 TEST'!J$9,FALSE)</f>
        <v>18593.970900064211</v>
      </c>
      <c r="M223" s="145">
        <f>VLOOKUP($A223&amp;" CP",'2017 TEST'!$A$13:$R$274,'2017 TEST'!K$9,FALSE)</f>
        <v>0</v>
      </c>
      <c r="N223" s="145">
        <f>VLOOKUP($A223&amp;" CP",'2017 TEST'!$A$13:$R$274,'2017 TEST'!L$9,FALSE)</f>
        <v>0</v>
      </c>
      <c r="O223" s="145">
        <f>VLOOKUP($A223&amp;" CP",'2017 TEST'!$A$13:$R$274,'2017 TEST'!M$9,FALSE)</f>
        <v>0</v>
      </c>
      <c r="P223" s="145">
        <f>VLOOKUP($A223&amp;" CP",'2017 TEST'!$A$13:$R$274,'2017 TEST'!N$9,FALSE)</f>
        <v>0</v>
      </c>
      <c r="AG223"/>
      <c r="AH223" s="526"/>
      <c r="AI223" s="526"/>
      <c r="AJ223"/>
      <c r="AK223"/>
    </row>
    <row r="224" spans="1:45">
      <c r="A224" t="s">
        <v>1193</v>
      </c>
      <c r="B224" t="s">
        <v>1193</v>
      </c>
      <c r="C224" s="240" t="s">
        <v>147</v>
      </c>
      <c r="D224" s="240"/>
      <c r="E224" s="145">
        <f>VLOOKUP($A224&amp;" GNCP",'2017 TEST'!$A$13:$R$274,'2017 TEST'!C$9,FALSE)</f>
        <v>19000</v>
      </c>
      <c r="F224" s="145">
        <f>VLOOKUP($A224&amp;" GNCP",'2017 TEST'!$A$13:$R$274,'2017 TEST'!D$9,FALSE)</f>
        <v>0</v>
      </c>
      <c r="G224" s="145">
        <f>VLOOKUP($A224&amp;" GNCP",'2017 TEST'!$A$13:$R$274,'2017 TEST'!E$9,FALSE)</f>
        <v>0</v>
      </c>
      <c r="H224" s="145">
        <f>VLOOKUP($A224&amp;" GNCP",'2017 TEST'!$A$13:$R$274,'2017 TEST'!F$9,FALSE)</f>
        <v>0</v>
      </c>
      <c r="I224" s="145">
        <f>VLOOKUP($A224&amp;" GNCP",'2017 TEST'!$A$13:$R$274,'2017 TEST'!G$9,FALSE)</f>
        <v>0</v>
      </c>
      <c r="J224" s="145">
        <f>VLOOKUP($A224&amp;" GNCP",'2017 TEST'!$A$13:$R$274,'2017 TEST'!H$9,FALSE)</f>
        <v>0</v>
      </c>
      <c r="K224" s="145">
        <f>VLOOKUP($A224&amp;" GNCP",'2017 TEST'!$A$13:$R$274,'2017 TEST'!I$9,FALSE)</f>
        <v>0</v>
      </c>
      <c r="L224" s="145">
        <f>VLOOKUP($A224&amp;" GNCP",'2017 TEST'!$A$13:$R$274,'2017 TEST'!J$9,FALSE)</f>
        <v>19000</v>
      </c>
      <c r="M224" s="145">
        <f>VLOOKUP($A224&amp;" GNCP",'2017 TEST'!$A$13:$R$274,'2017 TEST'!K$9,FALSE)</f>
        <v>0</v>
      </c>
      <c r="N224" s="145">
        <f>VLOOKUP($A224&amp;" GNCP",'2017 TEST'!$A$13:$R$274,'2017 TEST'!L$9,FALSE)</f>
        <v>0</v>
      </c>
      <c r="O224" s="145">
        <f>VLOOKUP($A224&amp;" GNCP",'2017 TEST'!$A$13:$R$274,'2017 TEST'!M$9,FALSE)</f>
        <v>0</v>
      </c>
      <c r="P224" s="145">
        <f>VLOOKUP($A224&amp;" GNCP",'2017 TEST'!$A$13:$R$274,'2017 TEST'!N$9,FALSE)</f>
        <v>0</v>
      </c>
      <c r="AG224"/>
      <c r="AH224" s="526"/>
      <c r="AI224" s="526"/>
      <c r="AJ224"/>
      <c r="AK224"/>
    </row>
    <row r="225" spans="1:37">
      <c r="A225" t="s">
        <v>1193</v>
      </c>
      <c r="B225" t="s">
        <v>1193</v>
      </c>
      <c r="C225" s="240" t="s">
        <v>133</v>
      </c>
      <c r="D225" s="240"/>
      <c r="E225" s="145">
        <f>VLOOKUP($A225&amp;" NCP",'2017 TEST'!$A$13:$R$274,'2017 TEST'!C$9,FALSE)</f>
        <v>19000</v>
      </c>
      <c r="F225" s="145">
        <f>VLOOKUP($A225&amp;" NCP",'2017 TEST'!$A$13:$R$274,'2017 TEST'!D$9,FALSE)</f>
        <v>0</v>
      </c>
      <c r="G225" s="145">
        <f>VLOOKUP($A225&amp;" NCP",'2017 TEST'!$A$13:$R$274,'2017 TEST'!E$9,FALSE)</f>
        <v>0</v>
      </c>
      <c r="H225" s="145">
        <f>VLOOKUP($A225&amp;" NCP",'2017 TEST'!$A$13:$R$274,'2017 TEST'!F$9,FALSE)</f>
        <v>0</v>
      </c>
      <c r="I225" s="145">
        <f>VLOOKUP($A225&amp;" NCP",'2017 TEST'!$A$13:$R$274,'2017 TEST'!G$9,FALSE)</f>
        <v>0</v>
      </c>
      <c r="J225" s="145">
        <f>VLOOKUP($A225&amp;" NCP",'2017 TEST'!$A$13:$R$274,'2017 TEST'!H$9,FALSE)</f>
        <v>0</v>
      </c>
      <c r="K225" s="145">
        <f>VLOOKUP($A225&amp;" NCP",'2017 TEST'!$A$13:$R$274,'2017 TEST'!I$9,FALSE)</f>
        <v>0</v>
      </c>
      <c r="L225" s="145">
        <f>VLOOKUP($A225&amp;" NCP",'2017 TEST'!$A$13:$R$274,'2017 TEST'!J$9,FALSE)</f>
        <v>19000</v>
      </c>
      <c r="M225" s="145">
        <f>VLOOKUP($A225&amp;" NCP",'2017 TEST'!$A$13:$R$274,'2017 TEST'!K$9,FALSE)</f>
        <v>0</v>
      </c>
      <c r="N225" s="145">
        <f>VLOOKUP($A225&amp;" NCP",'2017 TEST'!$A$13:$R$274,'2017 TEST'!L$9,FALSE)</f>
        <v>0</v>
      </c>
      <c r="O225" s="145">
        <f>VLOOKUP($A225&amp;" NCP",'2017 TEST'!$A$13:$R$274,'2017 TEST'!M$9,FALSE)</f>
        <v>0</v>
      </c>
      <c r="P225" s="145">
        <f>VLOOKUP($A225&amp;" NCP",'2017 TEST'!$A$13:$R$274,'2017 TEST'!N$9,FALSE)</f>
        <v>0</v>
      </c>
      <c r="AG225"/>
      <c r="AH225" s="526"/>
      <c r="AI225" s="526"/>
      <c r="AJ225"/>
      <c r="AK225"/>
    </row>
    <row r="226" spans="1:37">
      <c r="A226" t="s">
        <v>1193</v>
      </c>
      <c r="B226" t="s">
        <v>1193</v>
      </c>
      <c r="C226" s="240" t="s">
        <v>1197</v>
      </c>
      <c r="D226" s="240"/>
      <c r="E226" s="230">
        <f>VLOOKUP($A226&amp;" CP - L.F.",'2017 TEST'!$A$13:$R$274,'2017 TEST'!C$9,FALSE)</f>
        <v>0</v>
      </c>
      <c r="F226" s="230">
        <f>VLOOKUP($A226&amp;" CP - L.F.",'2017 TEST'!$A$13:$R$274,'2017 TEST'!D$9,FALSE)</f>
        <v>0</v>
      </c>
      <c r="G226" s="230">
        <f>VLOOKUP($A226&amp;" CP - L.F.",'2017 TEST'!$A$13:$R$274,'2017 TEST'!E$9,FALSE)</f>
        <v>0</v>
      </c>
      <c r="H226" s="230">
        <f>VLOOKUP($A226&amp;" CP - L.F.",'2017 TEST'!$A$13:$R$274,'2017 TEST'!F$9,FALSE)</f>
        <v>0</v>
      </c>
      <c r="I226" s="230">
        <f>VLOOKUP($A226&amp;" CP - L.F.",'2017 TEST'!$A$13:$R$274,'2017 TEST'!G$9,FALSE)</f>
        <v>0</v>
      </c>
      <c r="J226" s="230">
        <f>VLOOKUP($A226&amp;" CP - L.F.",'2017 TEST'!$A$13:$R$274,'2017 TEST'!H$9,FALSE)</f>
        <v>0</v>
      </c>
      <c r="K226" s="230">
        <f>VLOOKUP($A226&amp;" CP - L.F.",'2017 TEST'!$A$13:$R$274,'2017 TEST'!I$9,FALSE)</f>
        <v>0</v>
      </c>
      <c r="L226" s="230">
        <f>VLOOKUP($A226&amp;" CP - L.F.",'2017 TEST'!$A$13:$R$274,'2017 TEST'!J$9,FALSE)</f>
        <v>0</v>
      </c>
      <c r="M226" s="230">
        <f>VLOOKUP($A226&amp;" CP - L.F.",'2017 TEST'!$A$13:$R$274,'2017 TEST'!K$9,FALSE)</f>
        <v>0</v>
      </c>
      <c r="N226" s="230">
        <f>VLOOKUP($A226&amp;" CP - L.F.",'2017 TEST'!$A$13:$R$274,'2017 TEST'!L$9,FALSE)</f>
        <v>0</v>
      </c>
      <c r="O226" s="230">
        <f>VLOOKUP($A226&amp;" CP - L.F.",'2017 TEST'!$A$13:$R$274,'2017 TEST'!M$9,FALSE)</f>
        <v>0</v>
      </c>
      <c r="P226" s="230">
        <f>VLOOKUP($A226&amp;" CP - L.F.",'2017 TEST'!$A$13:$R$274,'2017 TEST'!N$9,FALSE)</f>
        <v>0</v>
      </c>
      <c r="AG226"/>
      <c r="AH226" s="526"/>
      <c r="AI226"/>
      <c r="AJ226"/>
      <c r="AK226"/>
    </row>
    <row r="227" spans="1:37">
      <c r="A227" t="s">
        <v>1193</v>
      </c>
      <c r="B227" t="s">
        <v>1193</v>
      </c>
      <c r="C227" s="240" t="s">
        <v>1198</v>
      </c>
      <c r="D227" s="240"/>
      <c r="E227" s="230">
        <f>VLOOKUP($A227&amp;" GCP - L.F.",'2017 TEST'!$A$13:$R$274,'2017 TEST'!C$9,FALSE)</f>
        <v>0</v>
      </c>
      <c r="F227" s="230">
        <f>VLOOKUP($A227&amp;" GCP - L.F.",'2017 TEST'!$A$13:$R$274,'2017 TEST'!D$9,FALSE)</f>
        <v>0</v>
      </c>
      <c r="G227" s="230">
        <f>VLOOKUP($A227&amp;" GCP - L.F.",'2017 TEST'!$A$13:$R$274,'2017 TEST'!E$9,FALSE)</f>
        <v>0</v>
      </c>
      <c r="H227" s="230">
        <f>VLOOKUP($A227&amp;" GCP - L.F.",'2017 TEST'!$A$13:$R$274,'2017 TEST'!F$9,FALSE)</f>
        <v>0</v>
      </c>
      <c r="I227" s="230">
        <f>VLOOKUP($A227&amp;" GCP - L.F.",'2017 TEST'!$A$13:$R$274,'2017 TEST'!G$9,FALSE)</f>
        <v>0</v>
      </c>
      <c r="J227" s="230">
        <f>VLOOKUP($A227&amp;" GCP - L.F.",'2017 TEST'!$A$13:$R$274,'2017 TEST'!H$9,FALSE)</f>
        <v>0</v>
      </c>
      <c r="K227" s="230">
        <f>VLOOKUP($A227&amp;" GCP - L.F.",'2017 TEST'!$A$13:$R$274,'2017 TEST'!I$9,FALSE)</f>
        <v>0</v>
      </c>
      <c r="L227" s="230">
        <f>VLOOKUP($A227&amp;" GCP - L.F.",'2017 TEST'!$A$13:$R$274,'2017 TEST'!J$9,FALSE)</f>
        <v>0</v>
      </c>
      <c r="M227" s="230">
        <f>VLOOKUP($A227&amp;" GCP - L.F.",'2017 TEST'!$A$13:$R$274,'2017 TEST'!K$9,FALSE)</f>
        <v>0</v>
      </c>
      <c r="N227" s="230">
        <f>VLOOKUP($A227&amp;" GCP - L.F.",'2017 TEST'!$A$13:$R$274,'2017 TEST'!L$9,FALSE)</f>
        <v>0</v>
      </c>
      <c r="O227" s="230">
        <f>VLOOKUP($A227&amp;" GCP - L.F.",'2017 TEST'!$A$13:$R$274,'2017 TEST'!M$9,FALSE)</f>
        <v>0</v>
      </c>
      <c r="P227" s="230">
        <f>VLOOKUP($A227&amp;" GCP - L.F.",'2017 TEST'!$A$13:$R$274,'2017 TEST'!N$9,FALSE)</f>
        <v>0</v>
      </c>
      <c r="AG227"/>
      <c r="AH227" s="526"/>
      <c r="AI227"/>
      <c r="AJ227"/>
      <c r="AK227"/>
    </row>
    <row r="228" spans="1:37">
      <c r="A228" t="s">
        <v>1193</v>
      </c>
      <c r="B228" t="s">
        <v>1193</v>
      </c>
      <c r="C228" s="240" t="s">
        <v>1199</v>
      </c>
      <c r="D228" s="240"/>
      <c r="E228" s="230">
        <f>VLOOKUP($A228&amp;" NCP - L.F.",'2017 TEST'!$A$13:$R$274,'2017 TEST'!C$9,FALSE)</f>
        <v>0</v>
      </c>
      <c r="F228" s="230">
        <f>VLOOKUP($A228&amp;" NCP - L.F.",'2017 TEST'!$A$13:$R$274,'2017 TEST'!D$9,FALSE)</f>
        <v>0</v>
      </c>
      <c r="G228" s="230">
        <f>VLOOKUP($A228&amp;" NCP - L.F.",'2017 TEST'!$A$13:$R$274,'2017 TEST'!E$9,FALSE)</f>
        <v>0</v>
      </c>
      <c r="H228" s="230">
        <f>VLOOKUP($A228&amp;" NCP - L.F.",'2017 TEST'!$A$13:$R$274,'2017 TEST'!F$9,FALSE)</f>
        <v>0</v>
      </c>
      <c r="I228" s="230">
        <f>VLOOKUP($A228&amp;" NCP - L.F.",'2017 TEST'!$A$13:$R$274,'2017 TEST'!G$9,FALSE)</f>
        <v>0</v>
      </c>
      <c r="J228" s="230">
        <f>VLOOKUP($A228&amp;" NCP - L.F.",'2017 TEST'!$A$13:$R$274,'2017 TEST'!H$9,FALSE)</f>
        <v>0</v>
      </c>
      <c r="K228" s="230">
        <f>VLOOKUP($A228&amp;" NCP - L.F.",'2017 TEST'!$A$13:$R$274,'2017 TEST'!I$9,FALSE)</f>
        <v>0</v>
      </c>
      <c r="L228" s="230">
        <f>VLOOKUP($A228&amp;" NCP - L.F.",'2017 TEST'!$A$13:$R$274,'2017 TEST'!J$9,FALSE)</f>
        <v>0</v>
      </c>
      <c r="M228" s="230">
        <f>VLOOKUP($A228&amp;" NCP - L.F.",'2017 TEST'!$A$13:$R$274,'2017 TEST'!K$9,FALSE)</f>
        <v>0</v>
      </c>
      <c r="N228" s="230">
        <f>VLOOKUP($A228&amp;" NCP - L.F.",'2017 TEST'!$A$13:$R$274,'2017 TEST'!L$9,FALSE)</f>
        <v>0</v>
      </c>
      <c r="O228" s="230">
        <f>VLOOKUP($A228&amp;" NCP - L.F.",'2017 TEST'!$A$13:$R$274,'2017 TEST'!M$9,FALSE)</f>
        <v>0</v>
      </c>
      <c r="P228" s="230">
        <f>VLOOKUP($A228&amp;" NCP - L.F.",'2017 TEST'!$A$13:$R$274,'2017 TEST'!N$9,FALSE)</f>
        <v>0</v>
      </c>
      <c r="AG228"/>
      <c r="AH228" s="526"/>
      <c r="AI228"/>
      <c r="AJ228"/>
      <c r="AK228"/>
    </row>
    <row r="229" spans="1:37">
      <c r="A229" t="s">
        <v>1193</v>
      </c>
      <c r="B229" t="s">
        <v>1193</v>
      </c>
      <c r="C229" s="240" t="s">
        <v>1200</v>
      </c>
      <c r="D229" s="240"/>
      <c r="E229" s="145">
        <f>HOURS!$B$19</f>
        <v>744</v>
      </c>
      <c r="F229" s="145">
        <f>HOURS!$C$19</f>
        <v>672</v>
      </c>
      <c r="G229" s="145">
        <f>HOURS!$D$19</f>
        <v>744</v>
      </c>
      <c r="H229" s="145">
        <f>HOURS!$E$19</f>
        <v>720</v>
      </c>
      <c r="I229" s="145">
        <f>HOURS!$F$19</f>
        <v>744</v>
      </c>
      <c r="J229" s="145">
        <f>HOURS!$G$19</f>
        <v>720</v>
      </c>
      <c r="K229" s="145">
        <f>HOURS!$H$19</f>
        <v>744</v>
      </c>
      <c r="L229" s="145">
        <f>HOURS!$I$19</f>
        <v>744</v>
      </c>
      <c r="M229" s="145">
        <f>HOURS!$J$19</f>
        <v>720</v>
      </c>
      <c r="N229" s="145">
        <f>HOURS!$K$19</f>
        <v>744</v>
      </c>
      <c r="O229" s="145">
        <f>HOURS!$L$19</f>
        <v>720</v>
      </c>
      <c r="P229" s="145">
        <f>HOURS!$M$19</f>
        <v>744</v>
      </c>
      <c r="AG229"/>
      <c r="AH229" s="526"/>
      <c r="AI229"/>
      <c r="AJ229"/>
      <c r="AK229"/>
    </row>
    <row r="230" spans="1:37">
      <c r="AG230"/>
      <c r="AH230" s="526"/>
      <c r="AI230"/>
      <c r="AJ230"/>
      <c r="AK230"/>
    </row>
    <row r="231" spans="1:37">
      <c r="A231" t="s">
        <v>1060</v>
      </c>
      <c r="B231" t="s">
        <v>691</v>
      </c>
      <c r="C231" t="s">
        <v>1104</v>
      </c>
      <c r="T231" s="522" t="s">
        <v>1239</v>
      </c>
      <c r="U231" s="523"/>
      <c r="V231" s="523"/>
      <c r="W231" s="523"/>
      <c r="X231" s="523"/>
      <c r="Y231" s="523"/>
      <c r="Z231" s="523"/>
      <c r="AA231" s="523"/>
      <c r="AB231" s="523"/>
      <c r="AC231" s="523"/>
      <c r="AD231" s="523"/>
      <c r="AE231" s="523"/>
      <c r="AF231" s="523"/>
      <c r="AG231"/>
      <c r="AH231" s="526"/>
      <c r="AI231"/>
      <c r="AJ231"/>
      <c r="AK231"/>
    </row>
    <row r="232" spans="1:37">
      <c r="A232" t="s">
        <v>1060</v>
      </c>
      <c r="B232" t="s">
        <v>691</v>
      </c>
      <c r="C232" s="251" t="s">
        <v>1201</v>
      </c>
      <c r="D232" s="251"/>
      <c r="E232" s="4">
        <f>$E$8</f>
        <v>42736</v>
      </c>
      <c r="F232" s="4">
        <f>$F$8</f>
        <v>42767</v>
      </c>
      <c r="G232" s="4">
        <f>$G$8</f>
        <v>42795</v>
      </c>
      <c r="H232" s="4">
        <f>$H$8</f>
        <v>42826</v>
      </c>
      <c r="I232" s="4">
        <f>$I$8</f>
        <v>42856</v>
      </c>
      <c r="J232" s="4">
        <f>$J$8</f>
        <v>42887</v>
      </c>
      <c r="K232" s="4">
        <f>$K$8</f>
        <v>42917</v>
      </c>
      <c r="L232" s="4">
        <f>$L$8</f>
        <v>42948</v>
      </c>
      <c r="M232" s="4">
        <f>$M$8</f>
        <v>42979</v>
      </c>
      <c r="N232" s="4">
        <f>$N$8</f>
        <v>43009</v>
      </c>
      <c r="O232" s="4">
        <f>$O$8</f>
        <v>43040</v>
      </c>
      <c r="P232" s="4">
        <f>$P$8</f>
        <v>43070</v>
      </c>
      <c r="T232" s="206" t="s">
        <v>1240</v>
      </c>
      <c r="U232" s="523">
        <v>13575</v>
      </c>
      <c r="V232" s="523">
        <v>73250</v>
      </c>
      <c r="W232" s="523">
        <v>85800</v>
      </c>
      <c r="X232" s="523">
        <v>111860</v>
      </c>
      <c r="Y232" s="523">
        <v>125830</v>
      </c>
      <c r="Z232" s="523">
        <v>113525</v>
      </c>
      <c r="AA232" s="523">
        <v>115975</v>
      </c>
      <c r="AB232" s="523">
        <v>144250</v>
      </c>
      <c r="AC232" s="523">
        <v>96050</v>
      </c>
      <c r="AD232" s="523">
        <v>91130</v>
      </c>
      <c r="AE232" s="523">
        <v>87075</v>
      </c>
      <c r="AF232" s="523">
        <v>44020</v>
      </c>
      <c r="AG232"/>
      <c r="AH232" s="526"/>
      <c r="AI232"/>
      <c r="AJ232"/>
      <c r="AK232"/>
    </row>
    <row r="233" spans="1:37">
      <c r="A233" t="s">
        <v>1060</v>
      </c>
      <c r="B233" t="s">
        <v>691</v>
      </c>
      <c r="C233" s="240" t="s">
        <v>148</v>
      </c>
      <c r="D233" s="240"/>
      <c r="E233" s="145">
        <f>VLOOKUP($A233&amp;" CP",'2017 TEST'!$A$13:$R$274,'2017 TEST'!C$9,FALSE)</f>
        <v>195726.00947436012</v>
      </c>
      <c r="F233" s="145">
        <f>VLOOKUP($A233&amp;" CP",'2017 TEST'!$A$13:$R$274,'2017 TEST'!D$9,FALSE)</f>
        <v>195726.00947436015</v>
      </c>
      <c r="G233" s="145">
        <f>VLOOKUP($A233&amp;" CP",'2017 TEST'!$A$13:$R$274,'2017 TEST'!E$9,FALSE)</f>
        <v>195726.00947436018</v>
      </c>
      <c r="H233" s="145">
        <f>VLOOKUP($A233&amp;" CP",'2017 TEST'!$A$13:$R$274,'2017 TEST'!F$9,FALSE)</f>
        <v>195726.00947436015</v>
      </c>
      <c r="I233" s="145">
        <f>VLOOKUP($A233&amp;" CP",'2017 TEST'!$A$13:$R$274,'2017 TEST'!G$9,FALSE)</f>
        <v>195726.00947436012</v>
      </c>
      <c r="J233" s="145">
        <f>VLOOKUP($A233&amp;" CP",'2017 TEST'!$A$13:$R$274,'2017 TEST'!H$9,FALSE)</f>
        <v>195726.00947436015</v>
      </c>
      <c r="K233" s="145">
        <f>VLOOKUP($A233&amp;" CP",'2017 TEST'!$A$13:$R$274,'2017 TEST'!I$9,FALSE)</f>
        <v>195726.00947436015</v>
      </c>
      <c r="L233" s="145">
        <f>VLOOKUP($A233&amp;" CP",'2017 TEST'!$A$13:$R$274,'2017 TEST'!J$9,FALSE)</f>
        <v>195726.00947436012</v>
      </c>
      <c r="M233" s="145">
        <f>VLOOKUP($A233&amp;" CP",'2017 TEST'!$A$13:$R$274,'2017 TEST'!K$9,FALSE)</f>
        <v>195726.00947436015</v>
      </c>
      <c r="N233" s="145">
        <f>VLOOKUP($A233&amp;" CP",'2017 TEST'!$A$13:$R$274,'2017 TEST'!L$9,FALSE)</f>
        <v>195726.00947436015</v>
      </c>
      <c r="O233" s="145">
        <f>VLOOKUP($A233&amp;" CP",'2017 TEST'!$A$13:$R$274,'2017 TEST'!M$9,FALSE)</f>
        <v>195726.00947436012</v>
      </c>
      <c r="P233" s="145">
        <f>VLOOKUP($A233&amp;" CP",'2017 TEST'!$A$13:$R$274,'2017 TEST'!N$9,FALSE)</f>
        <v>195726.00947436015</v>
      </c>
      <c r="T233" s="206" t="s">
        <v>148</v>
      </c>
      <c r="U233" s="523">
        <v>195726.00953760481</v>
      </c>
      <c r="V233" s="523">
        <v>195726.00953568425</v>
      </c>
      <c r="W233" s="523">
        <v>195726.00953561024</v>
      </c>
      <c r="X233" s="523">
        <v>195726.00953410758</v>
      </c>
      <c r="Y233" s="523">
        <v>195726.00953454227</v>
      </c>
      <c r="Z233" s="523">
        <v>195726.0095349063</v>
      </c>
      <c r="AA233" s="523">
        <v>195726.00953412865</v>
      </c>
      <c r="AB233" s="523">
        <v>195726.0095356603</v>
      </c>
      <c r="AC233" s="523">
        <v>195726.00953425956</v>
      </c>
      <c r="AD233" s="523">
        <v>195726.00953496047</v>
      </c>
      <c r="AE233" s="523">
        <v>195726.00953471585</v>
      </c>
      <c r="AF233" s="523">
        <v>195726.00947435931</v>
      </c>
      <c r="AG233"/>
      <c r="AH233" s="526"/>
      <c r="AI233"/>
      <c r="AJ233"/>
      <c r="AK233"/>
    </row>
    <row r="234" spans="1:37">
      <c r="A234" t="s">
        <v>1060</v>
      </c>
      <c r="B234" t="s">
        <v>691</v>
      </c>
      <c r="C234" s="240" t="s">
        <v>147</v>
      </c>
      <c r="D234" s="240"/>
      <c r="E234" s="145">
        <f>VLOOKUP($A234&amp;" GNCP",'2017 TEST'!$A$13:$R$274,'2017 TEST'!C$9,FALSE)</f>
        <v>200000</v>
      </c>
      <c r="F234" s="145">
        <f>VLOOKUP($A234&amp;" GNCP",'2017 TEST'!$A$13:$R$274,'2017 TEST'!D$9,FALSE)</f>
        <v>200000</v>
      </c>
      <c r="G234" s="145">
        <f>VLOOKUP($A234&amp;" GNCP",'2017 TEST'!$A$13:$R$274,'2017 TEST'!E$9,FALSE)</f>
        <v>200000</v>
      </c>
      <c r="H234" s="145">
        <f>VLOOKUP($A234&amp;" GNCP",'2017 TEST'!$A$13:$R$274,'2017 TEST'!F$9,FALSE)</f>
        <v>200000</v>
      </c>
      <c r="I234" s="145">
        <f>VLOOKUP($A234&amp;" GNCP",'2017 TEST'!$A$13:$R$274,'2017 TEST'!G$9,FALSE)</f>
        <v>200000</v>
      </c>
      <c r="J234" s="145">
        <f>VLOOKUP($A234&amp;" GNCP",'2017 TEST'!$A$13:$R$274,'2017 TEST'!H$9,FALSE)</f>
        <v>200000</v>
      </c>
      <c r="K234" s="145">
        <f>VLOOKUP($A234&amp;" GNCP",'2017 TEST'!$A$13:$R$274,'2017 TEST'!I$9,FALSE)</f>
        <v>200000</v>
      </c>
      <c r="L234" s="145">
        <f>VLOOKUP($A234&amp;" GNCP",'2017 TEST'!$A$13:$R$274,'2017 TEST'!J$9,FALSE)</f>
        <v>200000</v>
      </c>
      <c r="M234" s="145">
        <f>VLOOKUP($A234&amp;" GNCP",'2017 TEST'!$A$13:$R$274,'2017 TEST'!K$9,FALSE)</f>
        <v>200000</v>
      </c>
      <c r="N234" s="145">
        <f>VLOOKUP($A234&amp;" GNCP",'2017 TEST'!$A$13:$R$274,'2017 TEST'!L$9,FALSE)</f>
        <v>200000</v>
      </c>
      <c r="O234" s="145">
        <f>VLOOKUP($A234&amp;" GNCP",'2017 TEST'!$A$13:$R$274,'2017 TEST'!M$9,FALSE)</f>
        <v>200000</v>
      </c>
      <c r="P234" s="145">
        <f>VLOOKUP($A234&amp;" GNCP",'2017 TEST'!$A$13:$R$274,'2017 TEST'!N$9,FALSE)</f>
        <v>200000</v>
      </c>
      <c r="T234" s="206" t="s">
        <v>342</v>
      </c>
      <c r="U234" s="523">
        <v>200001</v>
      </c>
      <c r="V234" s="523">
        <v>200001</v>
      </c>
      <c r="W234" s="523">
        <v>200001</v>
      </c>
      <c r="X234" s="523">
        <v>200001</v>
      </c>
      <c r="Y234" s="523">
        <v>200001</v>
      </c>
      <c r="Z234" s="523">
        <v>200001</v>
      </c>
      <c r="AA234" s="523">
        <v>200001</v>
      </c>
      <c r="AB234" s="523">
        <v>200001</v>
      </c>
      <c r="AC234" s="523">
        <v>200001</v>
      </c>
      <c r="AD234" s="523">
        <v>200001</v>
      </c>
      <c r="AE234" s="523">
        <v>200001</v>
      </c>
      <c r="AF234" s="523">
        <v>200001</v>
      </c>
      <c r="AG234"/>
      <c r="AH234" s="526"/>
      <c r="AI234"/>
      <c r="AJ234"/>
      <c r="AK234"/>
    </row>
    <row r="235" spans="1:37">
      <c r="A235" t="s">
        <v>1060</v>
      </c>
      <c r="B235" t="s">
        <v>691</v>
      </c>
      <c r="C235" s="240" t="s">
        <v>133</v>
      </c>
      <c r="D235" s="240"/>
      <c r="E235" s="145">
        <f>VLOOKUP($A235&amp;" NCP",'2017 TEST'!$A$13:$R$274,'2017 TEST'!C$9,FALSE)</f>
        <v>200000</v>
      </c>
      <c r="F235" s="145">
        <f>VLOOKUP($A235&amp;" NCP",'2017 TEST'!$A$13:$R$274,'2017 TEST'!D$9,FALSE)</f>
        <v>200000</v>
      </c>
      <c r="G235" s="145">
        <f>VLOOKUP($A235&amp;" NCP",'2017 TEST'!$A$13:$R$274,'2017 TEST'!E$9,FALSE)</f>
        <v>200000</v>
      </c>
      <c r="H235" s="145">
        <f>VLOOKUP($A235&amp;" NCP",'2017 TEST'!$A$13:$R$274,'2017 TEST'!F$9,FALSE)</f>
        <v>200000</v>
      </c>
      <c r="I235" s="145">
        <f>VLOOKUP($A235&amp;" NCP",'2017 TEST'!$A$13:$R$274,'2017 TEST'!G$9,FALSE)</f>
        <v>200000</v>
      </c>
      <c r="J235" s="145">
        <f>VLOOKUP($A235&amp;" NCP",'2017 TEST'!$A$13:$R$274,'2017 TEST'!H$9,FALSE)</f>
        <v>200000</v>
      </c>
      <c r="K235" s="145">
        <f>VLOOKUP($A235&amp;" NCP",'2017 TEST'!$A$13:$R$274,'2017 TEST'!I$9,FALSE)</f>
        <v>200000</v>
      </c>
      <c r="L235" s="145">
        <f>VLOOKUP($A235&amp;" NCP",'2017 TEST'!$A$13:$R$274,'2017 TEST'!J$9,FALSE)</f>
        <v>200000</v>
      </c>
      <c r="M235" s="145">
        <f>VLOOKUP($A235&amp;" NCP",'2017 TEST'!$A$13:$R$274,'2017 TEST'!K$9,FALSE)</f>
        <v>200000</v>
      </c>
      <c r="N235" s="145">
        <f>VLOOKUP($A235&amp;" NCP",'2017 TEST'!$A$13:$R$274,'2017 TEST'!L$9,FALSE)</f>
        <v>200000</v>
      </c>
      <c r="O235" s="145">
        <f>VLOOKUP($A235&amp;" NCP",'2017 TEST'!$A$13:$R$274,'2017 TEST'!M$9,FALSE)</f>
        <v>200000</v>
      </c>
      <c r="P235" s="145">
        <f>VLOOKUP($A235&amp;" NCP",'2017 TEST'!$A$13:$R$274,'2017 TEST'!N$9,FALSE)</f>
        <v>200000</v>
      </c>
      <c r="T235" s="206" t="s">
        <v>133</v>
      </c>
      <c r="U235" s="523">
        <v>200001</v>
      </c>
      <c r="V235" s="523">
        <v>200001</v>
      </c>
      <c r="W235" s="523">
        <v>200001</v>
      </c>
      <c r="X235" s="523">
        <v>200001</v>
      </c>
      <c r="Y235" s="523">
        <v>200001</v>
      </c>
      <c r="Z235" s="523">
        <v>200001</v>
      </c>
      <c r="AA235" s="523">
        <v>200001</v>
      </c>
      <c r="AB235" s="523">
        <v>200001</v>
      </c>
      <c r="AC235" s="523">
        <v>200001</v>
      </c>
      <c r="AD235" s="523">
        <v>200001</v>
      </c>
      <c r="AE235" s="523">
        <v>200001</v>
      </c>
      <c r="AF235" s="523">
        <v>200001</v>
      </c>
      <c r="AG235"/>
      <c r="AH235" s="526"/>
      <c r="AI235"/>
      <c r="AJ235"/>
      <c r="AK235"/>
    </row>
    <row r="236" spans="1:37">
      <c r="A236" t="s">
        <v>1060</v>
      </c>
      <c r="B236" t="s">
        <v>691</v>
      </c>
      <c r="C236" s="240" t="s">
        <v>1197</v>
      </c>
      <c r="D236" s="240"/>
      <c r="E236" s="230">
        <f>VLOOKUP($A236&amp;" CP - L.F.",'2017 TEST'!$A$13:$R$274,'2017 TEST'!C$9,FALSE)</f>
        <v>9.3221988181012225E-2</v>
      </c>
      <c r="F236" s="230">
        <f>VLOOKUP($A236&amp;" CP - L.F.",'2017 TEST'!$A$13:$R$274,'2017 TEST'!D$9,FALSE)</f>
        <v>0.55691615275462625</v>
      </c>
      <c r="G236" s="230">
        <f>VLOOKUP($A236&amp;" CP - L.F.",'2017 TEST'!$A$13:$R$274,'2017 TEST'!E$9,FALSE)</f>
        <v>0.58920416839269585</v>
      </c>
      <c r="H236" s="230">
        <f>VLOOKUP($A236&amp;" CP - L.F.",'2017 TEST'!$A$13:$R$274,'2017 TEST'!F$9,FALSE)</f>
        <v>0.79376834754025483</v>
      </c>
      <c r="I236" s="230">
        <f>VLOOKUP($A236&amp;" CP - L.F.",'2017 TEST'!$A$13:$R$274,'2017 TEST'!G$9,FALSE)</f>
        <v>0.86409744182812276</v>
      </c>
      <c r="J236" s="230">
        <f>VLOOKUP($A236&amp;" CP - L.F.",'2017 TEST'!$A$13:$R$274,'2017 TEST'!H$9,FALSE)</f>
        <v>0.80558333322463282</v>
      </c>
      <c r="K236" s="230">
        <f>VLOOKUP($A236&amp;" CP - L.F.",'2017 TEST'!$A$13:$R$274,'2017 TEST'!I$9,FALSE)</f>
        <v>0.79642136864036017</v>
      </c>
      <c r="L236" s="230">
        <f>VLOOKUP($A236&amp;" CP - L.F.",'2017 TEST'!$A$13:$R$274,'2017 TEST'!J$9,FALSE)</f>
        <v>0.99059092413340788</v>
      </c>
      <c r="M236" s="230">
        <f>VLOOKUP($A236&amp;" CP - L.F.",'2017 TEST'!$A$13:$R$274,'2017 TEST'!K$9,FALSE)</f>
        <v>0.6815792041948997</v>
      </c>
      <c r="N236" s="230">
        <f>VLOOKUP($A236&amp;" CP - L.F.",'2017 TEST'!$A$13:$R$274,'2017 TEST'!L$9,FALSE)</f>
        <v>0.62580624552012099</v>
      </c>
      <c r="O236" s="230">
        <f>VLOOKUP($A236&amp;" CP - L.F.",'2017 TEST'!$A$13:$R$274,'2017 TEST'!M$9,FALSE)</f>
        <v>0.61789181889922851</v>
      </c>
      <c r="P236" s="230">
        <f>VLOOKUP($A236&amp;" CP - L.F.",'2017 TEST'!$A$13:$R$274,'2017 TEST'!N$9,FALSE)</f>
        <v>0.30229332742012205</v>
      </c>
      <c r="T236" s="206" t="s">
        <v>1197</v>
      </c>
      <c r="U236" s="524">
        <v>9.3221988150889515E-2</v>
      </c>
      <c r="V236" s="524">
        <v>0.5569161525801356</v>
      </c>
      <c r="W236" s="524">
        <v>0.58920416820831156</v>
      </c>
      <c r="X236" s="524">
        <v>0.79376834729794865</v>
      </c>
      <c r="Y236" s="524">
        <v>0.86409744156242874</v>
      </c>
      <c r="Z236" s="524">
        <v>0.80558333297543261</v>
      </c>
      <c r="AA236" s="524">
        <v>0.79642136839715849</v>
      </c>
      <c r="AB236" s="524">
        <v>0.99059092382316094</v>
      </c>
      <c r="AC236" s="524">
        <v>0.68157920398631111</v>
      </c>
      <c r="AD236" s="524">
        <v>0.62580624532635998</v>
      </c>
      <c r="AE236" s="524">
        <v>0.61789181870869014</v>
      </c>
      <c r="AF236" s="524">
        <v>0.30229332742012338</v>
      </c>
      <c r="AG236"/>
      <c r="AH236" s="526"/>
      <c r="AI236"/>
      <c r="AJ236"/>
      <c r="AK236"/>
    </row>
    <row r="237" spans="1:37">
      <c r="A237" t="s">
        <v>1060</v>
      </c>
      <c r="B237" t="s">
        <v>691</v>
      </c>
      <c r="C237" s="240" t="s">
        <v>1198</v>
      </c>
      <c r="D237" s="240"/>
      <c r="E237" s="230">
        <f>VLOOKUP($A237&amp;" GCP - L.F.",'2017 TEST'!$A$13:$R$274,'2017 TEST'!C$9,FALSE)</f>
        <v>9.1229838709677422E-2</v>
      </c>
      <c r="F237" s="230">
        <f>VLOOKUP($A237&amp;" GCP - L.F.",'2017 TEST'!$A$13:$R$274,'2017 TEST'!D$9,FALSE)</f>
        <v>0.54501488095238093</v>
      </c>
      <c r="G237" s="230">
        <f>VLOOKUP($A237&amp;" GCP - L.F.",'2017 TEST'!$A$13:$R$274,'2017 TEST'!E$9,FALSE)</f>
        <v>0.57661290322580649</v>
      </c>
      <c r="H237" s="230">
        <f>VLOOKUP($A237&amp;" GCP - L.F.",'2017 TEST'!$A$13:$R$274,'2017 TEST'!F$9,FALSE)</f>
        <v>0.77680555555555564</v>
      </c>
      <c r="I237" s="230">
        <f>VLOOKUP($A237&amp;" GCP - L.F.",'2017 TEST'!$A$13:$R$274,'2017 TEST'!G$9,FALSE)</f>
        <v>0.84563172043010748</v>
      </c>
      <c r="J237" s="230">
        <f>VLOOKUP($A237&amp;" GCP - L.F.",'2017 TEST'!$A$13:$R$274,'2017 TEST'!H$9,FALSE)</f>
        <v>0.78836805555555567</v>
      </c>
      <c r="K237" s="230">
        <f>VLOOKUP($A237&amp;" GCP - L.F.",'2017 TEST'!$A$13:$R$274,'2017 TEST'!I$9,FALSE)</f>
        <v>0.77940188172043012</v>
      </c>
      <c r="L237" s="230">
        <f>VLOOKUP($A237&amp;" GCP - L.F.",'2017 TEST'!$A$13:$R$274,'2017 TEST'!J$9,FALSE)</f>
        <v>0.96942204301075263</v>
      </c>
      <c r="M237" s="230">
        <f>VLOOKUP($A237&amp;" GCP - L.F.",'2017 TEST'!$A$13:$R$274,'2017 TEST'!K$9,FALSE)</f>
        <v>0.66701388888888891</v>
      </c>
      <c r="N237" s="230">
        <f>VLOOKUP($A237&amp;" GCP - L.F.",'2017 TEST'!$A$13:$R$274,'2017 TEST'!L$9,FALSE)</f>
        <v>0.61243279569892473</v>
      </c>
      <c r="O237" s="230">
        <f>VLOOKUP($A237&amp;" GCP - L.F.",'2017 TEST'!$A$13:$R$274,'2017 TEST'!M$9,FALSE)</f>
        <v>0.60468750000000004</v>
      </c>
      <c r="P237" s="230">
        <f>VLOOKUP($A237&amp;" GCP - L.F.",'2017 TEST'!$A$13:$R$274,'2017 TEST'!N$9,FALSE)</f>
        <v>0.29583333333333334</v>
      </c>
      <c r="T237" s="206" t="s">
        <v>1221</v>
      </c>
      <c r="U237" s="524">
        <v>9.122938256276461E-2</v>
      </c>
      <c r="V237" s="524">
        <v>0.54501215589160146</v>
      </c>
      <c r="W237" s="524">
        <v>0.57661002017570562</v>
      </c>
      <c r="X237" s="524">
        <v>0.77680167154719792</v>
      </c>
      <c r="Y237" s="524">
        <v>0.845627492292646</v>
      </c>
      <c r="Z237" s="524">
        <v>0.78836411373498683</v>
      </c>
      <c r="AA237" s="524">
        <v>0.77939798473050648</v>
      </c>
      <c r="AB237" s="524">
        <v>0.96941719592477305</v>
      </c>
      <c r="AC237" s="524">
        <v>0.66701055383611962</v>
      </c>
      <c r="AD237" s="524">
        <v>0.61242973355025698</v>
      </c>
      <c r="AE237" s="524">
        <v>0.60468447657761704</v>
      </c>
      <c r="AF237" s="524">
        <v>0.29583185417406244</v>
      </c>
      <c r="AG237"/>
      <c r="AH237" s="526"/>
      <c r="AI237"/>
      <c r="AJ237"/>
      <c r="AK237"/>
    </row>
    <row r="238" spans="1:37">
      <c r="A238" t="s">
        <v>1060</v>
      </c>
      <c r="B238" t="s">
        <v>691</v>
      </c>
      <c r="C238" s="240" t="s">
        <v>1199</v>
      </c>
      <c r="D238" s="240"/>
      <c r="E238" s="230">
        <f>VLOOKUP($A238&amp;" NCP - L.F.",'2017 TEST'!$A$13:$R$274,'2017 TEST'!C$9,FALSE)</f>
        <v>9.1229838709677422E-2</v>
      </c>
      <c r="F238" s="230">
        <f>VLOOKUP($A238&amp;" NCP - L.F.",'2017 TEST'!$A$13:$R$274,'2017 TEST'!D$9,FALSE)</f>
        <v>0.54501488095238093</v>
      </c>
      <c r="G238" s="230">
        <f>VLOOKUP($A238&amp;" NCP - L.F.",'2017 TEST'!$A$13:$R$274,'2017 TEST'!E$9,FALSE)</f>
        <v>0.57661290322580649</v>
      </c>
      <c r="H238" s="230">
        <f>VLOOKUP($A238&amp;" NCP - L.F.",'2017 TEST'!$A$13:$R$274,'2017 TEST'!F$9,FALSE)</f>
        <v>0.77680555555555564</v>
      </c>
      <c r="I238" s="230">
        <f>VLOOKUP($A238&amp;" NCP - L.F.",'2017 TEST'!$A$13:$R$274,'2017 TEST'!G$9,FALSE)</f>
        <v>0.84563172043010748</v>
      </c>
      <c r="J238" s="230">
        <f>VLOOKUP($A238&amp;" NCP - L.F.",'2017 TEST'!$A$13:$R$274,'2017 TEST'!H$9,FALSE)</f>
        <v>0.78836805555555567</v>
      </c>
      <c r="K238" s="230">
        <f>VLOOKUP($A238&amp;" NCP - L.F.",'2017 TEST'!$A$13:$R$274,'2017 TEST'!I$9,FALSE)</f>
        <v>0.77940188172043012</v>
      </c>
      <c r="L238" s="230">
        <f>VLOOKUP($A238&amp;" NCP - L.F.",'2017 TEST'!$A$13:$R$274,'2017 TEST'!J$9,FALSE)</f>
        <v>0.96942204301075263</v>
      </c>
      <c r="M238" s="230">
        <f>VLOOKUP($A238&amp;" NCP - L.F.",'2017 TEST'!$A$13:$R$274,'2017 TEST'!K$9,FALSE)</f>
        <v>0.66701388888888891</v>
      </c>
      <c r="N238" s="230">
        <f>VLOOKUP($A238&amp;" NCP - L.F.",'2017 TEST'!$A$13:$R$274,'2017 TEST'!L$9,FALSE)</f>
        <v>0.61243279569892473</v>
      </c>
      <c r="O238" s="230">
        <f>VLOOKUP($A238&amp;" NCP - L.F.",'2017 TEST'!$A$13:$R$274,'2017 TEST'!M$9,FALSE)</f>
        <v>0.60468750000000004</v>
      </c>
      <c r="P238" s="230">
        <f>VLOOKUP($A238&amp;" NCP - L.F.",'2017 TEST'!$A$13:$R$274,'2017 TEST'!N$9,FALSE)</f>
        <v>0.29583333333333334</v>
      </c>
      <c r="T238" s="206" t="s">
        <v>1199</v>
      </c>
      <c r="U238" s="524">
        <v>9.122938256276461E-2</v>
      </c>
      <c r="V238" s="524">
        <v>0.54501215589160146</v>
      </c>
      <c r="W238" s="524">
        <v>0.57661002017570562</v>
      </c>
      <c r="X238" s="524">
        <v>0.77680167154719792</v>
      </c>
      <c r="Y238" s="524">
        <v>0.845627492292646</v>
      </c>
      <c r="Z238" s="524">
        <v>0.78836411373498683</v>
      </c>
      <c r="AA238" s="524">
        <v>0.77939798473050648</v>
      </c>
      <c r="AB238" s="524">
        <v>0.96941719592477305</v>
      </c>
      <c r="AC238" s="524">
        <v>0.66701055383611962</v>
      </c>
      <c r="AD238" s="524">
        <v>0.61242973355025698</v>
      </c>
      <c r="AE238" s="524">
        <v>0.60468447657761704</v>
      </c>
      <c r="AF238" s="524">
        <v>0.29583185417406244</v>
      </c>
      <c r="AG238"/>
      <c r="AH238" s="526"/>
      <c r="AI238"/>
      <c r="AJ238"/>
      <c r="AK238"/>
    </row>
    <row r="239" spans="1:37">
      <c r="A239" t="s">
        <v>1060</v>
      </c>
      <c r="B239" t="s">
        <v>691</v>
      </c>
      <c r="C239" s="240" t="s">
        <v>1200</v>
      </c>
      <c r="D239" s="240"/>
      <c r="E239" s="145">
        <f>HOURS!$B$19</f>
        <v>744</v>
      </c>
      <c r="F239" s="145">
        <f>HOURS!$C$19</f>
        <v>672</v>
      </c>
      <c r="G239" s="145">
        <f>HOURS!$D$19</f>
        <v>744</v>
      </c>
      <c r="H239" s="145">
        <f>HOURS!$E$19</f>
        <v>720</v>
      </c>
      <c r="I239" s="145">
        <f>HOURS!$F$19</f>
        <v>744</v>
      </c>
      <c r="J239" s="145">
        <f>HOURS!$G$19</f>
        <v>720</v>
      </c>
      <c r="K239" s="145">
        <f>HOURS!$H$19</f>
        <v>744</v>
      </c>
      <c r="L239" s="145">
        <f>HOURS!$I$19</f>
        <v>744</v>
      </c>
      <c r="M239" s="145">
        <f>HOURS!$J$19</f>
        <v>720</v>
      </c>
      <c r="N239" s="145">
        <f>HOURS!$K$19</f>
        <v>744</v>
      </c>
      <c r="O239" s="145">
        <f>HOURS!$L$19</f>
        <v>720</v>
      </c>
      <c r="P239" s="145">
        <f>HOURS!$M$19</f>
        <v>744</v>
      </c>
      <c r="T239" s="206" t="s">
        <v>1200</v>
      </c>
      <c r="U239" s="523">
        <v>744</v>
      </c>
      <c r="V239" s="523">
        <v>672</v>
      </c>
      <c r="W239" s="523">
        <v>744</v>
      </c>
      <c r="X239" s="523">
        <v>720</v>
      </c>
      <c r="Y239" s="523">
        <v>744</v>
      </c>
      <c r="Z239" s="523">
        <v>720</v>
      </c>
      <c r="AA239" s="523">
        <v>744</v>
      </c>
      <c r="AB239" s="523">
        <v>744</v>
      </c>
      <c r="AC239" s="523">
        <v>720</v>
      </c>
      <c r="AD239" s="523">
        <v>744</v>
      </c>
      <c r="AE239" s="523">
        <v>720</v>
      </c>
      <c r="AF239" s="523">
        <v>744</v>
      </c>
      <c r="AG239"/>
      <c r="AH239" s="526"/>
      <c r="AI239"/>
      <c r="AJ239"/>
      <c r="AK239"/>
    </row>
    <row r="240" spans="1:37">
      <c r="AG240"/>
      <c r="AH240" s="526"/>
      <c r="AI240"/>
      <c r="AJ240"/>
      <c r="AK240"/>
    </row>
    <row r="241" spans="1:37">
      <c r="A241" t="s">
        <v>986</v>
      </c>
      <c r="B241" t="s">
        <v>727</v>
      </c>
      <c r="C241" s="240" t="s">
        <v>1097</v>
      </c>
      <c r="D241" s="240"/>
      <c r="AG241"/>
      <c r="AH241" s="526"/>
      <c r="AI241"/>
      <c r="AJ241"/>
      <c r="AK241"/>
    </row>
    <row r="242" spans="1:37">
      <c r="A242" t="s">
        <v>986</v>
      </c>
      <c r="B242" t="s">
        <v>727</v>
      </c>
      <c r="C242" s="251" t="s">
        <v>1201</v>
      </c>
      <c r="D242" s="251"/>
      <c r="E242" s="4">
        <f>$E$8</f>
        <v>42736</v>
      </c>
      <c r="F242" s="4">
        <f>$F$8</f>
        <v>42767</v>
      </c>
      <c r="G242" s="4">
        <f>$G$8</f>
        <v>42795</v>
      </c>
      <c r="H242" s="4">
        <f>$H$8</f>
        <v>42826</v>
      </c>
      <c r="I242" s="4">
        <f>$I$8</f>
        <v>42856</v>
      </c>
      <c r="J242" s="4">
        <f>$J$8</f>
        <v>42887</v>
      </c>
      <c r="K242" s="4">
        <f>$K$8</f>
        <v>42917</v>
      </c>
      <c r="L242" s="4">
        <f>$L$8</f>
        <v>42948</v>
      </c>
      <c r="M242" s="4">
        <f>$M$8</f>
        <v>42979</v>
      </c>
      <c r="N242" s="4">
        <f>$N$8</f>
        <v>43009</v>
      </c>
      <c r="O242" s="4">
        <f>$O$8</f>
        <v>43040</v>
      </c>
      <c r="P242" s="4">
        <f>$P$8</f>
        <v>43070</v>
      </c>
      <c r="AG242"/>
      <c r="AH242" s="526"/>
      <c r="AI242"/>
      <c r="AJ242"/>
      <c r="AK242"/>
    </row>
    <row r="243" spans="1:37">
      <c r="A243" t="s">
        <v>986</v>
      </c>
      <c r="B243" t="s">
        <v>727</v>
      </c>
      <c r="C243" s="240" t="s">
        <v>148</v>
      </c>
      <c r="D243" s="240"/>
      <c r="E243" s="145">
        <f>VLOOKUP($A243&amp;" CP",'2017 TEST'!$A$13:$R$274,'2017 TEST'!C$9,FALSE)</f>
        <v>58717.80284230804</v>
      </c>
      <c r="F243" s="145">
        <f>VLOOKUP($A243&amp;" CP",'2017 TEST'!$A$13:$R$274,'2017 TEST'!D$9,FALSE)</f>
        <v>0</v>
      </c>
      <c r="G243" s="145">
        <f>VLOOKUP($A243&amp;" CP",'2017 TEST'!$A$13:$R$274,'2017 TEST'!E$9,FALSE)</f>
        <v>0</v>
      </c>
      <c r="H243" s="145">
        <f>VLOOKUP($A243&amp;" CP",'2017 TEST'!$A$13:$R$274,'2017 TEST'!F$9,FALSE)</f>
        <v>0</v>
      </c>
      <c r="I243" s="145">
        <f>VLOOKUP($A243&amp;" CP",'2017 TEST'!$A$13:$R$274,'2017 TEST'!G$9,FALSE)</f>
        <v>0</v>
      </c>
      <c r="J243" s="145">
        <f>VLOOKUP($A243&amp;" CP",'2017 TEST'!$A$13:$R$274,'2017 TEST'!H$9,FALSE)</f>
        <v>0</v>
      </c>
      <c r="K243" s="145">
        <f>VLOOKUP($A243&amp;" CP",'2017 TEST'!$A$13:$R$274,'2017 TEST'!I$9,FALSE)</f>
        <v>0</v>
      </c>
      <c r="L243" s="145">
        <f>VLOOKUP($A243&amp;" CP",'2017 TEST'!$A$13:$R$274,'2017 TEST'!J$9,FALSE)</f>
        <v>58717.80284230804</v>
      </c>
      <c r="M243" s="145">
        <f>VLOOKUP($A243&amp;" CP",'2017 TEST'!$A$13:$R$274,'2017 TEST'!K$9,FALSE)</f>
        <v>0</v>
      </c>
      <c r="N243" s="145">
        <f>VLOOKUP($A243&amp;" CP",'2017 TEST'!$A$13:$R$274,'2017 TEST'!L$9,FALSE)</f>
        <v>0</v>
      </c>
      <c r="O243" s="145">
        <f>VLOOKUP($A243&amp;" CP",'2017 TEST'!$A$13:$R$274,'2017 TEST'!M$9,FALSE)</f>
        <v>0</v>
      </c>
      <c r="P243" s="145">
        <f>VLOOKUP($A243&amp;" CP",'2017 TEST'!$A$13:$R$274,'2017 TEST'!N$9,FALSE)</f>
        <v>0</v>
      </c>
      <c r="AG243"/>
      <c r="AH243" s="526"/>
      <c r="AI243"/>
      <c r="AJ243"/>
      <c r="AK243"/>
    </row>
    <row r="244" spans="1:37">
      <c r="A244" t="s">
        <v>986</v>
      </c>
      <c r="B244" t="s">
        <v>727</v>
      </c>
      <c r="C244" s="240" t="s">
        <v>147</v>
      </c>
      <c r="D244" s="240"/>
      <c r="E244" s="145">
        <f>VLOOKUP($A244&amp;" GNCP",'2017 TEST'!$A$13:$R$274,'2017 TEST'!C$9,FALSE)</f>
        <v>60000</v>
      </c>
      <c r="F244" s="145">
        <f>VLOOKUP($A244&amp;" GNCP",'2017 TEST'!$A$13:$R$274,'2017 TEST'!D$9,FALSE)</f>
        <v>0</v>
      </c>
      <c r="G244" s="145">
        <f>VLOOKUP($A244&amp;" GNCP",'2017 TEST'!$A$13:$R$274,'2017 TEST'!E$9,FALSE)</f>
        <v>0</v>
      </c>
      <c r="H244" s="145">
        <f>VLOOKUP($A244&amp;" GNCP",'2017 TEST'!$A$13:$R$274,'2017 TEST'!F$9,FALSE)</f>
        <v>0</v>
      </c>
      <c r="I244" s="145">
        <f>VLOOKUP($A244&amp;" GNCP",'2017 TEST'!$A$13:$R$274,'2017 TEST'!G$9,FALSE)</f>
        <v>0</v>
      </c>
      <c r="J244" s="145">
        <f>VLOOKUP($A244&amp;" GNCP",'2017 TEST'!$A$13:$R$274,'2017 TEST'!H$9,FALSE)</f>
        <v>0</v>
      </c>
      <c r="K244" s="145">
        <f>VLOOKUP($A244&amp;" GNCP",'2017 TEST'!$A$13:$R$274,'2017 TEST'!I$9,FALSE)</f>
        <v>0</v>
      </c>
      <c r="L244" s="145">
        <f>VLOOKUP($A244&amp;" GNCP",'2017 TEST'!$A$13:$R$274,'2017 TEST'!J$9,FALSE)</f>
        <v>60000</v>
      </c>
      <c r="M244" s="145">
        <f>VLOOKUP($A244&amp;" GNCP",'2017 TEST'!$A$13:$R$274,'2017 TEST'!K$9,FALSE)</f>
        <v>0</v>
      </c>
      <c r="N244" s="145">
        <f>VLOOKUP($A244&amp;" GNCP",'2017 TEST'!$A$13:$R$274,'2017 TEST'!L$9,FALSE)</f>
        <v>0</v>
      </c>
      <c r="O244" s="145">
        <f>VLOOKUP($A244&amp;" GNCP",'2017 TEST'!$A$13:$R$274,'2017 TEST'!M$9,FALSE)</f>
        <v>0</v>
      </c>
      <c r="P244" s="145">
        <f>VLOOKUP($A244&amp;" GNCP",'2017 TEST'!$A$13:$R$274,'2017 TEST'!N$9,FALSE)</f>
        <v>0</v>
      </c>
      <c r="AG244"/>
      <c r="AH244" s="526"/>
      <c r="AI244"/>
      <c r="AJ244"/>
      <c r="AK244"/>
    </row>
    <row r="245" spans="1:37">
      <c r="A245" t="s">
        <v>986</v>
      </c>
      <c r="B245" t="s">
        <v>727</v>
      </c>
      <c r="C245" s="240" t="s">
        <v>133</v>
      </c>
      <c r="D245" s="240"/>
      <c r="E245" s="145">
        <f>VLOOKUP($A245&amp;" NCP",'2017 TEST'!$A$13:$R$274,'2017 TEST'!C$9,FALSE)</f>
        <v>60000</v>
      </c>
      <c r="F245" s="145">
        <f>VLOOKUP($A245&amp;" NCP",'2017 TEST'!$A$13:$R$274,'2017 TEST'!D$9,FALSE)</f>
        <v>0</v>
      </c>
      <c r="G245" s="145">
        <f>VLOOKUP($A245&amp;" NCP",'2017 TEST'!$A$13:$R$274,'2017 TEST'!E$9,FALSE)</f>
        <v>0</v>
      </c>
      <c r="H245" s="145">
        <f>VLOOKUP($A245&amp;" NCP",'2017 TEST'!$A$13:$R$274,'2017 TEST'!F$9,FALSE)</f>
        <v>0</v>
      </c>
      <c r="I245" s="145">
        <f>VLOOKUP($A245&amp;" NCP",'2017 TEST'!$A$13:$R$274,'2017 TEST'!G$9,FALSE)</f>
        <v>0</v>
      </c>
      <c r="J245" s="145">
        <f>VLOOKUP($A245&amp;" NCP",'2017 TEST'!$A$13:$R$274,'2017 TEST'!H$9,FALSE)</f>
        <v>0</v>
      </c>
      <c r="K245" s="145">
        <f>VLOOKUP($A245&amp;" NCP",'2017 TEST'!$A$13:$R$274,'2017 TEST'!I$9,FALSE)</f>
        <v>0</v>
      </c>
      <c r="L245" s="145">
        <f>VLOOKUP($A245&amp;" NCP",'2017 TEST'!$A$13:$R$274,'2017 TEST'!J$9,FALSE)</f>
        <v>60000</v>
      </c>
      <c r="M245" s="145">
        <f>VLOOKUP($A245&amp;" NCP",'2017 TEST'!$A$13:$R$274,'2017 TEST'!K$9,FALSE)</f>
        <v>0</v>
      </c>
      <c r="N245" s="145">
        <f>VLOOKUP($A245&amp;" NCP",'2017 TEST'!$A$13:$R$274,'2017 TEST'!L$9,FALSE)</f>
        <v>0</v>
      </c>
      <c r="O245" s="145">
        <f>VLOOKUP($A245&amp;" NCP",'2017 TEST'!$A$13:$R$274,'2017 TEST'!M$9,FALSE)</f>
        <v>0</v>
      </c>
      <c r="P245" s="145">
        <f>VLOOKUP($A245&amp;" NCP",'2017 TEST'!$A$13:$R$274,'2017 TEST'!N$9,FALSE)</f>
        <v>0</v>
      </c>
      <c r="AG245"/>
      <c r="AH245" s="526"/>
      <c r="AI245"/>
      <c r="AJ245"/>
      <c r="AK245"/>
    </row>
    <row r="246" spans="1:37">
      <c r="A246" t="s">
        <v>986</v>
      </c>
      <c r="B246" t="s">
        <v>727</v>
      </c>
      <c r="C246" s="240" t="s">
        <v>1197</v>
      </c>
      <c r="D246" s="240"/>
      <c r="E246" s="230">
        <f>VLOOKUP($A246&amp;" CP - L.F.",'2017 TEST'!$A$13:$R$274,'2017 TEST'!C$9,FALSE)</f>
        <v>0.42648997242239151</v>
      </c>
      <c r="F246" s="230">
        <f>VLOOKUP($A246&amp;" CP - L.F.",'2017 TEST'!$A$13:$R$274,'2017 TEST'!D$9,FALSE)</f>
        <v>0</v>
      </c>
      <c r="G246" s="230">
        <f>VLOOKUP($A246&amp;" CP - L.F.",'2017 TEST'!$A$13:$R$274,'2017 TEST'!E$9,FALSE)</f>
        <v>0</v>
      </c>
      <c r="H246" s="230">
        <f>VLOOKUP($A246&amp;" CP - L.F.",'2017 TEST'!$A$13:$R$274,'2017 TEST'!F$9,FALSE)</f>
        <v>0</v>
      </c>
      <c r="I246" s="230">
        <f>VLOOKUP($A246&amp;" CP - L.F.",'2017 TEST'!$A$13:$R$274,'2017 TEST'!G$9,FALSE)</f>
        <v>0</v>
      </c>
      <c r="J246" s="230">
        <f>VLOOKUP($A246&amp;" CP - L.F.",'2017 TEST'!$A$13:$R$274,'2017 TEST'!H$9,FALSE)</f>
        <v>0</v>
      </c>
      <c r="K246" s="230">
        <f>VLOOKUP($A246&amp;" CP - L.F.",'2017 TEST'!$A$13:$R$274,'2017 TEST'!I$9,FALSE)</f>
        <v>0</v>
      </c>
      <c r="L246" s="230">
        <f>VLOOKUP($A246&amp;" CP - L.F.",'2017 TEST'!$A$13:$R$274,'2017 TEST'!J$9,FALSE)</f>
        <v>0</v>
      </c>
      <c r="M246" s="230">
        <f>VLOOKUP($A246&amp;" CP - L.F.",'2017 TEST'!$A$13:$R$274,'2017 TEST'!K$9,FALSE)</f>
        <v>0</v>
      </c>
      <c r="N246" s="230">
        <f>VLOOKUP($A246&amp;" CP - L.F.",'2017 TEST'!$A$13:$R$274,'2017 TEST'!L$9,FALSE)</f>
        <v>0</v>
      </c>
      <c r="O246" s="230">
        <f>VLOOKUP($A246&amp;" CP - L.F.",'2017 TEST'!$A$13:$R$274,'2017 TEST'!M$9,FALSE)</f>
        <v>0</v>
      </c>
      <c r="P246" s="230">
        <f>VLOOKUP($A246&amp;" CP - L.F.",'2017 TEST'!$A$13:$R$274,'2017 TEST'!N$9,FALSE)</f>
        <v>0</v>
      </c>
      <c r="AG246"/>
      <c r="AH246"/>
      <c r="AI246"/>
      <c r="AJ246"/>
      <c r="AK246"/>
    </row>
    <row r="247" spans="1:37">
      <c r="A247" t="s">
        <v>986</v>
      </c>
      <c r="B247" t="s">
        <v>727</v>
      </c>
      <c r="C247" s="240" t="s">
        <v>1198</v>
      </c>
      <c r="D247" s="240"/>
      <c r="E247" s="230">
        <f>VLOOKUP($A247&amp;" GCP - L.F.",'2017 TEST'!$A$13:$R$274,'2017 TEST'!C$9,FALSE)</f>
        <v>0.41737590191532298</v>
      </c>
      <c r="F247" s="230">
        <f>VLOOKUP($A247&amp;" GCP - L.F.",'2017 TEST'!$A$13:$R$274,'2017 TEST'!D$9,FALSE)</f>
        <v>0</v>
      </c>
      <c r="G247" s="230">
        <f>VLOOKUP($A247&amp;" GCP - L.F.",'2017 TEST'!$A$13:$R$274,'2017 TEST'!E$9,FALSE)</f>
        <v>0</v>
      </c>
      <c r="H247" s="230">
        <f>VLOOKUP($A247&amp;" GCP - L.F.",'2017 TEST'!$A$13:$R$274,'2017 TEST'!F$9,FALSE)</f>
        <v>0</v>
      </c>
      <c r="I247" s="230">
        <f>VLOOKUP($A247&amp;" GCP - L.F.",'2017 TEST'!$A$13:$R$274,'2017 TEST'!G$9,FALSE)</f>
        <v>0</v>
      </c>
      <c r="J247" s="230">
        <f>VLOOKUP($A247&amp;" GCP - L.F.",'2017 TEST'!$A$13:$R$274,'2017 TEST'!H$9,FALSE)</f>
        <v>0</v>
      </c>
      <c r="K247" s="230">
        <f>VLOOKUP($A247&amp;" GCP - L.F.",'2017 TEST'!$A$13:$R$274,'2017 TEST'!I$9,FALSE)</f>
        <v>0</v>
      </c>
      <c r="L247" s="230">
        <f>VLOOKUP($A247&amp;" GCP - L.F.",'2017 TEST'!$A$13:$R$274,'2017 TEST'!J$9,FALSE)</f>
        <v>0</v>
      </c>
      <c r="M247" s="230">
        <f>VLOOKUP($A247&amp;" GCP - L.F.",'2017 TEST'!$A$13:$R$274,'2017 TEST'!K$9,FALSE)</f>
        <v>0</v>
      </c>
      <c r="N247" s="230">
        <f>VLOOKUP($A247&amp;" GCP - L.F.",'2017 TEST'!$A$13:$R$274,'2017 TEST'!L$9,FALSE)</f>
        <v>0</v>
      </c>
      <c r="O247" s="230">
        <f>VLOOKUP($A247&amp;" GCP - L.F.",'2017 TEST'!$A$13:$R$274,'2017 TEST'!M$9,FALSE)</f>
        <v>0</v>
      </c>
      <c r="P247" s="230">
        <f>VLOOKUP($A247&amp;" GCP - L.F.",'2017 TEST'!$A$13:$R$274,'2017 TEST'!N$9,FALSE)</f>
        <v>0</v>
      </c>
      <c r="AG247"/>
      <c r="AH247"/>
      <c r="AI247"/>
      <c r="AJ247"/>
      <c r="AK247"/>
    </row>
    <row r="248" spans="1:37">
      <c r="A248" t="s">
        <v>986</v>
      </c>
      <c r="B248" t="s">
        <v>727</v>
      </c>
      <c r="C248" s="240" t="s">
        <v>1199</v>
      </c>
      <c r="D248" s="240"/>
      <c r="E248" s="230">
        <f>VLOOKUP($A248&amp;" NCP - L.F.",'2017 TEST'!$A$13:$R$274,'2017 TEST'!C$9,FALSE)</f>
        <v>0.41737590191532298</v>
      </c>
      <c r="F248" s="230">
        <f>VLOOKUP($A248&amp;" NCP - L.F.",'2017 TEST'!$A$13:$R$274,'2017 TEST'!D$9,FALSE)</f>
        <v>0</v>
      </c>
      <c r="G248" s="230">
        <f>VLOOKUP($A248&amp;" NCP - L.F.",'2017 TEST'!$A$13:$R$274,'2017 TEST'!E$9,FALSE)</f>
        <v>0</v>
      </c>
      <c r="H248" s="230">
        <f>VLOOKUP($A248&amp;" NCP - L.F.",'2017 TEST'!$A$13:$R$274,'2017 TEST'!F$9,FALSE)</f>
        <v>0</v>
      </c>
      <c r="I248" s="230">
        <f>VLOOKUP($A248&amp;" NCP - L.F.",'2017 TEST'!$A$13:$R$274,'2017 TEST'!G$9,FALSE)</f>
        <v>0</v>
      </c>
      <c r="J248" s="230">
        <f>VLOOKUP($A248&amp;" NCP - L.F.",'2017 TEST'!$A$13:$R$274,'2017 TEST'!H$9,FALSE)</f>
        <v>0</v>
      </c>
      <c r="K248" s="230">
        <f>VLOOKUP($A248&amp;" NCP - L.F.",'2017 TEST'!$A$13:$R$274,'2017 TEST'!I$9,FALSE)</f>
        <v>0</v>
      </c>
      <c r="L248" s="230">
        <f>VLOOKUP($A248&amp;" NCP - L.F.",'2017 TEST'!$A$13:$R$274,'2017 TEST'!J$9,FALSE)</f>
        <v>0</v>
      </c>
      <c r="M248" s="230">
        <f>VLOOKUP($A248&amp;" NCP - L.F.",'2017 TEST'!$A$13:$R$274,'2017 TEST'!K$9,FALSE)</f>
        <v>0</v>
      </c>
      <c r="N248" s="230">
        <f>VLOOKUP($A248&amp;" NCP - L.F.",'2017 TEST'!$A$13:$R$274,'2017 TEST'!L$9,FALSE)</f>
        <v>0</v>
      </c>
      <c r="O248" s="230">
        <f>VLOOKUP($A248&amp;" NCP - L.F.",'2017 TEST'!$A$13:$R$274,'2017 TEST'!M$9,FALSE)</f>
        <v>0</v>
      </c>
      <c r="P248" s="230">
        <f>VLOOKUP($A248&amp;" NCP - L.F.",'2017 TEST'!$A$13:$R$274,'2017 TEST'!N$9,FALSE)</f>
        <v>0</v>
      </c>
      <c r="AG248"/>
      <c r="AH248"/>
      <c r="AI248"/>
      <c r="AJ248"/>
      <c r="AK248"/>
    </row>
    <row r="249" spans="1:37">
      <c r="A249" t="s">
        <v>986</v>
      </c>
      <c r="B249" t="s">
        <v>727</v>
      </c>
      <c r="C249" s="240" t="s">
        <v>1200</v>
      </c>
      <c r="D249" s="240"/>
      <c r="E249" s="145">
        <f>HOURS!$B$19</f>
        <v>744</v>
      </c>
      <c r="F249" s="145">
        <f>HOURS!$C$19</f>
        <v>672</v>
      </c>
      <c r="G249" s="145">
        <f>HOURS!$D$19</f>
        <v>744</v>
      </c>
      <c r="H249" s="145">
        <f>HOURS!$E$19</f>
        <v>720</v>
      </c>
      <c r="I249" s="145">
        <f>HOURS!$F$19</f>
        <v>744</v>
      </c>
      <c r="J249" s="145">
        <f>HOURS!$G$19</f>
        <v>720</v>
      </c>
      <c r="K249" s="145">
        <f>HOURS!$H$19</f>
        <v>744</v>
      </c>
      <c r="L249" s="145">
        <f>HOURS!$I$19</f>
        <v>744</v>
      </c>
      <c r="M249" s="145">
        <f>HOURS!$J$19</f>
        <v>720</v>
      </c>
      <c r="N249" s="145">
        <f>HOURS!$K$19</f>
        <v>744</v>
      </c>
      <c r="O249" s="145">
        <f>HOURS!$L$19</f>
        <v>720</v>
      </c>
      <c r="P249" s="145">
        <f>HOURS!$M$19</f>
        <v>744</v>
      </c>
      <c r="AG249"/>
      <c r="AH249"/>
      <c r="AI249"/>
      <c r="AJ249"/>
      <c r="AK249"/>
    </row>
    <row r="250" spans="1:37">
      <c r="AG250"/>
      <c r="AH250"/>
      <c r="AI250"/>
      <c r="AJ250"/>
      <c r="AK250"/>
    </row>
    <row r="251" spans="1:37">
      <c r="AG251"/>
      <c r="AH251"/>
      <c r="AI251"/>
      <c r="AJ251"/>
      <c r="AK251"/>
    </row>
    <row r="252" spans="1:37">
      <c r="AG252"/>
      <c r="AH252"/>
      <c r="AI252"/>
      <c r="AJ252"/>
      <c r="AK252"/>
    </row>
    <row r="253" spans="1:37">
      <c r="AG253"/>
      <c r="AH253"/>
      <c r="AI253"/>
      <c r="AJ253"/>
      <c r="AK253"/>
    </row>
    <row r="254" spans="1:37">
      <c r="AG254"/>
      <c r="AH254"/>
      <c r="AI254"/>
      <c r="AJ254"/>
      <c r="AK254"/>
    </row>
    <row r="255" spans="1:37">
      <c r="AG255"/>
      <c r="AH255"/>
      <c r="AI255"/>
      <c r="AJ255"/>
      <c r="AK255"/>
    </row>
    <row r="256" spans="1:37">
      <c r="AG256"/>
      <c r="AH256"/>
      <c r="AI256"/>
      <c r="AJ256"/>
      <c r="AK256"/>
    </row>
    <row r="257" spans="20:37">
      <c r="AG257"/>
      <c r="AH257"/>
      <c r="AI257"/>
      <c r="AJ257"/>
      <c r="AK257"/>
    </row>
    <row r="258" spans="20:37">
      <c r="AG258"/>
      <c r="AH258"/>
      <c r="AI258"/>
      <c r="AJ258"/>
      <c r="AK258"/>
    </row>
    <row r="259" spans="20:37">
      <c r="AG259"/>
      <c r="AH259"/>
      <c r="AI259"/>
      <c r="AJ259"/>
      <c r="AK259"/>
    </row>
    <row r="260" spans="20:37">
      <c r="AG260"/>
      <c r="AH260"/>
      <c r="AI260"/>
      <c r="AJ260"/>
      <c r="AK260"/>
    </row>
    <row r="261" spans="20:37">
      <c r="AG261"/>
      <c r="AH261"/>
      <c r="AI261"/>
      <c r="AJ261"/>
      <c r="AK261"/>
    </row>
    <row r="262" spans="20:37">
      <c r="T262"/>
      <c r="U262"/>
      <c r="V262"/>
      <c r="W262"/>
      <c r="X262"/>
      <c r="Y262"/>
      <c r="Z262"/>
      <c r="AA262"/>
      <c r="AB262"/>
      <c r="AC262"/>
      <c r="AD262"/>
      <c r="AE262"/>
      <c r="AF262"/>
      <c r="AG262"/>
      <c r="AH262"/>
      <c r="AI262"/>
      <c r="AJ262"/>
      <c r="AK262"/>
    </row>
    <row r="263" spans="20:37">
      <c r="AG263"/>
      <c r="AH263"/>
      <c r="AI263"/>
      <c r="AJ263"/>
      <c r="AK263"/>
    </row>
    <row r="264" spans="20:37">
      <c r="AG264"/>
      <c r="AH264"/>
      <c r="AI264"/>
      <c r="AJ264"/>
      <c r="AK264"/>
    </row>
    <row r="265" spans="20:37">
      <c r="AG265"/>
      <c r="AH265"/>
      <c r="AI265"/>
      <c r="AJ265"/>
      <c r="AK265"/>
    </row>
    <row r="266" spans="20:37">
      <c r="AG266"/>
      <c r="AH266"/>
      <c r="AI266"/>
      <c r="AJ266"/>
      <c r="AK266"/>
    </row>
    <row r="267" spans="20:37">
      <c r="AG267"/>
      <c r="AH267"/>
      <c r="AI267"/>
      <c r="AJ267"/>
      <c r="AK267"/>
    </row>
    <row r="268" spans="20:37">
      <c r="AG268"/>
      <c r="AH268"/>
      <c r="AI268"/>
      <c r="AJ268"/>
      <c r="AK268"/>
    </row>
    <row r="269" spans="20:37">
      <c r="AG269"/>
      <c r="AH269"/>
      <c r="AI269"/>
      <c r="AJ269"/>
      <c r="AK269"/>
    </row>
    <row r="270" spans="20:37">
      <c r="AG270"/>
      <c r="AH270"/>
      <c r="AI270"/>
      <c r="AJ270"/>
      <c r="AK270"/>
    </row>
    <row r="271" spans="20:37">
      <c r="AG271"/>
      <c r="AH271"/>
      <c r="AI271"/>
      <c r="AJ271"/>
      <c r="AK271"/>
    </row>
    <row r="272" spans="20:37">
      <c r="T272"/>
      <c r="U272"/>
      <c r="V272"/>
      <c r="W272"/>
      <c r="X272"/>
      <c r="Y272"/>
      <c r="Z272"/>
      <c r="AA272"/>
      <c r="AB272"/>
      <c r="AC272"/>
      <c r="AD272"/>
      <c r="AE272"/>
      <c r="AF272"/>
      <c r="AG272"/>
      <c r="AH272"/>
      <c r="AI272"/>
      <c r="AJ272"/>
      <c r="AK272"/>
    </row>
    <row r="273" spans="20:37">
      <c r="AG273"/>
      <c r="AH273"/>
      <c r="AI273"/>
      <c r="AJ273"/>
      <c r="AK273"/>
    </row>
    <row r="274" spans="20:37">
      <c r="AG274"/>
      <c r="AH274"/>
      <c r="AI274"/>
      <c r="AJ274"/>
      <c r="AK274"/>
    </row>
    <row r="275" spans="20:37">
      <c r="AG275"/>
      <c r="AH275"/>
      <c r="AI275"/>
      <c r="AJ275"/>
      <c r="AK275"/>
    </row>
    <row r="276" spans="20:37">
      <c r="AG276"/>
      <c r="AH276"/>
      <c r="AI276"/>
      <c r="AJ276"/>
      <c r="AK276"/>
    </row>
    <row r="277" spans="20:37">
      <c r="AG277"/>
      <c r="AH277"/>
      <c r="AI277"/>
      <c r="AJ277"/>
      <c r="AK277"/>
    </row>
    <row r="278" spans="20:37">
      <c r="AG278"/>
      <c r="AH278"/>
      <c r="AI278"/>
      <c r="AJ278"/>
      <c r="AK278"/>
    </row>
    <row r="279" spans="20:37">
      <c r="AG279"/>
      <c r="AH279"/>
      <c r="AI279"/>
      <c r="AJ279"/>
      <c r="AK279"/>
    </row>
    <row r="280" spans="20:37">
      <c r="AG280"/>
      <c r="AH280"/>
      <c r="AI280"/>
      <c r="AJ280"/>
      <c r="AK280"/>
    </row>
    <row r="281" spans="20:37">
      <c r="AG281"/>
      <c r="AH281"/>
      <c r="AI281"/>
      <c r="AJ281"/>
      <c r="AK281"/>
    </row>
    <row r="282" spans="20:37">
      <c r="T282"/>
      <c r="U282"/>
      <c r="V282"/>
      <c r="W282"/>
      <c r="X282"/>
      <c r="Y282"/>
      <c r="Z282"/>
      <c r="AA282"/>
      <c r="AB282"/>
      <c r="AC282"/>
      <c r="AD282"/>
      <c r="AE282"/>
      <c r="AF282"/>
      <c r="AG282"/>
      <c r="AH282"/>
      <c r="AI282"/>
      <c r="AJ282"/>
      <c r="AK282"/>
    </row>
    <row r="283" spans="20:37">
      <c r="AG283"/>
      <c r="AH283"/>
      <c r="AI283"/>
      <c r="AJ283"/>
      <c r="AK283"/>
    </row>
    <row r="284" spans="20:37">
      <c r="AG284"/>
      <c r="AH284"/>
      <c r="AI284"/>
      <c r="AJ284"/>
      <c r="AK284"/>
    </row>
    <row r="285" spans="20:37">
      <c r="AG285"/>
      <c r="AH285"/>
      <c r="AI285"/>
      <c r="AJ285"/>
      <c r="AK285"/>
    </row>
    <row r="286" spans="20:37">
      <c r="AG286"/>
      <c r="AH286"/>
      <c r="AI286"/>
      <c r="AJ286"/>
      <c r="AK286"/>
    </row>
    <row r="287" spans="20:37">
      <c r="AG287"/>
      <c r="AH287"/>
      <c r="AI287"/>
      <c r="AJ287"/>
      <c r="AK287"/>
    </row>
    <row r="288" spans="20:37">
      <c r="AG288"/>
      <c r="AH288"/>
      <c r="AI288"/>
      <c r="AJ288"/>
      <c r="AK288"/>
    </row>
    <row r="289" spans="20:37">
      <c r="AG289"/>
      <c r="AH289"/>
      <c r="AI289"/>
      <c r="AJ289"/>
      <c r="AK289"/>
    </row>
    <row r="290" spans="20:37">
      <c r="AG290"/>
      <c r="AH290"/>
      <c r="AI290"/>
      <c r="AJ290"/>
      <c r="AK290"/>
    </row>
    <row r="291" spans="20:37">
      <c r="AG291"/>
      <c r="AH291"/>
      <c r="AI291"/>
      <c r="AJ291"/>
      <c r="AK291"/>
    </row>
    <row r="292" spans="20:37">
      <c r="T292"/>
      <c r="U292"/>
      <c r="V292"/>
      <c r="W292"/>
      <c r="X292"/>
      <c r="Y292"/>
      <c r="Z292"/>
      <c r="AA292"/>
      <c r="AB292"/>
      <c r="AC292"/>
      <c r="AD292"/>
      <c r="AE292"/>
      <c r="AF292"/>
      <c r="AG292"/>
      <c r="AH292"/>
      <c r="AI292"/>
      <c r="AJ292"/>
      <c r="AK292"/>
    </row>
    <row r="293" spans="20:37" ht="13.8" thickBot="1">
      <c r="T293" s="503"/>
      <c r="U293" s="503"/>
      <c r="V293" s="503"/>
      <c r="W293" s="503"/>
      <c r="X293" s="503"/>
      <c r="Y293" s="503"/>
      <c r="Z293" s="503"/>
      <c r="AA293" s="503"/>
      <c r="AB293" s="503"/>
      <c r="AC293" s="503"/>
      <c r="AD293" s="503"/>
      <c r="AE293" s="503"/>
      <c r="AF293" s="503"/>
      <c r="AG293"/>
      <c r="AH293"/>
      <c r="AI293"/>
      <c r="AJ293"/>
      <c r="AK293"/>
    </row>
    <row r="294" spans="20:37">
      <c r="T294" s="522" t="s">
        <v>1242</v>
      </c>
      <c r="U294" s="523"/>
      <c r="V294" s="523"/>
      <c r="W294" s="523"/>
      <c r="X294" s="523"/>
      <c r="Y294" s="523"/>
      <c r="Z294" s="523"/>
      <c r="AA294" s="523"/>
      <c r="AB294" s="523"/>
      <c r="AC294" s="523"/>
      <c r="AD294" s="523"/>
      <c r="AE294" s="523"/>
      <c r="AF294" s="523"/>
      <c r="AG294"/>
      <c r="AH294"/>
      <c r="AI294"/>
      <c r="AJ294"/>
      <c r="AK294"/>
    </row>
    <row r="295" spans="20:37" ht="15.6">
      <c r="T295" s="206" t="s">
        <v>1261</v>
      </c>
      <c r="U295" s="523">
        <v>4479.0422992308404</v>
      </c>
      <c r="V295" s="523">
        <v>0</v>
      </c>
      <c r="W295" s="523">
        <v>0</v>
      </c>
      <c r="X295" s="523">
        <v>0</v>
      </c>
      <c r="Y295" s="523">
        <v>0</v>
      </c>
      <c r="Z295" s="523">
        <v>0</v>
      </c>
      <c r="AA295" s="523">
        <v>0</v>
      </c>
      <c r="AB295" s="523">
        <v>0</v>
      </c>
      <c r="AC295" s="523">
        <v>0</v>
      </c>
      <c r="AD295" s="523">
        <v>0</v>
      </c>
      <c r="AE295" s="523">
        <v>0</v>
      </c>
      <c r="AF295" s="523">
        <v>0</v>
      </c>
      <c r="AG295"/>
      <c r="AH295"/>
      <c r="AI295"/>
      <c r="AJ295"/>
      <c r="AK295"/>
    </row>
    <row r="296" spans="20:37">
      <c r="T296" s="206" t="s">
        <v>1200</v>
      </c>
      <c r="U296" s="523">
        <v>744</v>
      </c>
      <c r="V296" s="523">
        <v>0</v>
      </c>
      <c r="W296" s="523">
        <v>0</v>
      </c>
      <c r="X296" s="523">
        <v>0</v>
      </c>
      <c r="Y296" s="523">
        <v>0</v>
      </c>
      <c r="Z296" s="523">
        <v>0</v>
      </c>
      <c r="AA296" s="523">
        <v>0</v>
      </c>
      <c r="AB296" s="523">
        <v>0</v>
      </c>
      <c r="AC296" s="523">
        <v>0</v>
      </c>
      <c r="AD296" s="523">
        <v>0</v>
      </c>
      <c r="AE296" s="523">
        <v>0</v>
      </c>
      <c r="AF296" s="523">
        <v>0</v>
      </c>
      <c r="AG296"/>
      <c r="AH296"/>
      <c r="AI296"/>
      <c r="AJ296"/>
      <c r="AK296"/>
    </row>
    <row r="297" spans="20:37">
      <c r="T297"/>
      <c r="U297"/>
      <c r="V297"/>
      <c r="W297"/>
      <c r="X297"/>
      <c r="Y297"/>
      <c r="Z297"/>
      <c r="AA297"/>
      <c r="AB297"/>
      <c r="AC297"/>
      <c r="AD297"/>
      <c r="AE297"/>
      <c r="AF297"/>
      <c r="AG297"/>
      <c r="AH297"/>
      <c r="AI297"/>
      <c r="AJ297"/>
      <c r="AK297"/>
    </row>
    <row r="298" spans="20:37">
      <c r="T298" s="522" t="s">
        <v>1243</v>
      </c>
      <c r="U298" s="523"/>
      <c r="V298" s="523"/>
      <c r="W298" s="523"/>
      <c r="X298" s="523"/>
      <c r="Y298" s="523"/>
      <c r="Z298" s="523"/>
      <c r="AA298" s="523"/>
      <c r="AB298" s="523"/>
      <c r="AC298" s="523"/>
      <c r="AD298" s="523"/>
      <c r="AE298" s="523"/>
      <c r="AF298" s="523"/>
      <c r="AG298"/>
      <c r="AH298"/>
      <c r="AI298"/>
      <c r="AJ298"/>
      <c r="AK298"/>
    </row>
    <row r="299" spans="20:37">
      <c r="T299" s="206" t="s">
        <v>1240</v>
      </c>
      <c r="U299" s="523">
        <v>2927.1239982525703</v>
      </c>
      <c r="V299" s="523">
        <v>0</v>
      </c>
      <c r="W299" s="523">
        <v>0</v>
      </c>
      <c r="X299" s="523">
        <v>0</v>
      </c>
      <c r="Y299" s="523">
        <v>0</v>
      </c>
      <c r="Z299" s="523">
        <v>0</v>
      </c>
      <c r="AA299" s="523">
        <v>0</v>
      </c>
      <c r="AB299" s="523">
        <v>0</v>
      </c>
      <c r="AC299" s="523">
        <v>0</v>
      </c>
      <c r="AD299" s="523">
        <v>0</v>
      </c>
      <c r="AE299" s="523">
        <v>0</v>
      </c>
      <c r="AF299" s="523">
        <v>0</v>
      </c>
      <c r="AG299"/>
      <c r="AH299"/>
      <c r="AI299"/>
      <c r="AJ299"/>
      <c r="AK299"/>
    </row>
    <row r="300" spans="20:37">
      <c r="T300" s="206" t="s">
        <v>1200</v>
      </c>
      <c r="U300" s="523">
        <v>744</v>
      </c>
      <c r="V300" s="523">
        <v>0</v>
      </c>
      <c r="W300" s="523">
        <v>0</v>
      </c>
      <c r="X300" s="523">
        <v>0</v>
      </c>
      <c r="Y300" s="523">
        <v>0</v>
      </c>
      <c r="Z300" s="523">
        <v>0</v>
      </c>
      <c r="AA300" s="523">
        <v>0</v>
      </c>
      <c r="AB300" s="523">
        <v>0</v>
      </c>
      <c r="AC300" s="523">
        <v>0</v>
      </c>
      <c r="AD300" s="523">
        <v>0</v>
      </c>
      <c r="AE300" s="523">
        <v>0</v>
      </c>
      <c r="AF300" s="523">
        <v>0</v>
      </c>
      <c r="AG300"/>
      <c r="AH300"/>
      <c r="AI300"/>
      <c r="AJ300"/>
      <c r="AK300"/>
    </row>
    <row r="301" spans="20:37">
      <c r="T301"/>
      <c r="U301"/>
      <c r="V301"/>
      <c r="W301"/>
      <c r="X301"/>
      <c r="Y301"/>
      <c r="Z301"/>
      <c r="AA301"/>
      <c r="AB301"/>
      <c r="AC301"/>
      <c r="AD301"/>
      <c r="AE301"/>
      <c r="AF301"/>
      <c r="AG301"/>
      <c r="AH301"/>
      <c r="AI301"/>
      <c r="AJ301"/>
      <c r="AK301"/>
    </row>
    <row r="302" spans="20:37">
      <c r="T302" s="522" t="s">
        <v>1244</v>
      </c>
      <c r="U302" s="523"/>
      <c r="V302" s="523"/>
      <c r="W302" s="523"/>
      <c r="X302" s="523"/>
      <c r="Y302" s="523"/>
      <c r="Z302" s="523"/>
      <c r="AA302" s="523"/>
      <c r="AB302" s="523"/>
      <c r="AC302" s="523"/>
      <c r="AD302" s="523"/>
      <c r="AE302" s="523"/>
      <c r="AF302" s="523"/>
      <c r="AG302"/>
      <c r="AH302"/>
      <c r="AI302"/>
      <c r="AJ302"/>
      <c r="AK302"/>
    </row>
    <row r="303" spans="20:37">
      <c r="T303" s="206" t="s">
        <v>1240</v>
      </c>
      <c r="U303" s="523">
        <v>18631.660261500001</v>
      </c>
      <c r="V303" s="523">
        <v>240</v>
      </c>
      <c r="W303" s="523">
        <v>0</v>
      </c>
      <c r="X303" s="523">
        <v>0</v>
      </c>
      <c r="Y303" s="523">
        <v>0</v>
      </c>
      <c r="Z303" s="523">
        <v>0</v>
      </c>
      <c r="AA303" s="523">
        <v>0</v>
      </c>
      <c r="AB303" s="523">
        <v>0</v>
      </c>
      <c r="AC303" s="523">
        <v>240</v>
      </c>
      <c r="AD303" s="523">
        <v>0</v>
      </c>
      <c r="AE303" s="523">
        <v>0</v>
      </c>
      <c r="AF303" s="523">
        <v>0</v>
      </c>
      <c r="AG303"/>
      <c r="AH303"/>
      <c r="AI303"/>
      <c r="AJ303"/>
      <c r="AK303"/>
    </row>
    <row r="304" spans="20:37">
      <c r="T304" s="206" t="s">
        <v>148</v>
      </c>
      <c r="U304" s="523">
        <v>58717.802844831633</v>
      </c>
      <c r="V304" s="523">
        <v>0</v>
      </c>
      <c r="W304" s="523">
        <v>0</v>
      </c>
      <c r="X304" s="523">
        <v>0</v>
      </c>
      <c r="Y304" s="523">
        <v>0</v>
      </c>
      <c r="Z304" s="523">
        <v>0</v>
      </c>
      <c r="AA304" s="523">
        <v>0</v>
      </c>
      <c r="AB304" s="523">
        <v>0</v>
      </c>
      <c r="AC304" s="523">
        <v>0</v>
      </c>
      <c r="AD304" s="523">
        <v>0</v>
      </c>
      <c r="AE304" s="523">
        <v>0</v>
      </c>
      <c r="AF304" s="523">
        <v>0</v>
      </c>
      <c r="AG304"/>
      <c r="AH304"/>
      <c r="AI304"/>
      <c r="AJ304"/>
      <c r="AK304"/>
    </row>
    <row r="305" spans="20:37">
      <c r="T305" s="206" t="s">
        <v>342</v>
      </c>
      <c r="U305" s="523">
        <v>60001</v>
      </c>
      <c r="V305" s="523">
        <v>0</v>
      </c>
      <c r="W305" s="523">
        <v>0</v>
      </c>
      <c r="X305" s="523">
        <v>0</v>
      </c>
      <c r="Y305" s="523">
        <v>0</v>
      </c>
      <c r="Z305" s="523">
        <v>0</v>
      </c>
      <c r="AA305" s="523">
        <v>0</v>
      </c>
      <c r="AB305" s="523">
        <v>0</v>
      </c>
      <c r="AC305" s="523">
        <v>0</v>
      </c>
      <c r="AD305" s="523">
        <v>0</v>
      </c>
      <c r="AE305" s="523">
        <v>0</v>
      </c>
      <c r="AF305" s="523">
        <v>0</v>
      </c>
      <c r="AG305"/>
      <c r="AH305"/>
      <c r="AI305"/>
      <c r="AJ305"/>
      <c r="AK305"/>
    </row>
    <row r="306" spans="20:37">
      <c r="T306" s="206" t="s">
        <v>133</v>
      </c>
      <c r="U306" s="523">
        <v>60001</v>
      </c>
      <c r="V306" s="523">
        <v>0</v>
      </c>
      <c r="W306" s="523">
        <v>0</v>
      </c>
      <c r="X306" s="523">
        <v>0</v>
      </c>
      <c r="Y306" s="523">
        <v>0</v>
      </c>
      <c r="Z306" s="523">
        <v>0</v>
      </c>
      <c r="AA306" s="523">
        <v>0</v>
      </c>
      <c r="AB306" s="523">
        <v>0</v>
      </c>
      <c r="AC306" s="523">
        <v>0</v>
      </c>
      <c r="AD306" s="523">
        <v>0</v>
      </c>
      <c r="AE306" s="523">
        <v>0</v>
      </c>
      <c r="AF306" s="523">
        <v>0</v>
      </c>
      <c r="AG306"/>
      <c r="AH306"/>
      <c r="AI306"/>
      <c r="AJ306"/>
      <c r="AK306"/>
    </row>
    <row r="307" spans="20:37">
      <c r="T307" s="206" t="s">
        <v>1197</v>
      </c>
      <c r="U307" s="524">
        <v>0.42648997240406128</v>
      </c>
      <c r="V307" s="524">
        <v>0</v>
      </c>
      <c r="W307" s="524">
        <v>0</v>
      </c>
      <c r="X307" s="524">
        <v>0</v>
      </c>
      <c r="Y307" s="524">
        <v>0</v>
      </c>
      <c r="Z307" s="524">
        <v>0</v>
      </c>
      <c r="AA307" s="524">
        <v>0</v>
      </c>
      <c r="AB307" s="524">
        <v>0</v>
      </c>
      <c r="AC307" s="524">
        <v>0</v>
      </c>
      <c r="AD307" s="524">
        <v>0</v>
      </c>
      <c r="AE307" s="524">
        <v>0</v>
      </c>
      <c r="AF307" s="524">
        <v>0</v>
      </c>
      <c r="AG307"/>
      <c r="AH307"/>
      <c r="AI307"/>
      <c r="AJ307"/>
      <c r="AK307"/>
    </row>
    <row r="308" spans="20:37">
      <c r="T308" s="206" t="s">
        <v>1221</v>
      </c>
      <c r="U308" s="524">
        <v>0.41736894576622652</v>
      </c>
      <c r="V308" s="524">
        <v>0</v>
      </c>
      <c r="W308" s="524">
        <v>0</v>
      </c>
      <c r="X308" s="524">
        <v>0</v>
      </c>
      <c r="Y308" s="524">
        <v>0</v>
      </c>
      <c r="Z308" s="524">
        <v>0</v>
      </c>
      <c r="AA308" s="524">
        <v>0</v>
      </c>
      <c r="AB308" s="524">
        <v>0</v>
      </c>
      <c r="AC308" s="524">
        <v>0</v>
      </c>
      <c r="AD308" s="524">
        <v>0</v>
      </c>
      <c r="AE308" s="524">
        <v>0</v>
      </c>
      <c r="AF308" s="524">
        <v>0</v>
      </c>
      <c r="AG308"/>
      <c r="AH308"/>
      <c r="AI308"/>
      <c r="AJ308"/>
      <c r="AK308"/>
    </row>
    <row r="309" spans="20:37">
      <c r="T309" s="206" t="s">
        <v>1199</v>
      </c>
      <c r="U309" s="524">
        <v>0.41736894576622652</v>
      </c>
      <c r="V309" s="524">
        <v>0</v>
      </c>
      <c r="W309" s="524">
        <v>0</v>
      </c>
      <c r="X309" s="524">
        <v>0</v>
      </c>
      <c r="Y309" s="524">
        <v>0</v>
      </c>
      <c r="Z309" s="524">
        <v>0</v>
      </c>
      <c r="AA309" s="524">
        <v>0</v>
      </c>
      <c r="AB309" s="524">
        <v>0</v>
      </c>
      <c r="AC309" s="524">
        <v>0</v>
      </c>
      <c r="AD309" s="524">
        <v>0</v>
      </c>
      <c r="AE309" s="524">
        <v>0</v>
      </c>
      <c r="AF309" s="524">
        <v>0</v>
      </c>
      <c r="AG309"/>
      <c r="AH309"/>
      <c r="AI309"/>
      <c r="AJ309"/>
      <c r="AK309"/>
    </row>
    <row r="310" spans="20:37">
      <c r="T310" s="206" t="s">
        <v>1200</v>
      </c>
      <c r="U310" s="523">
        <v>744</v>
      </c>
      <c r="V310" s="523">
        <v>672</v>
      </c>
      <c r="W310" s="523">
        <v>0</v>
      </c>
      <c r="X310" s="523">
        <v>0</v>
      </c>
      <c r="Y310" s="523">
        <v>0</v>
      </c>
      <c r="Z310" s="523">
        <v>0</v>
      </c>
      <c r="AA310" s="523">
        <v>0</v>
      </c>
      <c r="AB310" s="523">
        <v>0</v>
      </c>
      <c r="AC310" s="523">
        <v>720</v>
      </c>
      <c r="AD310" s="523">
        <v>0</v>
      </c>
      <c r="AE310" s="523">
        <v>0</v>
      </c>
      <c r="AF310" s="523">
        <v>0</v>
      </c>
      <c r="AG310"/>
      <c r="AH310"/>
      <c r="AI310"/>
      <c r="AJ310"/>
      <c r="AK310"/>
    </row>
    <row r="311" spans="20:37">
      <c r="T311"/>
      <c r="U311"/>
      <c r="V311"/>
      <c r="W311"/>
      <c r="X311"/>
      <c r="Y311"/>
      <c r="Z311"/>
      <c r="AA311"/>
      <c r="AB311"/>
      <c r="AC311"/>
      <c r="AD311"/>
      <c r="AE311"/>
      <c r="AF311"/>
      <c r="AG311"/>
      <c r="AH311"/>
      <c r="AI311"/>
      <c r="AJ311"/>
      <c r="AK311"/>
    </row>
    <row r="312" spans="20:37">
      <c r="T312" s="522" t="s">
        <v>1245</v>
      </c>
      <c r="U312" s="523"/>
      <c r="V312" s="523"/>
      <c r="W312" s="523"/>
      <c r="X312" s="523"/>
      <c r="Y312" s="523"/>
      <c r="Z312" s="523"/>
      <c r="AA312" s="523"/>
      <c r="AB312" s="523"/>
      <c r="AC312" s="523"/>
      <c r="AD312" s="523"/>
      <c r="AE312" s="523"/>
      <c r="AF312" s="523"/>
      <c r="AG312"/>
      <c r="AH312"/>
      <c r="AI312"/>
      <c r="AJ312"/>
      <c r="AK312"/>
    </row>
    <row r="313" spans="20:37">
      <c r="T313" s="206" t="s">
        <v>1240</v>
      </c>
      <c r="U313" s="523">
        <v>18600</v>
      </c>
      <c r="V313" s="523">
        <v>180</v>
      </c>
      <c r="W313" s="523">
        <v>0</v>
      </c>
      <c r="X313" s="523">
        <v>0</v>
      </c>
      <c r="Y313" s="523">
        <v>0</v>
      </c>
      <c r="Z313" s="523">
        <v>0</v>
      </c>
      <c r="AA313" s="523">
        <v>0</v>
      </c>
      <c r="AB313" s="523">
        <v>0</v>
      </c>
      <c r="AC313" s="523">
        <v>180</v>
      </c>
      <c r="AD313" s="523">
        <v>0</v>
      </c>
      <c r="AE313" s="523">
        <v>0</v>
      </c>
      <c r="AF313" s="523">
        <v>0</v>
      </c>
      <c r="AG313"/>
      <c r="AH313"/>
      <c r="AI313"/>
      <c r="AJ313"/>
      <c r="AK313"/>
    </row>
    <row r="314" spans="20:37">
      <c r="T314" s="206" t="s">
        <v>148</v>
      </c>
      <c r="U314" s="523">
        <v>44038.35213284054</v>
      </c>
      <c r="V314" s="523">
        <v>0</v>
      </c>
      <c r="W314" s="523">
        <v>0</v>
      </c>
      <c r="X314" s="523">
        <v>0</v>
      </c>
      <c r="Y314" s="523">
        <v>0</v>
      </c>
      <c r="Z314" s="523">
        <v>0</v>
      </c>
      <c r="AA314" s="523">
        <v>0</v>
      </c>
      <c r="AB314" s="523">
        <v>0</v>
      </c>
      <c r="AC314" s="523">
        <v>0</v>
      </c>
      <c r="AD314" s="523">
        <v>0</v>
      </c>
      <c r="AE314" s="523">
        <v>0</v>
      </c>
      <c r="AF314" s="523">
        <v>0</v>
      </c>
      <c r="AG314"/>
      <c r="AH314"/>
      <c r="AI314"/>
      <c r="AJ314"/>
      <c r="AK314"/>
    </row>
    <row r="315" spans="20:37">
      <c r="T315" s="206" t="s">
        <v>342</v>
      </c>
      <c r="U315" s="523">
        <v>45001</v>
      </c>
      <c r="V315" s="523">
        <v>0</v>
      </c>
      <c r="W315" s="523">
        <v>0</v>
      </c>
      <c r="X315" s="523">
        <v>0</v>
      </c>
      <c r="Y315" s="523">
        <v>0</v>
      </c>
      <c r="Z315" s="523">
        <v>0</v>
      </c>
      <c r="AA315" s="523">
        <v>0</v>
      </c>
      <c r="AB315" s="523">
        <v>0</v>
      </c>
      <c r="AC315" s="523">
        <v>0</v>
      </c>
      <c r="AD315" s="523">
        <v>0</v>
      </c>
      <c r="AE315" s="523">
        <v>0</v>
      </c>
      <c r="AF315" s="523">
        <v>0</v>
      </c>
      <c r="AG315"/>
      <c r="AH315"/>
      <c r="AI315"/>
      <c r="AJ315"/>
      <c r="AK315"/>
    </row>
    <row r="316" spans="20:37">
      <c r="T316" s="206" t="s">
        <v>133</v>
      </c>
      <c r="U316" s="523">
        <v>45001</v>
      </c>
      <c r="V316" s="523">
        <v>0</v>
      </c>
      <c r="W316" s="523">
        <v>0</v>
      </c>
      <c r="X316" s="523">
        <v>0</v>
      </c>
      <c r="Y316" s="523">
        <v>0</v>
      </c>
      <c r="Z316" s="523">
        <v>0</v>
      </c>
      <c r="AA316" s="523">
        <v>0</v>
      </c>
      <c r="AB316" s="523">
        <v>0</v>
      </c>
      <c r="AC316" s="523">
        <v>0</v>
      </c>
      <c r="AD316" s="523">
        <v>0</v>
      </c>
      <c r="AE316" s="523">
        <v>0</v>
      </c>
      <c r="AF316" s="523">
        <v>0</v>
      </c>
      <c r="AG316"/>
      <c r="AH316"/>
      <c r="AI316"/>
      <c r="AJ316"/>
      <c r="AK316"/>
    </row>
    <row r="317" spans="20:37">
      <c r="T317" s="206" t="s">
        <v>1197</v>
      </c>
      <c r="U317" s="524">
        <v>0.56768699983569204</v>
      </c>
      <c r="V317" s="524">
        <v>0</v>
      </c>
      <c r="W317" s="524">
        <v>0</v>
      </c>
      <c r="X317" s="524">
        <v>0</v>
      </c>
      <c r="Y317" s="524">
        <v>0</v>
      </c>
      <c r="Z317" s="524">
        <v>0</v>
      </c>
      <c r="AA317" s="524">
        <v>0</v>
      </c>
      <c r="AB317" s="524">
        <v>0</v>
      </c>
      <c r="AC317" s="524">
        <v>0</v>
      </c>
      <c r="AD317" s="524">
        <v>0</v>
      </c>
      <c r="AE317" s="524">
        <v>0</v>
      </c>
      <c r="AF317" s="524">
        <v>0</v>
      </c>
      <c r="AG317"/>
      <c r="AH317"/>
      <c r="AI317"/>
      <c r="AJ317"/>
      <c r="AK317"/>
    </row>
    <row r="318" spans="20:37">
      <c r="T318" s="206" t="s">
        <v>1221</v>
      </c>
      <c r="U318" s="524">
        <v>0.55554321015088559</v>
      </c>
      <c r="V318" s="524">
        <v>0</v>
      </c>
      <c r="W318" s="524">
        <v>0</v>
      </c>
      <c r="X318" s="524">
        <v>0</v>
      </c>
      <c r="Y318" s="524">
        <v>0</v>
      </c>
      <c r="Z318" s="524">
        <v>0</v>
      </c>
      <c r="AA318" s="524">
        <v>0</v>
      </c>
      <c r="AB318" s="524">
        <v>0</v>
      </c>
      <c r="AC318" s="524">
        <v>0</v>
      </c>
      <c r="AD318" s="524">
        <v>0</v>
      </c>
      <c r="AE318" s="524">
        <v>0</v>
      </c>
      <c r="AF318" s="524">
        <v>0</v>
      </c>
      <c r="AG318"/>
      <c r="AH318"/>
      <c r="AI318"/>
      <c r="AJ318"/>
      <c r="AK318"/>
    </row>
    <row r="319" spans="20:37">
      <c r="T319" s="206" t="s">
        <v>1199</v>
      </c>
      <c r="U319" s="524">
        <v>0.55554321015088559</v>
      </c>
      <c r="V319" s="524">
        <v>0</v>
      </c>
      <c r="W319" s="524">
        <v>0</v>
      </c>
      <c r="X319" s="524">
        <v>0</v>
      </c>
      <c r="Y319" s="524">
        <v>0</v>
      </c>
      <c r="Z319" s="524">
        <v>0</v>
      </c>
      <c r="AA319" s="524">
        <v>0</v>
      </c>
      <c r="AB319" s="524">
        <v>0</v>
      </c>
      <c r="AC319" s="524">
        <v>0</v>
      </c>
      <c r="AD319" s="524">
        <v>0</v>
      </c>
      <c r="AE319" s="524">
        <v>0</v>
      </c>
      <c r="AF319" s="524">
        <v>0</v>
      </c>
      <c r="AG319"/>
      <c r="AH319"/>
      <c r="AI319"/>
    </row>
    <row r="320" spans="20:37">
      <c r="T320" s="206" t="s">
        <v>1200</v>
      </c>
      <c r="U320" s="523">
        <v>744</v>
      </c>
      <c r="V320" s="523">
        <v>672</v>
      </c>
      <c r="W320" s="523">
        <v>0</v>
      </c>
      <c r="X320" s="523">
        <v>0</v>
      </c>
      <c r="Y320" s="523">
        <v>0</v>
      </c>
      <c r="Z320" s="523">
        <v>0</v>
      </c>
      <c r="AA320" s="523">
        <v>0</v>
      </c>
      <c r="AB320" s="523">
        <v>0</v>
      </c>
      <c r="AC320" s="523">
        <v>720</v>
      </c>
      <c r="AD320" s="523">
        <v>0</v>
      </c>
      <c r="AE320" s="523">
        <v>0</v>
      </c>
      <c r="AF320" s="523">
        <v>0</v>
      </c>
      <c r="AG320"/>
      <c r="AH320"/>
      <c r="AI320"/>
    </row>
    <row r="321" spans="20:35">
      <c r="T321"/>
      <c r="U321"/>
      <c r="V321"/>
      <c r="W321"/>
      <c r="X321"/>
      <c r="Y321"/>
      <c r="Z321"/>
      <c r="AA321"/>
      <c r="AB321"/>
      <c r="AC321"/>
      <c r="AD321"/>
      <c r="AE321"/>
      <c r="AF321"/>
      <c r="AG321"/>
      <c r="AH321"/>
      <c r="AI321"/>
    </row>
    <row r="322" spans="20:35">
      <c r="T322" s="522" t="s">
        <v>1246</v>
      </c>
      <c r="U322" s="523"/>
      <c r="V322" s="523"/>
      <c r="W322" s="523"/>
      <c r="X322" s="523"/>
      <c r="Y322" s="523"/>
      <c r="Z322" s="523"/>
      <c r="AA322" s="523"/>
      <c r="AB322" s="523"/>
      <c r="AC322" s="523"/>
      <c r="AD322" s="523"/>
      <c r="AE322" s="523"/>
      <c r="AF322" s="523"/>
      <c r="AG322"/>
      <c r="AH322"/>
      <c r="AI322"/>
    </row>
    <row r="323" spans="20:35">
      <c r="T323" s="206" t="s">
        <v>1240</v>
      </c>
      <c r="U323" s="523">
        <v>0</v>
      </c>
      <c r="V323" s="523">
        <v>84</v>
      </c>
      <c r="W323" s="523">
        <v>0</v>
      </c>
      <c r="X323" s="523">
        <v>0</v>
      </c>
      <c r="Y323" s="523">
        <v>0</v>
      </c>
      <c r="Z323" s="523">
        <v>0</v>
      </c>
      <c r="AA323" s="523">
        <v>0</v>
      </c>
      <c r="AB323" s="523">
        <v>0</v>
      </c>
      <c r="AC323" s="523">
        <v>84</v>
      </c>
      <c r="AD323" s="523">
        <v>0</v>
      </c>
      <c r="AE323" s="523">
        <v>0</v>
      </c>
      <c r="AF323" s="523">
        <v>0</v>
      </c>
      <c r="AG323"/>
      <c r="AH323"/>
      <c r="AI323"/>
    </row>
    <row r="324" spans="20:35">
      <c r="T324" s="206" t="s">
        <v>1200</v>
      </c>
      <c r="U324" s="523">
        <v>0</v>
      </c>
      <c r="V324" s="523">
        <v>672</v>
      </c>
      <c r="W324" s="523">
        <v>0</v>
      </c>
      <c r="X324" s="523">
        <v>0</v>
      </c>
      <c r="Y324" s="523">
        <v>0</v>
      </c>
      <c r="Z324" s="523">
        <v>0</v>
      </c>
      <c r="AA324" s="523">
        <v>0</v>
      </c>
      <c r="AB324" s="523">
        <v>0</v>
      </c>
      <c r="AC324" s="523">
        <v>720</v>
      </c>
      <c r="AD324" s="523">
        <v>0</v>
      </c>
      <c r="AE324" s="523">
        <v>0</v>
      </c>
      <c r="AF324" s="523">
        <v>0</v>
      </c>
      <c r="AG324"/>
      <c r="AH324"/>
      <c r="AI324"/>
    </row>
    <row r="325" spans="20:35">
      <c r="T325"/>
      <c r="U325"/>
      <c r="V325"/>
      <c r="W325"/>
      <c r="X325"/>
      <c r="Y325"/>
      <c r="Z325"/>
      <c r="AA325"/>
      <c r="AB325"/>
      <c r="AC325"/>
      <c r="AD325"/>
      <c r="AE325"/>
      <c r="AF325"/>
      <c r="AG325"/>
      <c r="AH325"/>
      <c r="AI325"/>
    </row>
    <row r="326" spans="20:35">
      <c r="T326" s="522" t="s">
        <v>1247</v>
      </c>
      <c r="U326" s="523"/>
      <c r="V326" s="523"/>
      <c r="W326" s="523"/>
      <c r="X326" s="523"/>
      <c r="Y326" s="523"/>
      <c r="Z326" s="523"/>
      <c r="AA326" s="523"/>
      <c r="AB326" s="523"/>
      <c r="AC326" s="523"/>
      <c r="AD326" s="523"/>
      <c r="AE326" s="523"/>
      <c r="AF326" s="523"/>
      <c r="AG326"/>
      <c r="AH326"/>
      <c r="AI326"/>
    </row>
    <row r="327" spans="20:35">
      <c r="T327" s="206" t="s">
        <v>1240</v>
      </c>
      <c r="U327" s="523">
        <v>0</v>
      </c>
      <c r="V327" s="523">
        <v>76</v>
      </c>
      <c r="W327" s="523">
        <v>0</v>
      </c>
      <c r="X327" s="523">
        <v>0</v>
      </c>
      <c r="Y327" s="523">
        <v>0</v>
      </c>
      <c r="Z327" s="523">
        <v>0</v>
      </c>
      <c r="AA327" s="523">
        <v>0</v>
      </c>
      <c r="AB327" s="523">
        <v>0</v>
      </c>
      <c r="AC327" s="523">
        <v>76</v>
      </c>
      <c r="AD327" s="523">
        <v>0</v>
      </c>
      <c r="AE327" s="523">
        <v>0</v>
      </c>
      <c r="AF327" s="523">
        <v>0</v>
      </c>
      <c r="AG327"/>
      <c r="AH327"/>
      <c r="AI327"/>
    </row>
    <row r="328" spans="20:35">
      <c r="T328" s="206" t="s">
        <v>1200</v>
      </c>
      <c r="U328" s="523">
        <v>0</v>
      </c>
      <c r="V328" s="523">
        <v>672</v>
      </c>
      <c r="W328" s="523">
        <v>0</v>
      </c>
      <c r="X328" s="523">
        <v>0</v>
      </c>
      <c r="Y328" s="523">
        <v>0</v>
      </c>
      <c r="Z328" s="523">
        <v>0</v>
      </c>
      <c r="AA328" s="523">
        <v>0</v>
      </c>
      <c r="AB328" s="523">
        <v>0</v>
      </c>
      <c r="AC328" s="523">
        <v>720</v>
      </c>
      <c r="AD328" s="523">
        <v>0</v>
      </c>
      <c r="AE328" s="523">
        <v>0</v>
      </c>
      <c r="AF328" s="523">
        <v>0</v>
      </c>
      <c r="AG328"/>
      <c r="AH328"/>
      <c r="AI328"/>
    </row>
    <row r="329" spans="20:35">
      <c r="T329"/>
      <c r="U329"/>
      <c r="V329"/>
      <c r="W329"/>
      <c r="X329"/>
      <c r="Y329"/>
      <c r="Z329"/>
      <c r="AA329"/>
      <c r="AB329"/>
      <c r="AC329"/>
      <c r="AD329"/>
      <c r="AE329"/>
      <c r="AF329"/>
      <c r="AG329"/>
      <c r="AH329"/>
    </row>
    <row r="330" spans="20:35">
      <c r="T330" s="251" t="s">
        <v>1207</v>
      </c>
      <c r="U330"/>
      <c r="V330"/>
      <c r="W330"/>
      <c r="X330"/>
      <c r="Y330"/>
      <c r="Z330"/>
      <c r="AA330"/>
      <c r="AB330"/>
      <c r="AC330"/>
      <c r="AD330"/>
      <c r="AE330"/>
      <c r="AF330"/>
      <c r="AG330"/>
      <c r="AH330"/>
    </row>
    <row r="331" spans="20:35" ht="15.6">
      <c r="T331" s="251" t="s">
        <v>1262</v>
      </c>
      <c r="U331"/>
      <c r="V331"/>
      <c r="W331"/>
      <c r="X331"/>
      <c r="Y331"/>
      <c r="Z331"/>
      <c r="AA331"/>
      <c r="AB331"/>
      <c r="AC331"/>
      <c r="AD331"/>
      <c r="AE331"/>
      <c r="AF331"/>
      <c r="AG331"/>
      <c r="AH331"/>
    </row>
    <row r="332" spans="20:35" ht="15.6">
      <c r="T332" s="251" t="s">
        <v>1263</v>
      </c>
      <c r="U332"/>
      <c r="V332"/>
      <c r="W332"/>
      <c r="X332"/>
      <c r="Y332"/>
      <c r="Z332"/>
      <c r="AA332"/>
      <c r="AB332"/>
      <c r="AC332"/>
      <c r="AD332"/>
      <c r="AE332"/>
      <c r="AF332"/>
      <c r="AG332"/>
      <c r="AH332"/>
    </row>
    <row r="333" spans="20:35">
      <c r="T333" s="251" t="s">
        <v>1207</v>
      </c>
      <c r="U333"/>
      <c r="V333"/>
      <c r="W333"/>
      <c r="X333"/>
      <c r="Y333"/>
      <c r="Z333"/>
      <c r="AA333"/>
      <c r="AB333"/>
      <c r="AC333"/>
      <c r="AD333"/>
      <c r="AE333"/>
      <c r="AF333"/>
      <c r="AG333"/>
      <c r="AH333"/>
    </row>
    <row r="334" spans="20:35" ht="15.6">
      <c r="T334" s="251" t="s">
        <v>1262</v>
      </c>
      <c r="U334"/>
      <c r="V334"/>
      <c r="W334"/>
      <c r="X334"/>
      <c r="Y334"/>
      <c r="Z334"/>
      <c r="AA334"/>
      <c r="AB334"/>
      <c r="AC334"/>
      <c r="AD334"/>
      <c r="AE334"/>
      <c r="AF334"/>
      <c r="AG334"/>
      <c r="AH334"/>
    </row>
    <row r="335" spans="20:35" ht="15.6">
      <c r="T335" s="251" t="s">
        <v>1263</v>
      </c>
      <c r="U335"/>
      <c r="V335"/>
      <c r="W335"/>
      <c r="X335"/>
      <c r="Y335"/>
      <c r="Z335"/>
      <c r="AA335"/>
      <c r="AB335"/>
      <c r="AC335"/>
      <c r="AD335"/>
      <c r="AE335"/>
      <c r="AF335"/>
      <c r="AG335"/>
      <c r="AH335"/>
    </row>
    <row r="336" spans="20:35">
      <c r="T336" s="525"/>
      <c r="U336"/>
      <c r="V336"/>
      <c r="W336"/>
      <c r="X336"/>
      <c r="Y336"/>
      <c r="Z336"/>
      <c r="AA336"/>
      <c r="AB336"/>
      <c r="AC336"/>
      <c r="AD336"/>
      <c r="AE336"/>
      <c r="AF336"/>
      <c r="AG336"/>
      <c r="AH336"/>
    </row>
    <row r="337" spans="20:34" ht="13.8" thickBot="1">
      <c r="T337" s="503"/>
      <c r="U337" s="503"/>
      <c r="V337" s="503"/>
      <c r="W337" s="503"/>
      <c r="X337" s="503"/>
      <c r="Y337" s="503"/>
      <c r="Z337" s="503"/>
      <c r="AA337" s="503"/>
      <c r="AB337" s="503"/>
      <c r="AC337" s="503"/>
      <c r="AD337" s="503"/>
      <c r="AE337" s="503"/>
      <c r="AF337" s="503"/>
      <c r="AG337"/>
      <c r="AH337"/>
    </row>
    <row r="338" spans="20:34">
      <c r="T338"/>
      <c r="U338"/>
      <c r="V338"/>
      <c r="W338"/>
      <c r="X338"/>
      <c r="Y338"/>
      <c r="Z338"/>
      <c r="AA338"/>
      <c r="AB338"/>
      <c r="AC338"/>
      <c r="AD338"/>
      <c r="AE338"/>
      <c r="AF338"/>
      <c r="AG338"/>
      <c r="AH338"/>
    </row>
    <row r="339" spans="20:34">
      <c r="T339"/>
      <c r="U339"/>
      <c r="V339"/>
      <c r="W339"/>
      <c r="X339"/>
      <c r="Y339"/>
      <c r="Z339"/>
      <c r="AA339"/>
      <c r="AB339"/>
      <c r="AC339"/>
      <c r="AD339"/>
      <c r="AE339"/>
      <c r="AF339"/>
      <c r="AG339"/>
      <c r="AH339"/>
    </row>
    <row r="340" spans="20:34">
      <c r="T340"/>
      <c r="U340"/>
      <c r="V340"/>
      <c r="W340"/>
      <c r="X340"/>
      <c r="Y340"/>
      <c r="Z340"/>
      <c r="AA340"/>
      <c r="AB340"/>
      <c r="AC340"/>
      <c r="AD340"/>
      <c r="AE340"/>
      <c r="AF340"/>
      <c r="AG340"/>
      <c r="AH340"/>
    </row>
    <row r="341" spans="20:34">
      <c r="T341"/>
      <c r="U341"/>
      <c r="V341"/>
      <c r="W341"/>
      <c r="X341"/>
      <c r="Y341"/>
      <c r="Z341"/>
      <c r="AA341"/>
      <c r="AB341"/>
      <c r="AC341"/>
      <c r="AD341"/>
      <c r="AE341"/>
      <c r="AF341"/>
      <c r="AG341"/>
      <c r="AH341"/>
    </row>
    <row r="342" spans="20:34">
      <c r="T342"/>
      <c r="U342"/>
      <c r="V342"/>
      <c r="W342"/>
      <c r="X342"/>
      <c r="Y342"/>
      <c r="Z342"/>
      <c r="AA342"/>
      <c r="AB342"/>
      <c r="AC342"/>
      <c r="AD342"/>
      <c r="AE342"/>
      <c r="AF342"/>
      <c r="AG342"/>
      <c r="AH342"/>
    </row>
    <row r="343" spans="20:34">
      <c r="T343"/>
      <c r="U343"/>
      <c r="V343"/>
      <c r="W343"/>
      <c r="X343"/>
      <c r="Y343"/>
      <c r="Z343"/>
      <c r="AA343"/>
      <c r="AB343"/>
      <c r="AC343"/>
      <c r="AD343"/>
      <c r="AE343"/>
      <c r="AF343"/>
      <c r="AG343"/>
      <c r="AH343"/>
    </row>
    <row r="344" spans="20:34">
      <c r="T344"/>
      <c r="U344"/>
      <c r="V344"/>
      <c r="W344"/>
      <c r="X344"/>
      <c r="Y344"/>
      <c r="Z344"/>
      <c r="AA344"/>
      <c r="AB344"/>
      <c r="AC344"/>
      <c r="AD344"/>
      <c r="AE344"/>
      <c r="AF344"/>
      <c r="AG344"/>
      <c r="AH344"/>
    </row>
    <row r="345" spans="20:34">
      <c r="T345"/>
      <c r="U345"/>
      <c r="V345"/>
      <c r="W345"/>
      <c r="X345"/>
      <c r="Y345"/>
      <c r="Z345"/>
      <c r="AA345"/>
      <c r="AB345"/>
      <c r="AC345"/>
      <c r="AD345"/>
      <c r="AE345"/>
      <c r="AF345"/>
      <c r="AG345"/>
      <c r="AH345"/>
    </row>
    <row r="346" spans="20:34">
      <c r="T346"/>
      <c r="U346"/>
      <c r="V346"/>
      <c r="W346"/>
      <c r="X346"/>
      <c r="Y346"/>
      <c r="Z346"/>
      <c r="AA346"/>
      <c r="AB346"/>
      <c r="AC346"/>
      <c r="AD346"/>
      <c r="AE346"/>
      <c r="AF346"/>
      <c r="AG346"/>
      <c r="AH346"/>
    </row>
    <row r="347" spans="20:34">
      <c r="T347"/>
      <c r="U347"/>
      <c r="V347"/>
      <c r="W347"/>
      <c r="X347"/>
      <c r="Y347"/>
      <c r="Z347"/>
      <c r="AA347"/>
      <c r="AB347"/>
      <c r="AC347"/>
      <c r="AD347"/>
      <c r="AE347"/>
      <c r="AF347"/>
      <c r="AG347"/>
      <c r="AH347"/>
    </row>
    <row r="348" spans="20:34">
      <c r="T348"/>
      <c r="U348"/>
      <c r="V348"/>
      <c r="W348"/>
      <c r="X348"/>
      <c r="Y348"/>
      <c r="Z348"/>
      <c r="AA348"/>
      <c r="AB348"/>
      <c r="AC348"/>
      <c r="AD348"/>
      <c r="AE348"/>
      <c r="AF348"/>
      <c r="AG348"/>
      <c r="AH348"/>
    </row>
    <row r="349" spans="20:34">
      <c r="T349"/>
      <c r="U349"/>
      <c r="V349"/>
      <c r="W349"/>
      <c r="X349"/>
      <c r="Y349"/>
      <c r="Z349"/>
      <c r="AA349"/>
      <c r="AB349"/>
      <c r="AC349"/>
      <c r="AD349"/>
      <c r="AE349"/>
      <c r="AF349"/>
      <c r="AG349"/>
    </row>
    <row r="350" spans="20:34">
      <c r="T350"/>
      <c r="U350"/>
      <c r="V350"/>
      <c r="W350"/>
      <c r="X350"/>
      <c r="Y350"/>
      <c r="Z350"/>
      <c r="AA350"/>
      <c r="AB350"/>
      <c r="AC350"/>
      <c r="AD350"/>
      <c r="AE350"/>
      <c r="AF350"/>
      <c r="AG350"/>
    </row>
    <row r="351" spans="20:34">
      <c r="T351"/>
      <c r="U351"/>
      <c r="V351"/>
      <c r="W351"/>
      <c r="X351"/>
      <c r="Y351"/>
      <c r="Z351"/>
      <c r="AA351"/>
      <c r="AB351"/>
      <c r="AC351"/>
      <c r="AD351"/>
      <c r="AE351"/>
      <c r="AF351"/>
      <c r="AG351"/>
    </row>
    <row r="352" spans="20:34">
      <c r="T352"/>
      <c r="U352"/>
      <c r="V352"/>
      <c r="W352"/>
      <c r="X352"/>
      <c r="Y352"/>
      <c r="Z352"/>
      <c r="AA352"/>
      <c r="AB352"/>
      <c r="AC352"/>
      <c r="AD352"/>
      <c r="AE352"/>
      <c r="AF352"/>
      <c r="AG352"/>
    </row>
    <row r="353" spans="20:33">
      <c r="T353"/>
      <c r="U353"/>
      <c r="V353"/>
      <c r="W353"/>
      <c r="X353"/>
      <c r="Y353"/>
      <c r="Z353"/>
      <c r="AA353"/>
      <c r="AB353"/>
      <c r="AC353"/>
      <c r="AD353"/>
      <c r="AE353"/>
      <c r="AF353"/>
      <c r="AG353"/>
    </row>
    <row r="354" spans="20:33">
      <c r="T354"/>
      <c r="U354"/>
      <c r="V354"/>
      <c r="W354"/>
      <c r="X354"/>
      <c r="Y354"/>
      <c r="Z354"/>
      <c r="AA354"/>
      <c r="AB354"/>
      <c r="AC354"/>
      <c r="AD354"/>
      <c r="AE354"/>
      <c r="AF354"/>
      <c r="AG354"/>
    </row>
    <row r="355" spans="20:33">
      <c r="T355"/>
      <c r="U355"/>
      <c r="V355"/>
      <c r="W355"/>
      <c r="X355"/>
      <c r="Y355"/>
      <c r="Z355"/>
      <c r="AA355"/>
      <c r="AB355"/>
      <c r="AC355"/>
      <c r="AD355"/>
      <c r="AE355"/>
      <c r="AF355"/>
      <c r="AG355"/>
    </row>
    <row r="356" spans="20:33">
      <c r="T356"/>
      <c r="U356"/>
      <c r="V356"/>
      <c r="W356"/>
      <c r="X356"/>
      <c r="Y356"/>
      <c r="Z356"/>
      <c r="AA356"/>
      <c r="AB356"/>
      <c r="AC356"/>
      <c r="AD356"/>
      <c r="AE356"/>
      <c r="AF356"/>
      <c r="AG356"/>
    </row>
    <row r="357" spans="20:33">
      <c r="T357"/>
      <c r="U357"/>
      <c r="V357"/>
      <c r="W357"/>
      <c r="X357"/>
      <c r="Y357"/>
      <c r="Z357"/>
      <c r="AA357"/>
      <c r="AB357"/>
      <c r="AC357"/>
      <c r="AD357"/>
      <c r="AE357"/>
      <c r="AF357"/>
      <c r="AG357"/>
    </row>
    <row r="358" spans="20:33">
      <c r="T358"/>
      <c r="U358"/>
      <c r="V358"/>
      <c r="W358"/>
      <c r="X358"/>
      <c r="Y358"/>
      <c r="Z358"/>
      <c r="AA358"/>
      <c r="AB358"/>
      <c r="AC358"/>
      <c r="AD358"/>
      <c r="AE358"/>
      <c r="AF358"/>
      <c r="AG358"/>
    </row>
    <row r="359" spans="20:33">
      <c r="T359"/>
      <c r="U359"/>
      <c r="V359"/>
      <c r="W359"/>
      <c r="X359"/>
      <c r="Y359"/>
      <c r="Z359"/>
      <c r="AA359"/>
      <c r="AB359"/>
      <c r="AC359"/>
      <c r="AD359"/>
      <c r="AE359"/>
      <c r="AF359"/>
      <c r="AG359"/>
    </row>
    <row r="360" spans="20:33">
      <c r="T360"/>
      <c r="U360"/>
      <c r="V360"/>
      <c r="W360"/>
      <c r="X360"/>
      <c r="Y360"/>
      <c r="Z360"/>
      <c r="AA360"/>
      <c r="AB360"/>
      <c r="AC360"/>
      <c r="AD360"/>
      <c r="AE360"/>
      <c r="AF360"/>
      <c r="AG360"/>
    </row>
    <row r="361" spans="20:33">
      <c r="T361"/>
      <c r="U361"/>
      <c r="V361"/>
      <c r="W361"/>
      <c r="X361"/>
      <c r="Y361"/>
      <c r="Z361"/>
      <c r="AA361"/>
      <c r="AB361"/>
      <c r="AC361"/>
      <c r="AD361"/>
      <c r="AE361"/>
      <c r="AF361"/>
      <c r="AG361"/>
    </row>
    <row r="362" spans="20:33">
      <c r="T362"/>
      <c r="U362"/>
      <c r="V362"/>
      <c r="W362"/>
      <c r="X362"/>
      <c r="Y362"/>
      <c r="Z362"/>
      <c r="AA362"/>
      <c r="AB362"/>
      <c r="AC362"/>
      <c r="AD362"/>
      <c r="AE362"/>
      <c r="AF362"/>
      <c r="AG362"/>
    </row>
    <row r="363" spans="20:33">
      <c r="T363"/>
      <c r="U363"/>
      <c r="V363"/>
      <c r="W363"/>
      <c r="X363"/>
      <c r="Y363"/>
      <c r="Z363"/>
      <c r="AA363"/>
      <c r="AB363"/>
      <c r="AC363"/>
      <c r="AD363"/>
      <c r="AE363"/>
      <c r="AF363"/>
      <c r="AG363"/>
    </row>
    <row r="364" spans="20:33">
      <c r="T364"/>
      <c r="U364"/>
      <c r="V364"/>
      <c r="W364"/>
      <c r="X364"/>
      <c r="Y364"/>
      <c r="Z364"/>
      <c r="AA364"/>
      <c r="AB364"/>
      <c r="AC364"/>
      <c r="AD364"/>
      <c r="AE364"/>
      <c r="AF364"/>
      <c r="AG364"/>
    </row>
    <row r="365" spans="20:33">
      <c r="T365"/>
      <c r="U365"/>
      <c r="V365"/>
      <c r="W365"/>
      <c r="X365"/>
      <c r="Y365"/>
      <c r="Z365"/>
      <c r="AA365"/>
      <c r="AB365"/>
      <c r="AC365"/>
      <c r="AD365"/>
      <c r="AE365"/>
      <c r="AF365"/>
      <c r="AG365"/>
    </row>
    <row r="366" spans="20:33">
      <c r="T366"/>
      <c r="U366"/>
      <c r="V366"/>
      <c r="W366"/>
      <c r="X366"/>
      <c r="Y366"/>
      <c r="Z366"/>
      <c r="AA366"/>
      <c r="AB366"/>
      <c r="AC366"/>
      <c r="AD366"/>
      <c r="AE366"/>
      <c r="AF366"/>
      <c r="AG366"/>
    </row>
    <row r="367" spans="20:33">
      <c r="T367"/>
      <c r="U367"/>
      <c r="V367"/>
      <c r="W367"/>
      <c r="X367"/>
      <c r="Y367"/>
      <c r="Z367"/>
      <c r="AA367"/>
      <c r="AB367"/>
      <c r="AC367"/>
      <c r="AD367"/>
      <c r="AE367"/>
      <c r="AF367"/>
      <c r="AG367"/>
    </row>
    <row r="368" spans="20:33">
      <c r="T368"/>
      <c r="U368"/>
      <c r="V368"/>
      <c r="W368"/>
      <c r="X368"/>
      <c r="Y368"/>
      <c r="Z368"/>
      <c r="AA368"/>
      <c r="AB368"/>
      <c r="AC368"/>
      <c r="AD368"/>
      <c r="AE368"/>
      <c r="AF368"/>
      <c r="AG368"/>
    </row>
    <row r="369" spans="20:33">
      <c r="T369"/>
      <c r="U369"/>
      <c r="V369"/>
      <c r="W369"/>
      <c r="X369"/>
      <c r="Y369"/>
      <c r="Z369"/>
      <c r="AA369"/>
      <c r="AB369"/>
      <c r="AC369"/>
      <c r="AD369"/>
      <c r="AE369"/>
      <c r="AF369"/>
      <c r="AG369"/>
    </row>
    <row r="370" spans="20:33">
      <c r="T370"/>
      <c r="U370"/>
      <c r="V370"/>
      <c r="W370"/>
      <c r="X370"/>
      <c r="Y370"/>
      <c r="Z370"/>
      <c r="AA370"/>
      <c r="AB370"/>
      <c r="AC370"/>
      <c r="AD370"/>
      <c r="AE370"/>
      <c r="AF370"/>
      <c r="AG370"/>
    </row>
    <row r="371" spans="20:33">
      <c r="T371"/>
      <c r="U371"/>
      <c r="V371"/>
      <c r="W371"/>
      <c r="X371"/>
      <c r="Y371"/>
      <c r="Z371"/>
      <c r="AA371"/>
      <c r="AB371"/>
      <c r="AC371"/>
      <c r="AD371"/>
      <c r="AE371"/>
      <c r="AF371"/>
      <c r="AG371"/>
    </row>
    <row r="372" spans="20:33">
      <c r="T372"/>
      <c r="U372"/>
      <c r="V372"/>
      <c r="W372"/>
      <c r="X372"/>
      <c r="Y372"/>
      <c r="Z372"/>
      <c r="AA372"/>
      <c r="AB372"/>
      <c r="AC372"/>
      <c r="AD372"/>
      <c r="AE372"/>
      <c r="AF372"/>
      <c r="AG372"/>
    </row>
    <row r="373" spans="20:33">
      <c r="T373"/>
      <c r="U373"/>
      <c r="V373"/>
      <c r="W373"/>
      <c r="X373"/>
      <c r="Y373"/>
      <c r="Z373"/>
      <c r="AA373"/>
      <c r="AB373"/>
      <c r="AC373"/>
      <c r="AD373"/>
      <c r="AE373"/>
      <c r="AF373"/>
      <c r="AG373"/>
    </row>
    <row r="374" spans="20:33">
      <c r="T374"/>
      <c r="U374"/>
      <c r="V374"/>
      <c r="W374"/>
      <c r="X374"/>
      <c r="Y374"/>
      <c r="Z374"/>
      <c r="AA374"/>
      <c r="AB374"/>
      <c r="AC374"/>
      <c r="AD374"/>
      <c r="AE374"/>
      <c r="AF374"/>
      <c r="AG374"/>
    </row>
    <row r="375" spans="20:33">
      <c r="T375"/>
      <c r="U375"/>
      <c r="V375"/>
      <c r="W375"/>
      <c r="X375"/>
      <c r="Y375"/>
      <c r="Z375"/>
      <c r="AA375"/>
      <c r="AB375"/>
      <c r="AC375"/>
      <c r="AD375"/>
      <c r="AE375"/>
      <c r="AF375"/>
      <c r="AG375"/>
    </row>
    <row r="376" spans="20:33">
      <c r="T376"/>
      <c r="U376"/>
      <c r="V376"/>
      <c r="W376"/>
      <c r="X376"/>
      <c r="Y376"/>
      <c r="Z376"/>
      <c r="AA376"/>
      <c r="AB376"/>
      <c r="AC376"/>
      <c r="AD376"/>
      <c r="AE376"/>
      <c r="AF376"/>
      <c r="AG376"/>
    </row>
    <row r="377" spans="20:33">
      <c r="T377"/>
      <c r="U377"/>
      <c r="V377"/>
      <c r="W377"/>
      <c r="X377"/>
      <c r="Y377"/>
      <c r="Z377"/>
      <c r="AA377"/>
      <c r="AB377"/>
      <c r="AC377"/>
      <c r="AD377"/>
      <c r="AE377"/>
      <c r="AF377"/>
      <c r="AG377"/>
    </row>
    <row r="378" spans="20:33">
      <c r="T378"/>
      <c r="U378"/>
      <c r="V378"/>
      <c r="W378"/>
      <c r="X378"/>
      <c r="Y378"/>
      <c r="Z378"/>
      <c r="AA378"/>
      <c r="AB378"/>
      <c r="AC378"/>
      <c r="AD378"/>
      <c r="AE378"/>
      <c r="AF378"/>
      <c r="AG378"/>
    </row>
    <row r="379" spans="20:33">
      <c r="T379"/>
      <c r="U379"/>
      <c r="V379"/>
      <c r="W379"/>
      <c r="X379"/>
      <c r="Y379"/>
      <c r="Z379"/>
      <c r="AA379"/>
      <c r="AB379"/>
      <c r="AC379"/>
      <c r="AD379"/>
      <c r="AE379"/>
      <c r="AF379"/>
      <c r="AG379"/>
    </row>
    <row r="380" spans="20:33">
      <c r="T380"/>
      <c r="U380"/>
      <c r="V380"/>
      <c r="W380"/>
      <c r="X380"/>
      <c r="Y380"/>
      <c r="Z380"/>
      <c r="AA380"/>
      <c r="AB380"/>
      <c r="AC380"/>
      <c r="AD380"/>
      <c r="AE380"/>
      <c r="AF380"/>
      <c r="AG380"/>
    </row>
    <row r="381" spans="20:33">
      <c r="T381"/>
      <c r="U381"/>
      <c r="V381"/>
      <c r="W381"/>
      <c r="X381"/>
      <c r="Y381"/>
      <c r="Z381"/>
      <c r="AA381"/>
      <c r="AB381"/>
      <c r="AC381"/>
      <c r="AD381"/>
      <c r="AE381"/>
      <c r="AF381"/>
      <c r="AG381"/>
    </row>
    <row r="382" spans="20:33">
      <c r="T382"/>
      <c r="U382"/>
      <c r="V382"/>
      <c r="W382"/>
      <c r="X382"/>
      <c r="Y382"/>
      <c r="Z382"/>
      <c r="AA382"/>
      <c r="AB382"/>
      <c r="AC382"/>
      <c r="AD382"/>
      <c r="AE382"/>
      <c r="AF382"/>
      <c r="AG382"/>
    </row>
    <row r="383" spans="20:33">
      <c r="T383"/>
      <c r="U383"/>
      <c r="V383"/>
      <c r="W383"/>
      <c r="X383"/>
      <c r="Y383"/>
      <c r="Z383"/>
      <c r="AA383"/>
      <c r="AB383"/>
      <c r="AC383"/>
      <c r="AD383"/>
      <c r="AE383"/>
      <c r="AF383"/>
      <c r="AG383"/>
    </row>
    <row r="384" spans="20:33">
      <c r="T384"/>
      <c r="U384"/>
      <c r="V384"/>
      <c r="W384"/>
      <c r="X384"/>
      <c r="Y384"/>
      <c r="Z384"/>
      <c r="AA384"/>
      <c r="AB384"/>
      <c r="AC384"/>
      <c r="AD384"/>
      <c r="AE384"/>
      <c r="AF384"/>
      <c r="AG384"/>
    </row>
    <row r="385" spans="20:33">
      <c r="T385"/>
      <c r="U385"/>
      <c r="V385"/>
      <c r="W385"/>
      <c r="X385"/>
      <c r="Y385"/>
      <c r="Z385"/>
      <c r="AA385"/>
      <c r="AB385"/>
      <c r="AC385"/>
      <c r="AD385"/>
      <c r="AE385"/>
      <c r="AF385"/>
      <c r="AG385"/>
    </row>
    <row r="386" spans="20:33">
      <c r="T386"/>
      <c r="U386"/>
      <c r="V386"/>
      <c r="W386"/>
      <c r="X386"/>
      <c r="Y386"/>
      <c r="Z386"/>
      <c r="AA386"/>
      <c r="AB386"/>
      <c r="AC386"/>
      <c r="AD386"/>
      <c r="AE386"/>
      <c r="AF386"/>
      <c r="AG386"/>
    </row>
    <row r="387" spans="20:33">
      <c r="T387"/>
      <c r="U387"/>
      <c r="V387"/>
      <c r="W387"/>
      <c r="X387"/>
      <c r="Y387"/>
      <c r="Z387"/>
      <c r="AA387"/>
      <c r="AB387"/>
      <c r="AC387"/>
      <c r="AD387"/>
      <c r="AE387"/>
      <c r="AF387"/>
      <c r="AG387"/>
    </row>
    <row r="388" spans="20:33">
      <c r="T388"/>
      <c r="U388"/>
      <c r="V388"/>
      <c r="W388"/>
      <c r="X388"/>
      <c r="Y388"/>
      <c r="Z388"/>
      <c r="AA388"/>
      <c r="AB388"/>
      <c r="AC388"/>
      <c r="AD388"/>
      <c r="AE388"/>
      <c r="AF388"/>
      <c r="AG388"/>
    </row>
    <row r="389" spans="20:33">
      <c r="T389"/>
      <c r="U389"/>
      <c r="V389"/>
      <c r="W389"/>
      <c r="X389"/>
      <c r="Y389"/>
      <c r="Z389"/>
      <c r="AA389"/>
      <c r="AB389"/>
      <c r="AC389"/>
      <c r="AD389"/>
      <c r="AE389"/>
      <c r="AF389"/>
      <c r="AG389"/>
    </row>
    <row r="390" spans="20:33">
      <c r="T390"/>
      <c r="U390"/>
      <c r="V390"/>
      <c r="W390"/>
      <c r="X390"/>
      <c r="Y390"/>
      <c r="Z390"/>
      <c r="AA390"/>
      <c r="AB390"/>
      <c r="AC390"/>
      <c r="AD390"/>
      <c r="AE390"/>
      <c r="AF390"/>
      <c r="AG390"/>
    </row>
    <row r="391" spans="20:33">
      <c r="T391"/>
      <c r="U391"/>
      <c r="V391"/>
      <c r="W391"/>
      <c r="X391"/>
      <c r="Y391"/>
      <c r="Z391"/>
      <c r="AA391"/>
      <c r="AB391"/>
      <c r="AC391"/>
      <c r="AD391"/>
      <c r="AE391"/>
      <c r="AF391"/>
      <c r="AG391"/>
    </row>
    <row r="392" spans="20:33">
      <c r="T392"/>
      <c r="U392"/>
      <c r="V392"/>
      <c r="W392"/>
      <c r="X392"/>
      <c r="Y392"/>
      <c r="Z392"/>
      <c r="AA392"/>
      <c r="AB392"/>
      <c r="AC392"/>
      <c r="AD392"/>
      <c r="AE392"/>
      <c r="AF392"/>
      <c r="AG392"/>
    </row>
    <row r="393" spans="20:33">
      <c r="T393"/>
      <c r="U393"/>
      <c r="V393"/>
      <c r="W393"/>
      <c r="X393"/>
      <c r="Y393"/>
      <c r="Z393"/>
      <c r="AA393"/>
      <c r="AB393"/>
      <c r="AC393"/>
      <c r="AD393"/>
      <c r="AE393"/>
      <c r="AF393"/>
      <c r="AG393"/>
    </row>
    <row r="394" spans="20:33">
      <c r="T394"/>
      <c r="U394"/>
      <c r="V394"/>
      <c r="W394"/>
      <c r="X394"/>
      <c r="Y394"/>
      <c r="Z394"/>
      <c r="AA394"/>
      <c r="AB394"/>
      <c r="AC394"/>
      <c r="AD394"/>
      <c r="AE394"/>
      <c r="AF394"/>
    </row>
    <row r="395" spans="20:33" ht="409.6">
      <c r="T395"/>
      <c r="U395"/>
      <c r="V395"/>
      <c r="W395"/>
      <c r="X395"/>
      <c r="Y395"/>
      <c r="Z395"/>
      <c r="AA395"/>
      <c r="AB395"/>
      <c r="AC395"/>
      <c r="AD395"/>
      <c r="AE395"/>
      <c r="AF395"/>
    </row>
    <row r="396" spans="20:33" ht="409.6">
      <c r="T396"/>
      <c r="U396"/>
      <c r="V396"/>
      <c r="W396"/>
      <c r="X396"/>
      <c r="Y396"/>
      <c r="Z396"/>
      <c r="AA396"/>
      <c r="AB396"/>
      <c r="AC396"/>
      <c r="AD396"/>
      <c r="AE396"/>
      <c r="AF396"/>
    </row>
    <row r="397" spans="20:33">
      <c r="T397"/>
      <c r="U397"/>
      <c r="V397"/>
      <c r="W397"/>
      <c r="X397"/>
      <c r="Y397"/>
      <c r="Z397"/>
      <c r="AA397"/>
      <c r="AB397"/>
      <c r="AC397"/>
      <c r="AD397"/>
      <c r="AE397"/>
      <c r="AF397"/>
    </row>
  </sheetData>
  <conditionalFormatting sqref="AH11:AS91 AH100:AS101 AH110:AS111 AH120:AS121 AH130:AS131 AH140:AS141 AH150 AI150:AS151 AH160:AS161 AH170:AS171 AH180:AH245 AJ180:AS215 AI180:AI225">
    <cfRule type="cellIs" dxfId="342" priority="10" operator="between">
      <formula>-1</formula>
      <formula>1</formula>
    </cfRule>
  </conditionalFormatting>
  <conditionalFormatting sqref="AH92:AS99">
    <cfRule type="cellIs" dxfId="341" priority="9" operator="between">
      <formula>-1</formula>
      <formula>1</formula>
    </cfRule>
  </conditionalFormatting>
  <conditionalFormatting sqref="AH102:AS109">
    <cfRule type="cellIs" dxfId="340" priority="8" operator="between">
      <formula>-1</formula>
      <formula>1</formula>
    </cfRule>
  </conditionalFormatting>
  <conditionalFormatting sqref="AH112:AS119">
    <cfRule type="cellIs" dxfId="339" priority="7" operator="between">
      <formula>-1</formula>
      <formula>1</formula>
    </cfRule>
  </conditionalFormatting>
  <conditionalFormatting sqref="AH122:AS129">
    <cfRule type="cellIs" dxfId="338" priority="6" operator="between">
      <formula>-1</formula>
      <formula>1</formula>
    </cfRule>
  </conditionalFormatting>
  <conditionalFormatting sqref="AH132:AS139">
    <cfRule type="cellIs" dxfId="337" priority="5" operator="between">
      <formula>-1</formula>
      <formula>1</formula>
    </cfRule>
  </conditionalFormatting>
  <conditionalFormatting sqref="AH142:AS149">
    <cfRule type="cellIs" dxfId="336" priority="4" operator="between">
      <formula>-1</formula>
      <formula>1</formula>
    </cfRule>
  </conditionalFormatting>
  <conditionalFormatting sqref="AH152:AS159">
    <cfRule type="cellIs" dxfId="335" priority="3" operator="between">
      <formula>-1</formula>
      <formula>1</formula>
    </cfRule>
  </conditionalFormatting>
  <conditionalFormatting sqref="AH162:AS169">
    <cfRule type="cellIs" dxfId="334" priority="2" operator="between">
      <formula>-1</formula>
      <formula>1</formula>
    </cfRule>
  </conditionalFormatting>
  <conditionalFormatting sqref="AH172:AS179">
    <cfRule type="cellIs" dxfId="333" priority="1" operator="between">
      <formula>-1</formula>
      <formula>1</formula>
    </cfRule>
  </conditionalFormatting>
  <pageMargins left="0.25" right="0.25" top="1" bottom="0.5" header="0.75" footer="0"/>
  <pageSetup scale="70" fitToHeight="0" orientation="landscape" r:id="rId1"/>
  <headerFooter alignWithMargins="0">
    <oddHeader>&amp;C&amp;"Arial,Bold"&amp;16&amp;A</oddHeader>
    <oddFooter>&amp;L&amp;D - &amp;T&amp;CPage &amp;P of &amp;N&amp;R&amp;F</oddFooter>
  </headerFooter>
  <rowBreaks count="2" manualBreakCount="2">
    <brk id="60" max="16383" man="1"/>
    <brk id="1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pageSetUpPr fitToPage="1"/>
  </sheetPr>
  <dimension ref="A1:AF93"/>
  <sheetViews>
    <sheetView showGridLines="0" zoomScale="75" zoomScaleNormal="75" workbookViewId="0">
      <selection activeCell="B2" sqref="B2"/>
    </sheetView>
  </sheetViews>
  <sheetFormatPr defaultRowHeight="15"/>
  <cols>
    <col min="1" max="1" width="2.6640625" style="99" customWidth="1"/>
    <col min="2" max="2" width="25.5546875" customWidth="1"/>
    <col min="3" max="14" width="14" customWidth="1"/>
    <col min="15" max="15" width="2.6640625" customWidth="1"/>
    <col min="16" max="16" width="12.88671875" bestFit="1" customWidth="1"/>
    <col min="18" max="18" width="10.6640625" bestFit="1" customWidth="1"/>
    <col min="19" max="19" width="22.33203125" bestFit="1" customWidth="1"/>
    <col min="20" max="20" width="16.33203125" bestFit="1" customWidth="1"/>
    <col min="21" max="21" width="21.88671875" bestFit="1" customWidth="1"/>
    <col min="22" max="29" width="10.88671875" bestFit="1" customWidth="1"/>
    <col min="30" max="30" width="10.44140625" bestFit="1" customWidth="1"/>
    <col min="31" max="31" width="9.109375" bestFit="1" customWidth="1"/>
    <col min="32" max="32" width="8.44140625" customWidth="1"/>
    <col min="33" max="33" width="11.5546875" bestFit="1" customWidth="1"/>
  </cols>
  <sheetData>
    <row r="1" spans="1:16" s="8" customFormat="1" ht="15.6">
      <c r="A1" s="624"/>
      <c r="B1" s="8" t="s">
        <v>1286</v>
      </c>
    </row>
    <row r="2" spans="1:16" s="8" customFormat="1" ht="15.6">
      <c r="A2" s="624"/>
      <c r="B2" s="8" t="s">
        <v>1267</v>
      </c>
    </row>
    <row r="3" spans="1:16" s="8" customFormat="1" ht="15.6">
      <c r="A3" s="624"/>
    </row>
    <row r="4" spans="1:16" ht="21">
      <c r="A4" s="124" t="s">
        <v>439</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325</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1.0227806400828405</v>
      </c>
      <c r="D13" s="115">
        <f>VLOOKUP($B$9,'Avg KWH'!$A$12:$O$38,D9,FALSE)/HOURS!C15/VLOOKUP($B$9,'Avg CP'!$A$12:$P$38,D9,FALSE)</f>
        <v>0.98279752228263928</v>
      </c>
      <c r="E13" s="115">
        <f>VLOOKUP($B$9,'Avg KWH'!$A$12:$O$38,E9,FALSE)/HOURS!D15/VLOOKUP($B$9,'Avg CP'!$A$12:$P$38,E9,FALSE)</f>
        <v>0.99805174032026156</v>
      </c>
      <c r="F13" s="115">
        <f>VLOOKUP($B$9,'Avg KWH'!$A$12:$O$38,F9,FALSE)/HOURS!E15/VLOOKUP($B$9,'Avg CP'!$A$12:$P$38,F9,FALSE)</f>
        <v>1.0270947148732428</v>
      </c>
      <c r="G13" s="115">
        <f>VLOOKUP($B$9,'Avg KWH'!$A$12:$O$38,G9,FALSE)/HOURS!F15/VLOOKUP($B$9,'Avg CP'!$A$12:$P$38,G9,FALSE)</f>
        <v>0.99537920242839062</v>
      </c>
      <c r="H13" s="115">
        <f>VLOOKUP($B$9,'Avg KWH'!$A$12:$O$38,H9,FALSE)/HOURS!G15/VLOOKUP($B$9,'Avg CP'!$A$12:$P$38,H9,FALSE)</f>
        <v>0.99621237738629353</v>
      </c>
      <c r="I13" s="115">
        <f>VLOOKUP($B$9,'Avg KWH'!$A$12:$O$38,I9,FALSE)/HOURS!H15/VLOOKUP($B$9,'Avg CP'!$A$12:$P$38,I9,FALSE)</f>
        <v>0.99658630856474006</v>
      </c>
      <c r="J13" s="115">
        <f>VLOOKUP($B$9,'Avg KWH'!$A$12:$O$38,J9,FALSE)/HOURS!I15/VLOOKUP($B$9,'Avg CP'!$A$12:$P$38,J9,FALSE)</f>
        <v>0.99586196234417845</v>
      </c>
      <c r="K13" s="115">
        <f>VLOOKUP($B$9,'Avg KWH'!$A$12:$O$38,K9,FALSE)/HOURS!J15/VLOOKUP($B$9,'Avg CP'!$A$12:$P$38,K9,FALSE)</f>
        <v>0.99473689520778574</v>
      </c>
      <c r="L13" s="115">
        <f>VLOOKUP($B$9,'Avg KWH'!$A$12:$O$38,L9,FALSE)/HOURS!K15/VLOOKUP($B$9,'Avg CP'!$A$12:$P$38,L9,FALSE)</f>
        <v>0.99536327544714798</v>
      </c>
      <c r="M13" s="115">
        <f>VLOOKUP($B$9,'Avg KWH'!$A$12:$O$38,M9,FALSE)/HOURS!L15/VLOOKUP($B$9,'Avg CP'!$A$12:$P$38,M9,FALSE)</f>
        <v>0.99047493699362332</v>
      </c>
      <c r="N13" s="115">
        <f>VLOOKUP($B$9,'Avg KWH'!$A$12:$O$38,N9,FALSE)/HOURS!M15/VLOOKUP($B$9,'Avg CP'!$A$12:$P$38,N9,FALSE)</f>
        <v>0.99451200726639599</v>
      </c>
    </row>
    <row r="14" spans="1:16" s="110" customFormat="1">
      <c r="A14" s="119"/>
      <c r="B14" s="118" t="s">
        <v>342</v>
      </c>
      <c r="C14" s="115">
        <f>VLOOKUP($B$9,'Avg KWH'!$A$12:$O$38,C9,FALSE)/HOURS!B15/VLOOKUP($B$9,'Avg GNCP'!$A$11:$P$37,C9,FALSE)</f>
        <v>0.9771373726472391</v>
      </c>
      <c r="D14" s="115">
        <f>VLOOKUP($B$9,'Avg KWH'!$A$12:$O$38,D9,FALSE)/HOURS!C15/VLOOKUP($B$9,'Avg GNCP'!$A$11:$P$37,D9,FALSE)</f>
        <v>0.97742794224229257</v>
      </c>
      <c r="E14" s="115">
        <f>VLOOKUP($B$9,'Avg KWH'!$A$12:$O$38,E9,FALSE)/HOURS!D15/VLOOKUP($B$9,'Avg GNCP'!$A$11:$P$37,E9,FALSE)</f>
        <v>0.98185769061461581</v>
      </c>
      <c r="F14" s="115">
        <f>VLOOKUP($B$9,'Avg KWH'!$A$12:$O$38,F9,FALSE)/HOURS!E15/VLOOKUP($B$9,'Avg GNCP'!$A$11:$P$37,F9,FALSE)</f>
        <v>0.9850700576945719</v>
      </c>
      <c r="G14" s="115">
        <f>VLOOKUP($B$9,'Avg KWH'!$A$12:$O$38,G9,FALSE)/HOURS!F15/VLOOKUP($B$9,'Avg GNCP'!$A$11:$P$37,G9,FALSE)</f>
        <v>0.98774949179237459</v>
      </c>
      <c r="H14" s="115">
        <f>VLOOKUP($B$9,'Avg KWH'!$A$12:$O$38,H9,FALSE)/HOURS!G15/VLOOKUP($B$9,'Avg GNCP'!$A$11:$P$37,H9,FALSE)</f>
        <v>0.97488909066451435</v>
      </c>
      <c r="I14" s="115">
        <f>VLOOKUP($B$9,'Avg KWH'!$A$12:$O$38,I9,FALSE)/HOURS!H15/VLOOKUP($B$9,'Avg GNCP'!$A$11:$P$37,I9,FALSE)</f>
        <v>0.98461835746519277</v>
      </c>
      <c r="J14" s="115">
        <f>VLOOKUP($B$9,'Avg KWH'!$A$12:$O$38,J9,FALSE)/HOURS!I15/VLOOKUP($B$9,'Avg GNCP'!$A$11:$P$37,J9,FALSE)</f>
        <v>0.97840437277107661</v>
      </c>
      <c r="K14" s="115">
        <f>VLOOKUP($B$9,'Avg KWH'!$A$12:$O$38,K9,FALSE)/HOURS!J15/VLOOKUP($B$9,'Avg GNCP'!$A$11:$P$37,K9,FALSE)</f>
        <v>0.9861404035208049</v>
      </c>
      <c r="L14" s="115">
        <f>VLOOKUP($B$9,'Avg KWH'!$A$12:$O$38,L9,FALSE)/HOURS!K15/VLOOKUP($B$9,'Avg GNCP'!$A$11:$P$37,L9,FALSE)</f>
        <v>0.97947047117194985</v>
      </c>
      <c r="M14" s="115">
        <f>VLOOKUP($B$9,'Avg KWH'!$A$12:$O$38,M9,FALSE)/HOURS!L15/VLOOKUP($B$9,'Avg GNCP'!$A$11:$P$37,M9,FALSE)</f>
        <v>0.98225088482957601</v>
      </c>
      <c r="N14" s="115">
        <f>VLOOKUP($B$9,'Avg KWH'!$A$12:$O$38,N9,FALSE)/HOURS!M15/VLOOKUP($B$9,'Avg GNCP'!$A$11:$P$37,N9,FALSE)</f>
        <v>0.95887875807868039</v>
      </c>
    </row>
    <row r="15" spans="1:16" s="10" customFormat="1">
      <c r="A15" s="119"/>
      <c r="B15" s="148" t="s">
        <v>133</v>
      </c>
      <c r="C15" s="115">
        <f>VLOOKUP($B$9,'Avg KWH'!$A$12:$O$38,C9,FALSE)/HOURS!B15/VLOOKUP($B$9,'Avg NCP'!$B$12:$P$38,C9-1,FALSE)</f>
        <v>0.92208523590810465</v>
      </c>
      <c r="D15" s="115">
        <f>VLOOKUP($B$9,'Avg KWH'!$A$12:$O$38,D9,FALSE)/HOURS!C15/VLOOKUP($B$9,'Avg NCP'!$B$12:$P$38,D9-1,FALSE)</f>
        <v>0.93419965897586188</v>
      </c>
      <c r="E15" s="115">
        <f>VLOOKUP($B$9,'Avg KWH'!$A$12:$O$38,E9,FALSE)/HOURS!D15/VLOOKUP($B$9,'Avg NCP'!$B$12:$P$38,E9-1,FALSE)</f>
        <v>0.93790090220021471</v>
      </c>
      <c r="F15" s="115">
        <f>VLOOKUP($B$9,'Avg KWH'!$A$12:$O$38,F9,FALSE)/HOURS!E15/VLOOKUP($B$9,'Avg NCP'!$B$12:$P$38,F9-1,FALSE)</f>
        <v>0.9447995482778091</v>
      </c>
      <c r="G15" s="115">
        <f>VLOOKUP($B$9,'Avg KWH'!$A$12:$O$38,G9,FALSE)/HOURS!F15/VLOOKUP($B$9,'Avg NCP'!$B$12:$P$38,G9-1,FALSE)</f>
        <v>0.95630964537574581</v>
      </c>
      <c r="H15" s="115">
        <f>VLOOKUP($B$9,'Avg KWH'!$A$12:$O$38,H9,FALSE)/HOURS!G15/VLOOKUP($B$9,'Avg NCP'!$B$12:$P$38,H9-1,FALSE)</f>
        <v>0.91390320148094328</v>
      </c>
      <c r="I15" s="115">
        <f>VLOOKUP($B$9,'Avg KWH'!$A$12:$O$38,I9,FALSE)/HOURS!H15/VLOOKUP($B$9,'Avg NCP'!$B$12:$P$38,I9-1,FALSE)</f>
        <v>0.94325246280130803</v>
      </c>
      <c r="J15" s="115">
        <f>VLOOKUP($B$9,'Avg KWH'!$A$12:$O$38,J9,FALSE)/HOURS!I15/VLOOKUP($B$9,'Avg NCP'!$B$12:$P$38,J9-1,FALSE)</f>
        <v>0.91078565385639754</v>
      </c>
      <c r="K15" s="115">
        <f>VLOOKUP($B$9,'Avg KWH'!$A$12:$O$38,K9,FALSE)/HOURS!J15/VLOOKUP($B$9,'Avg NCP'!$B$12:$P$38,K9-1,FALSE)</f>
        <v>0.92130764342774163</v>
      </c>
      <c r="L15" s="115">
        <f>VLOOKUP($B$9,'Avg KWH'!$A$12:$O$38,L9,FALSE)/HOURS!K15/VLOOKUP($B$9,'Avg NCP'!$B$12:$P$38,L9-1,FALSE)</f>
        <v>0.89390232786583923</v>
      </c>
      <c r="M15" s="115">
        <f>VLOOKUP($B$9,'Avg KWH'!$A$12:$O$38,M9,FALSE)/HOURS!L15/VLOOKUP($B$9,'Avg NCP'!$B$12:$P$38,M9-1,FALSE)</f>
        <v>0.93658123810437766</v>
      </c>
      <c r="N15" s="115">
        <f>VLOOKUP($B$9,'Avg KWH'!$A$12:$O$38,N9,FALSE)/HOURS!M15/VLOOKUP($B$9,'Avg NCP'!$B$12:$P$38,N9-1,FALSE)</f>
        <v>0.90223842347724825</v>
      </c>
    </row>
    <row r="16" spans="1:16">
      <c r="A16" s="114"/>
      <c r="C16" s="116"/>
      <c r="D16" s="116"/>
      <c r="E16" s="116"/>
      <c r="F16" s="116"/>
      <c r="G16" s="116"/>
      <c r="H16" s="116"/>
      <c r="I16" s="116"/>
      <c r="J16" s="116"/>
      <c r="K16" s="116"/>
      <c r="L16" s="116"/>
      <c r="M16" s="117"/>
      <c r="N16" s="116"/>
    </row>
    <row r="17" spans="1:18" ht="15.6">
      <c r="A17" s="113" t="s">
        <v>421</v>
      </c>
      <c r="C17" s="5"/>
      <c r="D17" s="5"/>
      <c r="E17" s="5"/>
      <c r="F17" s="5"/>
      <c r="G17" s="5"/>
      <c r="H17" s="5"/>
      <c r="I17" s="5"/>
      <c r="J17" s="5"/>
      <c r="K17" s="5"/>
      <c r="L17" s="5"/>
      <c r="M17" s="115"/>
      <c r="N17" s="5"/>
    </row>
    <row r="18" spans="1:18">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8">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8">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8">
      <c r="A21" s="114"/>
      <c r="C21" s="5"/>
      <c r="D21" s="5"/>
      <c r="E21" s="5"/>
      <c r="F21" s="5"/>
      <c r="G21" s="5"/>
      <c r="H21" s="5"/>
      <c r="I21" s="5"/>
      <c r="J21" s="5"/>
      <c r="K21" s="5"/>
      <c r="L21" s="5"/>
      <c r="M21" s="115"/>
      <c r="N21" s="5"/>
    </row>
    <row r="22" spans="1:18" ht="15.6">
      <c r="A22" s="113" t="s">
        <v>427</v>
      </c>
      <c r="C22" s="5"/>
      <c r="D22" s="5"/>
      <c r="E22" s="5"/>
      <c r="F22" s="5"/>
      <c r="G22" s="5"/>
      <c r="H22" s="5"/>
      <c r="I22" s="5"/>
      <c r="J22" s="5"/>
      <c r="K22" s="5"/>
      <c r="L22" s="5"/>
      <c r="M22" s="115"/>
      <c r="N22" s="5"/>
    </row>
    <row r="23" spans="1:18">
      <c r="A23" s="114"/>
      <c r="B23" t="s">
        <v>428</v>
      </c>
      <c r="C23" s="145">
        <v>0</v>
      </c>
      <c r="D23" s="145">
        <v>0</v>
      </c>
      <c r="E23" s="145">
        <v>0</v>
      </c>
      <c r="F23" s="145">
        <v>0</v>
      </c>
      <c r="G23" s="145">
        <v>0</v>
      </c>
      <c r="H23" s="145">
        <v>0</v>
      </c>
      <c r="I23" s="145">
        <v>0</v>
      </c>
      <c r="J23" s="145">
        <v>0</v>
      </c>
      <c r="K23" s="145">
        <v>0</v>
      </c>
      <c r="L23" s="145">
        <v>0</v>
      </c>
      <c r="M23" s="145">
        <v>0</v>
      </c>
      <c r="N23" s="145">
        <v>0</v>
      </c>
    </row>
    <row r="24" spans="1:18">
      <c r="A24" s="114"/>
      <c r="B24" t="s">
        <v>429</v>
      </c>
      <c r="C24" s="145">
        <v>0</v>
      </c>
      <c r="D24" s="145">
        <v>0</v>
      </c>
      <c r="E24" s="145">
        <v>0</v>
      </c>
      <c r="F24" s="145">
        <v>0</v>
      </c>
      <c r="G24" s="145">
        <v>0</v>
      </c>
      <c r="H24" s="145">
        <v>0</v>
      </c>
      <c r="I24" s="145">
        <v>0</v>
      </c>
      <c r="J24" s="145">
        <v>0</v>
      </c>
      <c r="K24" s="145">
        <v>0</v>
      </c>
      <c r="L24" s="145">
        <v>0</v>
      </c>
      <c r="M24" s="145">
        <v>0</v>
      </c>
      <c r="N24" s="145">
        <v>0</v>
      </c>
    </row>
    <row r="25" spans="1:18">
      <c r="A25" s="114"/>
      <c r="C25" s="145"/>
      <c r="D25" s="145"/>
      <c r="E25" s="145"/>
      <c r="F25" s="145"/>
      <c r="G25" s="145"/>
      <c r="H25" s="145"/>
      <c r="I25" s="145"/>
      <c r="J25" s="145"/>
      <c r="K25" s="145"/>
      <c r="L25" s="145"/>
      <c r="M25" s="145"/>
      <c r="N25" s="145"/>
    </row>
    <row r="26" spans="1:18" ht="15.6">
      <c r="A26" s="113" t="s">
        <v>424</v>
      </c>
      <c r="C26" s="5"/>
      <c r="D26" s="5"/>
      <c r="E26" s="5"/>
      <c r="F26" s="5"/>
      <c r="G26" s="5"/>
      <c r="H26" s="5"/>
      <c r="I26" s="5"/>
      <c r="J26" s="5"/>
      <c r="K26" s="5"/>
      <c r="L26" s="5"/>
      <c r="M26" s="115"/>
      <c r="N26" s="5"/>
    </row>
    <row r="27" spans="1:18" s="106" customFormat="1">
      <c r="A27" s="109"/>
      <c r="B27" s="108" t="str">
        <f>"PRIOR - "&amp;MANUAL!$B$9</f>
        <v>PRIOR - 2016</v>
      </c>
      <c r="C27" s="142">
        <f>VLOOKUP($B$9,'Sales Forecast'!$B$7:$AO$23,C9-1,FALSE)</f>
        <v>5745840</v>
      </c>
      <c r="D27" s="142">
        <f>VLOOKUP($B$9,'Sales Forecast'!$B$7:$AO$23,D9-1,FALSE)</f>
        <v>5751758</v>
      </c>
      <c r="E27" s="142">
        <f>VLOOKUP($B$9,'Sales Forecast'!$B$7:$AO$23,E9-1,FALSE)</f>
        <v>5757676</v>
      </c>
      <c r="F27" s="142">
        <f>VLOOKUP($B$9,'Sales Forecast'!$B$7:$AO$23,F9-1,FALSE)</f>
        <v>5764132</v>
      </c>
      <c r="G27" s="142">
        <f>VLOOKUP($B$9,'Sales Forecast'!$B$7:$AO$23,G9-1,FALSE)</f>
        <v>5771126</v>
      </c>
      <c r="H27" s="142">
        <f>VLOOKUP($B$9,'Sales Forecast'!$B$7:$AO$23,H9-1,FALSE)</f>
        <v>5777582</v>
      </c>
      <c r="I27" s="142">
        <f>VLOOKUP($B$9,'Sales Forecast'!$B$7:$AO$23,I9-1,FALSE)</f>
        <v>5783500</v>
      </c>
      <c r="J27" s="142">
        <f>VLOOKUP($B$9,'Sales Forecast'!$B$7:$AO$23,J9-1,FALSE)</f>
        <v>5789956</v>
      </c>
      <c r="K27" s="142">
        <f>VLOOKUP($B$9,'Sales Forecast'!$B$7:$AO$23,K9-1,FALSE)</f>
        <v>5796412</v>
      </c>
      <c r="L27" s="142">
        <f>VLOOKUP($B$9,'Sales Forecast'!$B$7:$AO$23,L9-1,FALSE)</f>
        <v>5802330</v>
      </c>
      <c r="M27" s="142">
        <f>VLOOKUP($B$9,'Sales Forecast'!$B$7:$AO$23,M9-1,FALSE)</f>
        <v>5808248</v>
      </c>
      <c r="N27" s="142">
        <f>VLOOKUP($B$9,'Sales Forecast'!$B$7:$AO$23,N9-1,FALSE)</f>
        <v>5814166</v>
      </c>
    </row>
    <row r="28" spans="1:18" s="12" customFormat="1" ht="15.6">
      <c r="A28" s="111"/>
      <c r="B28" s="108" t="str">
        <f>"TEST - "&amp;MANUAL!$B$10</f>
        <v>TEST - 2017</v>
      </c>
      <c r="C28" s="142">
        <f>VLOOKUP($B$9,'Sales Forecast'!$B$7:$AO$23,C9+11,FALSE)</f>
        <v>5819546</v>
      </c>
      <c r="D28" s="142">
        <f>VLOOKUP($B$9,'Sales Forecast'!$B$7:$AO$23,D9+11,FALSE)</f>
        <v>5825464</v>
      </c>
      <c r="E28" s="142">
        <f>VLOOKUP($B$9,'Sales Forecast'!$B$7:$AO$23,E9+11,FALSE)</f>
        <v>5831382</v>
      </c>
      <c r="F28" s="142">
        <f>VLOOKUP($B$9,'Sales Forecast'!$B$7:$AO$23,F9+11,FALSE)</f>
        <v>5837838</v>
      </c>
      <c r="G28" s="142">
        <f>VLOOKUP($B$9,'Sales Forecast'!$B$7:$AO$23,G9+11,FALSE)</f>
        <v>5844294</v>
      </c>
      <c r="H28" s="142">
        <f>VLOOKUP($B$9,'Sales Forecast'!$B$7:$AO$23,H9+11,FALSE)</f>
        <v>5850750</v>
      </c>
      <c r="I28" s="142">
        <f>VLOOKUP($B$9,'Sales Forecast'!$B$7:$AO$23,I9+11,FALSE)</f>
        <v>5857206</v>
      </c>
      <c r="J28" s="142">
        <f>VLOOKUP($B$9,'Sales Forecast'!$B$7:$AO$23,J9+11,FALSE)</f>
        <v>5863124</v>
      </c>
      <c r="K28" s="142">
        <f>VLOOKUP($B$9,'Sales Forecast'!$B$7:$AO$23,K9+11,FALSE)</f>
        <v>5869580</v>
      </c>
      <c r="L28" s="142">
        <f>VLOOKUP($B$9,'Sales Forecast'!$B$7:$AO$23,L9+11,FALSE)</f>
        <v>5875498</v>
      </c>
      <c r="M28" s="142">
        <f>VLOOKUP($B$9,'Sales Forecast'!$B$7:$AO$23,M9+11,FALSE)</f>
        <v>5880878</v>
      </c>
      <c r="N28" s="142">
        <f>VLOOKUP($B$9,'Sales Forecast'!$B$7:$AO$23,N9+11,FALSE)</f>
        <v>5886258</v>
      </c>
    </row>
    <row r="29" spans="1:18">
      <c r="A29" s="114"/>
      <c r="B29" t="s">
        <v>1094</v>
      </c>
      <c r="C29" s="142">
        <f>VLOOKUP($B$9,'Sales Forecast'!$B$7:$AO$23,C9+23,FALSE)</f>
        <v>5891638</v>
      </c>
      <c r="D29" s="142">
        <f>VLOOKUP($B$9,'Sales Forecast'!$B$7:$AO$23,D9+23,FALSE)</f>
        <v>5897018</v>
      </c>
      <c r="E29" s="142">
        <f>VLOOKUP($B$9,'Sales Forecast'!$B$7:$AO$23,E9+23,FALSE)</f>
        <v>5902398</v>
      </c>
      <c r="F29" s="142">
        <f>VLOOKUP($B$9,'Sales Forecast'!$B$7:$AO$23,F9+23,FALSE)</f>
        <v>5908854</v>
      </c>
      <c r="G29" s="142">
        <f>VLOOKUP($B$9,'Sales Forecast'!$B$7:$AO$23,G9+23,FALSE)</f>
        <v>5915310</v>
      </c>
      <c r="H29" s="142">
        <f>VLOOKUP($B$9,'Sales Forecast'!$B$7:$AO$23,H9+23,FALSE)</f>
        <v>5921228</v>
      </c>
      <c r="I29" s="142">
        <f>VLOOKUP($B$9,'Sales Forecast'!$B$7:$AO$23,I9+23,FALSE)</f>
        <v>5927146</v>
      </c>
      <c r="J29" s="142">
        <f>VLOOKUP($B$9,'Sales Forecast'!$B$7:$AO$23,J9+23,FALSE)</f>
        <v>5932526</v>
      </c>
      <c r="K29" s="142">
        <f>VLOOKUP($B$9,'Sales Forecast'!$B$7:$AO$23,K9+23,FALSE)</f>
        <v>5938444</v>
      </c>
      <c r="L29" s="142">
        <f>VLOOKUP($B$9,'Sales Forecast'!$B$7:$AO$23,L9+23,FALSE)</f>
        <v>5943824</v>
      </c>
      <c r="M29" s="142">
        <f>VLOOKUP($B$9,'Sales Forecast'!$B$7:$AO$23,M9+23,FALSE)</f>
        <v>5949204</v>
      </c>
      <c r="N29" s="142">
        <f>VLOOKUP($B$9,'Sales Forecast'!$B$7:$AO$23,N9+23,FALSE)</f>
        <v>5954584</v>
      </c>
    </row>
    <row r="30" spans="1:18">
      <c r="A30" s="114"/>
      <c r="C30" s="142"/>
      <c r="D30" s="142"/>
      <c r="E30" s="142"/>
      <c r="F30" s="142"/>
      <c r="G30" s="142"/>
      <c r="H30" s="142"/>
      <c r="I30" s="142"/>
      <c r="J30" s="142"/>
      <c r="K30" s="142"/>
      <c r="L30" s="142"/>
      <c r="M30" s="142"/>
      <c r="N30" s="142"/>
    </row>
    <row r="31" spans="1:18" s="12" customFormat="1" ht="15.6">
      <c r="A31" s="113" t="s">
        <v>1248</v>
      </c>
      <c r="B31"/>
      <c r="C31" s="142"/>
      <c r="D31" s="142"/>
      <c r="E31" s="142"/>
      <c r="F31" s="142"/>
      <c r="G31" s="142"/>
      <c r="H31" s="142"/>
      <c r="I31" s="142"/>
      <c r="J31" s="142"/>
      <c r="K31" s="142"/>
      <c r="L31" s="142"/>
      <c r="M31" s="142"/>
      <c r="N31" s="142"/>
    </row>
    <row r="32" spans="1:18" s="12" customFormat="1">
      <c r="A32" s="114"/>
      <c r="B32" t="s">
        <v>1254</v>
      </c>
      <c r="C32" s="115">
        <v>0</v>
      </c>
      <c r="D32" s="115">
        <v>0</v>
      </c>
      <c r="E32" s="115">
        <v>0</v>
      </c>
      <c r="F32" s="115">
        <v>0</v>
      </c>
      <c r="G32" s="115">
        <v>0</v>
      </c>
      <c r="H32" s="115">
        <v>0</v>
      </c>
      <c r="I32" s="115">
        <v>0</v>
      </c>
      <c r="J32" s="115">
        <v>0</v>
      </c>
      <c r="K32" s="115">
        <v>0</v>
      </c>
      <c r="L32" s="115">
        <v>0</v>
      </c>
      <c r="M32" s="115">
        <v>0</v>
      </c>
      <c r="N32" s="115">
        <v>0</v>
      </c>
      <c r="R32"/>
    </row>
    <row r="33" spans="1:30" s="12" customFormat="1">
      <c r="A33" s="114"/>
      <c r="B33" t="s">
        <v>1253</v>
      </c>
      <c r="C33" s="115">
        <v>0</v>
      </c>
      <c r="D33" s="115">
        <v>0</v>
      </c>
      <c r="E33" s="115">
        <v>0</v>
      </c>
      <c r="F33" s="115">
        <v>0</v>
      </c>
      <c r="G33" s="115">
        <v>0</v>
      </c>
      <c r="H33" s="115">
        <v>0</v>
      </c>
      <c r="I33" s="115">
        <v>0</v>
      </c>
      <c r="J33" s="115">
        <v>0</v>
      </c>
      <c r="K33" s="115">
        <v>0</v>
      </c>
      <c r="L33" s="115">
        <v>0</v>
      </c>
      <c r="M33" s="115">
        <v>0</v>
      </c>
      <c r="N33" s="115">
        <v>0</v>
      </c>
      <c r="R33"/>
    </row>
    <row r="34" spans="1:30" s="12" customFormat="1">
      <c r="A34" s="114"/>
      <c r="B34" t="s">
        <v>1252</v>
      </c>
      <c r="C34" s="115">
        <v>1</v>
      </c>
      <c r="D34" s="115">
        <v>1</v>
      </c>
      <c r="E34" s="115">
        <v>1</v>
      </c>
      <c r="F34" s="115">
        <v>1</v>
      </c>
      <c r="G34" s="115">
        <v>1</v>
      </c>
      <c r="H34" s="115">
        <v>1</v>
      </c>
      <c r="I34" s="115">
        <v>1</v>
      </c>
      <c r="J34" s="115">
        <v>1</v>
      </c>
      <c r="K34" s="115">
        <v>1</v>
      </c>
      <c r="L34" s="115">
        <v>1</v>
      </c>
      <c r="M34" s="115">
        <v>1</v>
      </c>
      <c r="N34" s="115">
        <v>1</v>
      </c>
      <c r="R34" s="522"/>
      <c r="S34" s="523"/>
      <c r="T34" s="523"/>
      <c r="U34" s="523"/>
      <c r="V34" s="523"/>
      <c r="W34" s="523"/>
      <c r="X34" s="523"/>
      <c r="Y34" s="523"/>
      <c r="Z34" s="523"/>
      <c r="AA34" s="523"/>
      <c r="AB34" s="523"/>
      <c r="AC34" s="523"/>
      <c r="AD34" s="523"/>
    </row>
    <row r="35" spans="1:30" s="12" customFormat="1" ht="15.6">
      <c r="A35" s="114"/>
      <c r="B35" s="513">
        <v>2017</v>
      </c>
      <c r="C35" s="115"/>
      <c r="D35" s="115"/>
      <c r="E35" s="115"/>
      <c r="F35" s="115"/>
      <c r="G35" s="115"/>
      <c r="H35" s="115"/>
      <c r="I35" s="115"/>
      <c r="J35" s="115"/>
      <c r="K35" s="115"/>
      <c r="L35" s="115"/>
      <c r="M35" s="115"/>
      <c r="N35" s="115"/>
      <c r="R35" s="206"/>
      <c r="S35" s="523"/>
      <c r="T35" s="523"/>
      <c r="U35" s="523"/>
      <c r="V35" s="523"/>
      <c r="W35" s="523"/>
      <c r="X35" s="523"/>
      <c r="Y35" s="523"/>
      <c r="Z35" s="523"/>
      <c r="AA35" s="523"/>
      <c r="AB35" s="523"/>
      <c r="AC35" s="523"/>
      <c r="AD35" s="523"/>
    </row>
    <row r="36" spans="1:30"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s="206"/>
      <c r="S36" s="523"/>
      <c r="T36" s="523"/>
      <c r="U36" s="523"/>
      <c r="V36" s="523"/>
      <c r="W36" s="523"/>
      <c r="X36" s="523"/>
      <c r="Y36" s="523"/>
      <c r="Z36" s="523"/>
      <c r="AA36" s="523"/>
      <c r="AB36" s="523"/>
      <c r="AC36" s="523"/>
      <c r="AD36" s="523"/>
    </row>
    <row r="37" spans="1:30"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s="206"/>
      <c r="S37" s="523"/>
      <c r="T37" s="523"/>
      <c r="U37" s="523"/>
      <c r="V37" s="523"/>
      <c r="W37" s="523"/>
      <c r="X37" s="523"/>
      <c r="Y37" s="523"/>
      <c r="Z37" s="523"/>
      <c r="AA37" s="523"/>
      <c r="AB37" s="523"/>
      <c r="AC37" s="523"/>
      <c r="AD37" s="523"/>
    </row>
    <row r="38" spans="1:30"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s="206"/>
      <c r="S38" s="523"/>
      <c r="T38" s="523"/>
      <c r="U38" s="523"/>
      <c r="V38" s="523"/>
      <c r="W38" s="523"/>
      <c r="X38" s="523"/>
      <c r="Y38" s="523"/>
      <c r="Z38" s="523"/>
      <c r="AA38" s="523"/>
      <c r="AB38" s="523"/>
      <c r="AC38" s="523"/>
      <c r="AD38" s="523"/>
    </row>
    <row r="39" spans="1:30" s="12" customFormat="1">
      <c r="A39" s="114"/>
      <c r="B39" t="s">
        <v>1255</v>
      </c>
      <c r="C39" s="107">
        <f>(+C$28/C$19/C13)+C23</f>
        <v>7647.7497945932801</v>
      </c>
      <c r="D39" s="107">
        <f t="shared" ref="D39:N39" si="0">(+D$28/D$19/D13)+D23</f>
        <v>8820.581087710756</v>
      </c>
      <c r="E39" s="107">
        <f t="shared" si="0"/>
        <v>7853.1790643869754</v>
      </c>
      <c r="F39" s="107">
        <f t="shared" si="0"/>
        <v>7894.2167805176396</v>
      </c>
      <c r="G39" s="107">
        <f t="shared" si="0"/>
        <v>7891.699818324124</v>
      </c>
      <c r="H39" s="107">
        <f t="shared" si="0"/>
        <v>8156.9370659562637</v>
      </c>
      <c r="I39" s="107">
        <f t="shared" si="0"/>
        <v>7899.5553541321824</v>
      </c>
      <c r="J39" s="107">
        <f t="shared" si="0"/>
        <v>7913.2884965327203</v>
      </c>
      <c r="K39" s="107">
        <f t="shared" si="0"/>
        <v>8195.327310888144</v>
      </c>
      <c r="L39" s="107">
        <f t="shared" si="0"/>
        <v>7933.9623291156095</v>
      </c>
      <c r="M39" s="107">
        <f t="shared" si="0"/>
        <v>8246.4339137171883</v>
      </c>
      <c r="N39" s="107">
        <f t="shared" si="0"/>
        <v>7955.2957017792287</v>
      </c>
      <c r="R39" s="206"/>
      <c r="S39" s="524"/>
      <c r="T39" s="524"/>
      <c r="U39" s="524"/>
      <c r="V39" s="524"/>
      <c r="W39" s="524"/>
      <c r="X39" s="524"/>
      <c r="Y39" s="524"/>
      <c r="Z39" s="524"/>
      <c r="AA39" s="524"/>
      <c r="AB39" s="524"/>
      <c r="AC39" s="524"/>
      <c r="AD39" s="524"/>
    </row>
    <row r="40" spans="1:30" s="12" customFormat="1">
      <c r="A40" s="114"/>
      <c r="B40" t="s">
        <v>1256</v>
      </c>
      <c r="C40" s="107">
        <f t="shared" ref="C40:N40" si="1">(C39*C32*C36)+(C39*C33*C37)+(C39*C34*C38)</f>
        <v>8140.3422991910384</v>
      </c>
      <c r="D40" s="107">
        <f t="shared" si="1"/>
        <v>9388.7158001035186</v>
      </c>
      <c r="E40" s="107">
        <f t="shared" si="1"/>
        <v>8359.0032935106719</v>
      </c>
      <c r="F40" s="107">
        <f t="shared" si="1"/>
        <v>8402.6842539830996</v>
      </c>
      <c r="G40" s="107">
        <f t="shared" si="1"/>
        <v>8400.0051739452265</v>
      </c>
      <c r="H40" s="107">
        <f t="shared" si="1"/>
        <v>8682.3263853095614</v>
      </c>
      <c r="I40" s="107">
        <f t="shared" si="1"/>
        <v>8408.3666857805583</v>
      </c>
      <c r="J40" s="107">
        <f t="shared" si="1"/>
        <v>8422.9843815716722</v>
      </c>
      <c r="K40" s="107">
        <f t="shared" si="1"/>
        <v>8723.189350637771</v>
      </c>
      <c r="L40" s="107">
        <f t="shared" si="1"/>
        <v>8444.9898182531724</v>
      </c>
      <c r="M40" s="107">
        <f t="shared" si="1"/>
        <v>8777.5877360388386</v>
      </c>
      <c r="N40" s="107">
        <f t="shared" si="1"/>
        <v>8467.6972760730969</v>
      </c>
      <c r="R40" s="206"/>
      <c r="S40" s="524"/>
      <c r="T40" s="524"/>
      <c r="U40" s="524"/>
      <c r="V40" s="524"/>
      <c r="W40" s="524"/>
      <c r="X40" s="524"/>
      <c r="Y40" s="524"/>
      <c r="Z40" s="524"/>
      <c r="AA40" s="524"/>
      <c r="AB40" s="524"/>
      <c r="AC40" s="524"/>
      <c r="AD40" s="524"/>
    </row>
    <row r="41" spans="1:30"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s="206"/>
      <c r="S41" s="524"/>
      <c r="T41" s="524"/>
      <c r="U41" s="524"/>
      <c r="V41" s="524"/>
      <c r="W41" s="524"/>
      <c r="X41" s="524"/>
      <c r="Y41" s="524"/>
      <c r="Z41" s="524"/>
      <c r="AA41" s="524"/>
      <c r="AB41" s="524"/>
      <c r="AC41" s="524"/>
      <c r="AD41" s="524"/>
    </row>
    <row r="42" spans="1:30"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R42" s="206"/>
      <c r="S42" s="523"/>
      <c r="T42" s="523"/>
      <c r="U42" s="523"/>
      <c r="V42" s="523"/>
      <c r="W42" s="523"/>
      <c r="X42" s="523"/>
      <c r="Y42" s="523"/>
      <c r="Z42" s="523"/>
      <c r="AA42" s="523"/>
      <c r="AB42" s="523"/>
      <c r="AC42" s="523"/>
      <c r="AD42" s="523"/>
    </row>
    <row r="43" spans="1:30" s="12" customFormat="1">
      <c r="A43" s="114"/>
      <c r="B43" t="s">
        <v>1259</v>
      </c>
      <c r="C43" s="235">
        <f>C40*C42/C41</f>
        <v>749.66420847883683</v>
      </c>
      <c r="D43" s="235">
        <f>D40*D42/D41</f>
        <v>64.653255712904283</v>
      </c>
      <c r="E43" s="235">
        <f t="shared" ref="E43:N43" si="2">E40*E42/E41</f>
        <v>994.01990710888845</v>
      </c>
      <c r="F43" s="235">
        <f t="shared" si="2"/>
        <v>672.76259176837618</v>
      </c>
      <c r="G43" s="235">
        <f t="shared" si="2"/>
        <v>841.99019689127113</v>
      </c>
      <c r="H43" s="235">
        <f t="shared" si="2"/>
        <v>447.56998039642542</v>
      </c>
      <c r="I43" s="235">
        <f t="shared" si="2"/>
        <v>537.16565076926793</v>
      </c>
      <c r="J43" s="235">
        <f t="shared" si="2"/>
        <v>819.73697511773196</v>
      </c>
      <c r="K43" s="235">
        <f t="shared" si="2"/>
        <v>81.747982988748447</v>
      </c>
      <c r="L43" s="235">
        <f t="shared" si="2"/>
        <v>168.1279357564184</v>
      </c>
      <c r="M43" s="235">
        <f t="shared" si="2"/>
        <v>-182.01872208125815</v>
      </c>
      <c r="N43" s="235">
        <f t="shared" si="2"/>
        <v>220.28284276082121</v>
      </c>
      <c r="R43"/>
    </row>
    <row r="44" spans="1:30" s="12" customFormat="1">
      <c r="A44" s="114"/>
      <c r="B44" t="s">
        <v>1260</v>
      </c>
      <c r="C44" s="235">
        <f t="shared" ref="C44:N44" si="3">((C43*C32)/C36)+((C43*C33)/C37)+((C43*C34)/C38)</f>
        <v>704.3001492673975</v>
      </c>
      <c r="D44" s="235">
        <f>((D43*D32)/D36)+((D43*D33)/D37)+((D43*D34)/D38)</f>
        <v>60.740925249210669</v>
      </c>
      <c r="E44" s="235">
        <f t="shared" si="3"/>
        <v>933.86927244682295</v>
      </c>
      <c r="F44" s="235">
        <f t="shared" si="3"/>
        <v>632.05204202751372</v>
      </c>
      <c r="G44" s="235">
        <f t="shared" si="3"/>
        <v>791.03926083853935</v>
      </c>
      <c r="H44" s="235">
        <f t="shared" si="3"/>
        <v>420.48639969145256</v>
      </c>
      <c r="I44" s="235">
        <f t="shared" si="3"/>
        <v>504.66041160719806</v>
      </c>
      <c r="J44" s="235">
        <f t="shared" si="3"/>
        <v>770.13263726024877</v>
      </c>
      <c r="K44" s="235">
        <f t="shared" si="3"/>
        <v>76.801207754217558</v>
      </c>
      <c r="L44" s="235">
        <f t="shared" si="3"/>
        <v>157.95409319265602</v>
      </c>
      <c r="M44" s="235">
        <f t="shared" si="3"/>
        <v>-171.00431323967905</v>
      </c>
      <c r="N44" s="235">
        <f t="shared" si="3"/>
        <v>206.9529761228728</v>
      </c>
      <c r="R44"/>
      <c r="S44" s="95"/>
      <c r="T44" s="95"/>
      <c r="U44" s="95"/>
      <c r="V44" s="95"/>
      <c r="W44" s="95"/>
      <c r="X44" s="95"/>
      <c r="Y44" s="95"/>
      <c r="Z44" s="95"/>
      <c r="AA44" s="95"/>
      <c r="AB44" s="95"/>
      <c r="AC44" s="95"/>
      <c r="AD44" s="95"/>
    </row>
    <row r="45" spans="1:30" s="12" customFormat="1" ht="15.6">
      <c r="A45" s="114"/>
      <c r="B45" s="513">
        <v>2018</v>
      </c>
      <c r="C45" s="235"/>
      <c r="D45" s="235"/>
      <c r="E45" s="235"/>
      <c r="F45" s="235"/>
      <c r="G45" s="235"/>
      <c r="H45" s="235"/>
      <c r="I45" s="235"/>
      <c r="J45" s="235"/>
      <c r="K45" s="235"/>
      <c r="L45" s="235"/>
      <c r="M45" s="235"/>
      <c r="N45" s="235"/>
      <c r="R45"/>
      <c r="S45" s="544"/>
      <c r="T45" s="544"/>
      <c r="U45" s="544"/>
      <c r="V45" s="544"/>
      <c r="W45" s="544"/>
      <c r="X45" s="544"/>
      <c r="Y45" s="544"/>
      <c r="Z45" s="544"/>
      <c r="AA45" s="544"/>
      <c r="AB45" s="544"/>
      <c r="AC45" s="544"/>
      <c r="AD45" s="544"/>
    </row>
    <row r="46" spans="1:30"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c r="S46" s="544"/>
      <c r="T46" s="544"/>
      <c r="U46" s="544"/>
      <c r="V46" s="544"/>
      <c r="W46" s="544"/>
      <c r="X46" s="544"/>
      <c r="Y46" s="544"/>
      <c r="Z46" s="544"/>
      <c r="AA46" s="544"/>
      <c r="AB46" s="544"/>
      <c r="AC46" s="544"/>
      <c r="AD46" s="544"/>
    </row>
    <row r="47" spans="1:30"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c r="S47" s="544"/>
      <c r="T47" s="544"/>
      <c r="U47" s="544"/>
      <c r="V47" s="544"/>
      <c r="W47" s="544"/>
      <c r="X47" s="544"/>
      <c r="Y47" s="544"/>
      <c r="Z47" s="544"/>
      <c r="AA47" s="544"/>
      <c r="AB47" s="544"/>
      <c r="AC47" s="544"/>
      <c r="AD47" s="544"/>
    </row>
    <row r="48" spans="1:30" s="12" customFormat="1">
      <c r="A48" s="114"/>
      <c r="B48" t="s">
        <v>1251</v>
      </c>
      <c r="C48">
        <v>1.06467</v>
      </c>
      <c r="D48">
        <v>1.06467</v>
      </c>
      <c r="E48">
        <v>1.06467</v>
      </c>
      <c r="F48">
        <v>1.06467</v>
      </c>
      <c r="G48">
        <v>1.06467</v>
      </c>
      <c r="H48">
        <v>1.06467</v>
      </c>
      <c r="I48">
        <v>1.06467</v>
      </c>
      <c r="J48">
        <v>1.06467</v>
      </c>
      <c r="K48">
        <v>1.06467</v>
      </c>
      <c r="L48">
        <v>1.06467</v>
      </c>
      <c r="M48">
        <v>1.06467</v>
      </c>
      <c r="N48">
        <v>1.06467</v>
      </c>
      <c r="R48"/>
      <c r="S48" s="545"/>
      <c r="T48" s="545"/>
      <c r="U48" s="545"/>
      <c r="V48" s="545"/>
      <c r="W48" s="545"/>
      <c r="X48" s="545"/>
      <c r="Y48" s="545"/>
      <c r="Z48" s="545"/>
      <c r="AA48" s="545"/>
      <c r="AB48" s="545"/>
      <c r="AC48" s="545"/>
      <c r="AD48" s="545"/>
    </row>
    <row r="49" spans="1:30" s="12" customFormat="1">
      <c r="A49" s="114"/>
      <c r="B49" t="s">
        <v>1255</v>
      </c>
      <c r="C49" s="235">
        <f>(+C$29/C$20/C13)+C23</f>
        <v>7742.4894148646581</v>
      </c>
      <c r="D49" s="235">
        <f t="shared" ref="D49:N49" si="4">(+D$29/D$20/D13)+D23</f>
        <v>8928.9240212779459</v>
      </c>
      <c r="E49" s="235">
        <f t="shared" si="4"/>
        <v>7948.8170048334268</v>
      </c>
      <c r="F49" s="235">
        <f t="shared" si="4"/>
        <v>7990.2481707147026</v>
      </c>
      <c r="G49" s="235">
        <f t="shared" si="4"/>
        <v>7987.5945413305481</v>
      </c>
      <c r="H49" s="235">
        <f t="shared" si="4"/>
        <v>8255.195342336976</v>
      </c>
      <c r="I49" s="235">
        <f t="shared" si="4"/>
        <v>7993.8827350486126</v>
      </c>
      <c r="J49" s="235">
        <f t="shared" si="4"/>
        <v>8006.9583640361816</v>
      </c>
      <c r="K49" s="235">
        <f t="shared" si="4"/>
        <v>8291.4778054613507</v>
      </c>
      <c r="L49" s="235">
        <f t="shared" si="4"/>
        <v>8026.2261525564736</v>
      </c>
      <c r="M49" s="235">
        <f t="shared" si="4"/>
        <v>8342.2437304807117</v>
      </c>
      <c r="N49" s="235">
        <f t="shared" si="4"/>
        <v>8047.6384998896356</v>
      </c>
      <c r="R49"/>
      <c r="S49" s="545"/>
      <c r="T49" s="545"/>
      <c r="U49" s="545"/>
      <c r="V49" s="545"/>
      <c r="W49" s="545"/>
      <c r="X49" s="545"/>
      <c r="Y49" s="545"/>
      <c r="Z49" s="545"/>
      <c r="AA49" s="545"/>
      <c r="AB49" s="545"/>
      <c r="AC49" s="545"/>
      <c r="AD49" s="545"/>
    </row>
    <row r="50" spans="1:30" s="12" customFormat="1">
      <c r="A50" s="114"/>
      <c r="B50" t="s">
        <v>1256</v>
      </c>
      <c r="C50" s="107">
        <f>(C49*C32*C46)+(C49*C33*C47)+(C49*C34*C48)</f>
        <v>8243.1962053239549</v>
      </c>
      <c r="D50" s="107">
        <f t="shared" ref="D50:N50" si="5">(D49*D32*D46)+(D49*D33*D47)+(D49*D34*D48)</f>
        <v>9506.3575377339912</v>
      </c>
      <c r="E50" s="107">
        <f t="shared" si="5"/>
        <v>8462.8670005360054</v>
      </c>
      <c r="F50" s="107">
        <f t="shared" si="5"/>
        <v>8506.9775199148226</v>
      </c>
      <c r="G50" s="107">
        <f t="shared" si="5"/>
        <v>8504.1522803183943</v>
      </c>
      <c r="H50" s="107">
        <f t="shared" si="5"/>
        <v>8789.0588251259087</v>
      </c>
      <c r="I50" s="107">
        <f t="shared" si="5"/>
        <v>8510.8471315242059</v>
      </c>
      <c r="J50" s="107">
        <f t="shared" si="5"/>
        <v>8524.7683614384023</v>
      </c>
      <c r="K50" s="107">
        <f t="shared" si="5"/>
        <v>8827.6876751405362</v>
      </c>
      <c r="L50" s="107">
        <f t="shared" si="5"/>
        <v>8545.2821978423017</v>
      </c>
      <c r="M50" s="107">
        <f t="shared" si="5"/>
        <v>8881.7366325308994</v>
      </c>
      <c r="N50" s="107">
        <f t="shared" si="5"/>
        <v>8568.0792816774992</v>
      </c>
      <c r="R50"/>
      <c r="S50" s="545"/>
      <c r="T50" s="545"/>
      <c r="U50" s="545"/>
      <c r="V50" s="545"/>
      <c r="W50" s="545"/>
      <c r="X50" s="545"/>
      <c r="Y50" s="545"/>
      <c r="Z50" s="545"/>
      <c r="AA50" s="545"/>
      <c r="AB50" s="545"/>
      <c r="AC50" s="545"/>
      <c r="AD50" s="545"/>
    </row>
    <row r="51" spans="1:30"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row>
    <row r="52" spans="1:30"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row>
    <row r="53" spans="1:30" s="12" customFormat="1">
      <c r="A53" s="114"/>
      <c r="B53" t="s">
        <v>1259</v>
      </c>
      <c r="C53" s="235">
        <f>C50*C52/C51</f>
        <v>840.30050786125173</v>
      </c>
      <c r="D53" s="235">
        <f t="shared" ref="D53:N53" si="6">D50*D52/D51</f>
        <v>148.02101451176418</v>
      </c>
      <c r="E53" s="235">
        <f t="shared" si="6"/>
        <v>1065.0486712939194</v>
      </c>
      <c r="F53" s="235">
        <f t="shared" si="6"/>
        <v>717.30913763987246</v>
      </c>
      <c r="G53" s="235">
        <f t="shared" si="6"/>
        <v>888.0702695693351</v>
      </c>
      <c r="H53" s="235">
        <f t="shared" si="6"/>
        <v>496.70206523911787</v>
      </c>
      <c r="I53" s="235">
        <f t="shared" si="6"/>
        <v>590.97510593546406</v>
      </c>
      <c r="J53" s="235">
        <f t="shared" si="6"/>
        <v>899.26126185358657</v>
      </c>
      <c r="K53" s="235">
        <f t="shared" si="6"/>
        <v>132.22448389850018</v>
      </c>
      <c r="L53" s="235">
        <f t="shared" si="6"/>
        <v>218.27595159914031</v>
      </c>
      <c r="M53" s="235">
        <f t="shared" si="6"/>
        <v>-142.3070243678263</v>
      </c>
      <c r="N53" s="235">
        <f t="shared" si="6"/>
        <v>255.28724418539755</v>
      </c>
      <c r="R53" s="522"/>
      <c r="S53" s="523"/>
      <c r="T53" s="523"/>
      <c r="U53" s="523"/>
      <c r="V53" s="523"/>
      <c r="W53" s="523"/>
      <c r="X53" s="523"/>
      <c r="Y53" s="523"/>
      <c r="Z53" s="523"/>
      <c r="AA53" s="523"/>
      <c r="AB53" s="523"/>
      <c r="AC53" s="523"/>
      <c r="AD53" s="523"/>
    </row>
    <row r="54" spans="1:30" s="12" customFormat="1">
      <c r="A54" s="114"/>
      <c r="B54" t="s">
        <v>1260</v>
      </c>
      <c r="C54" s="235">
        <f>((C53*C32)/C46)+((C53*C33)/C47)+((C53*C34)/C48)</f>
        <v>789.25912053617719</v>
      </c>
      <c r="D54" s="235">
        <f t="shared" ref="D54:N54" si="7">((D53*D32)/D46)+((D53*D33)/D47)+((D53*D34)/D48)</f>
        <v>139.02994778829512</v>
      </c>
      <c r="E54" s="235">
        <f t="shared" si="7"/>
        <v>1000.3556701080329</v>
      </c>
      <c r="F54" s="235">
        <f t="shared" si="7"/>
        <v>673.73847073729178</v>
      </c>
      <c r="G54" s="235">
        <f t="shared" si="7"/>
        <v>834.12725968547545</v>
      </c>
      <c r="H54" s="235">
        <f t="shared" si="7"/>
        <v>466.5314747660006</v>
      </c>
      <c r="I54" s="235">
        <f t="shared" si="7"/>
        <v>555.07819881790988</v>
      </c>
      <c r="J54" s="235">
        <f t="shared" si="7"/>
        <v>844.6384906624462</v>
      </c>
      <c r="K54" s="235">
        <f t="shared" si="7"/>
        <v>124.19292729061604</v>
      </c>
      <c r="L54" s="235">
        <f t="shared" si="7"/>
        <v>205.01747170404005</v>
      </c>
      <c r="M54" s="235">
        <f t="shared" si="7"/>
        <v>-133.66303584005024</v>
      </c>
      <c r="N54" s="235">
        <f t="shared" si="7"/>
        <v>239.78063079207411</v>
      </c>
      <c r="R54" s="206"/>
      <c r="S54" s="523"/>
      <c r="T54" s="523"/>
      <c r="U54" s="523"/>
      <c r="V54" s="523"/>
      <c r="W54" s="523"/>
      <c r="X54" s="523"/>
      <c r="Y54" s="523"/>
      <c r="Z54" s="523"/>
      <c r="AA54" s="523"/>
      <c r="AB54" s="523"/>
      <c r="AC54" s="523"/>
      <c r="AD54" s="523"/>
    </row>
    <row r="55" spans="1:30" s="12" customFormat="1">
      <c r="A55" s="114"/>
      <c r="B55"/>
      <c r="C55" s="235"/>
      <c r="D55" s="235"/>
      <c r="E55" s="235"/>
      <c r="F55" s="235"/>
      <c r="G55" s="235"/>
      <c r="H55" s="235"/>
      <c r="I55" s="235"/>
      <c r="J55" s="235"/>
      <c r="K55" s="235"/>
      <c r="L55" s="235"/>
      <c r="M55" s="235"/>
      <c r="N55" s="235"/>
      <c r="R55" s="206"/>
      <c r="S55" s="523"/>
      <c r="T55" s="523"/>
      <c r="U55" s="523"/>
      <c r="V55" s="523"/>
      <c r="W55" s="523"/>
      <c r="X55" s="523"/>
      <c r="Y55" s="523"/>
      <c r="Z55" s="523"/>
      <c r="AA55" s="523"/>
      <c r="AB55" s="523"/>
      <c r="AC55" s="523"/>
      <c r="AD55" s="523"/>
    </row>
    <row r="56" spans="1:30">
      <c r="A56" s="114"/>
      <c r="R56" s="206"/>
      <c r="S56" s="523"/>
      <c r="T56" s="523"/>
      <c r="U56" s="523"/>
      <c r="V56" s="523"/>
      <c r="W56" s="523"/>
      <c r="X56" s="523"/>
      <c r="Y56" s="523"/>
      <c r="Z56" s="523"/>
      <c r="AA56" s="523"/>
      <c r="AB56" s="523"/>
      <c r="AC56" s="523"/>
      <c r="AD56" s="523"/>
    </row>
    <row r="57" spans="1:30" ht="17.399999999999999">
      <c r="A57" s="147" t="s">
        <v>425</v>
      </c>
      <c r="R57" s="206"/>
      <c r="S57" s="523"/>
      <c r="T57" s="523"/>
      <c r="U57" s="523"/>
      <c r="V57" s="523"/>
      <c r="W57" s="523"/>
      <c r="X57" s="523"/>
      <c r="Y57" s="523"/>
      <c r="Z57" s="523"/>
      <c r="AA57" s="523"/>
      <c r="AB57" s="523"/>
      <c r="AC57" s="523"/>
      <c r="AD57" s="523"/>
    </row>
    <row r="58" spans="1:30" ht="15.6">
      <c r="A58" s="113"/>
      <c r="B58" s="146" t="str">
        <f>"PRIOR - "&amp;MANUAL!$B$9</f>
        <v>PRIOR - 2016</v>
      </c>
      <c r="C58" s="5"/>
      <c r="D58" s="5"/>
      <c r="E58" s="5"/>
      <c r="F58" s="5"/>
      <c r="G58" s="5"/>
      <c r="H58" s="5"/>
      <c r="I58" s="5"/>
      <c r="J58" s="5"/>
      <c r="K58" s="5"/>
      <c r="L58" s="5"/>
      <c r="M58" s="5"/>
      <c r="N58" s="5"/>
      <c r="R58" s="206"/>
      <c r="S58" s="524"/>
      <c r="T58" s="524"/>
      <c r="U58" s="524"/>
      <c r="V58" s="524"/>
      <c r="W58" s="524"/>
      <c r="X58" s="524"/>
      <c r="Y58" s="524"/>
      <c r="Z58" s="524"/>
      <c r="AA58" s="524"/>
      <c r="AB58" s="524"/>
      <c r="AC58" s="524"/>
      <c r="AD58" s="524"/>
    </row>
    <row r="59" spans="1:30" s="12" customFormat="1" ht="15.6">
      <c r="A59" s="111"/>
      <c r="B59" s="149" t="s">
        <v>432</v>
      </c>
      <c r="C59" s="107">
        <f t="shared" ref="C59:N59" si="8">MIN((+C$27/C$18/C13)+C23,C60)</f>
        <v>7550.8891380471696</v>
      </c>
      <c r="D59" s="107">
        <f t="shared" si="8"/>
        <v>8408.6700745323087</v>
      </c>
      <c r="E59" s="107">
        <f t="shared" si="8"/>
        <v>7753.9184746811898</v>
      </c>
      <c r="F59" s="107">
        <f t="shared" si="8"/>
        <v>7794.5478376615974</v>
      </c>
      <c r="G59" s="107">
        <f t="shared" si="8"/>
        <v>7792.899194620536</v>
      </c>
      <c r="H59" s="107">
        <f t="shared" si="8"/>
        <v>8054.9284736831551</v>
      </c>
      <c r="I59" s="107">
        <f t="shared" si="8"/>
        <v>7800.1488065510202</v>
      </c>
      <c r="J59" s="107">
        <f t="shared" si="8"/>
        <v>7814.5357680019397</v>
      </c>
      <c r="K59" s="107">
        <f t="shared" si="8"/>
        <v>8093.1674104041122</v>
      </c>
      <c r="L59" s="107">
        <f t="shared" si="8"/>
        <v>7835.1601244860221</v>
      </c>
      <c r="M59" s="107">
        <f t="shared" si="8"/>
        <v>8144.5888329055688</v>
      </c>
      <c r="N59" s="107">
        <f t="shared" si="8"/>
        <v>7857.8631431430522</v>
      </c>
      <c r="P59" s="152">
        <f>AVERAGE(C59:N59)</f>
        <v>7908.4431065598064</v>
      </c>
      <c r="R59" s="206"/>
      <c r="S59" s="524"/>
      <c r="T59" s="524"/>
      <c r="U59" s="524"/>
      <c r="V59" s="524"/>
      <c r="W59" s="524"/>
      <c r="X59" s="524"/>
      <c r="Y59" s="524"/>
      <c r="Z59" s="524"/>
      <c r="AA59" s="524"/>
      <c r="AB59" s="524"/>
      <c r="AC59" s="524"/>
      <c r="AD59" s="524"/>
    </row>
    <row r="60" spans="1:30" s="12" customFormat="1" ht="15.6">
      <c r="A60" s="111"/>
      <c r="B60" s="149" t="s">
        <v>430</v>
      </c>
      <c r="C60" s="107">
        <f t="shared" ref="C60:N60" si="9">MIN(+C$27/C$18/C14,C61)</f>
        <v>7903.6002940750614</v>
      </c>
      <c r="D60" s="107">
        <f t="shared" si="9"/>
        <v>8454.8637887149507</v>
      </c>
      <c r="E60" s="107">
        <f t="shared" si="9"/>
        <v>7881.805990756875</v>
      </c>
      <c r="F60" s="107">
        <f t="shared" si="9"/>
        <v>8127.075659598544</v>
      </c>
      <c r="G60" s="107">
        <f t="shared" si="9"/>
        <v>7853.0941796492853</v>
      </c>
      <c r="H60" s="107">
        <f t="shared" si="9"/>
        <v>8231.1101039962959</v>
      </c>
      <c r="I60" s="107">
        <f t="shared" si="9"/>
        <v>7894.9589416436875</v>
      </c>
      <c r="J60" s="107">
        <f t="shared" si="9"/>
        <v>7953.9698935422002</v>
      </c>
      <c r="K60" s="107">
        <f t="shared" si="9"/>
        <v>8163.7180603080087</v>
      </c>
      <c r="L60" s="107">
        <f t="shared" si="9"/>
        <v>7962.2927639971449</v>
      </c>
      <c r="M60" s="107">
        <f t="shared" si="9"/>
        <v>8212.7807016542065</v>
      </c>
      <c r="N60" s="107">
        <f t="shared" si="9"/>
        <v>8149.8721099738796</v>
      </c>
      <c r="P60" s="152">
        <f>AVERAGE(C60:N60)</f>
        <v>8065.7618739925119</v>
      </c>
      <c r="R60" s="206"/>
      <c r="S60" s="524"/>
      <c r="T60" s="524"/>
      <c r="U60" s="524"/>
      <c r="V60" s="524"/>
      <c r="W60" s="524"/>
      <c r="X60" s="524"/>
      <c r="Y60" s="524"/>
      <c r="Z60" s="524"/>
      <c r="AA60" s="524"/>
      <c r="AB60" s="524"/>
      <c r="AC60" s="524"/>
      <c r="AD60" s="524"/>
    </row>
    <row r="61" spans="1:30" s="106" customFormat="1">
      <c r="A61" s="109"/>
      <c r="B61" s="149" t="s">
        <v>133</v>
      </c>
      <c r="C61" s="107">
        <f t="shared" ref="C61:N61" si="10">+C$27/C$18/C15</f>
        <v>8375.4765015846315</v>
      </c>
      <c r="D61" s="107">
        <f t="shared" si="10"/>
        <v>8846.0962659761117</v>
      </c>
      <c r="E61" s="107">
        <f t="shared" si="10"/>
        <v>8251.2041621908756</v>
      </c>
      <c r="F61" s="107">
        <f t="shared" si="10"/>
        <v>8473.4787431702698</v>
      </c>
      <c r="G61" s="107">
        <f t="shared" si="10"/>
        <v>8111.2742326241614</v>
      </c>
      <c r="H61" s="107">
        <f t="shared" si="10"/>
        <v>8780.3822455607951</v>
      </c>
      <c r="I61" s="107">
        <f t="shared" si="10"/>
        <v>8241.1886657472769</v>
      </c>
      <c r="J61" s="107">
        <f t="shared" si="10"/>
        <v>8544.4900145058637</v>
      </c>
      <c r="K61" s="107">
        <f t="shared" si="10"/>
        <v>8738.2019238111643</v>
      </c>
      <c r="L61" s="107">
        <f t="shared" si="10"/>
        <v>8724.4773864508534</v>
      </c>
      <c r="M61" s="107">
        <f t="shared" si="10"/>
        <v>8613.2529490325742</v>
      </c>
      <c r="N61" s="107">
        <f t="shared" si="10"/>
        <v>8661.5012661438632</v>
      </c>
      <c r="P61" s="152">
        <f>AVERAGE(C61:N61)</f>
        <v>8530.0853630665388</v>
      </c>
      <c r="R61" s="206"/>
      <c r="S61" s="523"/>
      <c r="T61" s="523"/>
      <c r="U61" s="523"/>
      <c r="V61" s="523"/>
      <c r="W61" s="523"/>
      <c r="X61" s="523"/>
      <c r="Y61" s="523"/>
      <c r="Z61" s="523"/>
      <c r="AA61" s="523"/>
      <c r="AB61" s="523"/>
      <c r="AC61" s="523"/>
      <c r="AD61" s="523"/>
    </row>
    <row r="62" spans="1:30" s="106" customFormat="1" ht="16.5" customHeight="1">
      <c r="A62" s="109"/>
      <c r="B62" s="108"/>
      <c r="C62" s="107"/>
      <c r="D62" s="107"/>
      <c r="E62" s="107"/>
      <c r="F62" s="107"/>
      <c r="G62" s="107"/>
      <c r="H62" s="107"/>
      <c r="I62" s="107"/>
      <c r="J62" s="107"/>
      <c r="K62" s="107"/>
      <c r="L62" s="107"/>
      <c r="M62" s="107"/>
      <c r="N62" s="107"/>
    </row>
    <row r="63" spans="1:30" s="106" customFormat="1" ht="16.5" customHeight="1">
      <c r="A63" s="109"/>
      <c r="B63" s="146" t="str">
        <f>"TEST - "&amp;MANUAL!$B$10</f>
        <v>TEST - 2017</v>
      </c>
      <c r="C63" s="107"/>
      <c r="D63" s="107"/>
      <c r="E63" s="107"/>
      <c r="F63" s="107"/>
      <c r="G63" s="107"/>
      <c r="H63" s="107"/>
      <c r="I63" s="107"/>
      <c r="J63" s="107"/>
      <c r="K63" s="107"/>
      <c r="L63" s="107"/>
      <c r="M63" s="107"/>
      <c r="N63" s="107"/>
      <c r="S63" s="547"/>
      <c r="T63" s="547"/>
      <c r="U63" s="547"/>
      <c r="V63" s="547"/>
      <c r="W63" s="547"/>
      <c r="X63" s="547"/>
      <c r="Y63" s="547"/>
      <c r="Z63" s="547"/>
      <c r="AA63" s="547"/>
      <c r="AB63" s="547"/>
      <c r="AC63" s="547"/>
      <c r="AD63" s="547"/>
    </row>
    <row r="64" spans="1:30" s="106" customFormat="1" ht="16.5" customHeight="1">
      <c r="A64" s="109"/>
      <c r="B64" s="149" t="s">
        <v>432</v>
      </c>
      <c r="C64" s="107">
        <f>C39+C44</f>
        <v>8352.0499438606785</v>
      </c>
      <c r="D64" s="107">
        <f t="shared" ref="D64:N64" si="11">D39+D44</f>
        <v>8881.3220129599667</v>
      </c>
      <c r="E64" s="107">
        <f t="shared" si="11"/>
        <v>8787.0483368337991</v>
      </c>
      <c r="F64" s="107">
        <f t="shared" si="11"/>
        <v>8526.2688225451529</v>
      </c>
      <c r="G64" s="107">
        <f t="shared" si="11"/>
        <v>8682.739079162664</v>
      </c>
      <c r="H64" s="107">
        <f t="shared" si="11"/>
        <v>8577.4234656477165</v>
      </c>
      <c r="I64" s="107">
        <f t="shared" si="11"/>
        <v>8404.21576573938</v>
      </c>
      <c r="J64" s="107">
        <f t="shared" si="11"/>
        <v>8683.4211337929682</v>
      </c>
      <c r="K64" s="107">
        <f t="shared" si="11"/>
        <v>8272.1285186423611</v>
      </c>
      <c r="L64" s="107">
        <f t="shared" si="11"/>
        <v>8091.9164223082653</v>
      </c>
      <c r="M64" s="107">
        <f t="shared" si="11"/>
        <v>8075.4296004775097</v>
      </c>
      <c r="N64" s="107">
        <f t="shared" si="11"/>
        <v>8162.2486779021019</v>
      </c>
      <c r="P64" s="152">
        <f>AVERAGE(C64:N64)</f>
        <v>8458.0176483227133</v>
      </c>
      <c r="S64" s="547"/>
      <c r="T64" s="547"/>
      <c r="U64" s="547"/>
      <c r="V64" s="547"/>
      <c r="W64" s="547"/>
      <c r="X64" s="547"/>
      <c r="Y64" s="547"/>
      <c r="Z64" s="547"/>
      <c r="AA64" s="547"/>
      <c r="AB64" s="547"/>
      <c r="AC64" s="547"/>
      <c r="AD64" s="547"/>
    </row>
    <row r="65" spans="1:32" s="106" customFormat="1" ht="16.5" customHeight="1">
      <c r="A65" s="109"/>
      <c r="B65" s="149" t="s">
        <v>430</v>
      </c>
      <c r="C65" s="107">
        <f>IF(+C$28/C$19/C14&lt;C64,C64,+C$28/C$19/C14)</f>
        <v>8352.0499438606785</v>
      </c>
      <c r="D65" s="107">
        <f t="shared" ref="D65:N65" si="12">IF(+D$28/D$19/D14&lt;D64,D64,+D$28/D$19/D14)</f>
        <v>8881.3220129599667</v>
      </c>
      <c r="E65" s="107">
        <f t="shared" si="12"/>
        <v>8787.0483368337991</v>
      </c>
      <c r="F65" s="107">
        <f t="shared" si="12"/>
        <v>8526.2688225451529</v>
      </c>
      <c r="G65" s="107">
        <f t="shared" si="12"/>
        <v>8682.739079162664</v>
      </c>
      <c r="H65" s="107">
        <f t="shared" si="12"/>
        <v>8577.4234656477165</v>
      </c>
      <c r="I65" s="107">
        <f t="shared" si="12"/>
        <v>8404.21576573938</v>
      </c>
      <c r="J65" s="107">
        <f t="shared" si="12"/>
        <v>8683.4211337929682</v>
      </c>
      <c r="K65" s="107">
        <f t="shared" si="12"/>
        <v>8272.1285186423611</v>
      </c>
      <c r="L65" s="107">
        <f t="shared" si="12"/>
        <v>8091.9164223082653</v>
      </c>
      <c r="M65" s="107">
        <f t="shared" si="12"/>
        <v>8315.4784966452517</v>
      </c>
      <c r="N65" s="107">
        <f t="shared" si="12"/>
        <v>8250.925396060351</v>
      </c>
      <c r="P65" s="152">
        <f>AVERAGE(C65:N65)</f>
        <v>8485.4114495165468</v>
      </c>
      <c r="S65" s="547"/>
      <c r="T65" s="547"/>
      <c r="U65" s="547"/>
      <c r="V65" s="547"/>
      <c r="W65" s="547"/>
      <c r="X65" s="547"/>
      <c r="Y65" s="547"/>
      <c r="Z65" s="547"/>
      <c r="AA65" s="547"/>
      <c r="AB65" s="547"/>
      <c r="AC65" s="547"/>
      <c r="AD65" s="547"/>
    </row>
    <row r="66" spans="1:32" s="106" customFormat="1" ht="16.5" customHeight="1">
      <c r="A66" s="109"/>
      <c r="B66" s="149" t="s">
        <v>133</v>
      </c>
      <c r="C66" s="107">
        <f>MAX(+C$28/C$19/C15,C65)</f>
        <v>8482.9147301161938</v>
      </c>
      <c r="D66" s="107">
        <f t="shared" ref="D66:N66" si="13">MAX(+D$28/D$19/D15,D65)</f>
        <v>9279.4352414971563</v>
      </c>
      <c r="E66" s="107">
        <f t="shared" si="13"/>
        <v>8787.0483368337991</v>
      </c>
      <c r="F66" s="107">
        <f t="shared" si="13"/>
        <v>8581.8291807112746</v>
      </c>
      <c r="G66" s="107">
        <f t="shared" si="13"/>
        <v>8682.739079162664</v>
      </c>
      <c r="H66" s="107">
        <f t="shared" si="13"/>
        <v>8891.5780724903289</v>
      </c>
      <c r="I66" s="107">
        <f t="shared" si="13"/>
        <v>8404.21576573938</v>
      </c>
      <c r="J66" s="107">
        <f t="shared" si="13"/>
        <v>8683.4211337929682</v>
      </c>
      <c r="K66" s="107">
        <f t="shared" si="13"/>
        <v>8848.504082864285</v>
      </c>
      <c r="L66" s="107">
        <f t="shared" si="13"/>
        <v>8834.4939765813415</v>
      </c>
      <c r="M66" s="107">
        <f t="shared" si="13"/>
        <v>8720.9585018409671</v>
      </c>
      <c r="N66" s="107">
        <f t="shared" si="13"/>
        <v>8768.8984318386229</v>
      </c>
      <c r="P66" s="152">
        <f>AVERAGE(C66:N66)</f>
        <v>8747.1697111224166</v>
      </c>
      <c r="S66" s="547"/>
      <c r="T66" s="547"/>
      <c r="U66" s="547"/>
      <c r="V66" s="547"/>
      <c r="W66" s="547"/>
      <c r="X66" s="547"/>
      <c r="Y66" s="547"/>
      <c r="Z66" s="547"/>
      <c r="AA66" s="547"/>
      <c r="AB66" s="547"/>
      <c r="AC66" s="547"/>
      <c r="AD66" s="547"/>
    </row>
    <row r="67" spans="1:32" s="106" customFormat="1" ht="16.5" customHeight="1">
      <c r="A67" s="109"/>
      <c r="B67" s="149" t="s">
        <v>158</v>
      </c>
      <c r="C67" s="499">
        <f>C28/C19/C64</f>
        <v>0.93653300479329682</v>
      </c>
      <c r="D67" s="499">
        <f t="shared" ref="D67:N67" si="14">D28/D19/D64</f>
        <v>0.97607599695690872</v>
      </c>
      <c r="E67" s="499">
        <f t="shared" si="14"/>
        <v>0.89198087136985693</v>
      </c>
      <c r="F67" s="499">
        <f t="shared" si="14"/>
        <v>0.95095621567711774</v>
      </c>
      <c r="G67" s="499">
        <f t="shared" si="14"/>
        <v>0.90469537312473003</v>
      </c>
      <c r="H67" s="499">
        <f t="shared" si="14"/>
        <v>0.94737559585476716</v>
      </c>
      <c r="I67" s="499">
        <f t="shared" si="14"/>
        <v>0.93674281207424603</v>
      </c>
      <c r="J67" s="499">
        <f t="shared" si="14"/>
        <v>0.90753896296521341</v>
      </c>
      <c r="K67" s="499">
        <f t="shared" si="14"/>
        <v>0.98550142518607764</v>
      </c>
      <c r="L67" s="499">
        <f t="shared" si="14"/>
        <v>0.9759337985018488</v>
      </c>
      <c r="M67" s="499">
        <f t="shared" si="14"/>
        <v>1.0114491135713863</v>
      </c>
      <c r="N67" s="499">
        <f t="shared" si="14"/>
        <v>0.96929625756117954</v>
      </c>
      <c r="P67" s="152"/>
      <c r="S67" s="546"/>
      <c r="T67" s="546"/>
      <c r="U67" s="546"/>
      <c r="V67" s="546"/>
      <c r="W67" s="546"/>
      <c r="X67" s="546"/>
      <c r="Y67" s="546"/>
      <c r="Z67" s="546"/>
      <c r="AA67" s="546"/>
      <c r="AB67" s="546"/>
      <c r="AC67" s="546"/>
      <c r="AD67" s="546"/>
    </row>
    <row r="68" spans="1:32" s="106" customFormat="1" ht="16.5" customHeight="1">
      <c r="A68" s="109"/>
      <c r="B68" s="149" t="s">
        <v>988</v>
      </c>
      <c r="C68" s="499">
        <f>C28/C19/C65</f>
        <v>0.93653300479329682</v>
      </c>
      <c r="D68" s="499">
        <f t="shared" ref="D68:N68" si="15">D28/D19/D65</f>
        <v>0.97607599695690872</v>
      </c>
      <c r="E68" s="499">
        <f t="shared" si="15"/>
        <v>0.89198087136985693</v>
      </c>
      <c r="F68" s="499">
        <f t="shared" si="15"/>
        <v>0.95095621567711774</v>
      </c>
      <c r="G68" s="499">
        <f t="shared" si="15"/>
        <v>0.90469537312473003</v>
      </c>
      <c r="H68" s="499">
        <f t="shared" si="15"/>
        <v>0.94737559585476716</v>
      </c>
      <c r="I68" s="499">
        <f t="shared" si="15"/>
        <v>0.93674281207424603</v>
      </c>
      <c r="J68" s="499">
        <f t="shared" si="15"/>
        <v>0.90753896296521341</v>
      </c>
      <c r="K68" s="499">
        <f t="shared" si="15"/>
        <v>0.98550142518607764</v>
      </c>
      <c r="L68" s="499">
        <f t="shared" si="15"/>
        <v>0.9759337985018488</v>
      </c>
      <c r="M68" s="499">
        <f t="shared" si="15"/>
        <v>0.98225088482957601</v>
      </c>
      <c r="N68" s="499">
        <f t="shared" si="15"/>
        <v>0.95887875807868039</v>
      </c>
      <c r="P68" s="152"/>
      <c r="S68" s="546"/>
      <c r="T68" s="546"/>
      <c r="U68" s="546"/>
      <c r="V68" s="546"/>
      <c r="W68" s="546"/>
      <c r="X68" s="546"/>
      <c r="Y68" s="546"/>
      <c r="Z68" s="546"/>
      <c r="AA68" s="546"/>
      <c r="AB68" s="546"/>
      <c r="AC68" s="546"/>
      <c r="AD68" s="546"/>
    </row>
    <row r="69" spans="1:32" s="106" customFormat="1" ht="16.5" customHeight="1">
      <c r="A69" s="109"/>
      <c r="B69" s="149" t="s">
        <v>150</v>
      </c>
      <c r="C69" s="499">
        <f>C28/C19/C66</f>
        <v>0.92208523590810476</v>
      </c>
      <c r="D69" s="499">
        <f t="shared" ref="D69:N69" si="16">D28/D19/D66</f>
        <v>0.93419965897586199</v>
      </c>
      <c r="E69" s="499">
        <f t="shared" si="16"/>
        <v>0.89198087136985693</v>
      </c>
      <c r="F69" s="499">
        <f t="shared" si="16"/>
        <v>0.94479954827780921</v>
      </c>
      <c r="G69" s="499">
        <f t="shared" si="16"/>
        <v>0.90469537312473003</v>
      </c>
      <c r="H69" s="499">
        <f t="shared" si="16"/>
        <v>0.91390320148094339</v>
      </c>
      <c r="I69" s="499">
        <f t="shared" si="16"/>
        <v>0.93674281207424603</v>
      </c>
      <c r="J69" s="499">
        <f t="shared" si="16"/>
        <v>0.90753896296521341</v>
      </c>
      <c r="K69" s="499">
        <f t="shared" si="16"/>
        <v>0.92130764342774163</v>
      </c>
      <c r="L69" s="499">
        <f t="shared" si="16"/>
        <v>0.89390232786583923</v>
      </c>
      <c r="M69" s="499">
        <f t="shared" si="16"/>
        <v>0.93658123810437766</v>
      </c>
      <c r="N69" s="499">
        <f t="shared" si="16"/>
        <v>0.90223842347724825</v>
      </c>
      <c r="P69" s="152"/>
      <c r="S69" s="546"/>
      <c r="T69" s="546"/>
      <c r="U69" s="546"/>
      <c r="V69" s="546"/>
      <c r="W69" s="546"/>
      <c r="X69" s="546"/>
      <c r="Y69" s="546"/>
      <c r="Z69" s="546"/>
      <c r="AA69" s="546"/>
      <c r="AB69" s="546"/>
      <c r="AC69" s="546"/>
      <c r="AD69" s="546"/>
    </row>
    <row r="70" spans="1:32" s="106" customFormat="1" ht="16.5" customHeight="1">
      <c r="A70" s="109"/>
      <c r="B70" s="149"/>
      <c r="C70" s="107"/>
      <c r="D70" s="107"/>
      <c r="E70" s="107"/>
      <c r="F70" s="107"/>
      <c r="G70" s="107"/>
      <c r="H70" s="107"/>
      <c r="I70" s="107"/>
      <c r="J70" s="107"/>
      <c r="K70" s="107"/>
      <c r="L70" s="107"/>
      <c r="M70" s="107"/>
      <c r="N70" s="107"/>
      <c r="P70" s="152"/>
      <c r="S70" s="546"/>
      <c r="T70" s="546"/>
      <c r="U70" s="546"/>
      <c r="V70" s="546"/>
      <c r="W70" s="546"/>
      <c r="X70" s="546"/>
      <c r="Y70" s="546"/>
      <c r="Z70" s="546"/>
      <c r="AA70" s="546"/>
      <c r="AB70" s="546"/>
      <c r="AC70" s="546"/>
      <c r="AD70" s="546"/>
    </row>
    <row r="71" spans="1:32" s="106" customFormat="1" ht="16.5" customHeight="1">
      <c r="A71" s="109"/>
      <c r="B71" s="146" t="str">
        <f>"SUBSEQUENT - "&amp;MANUAL!$B$11</f>
        <v>SUBSEQUENT - 2018</v>
      </c>
      <c r="C71" s="107"/>
      <c r="D71" s="107"/>
      <c r="E71" s="107"/>
      <c r="F71" s="107"/>
      <c r="G71" s="107"/>
      <c r="H71" s="107"/>
      <c r="I71" s="107"/>
      <c r="J71" s="107"/>
      <c r="K71" s="107"/>
      <c r="L71" s="107"/>
      <c r="M71" s="107"/>
      <c r="N71" s="107"/>
      <c r="T71" s="522"/>
      <c r="U71" s="523"/>
      <c r="V71" s="523"/>
      <c r="W71" s="523"/>
      <c r="X71" s="523"/>
      <c r="Y71" s="523"/>
      <c r="Z71" s="523"/>
      <c r="AA71" s="523"/>
      <c r="AB71" s="523"/>
      <c r="AC71" s="523"/>
      <c r="AD71" s="523"/>
      <c r="AE71" s="523"/>
      <c r="AF71" s="523"/>
    </row>
    <row r="72" spans="1:32" s="106" customFormat="1" ht="16.5" customHeight="1">
      <c r="A72" s="109"/>
      <c r="B72" s="149" t="s">
        <v>432</v>
      </c>
      <c r="C72" s="107">
        <f>C49+C54</f>
        <v>8531.748535400835</v>
      </c>
      <c r="D72" s="107">
        <f t="shared" ref="D72:N72" si="17">D49+D54</f>
        <v>9067.9539690662405</v>
      </c>
      <c r="E72" s="107">
        <f t="shared" si="17"/>
        <v>8949.1726749414593</v>
      </c>
      <c r="F72" s="107">
        <f t="shared" si="17"/>
        <v>8663.9866414519947</v>
      </c>
      <c r="G72" s="107">
        <f t="shared" si="17"/>
        <v>8821.7218010160232</v>
      </c>
      <c r="H72" s="107">
        <f t="shared" si="17"/>
        <v>8721.7268171029773</v>
      </c>
      <c r="I72" s="107">
        <f t="shared" si="17"/>
        <v>8548.9609338665232</v>
      </c>
      <c r="J72" s="107">
        <f t="shared" si="17"/>
        <v>8851.5968546986278</v>
      </c>
      <c r="K72" s="107">
        <f t="shared" si="17"/>
        <v>8415.6707327519671</v>
      </c>
      <c r="L72" s="107">
        <f t="shared" si="17"/>
        <v>8231.2436242605145</v>
      </c>
      <c r="M72" s="107">
        <f t="shared" si="17"/>
        <v>8208.580694640661</v>
      </c>
      <c r="N72" s="107">
        <f t="shared" si="17"/>
        <v>8287.4191306817102</v>
      </c>
      <c r="O72" s="107"/>
      <c r="P72" s="152">
        <f>AVERAGE(C72:N72)</f>
        <v>8608.3152008232955</v>
      </c>
      <c r="S72" s="546"/>
      <c r="T72" s="206"/>
      <c r="U72" s="523"/>
      <c r="V72" s="523"/>
      <c r="W72" s="523"/>
      <c r="X72" s="523"/>
      <c r="Y72" s="523"/>
      <c r="Z72" s="523"/>
      <c r="AA72" s="523"/>
      <c r="AB72" s="523"/>
      <c r="AC72" s="523"/>
      <c r="AD72" s="523"/>
      <c r="AE72" s="523"/>
      <c r="AF72" s="523"/>
    </row>
    <row r="73" spans="1:32" s="106" customFormat="1" ht="16.5" customHeight="1">
      <c r="A73" s="109"/>
      <c r="B73" s="149" t="s">
        <v>430</v>
      </c>
      <c r="C73" s="107">
        <f>IF(+C$29/C$14/C20&lt;C72,C72,+C$29/C$14/C20)</f>
        <v>8531.748535400835</v>
      </c>
      <c r="D73" s="107">
        <f t="shared" ref="D73:N73" si="18">IF(+D$29/D$14/D20&lt;D72,D72,+D$29/D$14/D20)</f>
        <v>9067.9539690662405</v>
      </c>
      <c r="E73" s="107">
        <f t="shared" si="18"/>
        <v>8949.1726749414593</v>
      </c>
      <c r="F73" s="107">
        <f t="shared" si="18"/>
        <v>8663.9866414519947</v>
      </c>
      <c r="G73" s="107">
        <f t="shared" si="18"/>
        <v>8821.7218010160232</v>
      </c>
      <c r="H73" s="107">
        <f t="shared" si="18"/>
        <v>8721.7268171029773</v>
      </c>
      <c r="I73" s="107">
        <f t="shared" si="18"/>
        <v>8548.9609338665232</v>
      </c>
      <c r="J73" s="107">
        <f t="shared" si="18"/>
        <v>8851.5968546986278</v>
      </c>
      <c r="K73" s="107">
        <f t="shared" si="18"/>
        <v>8415.6707327519671</v>
      </c>
      <c r="L73" s="107">
        <f t="shared" si="18"/>
        <v>8231.2436242605145</v>
      </c>
      <c r="M73" s="107">
        <f t="shared" si="18"/>
        <v>8412.0904963775683</v>
      </c>
      <c r="N73" s="107">
        <f t="shared" si="18"/>
        <v>8346.6997791423055</v>
      </c>
      <c r="O73" s="107"/>
      <c r="P73" s="152">
        <f>AVERAGE(C73:N73)</f>
        <v>8630.2144050064198</v>
      </c>
      <c r="T73" s="206"/>
      <c r="U73" s="523"/>
      <c r="V73" s="523"/>
      <c r="W73" s="523"/>
      <c r="X73" s="523"/>
      <c r="Y73" s="523"/>
      <c r="Z73" s="523"/>
      <c r="AA73" s="523"/>
      <c r="AB73" s="523"/>
      <c r="AC73" s="523"/>
      <c r="AD73" s="523"/>
      <c r="AE73" s="523"/>
      <c r="AF73" s="523"/>
    </row>
    <row r="74" spans="1:32" s="106" customFormat="1" ht="16.5" customHeight="1">
      <c r="A74" s="109"/>
      <c r="B74" s="149" t="s">
        <v>133</v>
      </c>
      <c r="C74" s="107">
        <f>MAX(+C$29/C$15/C20,C73)</f>
        <v>8588.0002967091095</v>
      </c>
      <c r="D74" s="107">
        <f t="shared" ref="D74:N74" si="19">MAX(+D$29/D$15/D20,D73)</f>
        <v>9393.4142669052762</v>
      </c>
      <c r="E74" s="107">
        <f t="shared" si="19"/>
        <v>8949.1726749414593</v>
      </c>
      <c r="F74" s="107">
        <f t="shared" si="19"/>
        <v>8686.2252227215868</v>
      </c>
      <c r="G74" s="107">
        <f t="shared" si="19"/>
        <v>8821.7218010160232</v>
      </c>
      <c r="H74" s="107">
        <f t="shared" si="19"/>
        <v>8998.6858175474536</v>
      </c>
      <c r="I74" s="107">
        <f t="shared" si="19"/>
        <v>8548.9609338665232</v>
      </c>
      <c r="J74" s="107">
        <f t="shared" si="19"/>
        <v>8851.5968546986278</v>
      </c>
      <c r="K74" s="107">
        <f t="shared" si="19"/>
        <v>8952.3178796201628</v>
      </c>
      <c r="L74" s="107">
        <f t="shared" si="19"/>
        <v>8937.2300570708412</v>
      </c>
      <c r="M74" s="107">
        <f t="shared" si="19"/>
        <v>8822.2815033718252</v>
      </c>
      <c r="N74" s="107">
        <f t="shared" si="19"/>
        <v>8870.6852978329098</v>
      </c>
      <c r="O74" s="107"/>
      <c r="P74" s="152">
        <f>AVERAGE(C74:N74)</f>
        <v>8868.3577171918168</v>
      </c>
      <c r="T74" s="206"/>
      <c r="U74" s="523"/>
      <c r="V74" s="523"/>
      <c r="W74" s="523"/>
      <c r="X74" s="523"/>
      <c r="Y74" s="523"/>
      <c r="Z74" s="523"/>
      <c r="AA74" s="523"/>
      <c r="AB74" s="523"/>
      <c r="AC74" s="523"/>
      <c r="AD74" s="523"/>
      <c r="AE74" s="523"/>
      <c r="AF74" s="523"/>
    </row>
    <row r="75" spans="1:32" s="106" customFormat="1" ht="16.5" customHeight="1">
      <c r="A75" s="109"/>
      <c r="B75" s="149" t="s">
        <v>158</v>
      </c>
      <c r="C75" s="499">
        <f>C29/C20/C72</f>
        <v>0.92816475388510167</v>
      </c>
      <c r="D75" s="499">
        <f t="shared" ref="D75:N75" si="20">D29/D20/D72</f>
        <v>0.96772926226769662</v>
      </c>
      <c r="E75" s="499">
        <f t="shared" si="20"/>
        <v>0.88648760430954432</v>
      </c>
      <c r="F75" s="499">
        <f t="shared" si="20"/>
        <v>0.94722464453053468</v>
      </c>
      <c r="G75" s="499">
        <f t="shared" si="20"/>
        <v>0.90126232307113385</v>
      </c>
      <c r="H75" s="499">
        <f t="shared" si="20"/>
        <v>0.94292425688579984</v>
      </c>
      <c r="I75" s="499">
        <f t="shared" si="20"/>
        <v>0.93187863971421547</v>
      </c>
      <c r="J75" s="499">
        <f t="shared" si="20"/>
        <v>0.90083466290994907</v>
      </c>
      <c r="K75" s="499">
        <f t="shared" si="20"/>
        <v>0.98005722310285825</v>
      </c>
      <c r="L75" s="499">
        <f t="shared" si="20"/>
        <v>0.97057153418975561</v>
      </c>
      <c r="M75" s="499">
        <f t="shared" si="20"/>
        <v>1.0066031681613437</v>
      </c>
      <c r="N75" s="499">
        <f t="shared" si="20"/>
        <v>0.96573770338814957</v>
      </c>
      <c r="O75" s="107"/>
      <c r="P75" s="152"/>
      <c r="T75" s="206"/>
      <c r="U75" s="523"/>
      <c r="V75" s="523"/>
      <c r="W75" s="523"/>
      <c r="X75" s="523"/>
      <c r="Y75" s="523"/>
      <c r="Z75" s="523"/>
      <c r="AA75" s="523"/>
      <c r="AB75" s="523"/>
      <c r="AC75" s="523"/>
      <c r="AD75" s="523"/>
      <c r="AE75" s="523"/>
      <c r="AF75" s="523"/>
    </row>
    <row r="76" spans="1:32" s="106" customFormat="1" ht="16.5" customHeight="1">
      <c r="A76" s="109"/>
      <c r="B76" s="149" t="s">
        <v>988</v>
      </c>
      <c r="C76" s="499">
        <f>C29/C20/C73</f>
        <v>0.92816475388510167</v>
      </c>
      <c r="D76" s="499">
        <f t="shared" ref="D76:N76" si="21">D29/D20/D73</f>
        <v>0.96772926226769662</v>
      </c>
      <c r="E76" s="499">
        <f t="shared" si="21"/>
        <v>0.88648760430954432</v>
      </c>
      <c r="F76" s="499">
        <f t="shared" si="21"/>
        <v>0.94722464453053468</v>
      </c>
      <c r="G76" s="499">
        <f t="shared" si="21"/>
        <v>0.90126232307113385</v>
      </c>
      <c r="H76" s="499">
        <f t="shared" si="21"/>
        <v>0.94292425688579984</v>
      </c>
      <c r="I76" s="499">
        <f t="shared" si="21"/>
        <v>0.93187863971421547</v>
      </c>
      <c r="J76" s="499">
        <f t="shared" si="21"/>
        <v>0.90083466290994907</v>
      </c>
      <c r="K76" s="499">
        <f t="shared" si="21"/>
        <v>0.98005722310285825</v>
      </c>
      <c r="L76" s="499">
        <f t="shared" si="21"/>
        <v>0.97057153418975561</v>
      </c>
      <c r="M76" s="499">
        <f t="shared" si="21"/>
        <v>0.9822508848295759</v>
      </c>
      <c r="N76" s="499">
        <f t="shared" si="21"/>
        <v>0.95887875807868039</v>
      </c>
      <c r="O76" s="107"/>
      <c r="P76" s="152"/>
      <c r="T76" s="206"/>
      <c r="U76" s="524"/>
      <c r="V76" s="524"/>
      <c r="W76" s="524"/>
      <c r="X76" s="524"/>
      <c r="Y76" s="524"/>
      <c r="Z76" s="524"/>
      <c r="AA76" s="524"/>
      <c r="AB76" s="524"/>
      <c r="AC76" s="524"/>
      <c r="AD76" s="524"/>
      <c r="AE76" s="524"/>
      <c r="AF76" s="524"/>
    </row>
    <row r="77" spans="1:32" s="106" customFormat="1" ht="16.5" customHeight="1">
      <c r="A77" s="109"/>
      <c r="B77" s="149" t="s">
        <v>150</v>
      </c>
      <c r="C77" s="499">
        <f>C29/C20/C74</f>
        <v>0.92208523590810465</v>
      </c>
      <c r="D77" s="499">
        <f t="shared" ref="D77:N77" si="22">D29/D20/D74</f>
        <v>0.93419965897586188</v>
      </c>
      <c r="E77" s="499">
        <f t="shared" si="22"/>
        <v>0.88648760430954432</v>
      </c>
      <c r="F77" s="499">
        <f t="shared" si="22"/>
        <v>0.9447995482778091</v>
      </c>
      <c r="G77" s="499">
        <f t="shared" si="22"/>
        <v>0.90126232307113385</v>
      </c>
      <c r="H77" s="499">
        <f t="shared" si="22"/>
        <v>0.91390320148094328</v>
      </c>
      <c r="I77" s="499">
        <f t="shared" si="22"/>
        <v>0.93187863971421547</v>
      </c>
      <c r="J77" s="499">
        <f t="shared" si="22"/>
        <v>0.90083466290994907</v>
      </c>
      <c r="K77" s="499">
        <f t="shared" si="22"/>
        <v>0.92130764342774163</v>
      </c>
      <c r="L77" s="499">
        <f t="shared" si="22"/>
        <v>0.89390232786583923</v>
      </c>
      <c r="M77" s="499">
        <f t="shared" si="22"/>
        <v>0.93658123810437743</v>
      </c>
      <c r="N77" s="499">
        <f t="shared" si="22"/>
        <v>0.90223842347724836</v>
      </c>
      <c r="O77" s="107"/>
      <c r="P77" s="152"/>
      <c r="T77" s="206"/>
      <c r="U77" s="524"/>
      <c r="V77" s="524"/>
      <c r="W77" s="524"/>
      <c r="X77" s="524"/>
      <c r="Y77" s="524"/>
      <c r="Z77" s="524"/>
      <c r="AA77" s="524"/>
      <c r="AB77" s="524"/>
      <c r="AC77" s="524"/>
      <c r="AD77" s="524"/>
      <c r="AE77" s="524"/>
      <c r="AF77" s="524"/>
    </row>
    <row r="78" spans="1:32" s="106" customFormat="1" ht="16.5" customHeight="1">
      <c r="A78" s="109"/>
      <c r="B78" s="108"/>
      <c r="C78" s="107"/>
      <c r="D78" s="107"/>
      <c r="E78" s="107"/>
      <c r="F78" s="107"/>
      <c r="G78" s="107"/>
      <c r="H78" s="107"/>
      <c r="I78" s="107"/>
      <c r="J78" s="107"/>
      <c r="K78" s="107"/>
      <c r="L78" s="107"/>
      <c r="M78" s="107"/>
      <c r="N78" s="107"/>
      <c r="T78" s="206"/>
      <c r="U78" s="524"/>
      <c r="V78" s="524"/>
      <c r="W78" s="524"/>
      <c r="X78" s="524"/>
      <c r="Y78" s="524"/>
      <c r="Z78" s="524"/>
      <c r="AA78" s="524"/>
      <c r="AB78" s="524"/>
      <c r="AC78" s="524"/>
      <c r="AD78" s="524"/>
      <c r="AE78" s="524"/>
      <c r="AF78" s="524"/>
    </row>
    <row r="79" spans="1:32" ht="13.2">
      <c r="A79" s="42" t="s">
        <v>116</v>
      </c>
      <c r="C79" s="105"/>
      <c r="T79" s="206"/>
      <c r="U79" s="523"/>
      <c r="V79" s="523"/>
      <c r="W79" s="523"/>
      <c r="X79" s="523"/>
      <c r="Y79" s="523"/>
      <c r="Z79" s="523"/>
      <c r="AA79" s="523"/>
      <c r="AB79" s="523"/>
      <c r="AC79" s="523"/>
      <c r="AD79" s="523"/>
      <c r="AE79" s="523"/>
      <c r="AF79" s="523"/>
    </row>
    <row r="80" spans="1:32" ht="13.2">
      <c r="A80"/>
      <c r="B80" s="10" t="s">
        <v>338</v>
      </c>
      <c r="C80" s="105"/>
      <c r="D80" s="105"/>
      <c r="E80" s="105"/>
      <c r="F80" s="105"/>
      <c r="G80" s="105"/>
      <c r="H80" s="105"/>
      <c r="I80" s="105"/>
      <c r="J80" s="105"/>
      <c r="K80" s="105"/>
      <c r="L80" s="105"/>
      <c r="M80" s="105"/>
      <c r="N80" s="105"/>
    </row>
    <row r="81" spans="1:32" ht="13.2">
      <c r="A81"/>
      <c r="B81" s="81" t="s">
        <v>426</v>
      </c>
      <c r="U81" s="44"/>
      <c r="V81" s="44"/>
      <c r="W81" s="44"/>
      <c r="X81" s="44"/>
      <c r="Y81" s="44"/>
      <c r="Z81" s="44"/>
      <c r="AA81" s="44"/>
      <c r="AB81" s="44"/>
      <c r="AC81" s="44"/>
      <c r="AD81" s="44"/>
      <c r="AE81" s="44"/>
      <c r="AF81" s="44"/>
    </row>
    <row r="82" spans="1:32" ht="13.2">
      <c r="A82"/>
      <c r="B82" s="125" t="s">
        <v>431</v>
      </c>
      <c r="C82" s="104"/>
      <c r="U82" s="534"/>
      <c r="V82" s="534"/>
      <c r="W82" s="534"/>
      <c r="X82" s="534"/>
      <c r="Y82" s="534"/>
      <c r="Z82" s="534"/>
      <c r="AA82" s="534"/>
      <c r="AB82" s="534"/>
      <c r="AC82" s="534"/>
      <c r="AD82" s="534"/>
      <c r="AE82" s="534"/>
      <c r="AF82" s="534"/>
    </row>
    <row r="83" spans="1:32" ht="13.2">
      <c r="A83"/>
      <c r="B83" s="153" t="s">
        <v>435</v>
      </c>
      <c r="E83" s="88"/>
      <c r="U83" s="534"/>
      <c r="V83" s="534"/>
      <c r="W83" s="534"/>
      <c r="X83" s="534"/>
      <c r="Y83" s="534"/>
      <c r="Z83" s="534"/>
      <c r="AA83" s="534"/>
      <c r="AB83" s="534"/>
      <c r="AC83" s="534"/>
      <c r="AD83" s="534"/>
      <c r="AE83" s="534"/>
      <c r="AF83" s="534"/>
    </row>
    <row r="84" spans="1:32" ht="13.2">
      <c r="A84"/>
      <c r="B84" t="s">
        <v>433</v>
      </c>
      <c r="C84" s="98"/>
      <c r="D84" s="98"/>
      <c r="E84" s="98"/>
      <c r="F84" s="98"/>
      <c r="G84" s="98"/>
      <c r="H84" s="98"/>
      <c r="I84" s="98"/>
      <c r="J84" s="98"/>
      <c r="K84" s="98"/>
      <c r="L84" s="98"/>
      <c r="M84" s="98"/>
      <c r="N84" s="98"/>
      <c r="U84" s="534"/>
      <c r="V84" s="534"/>
      <c r="W84" s="534"/>
      <c r="X84" s="534"/>
      <c r="Y84" s="534"/>
      <c r="Z84" s="534"/>
      <c r="AA84" s="534"/>
      <c r="AB84" s="534"/>
      <c r="AC84" s="534"/>
      <c r="AD84" s="534"/>
      <c r="AE84" s="534"/>
      <c r="AF84" s="534"/>
    </row>
    <row r="85" spans="1:32" ht="409.6">
      <c r="U85" s="534"/>
      <c r="V85" s="534"/>
      <c r="W85" s="534"/>
      <c r="X85" s="534"/>
      <c r="Y85" s="534"/>
      <c r="Z85" s="534"/>
      <c r="AA85" s="534"/>
      <c r="AB85" s="534"/>
      <c r="AC85" s="534"/>
      <c r="AD85" s="534"/>
      <c r="AE85" s="534"/>
      <c r="AF85" s="534"/>
    </row>
    <row r="86" spans="1:32" ht="409.6">
      <c r="U86" s="534"/>
      <c r="V86" s="534"/>
      <c r="W86" s="534"/>
      <c r="X86" s="534"/>
      <c r="Y86" s="534"/>
      <c r="Z86" s="534"/>
      <c r="AA86" s="534"/>
      <c r="AB86" s="534"/>
      <c r="AC86" s="534"/>
      <c r="AD86" s="534"/>
      <c r="AE86" s="534"/>
      <c r="AF86" s="534"/>
    </row>
    <row r="87" spans="1:32">
      <c r="U87" s="534"/>
      <c r="V87" s="534"/>
      <c r="W87" s="534"/>
      <c r="X87" s="534"/>
      <c r="Y87" s="534"/>
      <c r="Z87" s="534"/>
      <c r="AA87" s="534"/>
      <c r="AB87" s="534"/>
      <c r="AC87" s="534"/>
      <c r="AD87" s="534"/>
      <c r="AE87" s="534"/>
      <c r="AF87" s="534"/>
    </row>
    <row r="90" spans="1:32">
      <c r="G90" s="145"/>
    </row>
    <row r="91" spans="1:32" ht="409.6">
      <c r="G91" s="44"/>
    </row>
    <row r="93" spans="1:32">
      <c r="G93" s="150"/>
    </row>
  </sheetData>
  <mergeCells count="3">
    <mergeCell ref="C7:E7"/>
    <mergeCell ref="F7:L7"/>
    <mergeCell ref="M7:N7"/>
  </mergeCells>
  <conditionalFormatting sqref="C60:N60">
    <cfRule type="cellIs" dxfId="184" priority="8" operator="greaterThanOrEqual">
      <formula>C61</formula>
    </cfRule>
  </conditionalFormatting>
  <conditionalFormatting sqref="C59:N59">
    <cfRule type="cellIs" dxfId="183" priority="6" operator="greaterThanOrEqual">
      <formula>C60</formula>
    </cfRule>
  </conditionalFormatting>
  <conditionalFormatting sqref="C73:N73">
    <cfRule type="cellIs" dxfId="182" priority="4" operator="greaterThanOrEqual">
      <formula>C74</formula>
    </cfRule>
  </conditionalFormatting>
  <conditionalFormatting sqref="C72:N72">
    <cfRule type="cellIs" dxfId="181" priority="3" operator="greaterThan">
      <formula>C73</formula>
    </cfRule>
  </conditionalFormatting>
  <conditionalFormatting sqref="C65:N65">
    <cfRule type="cellIs" dxfId="180" priority="2" operator="greaterThanOrEqual">
      <formula>C66</formula>
    </cfRule>
  </conditionalFormatting>
  <conditionalFormatting sqref="C64:N64">
    <cfRule type="cellIs" dxfId="179" priority="1" operator="greaterThan">
      <formula>C65</formula>
    </cfRule>
  </conditionalFormatting>
  <pageMargins left="0" right="0" top="1" bottom="1" header="0.5" footer="0.5"/>
  <pageSetup scale="38" orientation="landscape" r:id="rId1"/>
  <headerFooter alignWithMargins="0">
    <oddFooter>&amp;LPrinted:  &amp;D&amp;C&amp;F&amp;RPage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pageSetUpPr fitToPage="1"/>
  </sheetPr>
  <dimension ref="A1:AF97"/>
  <sheetViews>
    <sheetView showGridLines="0" zoomScale="75" zoomScaleNormal="75" workbookViewId="0">
      <selection activeCell="B2" sqref="B1:B2"/>
    </sheetView>
  </sheetViews>
  <sheetFormatPr defaultRowHeight="15"/>
  <cols>
    <col min="1" max="1" width="2.6640625" style="99" customWidth="1"/>
    <col min="2" max="2" width="23.33203125" customWidth="1"/>
    <col min="3" max="14" width="16.44140625" customWidth="1"/>
    <col min="15" max="15" width="2.6640625" customWidth="1"/>
    <col min="16" max="16" width="12.88671875" bestFit="1" customWidth="1"/>
    <col min="19" max="19" width="16.109375" bestFit="1" customWidth="1"/>
    <col min="20" max="29" width="10.6640625" bestFit="1" customWidth="1"/>
    <col min="30" max="30" width="9.44140625" bestFit="1" customWidth="1"/>
    <col min="31" max="31" width="7" customWidth="1"/>
    <col min="32" max="32" width="8.44140625" customWidth="1"/>
    <col min="33" max="33" width="11.5546875" bestFit="1" customWidth="1"/>
  </cols>
  <sheetData>
    <row r="1" spans="1:16" s="8" customFormat="1" ht="15.6">
      <c r="A1" s="624"/>
      <c r="B1" s="8" t="s">
        <v>1287</v>
      </c>
    </row>
    <row r="2" spans="1:16" s="8" customFormat="1" ht="15.6">
      <c r="A2" s="624"/>
      <c r="B2" s="8" t="s">
        <v>1267</v>
      </c>
    </row>
    <row r="3" spans="1:16" s="8" customFormat="1" ht="15.6">
      <c r="A3" s="624"/>
    </row>
    <row r="4" spans="1:16" ht="21">
      <c r="A4" s="124" t="s">
        <v>440</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67</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0.92704825367568922</v>
      </c>
      <c r="D13" s="115">
        <f>VLOOKUP($B$9,'Avg KWH'!$A$12:$O$38,D9,FALSE)/HOURS!C15/VLOOKUP($B$9,'Avg CP'!$A$12:$P$38,D9,FALSE)</f>
        <v>0.70680822384704611</v>
      </c>
      <c r="E13" s="115">
        <f>VLOOKUP($B$9,'Avg KWH'!$A$12:$O$38,E9,FALSE)/HOURS!D15/VLOOKUP($B$9,'Avg CP'!$A$12:$P$38,E9,FALSE)</f>
        <v>0.88240066597326416</v>
      </c>
      <c r="F13" s="115">
        <f>VLOOKUP($B$9,'Avg KWH'!$A$12:$O$38,F9,FALSE)/HOURS!E15/VLOOKUP($B$9,'Avg CP'!$A$12:$P$38,F9,FALSE)</f>
        <v>0.74461724831386777</v>
      </c>
      <c r="G13" s="115">
        <f>VLOOKUP($B$9,'Avg KWH'!$A$12:$O$38,G9,FALSE)/HOURS!F15/VLOOKUP($B$9,'Avg CP'!$A$12:$P$38,G9,FALSE)</f>
        <v>0.74532161427134636</v>
      </c>
      <c r="H13" s="115">
        <f>VLOOKUP($B$9,'Avg KWH'!$A$12:$O$38,H9,FALSE)/HOURS!G15/VLOOKUP($B$9,'Avg CP'!$A$12:$P$38,H9,FALSE)</f>
        <v>0.73844679956563519</v>
      </c>
      <c r="I13" s="115">
        <f>VLOOKUP($B$9,'Avg KWH'!$A$12:$O$38,I9,FALSE)/HOURS!H15/VLOOKUP($B$9,'Avg CP'!$A$12:$P$38,I9,FALSE)</f>
        <v>0.74376615903289189</v>
      </c>
      <c r="J13" s="115">
        <f>VLOOKUP($B$9,'Avg KWH'!$A$12:$O$38,J9,FALSE)/HOURS!I15/VLOOKUP($B$9,'Avg CP'!$A$12:$P$38,J9,FALSE)</f>
        <v>0.76478717263142471</v>
      </c>
      <c r="K13" s="115">
        <f>VLOOKUP($B$9,'Avg KWH'!$A$12:$O$38,K9,FALSE)/HOURS!J15/VLOOKUP($B$9,'Avg CP'!$A$12:$P$38,K9,FALSE)</f>
        <v>0.76882646831457946</v>
      </c>
      <c r="L13" s="115">
        <f>VLOOKUP($B$9,'Avg KWH'!$A$12:$O$38,L9,FALSE)/HOURS!K15/VLOOKUP($B$9,'Avg CP'!$A$12:$P$38,L9,FALSE)</f>
        <v>0.72414001631166602</v>
      </c>
      <c r="M13" s="115">
        <f>VLOOKUP($B$9,'Avg KWH'!$A$12:$O$38,M9,FALSE)/HOURS!L15/VLOOKUP($B$9,'Avg CP'!$A$12:$P$38,M9,FALSE)</f>
        <v>0.70467305348257236</v>
      </c>
      <c r="N13" s="115">
        <f>VLOOKUP($B$9,'Avg KWH'!$A$12:$O$38,N9,FALSE)/HOURS!M15/VLOOKUP($B$9,'Avg CP'!$A$12:$P$38,N9,FALSE)</f>
        <v>0.76764548608558869</v>
      </c>
    </row>
    <row r="14" spans="1:16" s="110" customFormat="1">
      <c r="A14" s="119"/>
      <c r="B14" s="118" t="s">
        <v>342</v>
      </c>
      <c r="C14" s="115">
        <f>VLOOKUP($B$9,'Avg KWH'!$A$12:$O$38,C9,FALSE)/HOURS!B15/VLOOKUP($B$9,'Avg GNCP'!$A$11:$P$37,C9,FALSE)</f>
        <v>0.68609801712550988</v>
      </c>
      <c r="D14" s="115">
        <f>VLOOKUP($B$9,'Avg KWH'!$A$12:$O$38,D9,FALSE)/HOURS!C15/VLOOKUP($B$9,'Avg GNCP'!$A$11:$P$37,D9,FALSE)</f>
        <v>0.68589246270585058</v>
      </c>
      <c r="E14" s="115">
        <f>VLOOKUP($B$9,'Avg KWH'!$A$12:$O$38,E9,FALSE)/HOURS!D15/VLOOKUP($B$9,'Avg GNCP'!$A$11:$P$37,E9,FALSE)</f>
        <v>0.69191161804984547</v>
      </c>
      <c r="F14" s="115">
        <f>VLOOKUP($B$9,'Avg KWH'!$A$12:$O$38,F9,FALSE)/HOURS!E15/VLOOKUP($B$9,'Avg GNCP'!$A$11:$P$37,F9,FALSE)</f>
        <v>0.67645415787293606</v>
      </c>
      <c r="G14" s="115">
        <f>VLOOKUP($B$9,'Avg KWH'!$A$12:$O$38,G9,FALSE)/HOURS!F15/VLOOKUP($B$9,'Avg GNCP'!$A$11:$P$37,G9,FALSE)</f>
        <v>0.69195357146534631</v>
      </c>
      <c r="H14" s="115">
        <f>VLOOKUP($B$9,'Avg KWH'!$A$12:$O$38,H9,FALSE)/HOURS!G15/VLOOKUP($B$9,'Avg GNCP'!$A$11:$P$37,H9,FALSE)</f>
        <v>0.7003908047595343</v>
      </c>
      <c r="I14" s="115">
        <f>VLOOKUP($B$9,'Avg KWH'!$A$12:$O$38,I9,FALSE)/HOURS!H15/VLOOKUP($B$9,'Avg GNCP'!$A$11:$P$37,I9,FALSE)</f>
        <v>0.70797275344401922</v>
      </c>
      <c r="J14" s="115">
        <f>VLOOKUP($B$9,'Avg KWH'!$A$12:$O$38,J9,FALSE)/HOURS!I15/VLOOKUP($B$9,'Avg GNCP'!$A$11:$P$37,J9,FALSE)</f>
        <v>0.70983557238212802</v>
      </c>
      <c r="K14" s="115">
        <f>VLOOKUP($B$9,'Avg KWH'!$A$12:$O$38,K9,FALSE)/HOURS!J15/VLOOKUP($B$9,'Avg GNCP'!$A$11:$P$37,K9,FALSE)</f>
        <v>0.69906967761017613</v>
      </c>
      <c r="L14" s="115">
        <f>VLOOKUP($B$9,'Avg KWH'!$A$12:$O$38,L9,FALSE)/HOURS!K15/VLOOKUP($B$9,'Avg GNCP'!$A$11:$P$37,L9,FALSE)</f>
        <v>0.68320446536501134</v>
      </c>
      <c r="M14" s="115">
        <f>VLOOKUP($B$9,'Avg KWH'!$A$12:$O$38,M9,FALSE)/HOURS!L15/VLOOKUP($B$9,'Avg GNCP'!$A$11:$P$37,M9,FALSE)</f>
        <v>0.67088408359812235</v>
      </c>
      <c r="N14" s="115">
        <f>VLOOKUP($B$9,'Avg KWH'!$A$12:$O$38,N9,FALSE)/HOURS!M15/VLOOKUP($B$9,'Avg GNCP'!$A$11:$P$37,N9,FALSE)</f>
        <v>0.67894714096801956</v>
      </c>
    </row>
    <row r="15" spans="1:16" s="10" customFormat="1">
      <c r="A15" s="119"/>
      <c r="B15" s="148" t="s">
        <v>133</v>
      </c>
      <c r="C15" s="115">
        <f>VLOOKUP($B$9,'Avg KWH'!$A$12:$O$38,C9,FALSE)/HOURS!B15/VLOOKUP($B$9,'Avg NCP'!$B$12:$P$38,C9-1,FALSE)</f>
        <v>0.47227203315420813</v>
      </c>
      <c r="D15" s="115">
        <f>VLOOKUP($B$9,'Avg KWH'!$A$12:$O$38,D9,FALSE)/HOURS!C15/VLOOKUP($B$9,'Avg NCP'!$B$12:$P$38,D9-1,FALSE)</f>
        <v>0.47868692839476418</v>
      </c>
      <c r="E15" s="115">
        <f>VLOOKUP($B$9,'Avg KWH'!$A$12:$O$38,E9,FALSE)/HOURS!D15/VLOOKUP($B$9,'Avg NCP'!$B$12:$P$38,E9-1,FALSE)</f>
        <v>0.47741230319794636</v>
      </c>
      <c r="F15" s="115">
        <f>VLOOKUP($B$9,'Avg KWH'!$A$12:$O$38,F9,FALSE)/HOURS!E15/VLOOKUP($B$9,'Avg NCP'!$B$12:$P$38,F9-1,FALSE)</f>
        <v>0.49395666519914144</v>
      </c>
      <c r="G15" s="115">
        <f>VLOOKUP($B$9,'Avg KWH'!$A$12:$O$38,G9,FALSE)/HOURS!F15/VLOOKUP($B$9,'Avg NCP'!$B$12:$P$38,G9-1,FALSE)</f>
        <v>0.50961636362069873</v>
      </c>
      <c r="H15" s="115">
        <f>VLOOKUP($B$9,'Avg KWH'!$A$12:$O$38,H9,FALSE)/HOURS!G15/VLOOKUP($B$9,'Avg NCP'!$B$12:$P$38,H9-1,FALSE)</f>
        <v>0.52036416871799307</v>
      </c>
      <c r="I15" s="115">
        <f>VLOOKUP($B$9,'Avg KWH'!$A$12:$O$38,I9,FALSE)/HOURS!H15/VLOOKUP($B$9,'Avg NCP'!$B$12:$P$38,I9-1,FALSE)</f>
        <v>0.53269135734457163</v>
      </c>
      <c r="J15" s="115">
        <f>VLOOKUP($B$9,'Avg KWH'!$A$12:$O$38,J9,FALSE)/HOURS!I15/VLOOKUP($B$9,'Avg NCP'!$B$12:$P$38,J9-1,FALSE)</f>
        <v>0.53473698228339983</v>
      </c>
      <c r="K15" s="115">
        <f>VLOOKUP($B$9,'Avg KWH'!$A$12:$O$38,K9,FALSE)/HOURS!J15/VLOOKUP($B$9,'Avg NCP'!$B$12:$P$38,K9-1,FALSE)</f>
        <v>0.52443166629736404</v>
      </c>
      <c r="L15" s="115">
        <f>VLOOKUP($B$9,'Avg KWH'!$A$12:$O$38,L9,FALSE)/HOURS!K15/VLOOKUP($B$9,'Avg NCP'!$B$12:$P$38,L9-1,FALSE)</f>
        <v>0.50487419724995108</v>
      </c>
      <c r="M15" s="115">
        <f>VLOOKUP($B$9,'Avg KWH'!$A$12:$O$38,M9,FALSE)/HOURS!L15/VLOOKUP($B$9,'Avg NCP'!$B$12:$P$38,M9-1,FALSE)</f>
        <v>0.47909762087098384</v>
      </c>
      <c r="N15" s="115">
        <f>VLOOKUP($B$9,'Avg KWH'!$A$12:$O$38,N9,FALSE)/HOURS!M15/VLOOKUP($B$9,'Avg NCP'!$B$12:$P$38,N9-1,FALSE)</f>
        <v>0.4837613880420184</v>
      </c>
    </row>
    <row r="16" spans="1:16">
      <c r="A16" s="114"/>
      <c r="C16" s="116"/>
      <c r="D16" s="116"/>
      <c r="E16" s="116"/>
      <c r="F16" s="116"/>
      <c r="G16" s="116"/>
      <c r="H16" s="116"/>
      <c r="I16" s="116"/>
      <c r="J16" s="116"/>
      <c r="K16" s="116"/>
      <c r="L16" s="116"/>
      <c r="M16" s="117"/>
      <c r="N16" s="116"/>
    </row>
    <row r="17" spans="1:21" ht="15.6">
      <c r="A17" s="113" t="s">
        <v>421</v>
      </c>
      <c r="C17" s="5"/>
      <c r="D17" s="5"/>
      <c r="E17" s="5"/>
      <c r="F17" s="5"/>
      <c r="G17" s="5"/>
      <c r="H17" s="5"/>
      <c r="I17" s="5"/>
      <c r="J17" s="5"/>
      <c r="K17" s="5"/>
      <c r="L17" s="5"/>
      <c r="M17" s="115"/>
      <c r="N17" s="5"/>
    </row>
    <row r="18" spans="1:21">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21">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21">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c r="U20" s="110"/>
    </row>
    <row r="21" spans="1:21">
      <c r="A21" s="114"/>
      <c r="C21" s="5"/>
      <c r="D21" s="5"/>
      <c r="E21" s="5"/>
      <c r="F21" s="5"/>
      <c r="G21" s="5"/>
      <c r="H21" s="5"/>
      <c r="I21" s="5"/>
      <c r="J21" s="5"/>
      <c r="K21" s="5"/>
      <c r="L21" s="5"/>
      <c r="M21" s="115"/>
      <c r="N21" s="5"/>
      <c r="U21" s="10"/>
    </row>
    <row r="22" spans="1:21" ht="15.6">
      <c r="A22" s="113" t="s">
        <v>427</v>
      </c>
      <c r="C22" s="5"/>
      <c r="D22" s="5"/>
      <c r="E22" s="5"/>
      <c r="F22" s="5"/>
      <c r="G22" s="5"/>
      <c r="H22" s="5"/>
      <c r="I22" s="5"/>
      <c r="J22" s="5"/>
      <c r="K22" s="5"/>
      <c r="L22" s="5"/>
      <c r="M22" s="115"/>
      <c r="N22" s="5"/>
    </row>
    <row r="23" spans="1:21">
      <c r="A23" s="114"/>
      <c r="B23" t="s">
        <v>428</v>
      </c>
      <c r="C23" s="145">
        <v>0</v>
      </c>
      <c r="D23" s="145">
        <v>0</v>
      </c>
      <c r="E23" s="145">
        <v>0</v>
      </c>
      <c r="F23" s="145">
        <v>0</v>
      </c>
      <c r="G23" s="145">
        <v>0</v>
      </c>
      <c r="H23" s="145">
        <v>0</v>
      </c>
      <c r="I23" s="145">
        <v>0</v>
      </c>
      <c r="J23" s="145">
        <v>0</v>
      </c>
      <c r="K23" s="145">
        <v>0</v>
      </c>
      <c r="L23" s="145">
        <v>0</v>
      </c>
      <c r="M23" s="145">
        <v>0</v>
      </c>
      <c r="N23" s="145">
        <v>0</v>
      </c>
    </row>
    <row r="24" spans="1:21">
      <c r="A24" s="114"/>
      <c r="B24" t="s">
        <v>429</v>
      </c>
      <c r="C24" s="145">
        <v>0</v>
      </c>
      <c r="D24" s="145">
        <v>0</v>
      </c>
      <c r="E24" s="145">
        <v>0</v>
      </c>
      <c r="F24" s="145">
        <v>0</v>
      </c>
      <c r="G24" s="145">
        <v>0</v>
      </c>
      <c r="H24" s="145">
        <v>0</v>
      </c>
      <c r="I24" s="145">
        <v>0</v>
      </c>
      <c r="J24" s="145">
        <v>0</v>
      </c>
      <c r="K24" s="145">
        <v>0</v>
      </c>
      <c r="L24" s="145">
        <v>0</v>
      </c>
      <c r="M24" s="145">
        <v>0</v>
      </c>
      <c r="N24" s="145">
        <v>0</v>
      </c>
    </row>
    <row r="25" spans="1:21">
      <c r="A25" s="114"/>
      <c r="C25" s="5"/>
      <c r="D25" s="5"/>
      <c r="E25" s="5"/>
      <c r="F25" s="5"/>
      <c r="G25" s="5"/>
      <c r="H25" s="5"/>
      <c r="I25" s="5"/>
      <c r="J25" s="5"/>
      <c r="K25" s="5"/>
      <c r="L25" s="5"/>
      <c r="M25" s="115"/>
      <c r="N25" s="5"/>
    </row>
    <row r="26" spans="1:21" ht="15.6">
      <c r="A26" s="113" t="s">
        <v>424</v>
      </c>
      <c r="C26" s="5"/>
      <c r="D26" s="5"/>
      <c r="E26" s="5"/>
      <c r="F26" s="5"/>
      <c r="G26" s="5"/>
      <c r="H26" s="5"/>
      <c r="I26" s="5"/>
      <c r="J26" s="5"/>
      <c r="K26" s="5"/>
      <c r="L26" s="5"/>
      <c r="M26" s="115"/>
      <c r="N26" s="5"/>
    </row>
    <row r="27" spans="1:21" s="106" customFormat="1">
      <c r="A27" s="109"/>
      <c r="B27" s="108" t="str">
        <f>"PRIOR - "&amp;MANUAL!$B$9</f>
        <v>PRIOR - 2016</v>
      </c>
      <c r="C27" s="142">
        <f>VLOOKUP($B$9,'Sales Forecast'!$B$7:$AO$23,C9-1,FALSE)</f>
        <v>2112365487</v>
      </c>
      <c r="D27" s="142">
        <f>VLOOKUP($B$9,'Sales Forecast'!$B$7:$AO$23,D9-1,FALSE)</f>
        <v>1871127005</v>
      </c>
      <c r="E27" s="142">
        <f>VLOOKUP($B$9,'Sales Forecast'!$B$7:$AO$23,E9-1,FALSE)</f>
        <v>1926669163</v>
      </c>
      <c r="F27" s="142">
        <f>VLOOKUP($B$9,'Sales Forecast'!$B$7:$AO$23,F9-1,FALSE)</f>
        <v>1972846408</v>
      </c>
      <c r="G27" s="142">
        <f>VLOOKUP($B$9,'Sales Forecast'!$B$7:$AO$23,G9-1,FALSE)</f>
        <v>2177795095</v>
      </c>
      <c r="H27" s="142">
        <f>VLOOKUP($B$9,'Sales Forecast'!$B$7:$AO$23,H9-1,FALSE)</f>
        <v>2294095328</v>
      </c>
      <c r="I27" s="142">
        <f>VLOOKUP($B$9,'Sales Forecast'!$B$7:$AO$23,I9-1,FALSE)</f>
        <v>2384746771</v>
      </c>
      <c r="J27" s="142">
        <f>VLOOKUP($B$9,'Sales Forecast'!$B$7:$AO$23,J9-1,FALSE)</f>
        <v>2377352624</v>
      </c>
      <c r="K27" s="142">
        <f>VLOOKUP($B$9,'Sales Forecast'!$B$7:$AO$23,K9-1,FALSE)</f>
        <v>2360757443</v>
      </c>
      <c r="L27" s="142">
        <f>VLOOKUP($B$9,'Sales Forecast'!$B$7:$AO$23,L9-1,FALSE)</f>
        <v>2223054052</v>
      </c>
      <c r="M27" s="142">
        <f>VLOOKUP($B$9,'Sales Forecast'!$B$7:$AO$23,M9-1,FALSE)</f>
        <v>2043964770</v>
      </c>
      <c r="N27" s="142">
        <f>VLOOKUP($B$9,'Sales Forecast'!$B$7:$AO$23,N9-1,FALSE)</f>
        <v>2071163198</v>
      </c>
      <c r="U27"/>
    </row>
    <row r="28" spans="1:21" s="12" customFormat="1" ht="15.6">
      <c r="A28" s="111"/>
      <c r="B28" s="108" t="str">
        <f>"TEST - "&amp;MANUAL!$B$10</f>
        <v>TEST - 2017</v>
      </c>
      <c r="C28" s="142">
        <f>VLOOKUP($B$9,'Sales Forecast'!$B$7:$AO$23,C9+11,FALSE)</f>
        <v>2125027898</v>
      </c>
      <c r="D28" s="142">
        <f>VLOOKUP($B$9,'Sales Forecast'!$B$7:$AO$23,D9+11,FALSE)</f>
        <v>1868655365</v>
      </c>
      <c r="E28" s="142">
        <f>VLOOKUP($B$9,'Sales Forecast'!$B$7:$AO$23,E9+11,FALSE)</f>
        <v>1921617542</v>
      </c>
      <c r="F28" s="142">
        <f>VLOOKUP($B$9,'Sales Forecast'!$B$7:$AO$23,F9+11,FALSE)</f>
        <v>1978696349</v>
      </c>
      <c r="G28" s="142">
        <f>VLOOKUP($B$9,'Sales Forecast'!$B$7:$AO$23,G9+11,FALSE)</f>
        <v>2175878238</v>
      </c>
      <c r="H28" s="142">
        <f>VLOOKUP($B$9,'Sales Forecast'!$B$7:$AO$23,H9+11,FALSE)</f>
        <v>2293502526</v>
      </c>
      <c r="I28" s="142">
        <f>VLOOKUP($B$9,'Sales Forecast'!$B$7:$AO$23,I9+11,FALSE)</f>
        <v>2382585585</v>
      </c>
      <c r="J28" s="142">
        <f>VLOOKUP($B$9,'Sales Forecast'!$B$7:$AO$23,J9+11,FALSE)</f>
        <v>2376881395</v>
      </c>
      <c r="K28" s="142">
        <f>VLOOKUP($B$9,'Sales Forecast'!$B$7:$AO$23,K9+11,FALSE)</f>
        <v>2357807650</v>
      </c>
      <c r="L28" s="142">
        <f>VLOOKUP($B$9,'Sales Forecast'!$B$7:$AO$23,L9+11,FALSE)</f>
        <v>2225515867</v>
      </c>
      <c r="M28" s="142">
        <f>VLOOKUP($B$9,'Sales Forecast'!$B$7:$AO$23,M9+11,FALSE)</f>
        <v>2047495255</v>
      </c>
      <c r="N28" s="142">
        <f>VLOOKUP($B$9,'Sales Forecast'!$B$7:$AO$23,N9+11,FALSE)</f>
        <v>2071765114</v>
      </c>
      <c r="U28"/>
    </row>
    <row r="29" spans="1:21">
      <c r="A29" s="114"/>
      <c r="B29" t="s">
        <v>1094</v>
      </c>
      <c r="C29" s="142">
        <f>VLOOKUP($B$9,'Sales Forecast'!$B$7:$AO$23,C9+23,FALSE)</f>
        <v>2126959738</v>
      </c>
      <c r="D29" s="142">
        <f>VLOOKUP($B$9,'Sales Forecast'!$B$7:$AO$23,D9+23,FALSE)</f>
        <v>1873797784</v>
      </c>
      <c r="E29" s="142">
        <f>VLOOKUP($B$9,'Sales Forecast'!$B$7:$AO$23,E9+23,FALSE)</f>
        <v>1930704311</v>
      </c>
      <c r="F29" s="142">
        <f>VLOOKUP($B$9,'Sales Forecast'!$B$7:$AO$23,F9+23,FALSE)</f>
        <v>1991087521</v>
      </c>
      <c r="G29" s="142">
        <f>VLOOKUP($B$9,'Sales Forecast'!$B$7:$AO$23,G9+23,FALSE)</f>
        <v>2189052499</v>
      </c>
      <c r="H29" s="142">
        <f>VLOOKUP($B$9,'Sales Forecast'!$B$7:$AO$23,H9+23,FALSE)</f>
        <v>2306918989</v>
      </c>
      <c r="I29" s="142">
        <f>VLOOKUP($B$9,'Sales Forecast'!$B$7:$AO$23,I9+23,FALSE)</f>
        <v>2395264761</v>
      </c>
      <c r="J29" s="142">
        <f>VLOOKUP($B$9,'Sales Forecast'!$B$7:$AO$23,J9+23,FALSE)</f>
        <v>2388332886</v>
      </c>
      <c r="K29" s="142">
        <f>VLOOKUP($B$9,'Sales Forecast'!$B$7:$AO$23,K9+23,FALSE)</f>
        <v>2366641005</v>
      </c>
      <c r="L29" s="142">
        <f>VLOOKUP($B$9,'Sales Forecast'!$B$7:$AO$23,L9+23,FALSE)</f>
        <v>2236585324</v>
      </c>
      <c r="M29" s="142">
        <f>VLOOKUP($B$9,'Sales Forecast'!$B$7:$AO$23,M9+23,FALSE)</f>
        <v>2059115027</v>
      </c>
      <c r="N29" s="142">
        <f>VLOOKUP($B$9,'Sales Forecast'!$B$7:$AO$23,N9+23,FALSE)</f>
        <v>2085282411</v>
      </c>
    </row>
    <row r="30" spans="1:21">
      <c r="A30" s="114"/>
      <c r="C30" s="142"/>
      <c r="D30" s="142"/>
      <c r="E30" s="142"/>
      <c r="F30" s="142"/>
      <c r="G30" s="142"/>
      <c r="H30" s="142"/>
      <c r="I30" s="142"/>
      <c r="J30" s="142"/>
      <c r="K30" s="142"/>
      <c r="L30" s="142"/>
      <c r="M30" s="142"/>
      <c r="N30" s="142"/>
    </row>
    <row r="31" spans="1:21" s="12" customFormat="1" ht="15.6">
      <c r="A31" s="113" t="s">
        <v>1248</v>
      </c>
      <c r="B31"/>
      <c r="C31" s="142"/>
      <c r="D31" s="142"/>
      <c r="E31" s="142"/>
      <c r="F31" s="142"/>
      <c r="G31" s="142"/>
      <c r="H31" s="142"/>
      <c r="I31" s="142"/>
      <c r="J31" s="142"/>
      <c r="K31" s="142"/>
      <c r="L31" s="142"/>
      <c r="M31" s="142"/>
      <c r="N31" s="142"/>
      <c r="U31"/>
    </row>
    <row r="32" spans="1:21" s="12" customFormat="1">
      <c r="A32" s="114"/>
      <c r="B32" t="s">
        <v>1254</v>
      </c>
      <c r="C32" s="115">
        <v>0</v>
      </c>
      <c r="D32" s="115">
        <v>0</v>
      </c>
      <c r="E32" s="115">
        <v>0</v>
      </c>
      <c r="F32" s="115">
        <v>0</v>
      </c>
      <c r="G32" s="115">
        <v>0</v>
      </c>
      <c r="H32" s="115">
        <v>0</v>
      </c>
      <c r="I32" s="115">
        <v>0</v>
      </c>
      <c r="J32" s="115">
        <v>0</v>
      </c>
      <c r="K32" s="115">
        <v>0</v>
      </c>
      <c r="L32" s="115">
        <v>0</v>
      </c>
      <c r="M32" s="115">
        <v>0</v>
      </c>
      <c r="N32" s="115">
        <v>0</v>
      </c>
      <c r="U32"/>
    </row>
    <row r="33" spans="1:31" s="12" customFormat="1">
      <c r="A33" s="114"/>
      <c r="B33" t="s">
        <v>1253</v>
      </c>
      <c r="C33" s="508">
        <v>2.8800000000000002E-3</v>
      </c>
      <c r="D33" s="508">
        <v>2.8800000000000002E-3</v>
      </c>
      <c r="E33" s="508">
        <v>2.8800000000000002E-3</v>
      </c>
      <c r="F33" s="508">
        <v>2.8800000000000002E-3</v>
      </c>
      <c r="G33" s="508">
        <v>2.8800000000000002E-3</v>
      </c>
      <c r="H33" s="508">
        <v>2.8800000000000002E-3</v>
      </c>
      <c r="I33" s="508">
        <v>2.8800000000000002E-3</v>
      </c>
      <c r="J33" s="508">
        <v>2.8800000000000002E-3</v>
      </c>
      <c r="K33" s="508">
        <v>2.8800000000000002E-3</v>
      </c>
      <c r="L33" s="508">
        <v>2.8800000000000002E-3</v>
      </c>
      <c r="M33" s="508">
        <v>2.8800000000000002E-3</v>
      </c>
      <c r="N33" s="508">
        <v>2.8800000000000002E-3</v>
      </c>
      <c r="S33"/>
      <c r="U33" s="106"/>
    </row>
    <row r="34" spans="1:31" s="12" customFormat="1">
      <c r="A34" s="114"/>
      <c r="B34" t="s">
        <v>1252</v>
      </c>
      <c r="C34" s="508">
        <v>0.99712000000000001</v>
      </c>
      <c r="D34" s="508">
        <v>0.99712000000000001</v>
      </c>
      <c r="E34" s="508">
        <v>0.99712000000000001</v>
      </c>
      <c r="F34" s="508">
        <v>0.99712000000000001</v>
      </c>
      <c r="G34" s="508">
        <v>0.99712000000000001</v>
      </c>
      <c r="H34" s="508">
        <v>0.99712000000000001</v>
      </c>
      <c r="I34" s="508">
        <v>0.99712000000000001</v>
      </c>
      <c r="J34" s="508">
        <v>0.99712000000000001</v>
      </c>
      <c r="K34" s="508">
        <v>0.99712000000000001</v>
      </c>
      <c r="L34" s="508">
        <v>0.99712000000000001</v>
      </c>
      <c r="M34" s="508">
        <v>0.99712000000000001</v>
      </c>
      <c r="N34" s="508">
        <v>0.99712000000000001</v>
      </c>
      <c r="S34" s="507"/>
    </row>
    <row r="35" spans="1:31" s="12" customFormat="1" ht="15.6">
      <c r="A35" s="114"/>
      <c r="B35" s="513">
        <v>2017</v>
      </c>
      <c r="C35" s="508"/>
      <c r="D35" s="508"/>
      <c r="E35" s="508"/>
      <c r="F35" s="508"/>
      <c r="G35" s="508"/>
      <c r="H35" s="508"/>
      <c r="I35" s="508"/>
      <c r="J35" s="508"/>
      <c r="K35" s="508"/>
      <c r="L35" s="508"/>
      <c r="M35" s="508"/>
      <c r="N35" s="508"/>
      <c r="S35" s="507"/>
    </row>
    <row r="36" spans="1:31"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S36"/>
      <c r="U36"/>
    </row>
    <row r="37" spans="1:31"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S37"/>
      <c r="U37"/>
    </row>
    <row r="38" spans="1:31"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508"/>
    </row>
    <row r="39" spans="1:31" s="12" customFormat="1">
      <c r="A39" s="114"/>
      <c r="B39" t="s">
        <v>1255</v>
      </c>
      <c r="C39" s="107">
        <f>(+C$28/C$19/C13)+C23</f>
        <v>3080983.4134156611</v>
      </c>
      <c r="D39" s="107">
        <f t="shared" ref="D39:N39" si="0">(+D$28/D$19/D13)+D23</f>
        <v>3934217.3116811002</v>
      </c>
      <c r="E39" s="107">
        <f t="shared" si="0"/>
        <v>2927036.8625945454</v>
      </c>
      <c r="F39" s="107">
        <f t="shared" si="0"/>
        <v>3690740.9542744122</v>
      </c>
      <c r="G39" s="107">
        <f t="shared" si="0"/>
        <v>3923900.0562900789</v>
      </c>
      <c r="H39" s="107">
        <f t="shared" si="0"/>
        <v>4313675.9166316502</v>
      </c>
      <c r="I39" s="107">
        <f t="shared" si="0"/>
        <v>4305654.3255513841</v>
      </c>
      <c r="J39" s="107">
        <f t="shared" si="0"/>
        <v>4177283.7883819244</v>
      </c>
      <c r="K39" s="107">
        <f t="shared" si="0"/>
        <v>4259391.3999879425</v>
      </c>
      <c r="L39" s="107">
        <f t="shared" si="0"/>
        <v>4130809.9263854041</v>
      </c>
      <c r="M39" s="107">
        <f t="shared" si="0"/>
        <v>4035550.0975496746</v>
      </c>
      <c r="N39" s="107">
        <f t="shared" si="0"/>
        <v>3627495.4781137346</v>
      </c>
      <c r="S39"/>
    </row>
    <row r="40" spans="1:31" s="12" customFormat="1">
      <c r="A40" s="114"/>
      <c r="B40" t="s">
        <v>1256</v>
      </c>
      <c r="C40" s="107">
        <f t="shared" ref="C40:N40" si="1">(C39*C32*C36)+(C39*C33*C37)+(C39*C34*C38)</f>
        <v>3279167.4009313281</v>
      </c>
      <c r="D40" s="107">
        <f t="shared" si="1"/>
        <v>4187285.4947771374</v>
      </c>
      <c r="E40" s="107">
        <f t="shared" si="1"/>
        <v>3115318.2517472473</v>
      </c>
      <c r="F40" s="107">
        <f t="shared" si="1"/>
        <v>3928147.5420608036</v>
      </c>
      <c r="G40" s="107">
        <f t="shared" si="1"/>
        <v>4176304.5828390848</v>
      </c>
      <c r="H40" s="107">
        <f t="shared" si="1"/>
        <v>4591152.7411694992</v>
      </c>
      <c r="I40" s="107">
        <f t="shared" si="1"/>
        <v>4582615.1619474003</v>
      </c>
      <c r="J40" s="107">
        <f t="shared" si="1"/>
        <v>4445987.2012471957</v>
      </c>
      <c r="K40" s="107">
        <f t="shared" si="1"/>
        <v>4533376.3777596047</v>
      </c>
      <c r="L40" s="107">
        <f t="shared" si="1"/>
        <v>4396523.9121587873</v>
      </c>
      <c r="M40" s="107">
        <f t="shared" si="1"/>
        <v>4295136.5031983098</v>
      </c>
      <c r="N40" s="107">
        <f t="shared" si="1"/>
        <v>3860833.8061999045</v>
      </c>
      <c r="S40"/>
    </row>
    <row r="41" spans="1:31"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S41"/>
    </row>
    <row r="42" spans="1:31"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S42" s="522"/>
      <c r="T42" s="523"/>
      <c r="U42" s="523"/>
      <c r="V42" s="523"/>
      <c r="W42" s="523"/>
      <c r="X42" s="523"/>
      <c r="Y42" s="523"/>
      <c r="Z42" s="523"/>
      <c r="AA42" s="523"/>
      <c r="AB42" s="523"/>
      <c r="AC42" s="523"/>
      <c r="AD42" s="523"/>
      <c r="AE42" s="523"/>
    </row>
    <row r="43" spans="1:31" s="12" customFormat="1">
      <c r="A43" s="114"/>
      <c r="B43" t="s">
        <v>1259</v>
      </c>
      <c r="C43" s="235">
        <f>C40*C42/C41</f>
        <v>301986.61723759258</v>
      </c>
      <c r="D43" s="235">
        <f>D40*D42/D41</f>
        <v>28834.789080928007</v>
      </c>
      <c r="E43" s="235">
        <f t="shared" ref="E43:N43" si="2">E40*E42/E41</f>
        <v>370461.43547047878</v>
      </c>
      <c r="F43" s="235">
        <f t="shared" si="2"/>
        <v>314507.91691865446</v>
      </c>
      <c r="G43" s="235">
        <f t="shared" si="2"/>
        <v>418619.68476991419</v>
      </c>
      <c r="H43" s="235">
        <f t="shared" si="2"/>
        <v>236671.83784279763</v>
      </c>
      <c r="I43" s="235">
        <f t="shared" si="2"/>
        <v>292758.81365348352</v>
      </c>
      <c r="J43" s="235">
        <f t="shared" si="2"/>
        <v>432689.87981697777</v>
      </c>
      <c r="K43" s="235">
        <f t="shared" si="2"/>
        <v>42483.81642473361</v>
      </c>
      <c r="L43" s="235">
        <f t="shared" si="2"/>
        <v>87528.641924151816</v>
      </c>
      <c r="M43" s="235">
        <f t="shared" si="2"/>
        <v>-89067.210831381526</v>
      </c>
      <c r="N43" s="235">
        <f t="shared" si="2"/>
        <v>100437.63003431378</v>
      </c>
      <c r="S43" s="206"/>
      <c r="T43" s="523"/>
      <c r="U43" s="523"/>
      <c r="V43" s="523"/>
      <c r="W43" s="523"/>
      <c r="X43" s="523"/>
      <c r="Y43" s="523"/>
      <c r="Z43" s="523"/>
      <c r="AA43" s="523"/>
      <c r="AB43" s="523"/>
      <c r="AC43" s="523"/>
      <c r="AD43" s="523"/>
      <c r="AE43" s="523"/>
    </row>
    <row r="44" spans="1:31" s="12" customFormat="1">
      <c r="A44" s="114"/>
      <c r="B44" t="s">
        <v>1260</v>
      </c>
      <c r="C44" s="235">
        <f t="shared" ref="C44:N44" si="3">((C43*C32)/C36)+((C43*C33)/C37)+((C43*C34)/C38)</f>
        <v>283736.01237527857</v>
      </c>
      <c r="D44" s="235">
        <f>((D43*D32)/D36)+((D43*D33)/D37)+((D43*D34)/D38)</f>
        <v>27092.15443500214</v>
      </c>
      <c r="E44" s="235">
        <f t="shared" si="3"/>
        <v>348072.54507081612</v>
      </c>
      <c r="F44" s="235">
        <f t="shared" si="3"/>
        <v>295500.58550026966</v>
      </c>
      <c r="G44" s="235">
        <f t="shared" si="3"/>
        <v>393320.34361298068</v>
      </c>
      <c r="H44" s="235">
        <f t="shared" si="3"/>
        <v>222368.54111389592</v>
      </c>
      <c r="I44" s="235">
        <f t="shared" si="3"/>
        <v>275065.89243457455</v>
      </c>
      <c r="J44" s="235">
        <f t="shared" si="3"/>
        <v>406540.20438864973</v>
      </c>
      <c r="K44" s="235">
        <f t="shared" si="3"/>
        <v>39916.300838435716</v>
      </c>
      <c r="L44" s="235">
        <f t="shared" si="3"/>
        <v>82238.835797955675</v>
      </c>
      <c r="M44" s="235">
        <f t="shared" si="3"/>
        <v>-83684.421070890108</v>
      </c>
      <c r="N44" s="235">
        <f t="shared" si="3"/>
        <v>94367.667345797148</v>
      </c>
      <c r="S44" s="206"/>
      <c r="T44" s="523"/>
      <c r="U44" s="523"/>
      <c r="V44" s="523"/>
      <c r="W44" s="523"/>
      <c r="X44" s="523"/>
      <c r="Y44" s="523"/>
      <c r="Z44" s="523"/>
      <c r="AA44" s="523"/>
      <c r="AB44" s="523"/>
      <c r="AC44" s="523"/>
      <c r="AD44" s="523"/>
      <c r="AE44" s="523"/>
    </row>
    <row r="45" spans="1:31" s="12" customFormat="1" ht="15.6">
      <c r="A45" s="114"/>
      <c r="B45" s="513">
        <v>2018</v>
      </c>
      <c r="C45" s="235"/>
      <c r="D45" s="235"/>
      <c r="E45" s="235"/>
      <c r="F45" s="235"/>
      <c r="G45" s="235"/>
      <c r="H45" s="235"/>
      <c r="I45" s="235"/>
      <c r="J45" s="235"/>
      <c r="K45" s="235"/>
      <c r="L45" s="235"/>
      <c r="M45" s="235"/>
      <c r="N45" s="235"/>
      <c r="S45" s="206"/>
      <c r="T45" s="523"/>
      <c r="U45" s="523"/>
      <c r="V45" s="523"/>
      <c r="W45" s="523"/>
      <c r="X45" s="523"/>
      <c r="Y45" s="523"/>
      <c r="Z45" s="523"/>
      <c r="AA45" s="523"/>
      <c r="AB45" s="523"/>
      <c r="AC45" s="523"/>
      <c r="AD45" s="523"/>
      <c r="AE45" s="523"/>
    </row>
    <row r="46" spans="1:31" s="12" customFormat="1">
      <c r="A46" s="114"/>
      <c r="B46" t="s">
        <v>1249</v>
      </c>
      <c r="C46" s="532">
        <f>1.002383*1.019487</f>
        <v>1.0219164375210001</v>
      </c>
      <c r="D46" s="532">
        <f t="shared" ref="D46:N46" si="4">21239/21188</f>
        <v>1.0024070228431188</v>
      </c>
      <c r="E46" s="532">
        <f t="shared" si="4"/>
        <v>1.0024070228431188</v>
      </c>
      <c r="F46" s="532">
        <f t="shared" si="4"/>
        <v>1.0024070228431188</v>
      </c>
      <c r="G46" s="532">
        <f t="shared" si="4"/>
        <v>1.0024070228431188</v>
      </c>
      <c r="H46" s="532">
        <f t="shared" si="4"/>
        <v>1.0024070228431188</v>
      </c>
      <c r="I46" s="532">
        <f t="shared" si="4"/>
        <v>1.0024070228431188</v>
      </c>
      <c r="J46" s="532">
        <f t="shared" si="4"/>
        <v>1.0024070228431188</v>
      </c>
      <c r="K46" s="532">
        <f t="shared" si="4"/>
        <v>1.0024070228431188</v>
      </c>
      <c r="L46" s="532">
        <f t="shared" si="4"/>
        <v>1.0024070228431188</v>
      </c>
      <c r="M46" s="532">
        <f t="shared" si="4"/>
        <v>1.0024070228431188</v>
      </c>
      <c r="N46" s="532">
        <f t="shared" si="4"/>
        <v>1.0024070228431188</v>
      </c>
      <c r="S46" s="206"/>
      <c r="T46" s="523"/>
      <c r="U46" s="523"/>
      <c r="V46" s="523"/>
      <c r="W46" s="523"/>
      <c r="X46" s="523"/>
      <c r="Y46" s="523"/>
      <c r="Z46" s="523"/>
      <c r="AA46" s="523"/>
      <c r="AB46" s="523"/>
      <c r="AC46" s="523"/>
      <c r="AD46" s="523"/>
      <c r="AE46" s="523"/>
    </row>
    <row r="47" spans="1:31" s="12" customFormat="1">
      <c r="A47" s="114"/>
      <c r="B47" t="s">
        <v>1250</v>
      </c>
      <c r="C47" s="532">
        <f>(19545/19435)*(19435/19301)*((21239/21188)*(21188/20783))</f>
        <v>1.0348602160647178</v>
      </c>
      <c r="D47" s="532">
        <f t="shared" ref="D47:N47" si="5">1.005696*1.00693*1.0219</f>
        <v>1.0348428471448321</v>
      </c>
      <c r="E47" s="532">
        <f t="shared" si="5"/>
        <v>1.0348428471448321</v>
      </c>
      <c r="F47" s="532">
        <f t="shared" si="5"/>
        <v>1.0348428471448321</v>
      </c>
      <c r="G47" s="532">
        <f t="shared" si="5"/>
        <v>1.0348428471448321</v>
      </c>
      <c r="H47" s="532">
        <f t="shared" si="5"/>
        <v>1.0348428471448321</v>
      </c>
      <c r="I47" s="532">
        <f t="shared" si="5"/>
        <v>1.0348428471448321</v>
      </c>
      <c r="J47" s="532">
        <f t="shared" si="5"/>
        <v>1.0348428471448321</v>
      </c>
      <c r="K47" s="532">
        <f t="shared" si="5"/>
        <v>1.0348428471448321</v>
      </c>
      <c r="L47" s="532">
        <f t="shared" si="5"/>
        <v>1.0348428471448321</v>
      </c>
      <c r="M47" s="532">
        <f t="shared" si="5"/>
        <v>1.0348428471448321</v>
      </c>
      <c r="N47" s="532">
        <f t="shared" si="5"/>
        <v>1.0348428471448321</v>
      </c>
      <c r="S47" s="206"/>
      <c r="T47" s="524"/>
      <c r="U47" s="524"/>
      <c r="V47" s="524"/>
      <c r="W47" s="524"/>
      <c r="X47" s="524"/>
      <c r="Y47" s="524"/>
      <c r="Z47" s="524"/>
      <c r="AA47" s="524"/>
      <c r="AB47" s="524"/>
      <c r="AC47" s="524"/>
      <c r="AD47" s="524"/>
      <c r="AE47" s="524"/>
    </row>
    <row r="48" spans="1:31" s="12" customFormat="1">
      <c r="A48" s="114"/>
      <c r="B48" t="s">
        <v>1251</v>
      </c>
      <c r="C48" s="532">
        <v>1.06467</v>
      </c>
      <c r="D48" s="532">
        <v>1.06467</v>
      </c>
      <c r="E48" s="532">
        <v>1.06467</v>
      </c>
      <c r="F48" s="532">
        <v>1.06467</v>
      </c>
      <c r="G48" s="532">
        <v>1.06467</v>
      </c>
      <c r="H48" s="532">
        <v>1.06467</v>
      </c>
      <c r="I48" s="532">
        <v>1.06467</v>
      </c>
      <c r="J48" s="532">
        <v>1.06467</v>
      </c>
      <c r="K48" s="532">
        <v>1.06467</v>
      </c>
      <c r="L48" s="532">
        <v>1.06467</v>
      </c>
      <c r="M48" s="532">
        <v>1.06467</v>
      </c>
      <c r="N48" s="532">
        <v>1.06467</v>
      </c>
      <c r="O48" s="533"/>
      <c r="S48" s="206"/>
      <c r="T48" s="524"/>
      <c r="U48" s="524"/>
      <c r="V48" s="524"/>
      <c r="W48" s="524"/>
      <c r="X48" s="524"/>
      <c r="Y48" s="524"/>
      <c r="Z48" s="524"/>
      <c r="AA48" s="524"/>
      <c r="AB48" s="524"/>
      <c r="AC48" s="524"/>
      <c r="AD48" s="524"/>
      <c r="AE48" s="524"/>
    </row>
    <row r="49" spans="1:31" s="12" customFormat="1">
      <c r="A49" s="114"/>
      <c r="B49" t="s">
        <v>1255</v>
      </c>
      <c r="C49" s="235">
        <f>(+C$29/C$20/C13)+C23</f>
        <v>3083784.3022900964</v>
      </c>
      <c r="D49" s="235">
        <f t="shared" ref="D49:N49" si="6">(+D$29/D$20/D13)+D23</f>
        <v>3945044.023889597</v>
      </c>
      <c r="E49" s="235">
        <f t="shared" si="6"/>
        <v>2940877.9663748532</v>
      </c>
      <c r="F49" s="235">
        <f t="shared" si="6"/>
        <v>3713853.4475051044</v>
      </c>
      <c r="G49" s="235">
        <f t="shared" si="6"/>
        <v>3947658.0417217435</v>
      </c>
      <c r="H49" s="235">
        <f t="shared" si="6"/>
        <v>4338909.929968629</v>
      </c>
      <c r="I49" s="235">
        <f t="shared" si="6"/>
        <v>4328567.3110628063</v>
      </c>
      <c r="J49" s="235">
        <f t="shared" si="6"/>
        <v>4197409.3730273051</v>
      </c>
      <c r="K49" s="235">
        <f t="shared" si="6"/>
        <v>4275348.9003039841</v>
      </c>
      <c r="L49" s="235">
        <f t="shared" si="6"/>
        <v>4151356.0943697887</v>
      </c>
      <c r="M49" s="235">
        <f t="shared" si="6"/>
        <v>4058452.3103453307</v>
      </c>
      <c r="N49" s="235">
        <f t="shared" si="6"/>
        <v>3651163.1870699632</v>
      </c>
      <c r="S49" s="206"/>
      <c r="T49" s="524"/>
      <c r="U49" s="524"/>
      <c r="V49" s="524"/>
      <c r="W49" s="524"/>
      <c r="X49" s="524"/>
      <c r="Y49" s="524"/>
      <c r="Z49" s="524"/>
      <c r="AA49" s="524"/>
      <c r="AB49" s="524"/>
      <c r="AC49" s="524"/>
      <c r="AD49" s="524"/>
      <c r="AE49" s="524"/>
    </row>
    <row r="50" spans="1:31" s="12" customFormat="1">
      <c r="A50" s="114"/>
      <c r="B50" t="s">
        <v>1256</v>
      </c>
      <c r="C50" s="107">
        <v>3282945</v>
      </c>
      <c r="D50" s="107">
        <v>4199828</v>
      </c>
      <c r="E50" s="107">
        <v>3130810</v>
      </c>
      <c r="F50" s="107">
        <v>3953706</v>
      </c>
      <c r="G50" s="107">
        <v>4202611</v>
      </c>
      <c r="H50" s="107">
        <v>4619131</v>
      </c>
      <c r="I50" s="107">
        <v>4608121</v>
      </c>
      <c r="J50" s="107">
        <v>4468492</v>
      </c>
      <c r="K50" s="107">
        <v>4551465</v>
      </c>
      <c r="L50" s="107">
        <v>4419464</v>
      </c>
      <c r="M50" s="107">
        <v>4320561</v>
      </c>
      <c r="N50" s="107">
        <v>3886967</v>
      </c>
      <c r="S50" s="206"/>
      <c r="T50" s="523"/>
      <c r="U50" s="523"/>
      <c r="V50" s="523"/>
      <c r="W50" s="523"/>
      <c r="X50" s="523"/>
      <c r="Y50" s="523"/>
      <c r="Z50" s="523"/>
      <c r="AA50" s="523"/>
      <c r="AB50" s="523"/>
      <c r="AC50" s="523"/>
      <c r="AD50" s="523"/>
      <c r="AE50" s="523"/>
    </row>
    <row r="51" spans="1:31"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S51"/>
    </row>
    <row r="52" spans="1:31"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S52"/>
      <c r="T52" s="95"/>
      <c r="U52" s="95"/>
      <c r="V52" s="95"/>
      <c r="W52" s="95"/>
      <c r="X52" s="95"/>
      <c r="Y52" s="95"/>
      <c r="Z52" s="95"/>
      <c r="AA52" s="95"/>
      <c r="AB52" s="95"/>
      <c r="AC52" s="95"/>
      <c r="AD52" s="95"/>
      <c r="AE52" s="95"/>
    </row>
    <row r="53" spans="1:31" s="12" customFormat="1">
      <c r="A53" s="114"/>
      <c r="B53" t="s">
        <v>1259</v>
      </c>
      <c r="C53" s="235">
        <f>C50*C52/C51</f>
        <v>334659.06695255497</v>
      </c>
      <c r="D53" s="235">
        <f t="shared" ref="D53:N53" si="7">D50*D52/D51</f>
        <v>65394.426715734269</v>
      </c>
      <c r="E53" s="235">
        <f t="shared" si="7"/>
        <v>394011.27659958776</v>
      </c>
      <c r="F53" s="235">
        <f t="shared" si="7"/>
        <v>333376.85854963749</v>
      </c>
      <c r="G53" s="235">
        <f t="shared" si="7"/>
        <v>438869.59695003479</v>
      </c>
      <c r="H53" s="235">
        <f t="shared" si="7"/>
        <v>261044.09504588382</v>
      </c>
      <c r="I53" s="235">
        <f t="shared" si="7"/>
        <v>319978.11193804443</v>
      </c>
      <c r="J53" s="235">
        <f t="shared" si="7"/>
        <v>471372.54458191909</v>
      </c>
      <c r="K53" s="235">
        <f t="shared" si="7"/>
        <v>68173.58438063525</v>
      </c>
      <c r="L53" s="235">
        <f t="shared" si="7"/>
        <v>112888.33859714103</v>
      </c>
      <c r="M53" s="235">
        <f t="shared" si="7"/>
        <v>-69225.896347534028</v>
      </c>
      <c r="N53" s="235">
        <f t="shared" si="7"/>
        <v>115812.78149369627</v>
      </c>
      <c r="S53"/>
      <c r="T53" s="544"/>
      <c r="U53" s="544"/>
      <c r="V53" s="544"/>
      <c r="W53" s="544"/>
      <c r="X53" s="544"/>
      <c r="Y53" s="544"/>
      <c r="Z53" s="544"/>
      <c r="AA53" s="544"/>
      <c r="AB53" s="544"/>
      <c r="AC53" s="544"/>
      <c r="AD53" s="544"/>
      <c r="AE53" s="544"/>
    </row>
    <row r="54" spans="1:31" s="12" customFormat="1">
      <c r="A54" s="114"/>
      <c r="B54" t="s">
        <v>1260</v>
      </c>
      <c r="C54" s="235">
        <f>((C53*C32)/C46)+((C53*C33)/C47)+((C53*C34)/C48)</f>
        <v>314357.34107759781</v>
      </c>
      <c r="D54" s="235">
        <f t="shared" ref="D54:N54" si="8">((D53*D32)/D46)+((D53*D33)/D47)+((D53*D34)/D48)</f>
        <v>61427.348474636405</v>
      </c>
      <c r="E54" s="235">
        <f t="shared" si="8"/>
        <v>370109.03231598838</v>
      </c>
      <c r="F54" s="235">
        <f t="shared" si="8"/>
        <v>313152.93201554928</v>
      </c>
      <c r="G54" s="235">
        <f t="shared" si="8"/>
        <v>412246.07387354953</v>
      </c>
      <c r="H54" s="235">
        <f t="shared" si="8"/>
        <v>245208.15303319175</v>
      </c>
      <c r="I54" s="235">
        <f t="shared" si="8"/>
        <v>300567.00507086591</v>
      </c>
      <c r="J54" s="235">
        <f t="shared" si="8"/>
        <v>442777.26729337394</v>
      </c>
      <c r="K54" s="235">
        <f t="shared" si="8"/>
        <v>64037.911712539273</v>
      </c>
      <c r="L54" s="235">
        <f t="shared" si="8"/>
        <v>106040.0964117767</v>
      </c>
      <c r="M54" s="235">
        <f t="shared" si="8"/>
        <v>-65026.38637530696</v>
      </c>
      <c r="N54" s="235">
        <f t="shared" si="8"/>
        <v>108787.13131861613</v>
      </c>
      <c r="S54"/>
      <c r="T54" s="544"/>
      <c r="U54" s="544"/>
      <c r="V54" s="544"/>
      <c r="W54" s="544"/>
      <c r="X54" s="544"/>
      <c r="Y54" s="544"/>
      <c r="Z54" s="544"/>
      <c r="AA54" s="544"/>
      <c r="AB54" s="544"/>
      <c r="AC54" s="544"/>
      <c r="AD54" s="544"/>
      <c r="AE54" s="544"/>
    </row>
    <row r="55" spans="1:31" s="12" customFormat="1">
      <c r="A55" s="114"/>
      <c r="B55"/>
      <c r="C55" s="235"/>
      <c r="D55" s="235"/>
      <c r="E55" s="235"/>
      <c r="F55" s="235"/>
      <c r="G55" s="235"/>
      <c r="H55" s="235"/>
      <c r="I55" s="235"/>
      <c r="J55" s="235"/>
      <c r="K55" s="235"/>
      <c r="L55" s="235"/>
      <c r="M55" s="235"/>
      <c r="N55" s="235"/>
      <c r="S55"/>
      <c r="T55" s="544"/>
      <c r="U55" s="544"/>
      <c r="V55" s="544"/>
      <c r="W55" s="544"/>
      <c r="X55" s="544"/>
      <c r="Y55" s="544"/>
      <c r="Z55" s="544"/>
      <c r="AA55" s="544"/>
      <c r="AB55" s="544"/>
      <c r="AC55" s="544"/>
      <c r="AD55" s="544"/>
      <c r="AE55" s="544"/>
    </row>
    <row r="56" spans="1:31">
      <c r="A56" s="114"/>
      <c r="S56" s="508"/>
      <c r="T56" s="548"/>
      <c r="U56" s="548"/>
      <c r="V56" s="548"/>
      <c r="W56" s="548"/>
      <c r="X56" s="548"/>
      <c r="Y56" s="548"/>
      <c r="Z56" s="548"/>
      <c r="AA56" s="548"/>
      <c r="AB56" s="548"/>
      <c r="AC56" s="548"/>
      <c r="AD56" s="548"/>
      <c r="AE56" s="548"/>
    </row>
    <row r="57" spans="1:31" ht="17.399999999999999">
      <c r="A57" s="147" t="s">
        <v>425</v>
      </c>
      <c r="T57" s="548"/>
      <c r="U57" s="548"/>
      <c r="V57" s="548"/>
      <c r="W57" s="548"/>
      <c r="X57" s="548"/>
      <c r="Y57" s="548"/>
      <c r="Z57" s="548"/>
      <c r="AA57" s="548"/>
      <c r="AB57" s="548"/>
      <c r="AC57" s="548"/>
      <c r="AD57" s="548"/>
      <c r="AE57" s="548"/>
    </row>
    <row r="58" spans="1:31" ht="15.6">
      <c r="A58" s="113"/>
      <c r="B58" s="146" t="str">
        <f>"PRIOR - "&amp;MANUAL!$B$9</f>
        <v>PRIOR - 2016</v>
      </c>
      <c r="C58" s="5"/>
      <c r="D58" s="5"/>
      <c r="E58" s="5"/>
      <c r="F58" s="5"/>
      <c r="G58" s="5"/>
      <c r="H58" s="5"/>
      <c r="I58" s="5"/>
      <c r="J58" s="5"/>
      <c r="K58" s="5"/>
      <c r="L58" s="5"/>
      <c r="M58" s="5"/>
      <c r="N58" s="5"/>
      <c r="T58" s="512"/>
      <c r="U58" s="512"/>
      <c r="V58" s="512"/>
      <c r="W58" s="512"/>
      <c r="X58" s="512"/>
      <c r="Y58" s="512"/>
      <c r="Z58" s="512"/>
      <c r="AA58" s="512"/>
      <c r="AB58" s="512"/>
      <c r="AC58" s="512"/>
      <c r="AD58" s="512"/>
      <c r="AE58" s="512"/>
    </row>
    <row r="59" spans="1:31" s="12" customFormat="1" ht="15.6">
      <c r="A59" s="111"/>
      <c r="B59" s="149" t="s">
        <v>432</v>
      </c>
      <c r="C59" s="107">
        <f t="shared" ref="C59:N59" si="9">MIN((+C$27/C$18/C13)+C23,C60)</f>
        <v>3062624.7470181189</v>
      </c>
      <c r="D59" s="107">
        <f t="shared" si="9"/>
        <v>3803578.9320904193</v>
      </c>
      <c r="E59" s="107">
        <f t="shared" si="9"/>
        <v>2934731.5679975082</v>
      </c>
      <c r="F59" s="107">
        <f t="shared" si="9"/>
        <v>3679829.4180805432</v>
      </c>
      <c r="G59" s="107">
        <f t="shared" si="9"/>
        <v>3927356.846821296</v>
      </c>
      <c r="H59" s="107">
        <f t="shared" si="9"/>
        <v>4314790.8732021106</v>
      </c>
      <c r="I59" s="107">
        <f t="shared" si="9"/>
        <v>4309559.8808891671</v>
      </c>
      <c r="J59" s="107">
        <f t="shared" si="9"/>
        <v>4178111.9564455296</v>
      </c>
      <c r="K59" s="107">
        <f t="shared" si="9"/>
        <v>4264720.2159055369</v>
      </c>
      <c r="L59" s="107">
        <f t="shared" si="9"/>
        <v>4126240.5184608349</v>
      </c>
      <c r="M59" s="107">
        <f t="shared" si="9"/>
        <v>4028591.6203315449</v>
      </c>
      <c r="N59" s="107">
        <f t="shared" si="9"/>
        <v>3626441.5712043801</v>
      </c>
      <c r="P59" s="152">
        <f>AVERAGE(C59:N59)</f>
        <v>3854714.8457039162</v>
      </c>
      <c r="S59" s="509"/>
    </row>
    <row r="60" spans="1:31" s="12" customFormat="1" ht="15.6">
      <c r="A60" s="111"/>
      <c r="B60" s="149" t="s">
        <v>430</v>
      </c>
      <c r="C60" s="107">
        <f t="shared" ref="C60:N60" si="10">MIN(+C$27/C$18/C14,C61)</f>
        <v>4138185.5835734233</v>
      </c>
      <c r="D60" s="107">
        <f t="shared" si="10"/>
        <v>3919566.1352613694</v>
      </c>
      <c r="E60" s="107">
        <f t="shared" si="10"/>
        <v>3742687.6822108906</v>
      </c>
      <c r="F60" s="107">
        <f t="shared" si="10"/>
        <v>4050628.4478633427</v>
      </c>
      <c r="G60" s="107">
        <f t="shared" si="10"/>
        <v>4230260.62094553</v>
      </c>
      <c r="H60" s="107">
        <f t="shared" si="10"/>
        <v>4549236.6396858199</v>
      </c>
      <c r="I60" s="107">
        <f t="shared" si="10"/>
        <v>4527440.8995806538</v>
      </c>
      <c r="J60" s="107">
        <f t="shared" si="10"/>
        <v>4501558.6065717135</v>
      </c>
      <c r="K60" s="107">
        <f t="shared" si="10"/>
        <v>4690276.0725559974</v>
      </c>
      <c r="L60" s="107">
        <f t="shared" si="10"/>
        <v>4373472.4051426081</v>
      </c>
      <c r="M60" s="107">
        <f t="shared" si="10"/>
        <v>4231490.9948495291</v>
      </c>
      <c r="N60" s="107">
        <f t="shared" si="10"/>
        <v>4100203.5868640598</v>
      </c>
      <c r="P60" s="152">
        <f>AVERAGE(C60:N60)</f>
        <v>4254583.9729254115</v>
      </c>
    </row>
    <row r="61" spans="1:31" s="106" customFormat="1">
      <c r="A61" s="109"/>
      <c r="B61" s="149" t="s">
        <v>133</v>
      </c>
      <c r="C61" s="107">
        <f t="shared" ref="C61:N61" si="11">+C$27/C$18/C15</f>
        <v>6011791.3492032457</v>
      </c>
      <c r="D61" s="107">
        <f t="shared" si="11"/>
        <v>5616198.6254109694</v>
      </c>
      <c r="E61" s="107">
        <f t="shared" si="11"/>
        <v>5424261.3202618919</v>
      </c>
      <c r="F61" s="107">
        <f t="shared" si="11"/>
        <v>5547175.7921332689</v>
      </c>
      <c r="G61" s="107">
        <f t="shared" si="11"/>
        <v>5743818.5934529975</v>
      </c>
      <c r="H61" s="107">
        <f t="shared" si="11"/>
        <v>6123103.2085875003</v>
      </c>
      <c r="I61" s="107">
        <f t="shared" si="11"/>
        <v>6017189.4203604097</v>
      </c>
      <c r="J61" s="107">
        <f t="shared" si="11"/>
        <v>5975585.2614922514</v>
      </c>
      <c r="K61" s="107">
        <f t="shared" si="11"/>
        <v>6252158.274678397</v>
      </c>
      <c r="L61" s="107">
        <f t="shared" si="11"/>
        <v>5918258.2366450606</v>
      </c>
      <c r="M61" s="107">
        <f t="shared" si="11"/>
        <v>5925389.3875999954</v>
      </c>
      <c r="N61" s="107">
        <f t="shared" si="11"/>
        <v>5754534.3045162093</v>
      </c>
      <c r="P61" s="152">
        <f>AVERAGE(C61:N61)</f>
        <v>5859121.9811951825</v>
      </c>
      <c r="S61" s="522"/>
      <c r="T61" s="523"/>
      <c r="U61" s="523"/>
      <c r="V61" s="523"/>
      <c r="W61" s="523"/>
      <c r="X61" s="523"/>
      <c r="Y61" s="523"/>
      <c r="Z61" s="523"/>
      <c r="AA61" s="523"/>
      <c r="AB61" s="523"/>
      <c r="AC61" s="523"/>
      <c r="AD61" s="523"/>
      <c r="AE61" s="523"/>
    </row>
    <row r="62" spans="1:31" s="106" customFormat="1" ht="16.5" customHeight="1">
      <c r="A62" s="109"/>
      <c r="B62" s="108"/>
      <c r="C62" s="107"/>
      <c r="D62" s="107"/>
      <c r="E62" s="107"/>
      <c r="F62" s="107"/>
      <c r="G62" s="107"/>
      <c r="H62" s="107"/>
      <c r="I62" s="107"/>
      <c r="J62" s="107"/>
      <c r="K62" s="107"/>
      <c r="L62" s="107"/>
      <c r="M62" s="107"/>
      <c r="N62" s="107"/>
      <c r="S62" s="206"/>
      <c r="T62" s="523"/>
      <c r="U62" s="523"/>
      <c r="V62" s="523"/>
      <c r="W62" s="523"/>
      <c r="X62" s="523"/>
      <c r="Y62" s="523"/>
      <c r="Z62" s="523"/>
      <c r="AA62" s="523"/>
      <c r="AB62" s="523"/>
      <c r="AC62" s="523"/>
      <c r="AD62" s="523"/>
      <c r="AE62" s="523"/>
    </row>
    <row r="63" spans="1:31" s="106" customFormat="1" ht="16.5" customHeight="1">
      <c r="A63" s="109"/>
      <c r="B63" s="146" t="str">
        <f>"TEST - "&amp;MANUAL!$B$10</f>
        <v>TEST - 2017</v>
      </c>
      <c r="C63" s="107"/>
      <c r="D63" s="107"/>
      <c r="E63" s="107"/>
      <c r="F63" s="107"/>
      <c r="G63" s="107"/>
      <c r="H63" s="107"/>
      <c r="I63" s="107"/>
      <c r="J63" s="107"/>
      <c r="K63" s="107"/>
      <c r="L63" s="107"/>
      <c r="M63" s="107"/>
      <c r="N63" s="107"/>
      <c r="S63" s="206"/>
      <c r="T63" s="523"/>
      <c r="U63" s="523"/>
      <c r="V63" s="523"/>
      <c r="W63" s="523"/>
      <c r="X63" s="523"/>
      <c r="Y63" s="523"/>
      <c r="Z63" s="523"/>
      <c r="AA63" s="523"/>
      <c r="AB63" s="523"/>
      <c r="AC63" s="523"/>
      <c r="AD63" s="523"/>
      <c r="AE63" s="523"/>
    </row>
    <row r="64" spans="1:31" s="106" customFormat="1" ht="16.5" customHeight="1">
      <c r="A64" s="109"/>
      <c r="B64" s="149" t="s">
        <v>432</v>
      </c>
      <c r="C64" s="107">
        <f>C39+C44</f>
        <v>3364719.4257909395</v>
      </c>
      <c r="D64" s="107">
        <f>D39+D44</f>
        <v>3961309.4661161024</v>
      </c>
      <c r="E64" s="107">
        <f t="shared" ref="E64:N64" si="12">E39+E44</f>
        <v>3275109.4076653617</v>
      </c>
      <c r="F64" s="107">
        <f t="shared" si="12"/>
        <v>3986241.5397746819</v>
      </c>
      <c r="G64" s="107">
        <f t="shared" si="12"/>
        <v>4317220.3999030599</v>
      </c>
      <c r="H64" s="107">
        <f t="shared" si="12"/>
        <v>4536044.4577455465</v>
      </c>
      <c r="I64" s="107">
        <f t="shared" si="12"/>
        <v>4580720.2179859588</v>
      </c>
      <c r="J64" s="107">
        <f t="shared" si="12"/>
        <v>4583823.9927705741</v>
      </c>
      <c r="K64" s="107">
        <f t="shared" si="12"/>
        <v>4299307.7008263785</v>
      </c>
      <c r="L64" s="107">
        <f t="shared" si="12"/>
        <v>4213048.7621833598</v>
      </c>
      <c r="M64" s="107">
        <f t="shared" si="12"/>
        <v>3951865.6764787845</v>
      </c>
      <c r="N64" s="107">
        <f t="shared" si="12"/>
        <v>3721863.1454595318</v>
      </c>
      <c r="P64" s="152">
        <f>AVERAGE(C64:N64)</f>
        <v>4065939.516058357</v>
      </c>
      <c r="S64" s="206"/>
      <c r="T64" s="523"/>
      <c r="U64" s="523"/>
      <c r="V64" s="523"/>
      <c r="W64" s="523"/>
      <c r="X64" s="523"/>
      <c r="Y64" s="523"/>
      <c r="Z64" s="523"/>
      <c r="AA64" s="523"/>
      <c r="AB64" s="523"/>
      <c r="AC64" s="523"/>
      <c r="AD64" s="523"/>
      <c r="AE64" s="523"/>
    </row>
    <row r="65" spans="1:32" s="106" customFormat="1" ht="16.5" customHeight="1">
      <c r="A65" s="109"/>
      <c r="B65" s="149" t="s">
        <v>430</v>
      </c>
      <c r="C65" s="107">
        <f>IF(+C$28/C$19/C14&lt;C64,C64,+C$28/C$19/C14)</f>
        <v>4162991.6159461164</v>
      </c>
      <c r="D65" s="107">
        <f t="shared" ref="D65:N65" si="13">IF(+D$28/D$19/D14&lt;D64,D64,+D$28/D$19/D14)</f>
        <v>4054188.2313848315</v>
      </c>
      <c r="E65" s="107">
        <f t="shared" si="13"/>
        <v>3732874.5601373231</v>
      </c>
      <c r="F65" s="107">
        <f t="shared" si="13"/>
        <v>4062639.4880217826</v>
      </c>
      <c r="G65" s="107">
        <f t="shared" si="13"/>
        <v>4317220.3999030599</v>
      </c>
      <c r="H65" s="107">
        <f t="shared" si="13"/>
        <v>4548061.1015355242</v>
      </c>
      <c r="I65" s="107">
        <f t="shared" si="13"/>
        <v>4580720.2179859588</v>
      </c>
      <c r="J65" s="107">
        <f t="shared" si="13"/>
        <v>4583823.9927705741</v>
      </c>
      <c r="K65" s="107">
        <f t="shared" si="13"/>
        <v>4684415.5198050505</v>
      </c>
      <c r="L65" s="107">
        <f t="shared" si="13"/>
        <v>4378315.5982081927</v>
      </c>
      <c r="M65" s="107">
        <f t="shared" si="13"/>
        <v>4238799.9346630806</v>
      </c>
      <c r="N65" s="107">
        <f t="shared" si="13"/>
        <v>4101395.1772440812</v>
      </c>
      <c r="P65" s="152">
        <f>AVERAGE(C65:N65)</f>
        <v>4287120.4864671314</v>
      </c>
      <c r="S65" s="206"/>
      <c r="T65" s="523"/>
      <c r="U65" s="523"/>
      <c r="V65" s="523"/>
      <c r="W65" s="523"/>
      <c r="X65" s="523"/>
      <c r="Y65" s="523"/>
      <c r="Z65" s="523"/>
      <c r="AA65" s="523"/>
      <c r="AB65" s="523"/>
      <c r="AC65" s="523"/>
      <c r="AD65" s="523"/>
      <c r="AE65" s="523"/>
    </row>
    <row r="66" spans="1:32" s="106" customFormat="1" ht="16.5" customHeight="1">
      <c r="A66" s="109"/>
      <c r="B66" s="149" t="s">
        <v>133</v>
      </c>
      <c r="C66" s="107">
        <f>MAX(+C$28/C$19/C15,C65)</f>
        <v>6047828.5659530647</v>
      </c>
      <c r="D66" s="107">
        <f t="shared" ref="D66:N66" si="14">MAX(+D$28/D$19/D15,D65)</f>
        <v>5809093.5543667004</v>
      </c>
      <c r="E66" s="107">
        <f t="shared" si="14"/>
        <v>5410039.2042280966</v>
      </c>
      <c r="F66" s="107">
        <f t="shared" si="14"/>
        <v>5563624.4375873804</v>
      </c>
      <c r="G66" s="107">
        <f t="shared" si="14"/>
        <v>5738762.9851899119</v>
      </c>
      <c r="H66" s="107">
        <f t="shared" si="14"/>
        <v>6121520.9779870743</v>
      </c>
      <c r="I66" s="107">
        <f t="shared" si="14"/>
        <v>6011736.3191369297</v>
      </c>
      <c r="J66" s="107">
        <f t="shared" si="14"/>
        <v>5974400.8057077946</v>
      </c>
      <c r="K66" s="107">
        <f t="shared" si="14"/>
        <v>6244346.132533839</v>
      </c>
      <c r="L66" s="107">
        <f t="shared" si="14"/>
        <v>5924812.1289751818</v>
      </c>
      <c r="M66" s="107">
        <f t="shared" si="14"/>
        <v>5935624.1522393478</v>
      </c>
      <c r="N66" s="107">
        <f t="shared" si="14"/>
        <v>5756206.6721373517</v>
      </c>
      <c r="P66" s="152">
        <f>AVERAGE(C66:N66)</f>
        <v>5878166.3280035565</v>
      </c>
      <c r="S66" s="206"/>
      <c r="T66" s="524"/>
      <c r="U66" s="524"/>
      <c r="V66" s="524"/>
      <c r="W66" s="524"/>
      <c r="X66" s="524"/>
      <c r="Y66" s="524"/>
      <c r="Z66" s="524"/>
      <c r="AA66" s="524"/>
      <c r="AB66" s="524"/>
      <c r="AC66" s="524"/>
      <c r="AD66" s="524"/>
      <c r="AE66" s="524"/>
    </row>
    <row r="67" spans="1:32" s="106" customFormat="1" ht="16.5" customHeight="1">
      <c r="A67" s="109"/>
      <c r="B67" s="149" t="s">
        <v>158</v>
      </c>
      <c r="C67" s="499">
        <f>C28/C19/C64</f>
        <v>0.84887324367004102</v>
      </c>
      <c r="D67" s="499">
        <f t="shared" ref="D67:N67" si="15">D28/D19/D64</f>
        <v>0.7019742269780338</v>
      </c>
      <c r="E67" s="499">
        <f t="shared" si="15"/>
        <v>0.78862076205352316</v>
      </c>
      <c r="F67" s="499">
        <f t="shared" si="15"/>
        <v>0.68941867826866554</v>
      </c>
      <c r="G67" s="499">
        <f t="shared" si="15"/>
        <v>0.67741909221480046</v>
      </c>
      <c r="H67" s="499">
        <f t="shared" si="15"/>
        <v>0.70224624222117549</v>
      </c>
      <c r="I67" s="499">
        <f t="shared" si="15"/>
        <v>0.69910403330564774</v>
      </c>
      <c r="J67" s="499">
        <f t="shared" si="15"/>
        <v>0.69695805572690084</v>
      </c>
      <c r="K67" s="499">
        <f t="shared" si="15"/>
        <v>0.76168841011141841</v>
      </c>
      <c r="L67" s="499">
        <f t="shared" si="15"/>
        <v>0.71000478188695881</v>
      </c>
      <c r="M67" s="499">
        <f t="shared" si="15"/>
        <v>0.71959515897718251</v>
      </c>
      <c r="N67" s="499">
        <f t="shared" si="15"/>
        <v>0.74818187040729556</v>
      </c>
      <c r="P67" s="152"/>
      <c r="S67" s="206"/>
      <c r="T67" s="524"/>
      <c r="U67" s="524"/>
      <c r="V67" s="524"/>
      <c r="W67" s="524"/>
      <c r="X67" s="524"/>
      <c r="Y67" s="524"/>
      <c r="Z67" s="524"/>
      <c r="AA67" s="524"/>
      <c r="AB67" s="524"/>
      <c r="AC67" s="524"/>
      <c r="AD67" s="524"/>
      <c r="AE67" s="524"/>
    </row>
    <row r="68" spans="1:32" s="106" customFormat="1" ht="16.5" customHeight="1">
      <c r="A68" s="109"/>
      <c r="B68" s="149" t="s">
        <v>988</v>
      </c>
      <c r="C68" s="499">
        <f>C28/C19/C65</f>
        <v>0.68609801712550988</v>
      </c>
      <c r="D68" s="499">
        <f t="shared" ref="D68:N68" si="16">D28/D19/D65</f>
        <v>0.68589246270585058</v>
      </c>
      <c r="E68" s="499">
        <f t="shared" si="16"/>
        <v>0.69191161804984547</v>
      </c>
      <c r="F68" s="499">
        <f t="shared" si="16"/>
        <v>0.67645415787293606</v>
      </c>
      <c r="G68" s="499">
        <f t="shared" si="16"/>
        <v>0.67741909221480046</v>
      </c>
      <c r="H68" s="499">
        <f t="shared" si="16"/>
        <v>0.7003908047595343</v>
      </c>
      <c r="I68" s="499">
        <f t="shared" si="16"/>
        <v>0.69910403330564774</v>
      </c>
      <c r="J68" s="499">
        <f t="shared" si="16"/>
        <v>0.69695805572690084</v>
      </c>
      <c r="K68" s="499">
        <f t="shared" si="16"/>
        <v>0.69906967761017613</v>
      </c>
      <c r="L68" s="499">
        <f t="shared" si="16"/>
        <v>0.68320446536501145</v>
      </c>
      <c r="M68" s="499">
        <f t="shared" si="16"/>
        <v>0.67088408359812246</v>
      </c>
      <c r="N68" s="499">
        <f t="shared" si="16"/>
        <v>0.67894714096801956</v>
      </c>
      <c r="P68" s="152"/>
      <c r="S68" s="206"/>
      <c r="T68" s="524"/>
      <c r="U68" s="524"/>
      <c r="V68" s="524"/>
      <c r="W68" s="524"/>
      <c r="X68" s="524"/>
      <c r="Y68" s="524"/>
      <c r="Z68" s="524"/>
      <c r="AA68" s="524"/>
      <c r="AB68" s="524"/>
      <c r="AC68" s="524"/>
      <c r="AD68" s="524"/>
      <c r="AE68" s="524"/>
    </row>
    <row r="69" spans="1:32" s="106" customFormat="1" ht="16.5" customHeight="1">
      <c r="A69" s="109"/>
      <c r="B69" s="149" t="s">
        <v>150</v>
      </c>
      <c r="C69" s="499">
        <f>C28/C19/C66</f>
        <v>0.47227203315420813</v>
      </c>
      <c r="D69" s="499">
        <f t="shared" ref="D69:N69" si="17">D28/D19/D66</f>
        <v>0.47868692839476418</v>
      </c>
      <c r="E69" s="499">
        <f t="shared" si="17"/>
        <v>0.47741230319794636</v>
      </c>
      <c r="F69" s="499">
        <f t="shared" si="17"/>
        <v>0.49395666519914144</v>
      </c>
      <c r="G69" s="499">
        <f t="shared" si="17"/>
        <v>0.50961636362069873</v>
      </c>
      <c r="H69" s="499">
        <f t="shared" si="17"/>
        <v>0.52036416871799307</v>
      </c>
      <c r="I69" s="499">
        <f t="shared" si="17"/>
        <v>0.53269135734457163</v>
      </c>
      <c r="J69" s="499">
        <f t="shared" si="17"/>
        <v>0.53473698228339983</v>
      </c>
      <c r="K69" s="499">
        <f t="shared" si="17"/>
        <v>0.52443166629736404</v>
      </c>
      <c r="L69" s="499">
        <f t="shared" si="17"/>
        <v>0.50487419724995108</v>
      </c>
      <c r="M69" s="499">
        <f t="shared" si="17"/>
        <v>0.47909762087098384</v>
      </c>
      <c r="N69" s="499">
        <f t="shared" si="17"/>
        <v>0.4837613880420184</v>
      </c>
      <c r="P69" s="152"/>
      <c r="S69" s="206"/>
      <c r="T69" s="523"/>
      <c r="U69" s="523"/>
      <c r="V69" s="523"/>
      <c r="W69" s="523"/>
      <c r="X69" s="523"/>
      <c r="Y69" s="523"/>
      <c r="Z69" s="523"/>
      <c r="AA69" s="523"/>
      <c r="AB69" s="523"/>
      <c r="AC69" s="523"/>
      <c r="AD69" s="523"/>
      <c r="AE69" s="523"/>
    </row>
    <row r="70" spans="1:32" s="106" customFormat="1" ht="16.5" customHeight="1">
      <c r="A70" s="109"/>
      <c r="B70" s="108"/>
      <c r="C70" s="107"/>
      <c r="D70" s="107"/>
      <c r="E70" s="107"/>
      <c r="F70" s="107"/>
      <c r="G70" s="107"/>
      <c r="H70" s="107"/>
      <c r="I70" s="107"/>
      <c r="J70" s="107"/>
      <c r="K70" s="107"/>
      <c r="L70" s="107"/>
      <c r="M70" s="107"/>
      <c r="N70" s="107"/>
    </row>
    <row r="71" spans="1:32" s="106" customFormat="1" ht="16.5" customHeight="1">
      <c r="A71" s="109"/>
      <c r="B71" s="146" t="str">
        <f>"SUBSEQUENT - "&amp;MANUAL!$B$11</f>
        <v>SUBSEQUENT - 2018</v>
      </c>
      <c r="C71" s="107"/>
      <c r="D71" s="107"/>
      <c r="E71" s="107"/>
      <c r="F71" s="107"/>
      <c r="G71" s="107"/>
      <c r="H71" s="107"/>
      <c r="I71" s="107"/>
      <c r="J71" s="107"/>
      <c r="K71" s="107"/>
      <c r="L71" s="107"/>
      <c r="M71" s="107"/>
      <c r="N71" s="107"/>
      <c r="T71" s="549"/>
      <c r="U71" s="549"/>
      <c r="V71" s="549"/>
      <c r="W71" s="549"/>
      <c r="X71" s="549"/>
      <c r="Y71" s="549"/>
      <c r="Z71" s="549"/>
      <c r="AA71" s="549"/>
      <c r="AB71" s="549"/>
      <c r="AC71" s="549"/>
      <c r="AD71" s="549"/>
      <c r="AE71" s="549"/>
      <c r="AF71" s="523"/>
    </row>
    <row r="72" spans="1:32" s="106" customFormat="1" ht="16.5" customHeight="1">
      <c r="A72" s="109"/>
      <c r="B72" s="149" t="s">
        <v>432</v>
      </c>
      <c r="C72" s="107">
        <f>C49+C54</f>
        <v>3398141.6433676942</v>
      </c>
      <c r="D72" s="107">
        <f>D49+D54</f>
        <v>4006471.3723642332</v>
      </c>
      <c r="E72" s="107">
        <f t="shared" ref="E72:N72" si="18">E49+E54</f>
        <v>3310986.9986908417</v>
      </c>
      <c r="F72" s="107">
        <f t="shared" si="18"/>
        <v>4027006.3795206537</v>
      </c>
      <c r="G72" s="107">
        <f t="shared" si="18"/>
        <v>4359904.1155952932</v>
      </c>
      <c r="H72" s="107">
        <f t="shared" si="18"/>
        <v>4584118.0830018204</v>
      </c>
      <c r="I72" s="107">
        <f t="shared" si="18"/>
        <v>4629134.3161336724</v>
      </c>
      <c r="J72" s="107">
        <f t="shared" si="18"/>
        <v>4640186.6403206792</v>
      </c>
      <c r="K72" s="107">
        <f t="shared" si="18"/>
        <v>4339386.8120165234</v>
      </c>
      <c r="L72" s="107">
        <f t="shared" si="18"/>
        <v>4257396.1907815654</v>
      </c>
      <c r="M72" s="107">
        <f t="shared" si="18"/>
        <v>3993425.9239700236</v>
      </c>
      <c r="N72" s="107">
        <f t="shared" si="18"/>
        <v>3759950.3183885794</v>
      </c>
      <c r="O72" s="107"/>
      <c r="P72" s="152">
        <f>AVERAGE(C72:N72)</f>
        <v>4108842.3995126314</v>
      </c>
      <c r="T72" s="542"/>
      <c r="U72" s="542"/>
      <c r="V72" s="542"/>
      <c r="W72" s="542"/>
      <c r="X72" s="542"/>
      <c r="Y72" s="542"/>
      <c r="Z72" s="542"/>
      <c r="AA72" s="542"/>
      <c r="AB72" s="542"/>
      <c r="AC72" s="542"/>
      <c r="AD72" s="542"/>
      <c r="AE72" s="542"/>
      <c r="AF72" s="523"/>
    </row>
    <row r="73" spans="1:32" s="106" customFormat="1" ht="16.5" customHeight="1">
      <c r="A73" s="109"/>
      <c r="B73" s="149" t="s">
        <v>430</v>
      </c>
      <c r="C73" s="107">
        <f>IF(+C$29/C$14/C20&lt;C72,C72,+C$29/C$14/C20)</f>
        <v>4166776.1468367078</v>
      </c>
      <c r="D73" s="107">
        <f t="shared" ref="D73:N73" si="19">IF(+D$29/D$14/D20&lt;D72,D72,+D$29/D$14/D20)</f>
        <v>4065345.095823904</v>
      </c>
      <c r="E73" s="107">
        <f t="shared" si="19"/>
        <v>3750526.2354018199</v>
      </c>
      <c r="F73" s="107">
        <f t="shared" si="19"/>
        <v>4088080.918029733</v>
      </c>
      <c r="G73" s="107">
        <f t="shared" si="19"/>
        <v>4359904.1155952932</v>
      </c>
      <c r="H73" s="107">
        <f t="shared" si="19"/>
        <v>4584118.0830018204</v>
      </c>
      <c r="I73" s="107">
        <f t="shared" si="19"/>
        <v>4629134.3161336724</v>
      </c>
      <c r="J73" s="107">
        <f t="shared" si="19"/>
        <v>4640186.6403206792</v>
      </c>
      <c r="K73" s="107">
        <f t="shared" si="19"/>
        <v>4701965.3420960875</v>
      </c>
      <c r="L73" s="107">
        <f t="shared" si="19"/>
        <v>4400092.8306087535</v>
      </c>
      <c r="M73" s="107">
        <f t="shared" si="19"/>
        <v>4262855.6137539707</v>
      </c>
      <c r="N73" s="107">
        <f t="shared" si="19"/>
        <v>4128154.8597730217</v>
      </c>
      <c r="O73" s="107"/>
      <c r="P73" s="152">
        <f>AVERAGE(C73:N73)</f>
        <v>4314761.6831146227</v>
      </c>
      <c r="T73" s="542"/>
      <c r="U73" s="542"/>
      <c r="V73" s="542"/>
      <c r="W73" s="542"/>
      <c r="X73" s="542"/>
      <c r="Y73" s="542"/>
      <c r="Z73" s="542"/>
      <c r="AA73" s="542"/>
      <c r="AB73" s="542"/>
      <c r="AC73" s="542"/>
      <c r="AD73" s="542"/>
      <c r="AE73" s="542"/>
      <c r="AF73" s="523"/>
    </row>
    <row r="74" spans="1:32" s="106" customFormat="1" ht="16.5" customHeight="1">
      <c r="A74" s="109"/>
      <c r="B74" s="149" t="s">
        <v>133</v>
      </c>
      <c r="C74" s="107">
        <f>MAX(+C$29/C$15/C20,C73)</f>
        <v>6053326.5818369249</v>
      </c>
      <c r="D74" s="107">
        <f t="shared" ref="D74:N74" si="20">MAX(+D$29/D$15/D20,D73)</f>
        <v>5825079.8050292209</v>
      </c>
      <c r="E74" s="107">
        <f t="shared" si="20"/>
        <v>5435621.7020224277</v>
      </c>
      <c r="F74" s="107">
        <f t="shared" si="20"/>
        <v>5598465.471879676</v>
      </c>
      <c r="G74" s="107">
        <f t="shared" si="20"/>
        <v>5773509.3970357897</v>
      </c>
      <c r="H74" s="107">
        <f t="shared" si="20"/>
        <v>6157330.4697028408</v>
      </c>
      <c r="I74" s="107">
        <f t="shared" si="20"/>
        <v>6043728.3967083758</v>
      </c>
      <c r="J74" s="107">
        <f t="shared" si="20"/>
        <v>6003184.6555039501</v>
      </c>
      <c r="K74" s="107">
        <f t="shared" si="20"/>
        <v>6267740.1214928403</v>
      </c>
      <c r="L74" s="107">
        <f t="shared" si="20"/>
        <v>5954281.4551962418</v>
      </c>
      <c r="M74" s="107">
        <f t="shared" si="20"/>
        <v>5969309.5047002584</v>
      </c>
      <c r="N74" s="107">
        <f t="shared" si="20"/>
        <v>5793763.2245934522</v>
      </c>
      <c r="O74" s="107"/>
      <c r="P74" s="152">
        <f>AVERAGE(C74:N74)</f>
        <v>5906278.3988084989</v>
      </c>
      <c r="T74" s="542"/>
      <c r="U74" s="542"/>
      <c r="V74" s="542"/>
      <c r="W74" s="542"/>
      <c r="X74" s="542"/>
      <c r="Y74" s="542"/>
      <c r="Z74" s="542"/>
      <c r="AA74" s="542"/>
      <c r="AB74" s="542"/>
      <c r="AC74" s="542"/>
      <c r="AD74" s="542"/>
      <c r="AE74" s="542"/>
      <c r="AF74" s="523"/>
    </row>
    <row r="75" spans="1:32" s="106" customFormat="1" ht="16.5" customHeight="1">
      <c r="A75" s="109"/>
      <c r="B75" s="149" t="s">
        <v>158</v>
      </c>
      <c r="C75" s="499">
        <f>C29/C20/C72</f>
        <v>0.84128831349046884</v>
      </c>
      <c r="D75" s="499">
        <f t="shared" ref="D75:N75" si="21">D29/D20/D72</f>
        <v>0.69597141733184809</v>
      </c>
      <c r="E75" s="499">
        <f t="shared" si="21"/>
        <v>0.78376407914055246</v>
      </c>
      <c r="F75" s="499">
        <f>F29/F20/F72</f>
        <v>0.68671342285069725</v>
      </c>
      <c r="G75" s="499">
        <f t="shared" si="21"/>
        <v>0.67484852561845365</v>
      </c>
      <c r="H75" s="499">
        <f t="shared" si="21"/>
        <v>0.69894668797248261</v>
      </c>
      <c r="I75" s="499">
        <f t="shared" si="21"/>
        <v>0.69547385390049477</v>
      </c>
      <c r="J75" s="499">
        <f t="shared" si="21"/>
        <v>0.69180942397445133</v>
      </c>
      <c r="K75" s="499">
        <f t="shared" si="21"/>
        <v>0.75748061609328077</v>
      </c>
      <c r="L75" s="499">
        <f t="shared" si="21"/>
        <v>0.70610366881091391</v>
      </c>
      <c r="M75" s="499">
        <f t="shared" si="21"/>
        <v>0.71614749751043894</v>
      </c>
      <c r="N75" s="499">
        <f t="shared" si="21"/>
        <v>0.74543509945028696</v>
      </c>
      <c r="O75" s="107"/>
      <c r="P75" s="152"/>
      <c r="T75" s="542"/>
      <c r="U75" s="542"/>
      <c r="V75" s="542"/>
      <c r="W75" s="542"/>
      <c r="X75" s="542"/>
      <c r="Y75" s="542"/>
      <c r="Z75" s="542"/>
      <c r="AA75" s="542"/>
      <c r="AB75" s="542"/>
      <c r="AC75" s="542"/>
      <c r="AD75" s="542"/>
      <c r="AE75" s="542"/>
      <c r="AF75" s="523"/>
    </row>
    <row r="76" spans="1:32" s="106" customFormat="1" ht="16.5" customHeight="1">
      <c r="A76" s="109"/>
      <c r="B76" s="149" t="s">
        <v>988</v>
      </c>
      <c r="C76" s="499">
        <f>C29/C20/C73</f>
        <v>0.68609801712550988</v>
      </c>
      <c r="D76" s="499">
        <f t="shared" ref="D76:N76" si="22">D29/D20/D73</f>
        <v>0.68589246270585058</v>
      </c>
      <c r="E76" s="499">
        <f t="shared" si="22"/>
        <v>0.69191161804984547</v>
      </c>
      <c r="F76" s="499">
        <f t="shared" si="22"/>
        <v>0.67645415787293606</v>
      </c>
      <c r="G76" s="499">
        <f t="shared" si="22"/>
        <v>0.67484852561845365</v>
      </c>
      <c r="H76" s="499">
        <f t="shared" si="22"/>
        <v>0.69894668797248261</v>
      </c>
      <c r="I76" s="499">
        <f t="shared" si="22"/>
        <v>0.69547385390049477</v>
      </c>
      <c r="J76" s="499">
        <f t="shared" si="22"/>
        <v>0.69180942397445133</v>
      </c>
      <c r="K76" s="499">
        <f t="shared" si="22"/>
        <v>0.69906967761017613</v>
      </c>
      <c r="L76" s="499">
        <f t="shared" si="22"/>
        <v>0.68320446536501134</v>
      </c>
      <c r="M76" s="499">
        <f t="shared" si="22"/>
        <v>0.67088408359812246</v>
      </c>
      <c r="N76" s="499">
        <f t="shared" si="22"/>
        <v>0.67894714096801956</v>
      </c>
      <c r="O76" s="107"/>
      <c r="P76" s="152"/>
      <c r="T76" s="542"/>
      <c r="U76" s="542"/>
      <c r="V76" s="542"/>
      <c r="W76" s="542"/>
      <c r="X76" s="542"/>
      <c r="Y76" s="542"/>
      <c r="Z76" s="542"/>
      <c r="AA76" s="542"/>
      <c r="AB76" s="542"/>
      <c r="AC76" s="542"/>
      <c r="AD76" s="542"/>
      <c r="AE76" s="542"/>
      <c r="AF76" s="524"/>
    </row>
    <row r="77" spans="1:32" s="106" customFormat="1" ht="16.5" customHeight="1">
      <c r="A77" s="109"/>
      <c r="B77" s="149" t="s">
        <v>150</v>
      </c>
      <c r="C77" s="499">
        <f>C29/C20/C74</f>
        <v>0.47227203315420813</v>
      </c>
      <c r="D77" s="499">
        <f t="shared" ref="D77:N77" si="23">D29/D20/D74</f>
        <v>0.47868692839476423</v>
      </c>
      <c r="E77" s="499">
        <f t="shared" si="23"/>
        <v>0.47741230319794647</v>
      </c>
      <c r="F77" s="499">
        <f t="shared" si="23"/>
        <v>0.49395666519914139</v>
      </c>
      <c r="G77" s="499">
        <f t="shared" si="23"/>
        <v>0.50961636362069873</v>
      </c>
      <c r="H77" s="499">
        <f t="shared" si="23"/>
        <v>0.52036416871799307</v>
      </c>
      <c r="I77" s="499">
        <f t="shared" si="23"/>
        <v>0.53269135734457163</v>
      </c>
      <c r="J77" s="499">
        <f t="shared" si="23"/>
        <v>0.53473698228339983</v>
      </c>
      <c r="K77" s="499">
        <f t="shared" si="23"/>
        <v>0.52443166629736404</v>
      </c>
      <c r="L77" s="499">
        <f t="shared" si="23"/>
        <v>0.50487419724995108</v>
      </c>
      <c r="M77" s="499">
        <f t="shared" si="23"/>
        <v>0.47909762087098384</v>
      </c>
      <c r="N77" s="499">
        <f t="shared" si="23"/>
        <v>0.4837613880420184</v>
      </c>
      <c r="O77" s="107"/>
      <c r="P77" s="152"/>
      <c r="T77" s="542"/>
      <c r="U77" s="542"/>
      <c r="V77" s="542"/>
      <c r="W77" s="542"/>
      <c r="X77" s="542"/>
      <c r="Y77" s="542"/>
      <c r="Z77" s="542"/>
      <c r="AA77" s="542"/>
      <c r="AB77" s="542"/>
      <c r="AC77" s="542"/>
      <c r="AD77" s="542"/>
      <c r="AE77" s="542"/>
      <c r="AF77" s="524"/>
    </row>
    <row r="78" spans="1:32" s="106" customFormat="1" ht="16.5" customHeight="1">
      <c r="A78" s="109"/>
      <c r="B78" s="108"/>
      <c r="C78" s="107"/>
      <c r="D78" s="107"/>
      <c r="E78" s="107"/>
      <c r="F78" s="107"/>
      <c r="G78" s="107"/>
      <c r="H78" s="107"/>
      <c r="I78" s="107"/>
      <c r="J78" s="107"/>
      <c r="K78" s="107"/>
      <c r="L78" s="107"/>
      <c r="M78" s="107"/>
      <c r="N78" s="107"/>
      <c r="T78" s="206"/>
      <c r="U78" s="524"/>
      <c r="V78" s="524"/>
      <c r="W78" s="524"/>
      <c r="X78" s="524"/>
      <c r="Y78" s="524"/>
      <c r="Z78" s="524"/>
      <c r="AA78" s="524"/>
      <c r="AB78" s="524"/>
      <c r="AC78" s="524"/>
      <c r="AD78" s="524"/>
      <c r="AE78" s="524"/>
      <c r="AF78" s="524"/>
    </row>
    <row r="79" spans="1:32" ht="13.2">
      <c r="A79" s="42" t="s">
        <v>116</v>
      </c>
      <c r="C79" s="105"/>
      <c r="T79" s="206"/>
      <c r="U79" s="523"/>
      <c r="V79" s="523"/>
      <c r="W79" s="523"/>
      <c r="X79" s="523"/>
      <c r="Y79" s="523"/>
      <c r="Z79" s="523"/>
      <c r="AA79" s="523"/>
      <c r="AB79" s="523"/>
      <c r="AC79" s="523"/>
      <c r="AD79" s="523"/>
      <c r="AE79" s="523"/>
      <c r="AF79" s="523"/>
    </row>
    <row r="80" spans="1:32" ht="13.2">
      <c r="A80"/>
      <c r="B80" s="10" t="s">
        <v>338</v>
      </c>
      <c r="C80" s="105"/>
      <c r="D80" s="105"/>
      <c r="E80" s="105"/>
      <c r="F80" s="105"/>
      <c r="G80" s="105"/>
      <c r="H80" s="105"/>
      <c r="I80" s="105"/>
      <c r="J80" s="105"/>
      <c r="K80" s="105"/>
      <c r="L80" s="105"/>
      <c r="M80" s="105"/>
      <c r="N80" s="105"/>
    </row>
    <row r="81" spans="1:32" ht="13.2">
      <c r="A81"/>
      <c r="B81" s="81" t="s">
        <v>426</v>
      </c>
      <c r="U81" s="44"/>
      <c r="V81" s="44"/>
      <c r="W81" s="44"/>
      <c r="X81" s="44"/>
      <c r="Y81" s="44"/>
      <c r="Z81" s="44"/>
      <c r="AA81" s="44"/>
      <c r="AB81" s="44"/>
      <c r="AC81" s="44"/>
      <c r="AD81" s="44"/>
      <c r="AE81" s="44"/>
      <c r="AF81" s="44"/>
    </row>
    <row r="82" spans="1:32" ht="13.2">
      <c r="A82"/>
      <c r="B82" s="125" t="s">
        <v>431</v>
      </c>
      <c r="C82" s="104"/>
      <c r="U82" s="516"/>
      <c r="V82" s="516"/>
      <c r="W82" s="516"/>
      <c r="X82" s="516"/>
      <c r="Y82" s="516"/>
      <c r="Z82" s="516"/>
      <c r="AA82" s="516"/>
      <c r="AB82" s="516"/>
      <c r="AC82" s="516"/>
      <c r="AD82" s="516"/>
      <c r="AE82" s="516"/>
      <c r="AF82" s="516"/>
    </row>
    <row r="83" spans="1:32" ht="13.2">
      <c r="A83"/>
      <c r="B83" s="153" t="s">
        <v>435</v>
      </c>
      <c r="E83" s="88"/>
      <c r="U83" s="516"/>
      <c r="V83" s="516"/>
      <c r="W83" s="516"/>
      <c r="X83" s="516"/>
      <c r="Y83" s="516"/>
      <c r="Z83" s="516"/>
      <c r="AA83" s="516"/>
      <c r="AB83" s="516"/>
      <c r="AC83" s="516"/>
      <c r="AD83" s="516"/>
      <c r="AE83" s="516"/>
      <c r="AF83" s="516"/>
    </row>
    <row r="84" spans="1:32" ht="13.2">
      <c r="A84"/>
      <c r="B84" t="s">
        <v>433</v>
      </c>
      <c r="C84" s="98"/>
      <c r="D84" s="98"/>
      <c r="E84" s="98"/>
      <c r="F84" s="98"/>
      <c r="G84" s="98"/>
      <c r="H84" s="98"/>
      <c r="I84" s="98"/>
      <c r="J84" s="98"/>
      <c r="K84" s="98"/>
      <c r="L84" s="98"/>
      <c r="M84" s="98"/>
      <c r="N84" s="98"/>
      <c r="U84" s="516"/>
      <c r="V84" s="516"/>
      <c r="W84" s="516"/>
      <c r="X84" s="516"/>
      <c r="Y84" s="516"/>
      <c r="Z84" s="516"/>
      <c r="AA84" s="516"/>
      <c r="AB84" s="516"/>
      <c r="AC84" s="516"/>
      <c r="AD84" s="516"/>
      <c r="AE84" s="516"/>
      <c r="AF84" s="516"/>
    </row>
    <row r="85" spans="1:32">
      <c r="B85" s="10" t="s">
        <v>534</v>
      </c>
      <c r="E85" s="10"/>
      <c r="U85" s="516"/>
      <c r="V85" s="516"/>
      <c r="W85" s="516"/>
      <c r="X85" s="516"/>
      <c r="Y85" s="516"/>
      <c r="Z85" s="516"/>
      <c r="AA85" s="516"/>
      <c r="AB85" s="516"/>
      <c r="AC85" s="516"/>
      <c r="AD85" s="516"/>
      <c r="AE85" s="516"/>
      <c r="AF85" s="516"/>
    </row>
    <row r="86" spans="1:32" ht="15.6" thickBot="1">
      <c r="B86" s="10"/>
      <c r="E86" s="10"/>
      <c r="U86" s="516"/>
      <c r="V86" s="516"/>
      <c r="W86" s="516"/>
      <c r="X86" s="516"/>
      <c r="Y86" s="516"/>
      <c r="Z86" s="516"/>
      <c r="AA86" s="516"/>
      <c r="AB86" s="516"/>
      <c r="AC86" s="516"/>
      <c r="AD86" s="516"/>
      <c r="AE86" s="516"/>
      <c r="AF86" s="516"/>
    </row>
    <row r="87" spans="1:32" ht="15.6" thickBot="1">
      <c r="C87" s="102" t="s">
        <v>79</v>
      </c>
      <c r="D87" s="101" t="s">
        <v>80</v>
      </c>
      <c r="E87" s="100" t="s">
        <v>81</v>
      </c>
      <c r="F87" s="100" t="s">
        <v>70</v>
      </c>
      <c r="G87" s="100" t="s">
        <v>71</v>
      </c>
      <c r="H87" s="101" t="s">
        <v>72</v>
      </c>
      <c r="I87" s="102" t="s">
        <v>73</v>
      </c>
      <c r="J87" s="102" t="s">
        <v>74</v>
      </c>
      <c r="K87" s="103" t="s">
        <v>75</v>
      </c>
      <c r="L87" s="103" t="s">
        <v>76</v>
      </c>
      <c r="M87" s="103" t="s">
        <v>77</v>
      </c>
      <c r="N87" s="103" t="s">
        <v>78</v>
      </c>
      <c r="U87" s="516"/>
      <c r="V87" s="516"/>
      <c r="W87" s="516"/>
      <c r="X87" s="516"/>
      <c r="Y87" s="516"/>
      <c r="Z87" s="516"/>
      <c r="AA87" s="516"/>
      <c r="AB87" s="516"/>
      <c r="AC87" s="516"/>
      <c r="AD87" s="516"/>
      <c r="AE87" s="516"/>
      <c r="AF87" s="516"/>
    </row>
    <row r="88" spans="1:32">
      <c r="B88" s="43" t="s">
        <v>547</v>
      </c>
      <c r="C88" s="145">
        <f>VLOOKUP($B$9&amp;" Total",'Billing Demand'!$A$5:$AL$44,C$9,FALSE)</f>
        <v>5912073</v>
      </c>
      <c r="D88" s="145">
        <f>VLOOKUP($B$9&amp;" Total",'Billing Demand'!$A$5:$AL$44,D$9,FALSE)</f>
        <v>5635694</v>
      </c>
      <c r="E88" s="145">
        <f>VLOOKUP($B$9&amp;" Total",'Billing Demand'!$A$5:$AL$44,E$9,FALSE)</f>
        <v>5910445</v>
      </c>
      <c r="F88" s="145">
        <f>VLOOKUP($B$9&amp;" Total",'Billing Demand'!$A$5:$AL$44,F$9,FALSE)</f>
        <v>5681766</v>
      </c>
      <c r="G88" s="145">
        <f>VLOOKUP($B$9&amp;" Total",'Billing Demand'!$A$5:$AL$44,G$9,FALSE)</f>
        <v>5886937</v>
      </c>
      <c r="H88" s="145">
        <f>VLOOKUP($B$9&amp;" Total",'Billing Demand'!$A$5:$AL$44,H$9,FALSE)</f>
        <v>6021716</v>
      </c>
      <c r="I88" s="145">
        <f>VLOOKUP($B$9&amp;" Total",'Billing Demand'!$A$5:$AL$44,I$9,FALSE)</f>
        <v>6111639</v>
      </c>
      <c r="J88" s="145">
        <f>VLOOKUP($B$9&amp;" Total",'Billing Demand'!$A$5:$AL$44,J$9,FALSE)</f>
        <v>6019269</v>
      </c>
      <c r="K88" s="145">
        <f>VLOOKUP($B$9&amp;" Total",'Billing Demand'!$A$5:$AL$44,K$9,FALSE)</f>
        <v>5971438</v>
      </c>
      <c r="L88" s="145">
        <f>VLOOKUP($B$9&amp;" Total",'Billing Demand'!$A$5:$AL$44,L$9,FALSE)</f>
        <v>6036151</v>
      </c>
      <c r="M88" s="145">
        <f>VLOOKUP($B$9&amp;" Total",'Billing Demand'!$A$5:$AL$44,M$9,FALSE)</f>
        <v>5847000</v>
      </c>
      <c r="N88" s="145">
        <f>VLOOKUP($B$9&amp;" Total",'Billing Demand'!$A$5:$AL$44,N$9,FALSE)</f>
        <v>5952351</v>
      </c>
      <c r="U88" s="516"/>
      <c r="V88" s="516"/>
      <c r="W88" s="516"/>
      <c r="X88" s="516"/>
      <c r="Y88" s="516"/>
      <c r="Z88" s="516"/>
      <c r="AA88" s="516"/>
      <c r="AB88" s="516"/>
      <c r="AC88" s="516"/>
      <c r="AD88" s="516"/>
      <c r="AE88" s="516"/>
      <c r="AF88" s="516"/>
    </row>
    <row r="89" spans="1:32">
      <c r="B89" s="239" t="s">
        <v>548</v>
      </c>
      <c r="C89" s="235">
        <f>+C61</f>
        <v>6011791.3492032457</v>
      </c>
      <c r="D89" s="235">
        <f t="shared" ref="D89:N89" si="24">+D61</f>
        <v>5616198.6254109694</v>
      </c>
      <c r="E89" s="235">
        <f t="shared" si="24"/>
        <v>5424261.3202618919</v>
      </c>
      <c r="F89" s="235">
        <f t="shared" si="24"/>
        <v>5547175.7921332689</v>
      </c>
      <c r="G89" s="235">
        <f t="shared" si="24"/>
        <v>5743818.5934529975</v>
      </c>
      <c r="H89" s="235">
        <f t="shared" si="24"/>
        <v>6123103.2085875003</v>
      </c>
      <c r="I89" s="235">
        <f t="shared" si="24"/>
        <v>6017189.4203604097</v>
      </c>
      <c r="J89" s="235">
        <f t="shared" si="24"/>
        <v>5975585.2614922514</v>
      </c>
      <c r="K89" s="235">
        <f t="shared" si="24"/>
        <v>6252158.274678397</v>
      </c>
      <c r="L89" s="235">
        <f t="shared" si="24"/>
        <v>5918258.2366450606</v>
      </c>
      <c r="M89" s="235">
        <f t="shared" si="24"/>
        <v>5925389.3875999954</v>
      </c>
      <c r="N89" s="235">
        <f t="shared" si="24"/>
        <v>5754534.3045162093</v>
      </c>
    </row>
    <row r="90" spans="1:32">
      <c r="B90" s="45" t="s">
        <v>535</v>
      </c>
      <c r="C90" s="236" t="str">
        <f>IF(C88&gt;=C89,"OK","CHECK")</f>
        <v>CHECK</v>
      </c>
      <c r="D90" s="236" t="str">
        <f>IF(D88&gt;=D89,"OK","CHECK")</f>
        <v>OK</v>
      </c>
      <c r="E90" s="236" t="str">
        <f>IF(E88&gt;=E89,"OK","CHECK")</f>
        <v>OK</v>
      </c>
      <c r="F90" s="236" t="str">
        <f>IF(F88&gt;=F89,"OK","CHECK")</f>
        <v>OK</v>
      </c>
      <c r="G90" s="236" t="str">
        <f t="shared" ref="G90:N90" si="25">IF(G88&gt;=G89,"OK","CHECK")</f>
        <v>OK</v>
      </c>
      <c r="H90" s="236" t="str">
        <f t="shared" si="25"/>
        <v>CHECK</v>
      </c>
      <c r="I90" s="236" t="str">
        <f t="shared" si="25"/>
        <v>OK</v>
      </c>
      <c r="J90" s="236" t="str">
        <f t="shared" si="25"/>
        <v>OK</v>
      </c>
      <c r="K90" s="236" t="str">
        <f t="shared" si="25"/>
        <v>CHECK</v>
      </c>
      <c r="L90" s="236" t="str">
        <f t="shared" si="25"/>
        <v>OK</v>
      </c>
      <c r="M90" s="236" t="str">
        <f t="shared" si="25"/>
        <v>CHECK</v>
      </c>
      <c r="N90" s="236" t="str">
        <f t="shared" si="25"/>
        <v>OK</v>
      </c>
    </row>
    <row r="91" spans="1:32" ht="15.6" thickBot="1">
      <c r="G91" s="145"/>
    </row>
    <row r="92" spans="1:32" ht="15.6" thickBot="1">
      <c r="C92" s="102" t="s">
        <v>79</v>
      </c>
      <c r="D92" s="101" t="s">
        <v>80</v>
      </c>
      <c r="E92" s="100" t="s">
        <v>81</v>
      </c>
      <c r="F92" s="100" t="s">
        <v>70</v>
      </c>
      <c r="G92" s="100" t="s">
        <v>71</v>
      </c>
      <c r="H92" s="101" t="s">
        <v>72</v>
      </c>
      <c r="I92" s="102" t="s">
        <v>73</v>
      </c>
      <c r="J92" s="102" t="s">
        <v>74</v>
      </c>
      <c r="K92" s="103" t="s">
        <v>75</v>
      </c>
      <c r="L92" s="103" t="s">
        <v>76</v>
      </c>
      <c r="M92" s="103" t="s">
        <v>77</v>
      </c>
      <c r="N92" s="103" t="s">
        <v>78</v>
      </c>
    </row>
    <row r="93" spans="1:32" ht="409.6">
      <c r="B93" s="43" t="s">
        <v>549</v>
      </c>
      <c r="C93" s="145">
        <f>VLOOKUP($B$9&amp;" Total",'Billing Demand'!$A$5:$AL$44,C$9+12,FALSE)</f>
        <v>5945124</v>
      </c>
      <c r="D93" s="145">
        <f>VLOOKUP($B$9&amp;" Total",'Billing Demand'!$A$5:$AL$44,D$9+12,FALSE)</f>
        <v>5628161</v>
      </c>
      <c r="E93" s="145">
        <f>VLOOKUP($B$9&amp;" Total",'Billing Demand'!$A$5:$AL$44,E$9+12,FALSE)</f>
        <v>5904347</v>
      </c>
      <c r="F93" s="145">
        <f>VLOOKUP($B$9&amp;" Total",'Billing Demand'!$A$5:$AL$44,F$9+12,FALSE)</f>
        <v>5710738</v>
      </c>
      <c r="G93" s="145">
        <f>VLOOKUP($B$9&amp;" Total",'Billing Demand'!$A$5:$AL$44,G$9+12,FALSE)</f>
        <v>5898898</v>
      </c>
      <c r="H93" s="145">
        <f>VLOOKUP($B$9&amp;" Total",'Billing Demand'!$A$5:$AL$44,H$9+12,FALSE)</f>
        <v>6038885</v>
      </c>
      <c r="I93" s="145">
        <f>VLOOKUP($B$9&amp;" Total",'Billing Demand'!$A$5:$AL$44,I$9+12,FALSE)</f>
        <v>6125599</v>
      </c>
      <c r="J93" s="145">
        <f>VLOOKUP($B$9&amp;" Total",'Billing Demand'!$A$5:$AL$44,J$9+12,FALSE)</f>
        <v>6036883</v>
      </c>
      <c r="K93" s="145">
        <f>VLOOKUP($B$9&amp;" Total",'Billing Demand'!$A$5:$AL$44,K$9+12,FALSE)</f>
        <v>5983118</v>
      </c>
      <c r="L93" s="145">
        <f>VLOOKUP($B$9&amp;" Total",'Billing Demand'!$A$5:$AL$44,L$9+12,FALSE)</f>
        <v>6063392</v>
      </c>
      <c r="M93" s="145">
        <f>VLOOKUP($B$9&amp;" Total",'Billing Demand'!$A$5:$AL$44,M$9+12,FALSE)</f>
        <v>5878454</v>
      </c>
      <c r="N93" s="145">
        <f>VLOOKUP($B$9&amp;" Total",'Billing Demand'!$A$5:$AL$44,N$9+12,FALSE)</f>
        <v>5977202</v>
      </c>
    </row>
    <row r="94" spans="1:32">
      <c r="B94" s="239" t="s">
        <v>550</v>
      </c>
      <c r="C94" s="235">
        <f>+C66</f>
        <v>6047828.5659530647</v>
      </c>
      <c r="D94" s="235">
        <f t="shared" ref="D94:N94" si="26">+D66</f>
        <v>5809093.5543667004</v>
      </c>
      <c r="E94" s="235">
        <f t="shared" si="26"/>
        <v>5410039.2042280966</v>
      </c>
      <c r="F94" s="235">
        <f t="shared" si="26"/>
        <v>5563624.4375873804</v>
      </c>
      <c r="G94" s="235">
        <f t="shared" si="26"/>
        <v>5738762.9851899119</v>
      </c>
      <c r="H94" s="235">
        <f t="shared" si="26"/>
        <v>6121520.9779870743</v>
      </c>
      <c r="I94" s="235">
        <f t="shared" si="26"/>
        <v>6011736.3191369297</v>
      </c>
      <c r="J94" s="235">
        <f t="shared" si="26"/>
        <v>5974400.8057077946</v>
      </c>
      <c r="K94" s="235">
        <f t="shared" si="26"/>
        <v>6244346.132533839</v>
      </c>
      <c r="L94" s="235">
        <f t="shared" si="26"/>
        <v>5924812.1289751818</v>
      </c>
      <c r="M94" s="235">
        <f t="shared" si="26"/>
        <v>5935624.1522393478</v>
      </c>
      <c r="N94" s="235">
        <f t="shared" si="26"/>
        <v>5756206.6721373517</v>
      </c>
    </row>
    <row r="95" spans="1:32" ht="409.6">
      <c r="B95" s="45" t="s">
        <v>535</v>
      </c>
      <c r="C95" s="236" t="str">
        <f>IF(C93&gt;=C94,"OK","CHECK")</f>
        <v>CHECK</v>
      </c>
      <c r="D95" s="236" t="str">
        <f>IF(D93&gt;=D94,"OK","CHECK")</f>
        <v>CHECK</v>
      </c>
      <c r="E95" s="236" t="str">
        <f>IF(E93&gt;=E94,"OK","CHECK")</f>
        <v>OK</v>
      </c>
      <c r="F95" s="236" t="str">
        <f>IF(F93&gt;=F94,"OK","CHECK")</f>
        <v>OK</v>
      </c>
      <c r="G95" s="236" t="str">
        <f t="shared" ref="G95:N95" si="27">IF(G93&gt;=G94,"OK","CHECK")</f>
        <v>OK</v>
      </c>
      <c r="H95" s="236" t="str">
        <f t="shared" si="27"/>
        <v>CHECK</v>
      </c>
      <c r="I95" s="236" t="str">
        <f t="shared" si="27"/>
        <v>OK</v>
      </c>
      <c r="J95" s="236" t="str">
        <f t="shared" si="27"/>
        <v>OK</v>
      </c>
      <c r="K95" s="236" t="str">
        <f t="shared" si="27"/>
        <v>CHECK</v>
      </c>
      <c r="L95" s="236" t="str">
        <f t="shared" si="27"/>
        <v>OK</v>
      </c>
      <c r="M95" s="236" t="str">
        <f t="shared" si="27"/>
        <v>CHECK</v>
      </c>
      <c r="N95" s="236" t="str">
        <f t="shared" si="27"/>
        <v>OK</v>
      </c>
    </row>
    <row r="97" spans="2:2">
      <c r="B97" s="45" t="s">
        <v>551</v>
      </c>
    </row>
  </sheetData>
  <mergeCells count="3">
    <mergeCell ref="C7:E7"/>
    <mergeCell ref="F7:L7"/>
    <mergeCell ref="M7:N7"/>
  </mergeCells>
  <conditionalFormatting sqref="C60:N60">
    <cfRule type="cellIs" dxfId="178" priority="13" operator="greaterThanOrEqual">
      <formula>C61</formula>
    </cfRule>
  </conditionalFormatting>
  <conditionalFormatting sqref="P65">
    <cfRule type="cellIs" dxfId="177" priority="12" operator="greaterThanOrEqual">
      <formula>P66</formula>
    </cfRule>
  </conditionalFormatting>
  <conditionalFormatting sqref="C59:N59 P59">
    <cfRule type="cellIs" dxfId="176" priority="11" operator="greaterThanOrEqual">
      <formula>C60</formula>
    </cfRule>
  </conditionalFormatting>
  <conditionalFormatting sqref="P64">
    <cfRule type="cellIs" dxfId="175" priority="10" operator="greaterThanOrEqual">
      <formula>P65</formula>
    </cfRule>
  </conditionalFormatting>
  <conditionalFormatting sqref="C90:N90">
    <cfRule type="cellIs" dxfId="174" priority="9" stopIfTrue="1" operator="equal">
      <formula>"Check"</formula>
    </cfRule>
  </conditionalFormatting>
  <conditionalFormatting sqref="C95:N95">
    <cfRule type="cellIs" dxfId="173" priority="8" stopIfTrue="1" operator="equal">
      <formula>"Error"</formula>
    </cfRule>
  </conditionalFormatting>
  <conditionalFormatting sqref="C95:N95">
    <cfRule type="cellIs" dxfId="172" priority="7" stopIfTrue="1" operator="equal">
      <formula>"Check"</formula>
    </cfRule>
  </conditionalFormatting>
  <conditionalFormatting sqref="C65:N65">
    <cfRule type="cellIs" dxfId="171" priority="4" operator="greaterThanOrEqual">
      <formula>C66</formula>
    </cfRule>
  </conditionalFormatting>
  <conditionalFormatting sqref="C64:N64">
    <cfRule type="cellIs" dxfId="170" priority="3" operator="greaterThan">
      <formula>C65</formula>
    </cfRule>
  </conditionalFormatting>
  <conditionalFormatting sqref="C73:N73">
    <cfRule type="cellIs" dxfId="169" priority="2" operator="greaterThanOrEqual">
      <formula>C74</formula>
    </cfRule>
  </conditionalFormatting>
  <conditionalFormatting sqref="C72:N72">
    <cfRule type="cellIs" dxfId="168" priority="1" operator="greaterThan">
      <formula>C73</formula>
    </cfRule>
  </conditionalFormatting>
  <pageMargins left="0" right="0" top="1" bottom="1" header="0.5" footer="0.5"/>
  <pageSetup scale="33" orientation="landscape" r:id="rId1"/>
  <headerFooter alignWithMargins="0">
    <oddFooter>&amp;LPrinted:  &amp;D&amp;C&amp;F&amp;RPage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pageSetUpPr fitToPage="1"/>
  </sheetPr>
  <dimension ref="A1:AG96"/>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 min="18" max="18" width="16.109375" bestFit="1" customWidth="1"/>
    <col min="19" max="19" width="10.6640625" bestFit="1" customWidth="1"/>
    <col min="20" max="20" width="24.33203125" bestFit="1" customWidth="1"/>
    <col min="21" max="28" width="10.6640625" bestFit="1" customWidth="1"/>
    <col min="29" max="29" width="9.44140625" bestFit="1" customWidth="1"/>
    <col min="30" max="30" width="7" customWidth="1"/>
    <col min="31" max="31" width="8.44140625" customWidth="1"/>
    <col min="32" max="32" width="11.5546875" bestFit="1" customWidth="1"/>
  </cols>
  <sheetData>
    <row r="1" spans="1:16" s="8" customFormat="1" ht="15.6">
      <c r="A1" s="624"/>
      <c r="B1" s="8" t="s">
        <v>1288</v>
      </c>
    </row>
    <row r="2" spans="1:16" s="8" customFormat="1" ht="15.6">
      <c r="A2" s="624"/>
      <c r="B2" s="8" t="s">
        <v>1267</v>
      </c>
    </row>
    <row r="3" spans="1:16" s="8" customFormat="1" ht="15.6">
      <c r="A3" s="624"/>
    </row>
    <row r="4" spans="1:16" ht="21">
      <c r="A4" s="124" t="s">
        <v>441</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68</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0.87999293792185507</v>
      </c>
      <c r="D13" s="115">
        <f>VLOOKUP($B$9,'Avg KWH'!$A$12:$O$38,D9,FALSE)/HOURS!C15/VLOOKUP($B$9,'Avg CP'!$A$12:$P$38,D9,FALSE)</f>
        <v>0.69436441012216643</v>
      </c>
      <c r="E13" s="115">
        <f>VLOOKUP($B$9,'Avg KWH'!$A$12:$O$38,E9,FALSE)/HOURS!D15/VLOOKUP($B$9,'Avg CP'!$A$12:$P$38,E9,FALSE)</f>
        <v>0.85213562814328414</v>
      </c>
      <c r="F13" s="115">
        <f>VLOOKUP($B$9,'Avg KWH'!$A$12:$O$38,F9,FALSE)/HOURS!E15/VLOOKUP($B$9,'Avg CP'!$A$12:$P$38,F9,FALSE)</f>
        <v>0.74803998000101291</v>
      </c>
      <c r="G13" s="115">
        <f>VLOOKUP($B$9,'Avg KWH'!$A$12:$O$38,G9,FALSE)/HOURS!F15/VLOOKUP($B$9,'Avg CP'!$A$12:$P$38,G9,FALSE)</f>
        <v>0.76454163472611447</v>
      </c>
      <c r="H13" s="115">
        <f>VLOOKUP($B$9,'Avg KWH'!$A$12:$O$38,H9,FALSE)/HOURS!G15/VLOOKUP($B$9,'Avg CP'!$A$12:$P$38,H9,FALSE)</f>
        <v>0.74013018555845556</v>
      </c>
      <c r="I13" s="115">
        <f>VLOOKUP($B$9,'Avg KWH'!$A$12:$O$38,I9,FALSE)/HOURS!H15/VLOOKUP($B$9,'Avg CP'!$A$12:$P$38,I9,FALSE)</f>
        <v>0.76716537089477388</v>
      </c>
      <c r="J13" s="115">
        <f>VLOOKUP($B$9,'Avg KWH'!$A$12:$O$38,J9,FALSE)/HOURS!I15/VLOOKUP($B$9,'Avg CP'!$A$12:$P$38,J9,FALSE)</f>
        <v>0.77226327827682761</v>
      </c>
      <c r="K13" s="115">
        <f>VLOOKUP($B$9,'Avg KWH'!$A$12:$O$38,K9,FALSE)/HOURS!J15/VLOOKUP($B$9,'Avg CP'!$A$12:$P$38,K9,FALSE)</f>
        <v>0.8145558414464813</v>
      </c>
      <c r="L13" s="115">
        <f>VLOOKUP($B$9,'Avg KWH'!$A$12:$O$38,L9,FALSE)/HOURS!K15/VLOOKUP($B$9,'Avg CP'!$A$12:$P$38,L9,FALSE)</f>
        <v>0.71969396190138801</v>
      </c>
      <c r="M13" s="115">
        <f>VLOOKUP($B$9,'Avg KWH'!$A$12:$O$38,M9,FALSE)/HOURS!L15/VLOOKUP($B$9,'Avg CP'!$A$12:$P$38,M9,FALSE)</f>
        <v>0.71817567034456387</v>
      </c>
      <c r="N13" s="115">
        <f>VLOOKUP($B$9,'Avg KWH'!$A$12:$O$38,N9,FALSE)/HOURS!M15/VLOOKUP($B$9,'Avg CP'!$A$12:$P$38,N9,FALSE)</f>
        <v>0.78711514008080818</v>
      </c>
    </row>
    <row r="14" spans="1:16" s="110" customFormat="1">
      <c r="A14" s="119"/>
      <c r="B14" s="118" t="s">
        <v>342</v>
      </c>
      <c r="C14" s="115">
        <f>VLOOKUP($B$9,'Avg KWH'!$A$12:$O$38,C9,FALSE)/HOURS!B15/VLOOKUP($B$9,'Avg GNCP'!$A$11:$P$37,C9,FALSE)</f>
        <v>0.66209285570224641</v>
      </c>
      <c r="D14" s="115">
        <f>VLOOKUP($B$9,'Avg KWH'!$A$12:$O$38,D9,FALSE)/HOURS!C15/VLOOKUP($B$9,'Avg GNCP'!$A$11:$P$37,D9,FALSE)</f>
        <v>0.66098682930389352</v>
      </c>
      <c r="E14" s="115">
        <f>VLOOKUP($B$9,'Avg KWH'!$A$12:$O$38,E9,FALSE)/HOURS!D15/VLOOKUP($B$9,'Avg GNCP'!$A$11:$P$37,E9,FALSE)</f>
        <v>0.6571756743984174</v>
      </c>
      <c r="F14" s="115">
        <f>VLOOKUP($B$9,'Avg KWH'!$A$12:$O$38,F9,FALSE)/HOURS!E15/VLOOKUP($B$9,'Avg GNCP'!$A$11:$P$37,F9,FALSE)</f>
        <v>0.67277891023613601</v>
      </c>
      <c r="G14" s="115">
        <f>VLOOKUP($B$9,'Avg KWH'!$A$12:$O$38,G9,FALSE)/HOURS!F15/VLOOKUP($B$9,'Avg GNCP'!$A$11:$P$37,G9,FALSE)</f>
        <v>0.68209761553412307</v>
      </c>
      <c r="H14" s="115">
        <f>VLOOKUP($B$9,'Avg KWH'!$A$12:$O$38,H9,FALSE)/HOURS!G15/VLOOKUP($B$9,'Avg GNCP'!$A$11:$P$37,H9,FALSE)</f>
        <v>0.69992463699765206</v>
      </c>
      <c r="I14" s="115">
        <f>VLOOKUP($B$9,'Avg KWH'!$A$12:$O$38,I9,FALSE)/HOURS!H15/VLOOKUP($B$9,'Avg GNCP'!$A$11:$P$37,I9,FALSE)</f>
        <v>0.71944888139669749</v>
      </c>
      <c r="J14" s="115">
        <f>VLOOKUP($B$9,'Avg KWH'!$A$12:$O$38,J9,FALSE)/HOURS!I15/VLOOKUP($B$9,'Avg GNCP'!$A$11:$P$37,J9,FALSE)</f>
        <v>0.69125147825549726</v>
      </c>
      <c r="K14" s="115">
        <f>VLOOKUP($B$9,'Avg KWH'!$A$12:$O$38,K9,FALSE)/HOURS!J15/VLOOKUP($B$9,'Avg GNCP'!$A$11:$P$37,K9,FALSE)</f>
        <v>0.68116600520794091</v>
      </c>
      <c r="L14" s="115">
        <f>VLOOKUP($B$9,'Avg KWH'!$A$12:$O$38,L9,FALSE)/HOURS!K15/VLOOKUP($B$9,'Avg GNCP'!$A$11:$P$37,L9,FALSE)</f>
        <v>0.66927199170648433</v>
      </c>
      <c r="M14" s="115">
        <f>VLOOKUP($B$9,'Avg KWH'!$A$12:$O$38,M9,FALSE)/HOURS!L15/VLOOKUP($B$9,'Avg GNCP'!$A$11:$P$37,M9,FALSE)</f>
        <v>0.63819436423588338</v>
      </c>
      <c r="N14" s="115">
        <f>VLOOKUP($B$9,'Avg KWH'!$A$12:$O$38,N9,FALSE)/HOURS!M15/VLOOKUP($B$9,'Avg GNCP'!$A$11:$P$37,N9,FALSE)</f>
        <v>0.62673471746518261</v>
      </c>
    </row>
    <row r="15" spans="1:16" s="10" customFormat="1">
      <c r="A15" s="119"/>
      <c r="B15" s="148" t="s">
        <v>133</v>
      </c>
      <c r="C15" s="115">
        <f>VLOOKUP($B$9,'Avg KWH'!$A$12:$O$38,C9,FALSE)/HOURS!B15/VLOOKUP($B$9,'Avg NCP'!$B$12:$P$38,C9-1,FALSE)</f>
        <v>0.5544252831635812</v>
      </c>
      <c r="D15" s="115">
        <f>VLOOKUP($B$9,'Avg KWH'!$A$12:$O$38,D9,FALSE)/HOURS!C15/VLOOKUP($B$9,'Avg NCP'!$B$12:$P$38,D9-1,FALSE)</f>
        <v>0.56277382231301742</v>
      </c>
      <c r="E15" s="115">
        <f>VLOOKUP($B$9,'Avg KWH'!$A$12:$O$38,E9,FALSE)/HOURS!D15/VLOOKUP($B$9,'Avg NCP'!$B$12:$P$38,E9-1,FALSE)</f>
        <v>0.5502023616959324</v>
      </c>
      <c r="F15" s="115">
        <f>VLOOKUP($B$9,'Avg KWH'!$A$12:$O$38,F9,FALSE)/HOURS!E15/VLOOKUP($B$9,'Avg NCP'!$B$12:$P$38,F9-1,FALSE)</f>
        <v>0.57009358153292133</v>
      </c>
      <c r="G15" s="115">
        <f>VLOOKUP($B$9,'Avg KWH'!$A$12:$O$38,G9,FALSE)/HOURS!F15/VLOOKUP($B$9,'Avg NCP'!$B$12:$P$38,G9-1,FALSE)</f>
        <v>0.57227591337216233</v>
      </c>
      <c r="H15" s="115">
        <f>VLOOKUP($B$9,'Avg KWH'!$A$12:$O$38,H9,FALSE)/HOURS!G15/VLOOKUP($B$9,'Avg NCP'!$B$12:$P$38,H9-1,FALSE)</f>
        <v>0.57065294161455704</v>
      </c>
      <c r="I15" s="115">
        <f>VLOOKUP($B$9,'Avg KWH'!$A$12:$O$38,I9,FALSE)/HOURS!H15/VLOOKUP($B$9,'Avg NCP'!$B$12:$P$38,I9-1,FALSE)</f>
        <v>0.59490921531282814</v>
      </c>
      <c r="J15" s="115">
        <f>VLOOKUP($B$9,'Avg KWH'!$A$12:$O$38,J9,FALSE)/HOURS!I15/VLOOKUP($B$9,'Avg NCP'!$B$12:$P$38,J9-1,FALSE)</f>
        <v>0.58840031529708603</v>
      </c>
      <c r="K15" s="115">
        <f>VLOOKUP($B$9,'Avg KWH'!$A$12:$O$38,K9,FALSE)/HOURS!J15/VLOOKUP($B$9,'Avg NCP'!$B$12:$P$38,K9-1,FALSE)</f>
        <v>0.57853626030686423</v>
      </c>
      <c r="L15" s="115">
        <f>VLOOKUP($B$9,'Avg KWH'!$A$12:$O$38,L9,FALSE)/HOURS!K15/VLOOKUP($B$9,'Avg NCP'!$B$12:$P$38,L9-1,FALSE)</f>
        <v>0.57108462984693742</v>
      </c>
      <c r="M15" s="115">
        <f>VLOOKUP($B$9,'Avg KWH'!$A$12:$O$38,M9,FALSE)/HOURS!L15/VLOOKUP($B$9,'Avg NCP'!$B$12:$P$38,M9-1,FALSE)</f>
        <v>0.54946993273733702</v>
      </c>
      <c r="N15" s="115">
        <f>VLOOKUP($B$9,'Avg KWH'!$A$12:$O$38,N9,FALSE)/HOURS!M15/VLOOKUP($B$9,'Avg NCP'!$B$12:$P$38,N9-1,FALSE)</f>
        <v>0.54009655978831461</v>
      </c>
    </row>
    <row r="16" spans="1:16">
      <c r="A16" s="114"/>
      <c r="C16" s="116"/>
      <c r="D16" s="116"/>
      <c r="E16" s="116"/>
      <c r="F16" s="116"/>
      <c r="G16" s="116"/>
      <c r="H16" s="116"/>
      <c r="I16" s="116"/>
      <c r="J16" s="116"/>
      <c r="K16" s="116"/>
      <c r="L16" s="116"/>
      <c r="M16" s="117"/>
      <c r="N16" s="116"/>
    </row>
    <row r="17" spans="1:19" ht="15.6">
      <c r="A17" s="113" t="s">
        <v>421</v>
      </c>
      <c r="C17" s="5"/>
      <c r="D17" s="5"/>
      <c r="E17" s="5"/>
      <c r="F17" s="5"/>
      <c r="G17" s="5"/>
      <c r="H17" s="5"/>
      <c r="I17" s="5"/>
      <c r="J17" s="5"/>
      <c r="K17" s="5"/>
      <c r="L17" s="5"/>
      <c r="M17" s="115"/>
      <c r="N17" s="5"/>
    </row>
    <row r="18" spans="1:19">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9">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9">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9">
      <c r="A21" s="114"/>
      <c r="C21" s="5"/>
      <c r="D21" s="5"/>
      <c r="E21" s="5"/>
      <c r="F21" s="5"/>
      <c r="G21" s="5"/>
      <c r="H21" s="5"/>
      <c r="I21" s="5"/>
      <c r="J21" s="5"/>
      <c r="K21" s="5"/>
      <c r="L21" s="5"/>
      <c r="M21" s="115"/>
      <c r="N21" s="5"/>
    </row>
    <row r="22" spans="1:19" ht="15.6">
      <c r="A22" s="113" t="s">
        <v>427</v>
      </c>
      <c r="C22" s="5"/>
      <c r="D22" s="5"/>
      <c r="E22" s="5"/>
      <c r="F22" s="5"/>
      <c r="G22" s="5"/>
      <c r="H22" s="5"/>
      <c r="I22" s="5"/>
      <c r="J22" s="5"/>
      <c r="K22" s="5"/>
      <c r="L22" s="5"/>
      <c r="M22" s="115"/>
      <c r="N22" s="5"/>
    </row>
    <row r="23" spans="1:19">
      <c r="A23" s="114"/>
      <c r="B23" t="s">
        <v>428</v>
      </c>
      <c r="C23" s="145">
        <v>0</v>
      </c>
      <c r="D23" s="145">
        <v>0</v>
      </c>
      <c r="E23" s="145">
        <v>0</v>
      </c>
      <c r="F23" s="145">
        <v>0</v>
      </c>
      <c r="G23" s="145">
        <v>0</v>
      </c>
      <c r="H23" s="145">
        <v>0</v>
      </c>
      <c r="I23" s="145">
        <v>0</v>
      </c>
      <c r="J23" s="145">
        <v>0</v>
      </c>
      <c r="K23" s="145">
        <v>0</v>
      </c>
      <c r="L23" s="145">
        <v>0</v>
      </c>
      <c r="M23" s="145">
        <v>0</v>
      </c>
      <c r="N23" s="145">
        <v>0</v>
      </c>
    </row>
    <row r="24" spans="1:19">
      <c r="A24" s="114"/>
      <c r="B24" t="s">
        <v>429</v>
      </c>
      <c r="C24" s="145">
        <v>0</v>
      </c>
      <c r="D24" s="145">
        <v>0</v>
      </c>
      <c r="E24" s="145">
        <v>0</v>
      </c>
      <c r="F24" s="145">
        <v>0</v>
      </c>
      <c r="G24" s="145">
        <v>0</v>
      </c>
      <c r="H24" s="145">
        <v>0</v>
      </c>
      <c r="I24" s="145">
        <v>0</v>
      </c>
      <c r="J24" s="145">
        <v>0</v>
      </c>
      <c r="K24" s="145">
        <v>0</v>
      </c>
      <c r="L24" s="145">
        <v>0</v>
      </c>
      <c r="M24" s="145">
        <v>0</v>
      </c>
      <c r="N24" s="145">
        <v>0</v>
      </c>
    </row>
    <row r="25" spans="1:19">
      <c r="A25" s="114"/>
      <c r="C25" s="5"/>
      <c r="D25" s="5"/>
      <c r="E25" s="5"/>
      <c r="F25" s="5"/>
      <c r="G25" s="5"/>
      <c r="H25" s="5"/>
      <c r="I25" s="5"/>
      <c r="J25" s="5"/>
      <c r="K25" s="5"/>
      <c r="L25" s="5"/>
      <c r="M25" s="115"/>
      <c r="N25" s="5"/>
    </row>
    <row r="26" spans="1:19" ht="15.6">
      <c r="A26" s="113" t="s">
        <v>424</v>
      </c>
      <c r="C26" s="5"/>
      <c r="D26" s="5"/>
      <c r="E26" s="5"/>
      <c r="F26" s="5"/>
      <c r="G26" s="5"/>
      <c r="H26" s="5"/>
      <c r="I26" s="5"/>
      <c r="J26" s="5"/>
      <c r="K26" s="5"/>
      <c r="L26" s="5"/>
      <c r="M26" s="115"/>
      <c r="N26" s="5"/>
    </row>
    <row r="27" spans="1:19" s="106" customFormat="1">
      <c r="A27" s="109"/>
      <c r="B27" s="108" t="str">
        <f>"PRIOR - "&amp;MANUAL!$B$9</f>
        <v>PRIOR - 2016</v>
      </c>
      <c r="C27" s="142">
        <f>VLOOKUP($B$9,'Sales Forecast'!$B$7:$AO$23,C9-1,FALSE)</f>
        <v>864051113</v>
      </c>
      <c r="D27" s="142">
        <f>VLOOKUP($B$9,'Sales Forecast'!$B$7:$AO$23,D9-1,FALSE)</f>
        <v>782290115</v>
      </c>
      <c r="E27" s="142">
        <f>VLOOKUP($B$9,'Sales Forecast'!$B$7:$AO$23,E9-1,FALSE)</f>
        <v>801428463</v>
      </c>
      <c r="F27" s="142">
        <f>VLOOKUP($B$9,'Sales Forecast'!$B$7:$AO$23,F9-1,FALSE)</f>
        <v>811043342</v>
      </c>
      <c r="G27" s="142">
        <f>VLOOKUP($B$9,'Sales Forecast'!$B$7:$AO$23,G9-1,FALSE)</f>
        <v>892700758</v>
      </c>
      <c r="H27" s="142">
        <f>VLOOKUP($B$9,'Sales Forecast'!$B$7:$AO$23,H9-1,FALSE)</f>
        <v>918461617</v>
      </c>
      <c r="I27" s="142">
        <f>VLOOKUP($B$9,'Sales Forecast'!$B$7:$AO$23,I9-1,FALSE)</f>
        <v>934371582</v>
      </c>
      <c r="J27" s="142">
        <f>VLOOKUP($B$9,'Sales Forecast'!$B$7:$AO$23,J9-1,FALSE)</f>
        <v>940896934</v>
      </c>
      <c r="K27" s="142">
        <f>VLOOKUP($B$9,'Sales Forecast'!$B$7:$AO$23,K9-1,FALSE)</f>
        <v>945979312</v>
      </c>
      <c r="L27" s="142">
        <f>VLOOKUP($B$9,'Sales Forecast'!$B$7:$AO$23,L9-1,FALSE)</f>
        <v>908664346</v>
      </c>
      <c r="M27" s="142">
        <f>VLOOKUP($B$9,'Sales Forecast'!$B$7:$AO$23,M9-1,FALSE)</f>
        <v>837707035</v>
      </c>
      <c r="N27" s="142">
        <f>VLOOKUP($B$9,'Sales Forecast'!$B$7:$AO$23,N9-1,FALSE)</f>
        <v>861696302</v>
      </c>
    </row>
    <row r="28" spans="1:19" s="12" customFormat="1" ht="15.6">
      <c r="A28" s="111"/>
      <c r="B28" s="108" t="str">
        <f>"TEST - "&amp;MANUAL!$B$10</f>
        <v>TEST - 2017</v>
      </c>
      <c r="C28" s="142">
        <f>VLOOKUP($B$9,'Sales Forecast'!$B$7:$AO$23,C9+11,FALSE)</f>
        <v>869348955</v>
      </c>
      <c r="D28" s="142">
        <f>VLOOKUP($B$9,'Sales Forecast'!$B$7:$AO$23,D9+11,FALSE)</f>
        <v>781904160</v>
      </c>
      <c r="E28" s="142">
        <f>VLOOKUP($B$9,'Sales Forecast'!$B$7:$AO$23,E9+11,FALSE)</f>
        <v>799875142</v>
      </c>
      <c r="F28" s="142">
        <f>VLOOKUP($B$9,'Sales Forecast'!$B$7:$AO$23,F9+11,FALSE)</f>
        <v>813282613</v>
      </c>
      <c r="G28" s="142">
        <f>VLOOKUP($B$9,'Sales Forecast'!$B$7:$AO$23,G9+11,FALSE)</f>
        <v>891962736</v>
      </c>
      <c r="H28" s="142">
        <f>VLOOKUP($B$9,'Sales Forecast'!$B$7:$AO$23,H9+11,FALSE)</f>
        <v>918624369</v>
      </c>
      <c r="I28" s="142">
        <f>VLOOKUP($B$9,'Sales Forecast'!$B$7:$AO$23,I9+11,FALSE)</f>
        <v>934555629</v>
      </c>
      <c r="J28" s="142">
        <f>VLOOKUP($B$9,'Sales Forecast'!$B$7:$AO$23,J9+11,FALSE)</f>
        <v>941225770</v>
      </c>
      <c r="K28" s="142">
        <f>VLOOKUP($B$9,'Sales Forecast'!$B$7:$AO$23,K9+11,FALSE)</f>
        <v>945179485</v>
      </c>
      <c r="L28" s="142">
        <f>VLOOKUP($B$9,'Sales Forecast'!$B$7:$AO$23,L9+11,FALSE)</f>
        <v>910044506</v>
      </c>
      <c r="M28" s="142">
        <f>VLOOKUP($B$9,'Sales Forecast'!$B$7:$AO$23,M9+11,FALSE)</f>
        <v>839334767</v>
      </c>
      <c r="N28" s="142">
        <f>VLOOKUP($B$9,'Sales Forecast'!$B$7:$AO$23,N9+11,FALSE)</f>
        <v>862159574</v>
      </c>
    </row>
    <row r="29" spans="1:19">
      <c r="A29" s="114"/>
      <c r="B29" t="s">
        <v>1094</v>
      </c>
      <c r="C29" s="142">
        <f>VLOOKUP($B$9,'Sales Forecast'!$B$7:$AO$23,C9+23,FALSE)</f>
        <v>870597168</v>
      </c>
      <c r="D29" s="142">
        <f>VLOOKUP($B$9,'Sales Forecast'!$B$7:$AO$23,D9+23,FALSE)</f>
        <v>784006470</v>
      </c>
      <c r="E29" s="142">
        <f>VLOOKUP($B$9,'Sales Forecast'!$B$7:$AO$23,E9+23,FALSE)</f>
        <v>803735942</v>
      </c>
      <c r="F29" s="142">
        <f>VLOOKUP($B$9,'Sales Forecast'!$B$7:$AO$23,F9+23,FALSE)</f>
        <v>818611119</v>
      </c>
      <c r="G29" s="142">
        <f>VLOOKUP($B$9,'Sales Forecast'!$B$7:$AO$23,G9+23,FALSE)</f>
        <v>897899840</v>
      </c>
      <c r="H29" s="142">
        <f>VLOOKUP($B$9,'Sales Forecast'!$B$7:$AO$23,H9+23,FALSE)</f>
        <v>923960089</v>
      </c>
      <c r="I29" s="142">
        <f>VLOOKUP($B$9,'Sales Forecast'!$B$7:$AO$23,I9+23,FALSE)</f>
        <v>939148073</v>
      </c>
      <c r="J29" s="142">
        <f>VLOOKUP($B$9,'Sales Forecast'!$B$7:$AO$23,J9+23,FALSE)</f>
        <v>946418138</v>
      </c>
      <c r="K29" s="142">
        <f>VLOOKUP($B$9,'Sales Forecast'!$B$7:$AO$23,K9+23,FALSE)</f>
        <v>949043502</v>
      </c>
      <c r="L29" s="142">
        <f>VLOOKUP($B$9,'Sales Forecast'!$B$7:$AO$23,L9+23,FALSE)</f>
        <v>915120924</v>
      </c>
      <c r="M29" s="142">
        <f>VLOOKUP($B$9,'Sales Forecast'!$B$7:$AO$23,M9+23,FALSE)</f>
        <v>844793003</v>
      </c>
      <c r="N29" s="142">
        <f>VLOOKUP($B$9,'Sales Forecast'!$B$7:$AO$23,N9+23,FALSE)</f>
        <v>868293213</v>
      </c>
    </row>
    <row r="30" spans="1:19">
      <c r="A30" s="114"/>
      <c r="C30" s="142"/>
      <c r="D30" s="142"/>
      <c r="E30" s="142"/>
      <c r="F30" s="142"/>
      <c r="G30" s="142"/>
      <c r="H30" s="142"/>
      <c r="I30" s="142"/>
      <c r="J30" s="142"/>
      <c r="K30" s="142"/>
      <c r="L30" s="142"/>
      <c r="M30" s="142"/>
      <c r="N30" s="142"/>
    </row>
    <row r="31" spans="1:19" s="12" customFormat="1" ht="15.6">
      <c r="A31" s="113" t="s">
        <v>1248</v>
      </c>
      <c r="B31"/>
      <c r="C31" s="142"/>
      <c r="D31" s="142"/>
      <c r="E31" s="142"/>
      <c r="F31" s="142"/>
      <c r="G31" s="142"/>
      <c r="H31" s="142"/>
      <c r="I31" s="142"/>
      <c r="J31" s="142"/>
      <c r="K31" s="142"/>
      <c r="L31" s="142"/>
      <c r="M31" s="142"/>
      <c r="N31" s="142"/>
      <c r="S31"/>
    </row>
    <row r="32" spans="1:19" s="12" customFormat="1">
      <c r="A32" s="114"/>
      <c r="B32" t="s">
        <v>1254</v>
      </c>
      <c r="C32" s="115">
        <v>0</v>
      </c>
      <c r="D32" s="115">
        <v>0</v>
      </c>
      <c r="E32" s="115">
        <v>0</v>
      </c>
      <c r="F32" s="115">
        <v>0</v>
      </c>
      <c r="G32" s="115">
        <v>0</v>
      </c>
      <c r="H32" s="115">
        <v>0</v>
      </c>
      <c r="I32" s="115">
        <v>0</v>
      </c>
      <c r="J32" s="115">
        <v>0</v>
      </c>
      <c r="K32" s="115">
        <v>0</v>
      </c>
      <c r="L32" s="115">
        <v>0</v>
      </c>
      <c r="M32" s="115">
        <v>0</v>
      </c>
      <c r="N32" s="115">
        <v>0</v>
      </c>
      <c r="S32"/>
    </row>
    <row r="33" spans="1:33" s="12" customFormat="1">
      <c r="A33" s="114"/>
      <c r="B33" t="s">
        <v>1253</v>
      </c>
      <c r="C33" s="508">
        <v>3.9350000000000003E-2</v>
      </c>
      <c r="D33" s="508">
        <v>3.9350000000000003E-2</v>
      </c>
      <c r="E33" s="508">
        <v>3.9350000000000003E-2</v>
      </c>
      <c r="F33" s="508">
        <v>3.9350000000000003E-2</v>
      </c>
      <c r="G33" s="508">
        <v>3.9350000000000003E-2</v>
      </c>
      <c r="H33" s="508">
        <v>3.9350000000000003E-2</v>
      </c>
      <c r="I33" s="508">
        <v>3.9350000000000003E-2</v>
      </c>
      <c r="J33" s="508">
        <v>3.9350000000000003E-2</v>
      </c>
      <c r="K33" s="508">
        <v>3.9350000000000003E-2</v>
      </c>
      <c r="L33" s="508">
        <v>3.9350000000000003E-2</v>
      </c>
      <c r="M33" s="508">
        <v>3.9350000000000003E-2</v>
      </c>
      <c r="N33" s="508">
        <v>3.9350000000000003E-2</v>
      </c>
      <c r="S33" s="507"/>
    </row>
    <row r="34" spans="1:33" s="12" customFormat="1">
      <c r="A34" s="114"/>
      <c r="B34" t="s">
        <v>1252</v>
      </c>
      <c r="C34" s="508">
        <v>0.96065</v>
      </c>
      <c r="D34" s="508">
        <v>0.96065</v>
      </c>
      <c r="E34" s="508">
        <v>0.96065</v>
      </c>
      <c r="F34" s="508">
        <v>0.96065</v>
      </c>
      <c r="G34" s="508">
        <v>0.96065</v>
      </c>
      <c r="H34" s="508">
        <v>0.96065</v>
      </c>
      <c r="I34" s="508">
        <v>0.96065</v>
      </c>
      <c r="J34" s="508">
        <v>0.96065</v>
      </c>
      <c r="K34" s="508">
        <v>0.96065</v>
      </c>
      <c r="L34" s="508">
        <v>0.96065</v>
      </c>
      <c r="M34" s="508">
        <v>0.96065</v>
      </c>
      <c r="N34" s="508">
        <v>0.96065</v>
      </c>
      <c r="S34"/>
    </row>
    <row r="35" spans="1:33" s="12" customFormat="1" ht="15.6">
      <c r="A35" s="114"/>
      <c r="B35" s="513">
        <v>2017</v>
      </c>
      <c r="C35" s="508"/>
      <c r="D35" s="508"/>
      <c r="E35" s="508"/>
      <c r="F35" s="508"/>
      <c r="G35" s="508"/>
      <c r="H35" s="508"/>
      <c r="I35" s="508"/>
      <c r="J35" s="508"/>
      <c r="K35" s="508"/>
      <c r="L35" s="508"/>
      <c r="M35" s="508"/>
      <c r="N35" s="508"/>
      <c r="S35"/>
    </row>
    <row r="36" spans="1:33"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S36" s="522"/>
      <c r="T36" s="523"/>
      <c r="U36" s="523"/>
      <c r="V36" s="523"/>
      <c r="W36" s="523"/>
      <c r="X36" s="523"/>
      <c r="Y36" s="523"/>
      <c r="Z36" s="523"/>
      <c r="AA36" s="523"/>
      <c r="AB36" s="523"/>
      <c r="AC36" s="523"/>
      <c r="AD36" s="523"/>
      <c r="AE36" s="523"/>
    </row>
    <row r="37" spans="1:33"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S37" s="206"/>
      <c r="T37" s="523"/>
      <c r="U37" s="523"/>
      <c r="V37" s="523"/>
      <c r="W37" s="523"/>
      <c r="X37" s="523"/>
      <c r="Y37" s="523"/>
      <c r="Z37" s="523"/>
      <c r="AA37" s="523"/>
      <c r="AB37" s="523"/>
      <c r="AC37" s="523"/>
      <c r="AD37" s="523"/>
      <c r="AE37" s="523"/>
    </row>
    <row r="38" spans="1:33"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206"/>
      <c r="T38" s="523"/>
      <c r="U38" s="523"/>
      <c r="V38" s="523"/>
      <c r="W38" s="523"/>
      <c r="X38" s="523"/>
      <c r="Y38" s="523"/>
      <c r="Z38" s="523"/>
      <c r="AA38" s="523"/>
      <c r="AB38" s="523"/>
      <c r="AC38" s="523"/>
      <c r="AD38" s="523"/>
      <c r="AE38" s="523"/>
    </row>
    <row r="39" spans="1:33" s="12" customFormat="1">
      <c r="A39" s="114"/>
      <c r="B39" t="s">
        <v>1255</v>
      </c>
      <c r="C39" s="107">
        <f>(+C$28/C$19/C13)+C23</f>
        <v>1327828.585744366</v>
      </c>
      <c r="D39" s="107">
        <f t="shared" ref="D39:N39" si="0">(+D$28/D$19/D13)+D23</f>
        <v>1675702.0379805216</v>
      </c>
      <c r="E39" s="107">
        <f t="shared" si="0"/>
        <v>1261654.7903933583</v>
      </c>
      <c r="F39" s="107">
        <f t="shared" si="0"/>
        <v>1510025.1522929198</v>
      </c>
      <c r="G39" s="107">
        <f t="shared" si="0"/>
        <v>1568095.9554161746</v>
      </c>
      <c r="H39" s="107">
        <f t="shared" si="0"/>
        <v>1723841.5674182749</v>
      </c>
      <c r="I39" s="107">
        <f t="shared" si="0"/>
        <v>1637356.4356704485</v>
      </c>
      <c r="J39" s="107">
        <f t="shared" si="0"/>
        <v>1638156.8774841414</v>
      </c>
      <c r="K39" s="107">
        <f t="shared" si="0"/>
        <v>1611613.615576132</v>
      </c>
      <c r="L39" s="107">
        <f t="shared" si="0"/>
        <v>1699580.8832837818</v>
      </c>
      <c r="M39" s="107">
        <f t="shared" si="0"/>
        <v>1623199.9775001404</v>
      </c>
      <c r="N39" s="107">
        <f t="shared" si="0"/>
        <v>1472232.6794545734</v>
      </c>
      <c r="S39" s="206"/>
      <c r="T39" s="523"/>
      <c r="U39" s="523"/>
      <c r="V39" s="523"/>
      <c r="W39" s="523"/>
      <c r="X39" s="523"/>
      <c r="Y39" s="523"/>
      <c r="Z39" s="523"/>
      <c r="AA39" s="523"/>
      <c r="AB39" s="523"/>
      <c r="AC39" s="523"/>
      <c r="AD39" s="523"/>
      <c r="AE39" s="523"/>
    </row>
    <row r="40" spans="1:33" s="12" customFormat="1">
      <c r="A40" s="114"/>
      <c r="B40" t="s">
        <v>1256</v>
      </c>
      <c r="C40" s="107">
        <f t="shared" ref="C40:N40" si="1">(C39*C32*C36)+(C39*C33*C37)+(C39*C34*C38)</f>
        <v>1411808.2620600648</v>
      </c>
      <c r="D40" s="107">
        <f t="shared" si="1"/>
        <v>1781683.2740090201</v>
      </c>
      <c r="E40" s="107">
        <f t="shared" si="1"/>
        <v>1341449.2473412699</v>
      </c>
      <c r="F40" s="107">
        <f t="shared" si="1"/>
        <v>1605528.0092727868</v>
      </c>
      <c r="G40" s="107">
        <f t="shared" si="1"/>
        <v>1667271.5509573596</v>
      </c>
      <c r="H40" s="107">
        <f t="shared" si="1"/>
        <v>1832867.4299471937</v>
      </c>
      <c r="I40" s="107">
        <f t="shared" si="1"/>
        <v>1740912.4706566567</v>
      </c>
      <c r="J40" s="107">
        <f t="shared" si="1"/>
        <v>1741763.5371105666</v>
      </c>
      <c r="K40" s="107">
        <f t="shared" si="1"/>
        <v>1713541.5234665805</v>
      </c>
      <c r="L40" s="107">
        <f t="shared" si="1"/>
        <v>1807072.3576976336</v>
      </c>
      <c r="M40" s="107">
        <f t="shared" si="1"/>
        <v>1725860.6749497999</v>
      </c>
      <c r="N40" s="107">
        <f t="shared" si="1"/>
        <v>1565345.318547728</v>
      </c>
      <c r="S40" s="206"/>
      <c r="T40" s="523"/>
      <c r="U40" s="523"/>
      <c r="V40" s="523"/>
      <c r="W40" s="523"/>
      <c r="X40" s="523"/>
      <c r="Y40" s="523"/>
      <c r="Z40" s="523"/>
      <c r="AA40" s="523"/>
      <c r="AB40" s="523"/>
      <c r="AC40" s="523"/>
      <c r="AD40" s="523"/>
      <c r="AE40" s="523"/>
      <c r="AG40"/>
    </row>
    <row r="41" spans="1:33"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S41" s="206"/>
      <c r="T41" s="524"/>
      <c r="U41" s="524"/>
      <c r="V41" s="524"/>
      <c r="W41" s="524"/>
      <c r="X41" s="524"/>
      <c r="Y41" s="524"/>
      <c r="Z41" s="524"/>
      <c r="AA41" s="524"/>
      <c r="AB41" s="524"/>
      <c r="AC41" s="524"/>
      <c r="AD41" s="524"/>
      <c r="AE41" s="524"/>
      <c r="AG41"/>
    </row>
    <row r="42" spans="1:33"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S42" s="206"/>
      <c r="T42" s="524"/>
      <c r="U42" s="524"/>
      <c r="V42" s="524"/>
      <c r="W42" s="524"/>
      <c r="X42" s="524"/>
      <c r="Y42" s="524"/>
      <c r="Z42" s="524"/>
      <c r="AA42" s="524"/>
      <c r="AB42" s="524"/>
      <c r="AC42" s="524"/>
      <c r="AD42" s="524"/>
      <c r="AE42" s="524"/>
      <c r="AG42"/>
    </row>
    <row r="43" spans="1:33" s="12" customFormat="1">
      <c r="A43" s="114"/>
      <c r="B43" t="s">
        <v>1259</v>
      </c>
      <c r="C43" s="235">
        <f>C40*C42/C41</f>
        <v>130016.90646427969</v>
      </c>
      <c r="D43" s="235">
        <f>D40*D42/D41</f>
        <v>12269.156588235381</v>
      </c>
      <c r="E43" s="235">
        <f t="shared" ref="E43:N43" si="2">E40*E42/E41</f>
        <v>159519.88645208863</v>
      </c>
      <c r="F43" s="235">
        <f t="shared" si="2"/>
        <v>128546.92048711293</v>
      </c>
      <c r="G43" s="235">
        <f t="shared" si="2"/>
        <v>167122.07580730191</v>
      </c>
      <c r="H43" s="235">
        <f t="shared" si="2"/>
        <v>94483.483260744018</v>
      </c>
      <c r="I43" s="235">
        <f t="shared" si="2"/>
        <v>111217.60208365665</v>
      </c>
      <c r="J43" s="235">
        <f t="shared" si="2"/>
        <v>169510.93681298764</v>
      </c>
      <c r="K43" s="235">
        <f t="shared" si="2"/>
        <v>16058.182125855001</v>
      </c>
      <c r="L43" s="235">
        <f t="shared" si="2"/>
        <v>35976.283192847193</v>
      </c>
      <c r="M43" s="235">
        <f t="shared" si="2"/>
        <v>-35788.757001525039</v>
      </c>
      <c r="N43" s="235">
        <f t="shared" si="2"/>
        <v>40721.663213726359</v>
      </c>
      <c r="S43" s="206"/>
      <c r="T43" s="524"/>
      <c r="U43" s="524"/>
      <c r="V43" s="524"/>
      <c r="W43" s="524"/>
      <c r="X43" s="524"/>
      <c r="Y43" s="524"/>
      <c r="Z43" s="524"/>
      <c r="AA43" s="524"/>
      <c r="AB43" s="524"/>
      <c r="AC43" s="524"/>
      <c r="AD43" s="524"/>
      <c r="AE43" s="524"/>
      <c r="AG43"/>
    </row>
    <row r="44" spans="1:33" s="12" customFormat="1">
      <c r="A44" s="114"/>
      <c r="B44" t="s">
        <v>1260</v>
      </c>
      <c r="C44" s="235">
        <f t="shared" ref="C44:N44" si="3">((C43*C32)/C36)+((C43*C33)/C37)+((C43*C34)/C38)</f>
        <v>122286.68456468037</v>
      </c>
      <c r="D44" s="235">
        <f>((D43*D32)/D36)+((D43*D33)/D37)+((D43*D34)/D38)</f>
        <v>11539.687586647904</v>
      </c>
      <c r="E44" s="235">
        <f t="shared" si="3"/>
        <v>150035.54973613762</v>
      </c>
      <c r="F44" s="235">
        <f t="shared" si="3"/>
        <v>120904.09735819518</v>
      </c>
      <c r="G44" s="235">
        <f>((G43*G32)/G36)+((G43*G33)/G37)+((G43*G34)/G38)</f>
        <v>157185.74702172945</v>
      </c>
      <c r="H44" s="235">
        <f t="shared" si="3"/>
        <v>88865.919273761378</v>
      </c>
      <c r="I44" s="235">
        <f t="shared" si="3"/>
        <v>104605.10247396775</v>
      </c>
      <c r="J44" s="235">
        <f t="shared" si="3"/>
        <v>159432.57707033865</v>
      </c>
      <c r="K44" s="235">
        <f t="shared" si="3"/>
        <v>15103.434666368703</v>
      </c>
      <c r="L44" s="235">
        <f t="shared" si="3"/>
        <v>33837.294812286549</v>
      </c>
      <c r="M44" s="235">
        <f t="shared" si="3"/>
        <v>-33660.918086909463</v>
      </c>
      <c r="N44" s="235">
        <f t="shared" si="3"/>
        <v>38300.535828655564</v>
      </c>
      <c r="S44" s="206"/>
      <c r="T44" s="523"/>
      <c r="U44" s="523"/>
      <c r="V44" s="523"/>
      <c r="W44" s="523"/>
      <c r="X44" s="523"/>
      <c r="Y44" s="523"/>
      <c r="Z44" s="523"/>
      <c r="AA44" s="523"/>
      <c r="AB44" s="523"/>
      <c r="AC44" s="523"/>
      <c r="AD44" s="523"/>
      <c r="AE44" s="523"/>
      <c r="AG44"/>
    </row>
    <row r="45" spans="1:33" s="12" customFormat="1" ht="15.6">
      <c r="A45" s="114"/>
      <c r="B45" s="513">
        <v>2018</v>
      </c>
      <c r="C45" s="235"/>
      <c r="D45" s="235"/>
      <c r="E45" s="235"/>
      <c r="F45" s="235"/>
      <c r="G45" s="235"/>
      <c r="H45" s="235"/>
      <c r="I45" s="235"/>
      <c r="J45" s="235"/>
      <c r="K45" s="235"/>
      <c r="L45" s="235"/>
      <c r="M45" s="235"/>
      <c r="N45" s="235"/>
      <c r="S45" s="508"/>
      <c r="AG45"/>
    </row>
    <row r="46" spans="1:33"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S46" s="508"/>
      <c r="T46" s="95"/>
      <c r="U46" s="95"/>
      <c r="V46" s="95"/>
      <c r="W46" s="95"/>
      <c r="X46" s="95"/>
      <c r="Y46" s="95"/>
      <c r="Z46" s="95"/>
      <c r="AA46" s="95"/>
      <c r="AB46" s="95"/>
      <c r="AC46" s="95"/>
      <c r="AD46" s="95"/>
      <c r="AE46" s="95"/>
      <c r="AG46"/>
    </row>
    <row r="47" spans="1:33"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S47" s="508"/>
      <c r="T47" s="544"/>
      <c r="U47" s="544"/>
      <c r="V47" s="544"/>
      <c r="W47" s="544"/>
      <c r="X47" s="544"/>
      <c r="Y47" s="544"/>
      <c r="Z47" s="544"/>
      <c r="AA47" s="544"/>
      <c r="AB47" s="544"/>
      <c r="AC47" s="544"/>
      <c r="AD47" s="544"/>
      <c r="AE47" s="544"/>
      <c r="AG47"/>
    </row>
    <row r="48" spans="1:33" s="12" customFormat="1">
      <c r="A48" s="114"/>
      <c r="B48" t="s">
        <v>1251</v>
      </c>
      <c r="C48">
        <v>1.06467</v>
      </c>
      <c r="D48">
        <v>1.06467</v>
      </c>
      <c r="E48">
        <v>1.06467</v>
      </c>
      <c r="F48">
        <v>1.06467</v>
      </c>
      <c r="G48">
        <v>1.06467</v>
      </c>
      <c r="H48">
        <v>1.06467</v>
      </c>
      <c r="I48">
        <v>1.06467</v>
      </c>
      <c r="J48">
        <v>1.06467</v>
      </c>
      <c r="K48">
        <v>1.06467</v>
      </c>
      <c r="L48">
        <v>1.06467</v>
      </c>
      <c r="M48">
        <v>1.06467</v>
      </c>
      <c r="N48">
        <v>1.06467</v>
      </c>
      <c r="S48" s="508"/>
      <c r="T48" s="544"/>
      <c r="U48" s="544"/>
      <c r="V48" s="544"/>
      <c r="W48" s="544"/>
      <c r="X48" s="544"/>
      <c r="Y48" s="544"/>
      <c r="Z48" s="544"/>
      <c r="AA48" s="544"/>
      <c r="AB48" s="544"/>
      <c r="AC48" s="544"/>
      <c r="AD48" s="544"/>
      <c r="AE48" s="544"/>
      <c r="AG48"/>
    </row>
    <row r="49" spans="1:33" s="12" customFormat="1">
      <c r="A49" s="114"/>
      <c r="B49" t="s">
        <v>1255</v>
      </c>
      <c r="C49" s="235">
        <f>(+C$29/C$20/C13)+C23</f>
        <v>1329735.0847318729</v>
      </c>
      <c r="D49" s="235">
        <f t="shared" ref="D49:N49" si="4">(+D$29/D$20/D13)+D23</f>
        <v>1680207.5072332583</v>
      </c>
      <c r="E49" s="235">
        <f t="shared" si="4"/>
        <v>1267744.4868459464</v>
      </c>
      <c r="F49" s="235">
        <f t="shared" si="4"/>
        <v>1519918.6111662914</v>
      </c>
      <c r="G49" s="235">
        <f t="shared" si="4"/>
        <v>1578533.5537524407</v>
      </c>
      <c r="H49" s="235">
        <f t="shared" si="4"/>
        <v>1733854.2954042719</v>
      </c>
      <c r="I49" s="235">
        <f t="shared" si="4"/>
        <v>1645402.4711396289</v>
      </c>
      <c r="J49" s="235">
        <f t="shared" si="4"/>
        <v>1647193.9370512934</v>
      </c>
      <c r="K49" s="235">
        <f t="shared" si="4"/>
        <v>1618202.1022147494</v>
      </c>
      <c r="L49" s="235">
        <f t="shared" si="4"/>
        <v>1709061.4998156922</v>
      </c>
      <c r="M49" s="235">
        <f t="shared" si="4"/>
        <v>1633755.7281978722</v>
      </c>
      <c r="N49" s="235">
        <f t="shared" si="4"/>
        <v>1482706.5453746393</v>
      </c>
      <c r="S49" s="508"/>
      <c r="T49" s="544"/>
      <c r="U49" s="544"/>
      <c r="V49" s="544"/>
      <c r="W49" s="544"/>
      <c r="X49" s="544"/>
      <c r="Y49" s="544"/>
      <c r="Z49" s="544"/>
      <c r="AA49" s="544"/>
      <c r="AB49" s="544"/>
      <c r="AC49" s="544"/>
      <c r="AD49" s="544"/>
      <c r="AE49" s="544"/>
      <c r="AG49"/>
    </row>
    <row r="50" spans="1:33" s="12" customFormat="1">
      <c r="A50" s="114"/>
      <c r="B50" t="s">
        <v>1256</v>
      </c>
      <c r="C50" s="107">
        <v>1414168</v>
      </c>
      <c r="D50" s="107">
        <v>1786894</v>
      </c>
      <c r="E50" s="107">
        <v>1348241</v>
      </c>
      <c r="F50" s="107">
        <v>1616428</v>
      </c>
      <c r="G50" s="107">
        <v>1678764</v>
      </c>
      <c r="H50" s="107">
        <v>1843947</v>
      </c>
      <c r="I50" s="107">
        <v>1749879</v>
      </c>
      <c r="J50" s="107">
        <v>1751784</v>
      </c>
      <c r="K50" s="107">
        <v>1720952</v>
      </c>
      <c r="L50" s="107">
        <v>1817580</v>
      </c>
      <c r="M50" s="107">
        <v>1737493</v>
      </c>
      <c r="N50" s="107">
        <v>1576853</v>
      </c>
      <c r="S50" s="508"/>
      <c r="T50" s="551"/>
      <c r="U50" s="551"/>
      <c r="V50" s="551"/>
      <c r="W50" s="551"/>
      <c r="X50" s="551"/>
      <c r="Y50" s="551"/>
      <c r="Z50" s="551"/>
      <c r="AA50" s="551"/>
      <c r="AB50" s="551"/>
      <c r="AC50" s="551"/>
      <c r="AD50" s="551"/>
      <c r="AE50" s="551"/>
      <c r="AG50"/>
    </row>
    <row r="51" spans="1:33"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S51" s="508"/>
      <c r="T51" s="551"/>
      <c r="U51" s="551"/>
      <c r="V51" s="551"/>
      <c r="W51" s="551"/>
      <c r="X51" s="551"/>
      <c r="Y51" s="551"/>
      <c r="Z51" s="551"/>
      <c r="AA51" s="551"/>
      <c r="AB51" s="551"/>
      <c r="AC51" s="551"/>
      <c r="AD51" s="551"/>
      <c r="AE51" s="551"/>
      <c r="AG51"/>
    </row>
    <row r="52" spans="1:33"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S52" s="508"/>
      <c r="T52" s="551"/>
      <c r="U52" s="551"/>
      <c r="V52" s="551"/>
      <c r="W52" s="551"/>
      <c r="X52" s="551"/>
      <c r="Y52" s="551"/>
      <c r="Z52" s="551"/>
      <c r="AA52" s="551"/>
      <c r="AB52" s="551"/>
      <c r="AC52" s="551"/>
      <c r="AD52" s="551"/>
      <c r="AE52" s="551"/>
      <c r="AG52"/>
    </row>
    <row r="53" spans="1:33" s="12" customFormat="1">
      <c r="A53" s="114"/>
      <c r="B53" t="s">
        <v>1259</v>
      </c>
      <c r="C53" s="235">
        <f>C50*C52/C51</f>
        <v>144158.41367862112</v>
      </c>
      <c r="D53" s="235">
        <f t="shared" ref="D53:N53" si="5">D50*D52/D51</f>
        <v>27823.260555381141</v>
      </c>
      <c r="E53" s="235">
        <f t="shared" si="5"/>
        <v>169675.62949329556</v>
      </c>
      <c r="F53" s="235">
        <f t="shared" si="5"/>
        <v>136297.35967005981</v>
      </c>
      <c r="G53" s="235">
        <f t="shared" si="5"/>
        <v>175309.70152941308</v>
      </c>
      <c r="H53" s="235">
        <f t="shared" si="5"/>
        <v>104208.2322254061</v>
      </c>
      <c r="I53" s="235">
        <f t="shared" si="5"/>
        <v>121507.87241481576</v>
      </c>
      <c r="J53" s="235">
        <f t="shared" si="5"/>
        <v>184792.29271035787</v>
      </c>
      <c r="K53" s="235">
        <f t="shared" si="5"/>
        <v>25777.077575467018</v>
      </c>
      <c r="L53" s="235">
        <f t="shared" si="5"/>
        <v>46427.255990181518</v>
      </c>
      <c r="M53" s="235">
        <f t="shared" si="5"/>
        <v>-27838.864055516387</v>
      </c>
      <c r="N53" s="235">
        <f t="shared" si="5"/>
        <v>46982.578431121088</v>
      </c>
      <c r="S53" s="508"/>
      <c r="AG53"/>
    </row>
    <row r="54" spans="1:33" s="12" customFormat="1">
      <c r="A54" s="114"/>
      <c r="B54" t="s">
        <v>1260</v>
      </c>
      <c r="C54" s="235">
        <f>((C53*C32)/C46)+((C53*C33)/C47)+((C53*C34)/C48)</f>
        <v>135555.44778228507</v>
      </c>
      <c r="D54" s="235">
        <f t="shared" ref="D54:N54" si="6">((D53*D32)/D46)+((D53*D33)/D47)+((D53*D34)/D48)</f>
        <v>26162.847156157444</v>
      </c>
      <c r="E54" s="235">
        <f t="shared" si="6"/>
        <v>159549.86841753637</v>
      </c>
      <c r="F54" s="235">
        <f t="shared" si="6"/>
        <v>128163.51921579249</v>
      </c>
      <c r="G54" s="235">
        <f t="shared" si="6"/>
        <v>164847.71498926808</v>
      </c>
      <c r="H54" s="235">
        <f t="shared" si="6"/>
        <v>97989.380026107887</v>
      </c>
      <c r="I54" s="235">
        <f t="shared" si="6"/>
        <v>114256.62667863969</v>
      </c>
      <c r="J54" s="235">
        <f t="shared" si="6"/>
        <v>173764.41198161259</v>
      </c>
      <c r="K54" s="235">
        <f t="shared" si="6"/>
        <v>24238.774582043898</v>
      </c>
      <c r="L54" s="235">
        <f t="shared" si="6"/>
        <v>43656.608826746284</v>
      </c>
      <c r="M54" s="235">
        <f t="shared" si="6"/>
        <v>-26177.519483591062</v>
      </c>
      <c r="N54" s="235">
        <f t="shared" si="6"/>
        <v>44178.791196988874</v>
      </c>
      <c r="S54" s="508"/>
      <c r="AG54"/>
    </row>
    <row r="55" spans="1:33">
      <c r="A55" s="114"/>
    </row>
    <row r="56" spans="1:33" ht="17.399999999999999">
      <c r="A56" s="147" t="s">
        <v>425</v>
      </c>
    </row>
    <row r="57" spans="1:33" ht="15.6">
      <c r="A57" s="113"/>
      <c r="B57" s="146" t="str">
        <f>"PRIOR - "&amp;MANUAL!$B$9</f>
        <v>PRIOR - 2016</v>
      </c>
      <c r="C57" s="5"/>
      <c r="D57" s="5"/>
      <c r="E57" s="5"/>
      <c r="F57" s="5"/>
      <c r="G57" s="5"/>
      <c r="H57" s="5"/>
      <c r="I57" s="5"/>
      <c r="J57" s="5"/>
      <c r="K57" s="5"/>
      <c r="L57" s="5"/>
      <c r="M57" s="5"/>
      <c r="N57" s="5"/>
      <c r="S57" s="522"/>
      <c r="T57" s="523"/>
      <c r="U57" s="523"/>
      <c r="V57" s="523"/>
      <c r="W57" s="523"/>
      <c r="X57" s="523"/>
      <c r="Y57" s="523"/>
      <c r="Z57" s="523"/>
      <c r="AA57" s="523"/>
      <c r="AB57" s="523"/>
      <c r="AC57" s="523"/>
      <c r="AD57" s="523"/>
      <c r="AE57" s="523"/>
      <c r="AG57" s="12"/>
    </row>
    <row r="58" spans="1:33" s="12" customFormat="1" ht="15.6">
      <c r="A58" s="111"/>
      <c r="B58" s="149" t="s">
        <v>432</v>
      </c>
      <c r="C58" s="107">
        <f t="shared" ref="C58:N58" si="7">MIN((+C$27/C$18/C13)+C23,C59)</f>
        <v>1319736.7533335742</v>
      </c>
      <c r="D58" s="107">
        <f t="shared" si="7"/>
        <v>1618717.8287113006</v>
      </c>
      <c r="E58" s="107">
        <f t="shared" si="7"/>
        <v>1264104.8663836792</v>
      </c>
      <c r="F58" s="107">
        <f t="shared" si="7"/>
        <v>1505867.4886729794</v>
      </c>
      <c r="G58" s="107">
        <f t="shared" si="7"/>
        <v>1569393.4191626958</v>
      </c>
      <c r="H58" s="107">
        <f t="shared" si="7"/>
        <v>1723536.1556828057</v>
      </c>
      <c r="I58" s="107">
        <f t="shared" si="7"/>
        <v>1637033.9823776055</v>
      </c>
      <c r="J58" s="107">
        <f t="shared" si="7"/>
        <v>1637584.5546981171</v>
      </c>
      <c r="K58" s="107">
        <f t="shared" si="7"/>
        <v>1612977.3905032882</v>
      </c>
      <c r="L58" s="107">
        <f t="shared" si="7"/>
        <v>1697003.3241244138</v>
      </c>
      <c r="M58" s="107">
        <f t="shared" si="7"/>
        <v>1620052.086277643</v>
      </c>
      <c r="N58" s="107">
        <f t="shared" si="7"/>
        <v>1471441.591356216</v>
      </c>
      <c r="P58" s="152">
        <f>AVERAGE(C58:N58)</f>
        <v>1556454.1201070268</v>
      </c>
      <c r="S58" s="206"/>
      <c r="T58" s="523"/>
      <c r="U58" s="523"/>
      <c r="V58" s="523"/>
      <c r="W58" s="523"/>
      <c r="X58" s="523"/>
      <c r="Y58" s="523"/>
      <c r="Z58" s="523"/>
      <c r="AA58" s="523"/>
      <c r="AB58" s="523"/>
      <c r="AC58" s="523"/>
      <c r="AD58" s="523"/>
      <c r="AE58" s="523"/>
    </row>
    <row r="59" spans="1:33" s="12" customFormat="1" ht="15.6">
      <c r="A59" s="111"/>
      <c r="B59" s="149" t="s">
        <v>430</v>
      </c>
      <c r="C59" s="107">
        <f t="shared" ref="C59:N59" si="8">MIN(+C$27/C$18/C14,C60)</f>
        <v>1754072.7299008099</v>
      </c>
      <c r="D59" s="107">
        <f t="shared" si="8"/>
        <v>1700457.5589971375</v>
      </c>
      <c r="E59" s="107">
        <f t="shared" si="8"/>
        <v>1639118.4828027969</v>
      </c>
      <c r="F59" s="107">
        <f t="shared" si="8"/>
        <v>1674322.825779041</v>
      </c>
      <c r="G59" s="107">
        <f t="shared" si="8"/>
        <v>1759083.425728569</v>
      </c>
      <c r="H59" s="107">
        <f t="shared" si="8"/>
        <v>1822540.6955156249</v>
      </c>
      <c r="I59" s="107">
        <f t="shared" si="8"/>
        <v>1745608.0824255061</v>
      </c>
      <c r="J59" s="107">
        <f t="shared" si="8"/>
        <v>1829502.657785614</v>
      </c>
      <c r="K59" s="107">
        <f t="shared" si="8"/>
        <v>1928839.8797213477</v>
      </c>
      <c r="L59" s="107">
        <f t="shared" si="8"/>
        <v>1824853.0654702007</v>
      </c>
      <c r="M59" s="107">
        <f t="shared" si="8"/>
        <v>1823084.0920204683</v>
      </c>
      <c r="N59" s="107">
        <f t="shared" si="8"/>
        <v>1847981.1665538014</v>
      </c>
      <c r="P59" s="152">
        <f>AVERAGE(C59:N59)</f>
        <v>1779122.0552250764</v>
      </c>
      <c r="S59" s="206"/>
      <c r="T59" s="523"/>
      <c r="U59" s="523"/>
      <c r="V59" s="523"/>
      <c r="W59" s="523"/>
      <c r="X59" s="523"/>
      <c r="Y59" s="523"/>
      <c r="Z59" s="523"/>
      <c r="AA59" s="523"/>
      <c r="AB59" s="523"/>
      <c r="AC59" s="523"/>
      <c r="AD59" s="523"/>
      <c r="AE59" s="523"/>
    </row>
    <row r="60" spans="1:33" s="106" customFormat="1">
      <c r="A60" s="109"/>
      <c r="B60" s="149" t="s">
        <v>133</v>
      </c>
      <c r="C60" s="107">
        <f t="shared" ref="C60:N60" si="9">+C$27/C$18/C15</f>
        <v>2094707.9040527949</v>
      </c>
      <c r="D60" s="107">
        <f t="shared" si="9"/>
        <v>1997214.5215777173</v>
      </c>
      <c r="E60" s="107">
        <f t="shared" si="9"/>
        <v>1957804.7448479398</v>
      </c>
      <c r="F60" s="107">
        <f t="shared" si="9"/>
        <v>1975902.0669592677</v>
      </c>
      <c r="G60" s="107">
        <f t="shared" si="9"/>
        <v>2096657.5425912722</v>
      </c>
      <c r="H60" s="107">
        <f t="shared" si="9"/>
        <v>2235406.2192565436</v>
      </c>
      <c r="I60" s="107">
        <f t="shared" si="9"/>
        <v>2111037.7011014572</v>
      </c>
      <c r="J60" s="107">
        <f t="shared" si="9"/>
        <v>2149295.9534328952</v>
      </c>
      <c r="K60" s="107">
        <f t="shared" si="9"/>
        <v>2271007.4470676472</v>
      </c>
      <c r="L60" s="107">
        <f t="shared" si="9"/>
        <v>2138602.5500743468</v>
      </c>
      <c r="M60" s="107">
        <f t="shared" si="9"/>
        <v>2117462.5284032319</v>
      </c>
      <c r="N60" s="107">
        <f t="shared" si="9"/>
        <v>2144420.1658218629</v>
      </c>
      <c r="P60" s="152">
        <f>AVERAGE(C60:N60)</f>
        <v>2107459.9454322481</v>
      </c>
      <c r="S60" s="206"/>
      <c r="T60" s="523"/>
      <c r="U60" s="523"/>
      <c r="V60" s="523"/>
      <c r="W60" s="523"/>
      <c r="X60" s="523"/>
      <c r="Y60" s="523"/>
      <c r="Z60" s="523"/>
      <c r="AA60" s="523"/>
      <c r="AB60" s="523"/>
      <c r="AC60" s="523"/>
      <c r="AD60" s="523"/>
      <c r="AE60" s="523"/>
    </row>
    <row r="61" spans="1:33" s="106" customFormat="1" ht="16.5" customHeight="1">
      <c r="A61" s="109"/>
      <c r="B61" s="108"/>
      <c r="C61" s="107"/>
      <c r="D61" s="107"/>
      <c r="E61" s="107"/>
      <c r="F61" s="107"/>
      <c r="G61" s="107"/>
      <c r="H61" s="107"/>
      <c r="I61" s="107"/>
      <c r="J61" s="107"/>
      <c r="K61" s="107"/>
      <c r="L61" s="107"/>
      <c r="M61" s="107"/>
      <c r="N61" s="107"/>
      <c r="S61" s="206"/>
      <c r="T61" s="523"/>
      <c r="U61" s="523"/>
      <c r="V61" s="523"/>
      <c r="W61" s="523"/>
      <c r="X61" s="523"/>
      <c r="Y61" s="523"/>
      <c r="Z61" s="523"/>
      <c r="AA61" s="523"/>
      <c r="AB61" s="523"/>
      <c r="AC61" s="523"/>
      <c r="AD61" s="523"/>
      <c r="AE61" s="523"/>
    </row>
    <row r="62" spans="1:33" s="106" customFormat="1" ht="16.5" customHeight="1">
      <c r="A62" s="109"/>
      <c r="B62" s="146" t="str">
        <f>"TEST - "&amp;MANUAL!$B$10</f>
        <v>TEST - 2017</v>
      </c>
      <c r="C62" s="107"/>
      <c r="D62" s="107"/>
      <c r="E62" s="107"/>
      <c r="F62" s="107"/>
      <c r="G62" s="107"/>
      <c r="H62" s="107"/>
      <c r="I62" s="107"/>
      <c r="J62" s="107"/>
      <c r="K62" s="107"/>
      <c r="L62" s="107"/>
      <c r="M62" s="107"/>
      <c r="N62" s="107"/>
      <c r="S62" s="206"/>
      <c r="T62" s="524"/>
      <c r="U62" s="524"/>
      <c r="V62" s="524"/>
      <c r="W62" s="524"/>
      <c r="X62" s="524"/>
      <c r="Y62" s="524"/>
      <c r="Z62" s="524"/>
      <c r="AA62" s="524"/>
      <c r="AB62" s="524"/>
      <c r="AC62" s="524"/>
      <c r="AD62" s="524"/>
      <c r="AE62" s="524"/>
    </row>
    <row r="63" spans="1:33" s="106" customFormat="1" ht="16.5" customHeight="1">
      <c r="A63" s="109"/>
      <c r="B63" s="149" t="s">
        <v>432</v>
      </c>
      <c r="C63" s="107">
        <f>C39+C44</f>
        <v>1450115.2703090464</v>
      </c>
      <c r="D63" s="107">
        <f t="shared" ref="D63:N63" si="10">D39+D44</f>
        <v>1687241.7255671695</v>
      </c>
      <c r="E63" s="107">
        <f t="shared" si="10"/>
        <v>1411690.3401294961</v>
      </c>
      <c r="F63" s="107">
        <f t="shared" si="10"/>
        <v>1630929.2496511149</v>
      </c>
      <c r="G63" s="107">
        <f>G39+G44</f>
        <v>1725281.702437904</v>
      </c>
      <c r="H63" s="107">
        <f t="shared" si="10"/>
        <v>1812707.4866920363</v>
      </c>
      <c r="I63" s="107">
        <f t="shared" si="10"/>
        <v>1741961.5381444162</v>
      </c>
      <c r="J63" s="107">
        <f t="shared" si="10"/>
        <v>1797589.45455448</v>
      </c>
      <c r="K63" s="107">
        <f t="shared" si="10"/>
        <v>1626717.0502425006</v>
      </c>
      <c r="L63" s="107">
        <f t="shared" si="10"/>
        <v>1733418.1780960683</v>
      </c>
      <c r="M63" s="107">
        <f t="shared" si="10"/>
        <v>1589539.059413231</v>
      </c>
      <c r="N63" s="107">
        <f t="shared" si="10"/>
        <v>1510533.215283229</v>
      </c>
      <c r="P63" s="152">
        <f>AVERAGE(C63:N63)</f>
        <v>1643143.689210058</v>
      </c>
      <c r="S63" s="206"/>
      <c r="T63" s="524"/>
      <c r="U63" s="524"/>
      <c r="V63" s="524"/>
      <c r="W63" s="524"/>
      <c r="X63" s="524"/>
      <c r="Y63" s="524"/>
      <c r="Z63" s="524"/>
      <c r="AA63" s="524"/>
      <c r="AB63" s="524"/>
      <c r="AC63" s="524"/>
      <c r="AD63" s="524"/>
      <c r="AE63" s="524"/>
    </row>
    <row r="64" spans="1:33" s="106" customFormat="1" ht="16.5" customHeight="1">
      <c r="A64" s="109"/>
      <c r="B64" s="149" t="s">
        <v>430</v>
      </c>
      <c r="C64" s="107">
        <f>MAX(+C$28/C$19/C14,C63)</f>
        <v>1764827.6494185436</v>
      </c>
      <c r="D64" s="107">
        <f t="shared" ref="D64:N64" si="11">MAX(+D$28/D$19/D14,D63)</f>
        <v>1760319.2765099823</v>
      </c>
      <c r="E64" s="107">
        <f t="shared" si="11"/>
        <v>1635941.5589993983</v>
      </c>
      <c r="F64" s="107">
        <f t="shared" si="11"/>
        <v>1678945.5904998013</v>
      </c>
      <c r="G64" s="107">
        <f t="shared" si="11"/>
        <v>1757629.1396686677</v>
      </c>
      <c r="H64" s="107">
        <f t="shared" si="11"/>
        <v>1822863.6509203871</v>
      </c>
      <c r="I64" s="107">
        <f t="shared" si="11"/>
        <v>1745951.9220038231</v>
      </c>
      <c r="J64" s="107">
        <f t="shared" si="11"/>
        <v>1830142.0544232647</v>
      </c>
      <c r="K64" s="107">
        <f t="shared" si="11"/>
        <v>1927209.0425614775</v>
      </c>
      <c r="L64" s="107">
        <f t="shared" si="11"/>
        <v>1827624.8141559793</v>
      </c>
      <c r="M64" s="107">
        <f t="shared" si="11"/>
        <v>1826626.4907246556</v>
      </c>
      <c r="N64" s="107">
        <f t="shared" si="11"/>
        <v>1848974.6928449143</v>
      </c>
      <c r="P64" s="152">
        <f>AVERAGE(C64:N64)</f>
        <v>1785587.9902275745</v>
      </c>
      <c r="S64" s="206"/>
      <c r="T64" s="524"/>
      <c r="U64" s="524"/>
      <c r="V64" s="524"/>
      <c r="W64" s="524"/>
      <c r="X64" s="524"/>
      <c r="Y64" s="524"/>
      <c r="Z64" s="524"/>
      <c r="AA64" s="524"/>
      <c r="AB64" s="524"/>
      <c r="AC64" s="524"/>
      <c r="AD64" s="524"/>
      <c r="AE64" s="524"/>
    </row>
    <row r="65" spans="1:32" s="106" customFormat="1" ht="16.5" customHeight="1">
      <c r="A65" s="109"/>
      <c r="B65" s="149" t="s">
        <v>133</v>
      </c>
      <c r="C65" s="107">
        <f>MAX(+C$28/C$19/C15,C64)</f>
        <v>2107551.3936853614</v>
      </c>
      <c r="D65" s="107">
        <f t="shared" ref="D65:N65" si="12">MAX(+D$28/D$19/D15,D64)</f>
        <v>2067523.063458496</v>
      </c>
      <c r="E65" s="107">
        <f t="shared" si="12"/>
        <v>1954010.1463722526</v>
      </c>
      <c r="F65" s="107">
        <f t="shared" si="12"/>
        <v>1981357.4846518303</v>
      </c>
      <c r="G65" s="107">
        <f t="shared" si="12"/>
        <v>2094924.1740699273</v>
      </c>
      <c r="H65" s="107">
        <f t="shared" si="12"/>
        <v>2235802.3347024834</v>
      </c>
      <c r="I65" s="107">
        <f t="shared" si="12"/>
        <v>2111453.5208494668</v>
      </c>
      <c r="J65" s="107">
        <f t="shared" si="12"/>
        <v>2150047.1152855954</v>
      </c>
      <c r="K65" s="107">
        <f t="shared" si="12"/>
        <v>2269087.3066900261</v>
      </c>
      <c r="L65" s="107">
        <f t="shared" si="12"/>
        <v>2141850.8493044241</v>
      </c>
      <c r="M65" s="107">
        <f t="shared" si="12"/>
        <v>2121576.9280349398</v>
      </c>
      <c r="N65" s="107">
        <f t="shared" si="12"/>
        <v>2145573.065998822</v>
      </c>
      <c r="P65" s="152">
        <f>AVERAGE(C65:N65)</f>
        <v>2115063.1152586355</v>
      </c>
      <c r="S65" s="206"/>
      <c r="T65" s="523"/>
      <c r="U65" s="523"/>
      <c r="V65" s="523"/>
      <c r="W65" s="523"/>
      <c r="X65" s="523"/>
      <c r="Y65" s="523"/>
      <c r="Z65" s="523"/>
      <c r="AA65" s="523"/>
      <c r="AB65" s="523"/>
      <c r="AC65" s="523"/>
      <c r="AD65" s="523"/>
      <c r="AE65" s="523"/>
    </row>
    <row r="66" spans="1:32" s="106" customFormat="1" ht="16.5" customHeight="1">
      <c r="A66" s="109"/>
      <c r="B66" s="149" t="s">
        <v>158</v>
      </c>
      <c r="C66" s="499">
        <f>C28/C19/C63</f>
        <v>0.8057840656879518</v>
      </c>
      <c r="D66" s="499">
        <f t="shared" ref="D66:N66" si="13">D28/D19/D63</f>
        <v>0.68961538795025246</v>
      </c>
      <c r="E66" s="499">
        <f t="shared" si="13"/>
        <v>0.76156998935985332</v>
      </c>
      <c r="F66" s="499">
        <f t="shared" si="13"/>
        <v>0.69258625716833222</v>
      </c>
      <c r="G66" s="499">
        <f t="shared" si="13"/>
        <v>0.69488631535779011</v>
      </c>
      <c r="H66" s="499">
        <f t="shared" si="13"/>
        <v>0.70384614645960575</v>
      </c>
      <c r="I66" s="499">
        <f t="shared" si="13"/>
        <v>0.7210969529190181</v>
      </c>
      <c r="J66" s="499">
        <f t="shared" si="13"/>
        <v>0.70376937143925211</v>
      </c>
      <c r="K66" s="499">
        <f t="shared" si="13"/>
        <v>0.80699300749723246</v>
      </c>
      <c r="L66" s="499">
        <f t="shared" si="13"/>
        <v>0.7056451322126237</v>
      </c>
      <c r="M66" s="499">
        <f t="shared" si="13"/>
        <v>0.7333841373956369</v>
      </c>
      <c r="N66" s="499">
        <f t="shared" si="13"/>
        <v>0.76715733225578164</v>
      </c>
      <c r="P66" s="152"/>
    </row>
    <row r="67" spans="1:32" s="106" customFormat="1" ht="16.5" customHeight="1">
      <c r="A67" s="109"/>
      <c r="B67" s="149" t="s">
        <v>988</v>
      </c>
      <c r="C67" s="499">
        <f>C28/C19/C64</f>
        <v>0.66209285570224641</v>
      </c>
      <c r="D67" s="499">
        <f t="shared" ref="D67:N67" si="14">D28/D19/D64</f>
        <v>0.66098682930389352</v>
      </c>
      <c r="E67" s="499">
        <f t="shared" si="14"/>
        <v>0.6571756743984174</v>
      </c>
      <c r="F67" s="499">
        <f t="shared" si="14"/>
        <v>0.67277891023613601</v>
      </c>
      <c r="G67" s="499">
        <f t="shared" si="14"/>
        <v>0.68209761553412307</v>
      </c>
      <c r="H67" s="499">
        <f t="shared" si="14"/>
        <v>0.69992463699765206</v>
      </c>
      <c r="I67" s="499">
        <f t="shared" si="14"/>
        <v>0.71944888139669749</v>
      </c>
      <c r="J67" s="499">
        <f t="shared" si="14"/>
        <v>0.69125147825549726</v>
      </c>
      <c r="K67" s="499">
        <f t="shared" si="14"/>
        <v>0.68116600520794091</v>
      </c>
      <c r="L67" s="499">
        <f t="shared" si="14"/>
        <v>0.66927199170648433</v>
      </c>
      <c r="M67" s="499">
        <f t="shared" si="14"/>
        <v>0.63819436423588338</v>
      </c>
      <c r="N67" s="499">
        <f t="shared" si="14"/>
        <v>0.62673471746518261</v>
      </c>
      <c r="P67" s="152"/>
    </row>
    <row r="68" spans="1:32" s="106" customFormat="1" ht="16.5" customHeight="1">
      <c r="A68" s="109"/>
      <c r="B68" s="149" t="s">
        <v>150</v>
      </c>
      <c r="C68" s="499">
        <f>C28/C19/C65</f>
        <v>0.55442528316358108</v>
      </c>
      <c r="D68" s="499">
        <f t="shared" ref="D68:N68" si="15">D28/D19/D65</f>
        <v>0.56277382231301742</v>
      </c>
      <c r="E68" s="499">
        <f t="shared" si="15"/>
        <v>0.5502023616959324</v>
      </c>
      <c r="F68" s="499">
        <f t="shared" si="15"/>
        <v>0.57009358153292133</v>
      </c>
      <c r="G68" s="499">
        <f t="shared" si="15"/>
        <v>0.57227591337216233</v>
      </c>
      <c r="H68" s="499">
        <f t="shared" si="15"/>
        <v>0.57065294161455715</v>
      </c>
      <c r="I68" s="499">
        <f t="shared" si="15"/>
        <v>0.59490921531282814</v>
      </c>
      <c r="J68" s="499">
        <f t="shared" si="15"/>
        <v>0.58840031529708603</v>
      </c>
      <c r="K68" s="499">
        <f t="shared" si="15"/>
        <v>0.57853626030686411</v>
      </c>
      <c r="L68" s="499">
        <f t="shared" si="15"/>
        <v>0.57108462984693742</v>
      </c>
      <c r="M68" s="499">
        <f t="shared" si="15"/>
        <v>0.54946993273733691</v>
      </c>
      <c r="N68" s="499">
        <f t="shared" si="15"/>
        <v>0.54009655978831461</v>
      </c>
      <c r="P68" s="152"/>
    </row>
    <row r="69" spans="1:32" s="106" customFormat="1" ht="16.5" customHeight="1">
      <c r="A69" s="109"/>
      <c r="B69" s="108"/>
      <c r="C69" s="107"/>
      <c r="D69" s="107"/>
      <c r="E69" s="107"/>
      <c r="F69" s="107"/>
      <c r="G69" s="107"/>
      <c r="H69" s="107"/>
      <c r="I69" s="107"/>
      <c r="J69" s="107"/>
      <c r="K69" s="107"/>
      <c r="L69" s="107"/>
      <c r="M69" s="107"/>
      <c r="N69" s="107"/>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row>
    <row r="71" spans="1:32" s="106" customFormat="1" ht="16.5" customHeight="1">
      <c r="A71" s="109"/>
      <c r="B71" s="149" t="s">
        <v>432</v>
      </c>
      <c r="C71" s="107">
        <f>C49+C54</f>
        <v>1465290.5325141579</v>
      </c>
      <c r="D71" s="107">
        <f t="shared" ref="D71:N71" si="16">D49+D54</f>
        <v>1706370.3543894158</v>
      </c>
      <c r="E71" s="107">
        <f t="shared" si="16"/>
        <v>1427294.3552634828</v>
      </c>
      <c r="F71" s="107">
        <f t="shared" si="16"/>
        <v>1648082.1303820838</v>
      </c>
      <c r="G71" s="107">
        <f t="shared" si="16"/>
        <v>1743381.2687417087</v>
      </c>
      <c r="H71" s="107">
        <f t="shared" si="16"/>
        <v>1831843.6754303798</v>
      </c>
      <c r="I71" s="107">
        <f t="shared" si="16"/>
        <v>1759659.0978182687</v>
      </c>
      <c r="J71" s="107">
        <f t="shared" si="16"/>
        <v>1820958.3490329061</v>
      </c>
      <c r="K71" s="107">
        <f t="shared" si="16"/>
        <v>1642440.8767967934</v>
      </c>
      <c r="L71" s="107">
        <f t="shared" si="16"/>
        <v>1752718.1086424384</v>
      </c>
      <c r="M71" s="107">
        <f t="shared" si="16"/>
        <v>1607578.2087142812</v>
      </c>
      <c r="N71" s="107">
        <f t="shared" si="16"/>
        <v>1526885.3365716282</v>
      </c>
      <c r="O71" s="107"/>
      <c r="P71" s="152">
        <f>AVERAGE(C71:N71)</f>
        <v>1661041.8578581288</v>
      </c>
      <c r="T71" s="552"/>
      <c r="U71" s="546"/>
      <c r="V71" s="546"/>
      <c r="W71" s="546"/>
      <c r="X71" s="546"/>
      <c r="Y71" s="546"/>
      <c r="Z71" s="546"/>
      <c r="AA71" s="546"/>
      <c r="AB71" s="546"/>
      <c r="AC71" s="546"/>
      <c r="AD71" s="546"/>
      <c r="AE71" s="546"/>
    </row>
    <row r="72" spans="1:32" s="106" customFormat="1" ht="16.5" customHeight="1">
      <c r="A72" s="109"/>
      <c r="B72" s="149" t="s">
        <v>430</v>
      </c>
      <c r="C72" s="107">
        <f>MAX(+C$29/C$14/C20,C71)</f>
        <v>1767361.5925516135</v>
      </c>
      <c r="D72" s="107">
        <f t="shared" ref="D72:N72" si="17">MAX(+D$29/D$14/D20,D71)</f>
        <v>1765052.2565956744</v>
      </c>
      <c r="E72" s="107">
        <f t="shared" si="17"/>
        <v>1643837.8453562816</v>
      </c>
      <c r="F72" s="107">
        <f t="shared" si="17"/>
        <v>1689945.7908110449</v>
      </c>
      <c r="G72" s="107">
        <f t="shared" si="17"/>
        <v>1769328.3133835248</v>
      </c>
      <c r="H72" s="107">
        <f t="shared" si="17"/>
        <v>1833451.5368590944</v>
      </c>
      <c r="I72" s="107">
        <f t="shared" si="17"/>
        <v>1759659.0978182687</v>
      </c>
      <c r="J72" s="107">
        <f t="shared" si="17"/>
        <v>1840238.2198085808</v>
      </c>
      <c r="K72" s="107">
        <f t="shared" si="17"/>
        <v>1935087.724463901</v>
      </c>
      <c r="L72" s="107">
        <f t="shared" si="17"/>
        <v>1837819.6864316307</v>
      </c>
      <c r="M72" s="107">
        <f t="shared" si="17"/>
        <v>1838505.1342197452</v>
      </c>
      <c r="N72" s="107">
        <f t="shared" si="17"/>
        <v>1862128.804482775</v>
      </c>
      <c r="O72" s="107"/>
      <c r="P72" s="152">
        <f>AVERAGE(C72:N72)</f>
        <v>1795201.3335651783</v>
      </c>
      <c r="T72" s="546"/>
      <c r="U72" s="546"/>
      <c r="V72" s="546"/>
      <c r="W72" s="546"/>
      <c r="X72" s="546"/>
      <c r="Y72" s="546"/>
      <c r="Z72" s="546"/>
      <c r="AA72" s="546"/>
      <c r="AB72" s="546"/>
      <c r="AC72" s="546"/>
      <c r="AD72" s="546"/>
      <c r="AE72" s="546"/>
      <c r="AF72" s="523"/>
    </row>
    <row r="73" spans="1:32" s="106" customFormat="1" ht="16.5" customHeight="1">
      <c r="A73" s="109"/>
      <c r="B73" s="149" t="s">
        <v>133</v>
      </c>
      <c r="C73" s="107">
        <f>MAX(+C$29/C$15/C20,C72)</f>
        <v>2110577.4202683987</v>
      </c>
      <c r="D73" s="107">
        <f t="shared" ref="D73:N73" si="18">MAX(+D$29/D$15/D20,D72)</f>
        <v>2073082.0240497014</v>
      </c>
      <c r="E73" s="107">
        <f t="shared" si="18"/>
        <v>1963441.6713403258</v>
      </c>
      <c r="F73" s="107">
        <f t="shared" si="18"/>
        <v>1994339.0424477945</v>
      </c>
      <c r="G73" s="107">
        <f t="shared" si="18"/>
        <v>2108868.4591746437</v>
      </c>
      <c r="H73" s="107">
        <f t="shared" si="18"/>
        <v>2248788.7256974285</v>
      </c>
      <c r="I73" s="107">
        <f t="shared" si="18"/>
        <v>2121829.2884894093</v>
      </c>
      <c r="J73" s="107">
        <f t="shared" si="18"/>
        <v>2161908.0695812912</v>
      </c>
      <c r="K73" s="107">
        <f t="shared" si="18"/>
        <v>2278363.6315221656</v>
      </c>
      <c r="L73" s="107">
        <f t="shared" si="18"/>
        <v>2153798.5399206942</v>
      </c>
      <c r="M73" s="107">
        <f t="shared" si="18"/>
        <v>2135373.6489866525</v>
      </c>
      <c r="N73" s="107">
        <f t="shared" si="18"/>
        <v>2160837.2595794871</v>
      </c>
      <c r="O73" s="107"/>
      <c r="P73" s="152">
        <f>AVERAGE(C73:N73)</f>
        <v>2125933.9817548324</v>
      </c>
      <c r="T73" s="546"/>
      <c r="U73" s="546"/>
      <c r="V73" s="546"/>
      <c r="W73" s="546"/>
      <c r="X73" s="546"/>
      <c r="Y73" s="546"/>
      <c r="Z73" s="546"/>
      <c r="AA73" s="546"/>
      <c r="AB73" s="546"/>
      <c r="AC73" s="546"/>
      <c r="AD73" s="546"/>
      <c r="AE73" s="546"/>
      <c r="AF73" s="523"/>
    </row>
    <row r="74" spans="1:32" s="106" customFormat="1" ht="16.5" customHeight="1">
      <c r="A74" s="109"/>
      <c r="B74" s="149" t="s">
        <v>158</v>
      </c>
      <c r="C74" s="499">
        <f>C29/C20/C71</f>
        <v>0.79858393806940231</v>
      </c>
      <c r="D74" s="499">
        <f t="shared" ref="D74:N74" si="19">D29/D20/D71</f>
        <v>0.68371809885335499</v>
      </c>
      <c r="E74" s="499">
        <f t="shared" si="19"/>
        <v>0.75687978491600716</v>
      </c>
      <c r="F74" s="499">
        <f t="shared" si="19"/>
        <v>0.68986846379822853</v>
      </c>
      <c r="G74" s="499">
        <f t="shared" si="19"/>
        <v>0.69224939219805037</v>
      </c>
      <c r="H74" s="499">
        <f t="shared" si="19"/>
        <v>0.70053898080980692</v>
      </c>
      <c r="I74" s="499">
        <f t="shared" si="19"/>
        <v>0.7173524682184641</v>
      </c>
      <c r="J74" s="499">
        <f t="shared" si="19"/>
        <v>0.69857028331292115</v>
      </c>
      <c r="K74" s="499">
        <f t="shared" si="19"/>
        <v>0.80253480878452377</v>
      </c>
      <c r="L74" s="499">
        <f t="shared" si="19"/>
        <v>0.70176786322369711</v>
      </c>
      <c r="M74" s="499">
        <f t="shared" si="19"/>
        <v>0.72987031605522068</v>
      </c>
      <c r="N74" s="499">
        <f t="shared" si="19"/>
        <v>0.76434080687534456</v>
      </c>
      <c r="O74" s="107"/>
      <c r="P74" s="152"/>
      <c r="T74" s="206"/>
      <c r="U74" s="523"/>
      <c r="V74" s="523"/>
      <c r="W74" s="523"/>
      <c r="X74" s="523"/>
      <c r="Y74" s="523"/>
      <c r="Z74" s="523"/>
      <c r="AA74" s="523"/>
      <c r="AB74" s="523"/>
      <c r="AC74" s="523"/>
      <c r="AD74" s="523"/>
      <c r="AE74" s="523"/>
      <c r="AF74" s="523"/>
    </row>
    <row r="75" spans="1:32" s="106" customFormat="1" ht="16.5" customHeight="1">
      <c r="A75" s="109"/>
      <c r="B75" s="149" t="s">
        <v>988</v>
      </c>
      <c r="C75" s="499">
        <f>C29/C20/C72</f>
        <v>0.66209285570224641</v>
      </c>
      <c r="D75" s="499">
        <f t="shared" ref="D75:N75" si="20">D29/D20/D72</f>
        <v>0.66098682930389352</v>
      </c>
      <c r="E75" s="499">
        <f t="shared" si="20"/>
        <v>0.65717567439841751</v>
      </c>
      <c r="F75" s="499">
        <f t="shared" si="20"/>
        <v>0.67277891023613612</v>
      </c>
      <c r="G75" s="499">
        <f t="shared" si="20"/>
        <v>0.68209761553412307</v>
      </c>
      <c r="H75" s="499">
        <f t="shared" si="20"/>
        <v>0.69992463699765206</v>
      </c>
      <c r="I75" s="499">
        <f t="shared" si="20"/>
        <v>0.7173524682184641</v>
      </c>
      <c r="J75" s="499">
        <f t="shared" si="20"/>
        <v>0.69125147825549738</v>
      </c>
      <c r="K75" s="499">
        <f t="shared" si="20"/>
        <v>0.68116600520794091</v>
      </c>
      <c r="L75" s="499">
        <f t="shared" si="20"/>
        <v>0.66927199170648422</v>
      </c>
      <c r="M75" s="499">
        <f t="shared" si="20"/>
        <v>0.63819436423588349</v>
      </c>
      <c r="N75" s="499">
        <f t="shared" si="20"/>
        <v>0.62673471746518272</v>
      </c>
      <c r="O75" s="107"/>
      <c r="P75" s="152"/>
      <c r="T75" s="206"/>
      <c r="U75" s="523"/>
      <c r="V75" s="523"/>
      <c r="W75" s="523"/>
      <c r="X75" s="523"/>
      <c r="Y75" s="523"/>
      <c r="Z75" s="523"/>
      <c r="AA75" s="523"/>
      <c r="AB75" s="523"/>
      <c r="AC75" s="523"/>
      <c r="AD75" s="523"/>
      <c r="AE75" s="523"/>
      <c r="AF75" s="523"/>
    </row>
    <row r="76" spans="1:32" s="106" customFormat="1" ht="16.5" customHeight="1">
      <c r="A76" s="109"/>
      <c r="B76" s="149" t="s">
        <v>150</v>
      </c>
      <c r="C76" s="499">
        <f>C29/C20/C73</f>
        <v>0.5544252831635812</v>
      </c>
      <c r="D76" s="499">
        <f t="shared" ref="D76:N76" si="21">D29/D20/D73</f>
        <v>0.56277382231301731</v>
      </c>
      <c r="E76" s="499">
        <f t="shared" si="21"/>
        <v>0.5502023616959324</v>
      </c>
      <c r="F76" s="499">
        <f t="shared" si="21"/>
        <v>0.57009358153292133</v>
      </c>
      <c r="G76" s="499">
        <f t="shared" si="21"/>
        <v>0.57227591337216233</v>
      </c>
      <c r="H76" s="499">
        <f t="shared" si="21"/>
        <v>0.57065294161455715</v>
      </c>
      <c r="I76" s="499">
        <f t="shared" si="21"/>
        <v>0.59490921531282814</v>
      </c>
      <c r="J76" s="499">
        <f t="shared" si="21"/>
        <v>0.58840031529708603</v>
      </c>
      <c r="K76" s="499">
        <f t="shared" si="21"/>
        <v>0.57853626030686423</v>
      </c>
      <c r="L76" s="499">
        <f t="shared" si="21"/>
        <v>0.57108462984693742</v>
      </c>
      <c r="M76" s="499">
        <f t="shared" si="21"/>
        <v>0.54946993273733702</v>
      </c>
      <c r="N76" s="499">
        <f t="shared" si="21"/>
        <v>0.54009655978831461</v>
      </c>
      <c r="O76" s="107"/>
      <c r="P76" s="152"/>
      <c r="T76" s="206"/>
      <c r="U76" s="523"/>
      <c r="V76" s="523"/>
      <c r="W76" s="523"/>
      <c r="X76" s="523"/>
      <c r="Y76" s="523"/>
      <c r="Z76" s="523"/>
      <c r="AA76" s="523"/>
      <c r="AB76" s="523"/>
      <c r="AC76" s="523"/>
      <c r="AD76" s="523"/>
      <c r="AE76" s="523"/>
      <c r="AF76" s="523"/>
    </row>
    <row r="77" spans="1:32" s="106" customFormat="1" ht="16.5" customHeight="1">
      <c r="A77" s="109"/>
      <c r="B77" s="108"/>
      <c r="C77" s="107"/>
      <c r="D77" s="107"/>
      <c r="E77" s="107"/>
      <c r="F77" s="107"/>
      <c r="G77" s="107"/>
      <c r="H77" s="107"/>
      <c r="I77" s="107"/>
      <c r="J77" s="107"/>
      <c r="K77" s="107"/>
      <c r="L77" s="107"/>
      <c r="M77" s="107"/>
      <c r="N77" s="107"/>
      <c r="T77" s="206"/>
      <c r="U77" s="524"/>
      <c r="V77" s="524"/>
      <c r="W77" s="524"/>
      <c r="X77" s="524"/>
      <c r="Y77" s="524"/>
      <c r="Z77" s="524"/>
      <c r="AA77" s="524"/>
      <c r="AB77" s="524"/>
      <c r="AC77" s="524"/>
      <c r="AD77" s="524"/>
      <c r="AE77" s="524"/>
      <c r="AF77" s="524"/>
    </row>
    <row r="78" spans="1:32" ht="13.2">
      <c r="A78" s="42" t="s">
        <v>116</v>
      </c>
      <c r="C78" s="105"/>
      <c r="T78" s="206"/>
      <c r="U78" s="524"/>
      <c r="V78" s="524"/>
      <c r="W78" s="524"/>
      <c r="X78" s="524"/>
      <c r="Y78" s="524"/>
      <c r="Z78" s="524"/>
      <c r="AA78" s="524"/>
      <c r="AB78" s="524"/>
      <c r="AC78" s="524"/>
      <c r="AD78" s="524"/>
      <c r="AE78" s="524"/>
      <c r="AF78" s="524"/>
    </row>
    <row r="79" spans="1:32" ht="13.2">
      <c r="A79"/>
      <c r="B79" s="10" t="s">
        <v>338</v>
      </c>
      <c r="C79" s="105"/>
      <c r="D79" s="105"/>
      <c r="E79" s="105"/>
      <c r="F79" s="105"/>
      <c r="G79" s="105"/>
      <c r="H79" s="105"/>
      <c r="I79" s="105"/>
      <c r="J79" s="105"/>
      <c r="K79" s="105"/>
      <c r="L79" s="105"/>
      <c r="M79" s="105"/>
      <c r="N79" s="105"/>
      <c r="T79" s="206"/>
      <c r="U79" s="524"/>
      <c r="V79" s="524"/>
      <c r="W79" s="524"/>
      <c r="X79" s="524"/>
      <c r="Y79" s="524"/>
      <c r="Z79" s="524"/>
      <c r="AA79" s="524"/>
      <c r="AB79" s="524"/>
      <c r="AC79" s="524"/>
      <c r="AD79" s="524"/>
      <c r="AE79" s="524"/>
      <c r="AF79" s="524"/>
    </row>
    <row r="80" spans="1:32" ht="13.2">
      <c r="A80"/>
      <c r="B80" s="81" t="s">
        <v>426</v>
      </c>
      <c r="T80" s="206"/>
      <c r="U80" s="523"/>
      <c r="V80" s="523"/>
      <c r="W80" s="523"/>
      <c r="X80" s="523"/>
      <c r="Y80" s="523"/>
      <c r="Z80" s="523"/>
      <c r="AA80" s="523"/>
      <c r="AB80" s="523"/>
      <c r="AC80" s="523"/>
      <c r="AD80" s="523"/>
      <c r="AE80" s="523"/>
      <c r="AF80" s="523"/>
    </row>
    <row r="81" spans="1:32" ht="13.2">
      <c r="A81"/>
      <c r="B81" s="125" t="s">
        <v>431</v>
      </c>
      <c r="C81" s="104"/>
    </row>
    <row r="82" spans="1:32" ht="13.2">
      <c r="A82"/>
      <c r="B82" s="153" t="s">
        <v>435</v>
      </c>
      <c r="E82" s="88"/>
      <c r="U82" s="44"/>
      <c r="V82" s="44"/>
      <c r="W82" s="44"/>
      <c r="X82" s="44"/>
      <c r="Y82" s="44"/>
      <c r="Z82" s="44"/>
      <c r="AA82" s="44"/>
      <c r="AB82" s="44"/>
      <c r="AC82" s="44"/>
      <c r="AD82" s="44"/>
      <c r="AE82" s="44"/>
      <c r="AF82" s="44"/>
    </row>
    <row r="83" spans="1:32" ht="13.2">
      <c r="A83"/>
      <c r="B83" t="s">
        <v>433</v>
      </c>
      <c r="C83" s="98"/>
      <c r="D83" s="98"/>
      <c r="E83" s="98"/>
      <c r="F83" s="98"/>
      <c r="G83" s="98"/>
      <c r="H83" s="98"/>
      <c r="I83" s="98"/>
      <c r="J83" s="98"/>
      <c r="K83" s="98"/>
      <c r="L83" s="98"/>
      <c r="M83" s="98"/>
      <c r="N83" s="98"/>
      <c r="U83" s="534"/>
      <c r="V83" s="534"/>
      <c r="W83" s="534"/>
      <c r="X83" s="534"/>
      <c r="Y83" s="534"/>
      <c r="Z83" s="534"/>
      <c r="AA83" s="534"/>
      <c r="AB83" s="534"/>
      <c r="AC83" s="534"/>
      <c r="AD83" s="534"/>
      <c r="AE83" s="534"/>
      <c r="AF83" s="534"/>
    </row>
    <row r="84" spans="1:32">
      <c r="B84" s="10" t="s">
        <v>534</v>
      </c>
      <c r="E84" s="10"/>
      <c r="U84" s="534"/>
      <c r="V84" s="534"/>
      <c r="W84" s="534"/>
      <c r="X84" s="534"/>
      <c r="Y84" s="534"/>
      <c r="Z84" s="534"/>
      <c r="AA84" s="534"/>
      <c r="AB84" s="534"/>
      <c r="AC84" s="534"/>
      <c r="AD84" s="534"/>
      <c r="AE84" s="534"/>
      <c r="AF84" s="534"/>
    </row>
    <row r="85" spans="1:32" ht="15.6" thickBot="1">
      <c r="B85" s="10"/>
      <c r="E85" s="10"/>
      <c r="U85" s="534"/>
      <c r="V85" s="534"/>
      <c r="W85" s="534"/>
      <c r="X85" s="534"/>
      <c r="Y85" s="534"/>
      <c r="Z85" s="534"/>
      <c r="AA85" s="534"/>
      <c r="AB85" s="534"/>
      <c r="AC85" s="534"/>
      <c r="AD85" s="534"/>
      <c r="AE85" s="534"/>
      <c r="AF85" s="534"/>
    </row>
    <row r="86" spans="1:32" ht="15.6" thickBot="1">
      <c r="C86" s="102" t="s">
        <v>79</v>
      </c>
      <c r="D86" s="101" t="s">
        <v>80</v>
      </c>
      <c r="E86" s="100" t="s">
        <v>81</v>
      </c>
      <c r="F86" s="100" t="s">
        <v>70</v>
      </c>
      <c r="G86" s="100" t="s">
        <v>71</v>
      </c>
      <c r="H86" s="101" t="s">
        <v>72</v>
      </c>
      <c r="I86" s="102" t="s">
        <v>73</v>
      </c>
      <c r="J86" s="102" t="s">
        <v>74</v>
      </c>
      <c r="K86" s="103" t="s">
        <v>75</v>
      </c>
      <c r="L86" s="103" t="s">
        <v>76</v>
      </c>
      <c r="M86" s="103" t="s">
        <v>77</v>
      </c>
      <c r="N86" s="103" t="s">
        <v>78</v>
      </c>
      <c r="U86" s="534"/>
      <c r="V86" s="534"/>
      <c r="W86" s="534"/>
      <c r="X86" s="534"/>
      <c r="Y86" s="534"/>
      <c r="Z86" s="534"/>
      <c r="AA86" s="534"/>
      <c r="AB86" s="534"/>
      <c r="AC86" s="534"/>
      <c r="AD86" s="534"/>
      <c r="AE86" s="534"/>
      <c r="AF86" s="534"/>
    </row>
    <row r="87" spans="1:32">
      <c r="B87" s="43" t="s">
        <v>547</v>
      </c>
      <c r="C87" s="145">
        <f>VLOOKUP($B$9&amp;" Total",'Billing Demand'!$A$5:$AL$44,C$9,FALSE)</f>
        <v>1924149</v>
      </c>
      <c r="D87" s="145">
        <f>VLOOKUP($B$9&amp;" Total",'Billing Demand'!$A$5:$AL$44,D$9,FALSE)</f>
        <v>1840233</v>
      </c>
      <c r="E87" s="145">
        <f>VLOOKUP($B$9&amp;" Total",'Billing Demand'!$A$5:$AL$44,E$9,FALSE)</f>
        <v>1920942</v>
      </c>
      <c r="F87" s="145">
        <f>VLOOKUP($B$9&amp;" Total",'Billing Demand'!$A$5:$AL$44,F$9,FALSE)</f>
        <v>1884366</v>
      </c>
      <c r="G87" s="145">
        <f>VLOOKUP($B$9&amp;" Total",'Billing Demand'!$A$5:$AL$44,G$9,FALSE)</f>
        <v>1967261</v>
      </c>
      <c r="H87" s="145">
        <f>VLOOKUP($B$9&amp;" Total",'Billing Demand'!$A$5:$AL$44,H$9,FALSE)</f>
        <v>1957443</v>
      </c>
      <c r="I87" s="145">
        <f>VLOOKUP($B$9&amp;" Total",'Billing Demand'!$A$5:$AL$44,I$9,FALSE)</f>
        <v>1956181</v>
      </c>
      <c r="J87" s="145">
        <f>VLOOKUP($B$9&amp;" Total",'Billing Demand'!$A$5:$AL$44,J$9,FALSE)</f>
        <v>1958811</v>
      </c>
      <c r="K87" s="145">
        <f>VLOOKUP($B$9&amp;" Total",'Billing Demand'!$A$5:$AL$44,K$9,FALSE)</f>
        <v>1974958</v>
      </c>
      <c r="L87" s="145">
        <f>VLOOKUP($B$9&amp;" Total",'Billing Demand'!$A$5:$AL$44,L$9,FALSE)</f>
        <v>2032458</v>
      </c>
      <c r="M87" s="145">
        <f>VLOOKUP($B$9&amp;" Total",'Billing Demand'!$A$5:$AL$44,M$9,FALSE)</f>
        <v>1952891</v>
      </c>
      <c r="N87" s="145">
        <f>VLOOKUP($B$9&amp;" Total",'Billing Demand'!$A$5:$AL$44,N$9,FALSE)</f>
        <v>1965742</v>
      </c>
      <c r="U87" s="534"/>
      <c r="V87" s="534"/>
      <c r="W87" s="534"/>
      <c r="X87" s="534"/>
      <c r="Y87" s="534"/>
      <c r="Z87" s="534"/>
      <c r="AA87" s="534"/>
      <c r="AB87" s="534"/>
      <c r="AC87" s="534"/>
      <c r="AD87" s="534"/>
      <c r="AE87" s="534"/>
      <c r="AF87" s="534"/>
    </row>
    <row r="88" spans="1:32">
      <c r="B88" s="239" t="s">
        <v>548</v>
      </c>
      <c r="C88" s="235">
        <f>+C60</f>
        <v>2094707.9040527949</v>
      </c>
      <c r="D88" s="235">
        <f t="shared" ref="D88:N88" si="22">+D60</f>
        <v>1997214.5215777173</v>
      </c>
      <c r="E88" s="235">
        <f t="shared" si="22"/>
        <v>1957804.7448479398</v>
      </c>
      <c r="F88" s="235">
        <f t="shared" si="22"/>
        <v>1975902.0669592677</v>
      </c>
      <c r="G88" s="235">
        <f t="shared" si="22"/>
        <v>2096657.5425912722</v>
      </c>
      <c r="H88" s="235">
        <f t="shared" si="22"/>
        <v>2235406.2192565436</v>
      </c>
      <c r="I88" s="235">
        <f t="shared" si="22"/>
        <v>2111037.7011014572</v>
      </c>
      <c r="J88" s="235">
        <f t="shared" si="22"/>
        <v>2149295.9534328952</v>
      </c>
      <c r="K88" s="235">
        <f t="shared" si="22"/>
        <v>2271007.4470676472</v>
      </c>
      <c r="L88" s="235">
        <f t="shared" si="22"/>
        <v>2138602.5500743468</v>
      </c>
      <c r="M88" s="235">
        <f t="shared" si="22"/>
        <v>2117462.5284032319</v>
      </c>
      <c r="N88" s="235">
        <f t="shared" si="22"/>
        <v>2144420.1658218629</v>
      </c>
      <c r="U88" s="534"/>
      <c r="V88" s="534"/>
      <c r="W88" s="534"/>
      <c r="X88" s="534"/>
      <c r="Y88" s="534"/>
      <c r="Z88" s="534"/>
      <c r="AA88" s="534"/>
      <c r="AB88" s="534"/>
      <c r="AC88" s="534"/>
      <c r="AD88" s="534"/>
      <c r="AE88" s="534"/>
      <c r="AF88" s="534"/>
    </row>
    <row r="89" spans="1:32">
      <c r="B89" s="45" t="s">
        <v>535</v>
      </c>
      <c r="C89" s="236" t="str">
        <f>IF(C87&gt;=C88,"OK","CHECK")</f>
        <v>CHECK</v>
      </c>
      <c r="D89" s="236" t="str">
        <f>IF(D87&gt;=D88,"OK","CHECK")</f>
        <v>CHECK</v>
      </c>
      <c r="E89" s="236" t="str">
        <f>IF(E87&gt;=E88,"OK","CHECK")</f>
        <v>CHECK</v>
      </c>
      <c r="F89" s="236" t="str">
        <f>IF(F87&gt;=F88,"OK","CHECK")</f>
        <v>CHECK</v>
      </c>
      <c r="G89" s="236" t="str">
        <f t="shared" ref="G89:N89" si="23">IF(G87&gt;=G88,"OK","CHECK")</f>
        <v>CHECK</v>
      </c>
      <c r="H89" s="236" t="str">
        <f t="shared" si="23"/>
        <v>CHECK</v>
      </c>
      <c r="I89" s="236" t="str">
        <f t="shared" si="23"/>
        <v>CHECK</v>
      </c>
      <c r="J89" s="236" t="str">
        <f t="shared" si="23"/>
        <v>CHECK</v>
      </c>
      <c r="K89" s="236" t="str">
        <f t="shared" si="23"/>
        <v>CHECK</v>
      </c>
      <c r="L89" s="236" t="str">
        <f t="shared" si="23"/>
        <v>CHECK</v>
      </c>
      <c r="M89" s="236" t="str">
        <f t="shared" si="23"/>
        <v>CHECK</v>
      </c>
      <c r="N89" s="236" t="str">
        <f t="shared" si="23"/>
        <v>CHECK</v>
      </c>
      <c r="U89" s="534"/>
      <c r="V89" s="534"/>
      <c r="W89" s="534"/>
      <c r="X89" s="534"/>
      <c r="Y89" s="534"/>
      <c r="Z89" s="534"/>
      <c r="AA89" s="534"/>
      <c r="AB89" s="534"/>
      <c r="AC89" s="534"/>
      <c r="AD89" s="534"/>
      <c r="AE89" s="534"/>
      <c r="AF89" s="534"/>
    </row>
    <row r="90" spans="1:32" ht="15.6" thickBot="1">
      <c r="G90" s="145"/>
    </row>
    <row r="91" spans="1:32" ht="15.6" thickBot="1">
      <c r="C91" s="102" t="s">
        <v>79</v>
      </c>
      <c r="D91" s="101" t="s">
        <v>80</v>
      </c>
      <c r="E91" s="100" t="s">
        <v>81</v>
      </c>
      <c r="F91" s="100" t="s">
        <v>70</v>
      </c>
      <c r="G91" s="100" t="s">
        <v>71</v>
      </c>
      <c r="H91" s="101" t="s">
        <v>72</v>
      </c>
      <c r="I91" s="102" t="s">
        <v>73</v>
      </c>
      <c r="J91" s="102" t="s">
        <v>74</v>
      </c>
      <c r="K91" s="103" t="s">
        <v>75</v>
      </c>
      <c r="L91" s="103" t="s">
        <v>76</v>
      </c>
      <c r="M91" s="103" t="s">
        <v>77</v>
      </c>
      <c r="N91" s="103" t="s">
        <v>78</v>
      </c>
    </row>
    <row r="92" spans="1:32" ht="409.6">
      <c r="B92" s="43" t="s">
        <v>549</v>
      </c>
      <c r="C92" s="145">
        <f>VLOOKUP($B$9&amp;" Total",'Billing Demand'!$A$5:$AL$44,C$9+12,FALSE)</f>
        <v>1935224</v>
      </c>
      <c r="D92" s="145">
        <f>VLOOKUP($B$9&amp;" Total",'Billing Demand'!$A$5:$AL$44,D$9+12,FALSE)</f>
        <v>1839084</v>
      </c>
      <c r="E92" s="145">
        <f>VLOOKUP($B$9&amp;" Total",'Billing Demand'!$A$5:$AL$44,E$9+12,FALSE)</f>
        <v>1919835</v>
      </c>
      <c r="F92" s="145">
        <f>VLOOKUP($B$9&amp;" Total",'Billing Demand'!$A$5:$AL$44,F$9+12,FALSE)</f>
        <v>1893352</v>
      </c>
      <c r="G92" s="145">
        <f>VLOOKUP($B$9&amp;" Total",'Billing Demand'!$A$5:$AL$44,G$9+12,FALSE)</f>
        <v>1971301</v>
      </c>
      <c r="H92" s="145">
        <f>VLOOKUP($B$9&amp;" Total",'Billing Demand'!$A$5:$AL$44,H$9+12,FALSE)</f>
        <v>1963589</v>
      </c>
      <c r="I92" s="145">
        <f>VLOOKUP($B$9&amp;" Total",'Billing Demand'!$A$5:$AL$44,I$9+12,FALSE)</f>
        <v>1962446</v>
      </c>
      <c r="J92" s="145">
        <f>VLOOKUP($B$9&amp;" Total",'Billing Demand'!$A$5:$AL$44,J$9+12,FALSE)</f>
        <v>1965436</v>
      </c>
      <c r="K92" s="145">
        <f>VLOOKUP($B$9&amp;" Total",'Billing Demand'!$A$5:$AL$44,K$9+12,FALSE)</f>
        <v>1979228</v>
      </c>
      <c r="L92" s="145">
        <f>VLOOKUP($B$9&amp;" Total",'Billing Demand'!$A$5:$AL$44,L$9+12,FALSE)</f>
        <v>2042093</v>
      </c>
      <c r="M92" s="145">
        <f>VLOOKUP($B$9&amp;" Total",'Billing Demand'!$A$5:$AL$44,M$9+12,FALSE)</f>
        <v>1963832</v>
      </c>
      <c r="N92" s="145">
        <f>VLOOKUP($B$9&amp;" Total",'Billing Demand'!$A$5:$AL$44,N$9+12,FALSE)</f>
        <v>1974493</v>
      </c>
    </row>
    <row r="93" spans="1:32">
      <c r="B93" s="239" t="s">
        <v>550</v>
      </c>
      <c r="C93" s="235">
        <f>+C65</f>
        <v>2107551.3936853614</v>
      </c>
      <c r="D93" s="235">
        <f t="shared" ref="D93:N93" si="24">+D65</f>
        <v>2067523.063458496</v>
      </c>
      <c r="E93" s="235">
        <f t="shared" si="24"/>
        <v>1954010.1463722526</v>
      </c>
      <c r="F93" s="235">
        <f t="shared" si="24"/>
        <v>1981357.4846518303</v>
      </c>
      <c r="G93" s="235">
        <f t="shared" si="24"/>
        <v>2094924.1740699273</v>
      </c>
      <c r="H93" s="235">
        <f t="shared" si="24"/>
        <v>2235802.3347024834</v>
      </c>
      <c r="I93" s="235">
        <f t="shared" si="24"/>
        <v>2111453.5208494668</v>
      </c>
      <c r="J93" s="235">
        <f t="shared" si="24"/>
        <v>2150047.1152855954</v>
      </c>
      <c r="K93" s="235">
        <f t="shared" si="24"/>
        <v>2269087.3066900261</v>
      </c>
      <c r="L93" s="235">
        <f t="shared" si="24"/>
        <v>2141850.8493044241</v>
      </c>
      <c r="M93" s="235">
        <f t="shared" si="24"/>
        <v>2121576.9280349398</v>
      </c>
      <c r="N93" s="235">
        <f t="shared" si="24"/>
        <v>2145573.065998822</v>
      </c>
    </row>
    <row r="94" spans="1:32" ht="409.6">
      <c r="B94" s="45" t="s">
        <v>535</v>
      </c>
      <c r="C94" s="236" t="str">
        <f>IF(C92&gt;=C93,"OK","CHECK")</f>
        <v>CHECK</v>
      </c>
      <c r="D94" s="236" t="str">
        <f>IF(D92&gt;=D93,"OK","CHECK")</f>
        <v>CHECK</v>
      </c>
      <c r="E94" s="236" t="str">
        <f>IF(E92&gt;=E93,"OK","CHECK")</f>
        <v>CHECK</v>
      </c>
      <c r="F94" s="236" t="str">
        <f>IF(F92&gt;=F93,"OK","CHECK")</f>
        <v>CHECK</v>
      </c>
      <c r="G94" s="236" t="str">
        <f t="shared" ref="G94:N94" si="25">IF(G92&gt;=G93,"OK","CHECK")</f>
        <v>CHECK</v>
      </c>
      <c r="H94" s="236" t="str">
        <f t="shared" si="25"/>
        <v>CHECK</v>
      </c>
      <c r="I94" s="236" t="str">
        <f t="shared" si="25"/>
        <v>CHECK</v>
      </c>
      <c r="J94" s="236" t="str">
        <f t="shared" si="25"/>
        <v>CHECK</v>
      </c>
      <c r="K94" s="236" t="str">
        <f t="shared" si="25"/>
        <v>CHECK</v>
      </c>
      <c r="L94" s="236" t="str">
        <f t="shared" si="25"/>
        <v>CHECK</v>
      </c>
      <c r="M94" s="236" t="str">
        <f t="shared" si="25"/>
        <v>CHECK</v>
      </c>
      <c r="N94" s="236" t="str">
        <f t="shared" si="25"/>
        <v>CHECK</v>
      </c>
    </row>
    <row r="96" spans="1:32">
      <c r="B96" s="45" t="s">
        <v>552</v>
      </c>
    </row>
  </sheetData>
  <mergeCells count="3">
    <mergeCell ref="C7:E7"/>
    <mergeCell ref="F7:L7"/>
    <mergeCell ref="M7:N7"/>
  </mergeCells>
  <conditionalFormatting sqref="C59:N59">
    <cfRule type="cellIs" dxfId="167" priority="13" operator="greaterThanOrEqual">
      <formula>C60</formula>
    </cfRule>
  </conditionalFormatting>
  <conditionalFormatting sqref="C58:N58">
    <cfRule type="cellIs" dxfId="166" priority="11" operator="greaterThanOrEqual">
      <formula>C59</formula>
    </cfRule>
  </conditionalFormatting>
  <conditionalFormatting sqref="C89:N89">
    <cfRule type="cellIs" dxfId="165" priority="9" stopIfTrue="1" operator="equal">
      <formula>"Check"</formula>
    </cfRule>
  </conditionalFormatting>
  <conditionalFormatting sqref="C94:N94">
    <cfRule type="cellIs" dxfId="164" priority="8" stopIfTrue="1" operator="equal">
      <formula>"Error"</formula>
    </cfRule>
  </conditionalFormatting>
  <conditionalFormatting sqref="C94:N94">
    <cfRule type="cellIs" dxfId="163" priority="7" stopIfTrue="1" operator="equal">
      <formula>"Check"</formula>
    </cfRule>
  </conditionalFormatting>
  <conditionalFormatting sqref="C72:N72">
    <cfRule type="cellIs" dxfId="162" priority="2" operator="greaterThanOrEqual">
      <formula>C73</formula>
    </cfRule>
  </conditionalFormatting>
  <conditionalFormatting sqref="C71:N71">
    <cfRule type="cellIs" dxfId="161" priority="1" operator="greaterThan">
      <formula>C72</formula>
    </cfRule>
  </conditionalFormatting>
  <conditionalFormatting sqref="C64:N64">
    <cfRule type="cellIs" dxfId="160" priority="4" operator="greaterThanOrEqual">
      <formula>C65</formula>
    </cfRule>
  </conditionalFormatting>
  <conditionalFormatting sqref="C63:N63">
    <cfRule type="cellIs" dxfId="159" priority="3" operator="greaterThan">
      <formula>C64</formula>
    </cfRule>
  </conditionalFormatting>
  <pageMargins left="0" right="0" top="1" bottom="1" header="0.5" footer="0.5"/>
  <pageSetup scale="34" orientation="landscape" r:id="rId1"/>
  <headerFooter alignWithMargins="0">
    <oddFooter>&amp;LPrinted:  &amp;D&amp;C&amp;F&amp;RPage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AF96"/>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 min="18" max="18" width="16.109375" bestFit="1" customWidth="1"/>
    <col min="19" max="19" width="10.6640625" bestFit="1" customWidth="1"/>
    <col min="20" max="20" width="52.88671875" bestFit="1" customWidth="1"/>
    <col min="21" max="30" width="9.109375" customWidth="1"/>
  </cols>
  <sheetData>
    <row r="1" spans="1:16" s="8" customFormat="1" ht="15.6">
      <c r="A1" s="624"/>
      <c r="B1" s="8" t="s">
        <v>1289</v>
      </c>
    </row>
    <row r="2" spans="1:16" s="8" customFormat="1" ht="15.6">
      <c r="A2" s="624"/>
      <c r="B2" s="8" t="s">
        <v>1267</v>
      </c>
    </row>
    <row r="3" spans="1:16" s="8" customFormat="1" ht="15.6">
      <c r="A3" s="624"/>
    </row>
    <row r="4" spans="1:16" ht="21">
      <c r="A4" s="124" t="s">
        <v>442</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69</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1.0315744931339021</v>
      </c>
      <c r="D13" s="115">
        <f>VLOOKUP($B$9,'Avg KWH'!$A$12:$O$38,D9,FALSE)/HOURS!C15/VLOOKUP($B$9,'Avg CP'!$A$12:$P$38,D9,FALSE)</f>
        <v>0.82566780904677295</v>
      </c>
      <c r="E13" s="115">
        <f>VLOOKUP($B$9,'Avg KWH'!$A$12:$O$38,E9,FALSE)/HOURS!D15/VLOOKUP($B$9,'Avg CP'!$A$12:$P$38,E9,FALSE)</f>
        <v>0.94257293714037149</v>
      </c>
      <c r="F13" s="115">
        <f>VLOOKUP($B$9,'Avg KWH'!$A$12:$O$38,F9,FALSE)/HOURS!E15/VLOOKUP($B$9,'Avg CP'!$A$12:$P$38,F9,FALSE)</f>
        <v>0.91363798388385842</v>
      </c>
      <c r="G13" s="115">
        <f>VLOOKUP($B$9,'Avg KWH'!$A$12:$O$38,G9,FALSE)/HOURS!F15/VLOOKUP($B$9,'Avg CP'!$A$12:$P$38,G9,FALSE)</f>
        <v>0.92324213362707752</v>
      </c>
      <c r="H13" s="115">
        <f>VLOOKUP($B$9,'Avg KWH'!$A$12:$O$38,H9,FALSE)/HOURS!G15/VLOOKUP($B$9,'Avg CP'!$A$12:$P$38,H9,FALSE)</f>
        <v>0.95725061422752555</v>
      </c>
      <c r="I13" s="115">
        <f>VLOOKUP($B$9,'Avg KWH'!$A$12:$O$38,I9,FALSE)/HOURS!H15/VLOOKUP($B$9,'Avg CP'!$A$12:$P$38,I9,FALSE)</f>
        <v>0.93969307351868614</v>
      </c>
      <c r="J13" s="115">
        <f>VLOOKUP($B$9,'Avg KWH'!$A$12:$O$38,J9,FALSE)/HOURS!I15/VLOOKUP($B$9,'Avg CP'!$A$12:$P$38,J9,FALSE)</f>
        <v>0.96864225040557017</v>
      </c>
      <c r="K13" s="115">
        <f>VLOOKUP($B$9,'Avg KWH'!$A$12:$O$38,K9,FALSE)/HOURS!J15/VLOOKUP($B$9,'Avg CP'!$A$12:$P$38,K9,FALSE)</f>
        <v>0.95152974972597526</v>
      </c>
      <c r="L13" s="115">
        <f>VLOOKUP($B$9,'Avg KWH'!$A$12:$O$38,L9,FALSE)/HOURS!K15/VLOOKUP($B$9,'Avg CP'!$A$12:$P$38,L9,FALSE)</f>
        <v>0.89841072583110193</v>
      </c>
      <c r="M13" s="115">
        <f>VLOOKUP($B$9,'Avg KWH'!$A$12:$O$38,M9,FALSE)/HOURS!L15/VLOOKUP($B$9,'Avg CP'!$A$12:$P$38,M9,FALSE)</f>
        <v>0.82867747726501473</v>
      </c>
      <c r="N13" s="115">
        <f>VLOOKUP($B$9,'Avg KWH'!$A$12:$O$38,N9,FALSE)/HOURS!M15/VLOOKUP($B$9,'Avg CP'!$A$12:$P$38,N9,FALSE)</f>
        <v>0.8685835960529884</v>
      </c>
      <c r="O13" s="115"/>
    </row>
    <row r="14" spans="1:16" s="110" customFormat="1">
      <c r="A14" s="119"/>
      <c r="B14" s="118" t="s">
        <v>342</v>
      </c>
      <c r="C14" s="115">
        <f>VLOOKUP($B$9,'Avg KWH'!$A$12:$O$38,C9,FALSE)/HOURS!B15/VLOOKUP($B$9,'Avg GNCP'!$A$11:$P$37,C9,FALSE)</f>
        <v>0.78848428522528702</v>
      </c>
      <c r="D14" s="115">
        <f>VLOOKUP($B$9,'Avg KWH'!$A$12:$O$38,D9,FALSE)/HOURS!C15/VLOOKUP($B$9,'Avg GNCP'!$A$11:$P$37,D9,FALSE)</f>
        <v>0.79548177398271169</v>
      </c>
      <c r="E14" s="115">
        <f>VLOOKUP($B$9,'Avg KWH'!$A$12:$O$38,E9,FALSE)/HOURS!D15/VLOOKUP($B$9,'Avg GNCP'!$A$11:$P$37,E9,FALSE)</f>
        <v>0.7931124525729969</v>
      </c>
      <c r="F14" s="115">
        <f>VLOOKUP($B$9,'Avg KWH'!$A$12:$O$38,F9,FALSE)/HOURS!E15/VLOOKUP($B$9,'Avg GNCP'!$A$11:$P$37,F9,FALSE)</f>
        <v>0.80691996732065219</v>
      </c>
      <c r="G14" s="115">
        <f>VLOOKUP($B$9,'Avg KWH'!$A$12:$O$38,G9,FALSE)/HOURS!F15/VLOOKUP($B$9,'Avg GNCP'!$A$11:$P$37,G9,FALSE)</f>
        <v>0.82662475788553424</v>
      </c>
      <c r="H14" s="115">
        <f>VLOOKUP($B$9,'Avg KWH'!$A$12:$O$38,H9,FALSE)/HOURS!G15/VLOOKUP($B$9,'Avg GNCP'!$A$11:$P$37,H9,FALSE)</f>
        <v>0.86657345779434203</v>
      </c>
      <c r="I14" s="115">
        <f>VLOOKUP($B$9,'Avg KWH'!$A$12:$O$38,I9,FALSE)/HOURS!H15/VLOOKUP($B$9,'Avg GNCP'!$A$11:$P$37,I9,FALSE)</f>
        <v>0.84920295221365572</v>
      </c>
      <c r="J14" s="115">
        <f>VLOOKUP($B$9,'Avg KWH'!$A$12:$O$38,J9,FALSE)/HOURS!I15/VLOOKUP($B$9,'Avg GNCP'!$A$11:$P$37,J9,FALSE)</f>
        <v>0.87020793538318542</v>
      </c>
      <c r="K14" s="115">
        <f>VLOOKUP($B$9,'Avg KWH'!$A$12:$O$38,K9,FALSE)/HOURS!J15/VLOOKUP($B$9,'Avg GNCP'!$A$11:$P$37,K9,FALSE)</f>
        <v>0.83726953795524817</v>
      </c>
      <c r="L14" s="115">
        <f>VLOOKUP($B$9,'Avg KWH'!$A$12:$O$38,L9,FALSE)/HOURS!K15/VLOOKUP($B$9,'Avg GNCP'!$A$11:$P$37,L9,FALSE)</f>
        <v>0.82437059970181958</v>
      </c>
      <c r="M14" s="115">
        <f>VLOOKUP($B$9,'Avg KWH'!$A$12:$O$38,M9,FALSE)/HOURS!L15/VLOOKUP($B$9,'Avg GNCP'!$A$11:$P$37,M9,FALSE)</f>
        <v>0.77521201185823696</v>
      </c>
      <c r="N14" s="115">
        <f>VLOOKUP($B$9,'Avg KWH'!$A$12:$O$38,N9,FALSE)/HOURS!M15/VLOOKUP($B$9,'Avg GNCP'!$A$11:$P$37,N9,FALSE)</f>
        <v>0.77630477835274181</v>
      </c>
    </row>
    <row r="15" spans="1:16" s="10" customFormat="1">
      <c r="A15" s="119"/>
      <c r="B15" s="148" t="s">
        <v>133</v>
      </c>
      <c r="C15" s="115">
        <f>VLOOKUP($B$9,'Avg KWH'!$A$12:$O$38,C9,FALSE)/HOURS!B15/VLOOKUP($B$9,'Avg NCP'!$B$12:$P$38,C9-1,FALSE)</f>
        <v>0.63828614679847662</v>
      </c>
      <c r="D15" s="115">
        <f>VLOOKUP($B$9,'Avg KWH'!$A$12:$O$38,D9,FALSE)/HOURS!C15/VLOOKUP($B$9,'Avg NCP'!$B$12:$P$38,D9-1,FALSE)</f>
        <v>0.64177047306718682</v>
      </c>
      <c r="E15" s="115">
        <f>VLOOKUP($B$9,'Avg KWH'!$A$12:$O$38,E9,FALSE)/HOURS!D15/VLOOKUP($B$9,'Avg NCP'!$B$12:$P$38,E9-1,FALSE)</f>
        <v>0.63789230522354146</v>
      </c>
      <c r="F15" s="115">
        <f>VLOOKUP($B$9,'Avg KWH'!$A$12:$O$38,F9,FALSE)/HOURS!E15/VLOOKUP($B$9,'Avg NCP'!$B$12:$P$38,F9-1,FALSE)</f>
        <v>0.65125855090624318</v>
      </c>
      <c r="G15" s="115">
        <f>VLOOKUP($B$9,'Avg KWH'!$A$12:$O$38,G9,FALSE)/HOURS!F15/VLOOKUP($B$9,'Avg NCP'!$B$12:$P$38,G9-1,FALSE)</f>
        <v>0.66319092201778573</v>
      </c>
      <c r="H15" s="115">
        <f>VLOOKUP($B$9,'Avg KWH'!$A$12:$O$38,H9,FALSE)/HOURS!G15/VLOOKUP($B$9,'Avg NCP'!$B$12:$P$38,H9-1,FALSE)</f>
        <v>0.69664607754050056</v>
      </c>
      <c r="I15" s="115">
        <f>VLOOKUP($B$9,'Avg KWH'!$A$12:$O$38,I9,FALSE)/HOURS!H15/VLOOKUP($B$9,'Avg NCP'!$B$12:$P$38,I9-1,FALSE)</f>
        <v>0.68048754346015561</v>
      </c>
      <c r="J15" s="115">
        <f>VLOOKUP($B$9,'Avg KWH'!$A$12:$O$38,J9,FALSE)/HOURS!I15/VLOOKUP($B$9,'Avg NCP'!$B$12:$P$38,J9-1,FALSE)</f>
        <v>0.69613568687692928</v>
      </c>
      <c r="K15" s="115">
        <f>VLOOKUP($B$9,'Avg KWH'!$A$12:$O$38,K9,FALSE)/HOURS!J15/VLOOKUP($B$9,'Avg NCP'!$B$12:$P$38,K9-1,FALSE)</f>
        <v>0.67059076437089749</v>
      </c>
      <c r="L15" s="115">
        <f>VLOOKUP($B$9,'Avg KWH'!$A$12:$O$38,L9,FALSE)/HOURS!K15/VLOOKUP($B$9,'Avg NCP'!$B$12:$P$38,L9-1,FALSE)</f>
        <v>0.65462644852696128</v>
      </c>
      <c r="M15" s="115">
        <f>VLOOKUP($B$9,'Avg KWH'!$A$12:$O$38,M9,FALSE)/HOURS!L15/VLOOKUP($B$9,'Avg NCP'!$B$12:$P$38,M9-1,FALSE)</f>
        <v>0.63226357126471766</v>
      </c>
      <c r="N15" s="115">
        <f>VLOOKUP($B$9,'Avg KWH'!$A$12:$O$38,N9,FALSE)/HOURS!M15/VLOOKUP($B$9,'Avg NCP'!$B$12:$P$38,N9-1,FALSE)</f>
        <v>0.62945608833276934</v>
      </c>
    </row>
    <row r="16" spans="1:16">
      <c r="A16" s="114"/>
      <c r="C16" s="116"/>
      <c r="D16" s="116"/>
      <c r="E16" s="116"/>
      <c r="F16" s="116"/>
      <c r="G16" s="116"/>
      <c r="H16" s="116"/>
      <c r="I16" s="116"/>
      <c r="J16" s="116"/>
      <c r="K16" s="116"/>
      <c r="L16" s="116"/>
      <c r="M16" s="117"/>
      <c r="N16" s="116"/>
    </row>
    <row r="17" spans="1:31" ht="15.6">
      <c r="A17" s="113" t="s">
        <v>421</v>
      </c>
      <c r="C17" s="5"/>
      <c r="D17" s="5"/>
      <c r="E17" s="5"/>
      <c r="F17" s="5"/>
      <c r="G17" s="5"/>
      <c r="H17" s="5"/>
      <c r="I17" s="5"/>
      <c r="J17" s="5"/>
      <c r="K17" s="5"/>
      <c r="L17" s="5"/>
      <c r="M17" s="115"/>
      <c r="N17" s="5"/>
    </row>
    <row r="18" spans="1:31">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31">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31">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31">
      <c r="A21" s="114"/>
      <c r="C21" s="5"/>
      <c r="D21" s="5"/>
      <c r="E21" s="5"/>
      <c r="F21" s="5"/>
      <c r="G21" s="5"/>
      <c r="H21" s="5"/>
      <c r="I21" s="5"/>
      <c r="J21" s="5"/>
      <c r="K21" s="5"/>
      <c r="L21" s="5"/>
      <c r="M21" s="115"/>
      <c r="N21" s="5"/>
    </row>
    <row r="22" spans="1:31" ht="15.6">
      <c r="A22" s="113" t="s">
        <v>427</v>
      </c>
      <c r="C22" s="5"/>
      <c r="D22" s="5"/>
      <c r="E22" s="5"/>
      <c r="F22" s="5"/>
      <c r="G22" s="5"/>
      <c r="H22" s="5"/>
      <c r="I22" s="5"/>
      <c r="J22" s="5"/>
      <c r="K22" s="5"/>
      <c r="L22" s="5"/>
      <c r="M22" s="115"/>
      <c r="N22" s="5"/>
    </row>
    <row r="23" spans="1:31">
      <c r="A23" s="114"/>
      <c r="B23" t="s">
        <v>428</v>
      </c>
      <c r="C23" s="145">
        <v>0</v>
      </c>
      <c r="D23" s="145">
        <v>0</v>
      </c>
      <c r="E23" s="145">
        <v>0</v>
      </c>
      <c r="F23" s="145">
        <v>0</v>
      </c>
      <c r="G23" s="145">
        <v>0</v>
      </c>
      <c r="H23" s="145">
        <v>0</v>
      </c>
      <c r="I23" s="145">
        <v>0</v>
      </c>
      <c r="J23" s="145">
        <v>0</v>
      </c>
      <c r="K23" s="145">
        <v>0</v>
      </c>
      <c r="L23" s="145">
        <v>0</v>
      </c>
      <c r="M23" s="145">
        <v>0</v>
      </c>
      <c r="N23" s="145">
        <v>0</v>
      </c>
    </row>
    <row r="24" spans="1:31">
      <c r="A24" s="114"/>
      <c r="B24" t="s">
        <v>429</v>
      </c>
      <c r="C24" s="145">
        <v>0</v>
      </c>
      <c r="D24" s="145">
        <v>0</v>
      </c>
      <c r="E24" s="145">
        <v>0</v>
      </c>
      <c r="F24" s="145">
        <v>0</v>
      </c>
      <c r="G24" s="145">
        <v>0</v>
      </c>
      <c r="H24" s="145">
        <v>0</v>
      </c>
      <c r="I24" s="145">
        <v>0</v>
      </c>
      <c r="J24" s="145">
        <v>0</v>
      </c>
      <c r="K24" s="145">
        <v>0</v>
      </c>
      <c r="L24" s="145">
        <v>0</v>
      </c>
      <c r="M24" s="145">
        <v>0</v>
      </c>
      <c r="N24" s="145">
        <v>0</v>
      </c>
    </row>
    <row r="25" spans="1:31">
      <c r="A25" s="114"/>
      <c r="C25" s="5"/>
      <c r="D25" s="5"/>
      <c r="E25" s="5"/>
      <c r="F25" s="5"/>
      <c r="G25" s="5"/>
      <c r="H25" s="5"/>
      <c r="I25" s="5"/>
      <c r="J25" s="5"/>
      <c r="K25" s="5"/>
      <c r="L25" s="5"/>
      <c r="M25" s="115"/>
      <c r="N25" s="5"/>
    </row>
    <row r="26" spans="1:31" ht="15.6">
      <c r="A26" s="113" t="s">
        <v>424</v>
      </c>
      <c r="C26" s="5"/>
      <c r="D26" s="5"/>
      <c r="E26" s="5"/>
      <c r="F26" s="5"/>
      <c r="G26" s="5"/>
      <c r="H26" s="5"/>
      <c r="I26" s="5"/>
      <c r="J26" s="5"/>
      <c r="K26" s="5"/>
      <c r="L26" s="5"/>
      <c r="M26" s="115"/>
      <c r="N26" s="5"/>
    </row>
    <row r="27" spans="1:31" s="106" customFormat="1">
      <c r="A27" s="109"/>
      <c r="B27" s="108" t="str">
        <f>"PRIOR - "&amp;MANUAL!$B$9</f>
        <v>PRIOR - 2016</v>
      </c>
      <c r="C27" s="142">
        <f>VLOOKUP($B$9,'Sales Forecast'!$B$7:$AO$23,C9-1,FALSE)</f>
        <v>210472099</v>
      </c>
      <c r="D27" s="142">
        <f>VLOOKUP($B$9,'Sales Forecast'!$B$7:$AO$23,D9-1,FALSE)</f>
        <v>186527721</v>
      </c>
      <c r="E27" s="142">
        <f>VLOOKUP($B$9,'Sales Forecast'!$B$7:$AO$23,E9-1,FALSE)</f>
        <v>191178604</v>
      </c>
      <c r="F27" s="142">
        <f>VLOOKUP($B$9,'Sales Forecast'!$B$7:$AO$23,F9-1,FALSE)</f>
        <v>192579721</v>
      </c>
      <c r="G27" s="142">
        <f>VLOOKUP($B$9,'Sales Forecast'!$B$7:$AO$23,G9-1,FALSE)</f>
        <v>206847654</v>
      </c>
      <c r="H27" s="142">
        <f>VLOOKUP($B$9,'Sales Forecast'!$B$7:$AO$23,H9-1,FALSE)</f>
        <v>218147951</v>
      </c>
      <c r="I27" s="142">
        <f>VLOOKUP($B$9,'Sales Forecast'!$B$7:$AO$23,I9-1,FALSE)</f>
        <v>223831652</v>
      </c>
      <c r="J27" s="142">
        <f>VLOOKUP($B$9,'Sales Forecast'!$B$7:$AO$23,J9-1,FALSE)</f>
        <v>226503406</v>
      </c>
      <c r="K27" s="142">
        <f>VLOOKUP($B$9,'Sales Forecast'!$B$7:$AO$23,K9-1,FALSE)</f>
        <v>221401451</v>
      </c>
      <c r="L27" s="142">
        <f>VLOOKUP($B$9,'Sales Forecast'!$B$7:$AO$23,L9-1,FALSE)</f>
        <v>214002591</v>
      </c>
      <c r="M27" s="142">
        <f>VLOOKUP($B$9,'Sales Forecast'!$B$7:$AO$23,M9-1,FALSE)</f>
        <v>201615601</v>
      </c>
      <c r="N27" s="142">
        <f>VLOOKUP($B$9,'Sales Forecast'!$B$7:$AO$23,N9-1,FALSE)</f>
        <v>207694974</v>
      </c>
    </row>
    <row r="28" spans="1:31" s="12" customFormat="1" ht="15.6">
      <c r="A28" s="111"/>
      <c r="B28" s="108" t="str">
        <f>"TEST - "&amp;MANUAL!$B$10</f>
        <v>TEST - 2017</v>
      </c>
      <c r="C28" s="142">
        <f>VLOOKUP($B$9,'Sales Forecast'!$B$7:$AO$23,C9+11,FALSE)</f>
        <v>214054843</v>
      </c>
      <c r="D28" s="142">
        <f>VLOOKUP($B$9,'Sales Forecast'!$B$7:$AO$23,D9+11,FALSE)</f>
        <v>188478613</v>
      </c>
      <c r="E28" s="142">
        <f>VLOOKUP($B$9,'Sales Forecast'!$B$7:$AO$23,E9+11,FALSE)</f>
        <v>192959738</v>
      </c>
      <c r="F28" s="142">
        <f>VLOOKUP($B$9,'Sales Forecast'!$B$7:$AO$23,F9+11,FALSE)</f>
        <v>194210797</v>
      </c>
      <c r="G28" s="142">
        <f>VLOOKUP($B$9,'Sales Forecast'!$B$7:$AO$23,G9+11,FALSE)</f>
        <v>207828810</v>
      </c>
      <c r="H28" s="142">
        <f>VLOOKUP($B$9,'Sales Forecast'!$B$7:$AO$23,H9+11,FALSE)</f>
        <v>219261907</v>
      </c>
      <c r="I28" s="142">
        <f>VLOOKUP($B$9,'Sales Forecast'!$B$7:$AO$23,I9+11,FALSE)</f>
        <v>226094447</v>
      </c>
      <c r="J28" s="142">
        <f>VLOOKUP($B$9,'Sales Forecast'!$B$7:$AO$23,J9+11,FALSE)</f>
        <v>228910099</v>
      </c>
      <c r="K28" s="142">
        <f>VLOOKUP($B$9,'Sales Forecast'!$B$7:$AO$23,K9+11,FALSE)</f>
        <v>222456184</v>
      </c>
      <c r="L28" s="142">
        <f>VLOOKUP($B$9,'Sales Forecast'!$B$7:$AO$23,L9+11,FALSE)</f>
        <v>213252955</v>
      </c>
      <c r="M28" s="142">
        <f>VLOOKUP($B$9,'Sales Forecast'!$B$7:$AO$23,M9+11,FALSE)</f>
        <v>201077831</v>
      </c>
      <c r="N28" s="142">
        <f>VLOOKUP($B$9,'Sales Forecast'!$B$7:$AO$23,N9+11,FALSE)</f>
        <v>206884701</v>
      </c>
    </row>
    <row r="29" spans="1:31">
      <c r="A29" s="114"/>
      <c r="B29" t="s">
        <v>1094</v>
      </c>
      <c r="C29" s="142">
        <f>VLOOKUP($B$9,'Sales Forecast'!$B$7:$AO$23,C9+23,FALSE)</f>
        <v>213349844</v>
      </c>
      <c r="D29" s="142">
        <f>VLOOKUP($B$9,'Sales Forecast'!$B$7:$AO$23,D9+23,FALSE)</f>
        <v>188241092</v>
      </c>
      <c r="E29" s="142">
        <f>VLOOKUP($B$9,'Sales Forecast'!$B$7:$AO$23,E9+23,FALSE)</f>
        <v>193060457</v>
      </c>
      <c r="F29" s="142">
        <f>VLOOKUP($B$9,'Sales Forecast'!$B$7:$AO$23,F9+23,FALSE)</f>
        <v>194555503</v>
      </c>
      <c r="G29" s="142">
        <f>VLOOKUP($B$9,'Sales Forecast'!$B$7:$AO$23,G9+23,FALSE)</f>
        <v>208135640</v>
      </c>
      <c r="H29" s="142">
        <f>VLOOKUP($B$9,'Sales Forecast'!$B$7:$AO$23,H9+23,FALSE)</f>
        <v>219534845</v>
      </c>
      <c r="I29" s="142">
        <f>VLOOKUP($B$9,'Sales Forecast'!$B$7:$AO$23,I9+23,FALSE)</f>
        <v>224959658</v>
      </c>
      <c r="J29" s="142">
        <f>VLOOKUP($B$9,'Sales Forecast'!$B$7:$AO$23,J9+23,FALSE)</f>
        <v>227679903</v>
      </c>
      <c r="K29" s="142">
        <f>VLOOKUP($B$9,'Sales Forecast'!$B$7:$AO$23,K9+23,FALSE)</f>
        <v>221058338</v>
      </c>
      <c r="L29" s="142">
        <f>VLOOKUP($B$9,'Sales Forecast'!$B$7:$AO$23,L9+23,FALSE)</f>
        <v>212178164</v>
      </c>
      <c r="M29" s="142">
        <f>VLOOKUP($B$9,'Sales Forecast'!$B$7:$AO$23,M9+23,FALSE)</f>
        <v>201348538</v>
      </c>
      <c r="N29" s="142">
        <f>VLOOKUP($B$9,'Sales Forecast'!$B$7:$AO$23,N9+23,FALSE)</f>
        <v>207329605</v>
      </c>
    </row>
    <row r="30" spans="1:31">
      <c r="A30" s="114"/>
      <c r="C30" s="142"/>
      <c r="D30" s="142"/>
      <c r="E30" s="142"/>
      <c r="F30" s="142"/>
      <c r="G30" s="142"/>
      <c r="H30" s="142"/>
      <c r="I30" s="142"/>
      <c r="J30" s="142"/>
      <c r="K30" s="142"/>
      <c r="L30" s="142"/>
      <c r="M30" s="142"/>
      <c r="N30" s="142"/>
    </row>
    <row r="31" spans="1:31" s="12" customFormat="1" ht="15.6">
      <c r="A31" s="113" t="s">
        <v>1248</v>
      </c>
      <c r="B31"/>
      <c r="C31" s="142"/>
      <c r="D31" s="142"/>
      <c r="E31" s="142"/>
      <c r="F31" s="142"/>
      <c r="G31" s="142"/>
      <c r="H31" s="142"/>
      <c r="I31" s="142"/>
      <c r="J31" s="142"/>
      <c r="K31" s="142"/>
      <c r="L31" s="142"/>
      <c r="M31" s="142"/>
      <c r="N31" s="142"/>
      <c r="S31" s="522"/>
      <c r="T31" s="523"/>
      <c r="U31" s="523"/>
      <c r="V31" s="523"/>
      <c r="W31" s="523"/>
      <c r="X31" s="523"/>
      <c r="Y31" s="523"/>
      <c r="Z31" s="523"/>
      <c r="AA31" s="523"/>
      <c r="AB31" s="523"/>
      <c r="AC31" s="523"/>
      <c r="AD31" s="523"/>
      <c r="AE31" s="523"/>
    </row>
    <row r="32" spans="1:31" s="12" customFormat="1">
      <c r="A32" s="114"/>
      <c r="B32" t="s">
        <v>1254</v>
      </c>
      <c r="C32" s="115">
        <v>0</v>
      </c>
      <c r="D32" s="115">
        <v>0</v>
      </c>
      <c r="E32" s="115">
        <v>0</v>
      </c>
      <c r="F32" s="115">
        <v>0</v>
      </c>
      <c r="G32" s="115">
        <v>0</v>
      </c>
      <c r="H32" s="115">
        <v>0</v>
      </c>
      <c r="I32" s="115">
        <v>0</v>
      </c>
      <c r="J32" s="115">
        <v>0</v>
      </c>
      <c r="K32" s="115">
        <v>0</v>
      </c>
      <c r="L32" s="115">
        <v>0</v>
      </c>
      <c r="M32" s="115">
        <v>0</v>
      </c>
      <c r="N32" s="115">
        <v>0</v>
      </c>
      <c r="S32" s="206"/>
      <c r="T32" s="523"/>
      <c r="U32" s="523"/>
      <c r="V32" s="523"/>
      <c r="W32" s="523"/>
      <c r="X32" s="523"/>
      <c r="Y32" s="523"/>
      <c r="Z32" s="523"/>
      <c r="AA32" s="523"/>
      <c r="AB32" s="523"/>
      <c r="AC32" s="523"/>
      <c r="AD32" s="523"/>
      <c r="AE32" s="523"/>
    </row>
    <row r="33" spans="1:31" s="12" customFormat="1">
      <c r="A33" s="114"/>
      <c r="B33" t="s">
        <v>1253</v>
      </c>
      <c r="C33" s="508">
        <v>0.32521</v>
      </c>
      <c r="D33" s="508">
        <v>0.32521</v>
      </c>
      <c r="E33" s="508">
        <v>0.32521</v>
      </c>
      <c r="F33" s="508">
        <v>0.32521</v>
      </c>
      <c r="G33" s="508">
        <v>0.32521</v>
      </c>
      <c r="H33" s="508">
        <v>0.32521</v>
      </c>
      <c r="I33" s="508">
        <v>0.32521</v>
      </c>
      <c r="J33" s="508">
        <v>0.32521</v>
      </c>
      <c r="K33" s="508">
        <v>0.32521</v>
      </c>
      <c r="L33" s="508">
        <v>0.32521</v>
      </c>
      <c r="M33" s="508">
        <v>0.32521</v>
      </c>
      <c r="N33" s="508">
        <v>0.32521</v>
      </c>
      <c r="S33" s="206"/>
      <c r="T33" s="523"/>
      <c r="U33" s="523"/>
      <c r="V33" s="523"/>
      <c r="W33" s="523"/>
      <c r="X33" s="523"/>
      <c r="Y33" s="523"/>
      <c r="Z33" s="523"/>
      <c r="AA33" s="523"/>
      <c r="AB33" s="523"/>
      <c r="AC33" s="523"/>
      <c r="AD33" s="523"/>
      <c r="AE33" s="523"/>
    </row>
    <row r="34" spans="1:31" s="12" customFormat="1">
      <c r="A34" s="114"/>
      <c r="B34" t="s">
        <v>1252</v>
      </c>
      <c r="C34" s="508">
        <v>0.67479</v>
      </c>
      <c r="D34" s="508">
        <v>0.67479</v>
      </c>
      <c r="E34" s="508">
        <v>0.67479</v>
      </c>
      <c r="F34" s="508">
        <v>0.67479</v>
      </c>
      <c r="G34" s="508">
        <v>0.67479</v>
      </c>
      <c r="H34" s="508">
        <v>0.67479</v>
      </c>
      <c r="I34" s="508">
        <v>0.67479</v>
      </c>
      <c r="J34" s="508">
        <v>0.67479</v>
      </c>
      <c r="K34" s="508">
        <v>0.67479</v>
      </c>
      <c r="L34" s="508">
        <v>0.67479</v>
      </c>
      <c r="M34" s="508">
        <v>0.67479</v>
      </c>
      <c r="N34" s="508">
        <v>0.67479</v>
      </c>
      <c r="S34" s="206"/>
      <c r="T34" s="523"/>
      <c r="U34" s="523"/>
      <c r="V34" s="523"/>
      <c r="W34" s="523"/>
      <c r="X34" s="523"/>
      <c r="Y34" s="523"/>
      <c r="Z34" s="523"/>
      <c r="AA34" s="523"/>
      <c r="AB34" s="523"/>
      <c r="AC34" s="523"/>
      <c r="AD34" s="523"/>
      <c r="AE34" s="523"/>
    </row>
    <row r="35" spans="1:31" s="12" customFormat="1" ht="15.6">
      <c r="A35" s="114"/>
      <c r="B35" s="513">
        <v>2017</v>
      </c>
      <c r="C35" s="508"/>
      <c r="D35" s="508"/>
      <c r="E35" s="508"/>
      <c r="F35" s="508"/>
      <c r="G35" s="508"/>
      <c r="H35" s="508"/>
      <c r="I35" s="508"/>
      <c r="J35" s="508"/>
      <c r="K35" s="508"/>
      <c r="L35" s="508"/>
      <c r="M35" s="508"/>
      <c r="N35" s="508"/>
      <c r="S35" s="206"/>
      <c r="T35" s="523"/>
      <c r="U35" s="523"/>
      <c r="V35" s="523"/>
      <c r="W35" s="523"/>
      <c r="X35" s="523"/>
      <c r="Y35" s="523"/>
      <c r="Z35" s="523"/>
      <c r="AA35" s="523"/>
      <c r="AB35" s="523"/>
      <c r="AC35" s="523"/>
      <c r="AD35" s="523"/>
      <c r="AE35" s="523"/>
    </row>
    <row r="36" spans="1:31"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c r="S36" s="206"/>
      <c r="T36" s="524"/>
      <c r="U36" s="524"/>
      <c r="V36" s="524"/>
      <c r="W36" s="524"/>
      <c r="X36" s="524"/>
      <c r="Y36" s="524"/>
      <c r="Z36" s="524"/>
      <c r="AA36" s="524"/>
      <c r="AB36" s="524"/>
      <c r="AC36" s="524"/>
      <c r="AD36" s="524"/>
      <c r="AE36" s="524"/>
    </row>
    <row r="37" spans="1:31"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c r="S37" s="206"/>
      <c r="T37" s="524"/>
      <c r="U37" s="524"/>
      <c r="V37" s="524"/>
      <c r="W37" s="524"/>
      <c r="X37" s="524"/>
      <c r="Y37" s="524"/>
      <c r="Z37" s="524"/>
      <c r="AA37" s="524"/>
      <c r="AB37" s="524"/>
      <c r="AC37" s="524"/>
      <c r="AD37" s="524"/>
      <c r="AE37" s="524"/>
    </row>
    <row r="38" spans="1:31"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s="508"/>
      <c r="S38" s="206"/>
      <c r="T38" s="524"/>
      <c r="U38" s="524"/>
      <c r="V38" s="524"/>
      <c r="W38" s="524"/>
      <c r="X38" s="524"/>
      <c r="Y38" s="524"/>
      <c r="Z38" s="524"/>
      <c r="AA38" s="524"/>
      <c r="AB38" s="524"/>
      <c r="AC38" s="524"/>
      <c r="AD38" s="524"/>
      <c r="AE38" s="524"/>
    </row>
    <row r="39" spans="1:31" s="12" customFormat="1">
      <c r="A39" s="114"/>
      <c r="B39" t="s">
        <v>1255</v>
      </c>
      <c r="C39" s="107">
        <f>(+C$28/C$19/C13)+C23</f>
        <v>278901.93507768557</v>
      </c>
      <c r="D39" s="107">
        <f t="shared" ref="D39:N39" si="0">(+D$28/D$19/D13)+D23</f>
        <v>339693.66785886983</v>
      </c>
      <c r="E39" s="107">
        <f t="shared" si="0"/>
        <v>275155.88061119535</v>
      </c>
      <c r="F39" s="107">
        <f t="shared" si="0"/>
        <v>295234.24246101017</v>
      </c>
      <c r="G39" s="107">
        <f t="shared" si="0"/>
        <v>302563.96259741078</v>
      </c>
      <c r="H39" s="107">
        <f t="shared" si="0"/>
        <v>318130.30136798235</v>
      </c>
      <c r="I39" s="107">
        <f t="shared" si="0"/>
        <v>323393.23798010859</v>
      </c>
      <c r="J39" s="107">
        <f t="shared" si="0"/>
        <v>317635.18896526401</v>
      </c>
      <c r="K39" s="107">
        <f t="shared" si="0"/>
        <v>324705.47800654633</v>
      </c>
      <c r="L39" s="107">
        <f t="shared" si="0"/>
        <v>319041.51143683092</v>
      </c>
      <c r="M39" s="107">
        <f t="shared" si="0"/>
        <v>337012.61701899074</v>
      </c>
      <c r="N39" s="107">
        <f t="shared" si="0"/>
        <v>320142.85779863549</v>
      </c>
      <c r="R39"/>
      <c r="S39" s="206"/>
      <c r="T39" s="523"/>
      <c r="U39" s="523"/>
      <c r="V39" s="523"/>
      <c r="W39" s="523"/>
      <c r="X39" s="523"/>
      <c r="Y39" s="523"/>
      <c r="Z39" s="523"/>
      <c r="AA39" s="523"/>
      <c r="AB39" s="523"/>
      <c r="AC39" s="523"/>
      <c r="AD39" s="523"/>
      <c r="AE39" s="523"/>
    </row>
    <row r="40" spans="1:31" s="12" customFormat="1">
      <c r="A40" s="114"/>
      <c r="B40" t="s">
        <v>1256</v>
      </c>
      <c r="C40" s="107">
        <f t="shared" ref="C40:N40" si="1">(C39*C32*C36)+(C39*C33*C37)+(C39*C34*C38)</f>
        <v>294182.44529491343</v>
      </c>
      <c r="D40" s="107">
        <f t="shared" si="1"/>
        <v>358304.84228833101</v>
      </c>
      <c r="E40" s="107">
        <f t="shared" si="1"/>
        <v>290231.15157996281</v>
      </c>
      <c r="F40" s="107">
        <f t="shared" si="1"/>
        <v>311409.56895038858</v>
      </c>
      <c r="G40" s="107">
        <f t="shared" si="1"/>
        <v>319140.87060827448</v>
      </c>
      <c r="H40" s="107">
        <f t="shared" si="1"/>
        <v>335560.05967750854</v>
      </c>
      <c r="I40" s="107">
        <f t="shared" si="1"/>
        <v>341111.34264568216</v>
      </c>
      <c r="J40" s="107">
        <f t="shared" si="1"/>
        <v>335037.82100144145</v>
      </c>
      <c r="K40" s="107">
        <f t="shared" si="1"/>
        <v>342495.47782453557</v>
      </c>
      <c r="L40" s="107">
        <f t="shared" si="1"/>
        <v>336521.19322488445</v>
      </c>
      <c r="M40" s="107">
        <f t="shared" si="1"/>
        <v>355476.90173705475</v>
      </c>
      <c r="N40" s="107">
        <f t="shared" si="1"/>
        <v>337682.88027356728</v>
      </c>
      <c r="R40"/>
    </row>
    <row r="41" spans="1:31"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c r="T41" s="95"/>
      <c r="U41" s="95"/>
      <c r="V41" s="95"/>
      <c r="W41" s="95"/>
      <c r="X41" s="95"/>
      <c r="Y41" s="95"/>
      <c r="Z41" s="95"/>
      <c r="AA41" s="95"/>
      <c r="AB41" s="95"/>
      <c r="AC41" s="95"/>
      <c r="AD41" s="95"/>
      <c r="AE41" s="95"/>
    </row>
    <row r="42" spans="1:31"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R42"/>
      <c r="T42" s="544"/>
      <c r="U42" s="544"/>
      <c r="V42" s="544"/>
      <c r="W42" s="544"/>
      <c r="X42" s="544"/>
      <c r="Y42" s="544"/>
      <c r="Z42" s="544"/>
      <c r="AA42" s="544"/>
      <c r="AB42" s="544"/>
      <c r="AC42" s="544"/>
      <c r="AD42" s="544"/>
      <c r="AE42" s="544"/>
    </row>
    <row r="43" spans="1:31" s="12" customFormat="1">
      <c r="A43" s="114"/>
      <c r="B43" t="s">
        <v>1259</v>
      </c>
      <c r="C43" s="235">
        <f>C40*C42/C41</f>
        <v>27091.987277033346</v>
      </c>
      <c r="D43" s="235">
        <f>D40*D42/D41</f>
        <v>2467.3847930708357</v>
      </c>
      <c r="E43" s="235">
        <f t="shared" ref="E43:N43" si="2">E40*E42/E41</f>
        <v>34513.150934823469</v>
      </c>
      <c r="F43" s="235">
        <f t="shared" si="2"/>
        <v>24933.069287855884</v>
      </c>
      <c r="G43" s="235">
        <f t="shared" si="2"/>
        <v>31989.680829363842</v>
      </c>
      <c r="H43" s="235">
        <f t="shared" si="2"/>
        <v>17297.968616545051</v>
      </c>
      <c r="I43" s="235">
        <f t="shared" si="2"/>
        <v>21791.782304988381</v>
      </c>
      <c r="J43" s="235">
        <f t="shared" si="2"/>
        <v>32606.363433207654</v>
      </c>
      <c r="K43" s="235">
        <f t="shared" si="2"/>
        <v>3209.6419519858746</v>
      </c>
      <c r="L43" s="235">
        <f t="shared" si="2"/>
        <v>6699.6662841317429</v>
      </c>
      <c r="M43" s="235">
        <f t="shared" si="2"/>
        <v>-7371.4388655923758</v>
      </c>
      <c r="N43" s="235">
        <f t="shared" si="2"/>
        <v>8784.6485760081268</v>
      </c>
      <c r="R43"/>
      <c r="T43" s="544"/>
      <c r="U43" s="544"/>
      <c r="V43" s="544"/>
      <c r="W43" s="544"/>
      <c r="X43" s="544"/>
      <c r="Y43" s="544"/>
      <c r="Z43" s="544"/>
      <c r="AA43" s="544"/>
      <c r="AB43" s="544"/>
      <c r="AC43" s="544"/>
      <c r="AD43" s="544"/>
      <c r="AE43" s="544"/>
    </row>
    <row r="44" spans="1:31" s="12" customFormat="1">
      <c r="A44" s="114"/>
      <c r="B44" t="s">
        <v>1260</v>
      </c>
      <c r="C44" s="235">
        <f t="shared" ref="C44:N44" si="3">((C43*C32)/C36)+((C43*C33)/C37)+((C43*C34)/C38)</f>
        <v>25689.246964351169</v>
      </c>
      <c r="D44" s="235">
        <f>((D43*D32)/D36)+((D43*D33)/D37)+((D43*D34)/D38)</f>
        <v>2339.6311483954778</v>
      </c>
      <c r="E44" s="235">
        <f t="shared" si="3"/>
        <v>32726.165445759601</v>
      </c>
      <c r="F44" s="235">
        <f t="shared" si="3"/>
        <v>23642.111151365749</v>
      </c>
      <c r="G44" s="235">
        <f t="shared" si="3"/>
        <v>30333.352911063615</v>
      </c>
      <c r="H44" s="235">
        <f t="shared" si="3"/>
        <v>16402.332661241446</v>
      </c>
      <c r="I44" s="235">
        <f t="shared" si="3"/>
        <v>20663.470409230373</v>
      </c>
      <c r="J44" s="235">
        <f t="shared" si="3"/>
        <v>30918.10557415794</v>
      </c>
      <c r="K44" s="235">
        <f t="shared" si="3"/>
        <v>3043.4564998340043</v>
      </c>
      <c r="L44" s="235">
        <f t="shared" si="3"/>
        <v>6352.778036984364</v>
      </c>
      <c r="M44" s="235">
        <f t="shared" si="3"/>
        <v>-6989.7682870001472</v>
      </c>
      <c r="N44" s="235">
        <f t="shared" si="3"/>
        <v>8329.8063171399899</v>
      </c>
      <c r="R44"/>
      <c r="T44" s="544"/>
      <c r="U44" s="544"/>
      <c r="V44" s="544"/>
      <c r="W44" s="544"/>
      <c r="X44" s="544"/>
      <c r="Y44" s="544"/>
      <c r="Z44" s="544"/>
      <c r="AA44" s="544"/>
      <c r="AB44" s="544"/>
      <c r="AC44" s="544"/>
      <c r="AD44" s="544"/>
      <c r="AE44" s="544"/>
    </row>
    <row r="45" spans="1:31" s="12" customFormat="1" ht="15.6">
      <c r="A45" s="114"/>
      <c r="B45" s="513">
        <v>2018</v>
      </c>
      <c r="C45" s="235"/>
      <c r="D45" s="235"/>
      <c r="E45" s="235"/>
      <c r="F45" s="235"/>
      <c r="G45" s="235"/>
      <c r="H45" s="235"/>
      <c r="I45" s="235"/>
      <c r="J45" s="235"/>
      <c r="K45" s="235"/>
      <c r="L45" s="235"/>
      <c r="M45" s="235"/>
      <c r="N45" s="235"/>
      <c r="R45"/>
      <c r="T45" s="551"/>
      <c r="U45" s="551"/>
      <c r="V45" s="551"/>
      <c r="W45" s="551"/>
      <c r="X45" s="551"/>
      <c r="Y45" s="551"/>
      <c r="Z45" s="551"/>
      <c r="AA45" s="551"/>
      <c r="AB45" s="551"/>
      <c r="AC45" s="551"/>
      <c r="AD45" s="551"/>
      <c r="AE45" s="551"/>
    </row>
    <row r="46" spans="1:31"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c r="T46" s="551"/>
      <c r="U46" s="551"/>
      <c r="V46" s="551"/>
      <c r="W46" s="551"/>
      <c r="X46" s="551"/>
      <c r="Y46" s="551"/>
      <c r="Z46" s="551"/>
      <c r="AA46" s="551"/>
      <c r="AB46" s="551"/>
      <c r="AC46" s="551"/>
      <c r="AD46" s="551"/>
      <c r="AE46" s="551"/>
    </row>
    <row r="47" spans="1:31"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c r="T47" s="551"/>
      <c r="U47" s="551"/>
      <c r="V47" s="551"/>
      <c r="W47" s="551"/>
      <c r="X47" s="551"/>
      <c r="Y47" s="551"/>
      <c r="Z47" s="551"/>
      <c r="AA47" s="551"/>
      <c r="AB47" s="551"/>
      <c r="AC47" s="551"/>
      <c r="AD47" s="551"/>
      <c r="AE47" s="551"/>
    </row>
    <row r="48" spans="1:31" s="12" customFormat="1">
      <c r="A48" s="114"/>
      <c r="B48" t="s">
        <v>1251</v>
      </c>
      <c r="C48">
        <v>1.06467</v>
      </c>
      <c r="D48">
        <v>1.06467</v>
      </c>
      <c r="E48">
        <v>1.06467</v>
      </c>
      <c r="F48">
        <v>1.06467</v>
      </c>
      <c r="G48">
        <v>1.06467</v>
      </c>
      <c r="H48">
        <v>1.06467</v>
      </c>
      <c r="I48">
        <v>1.06467</v>
      </c>
      <c r="J48">
        <v>1.06467</v>
      </c>
      <c r="K48">
        <v>1.06467</v>
      </c>
      <c r="L48">
        <v>1.06467</v>
      </c>
      <c r="M48">
        <v>1.06467</v>
      </c>
      <c r="N48">
        <v>1.06467</v>
      </c>
      <c r="R48"/>
    </row>
    <row r="49" spans="1:32" s="12" customFormat="1">
      <c r="A49" s="114"/>
      <c r="B49" t="s">
        <v>1255</v>
      </c>
      <c r="C49" s="235">
        <f>(+C$29/C$20/C13)+C23</f>
        <v>277983.35933993489</v>
      </c>
      <c r="D49" s="235">
        <f t="shared" ref="D49:N49" si="4">(+D$29/D$20/D13)+D23</f>
        <v>339265.58544464118</v>
      </c>
      <c r="E49" s="235">
        <f t="shared" si="4"/>
        <v>275299.5034489258</v>
      </c>
      <c r="F49" s="235">
        <f t="shared" si="4"/>
        <v>295758.25562790822</v>
      </c>
      <c r="G49" s="235">
        <f t="shared" si="4"/>
        <v>303010.65572260239</v>
      </c>
      <c r="H49" s="235">
        <f t="shared" si="4"/>
        <v>318526.31109617819</v>
      </c>
      <c r="I49" s="235">
        <f t="shared" si="4"/>
        <v>321770.09732361027</v>
      </c>
      <c r="J49" s="235">
        <f t="shared" si="4"/>
        <v>315928.17149145511</v>
      </c>
      <c r="K49" s="235">
        <f t="shared" si="4"/>
        <v>322665.12900186534</v>
      </c>
      <c r="L49" s="235">
        <f t="shared" si="4"/>
        <v>317433.54804369196</v>
      </c>
      <c r="M49" s="235">
        <f t="shared" si="4"/>
        <v>337466.33026058297</v>
      </c>
      <c r="N49" s="235">
        <f t="shared" si="4"/>
        <v>320831.32261656347</v>
      </c>
      <c r="R49"/>
    </row>
    <row r="50" spans="1:32" s="12" customFormat="1">
      <c r="A50" s="114"/>
      <c r="B50" t="s">
        <v>1256</v>
      </c>
      <c r="C50" s="107">
        <v>293265</v>
      </c>
      <c r="D50" s="107">
        <v>357917</v>
      </c>
      <c r="E50" s="107">
        <v>290434</v>
      </c>
      <c r="F50" s="107">
        <v>312017</v>
      </c>
      <c r="G50" s="107">
        <v>319669</v>
      </c>
      <c r="H50" s="107">
        <v>336037</v>
      </c>
      <c r="I50" s="107">
        <v>339459</v>
      </c>
      <c r="J50" s="107">
        <v>333296</v>
      </c>
      <c r="K50" s="107">
        <v>340404</v>
      </c>
      <c r="L50" s="107">
        <v>334884</v>
      </c>
      <c r="M50" s="107">
        <v>356018</v>
      </c>
      <c r="N50" s="107">
        <f t="shared" ref="N50" si="5">(N49*N32*N46)+(N49*N33*N47)+(N49*N34*N48)</f>
        <v>338469.18175267399</v>
      </c>
      <c r="R50"/>
      <c r="T50" s="522"/>
      <c r="U50" s="523"/>
      <c r="V50" s="523"/>
      <c r="W50" s="523"/>
      <c r="X50" s="523"/>
      <c r="Y50" s="523"/>
      <c r="Z50" s="523"/>
      <c r="AA50" s="523"/>
      <c r="AB50" s="523"/>
      <c r="AC50" s="523"/>
      <c r="AD50" s="523"/>
      <c r="AE50" s="523"/>
      <c r="AF50" s="523"/>
    </row>
    <row r="51" spans="1:32"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c r="T51" s="206"/>
      <c r="U51" s="523"/>
      <c r="V51" s="523"/>
      <c r="W51" s="523"/>
      <c r="X51" s="523"/>
      <c r="Y51" s="523"/>
      <c r="Z51" s="523"/>
      <c r="AA51" s="523"/>
      <c r="AB51" s="523"/>
      <c r="AC51" s="523"/>
      <c r="AD51" s="523"/>
      <c r="AE51" s="523"/>
      <c r="AF51" s="523"/>
    </row>
    <row r="52" spans="1:32"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c r="T52" s="206"/>
      <c r="U52" s="523"/>
      <c r="V52" s="523"/>
      <c r="W52" s="523"/>
      <c r="X52" s="523"/>
      <c r="Y52" s="523"/>
      <c r="Z52" s="523"/>
      <c r="AA52" s="523"/>
      <c r="AB52" s="523"/>
      <c r="AC52" s="523"/>
      <c r="AD52" s="523"/>
      <c r="AE52" s="523"/>
      <c r="AF52" s="523"/>
    </row>
    <row r="53" spans="1:32" s="12" customFormat="1">
      <c r="A53" s="114"/>
      <c r="B53" t="s">
        <v>1259</v>
      </c>
      <c r="C53" s="235">
        <f>C50*C52/C51</f>
        <v>29895.045841414048</v>
      </c>
      <c r="D53" s="235">
        <f t="shared" ref="D53:N53" si="6">D50*D52/D51</f>
        <v>5573.0322829447932</v>
      </c>
      <c r="E53" s="235">
        <f t="shared" si="6"/>
        <v>36551.011114671492</v>
      </c>
      <c r="F53" s="235">
        <f t="shared" si="6"/>
        <v>26309.302531367342</v>
      </c>
      <c r="G53" s="235">
        <f t="shared" si="6"/>
        <v>33382.343782810422</v>
      </c>
      <c r="H53" s="235">
        <f t="shared" si="6"/>
        <v>18990.687765065257</v>
      </c>
      <c r="I53" s="235">
        <f t="shared" si="6"/>
        <v>23571.310280345639</v>
      </c>
      <c r="J53" s="235">
        <f t="shared" si="6"/>
        <v>35158.747877130656</v>
      </c>
      <c r="K53" s="235">
        <f t="shared" si="6"/>
        <v>5098.7013670336391</v>
      </c>
      <c r="L53" s="235">
        <f t="shared" si="6"/>
        <v>8554.0912614663157</v>
      </c>
      <c r="M53" s="235">
        <f t="shared" si="6"/>
        <v>-5704.2743212875293</v>
      </c>
      <c r="N53" s="235">
        <f t="shared" si="6"/>
        <v>10084.741493476175</v>
      </c>
      <c r="R53"/>
      <c r="T53" s="206"/>
      <c r="U53" s="523"/>
      <c r="V53" s="523"/>
      <c r="W53" s="523"/>
      <c r="X53" s="523"/>
      <c r="Y53" s="523"/>
      <c r="Z53" s="523"/>
      <c r="AA53" s="523"/>
      <c r="AB53" s="523"/>
      <c r="AC53" s="523"/>
      <c r="AD53" s="523"/>
      <c r="AE53" s="523"/>
      <c r="AF53" s="523"/>
    </row>
    <row r="54" spans="1:32" s="12" customFormat="1">
      <c r="A54" s="114"/>
      <c r="B54" t="s">
        <v>1260</v>
      </c>
      <c r="C54" s="235">
        <f>((C53*C32)/C46)+((C53*C33)/C47)+((C53*C34)/C48)</f>
        <v>28342.210210088007</v>
      </c>
      <c r="D54" s="235">
        <f t="shared" ref="D54:N54" si="7">((D53*D32)/D46)+((D53*D33)/D47)+((D53*D34)/D48)</f>
        <v>5283.552776895719</v>
      </c>
      <c r="E54" s="235">
        <f t="shared" si="7"/>
        <v>34652.445288047849</v>
      </c>
      <c r="F54" s="235">
        <f t="shared" si="7"/>
        <v>24942.720836769375</v>
      </c>
      <c r="G54" s="235">
        <f t="shared" si="7"/>
        <v>31648.367753534287</v>
      </c>
      <c r="H54" s="235">
        <f t="shared" si="7"/>
        <v>18004.256207762584</v>
      </c>
      <c r="I54" s="235">
        <f t="shared" si="7"/>
        <v>22346.947866769518</v>
      </c>
      <c r="J54" s="235">
        <f t="shared" si="7"/>
        <v>33332.500252489626</v>
      </c>
      <c r="K54" s="235">
        <f t="shared" si="7"/>
        <v>4833.8599883576962</v>
      </c>
      <c r="L54" s="235">
        <f t="shared" si="7"/>
        <v>8109.7668816047426</v>
      </c>
      <c r="M54" s="235">
        <f t="shared" si="7"/>
        <v>-5407.9777220469095</v>
      </c>
      <c r="N54" s="235">
        <f t="shared" si="7"/>
        <v>9560.9106886380032</v>
      </c>
      <c r="R54"/>
      <c r="T54" s="206"/>
      <c r="U54" s="523"/>
      <c r="V54" s="523"/>
      <c r="W54" s="523"/>
      <c r="X54" s="523"/>
      <c r="Y54" s="523"/>
      <c r="Z54" s="523"/>
      <c r="AA54" s="523"/>
      <c r="AB54" s="523"/>
      <c r="AC54" s="523"/>
      <c r="AD54" s="523"/>
      <c r="AE54" s="523"/>
      <c r="AF54" s="523"/>
    </row>
    <row r="55" spans="1:32">
      <c r="A55" s="114"/>
      <c r="R55" s="508"/>
      <c r="T55" s="206"/>
      <c r="U55" s="524"/>
      <c r="V55" s="524"/>
      <c r="W55" s="524"/>
      <c r="X55" s="524"/>
      <c r="Y55" s="524"/>
      <c r="Z55" s="524"/>
      <c r="AA55" s="524"/>
      <c r="AB55" s="524"/>
      <c r="AC55" s="524"/>
      <c r="AD55" s="524"/>
      <c r="AE55" s="524"/>
      <c r="AF55" s="524"/>
    </row>
    <row r="56" spans="1:32" ht="17.399999999999999">
      <c r="A56" s="147" t="s">
        <v>425</v>
      </c>
      <c r="T56" s="206"/>
      <c r="U56" s="524"/>
      <c r="V56" s="524"/>
      <c r="W56" s="524"/>
      <c r="X56" s="524"/>
      <c r="Y56" s="524"/>
      <c r="Z56" s="524"/>
      <c r="AA56" s="524"/>
      <c r="AB56" s="524"/>
      <c r="AC56" s="524"/>
      <c r="AD56" s="524"/>
      <c r="AE56" s="524"/>
      <c r="AF56" s="524"/>
    </row>
    <row r="57" spans="1:32" ht="15.6">
      <c r="A57" s="113"/>
      <c r="B57" s="146" t="str">
        <f>"PRIOR - "&amp;MANUAL!$B$9</f>
        <v>PRIOR - 2016</v>
      </c>
      <c r="C57" s="5"/>
      <c r="D57" s="5"/>
      <c r="E57" s="5"/>
      <c r="F57" s="5"/>
      <c r="G57" s="5"/>
      <c r="H57" s="5"/>
      <c r="I57" s="5"/>
      <c r="J57" s="5"/>
      <c r="K57" s="5"/>
      <c r="L57" s="5"/>
      <c r="M57" s="5"/>
      <c r="N57" s="5"/>
      <c r="T57" s="206"/>
      <c r="U57" s="524"/>
      <c r="V57" s="524"/>
      <c r="W57" s="524"/>
      <c r="X57" s="524"/>
      <c r="Y57" s="524"/>
      <c r="Z57" s="524"/>
      <c r="AA57" s="524"/>
      <c r="AB57" s="524"/>
      <c r="AC57" s="524"/>
      <c r="AD57" s="524"/>
      <c r="AE57" s="524"/>
      <c r="AF57" s="524"/>
    </row>
    <row r="58" spans="1:32" s="12" customFormat="1" ht="15.6">
      <c r="A58" s="111"/>
      <c r="B58" s="149" t="s">
        <v>432</v>
      </c>
      <c r="C58" s="107">
        <f t="shared" ref="C58:N58" si="8">MIN((+C$27/C$18/C13)+C23,C59)</f>
        <v>274233.81255131058</v>
      </c>
      <c r="D58" s="107">
        <f t="shared" si="8"/>
        <v>324585.25838294998</v>
      </c>
      <c r="E58" s="107">
        <f t="shared" si="8"/>
        <v>272616.02696433489</v>
      </c>
      <c r="F58" s="107">
        <f t="shared" si="8"/>
        <v>292754.72281176876</v>
      </c>
      <c r="G58" s="107">
        <f t="shared" si="8"/>
        <v>301135.56367963692</v>
      </c>
      <c r="H58" s="107">
        <f t="shared" si="8"/>
        <v>316514.04634749366</v>
      </c>
      <c r="I58" s="107">
        <f t="shared" si="8"/>
        <v>320156.65870253264</v>
      </c>
      <c r="J58" s="107">
        <f t="shared" si="8"/>
        <v>314295.6666411031</v>
      </c>
      <c r="K58" s="107">
        <f t="shared" si="8"/>
        <v>323165.94974180602</v>
      </c>
      <c r="L58" s="107">
        <f t="shared" si="8"/>
        <v>320163.01994051121</v>
      </c>
      <c r="M58" s="107">
        <f t="shared" si="8"/>
        <v>337913.93604631949</v>
      </c>
      <c r="N58" s="107">
        <f t="shared" si="8"/>
        <v>321396.71133426781</v>
      </c>
      <c r="P58" s="152">
        <f>AVERAGE(C58:N58)</f>
        <v>309910.94776200294</v>
      </c>
      <c r="R58" s="509"/>
      <c r="T58" s="206"/>
      <c r="U58" s="523"/>
      <c r="V58" s="523"/>
      <c r="W58" s="523"/>
      <c r="X58" s="523"/>
      <c r="Y58" s="523"/>
      <c r="Z58" s="523"/>
      <c r="AA58" s="523"/>
      <c r="AB58" s="523"/>
      <c r="AC58" s="523"/>
      <c r="AD58" s="523"/>
      <c r="AE58" s="523"/>
      <c r="AF58" s="523"/>
    </row>
    <row r="59" spans="1:32" s="12" customFormat="1" ht="15.6">
      <c r="A59" s="111"/>
      <c r="B59" s="149" t="s">
        <v>430</v>
      </c>
      <c r="C59" s="107">
        <f t="shared" ref="C59:N59" si="9">MIN(+C$27/C$18/C14,C60)</f>
        <v>358780.27182490664</v>
      </c>
      <c r="D59" s="107">
        <f t="shared" si="9"/>
        <v>336902.2495589641</v>
      </c>
      <c r="E59" s="107">
        <f t="shared" si="9"/>
        <v>323989.98201791767</v>
      </c>
      <c r="F59" s="107">
        <f t="shared" si="9"/>
        <v>331472.56921941409</v>
      </c>
      <c r="G59" s="107">
        <f t="shared" si="9"/>
        <v>336332.8253484022</v>
      </c>
      <c r="H59" s="107">
        <f t="shared" si="9"/>
        <v>349633.67796764756</v>
      </c>
      <c r="I59" s="107">
        <f t="shared" si="9"/>
        <v>354272.19587428332</v>
      </c>
      <c r="J59" s="107">
        <f t="shared" si="9"/>
        <v>349847.48983459972</v>
      </c>
      <c r="K59" s="107">
        <f t="shared" si="9"/>
        <v>367267.64958958019</v>
      </c>
      <c r="L59" s="107">
        <f t="shared" si="9"/>
        <v>348918.18222662574</v>
      </c>
      <c r="M59" s="107">
        <f t="shared" si="9"/>
        <v>361219.46483301284</v>
      </c>
      <c r="N59" s="107">
        <f t="shared" si="9"/>
        <v>359600.91844684788</v>
      </c>
      <c r="P59" s="152">
        <f>AVERAGE(C59:N59)</f>
        <v>348186.45639518346</v>
      </c>
    </row>
    <row r="60" spans="1:32" s="106" customFormat="1">
      <c r="A60" s="109"/>
      <c r="B60" s="149" t="s">
        <v>133</v>
      </c>
      <c r="C60" s="107">
        <f t="shared" ref="C60:N60" si="10">+C$27/C$18/C15</f>
        <v>443206.55806448543</v>
      </c>
      <c r="D60" s="107">
        <f t="shared" si="10"/>
        <v>417594.15614291467</v>
      </c>
      <c r="E60" s="107">
        <f t="shared" si="10"/>
        <v>402827.38503525796</v>
      </c>
      <c r="F60" s="107">
        <f t="shared" si="10"/>
        <v>410699.9199473515</v>
      </c>
      <c r="G60" s="107">
        <f t="shared" si="10"/>
        <v>419217.19838487863</v>
      </c>
      <c r="H60" s="107">
        <f t="shared" si="10"/>
        <v>434917.06197134714</v>
      </c>
      <c r="I60" s="107">
        <f t="shared" si="10"/>
        <v>442108.0114029618</v>
      </c>
      <c r="J60" s="107">
        <f t="shared" si="10"/>
        <v>437328.6236678444</v>
      </c>
      <c r="K60" s="107">
        <f t="shared" si="10"/>
        <v>458553.90741364477</v>
      </c>
      <c r="L60" s="107">
        <f t="shared" si="10"/>
        <v>439392.40734356863</v>
      </c>
      <c r="M60" s="107">
        <f t="shared" si="10"/>
        <v>442887.55636423564</v>
      </c>
      <c r="N60" s="107">
        <f t="shared" si="10"/>
        <v>443493.86154914979</v>
      </c>
      <c r="P60" s="152">
        <f>AVERAGE(C60:N60)</f>
        <v>432685.55394063675</v>
      </c>
    </row>
    <row r="61" spans="1:32" s="106" customFormat="1" ht="16.5" customHeight="1">
      <c r="A61" s="109"/>
      <c r="B61" s="108"/>
      <c r="C61" s="107"/>
      <c r="D61" s="107"/>
      <c r="E61" s="107"/>
      <c r="F61" s="107"/>
      <c r="G61" s="107"/>
      <c r="H61" s="107"/>
      <c r="I61" s="107"/>
      <c r="J61" s="107"/>
      <c r="K61" s="107"/>
      <c r="L61" s="107"/>
      <c r="M61" s="107"/>
      <c r="N61" s="107"/>
    </row>
    <row r="62" spans="1:32" s="106" customFormat="1" ht="16.5" customHeight="1">
      <c r="A62" s="109"/>
      <c r="B62" s="146" t="str">
        <f>"TEST - "&amp;MANUAL!$B$10</f>
        <v>TEST - 2017</v>
      </c>
      <c r="C62" s="107"/>
      <c r="D62" s="107"/>
      <c r="E62" s="107"/>
      <c r="F62" s="107"/>
      <c r="G62" s="107"/>
      <c r="H62" s="107"/>
      <c r="I62" s="107"/>
      <c r="J62" s="107"/>
      <c r="K62" s="107"/>
      <c r="L62" s="107"/>
      <c r="M62" s="107"/>
      <c r="N62" s="107"/>
    </row>
    <row r="63" spans="1:32" s="106" customFormat="1" ht="16.5" customHeight="1">
      <c r="A63" s="109"/>
      <c r="B63" s="149" t="s">
        <v>432</v>
      </c>
      <c r="C63" s="107">
        <f>C39+C44</f>
        <v>304591.18204203673</v>
      </c>
      <c r="D63" s="107">
        <f t="shared" ref="D63:N63" si="11">D39+D44</f>
        <v>342033.2990072653</v>
      </c>
      <c r="E63" s="107">
        <f t="shared" si="11"/>
        <v>307882.04605695495</v>
      </c>
      <c r="F63" s="107">
        <f t="shared" si="11"/>
        <v>318876.35361237591</v>
      </c>
      <c r="G63" s="107">
        <f t="shared" si="11"/>
        <v>332897.31550847436</v>
      </c>
      <c r="H63" s="107">
        <f t="shared" si="11"/>
        <v>334532.63402922382</v>
      </c>
      <c r="I63" s="107">
        <f t="shared" si="11"/>
        <v>344056.70838933898</v>
      </c>
      <c r="J63" s="107">
        <f t="shared" si="11"/>
        <v>348553.29453942197</v>
      </c>
      <c r="K63" s="107">
        <f t="shared" si="11"/>
        <v>327748.93450638035</v>
      </c>
      <c r="L63" s="107">
        <f t="shared" si="11"/>
        <v>325394.2894738153</v>
      </c>
      <c r="M63" s="107">
        <f t="shared" si="11"/>
        <v>330022.84873199061</v>
      </c>
      <c r="N63" s="107">
        <f t="shared" si="11"/>
        <v>328472.66411577549</v>
      </c>
      <c r="P63" s="152">
        <f>AVERAGE(C63:N63)</f>
        <v>328755.13083442108</v>
      </c>
    </row>
    <row r="64" spans="1:32" s="106" customFormat="1" ht="16.5" customHeight="1">
      <c r="A64" s="109"/>
      <c r="B64" s="149" t="s">
        <v>430</v>
      </c>
      <c r="C64" s="107">
        <f>MAX(+C$28/C$19/C14,C63)</f>
        <v>364887.57950277161</v>
      </c>
      <c r="D64" s="107">
        <f t="shared" ref="D64:N65" si="12">MAX(+D$28/D$19/D14,D63)</f>
        <v>352583.97572562215</v>
      </c>
      <c r="E64" s="107">
        <f t="shared" si="12"/>
        <v>327008.4660980269</v>
      </c>
      <c r="F64" s="107">
        <f t="shared" si="12"/>
        <v>334280.01410252368</v>
      </c>
      <c r="G64" s="107">
        <f t="shared" si="12"/>
        <v>337928.17807881092</v>
      </c>
      <c r="H64" s="107">
        <f t="shared" si="12"/>
        <v>351419.05588015489</v>
      </c>
      <c r="I64" s="107">
        <f t="shared" si="12"/>
        <v>357853.66143690783</v>
      </c>
      <c r="J64" s="107">
        <f t="shared" si="12"/>
        <v>353564.7650832223</v>
      </c>
      <c r="K64" s="107">
        <f t="shared" si="12"/>
        <v>369017.27366884856</v>
      </c>
      <c r="L64" s="107">
        <f t="shared" si="12"/>
        <v>347695.94641523022</v>
      </c>
      <c r="M64" s="107">
        <f t="shared" si="12"/>
        <v>360255.98288697412</v>
      </c>
      <c r="N64" s="107">
        <f t="shared" si="12"/>
        <v>358198.02019957156</v>
      </c>
      <c r="P64" s="152">
        <f>AVERAGE(C64:N64)</f>
        <v>351224.40992322209</v>
      </c>
      <c r="U64" s="553"/>
      <c r="V64" s="553"/>
      <c r="W64" s="553"/>
      <c r="X64" s="553"/>
      <c r="Y64" s="553"/>
      <c r="Z64" s="553"/>
      <c r="AA64" s="553"/>
      <c r="AB64" s="553"/>
      <c r="AC64" s="553"/>
      <c r="AD64" s="553"/>
      <c r="AE64" s="553"/>
      <c r="AF64" s="553"/>
    </row>
    <row r="65" spans="1:32" s="106" customFormat="1" ht="16.5" customHeight="1">
      <c r="A65" s="109"/>
      <c r="B65" s="149" t="s">
        <v>133</v>
      </c>
      <c r="C65" s="107">
        <f>MAX(+C$28/C$19/C15,C64)</f>
        <v>450751.00525824953</v>
      </c>
      <c r="D65" s="107">
        <f t="shared" si="12"/>
        <v>437031.83343359036</v>
      </c>
      <c r="E65" s="107">
        <f t="shared" si="12"/>
        <v>406580.36542430503</v>
      </c>
      <c r="F65" s="107">
        <f t="shared" si="12"/>
        <v>414178.38995005778</v>
      </c>
      <c r="G65" s="107">
        <f t="shared" si="12"/>
        <v>421205.70278192882</v>
      </c>
      <c r="H65" s="107">
        <f t="shared" si="12"/>
        <v>437137.93302910629</v>
      </c>
      <c r="I65" s="107">
        <f t="shared" si="12"/>
        <v>446577.44094397483</v>
      </c>
      <c r="J65" s="107">
        <f t="shared" si="12"/>
        <v>441975.42238874774</v>
      </c>
      <c r="K65" s="107">
        <f t="shared" si="12"/>
        <v>460738.40953069774</v>
      </c>
      <c r="L65" s="107">
        <f t="shared" si="12"/>
        <v>437853.24669540901</v>
      </c>
      <c r="M65" s="107">
        <f t="shared" si="12"/>
        <v>441706.24083108903</v>
      </c>
      <c r="N65" s="107">
        <f t="shared" si="12"/>
        <v>441763.67475281918</v>
      </c>
      <c r="P65" s="152">
        <f>AVERAGE(C65:N65)</f>
        <v>436458.30541833135</v>
      </c>
      <c r="U65" s="553"/>
      <c r="V65" s="553"/>
      <c r="W65" s="553"/>
      <c r="X65" s="553"/>
      <c r="Y65" s="553"/>
      <c r="Z65" s="553"/>
      <c r="AA65" s="553"/>
      <c r="AB65" s="553"/>
      <c r="AC65" s="553"/>
      <c r="AD65" s="553"/>
      <c r="AE65" s="553"/>
      <c r="AF65" s="553"/>
    </row>
    <row r="66" spans="1:32" s="106" customFormat="1" ht="16.5" customHeight="1">
      <c r="A66" s="109"/>
      <c r="B66" s="149" t="s">
        <v>158</v>
      </c>
      <c r="C66" s="499">
        <f>C28/C19/C63</f>
        <v>0.94457141005520395</v>
      </c>
      <c r="D66" s="499">
        <f t="shared" ref="D66:N66" si="13">D28/D19/D63</f>
        <v>0.82001994338608997</v>
      </c>
      <c r="E66" s="499">
        <f t="shared" si="13"/>
        <v>0.84238262633593752</v>
      </c>
      <c r="F66" s="499">
        <f t="shared" si="13"/>
        <v>0.84589909223387072</v>
      </c>
      <c r="G66" s="499">
        <f t="shared" si="13"/>
        <v>0.8391170050753558</v>
      </c>
      <c r="H66" s="499">
        <f t="shared" si="13"/>
        <v>0.91031605114580838</v>
      </c>
      <c r="I66" s="499">
        <f t="shared" si="13"/>
        <v>0.88325667932857721</v>
      </c>
      <c r="J66" s="499">
        <f t="shared" si="13"/>
        <v>0.8827197133622654</v>
      </c>
      <c r="K66" s="499">
        <f t="shared" si="13"/>
        <v>0.94269390284229126</v>
      </c>
      <c r="L66" s="499">
        <f t="shared" si="13"/>
        <v>0.88087076243321838</v>
      </c>
      <c r="M66" s="499">
        <f t="shared" si="13"/>
        <v>0.84622857584195632</v>
      </c>
      <c r="N66" s="499">
        <f t="shared" si="13"/>
        <v>0.8465570047540053</v>
      </c>
      <c r="P66" s="152"/>
      <c r="U66" s="553"/>
      <c r="V66" s="553"/>
      <c r="W66" s="553"/>
      <c r="X66" s="553"/>
      <c r="Y66" s="553"/>
      <c r="Z66" s="553"/>
      <c r="AA66" s="553"/>
      <c r="AB66" s="553"/>
      <c r="AC66" s="553"/>
      <c r="AD66" s="553"/>
      <c r="AE66" s="553"/>
      <c r="AF66" s="553"/>
    </row>
    <row r="67" spans="1:32" s="106" customFormat="1" ht="16.5" customHeight="1">
      <c r="A67" s="109"/>
      <c r="B67" s="149" t="s">
        <v>988</v>
      </c>
      <c r="C67" s="499">
        <f>C28/C19/C64</f>
        <v>0.78848428522528702</v>
      </c>
      <c r="D67" s="499">
        <f t="shared" ref="D67:N67" si="14">D28/D19/D64</f>
        <v>0.79548177398271169</v>
      </c>
      <c r="E67" s="499">
        <f t="shared" si="14"/>
        <v>0.79311245257299678</v>
      </c>
      <c r="F67" s="499">
        <f t="shared" si="14"/>
        <v>0.80691996732065208</v>
      </c>
      <c r="G67" s="499">
        <f t="shared" si="14"/>
        <v>0.82662475788553424</v>
      </c>
      <c r="H67" s="499">
        <f t="shared" si="14"/>
        <v>0.86657345779434203</v>
      </c>
      <c r="I67" s="499">
        <f t="shared" si="14"/>
        <v>0.84920295221365572</v>
      </c>
      <c r="J67" s="499">
        <f t="shared" si="14"/>
        <v>0.87020793538318542</v>
      </c>
      <c r="K67" s="499">
        <f t="shared" si="14"/>
        <v>0.83726953795524817</v>
      </c>
      <c r="L67" s="499">
        <f t="shared" si="14"/>
        <v>0.82437059970181958</v>
      </c>
      <c r="M67" s="499">
        <f t="shared" si="14"/>
        <v>0.77521201185823696</v>
      </c>
      <c r="N67" s="499">
        <f t="shared" si="14"/>
        <v>0.77630477835274181</v>
      </c>
      <c r="P67" s="152"/>
    </row>
    <row r="68" spans="1:32" s="106" customFormat="1" ht="16.5" customHeight="1">
      <c r="A68" s="109"/>
      <c r="B68" s="149" t="s">
        <v>150</v>
      </c>
      <c r="C68" s="499">
        <f>C28/C19/C65</f>
        <v>0.63828614679847662</v>
      </c>
      <c r="D68" s="499">
        <f t="shared" ref="D68:N68" si="15">D28/D19/D65</f>
        <v>0.64177047306718682</v>
      </c>
      <c r="E68" s="499">
        <f t="shared" si="15"/>
        <v>0.63789230522354146</v>
      </c>
      <c r="F68" s="499">
        <f t="shared" si="15"/>
        <v>0.65125855090624318</v>
      </c>
      <c r="G68" s="499">
        <f t="shared" si="15"/>
        <v>0.66319092201778573</v>
      </c>
      <c r="H68" s="499">
        <f t="shared" si="15"/>
        <v>0.69664607754050056</v>
      </c>
      <c r="I68" s="499">
        <f t="shared" si="15"/>
        <v>0.68048754346015561</v>
      </c>
      <c r="J68" s="499">
        <f t="shared" si="15"/>
        <v>0.69613568687692928</v>
      </c>
      <c r="K68" s="499">
        <f t="shared" si="15"/>
        <v>0.67059076437089749</v>
      </c>
      <c r="L68" s="499">
        <f t="shared" si="15"/>
        <v>0.65462644852696128</v>
      </c>
      <c r="M68" s="499">
        <f t="shared" si="15"/>
        <v>0.63226357126471766</v>
      </c>
      <c r="N68" s="499">
        <f t="shared" si="15"/>
        <v>0.62945608833276934</v>
      </c>
      <c r="P68" s="152"/>
    </row>
    <row r="69" spans="1:32" s="106" customFormat="1" ht="16.5" customHeight="1">
      <c r="A69" s="109"/>
      <c r="B69" s="108"/>
      <c r="C69" s="107"/>
      <c r="D69" s="107"/>
      <c r="E69" s="107"/>
      <c r="F69" s="107"/>
      <c r="G69" s="107"/>
      <c r="H69" s="107"/>
      <c r="I69" s="107"/>
      <c r="J69" s="107"/>
      <c r="K69" s="107"/>
      <c r="L69" s="107"/>
      <c r="M69" s="107"/>
      <c r="N69" s="107"/>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row>
    <row r="71" spans="1:32" s="106" customFormat="1" ht="16.5" customHeight="1">
      <c r="A71" s="109"/>
      <c r="B71" s="149" t="s">
        <v>432</v>
      </c>
      <c r="C71" s="107">
        <f>C49+C54</f>
        <v>306325.56955002289</v>
      </c>
      <c r="D71" s="107">
        <f t="shared" ref="D71:N71" si="16">D49+D54</f>
        <v>344549.13822153688</v>
      </c>
      <c r="E71" s="107">
        <f t="shared" si="16"/>
        <v>309951.94873697363</v>
      </c>
      <c r="F71" s="107">
        <f t="shared" si="16"/>
        <v>320700.9764646776</v>
      </c>
      <c r="G71" s="107">
        <f t="shared" si="16"/>
        <v>334659.02347613667</v>
      </c>
      <c r="H71" s="107">
        <f t="shared" si="16"/>
        <v>336530.56730394077</v>
      </c>
      <c r="I71" s="107">
        <f t="shared" si="16"/>
        <v>344117.04519037978</v>
      </c>
      <c r="J71" s="107">
        <f t="shared" si="16"/>
        <v>349260.67174394475</v>
      </c>
      <c r="K71" s="107">
        <f t="shared" si="16"/>
        <v>327498.98899022304</v>
      </c>
      <c r="L71" s="107">
        <f t="shared" si="16"/>
        <v>325543.3149252967</v>
      </c>
      <c r="M71" s="107">
        <f t="shared" si="16"/>
        <v>332058.35253853607</v>
      </c>
      <c r="N71" s="107">
        <f t="shared" si="16"/>
        <v>330392.23330520146</v>
      </c>
      <c r="O71" s="107"/>
      <c r="P71" s="152">
        <f>AVERAGE(C71:N71)</f>
        <v>330132.31920390588</v>
      </c>
      <c r="T71" s="522"/>
      <c r="U71" s="523"/>
      <c r="V71" s="523"/>
      <c r="W71" s="523"/>
      <c r="X71" s="523"/>
      <c r="Y71" s="523"/>
      <c r="Z71" s="523"/>
      <c r="AA71" s="523"/>
      <c r="AB71" s="523"/>
      <c r="AC71" s="523"/>
      <c r="AD71" s="523"/>
      <c r="AE71" s="523"/>
      <c r="AF71" s="523"/>
    </row>
    <row r="72" spans="1:32" s="106" customFormat="1" ht="16.5" customHeight="1">
      <c r="A72" s="109"/>
      <c r="B72" s="149" t="s">
        <v>430</v>
      </c>
      <c r="C72" s="107">
        <f>MAX(+C$29/C$14/C20,C71)</f>
        <v>363685.80627934641</v>
      </c>
      <c r="D72" s="107">
        <f t="shared" ref="D72:N72" si="17">MAX(+D$29/D$14/D20,D71)</f>
        <v>352139.64892819215</v>
      </c>
      <c r="E72" s="107">
        <f t="shared" si="17"/>
        <v>327179.15437755245</v>
      </c>
      <c r="F72" s="107">
        <f t="shared" si="17"/>
        <v>334873.32986210642</v>
      </c>
      <c r="G72" s="107">
        <f t="shared" si="17"/>
        <v>338427.08149301959</v>
      </c>
      <c r="H72" s="107">
        <f t="shared" si="17"/>
        <v>351856.50356811011</v>
      </c>
      <c r="I72" s="107">
        <f t="shared" si="17"/>
        <v>356057.56071883789</v>
      </c>
      <c r="J72" s="107">
        <f t="shared" si="17"/>
        <v>351664.65686761087</v>
      </c>
      <c r="K72" s="107">
        <f t="shared" si="17"/>
        <v>366698.48301689303</v>
      </c>
      <c r="L72" s="107">
        <f t="shared" si="17"/>
        <v>345943.56519292278</v>
      </c>
      <c r="M72" s="107">
        <f t="shared" si="17"/>
        <v>360740.98819996353</v>
      </c>
      <c r="N72" s="107">
        <f t="shared" si="17"/>
        <v>358968.3223592217</v>
      </c>
      <c r="O72" s="107"/>
      <c r="P72" s="152">
        <f>AVERAGE(C72:N72)</f>
        <v>350686.25840531476</v>
      </c>
      <c r="T72" s="206"/>
      <c r="U72" s="523"/>
      <c r="V72" s="523"/>
      <c r="W72" s="523"/>
      <c r="X72" s="523"/>
      <c r="Y72" s="523"/>
      <c r="Z72" s="523"/>
      <c r="AA72" s="523"/>
      <c r="AB72" s="523"/>
      <c r="AC72" s="523"/>
      <c r="AD72" s="523"/>
      <c r="AE72" s="523"/>
      <c r="AF72" s="523"/>
    </row>
    <row r="73" spans="1:32" s="106" customFormat="1" ht="16.5" customHeight="1">
      <c r="A73" s="109"/>
      <c r="B73" s="149" t="s">
        <v>133</v>
      </c>
      <c r="C73" s="107">
        <f>MAX(+C$29/C$15/C20,C72)</f>
        <v>449266.43708169082</v>
      </c>
      <c r="D73" s="107">
        <f t="shared" ref="D73:N73" si="18">MAX(+D$29/D$15/D20,D72)</f>
        <v>436481.0853330142</v>
      </c>
      <c r="E73" s="107">
        <f t="shared" si="18"/>
        <v>406792.58776793798</v>
      </c>
      <c r="F73" s="107">
        <f t="shared" si="18"/>
        <v>414913.51785381761</v>
      </c>
      <c r="G73" s="107">
        <f t="shared" si="18"/>
        <v>421827.55374563584</v>
      </c>
      <c r="H73" s="107">
        <f t="shared" si="18"/>
        <v>437682.08387955517</v>
      </c>
      <c r="I73" s="107">
        <f t="shared" si="18"/>
        <v>444336.02734733146</v>
      </c>
      <c r="J73" s="107">
        <f t="shared" si="18"/>
        <v>439600.18250594579</v>
      </c>
      <c r="K73" s="107">
        <f t="shared" si="18"/>
        <v>457843.27157036646</v>
      </c>
      <c r="L73" s="107">
        <f t="shared" si="18"/>
        <v>435646.47432562406</v>
      </c>
      <c r="M73" s="107">
        <f t="shared" si="18"/>
        <v>442300.90097210009</v>
      </c>
      <c r="N73" s="107">
        <f t="shared" si="18"/>
        <v>442713.68422670598</v>
      </c>
      <c r="O73" s="107"/>
      <c r="P73" s="152">
        <f>AVERAGE(C73:N73)</f>
        <v>435783.65055081039</v>
      </c>
      <c r="T73" s="206"/>
      <c r="U73" s="523"/>
      <c r="V73" s="523"/>
      <c r="W73" s="523"/>
      <c r="X73" s="523"/>
      <c r="Y73" s="523"/>
      <c r="Z73" s="523"/>
      <c r="AA73" s="523"/>
      <c r="AB73" s="523"/>
      <c r="AC73" s="523"/>
      <c r="AD73" s="523"/>
      <c r="AE73" s="523"/>
      <c r="AF73" s="523"/>
    </row>
    <row r="74" spans="1:32" s="106" customFormat="1" ht="16.5" customHeight="1">
      <c r="A74" s="109"/>
      <c r="B74" s="149" t="s">
        <v>158</v>
      </c>
      <c r="C74" s="499">
        <f>C29/C20/C71</f>
        <v>0.93612995948065891</v>
      </c>
      <c r="D74" s="499">
        <f t="shared" ref="D74:N74" si="19">D29/D20/D71</f>
        <v>0.81300645262080651</v>
      </c>
      <c r="E74" s="499">
        <f t="shared" si="19"/>
        <v>0.83719383800146341</v>
      </c>
      <c r="F74" s="499">
        <f t="shared" si="19"/>
        <v>0.84257921309650519</v>
      </c>
      <c r="G74" s="499">
        <f t="shared" si="19"/>
        <v>0.83593205225803024</v>
      </c>
      <c r="H74" s="499">
        <f t="shared" si="19"/>
        <v>0.90603807370954959</v>
      </c>
      <c r="I74" s="499">
        <f t="shared" si="19"/>
        <v>0.87866944095474608</v>
      </c>
      <c r="J74" s="499">
        <f t="shared" si="19"/>
        <v>0.87619763620094904</v>
      </c>
      <c r="K74" s="499">
        <f t="shared" si="19"/>
        <v>0.93748524351508833</v>
      </c>
      <c r="L74" s="499">
        <f t="shared" si="19"/>
        <v>0.87602998195959758</v>
      </c>
      <c r="M74" s="499">
        <f t="shared" si="19"/>
        <v>0.84217350680786796</v>
      </c>
      <c r="N74" s="499">
        <f t="shared" si="19"/>
        <v>0.84344847073723273</v>
      </c>
      <c r="O74" s="107"/>
      <c r="P74" s="152"/>
      <c r="T74" s="206"/>
      <c r="U74" s="523"/>
      <c r="V74" s="523"/>
      <c r="W74" s="523"/>
      <c r="X74" s="523"/>
      <c r="Y74" s="523"/>
      <c r="Z74" s="523"/>
      <c r="AA74" s="523"/>
      <c r="AB74" s="523"/>
      <c r="AC74" s="523"/>
      <c r="AD74" s="523"/>
      <c r="AE74" s="523"/>
      <c r="AF74" s="523"/>
    </row>
    <row r="75" spans="1:32" s="106" customFormat="1" ht="16.5" customHeight="1">
      <c r="A75" s="109"/>
      <c r="B75" s="149" t="s">
        <v>988</v>
      </c>
      <c r="C75" s="499">
        <f>C29/C20/C72</f>
        <v>0.78848428522528713</v>
      </c>
      <c r="D75" s="499">
        <f t="shared" ref="D75:N75" si="20">D29/D20/D72</f>
        <v>0.7954817739827118</v>
      </c>
      <c r="E75" s="499">
        <f t="shared" si="20"/>
        <v>0.7931124525729969</v>
      </c>
      <c r="F75" s="499">
        <f t="shared" si="20"/>
        <v>0.80691996732065219</v>
      </c>
      <c r="G75" s="499">
        <f t="shared" si="20"/>
        <v>0.82662475788553413</v>
      </c>
      <c r="H75" s="499">
        <f t="shared" si="20"/>
        <v>0.86657345779434203</v>
      </c>
      <c r="I75" s="499">
        <f t="shared" si="20"/>
        <v>0.84920295221365572</v>
      </c>
      <c r="J75" s="499">
        <f t="shared" si="20"/>
        <v>0.87020793538318542</v>
      </c>
      <c r="K75" s="499">
        <f t="shared" si="20"/>
        <v>0.83726953795524817</v>
      </c>
      <c r="L75" s="499">
        <f t="shared" si="20"/>
        <v>0.82437059970181958</v>
      </c>
      <c r="M75" s="499">
        <f t="shared" si="20"/>
        <v>0.77521201185823685</v>
      </c>
      <c r="N75" s="499">
        <f t="shared" si="20"/>
        <v>0.77630477835274181</v>
      </c>
      <c r="O75" s="107"/>
      <c r="P75" s="152"/>
      <c r="T75" s="206"/>
      <c r="U75" s="523"/>
      <c r="V75" s="523"/>
      <c r="W75" s="523"/>
      <c r="X75" s="523"/>
      <c r="Y75" s="523"/>
      <c r="Z75" s="523"/>
      <c r="AA75" s="523"/>
      <c r="AB75" s="523"/>
      <c r="AC75" s="523"/>
      <c r="AD75" s="523"/>
      <c r="AE75" s="523"/>
      <c r="AF75" s="523"/>
    </row>
    <row r="76" spans="1:32" s="106" customFormat="1" ht="16.5" customHeight="1">
      <c r="A76" s="109"/>
      <c r="B76" s="149" t="s">
        <v>150</v>
      </c>
      <c r="C76" s="499">
        <f>C29/C20/C73</f>
        <v>0.63828614679847673</v>
      </c>
      <c r="D76" s="499">
        <f t="shared" ref="D76:N76" si="21">D29/D20/D73</f>
        <v>0.64177047306718671</v>
      </c>
      <c r="E76" s="499">
        <f t="shared" si="21"/>
        <v>0.63789230522354157</v>
      </c>
      <c r="F76" s="499">
        <f t="shared" si="21"/>
        <v>0.65125855090624318</v>
      </c>
      <c r="G76" s="499">
        <f t="shared" si="21"/>
        <v>0.66319092201778562</v>
      </c>
      <c r="H76" s="499">
        <f t="shared" si="21"/>
        <v>0.69664607754050056</v>
      </c>
      <c r="I76" s="499">
        <f t="shared" si="21"/>
        <v>0.68048754346015561</v>
      </c>
      <c r="J76" s="499">
        <f t="shared" si="21"/>
        <v>0.69613568687692917</v>
      </c>
      <c r="K76" s="499">
        <f t="shared" si="21"/>
        <v>0.67059076437089749</v>
      </c>
      <c r="L76" s="499">
        <f t="shared" si="21"/>
        <v>0.65462644852696117</v>
      </c>
      <c r="M76" s="499">
        <f t="shared" si="21"/>
        <v>0.63226357126471766</v>
      </c>
      <c r="N76" s="499">
        <f t="shared" si="21"/>
        <v>0.62945608833276934</v>
      </c>
      <c r="O76" s="107"/>
      <c r="P76" s="152"/>
      <c r="T76" s="206"/>
      <c r="U76" s="524"/>
      <c r="V76" s="524"/>
      <c r="W76" s="524"/>
      <c r="X76" s="524"/>
      <c r="Y76" s="524"/>
      <c r="Z76" s="524"/>
      <c r="AA76" s="524"/>
      <c r="AB76" s="524"/>
      <c r="AC76" s="524"/>
      <c r="AD76" s="524"/>
      <c r="AE76" s="524"/>
      <c r="AF76" s="524"/>
    </row>
    <row r="77" spans="1:32" s="106" customFormat="1" ht="16.5" customHeight="1">
      <c r="A77" s="109"/>
      <c r="B77" s="108"/>
      <c r="C77" s="107"/>
      <c r="D77" s="107"/>
      <c r="E77" s="107"/>
      <c r="F77" s="107"/>
      <c r="G77" s="107"/>
      <c r="H77" s="107"/>
      <c r="I77" s="107"/>
      <c r="J77" s="107"/>
      <c r="K77" s="107"/>
      <c r="L77" s="107"/>
      <c r="M77" s="107"/>
      <c r="N77" s="107"/>
      <c r="T77" s="206"/>
      <c r="U77" s="524"/>
      <c r="V77" s="524"/>
      <c r="W77" s="524"/>
      <c r="X77" s="524"/>
      <c r="Y77" s="524"/>
      <c r="Z77" s="524"/>
      <c r="AA77" s="524"/>
      <c r="AB77" s="524"/>
      <c r="AC77" s="524"/>
      <c r="AD77" s="524"/>
      <c r="AE77" s="524"/>
      <c r="AF77" s="524"/>
    </row>
    <row r="78" spans="1:32" ht="13.2">
      <c r="A78" s="42" t="s">
        <v>116</v>
      </c>
      <c r="C78" s="105"/>
      <c r="T78" s="206"/>
      <c r="U78" s="524"/>
      <c r="V78" s="524"/>
      <c r="W78" s="524"/>
      <c r="X78" s="524"/>
      <c r="Y78" s="524"/>
      <c r="Z78" s="524"/>
      <c r="AA78" s="524"/>
      <c r="AB78" s="524"/>
      <c r="AC78" s="524"/>
      <c r="AD78" s="524"/>
      <c r="AE78" s="524"/>
      <c r="AF78" s="524"/>
    </row>
    <row r="79" spans="1:32" ht="13.2">
      <c r="A79"/>
      <c r="B79" s="10" t="s">
        <v>338</v>
      </c>
      <c r="C79" s="105"/>
      <c r="D79" s="105"/>
      <c r="E79" s="105"/>
      <c r="F79" s="105"/>
      <c r="G79" s="105"/>
      <c r="H79" s="105"/>
      <c r="I79" s="105"/>
      <c r="J79" s="105"/>
      <c r="K79" s="105"/>
      <c r="L79" s="105"/>
      <c r="M79" s="105"/>
      <c r="N79" s="105"/>
      <c r="T79" s="206"/>
      <c r="U79" s="523"/>
      <c r="V79" s="523"/>
      <c r="W79" s="523"/>
      <c r="X79" s="523"/>
      <c r="Y79" s="523"/>
      <c r="Z79" s="523"/>
      <c r="AA79" s="523"/>
      <c r="AB79" s="523"/>
      <c r="AC79" s="523"/>
      <c r="AD79" s="523"/>
      <c r="AE79" s="523"/>
      <c r="AF79" s="523"/>
    </row>
    <row r="80" spans="1:32" ht="13.2">
      <c r="A80"/>
      <c r="B80" s="81" t="s">
        <v>426</v>
      </c>
    </row>
    <row r="81" spans="1:32" ht="13.2">
      <c r="A81"/>
      <c r="B81" s="125" t="s">
        <v>431</v>
      </c>
      <c r="C81" s="104"/>
      <c r="U81" s="44"/>
      <c r="V81" s="44"/>
      <c r="W81" s="44"/>
      <c r="X81" s="44"/>
      <c r="Y81" s="44"/>
      <c r="Z81" s="44"/>
      <c r="AA81" s="44"/>
      <c r="AB81" s="44"/>
      <c r="AC81" s="44"/>
      <c r="AD81" s="44"/>
      <c r="AE81" s="44"/>
      <c r="AF81" s="44"/>
    </row>
    <row r="82" spans="1:32" ht="13.2">
      <c r="A82"/>
      <c r="B82" s="153" t="s">
        <v>435</v>
      </c>
      <c r="E82" s="88"/>
      <c r="U82" s="534"/>
      <c r="V82" s="534"/>
      <c r="W82" s="534"/>
      <c r="X82" s="534"/>
      <c r="Y82" s="534"/>
      <c r="Z82" s="534"/>
      <c r="AA82" s="534"/>
      <c r="AB82" s="534"/>
      <c r="AC82" s="534"/>
      <c r="AD82" s="534"/>
      <c r="AE82" s="534"/>
      <c r="AF82" s="534"/>
    </row>
    <row r="83" spans="1:32" ht="13.2">
      <c r="A83"/>
      <c r="B83" t="s">
        <v>433</v>
      </c>
      <c r="C83" s="98"/>
      <c r="D83" s="98"/>
      <c r="E83" s="98"/>
      <c r="F83" s="98"/>
      <c r="G83" s="98"/>
      <c r="H83" s="98"/>
      <c r="I83" s="98"/>
      <c r="J83" s="98"/>
      <c r="K83" s="98"/>
      <c r="L83" s="98"/>
      <c r="M83" s="98"/>
      <c r="N83" s="98"/>
      <c r="U83" s="534"/>
      <c r="V83" s="534"/>
      <c r="W83" s="534"/>
      <c r="X83" s="534"/>
      <c r="Y83" s="534"/>
      <c r="Z83" s="534"/>
      <c r="AA83" s="534"/>
      <c r="AB83" s="534"/>
      <c r="AC83" s="534"/>
      <c r="AD83" s="534"/>
      <c r="AE83" s="534"/>
      <c r="AF83" s="534"/>
    </row>
    <row r="84" spans="1:32">
      <c r="B84" s="10" t="s">
        <v>534</v>
      </c>
      <c r="E84" s="10"/>
      <c r="U84" s="534"/>
      <c r="V84" s="534"/>
      <c r="W84" s="534"/>
      <c r="X84" s="534"/>
      <c r="Y84" s="534"/>
      <c r="Z84" s="534"/>
      <c r="AA84" s="534"/>
      <c r="AB84" s="534"/>
      <c r="AC84" s="534"/>
      <c r="AD84" s="534"/>
      <c r="AE84" s="534"/>
      <c r="AF84" s="534"/>
    </row>
    <row r="85" spans="1:32" ht="15.6" thickBot="1">
      <c r="B85" s="10"/>
      <c r="E85" s="10"/>
      <c r="U85" s="534"/>
      <c r="V85" s="534"/>
      <c r="W85" s="534"/>
      <c r="X85" s="534"/>
      <c r="Y85" s="534"/>
      <c r="Z85" s="534"/>
      <c r="AA85" s="534"/>
      <c r="AB85" s="534"/>
      <c r="AC85" s="534"/>
      <c r="AD85" s="534"/>
      <c r="AE85" s="534"/>
      <c r="AF85" s="534"/>
    </row>
    <row r="86" spans="1:32" ht="15.6" thickBot="1">
      <c r="C86" s="102" t="s">
        <v>79</v>
      </c>
      <c r="D86" s="101" t="s">
        <v>80</v>
      </c>
      <c r="E86" s="100" t="s">
        <v>81</v>
      </c>
      <c r="F86" s="100" t="s">
        <v>70</v>
      </c>
      <c r="G86" s="100" t="s">
        <v>71</v>
      </c>
      <c r="H86" s="101" t="s">
        <v>72</v>
      </c>
      <c r="I86" s="102" t="s">
        <v>73</v>
      </c>
      <c r="J86" s="102" t="s">
        <v>74</v>
      </c>
      <c r="K86" s="103" t="s">
        <v>75</v>
      </c>
      <c r="L86" s="103" t="s">
        <v>76</v>
      </c>
      <c r="M86" s="103" t="s">
        <v>77</v>
      </c>
      <c r="N86" s="103" t="s">
        <v>78</v>
      </c>
      <c r="U86" s="534"/>
      <c r="V86" s="534"/>
      <c r="W86" s="534"/>
      <c r="X86" s="534"/>
      <c r="Y86" s="534"/>
      <c r="Z86" s="534"/>
      <c r="AA86" s="534"/>
      <c r="AB86" s="534"/>
      <c r="AC86" s="534"/>
      <c r="AD86" s="534"/>
      <c r="AE86" s="534"/>
      <c r="AF86" s="534"/>
    </row>
    <row r="87" spans="1:32">
      <c r="B87" s="43" t="s">
        <v>547</v>
      </c>
      <c r="C87" s="145">
        <f>VLOOKUP($B$9&amp;" Total",'Billing Demand'!$A$5:$AL$44,C$9,FALSE)</f>
        <v>376127</v>
      </c>
      <c r="D87" s="145">
        <f>VLOOKUP($B$9&amp;" Total",'Billing Demand'!$A$5:$AL$44,D$9,FALSE)</f>
        <v>364958</v>
      </c>
      <c r="E87" s="145">
        <f>VLOOKUP($B$9&amp;" Total",'Billing Demand'!$A$5:$AL$44,E$9,FALSE)</f>
        <v>375577</v>
      </c>
      <c r="F87" s="145">
        <f>VLOOKUP($B$9&amp;" Total",'Billing Demand'!$A$5:$AL$44,F$9,FALSE)</f>
        <v>365185</v>
      </c>
      <c r="G87" s="145">
        <f>VLOOKUP($B$9&amp;" Total",'Billing Demand'!$A$5:$AL$44,G$9,FALSE)</f>
        <v>370958</v>
      </c>
      <c r="H87" s="145">
        <f>VLOOKUP($B$9&amp;" Total",'Billing Demand'!$A$5:$AL$44,H$9,FALSE)</f>
        <v>381934</v>
      </c>
      <c r="I87" s="145">
        <f>VLOOKUP($B$9&amp;" Total",'Billing Demand'!$A$5:$AL$44,I$9,FALSE)</f>
        <v>391309</v>
      </c>
      <c r="J87" s="145">
        <f>VLOOKUP($B$9&amp;" Total",'Billing Demand'!$A$5:$AL$44,J$9,FALSE)</f>
        <v>387764</v>
      </c>
      <c r="K87" s="145">
        <f>VLOOKUP($B$9&amp;" Total",'Billing Demand'!$A$5:$AL$44,K$9,FALSE)</f>
        <v>385306</v>
      </c>
      <c r="L87" s="145">
        <f>VLOOKUP($B$9&amp;" Total",'Billing Demand'!$A$5:$AL$44,L$9,FALSE)</f>
        <v>392036</v>
      </c>
      <c r="M87" s="145">
        <f>VLOOKUP($B$9&amp;" Total",'Billing Demand'!$A$5:$AL$44,M$9,FALSE)</f>
        <v>382631</v>
      </c>
      <c r="N87" s="145">
        <f>VLOOKUP($B$9&amp;" Total",'Billing Demand'!$A$5:$AL$44,N$9,FALSE)</f>
        <v>398025</v>
      </c>
      <c r="U87" s="534"/>
      <c r="V87" s="534"/>
      <c r="W87" s="534"/>
      <c r="X87" s="534"/>
      <c r="Y87" s="534"/>
      <c r="Z87" s="534"/>
      <c r="AA87" s="534"/>
      <c r="AB87" s="534"/>
      <c r="AC87" s="534"/>
      <c r="AD87" s="534"/>
      <c r="AE87" s="534"/>
      <c r="AF87" s="534"/>
    </row>
    <row r="88" spans="1:32">
      <c r="B88" s="239" t="s">
        <v>548</v>
      </c>
      <c r="C88" s="235">
        <f>+C60</f>
        <v>443206.55806448543</v>
      </c>
      <c r="D88" s="235">
        <f t="shared" ref="D88:N88" si="22">+D60</f>
        <v>417594.15614291467</v>
      </c>
      <c r="E88" s="235">
        <f t="shared" si="22"/>
        <v>402827.38503525796</v>
      </c>
      <c r="F88" s="235">
        <f t="shared" si="22"/>
        <v>410699.9199473515</v>
      </c>
      <c r="G88" s="235">
        <f t="shared" si="22"/>
        <v>419217.19838487863</v>
      </c>
      <c r="H88" s="235">
        <f t="shared" si="22"/>
        <v>434917.06197134714</v>
      </c>
      <c r="I88" s="235">
        <f t="shared" si="22"/>
        <v>442108.0114029618</v>
      </c>
      <c r="J88" s="235">
        <f t="shared" si="22"/>
        <v>437328.6236678444</v>
      </c>
      <c r="K88" s="235">
        <f t="shared" si="22"/>
        <v>458553.90741364477</v>
      </c>
      <c r="L88" s="235">
        <f t="shared" si="22"/>
        <v>439392.40734356863</v>
      </c>
      <c r="M88" s="235">
        <f t="shared" si="22"/>
        <v>442887.55636423564</v>
      </c>
      <c r="N88" s="235">
        <f t="shared" si="22"/>
        <v>443493.86154914979</v>
      </c>
    </row>
    <row r="89" spans="1:32">
      <c r="B89" s="45" t="s">
        <v>535</v>
      </c>
      <c r="C89" s="236" t="str">
        <f>IF(C87&gt;=C88,"OK","CHECK")</f>
        <v>CHECK</v>
      </c>
      <c r="D89" s="236" t="str">
        <f>IF(D87&gt;=D88,"OK","CHECK")</f>
        <v>CHECK</v>
      </c>
      <c r="E89" s="236" t="str">
        <f>IF(E87&gt;=E88,"OK","CHECK")</f>
        <v>CHECK</v>
      </c>
      <c r="F89" s="236" t="str">
        <f>IF(F87&gt;=F88,"OK","CHECK")</f>
        <v>CHECK</v>
      </c>
      <c r="G89" s="236" t="str">
        <f t="shared" ref="G89:N89" si="23">IF(G87&gt;=G88,"OK","CHECK")</f>
        <v>CHECK</v>
      </c>
      <c r="H89" s="236" t="str">
        <f t="shared" si="23"/>
        <v>CHECK</v>
      </c>
      <c r="I89" s="236" t="str">
        <f t="shared" si="23"/>
        <v>CHECK</v>
      </c>
      <c r="J89" s="236" t="str">
        <f t="shared" si="23"/>
        <v>CHECK</v>
      </c>
      <c r="K89" s="236" t="str">
        <f t="shared" si="23"/>
        <v>CHECK</v>
      </c>
      <c r="L89" s="236" t="str">
        <f t="shared" si="23"/>
        <v>CHECK</v>
      </c>
      <c r="M89" s="236" t="str">
        <f t="shared" si="23"/>
        <v>CHECK</v>
      </c>
      <c r="N89" s="236" t="str">
        <f t="shared" si="23"/>
        <v>CHECK</v>
      </c>
    </row>
    <row r="90" spans="1:32" ht="15.6" thickBot="1">
      <c r="G90" s="145"/>
    </row>
    <row r="91" spans="1:32" ht="15.6" thickBot="1">
      <c r="C91" s="102" t="s">
        <v>79</v>
      </c>
      <c r="D91" s="101" t="s">
        <v>80</v>
      </c>
      <c r="E91" s="100" t="s">
        <v>81</v>
      </c>
      <c r="F91" s="100" t="s">
        <v>70</v>
      </c>
      <c r="G91" s="100" t="s">
        <v>71</v>
      </c>
      <c r="H91" s="101" t="s">
        <v>72</v>
      </c>
      <c r="I91" s="102" t="s">
        <v>73</v>
      </c>
      <c r="J91" s="102" t="s">
        <v>74</v>
      </c>
      <c r="K91" s="103" t="s">
        <v>75</v>
      </c>
      <c r="L91" s="103" t="s">
        <v>76</v>
      </c>
      <c r="M91" s="103" t="s">
        <v>77</v>
      </c>
      <c r="N91" s="103" t="s">
        <v>78</v>
      </c>
    </row>
    <row r="92" spans="1:32" ht="409.6">
      <c r="B92" s="43" t="s">
        <v>549</v>
      </c>
      <c r="C92" s="145">
        <f>VLOOKUP($B$9&amp;" Total",'Billing Demand'!$A$5:$AL$44,C$9+12,FALSE)</f>
        <v>382413</v>
      </c>
      <c r="D92" s="145">
        <f>VLOOKUP($B$9&amp;" Total",'Billing Demand'!$A$5:$AL$44,D$9+12,FALSE)</f>
        <v>368757</v>
      </c>
      <c r="E92" s="145">
        <f>VLOOKUP($B$9&amp;" Total",'Billing Demand'!$A$5:$AL$44,E$9+12,FALSE)</f>
        <v>379641</v>
      </c>
      <c r="F92" s="145">
        <f>VLOOKUP($B$9&amp;" Total",'Billing Demand'!$A$5:$AL$44,F$9+12,FALSE)</f>
        <v>369308</v>
      </c>
      <c r="G92" s="145">
        <f>VLOOKUP($B$9&amp;" Total",'Billing Demand'!$A$5:$AL$44,G$9+12,FALSE)</f>
        <v>374068</v>
      </c>
      <c r="H92" s="145">
        <f>VLOOKUP($B$9&amp;" Total",'Billing Demand'!$A$5:$AL$44,H$9+12,FALSE)</f>
        <v>385418</v>
      </c>
      <c r="I92" s="145">
        <f>VLOOKUP($B$9&amp;" Total",'Billing Demand'!$A$5:$AL$44,I$9+12,FALSE)</f>
        <v>396691</v>
      </c>
      <c r="J92" s="145">
        <f>VLOOKUP($B$9&amp;" Total",'Billing Demand'!$A$5:$AL$44,J$9+12,FALSE)</f>
        <v>393297</v>
      </c>
      <c r="K92" s="145">
        <f>VLOOKUP($B$9&amp;" Total",'Billing Demand'!$A$5:$AL$44,K$9+12,FALSE)</f>
        <v>387806</v>
      </c>
      <c r="L92" s="145">
        <f>VLOOKUP($B$9&amp;" Total",'Billing Demand'!$A$5:$AL$44,L$9+12,FALSE)</f>
        <v>391863</v>
      </c>
      <c r="M92" s="145">
        <f>VLOOKUP($B$9&amp;" Total",'Billing Demand'!$A$5:$AL$44,M$9+12,FALSE)</f>
        <v>382903</v>
      </c>
      <c r="N92" s="145">
        <f>VLOOKUP($B$9&amp;" Total",'Billing Demand'!$A$5:$AL$44,N$9+12,FALSE)</f>
        <v>397849</v>
      </c>
    </row>
    <row r="93" spans="1:32">
      <c r="B93" s="239" t="s">
        <v>550</v>
      </c>
      <c r="C93" s="235">
        <f>+C65</f>
        <v>450751.00525824953</v>
      </c>
      <c r="D93" s="235">
        <f t="shared" ref="D93:N93" si="24">+D65</f>
        <v>437031.83343359036</v>
      </c>
      <c r="E93" s="235">
        <f t="shared" si="24"/>
        <v>406580.36542430503</v>
      </c>
      <c r="F93" s="235">
        <f t="shared" si="24"/>
        <v>414178.38995005778</v>
      </c>
      <c r="G93" s="235">
        <f t="shared" si="24"/>
        <v>421205.70278192882</v>
      </c>
      <c r="H93" s="235">
        <f t="shared" si="24"/>
        <v>437137.93302910629</v>
      </c>
      <c r="I93" s="235">
        <f t="shared" si="24"/>
        <v>446577.44094397483</v>
      </c>
      <c r="J93" s="235">
        <f t="shared" si="24"/>
        <v>441975.42238874774</v>
      </c>
      <c r="K93" s="235">
        <f t="shared" si="24"/>
        <v>460738.40953069774</v>
      </c>
      <c r="L93" s="235">
        <f t="shared" si="24"/>
        <v>437853.24669540901</v>
      </c>
      <c r="M93" s="235">
        <f t="shared" si="24"/>
        <v>441706.24083108903</v>
      </c>
      <c r="N93" s="235">
        <f t="shared" si="24"/>
        <v>441763.67475281918</v>
      </c>
    </row>
    <row r="94" spans="1:32" ht="409.6">
      <c r="B94" s="45" t="s">
        <v>535</v>
      </c>
      <c r="C94" s="236" t="str">
        <f>IF(C92&gt;=C93,"OK","CHECK")</f>
        <v>CHECK</v>
      </c>
      <c r="D94" s="236" t="str">
        <f>IF(D92&gt;=D93,"OK","CHECK")</f>
        <v>CHECK</v>
      </c>
      <c r="E94" s="236" t="str">
        <f>IF(E92&gt;=E93,"OK","CHECK")</f>
        <v>CHECK</v>
      </c>
      <c r="F94" s="236" t="str">
        <f>IF(F92&gt;=F93,"OK","CHECK")</f>
        <v>CHECK</v>
      </c>
      <c r="G94" s="236" t="str">
        <f t="shared" ref="G94:N94" si="25">IF(G92&gt;=G93,"OK","CHECK")</f>
        <v>CHECK</v>
      </c>
      <c r="H94" s="236" t="str">
        <f t="shared" si="25"/>
        <v>CHECK</v>
      </c>
      <c r="I94" s="236" t="str">
        <f t="shared" si="25"/>
        <v>CHECK</v>
      </c>
      <c r="J94" s="236" t="str">
        <f t="shared" si="25"/>
        <v>CHECK</v>
      </c>
      <c r="K94" s="236" t="str">
        <f t="shared" si="25"/>
        <v>CHECK</v>
      </c>
      <c r="L94" s="236" t="str">
        <f t="shared" si="25"/>
        <v>CHECK</v>
      </c>
      <c r="M94" s="236" t="str">
        <f t="shared" si="25"/>
        <v>CHECK</v>
      </c>
      <c r="N94" s="236" t="str">
        <f t="shared" si="25"/>
        <v>CHECK</v>
      </c>
    </row>
    <row r="96" spans="1:32">
      <c r="B96" s="45" t="s">
        <v>553</v>
      </c>
    </row>
  </sheetData>
  <mergeCells count="3">
    <mergeCell ref="C7:E7"/>
    <mergeCell ref="F7:L7"/>
    <mergeCell ref="M7:N7"/>
  </mergeCells>
  <conditionalFormatting sqref="C59:N59">
    <cfRule type="cellIs" dxfId="158" priority="13" operator="greaterThanOrEqual">
      <formula>C60</formula>
    </cfRule>
  </conditionalFormatting>
  <conditionalFormatting sqref="C58:N58">
    <cfRule type="cellIs" dxfId="157" priority="11" operator="greaterThanOrEqual">
      <formula>C59</formula>
    </cfRule>
  </conditionalFormatting>
  <conditionalFormatting sqref="C89:N89">
    <cfRule type="cellIs" dxfId="156" priority="9" stopIfTrue="1" operator="equal">
      <formula>"Check"</formula>
    </cfRule>
  </conditionalFormatting>
  <conditionalFormatting sqref="C94:N94">
    <cfRule type="cellIs" dxfId="155" priority="8" stopIfTrue="1" operator="equal">
      <formula>"Error"</formula>
    </cfRule>
  </conditionalFormatting>
  <conditionalFormatting sqref="C94:N94">
    <cfRule type="cellIs" dxfId="154" priority="7" stopIfTrue="1" operator="equal">
      <formula>"Check"</formula>
    </cfRule>
  </conditionalFormatting>
  <conditionalFormatting sqref="C72:N72">
    <cfRule type="cellIs" dxfId="153" priority="2" operator="greaterThanOrEqual">
      <formula>C73</formula>
    </cfRule>
  </conditionalFormatting>
  <conditionalFormatting sqref="C71:N71">
    <cfRule type="cellIs" dxfId="152" priority="1" operator="greaterThan">
      <formula>C72</formula>
    </cfRule>
  </conditionalFormatting>
  <conditionalFormatting sqref="C64:N64">
    <cfRule type="cellIs" dxfId="151" priority="4" operator="greaterThanOrEqual">
      <formula>C65</formula>
    </cfRule>
  </conditionalFormatting>
  <conditionalFormatting sqref="C63:N63">
    <cfRule type="cellIs" dxfId="150" priority="3" operator="greaterThan">
      <formula>C64</formula>
    </cfRule>
  </conditionalFormatting>
  <pageMargins left="0" right="0" top="1" bottom="1" header="0.5" footer="0.5"/>
  <pageSetup scale="34" orientation="landscape" r:id="rId1"/>
  <headerFooter alignWithMargins="0">
    <oddFooter>&amp;LPrinted:  &amp;D&amp;C&amp;F&amp;RPage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pageSetUpPr fitToPage="1"/>
  </sheetPr>
  <dimension ref="A1:AF96"/>
  <sheetViews>
    <sheetView showGridLines="0" zoomScale="75" zoomScaleNormal="75" workbookViewId="0">
      <selection activeCell="B2" sqref="B1: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 min="18" max="18" width="16.109375" bestFit="1" customWidth="1"/>
    <col min="19" max="25" width="10.6640625" bestFit="1" customWidth="1"/>
    <col min="26" max="26" width="9.44140625" bestFit="1" customWidth="1"/>
    <col min="27" max="27" width="8.44140625" bestFit="1" customWidth="1"/>
    <col min="28" max="28" width="8.44140625" customWidth="1"/>
    <col min="29" max="29" width="11.5546875" bestFit="1" customWidth="1"/>
  </cols>
  <sheetData>
    <row r="1" spans="1:18" s="8" customFormat="1" ht="15.6">
      <c r="A1" s="624"/>
      <c r="B1" s="8" t="s">
        <v>1290</v>
      </c>
    </row>
    <row r="2" spans="1:18" s="8" customFormat="1" ht="15.6">
      <c r="A2" s="624"/>
      <c r="B2" s="8" t="s">
        <v>1267</v>
      </c>
    </row>
    <row r="3" spans="1:18" s="8" customFormat="1" ht="15.6">
      <c r="A3" s="624"/>
    </row>
    <row r="4" spans="1:18" ht="21">
      <c r="A4" s="124" t="s">
        <v>443</v>
      </c>
    </row>
    <row r="5" spans="1:18" ht="21">
      <c r="A5" s="124" t="s">
        <v>434</v>
      </c>
    </row>
    <row r="6" spans="1:18" ht="15.6" thickBot="1"/>
    <row r="7" spans="1:18" ht="15.6" thickBot="1">
      <c r="C7" s="572" t="s">
        <v>339</v>
      </c>
      <c r="D7" s="573"/>
      <c r="E7" s="574"/>
      <c r="F7" s="575" t="s">
        <v>340</v>
      </c>
      <c r="G7" s="576"/>
      <c r="H7" s="576"/>
      <c r="I7" s="576"/>
      <c r="J7" s="576"/>
      <c r="K7" s="576"/>
      <c r="L7" s="577"/>
      <c r="M7" s="572" t="s">
        <v>339</v>
      </c>
      <c r="N7" s="574"/>
    </row>
    <row r="8" spans="1:18"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8" s="10" customFormat="1" hidden="1">
      <c r="A9" s="123"/>
      <c r="B9" s="118" t="s">
        <v>52</v>
      </c>
      <c r="C9" s="320">
        <v>3</v>
      </c>
      <c r="D9" s="320">
        <v>4</v>
      </c>
      <c r="E9" s="320">
        <v>5</v>
      </c>
      <c r="F9" s="320">
        <v>6</v>
      </c>
      <c r="G9" s="320">
        <v>7</v>
      </c>
      <c r="H9" s="320">
        <v>8</v>
      </c>
      <c r="I9" s="320">
        <v>9</v>
      </c>
      <c r="J9" s="320">
        <v>10</v>
      </c>
      <c r="K9" s="320">
        <v>11</v>
      </c>
      <c r="L9" s="320">
        <v>12</v>
      </c>
      <c r="M9" s="320">
        <v>13</v>
      </c>
      <c r="N9" s="320">
        <v>14</v>
      </c>
    </row>
    <row r="10" spans="1:18" s="10" customFormat="1">
      <c r="A10" s="123"/>
      <c r="C10" s="122"/>
      <c r="D10" s="122"/>
      <c r="E10" s="122"/>
      <c r="F10" s="122"/>
      <c r="G10" s="122"/>
      <c r="H10" s="122"/>
      <c r="I10" s="122"/>
      <c r="J10" s="122"/>
      <c r="K10" s="122"/>
      <c r="L10" s="122"/>
      <c r="M10" s="122"/>
      <c r="N10" s="122"/>
    </row>
    <row r="11" spans="1:18" s="110" customFormat="1" ht="15.6">
      <c r="A11" s="120"/>
    </row>
    <row r="12" spans="1:18" s="110" customFormat="1" ht="15.6">
      <c r="A12" s="120" t="s">
        <v>343</v>
      </c>
    </row>
    <row r="13" spans="1:18" s="110" customFormat="1">
      <c r="A13" s="119"/>
      <c r="B13" s="148" t="s">
        <v>148</v>
      </c>
      <c r="C13" s="115">
        <f>VLOOKUP($B$9,'Avg KWH'!$A$12:$O$38,C9,FALSE)/HOURS!B15/VLOOKUP($B$9,'Avg CP'!$A$12:$P$38,C9,FALSE)</f>
        <v>0.98621449471411038</v>
      </c>
      <c r="D13" s="115">
        <f>VLOOKUP($B$9,'Avg KWH'!$A$12:$O$38,D9,FALSE)/HOURS!C15/VLOOKUP($B$9,'Avg CP'!$A$12:$P$38,D9,FALSE)</f>
        <v>0.93579907076026014</v>
      </c>
      <c r="E13" s="115">
        <f>VLOOKUP($B$9,'Avg KWH'!$A$12:$O$38,E9,FALSE)/HOURS!D15/VLOOKUP($B$9,'Avg CP'!$A$12:$P$38,E9,FALSE)</f>
        <v>0.88745940813364743</v>
      </c>
      <c r="F13" s="115">
        <f>VLOOKUP($B$9,'Avg KWH'!$A$12:$O$38,F9,FALSE)/HOURS!E15/VLOOKUP($B$9,'Avg CP'!$A$12:$P$38,F9,FALSE)</f>
        <v>0.84240997239198023</v>
      </c>
      <c r="G13" s="115">
        <f>VLOOKUP($B$9,'Avg KWH'!$A$12:$O$38,G9,FALSE)/HOURS!F15/VLOOKUP($B$9,'Avg CP'!$A$12:$P$38,G9,FALSE)</f>
        <v>0.95967272748201327</v>
      </c>
      <c r="H13" s="115">
        <f>VLOOKUP($B$9,'Avg KWH'!$A$12:$O$38,H9,FALSE)/HOURS!G15/VLOOKUP($B$9,'Avg CP'!$A$12:$P$38,H9,FALSE)</f>
        <v>0.88364392160273686</v>
      </c>
      <c r="I13" s="115">
        <f>VLOOKUP($B$9,'Avg KWH'!$A$12:$O$38,I9,FALSE)/HOURS!H15/VLOOKUP($B$9,'Avg CP'!$A$12:$P$38,I9,FALSE)</f>
        <v>0.86579656246840642</v>
      </c>
      <c r="J13" s="115">
        <f>VLOOKUP($B$9,'Avg KWH'!$A$12:$O$38,J9,FALSE)/HOURS!I15/VLOOKUP($B$9,'Avg CP'!$A$12:$P$38,J9,FALSE)</f>
        <v>0.81686249471507089</v>
      </c>
      <c r="K13" s="115">
        <f>VLOOKUP($B$9,'Avg KWH'!$A$12:$O$38,K9,FALSE)/HOURS!J15/VLOOKUP($B$9,'Avg CP'!$A$12:$P$38,K9,FALSE)</f>
        <v>0.94720405483514281</v>
      </c>
      <c r="L13" s="115">
        <f>VLOOKUP($B$9,'Avg KWH'!$A$12:$O$38,L9,FALSE)/HOURS!K15/VLOOKUP($B$9,'Avg CP'!$A$12:$P$38,L9,FALSE)</f>
        <v>0.84987505816502251</v>
      </c>
      <c r="M13" s="115">
        <f>VLOOKUP($B$9,'Avg KWH'!$A$12:$O$38,M9,FALSE)/HOURS!L15/VLOOKUP($B$9,'Avg CP'!$A$12:$P$38,M9,FALSE)</f>
        <v>0.92396172634110796</v>
      </c>
      <c r="N13" s="115">
        <f>VLOOKUP($B$9,'Avg KWH'!$A$12:$O$38,N9,FALSE)/HOURS!M15/VLOOKUP($B$9,'Avg CP'!$A$12:$P$38,N9,FALSE)</f>
        <v>1.046080709066054</v>
      </c>
      <c r="R13" s="528"/>
    </row>
    <row r="14" spans="1:18" s="110" customFormat="1">
      <c r="A14" s="119"/>
      <c r="B14" s="118" t="s">
        <v>342</v>
      </c>
      <c r="C14" s="115">
        <f>VLOOKUP($B$9,'Avg KWH'!$A$12:$O$38,C9,FALSE)/HOURS!B15/VLOOKUP($B$9,'Avg GNCP'!$A$11:$P$37,C9,FALSE)</f>
        <v>0.74360577604758393</v>
      </c>
      <c r="D14" s="115">
        <f>VLOOKUP($B$9,'Avg KWH'!$A$12:$O$38,D9,FALSE)/HOURS!C15/VLOOKUP($B$9,'Avg GNCP'!$A$11:$P$37,D9,FALSE)</f>
        <v>0.67626400531479325</v>
      </c>
      <c r="E14" s="115">
        <f>VLOOKUP($B$9,'Avg KWH'!$A$12:$O$38,E9,FALSE)/HOURS!D15/VLOOKUP($B$9,'Avg GNCP'!$A$11:$P$37,E9,FALSE)</f>
        <v>0.69526589711408038</v>
      </c>
      <c r="F14" s="115">
        <f>VLOOKUP($B$9,'Avg KWH'!$A$12:$O$38,F9,FALSE)/HOURS!E15/VLOOKUP($B$9,'Avg GNCP'!$A$11:$P$37,F9,FALSE)</f>
        <v>0.66086235990495612</v>
      </c>
      <c r="G14" s="115">
        <f>VLOOKUP($B$9,'Avg KWH'!$A$12:$O$38,G9,FALSE)/HOURS!F15/VLOOKUP($B$9,'Avg GNCP'!$A$11:$P$37,G9,FALSE)</f>
        <v>0.69789655458554534</v>
      </c>
      <c r="H14" s="115">
        <f>VLOOKUP($B$9,'Avg KWH'!$A$12:$O$38,H9,FALSE)/HOURS!G15/VLOOKUP($B$9,'Avg GNCP'!$A$11:$P$37,H9,FALSE)</f>
        <v>0.65831535145129449</v>
      </c>
      <c r="I14" s="115">
        <f>VLOOKUP($B$9,'Avg KWH'!$A$12:$O$38,I9,FALSE)/HOURS!H15/VLOOKUP($B$9,'Avg GNCP'!$A$11:$P$37,I9,FALSE)</f>
        <v>0.71548035867327875</v>
      </c>
      <c r="J14" s="115">
        <f>VLOOKUP($B$9,'Avg KWH'!$A$12:$O$38,J9,FALSE)/HOURS!I15/VLOOKUP($B$9,'Avg GNCP'!$A$11:$P$37,J9,FALSE)</f>
        <v>0.66064303375097266</v>
      </c>
      <c r="K14" s="115">
        <f>VLOOKUP($B$9,'Avg KWH'!$A$12:$O$38,K9,FALSE)/HOURS!J15/VLOOKUP($B$9,'Avg GNCP'!$A$11:$P$37,K9,FALSE)</f>
        <v>0.64788132133525855</v>
      </c>
      <c r="L14" s="115">
        <f>VLOOKUP($B$9,'Avg KWH'!$A$12:$O$38,L9,FALSE)/HOURS!K15/VLOOKUP($B$9,'Avg GNCP'!$A$11:$P$37,L9,FALSE)</f>
        <v>0.6541364571229058</v>
      </c>
      <c r="M14" s="115">
        <f>VLOOKUP($B$9,'Avg KWH'!$A$12:$O$38,M9,FALSE)/HOURS!L15/VLOOKUP($B$9,'Avg GNCP'!$A$11:$P$37,M9,FALSE)</f>
        <v>0.65893938705155886</v>
      </c>
      <c r="N14" s="115">
        <f>VLOOKUP($B$9,'Avg KWH'!$A$12:$O$38,N9,FALSE)/HOURS!M15/VLOOKUP($B$9,'Avg GNCP'!$A$11:$P$37,N9,FALSE)</f>
        <v>0.69011665227042851</v>
      </c>
      <c r="R14" s="528"/>
    </row>
    <row r="15" spans="1:18" s="10" customFormat="1">
      <c r="A15" s="119"/>
      <c r="B15" s="148" t="s">
        <v>133</v>
      </c>
      <c r="C15" s="115">
        <f>VLOOKUP($B$9,'Avg KWH'!$A$12:$O$38,C9,FALSE)/HOURS!B15/VLOOKUP($B$9,'Avg NCP'!$B$12:$P$38,C9-1,FALSE)</f>
        <v>0.58285150373541039</v>
      </c>
      <c r="D15" s="115">
        <f>VLOOKUP($B$9,'Avg KWH'!$A$12:$O$38,D9,FALSE)/HOURS!C15/VLOOKUP($B$9,'Avg NCP'!$B$12:$P$38,D9-1,FALSE)</f>
        <v>0.57149231351328034</v>
      </c>
      <c r="E15" s="115">
        <f>VLOOKUP($B$9,'Avg KWH'!$A$12:$O$38,E9,FALSE)/HOURS!D15/VLOOKUP($B$9,'Avg NCP'!$B$12:$P$38,E9-1,FALSE)</f>
        <v>0.55178563142655634</v>
      </c>
      <c r="F15" s="115">
        <f>VLOOKUP($B$9,'Avg KWH'!$A$12:$O$38,F9,FALSE)/HOURS!E15/VLOOKUP($B$9,'Avg NCP'!$B$12:$P$38,F9-1,FALSE)</f>
        <v>0.55935272525027802</v>
      </c>
      <c r="G15" s="115">
        <f>VLOOKUP($B$9,'Avg KWH'!$A$12:$O$38,G9,FALSE)/HOURS!F15/VLOOKUP($B$9,'Avg NCP'!$B$12:$P$38,G9-1,FALSE)</f>
        <v>0.57017057483390465</v>
      </c>
      <c r="H15" s="115">
        <f>VLOOKUP($B$9,'Avg KWH'!$A$12:$O$38,H9,FALSE)/HOURS!G15/VLOOKUP($B$9,'Avg NCP'!$B$12:$P$38,H9-1,FALSE)</f>
        <v>0.53770875675713825</v>
      </c>
      <c r="I15" s="115">
        <f>VLOOKUP($B$9,'Avg KWH'!$A$12:$O$38,I9,FALSE)/HOURS!H15/VLOOKUP($B$9,'Avg NCP'!$B$12:$P$38,I9-1,FALSE)</f>
        <v>0.55283453319061371</v>
      </c>
      <c r="J15" s="115">
        <f>VLOOKUP($B$9,'Avg KWH'!$A$12:$O$38,J9,FALSE)/HOURS!I15/VLOOKUP($B$9,'Avg NCP'!$B$12:$P$38,J9-1,FALSE)</f>
        <v>0.58436669881600967</v>
      </c>
      <c r="K15" s="115">
        <f>VLOOKUP($B$9,'Avg KWH'!$A$12:$O$38,K9,FALSE)/HOURS!J15/VLOOKUP($B$9,'Avg NCP'!$B$12:$P$38,K9-1,FALSE)</f>
        <v>0.53698546094364952</v>
      </c>
      <c r="L15" s="115">
        <f>VLOOKUP($B$9,'Avg KWH'!$A$12:$O$38,L9,FALSE)/HOURS!K15/VLOOKUP($B$9,'Avg NCP'!$B$12:$P$38,L9-1,FALSE)</f>
        <v>0.54136567481152076</v>
      </c>
      <c r="M15" s="115">
        <f>VLOOKUP($B$9,'Avg KWH'!$A$12:$O$38,M9,FALSE)/HOURS!L15/VLOOKUP($B$9,'Avg NCP'!$B$12:$P$38,M9-1,FALSE)</f>
        <v>0.4889318116144904</v>
      </c>
      <c r="N15" s="115">
        <f>VLOOKUP($B$9,'Avg KWH'!$A$12:$O$38,N9,FALSE)/HOURS!M15/VLOOKUP($B$9,'Avg NCP'!$B$12:$P$38,N9-1,FALSE)</f>
        <v>0.54339960880587579</v>
      </c>
      <c r="R15" s="228"/>
    </row>
    <row r="16" spans="1:18">
      <c r="A16" s="114"/>
      <c r="C16" s="116"/>
      <c r="D16" s="116"/>
      <c r="E16" s="116"/>
      <c r="F16" s="116"/>
      <c r="G16" s="116"/>
      <c r="H16" s="116"/>
      <c r="I16" s="116"/>
      <c r="J16" s="116"/>
      <c r="K16" s="116"/>
      <c r="L16" s="116"/>
      <c r="M16" s="117"/>
      <c r="N16" s="116"/>
    </row>
    <row r="17" spans="1:31" ht="15.6">
      <c r="A17" s="113" t="s">
        <v>421</v>
      </c>
      <c r="C17" s="5"/>
      <c r="D17" s="5"/>
      <c r="E17" s="5"/>
      <c r="F17" s="5"/>
      <c r="G17" s="5"/>
      <c r="H17" s="5"/>
      <c r="I17" s="5"/>
      <c r="J17" s="5"/>
      <c r="K17" s="5"/>
      <c r="L17" s="5"/>
      <c r="M17" s="115"/>
      <c r="N17" s="5"/>
    </row>
    <row r="18" spans="1:31">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31">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31">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31">
      <c r="A21" s="114"/>
      <c r="C21" s="5"/>
      <c r="D21" s="5"/>
      <c r="E21" s="5"/>
      <c r="F21" s="5"/>
      <c r="G21" s="5"/>
      <c r="H21" s="5"/>
      <c r="I21" s="5"/>
      <c r="J21" s="5"/>
      <c r="K21" s="5"/>
      <c r="L21" s="5"/>
      <c r="M21" s="115"/>
      <c r="N21" s="5"/>
    </row>
    <row r="22" spans="1:31" ht="15.6">
      <c r="A22" s="113" t="s">
        <v>427</v>
      </c>
      <c r="C22" s="5"/>
      <c r="D22" s="5"/>
      <c r="E22" s="5"/>
      <c r="F22" s="5"/>
      <c r="G22" s="5"/>
      <c r="H22" s="5"/>
      <c r="I22" s="5"/>
      <c r="J22" s="5"/>
      <c r="K22" s="5"/>
      <c r="L22" s="5"/>
      <c r="M22" s="115"/>
      <c r="N22" s="5"/>
    </row>
    <row r="23" spans="1:31">
      <c r="A23" s="114"/>
      <c r="B23" t="s">
        <v>428</v>
      </c>
      <c r="C23" s="145">
        <v>0</v>
      </c>
      <c r="D23" s="145">
        <v>0</v>
      </c>
      <c r="E23" s="145">
        <v>0</v>
      </c>
      <c r="F23" s="145">
        <v>0</v>
      </c>
      <c r="G23" s="145">
        <v>0</v>
      </c>
      <c r="H23" s="145">
        <v>0</v>
      </c>
      <c r="I23" s="145">
        <v>0</v>
      </c>
      <c r="J23" s="145">
        <v>0</v>
      </c>
      <c r="K23" s="145">
        <v>0</v>
      </c>
      <c r="L23" s="145">
        <v>0</v>
      </c>
      <c r="M23" s="145">
        <v>0</v>
      </c>
      <c r="N23" s="145">
        <v>0</v>
      </c>
    </row>
    <row r="24" spans="1:31">
      <c r="A24" s="114"/>
      <c r="B24" t="s">
        <v>429</v>
      </c>
      <c r="C24" s="145">
        <v>0</v>
      </c>
      <c r="D24" s="145">
        <v>0</v>
      </c>
      <c r="E24" s="145">
        <v>0</v>
      </c>
      <c r="F24" s="145">
        <v>0</v>
      </c>
      <c r="G24" s="145">
        <v>0</v>
      </c>
      <c r="H24" s="145">
        <v>0</v>
      </c>
      <c r="I24" s="145">
        <v>0</v>
      </c>
      <c r="J24" s="145">
        <v>0</v>
      </c>
      <c r="K24" s="145">
        <v>0</v>
      </c>
      <c r="L24" s="145">
        <v>0</v>
      </c>
      <c r="M24" s="145">
        <v>0</v>
      </c>
      <c r="N24" s="145">
        <v>0</v>
      </c>
    </row>
    <row r="25" spans="1:31">
      <c r="A25" s="114"/>
      <c r="C25" s="5"/>
      <c r="D25" s="5"/>
      <c r="E25" s="5"/>
      <c r="F25" s="5"/>
      <c r="G25" s="5"/>
      <c r="H25" s="5"/>
      <c r="I25" s="5"/>
      <c r="J25" s="5"/>
      <c r="K25" s="5"/>
      <c r="L25" s="5"/>
      <c r="M25" s="115"/>
      <c r="N25" s="5"/>
    </row>
    <row r="26" spans="1:31" ht="15.6">
      <c r="A26" s="113" t="s">
        <v>424</v>
      </c>
      <c r="C26" s="5"/>
      <c r="D26" s="5"/>
      <c r="E26" s="5"/>
      <c r="F26" s="5"/>
      <c r="G26" s="5"/>
      <c r="H26" s="5"/>
      <c r="I26" s="5"/>
      <c r="J26" s="5"/>
      <c r="K26" s="5"/>
      <c r="L26" s="5"/>
      <c r="M26" s="115"/>
      <c r="N26" s="5"/>
    </row>
    <row r="27" spans="1:31" s="106" customFormat="1">
      <c r="A27" s="109"/>
      <c r="B27" s="108" t="str">
        <f>"PRIOR - "&amp;MANUAL!$B$9</f>
        <v>PRIOR - 2016</v>
      </c>
      <c r="C27" s="142">
        <f>VLOOKUP($B$9,'Sales Forecast'!$B$7:$AO$23,C9-1,FALSE)</f>
        <v>14816596</v>
      </c>
      <c r="D27" s="142">
        <f>VLOOKUP($B$9,'Sales Forecast'!$B$7:$AO$23,D9-1,FALSE)</f>
        <v>16085768</v>
      </c>
      <c r="E27" s="142">
        <f>VLOOKUP($B$9,'Sales Forecast'!$B$7:$AO$23,E9-1,FALSE)</f>
        <v>14598472</v>
      </c>
      <c r="F27" s="142">
        <f>VLOOKUP($B$9,'Sales Forecast'!$B$7:$AO$23,F9-1,FALSE)</f>
        <v>14861473</v>
      </c>
      <c r="G27" s="142">
        <f>VLOOKUP($B$9,'Sales Forecast'!$B$7:$AO$23,G9-1,FALSE)</f>
        <v>15954922</v>
      </c>
      <c r="H27" s="142">
        <f>VLOOKUP($B$9,'Sales Forecast'!$B$7:$AO$23,H9-1,FALSE)</f>
        <v>15795233</v>
      </c>
      <c r="I27" s="142">
        <f>VLOOKUP($B$9,'Sales Forecast'!$B$7:$AO$23,I9-1,FALSE)</f>
        <v>13524406</v>
      </c>
      <c r="J27" s="142">
        <f>VLOOKUP($B$9,'Sales Forecast'!$B$7:$AO$23,J9-1,FALSE)</f>
        <v>13955305</v>
      </c>
      <c r="K27" s="142">
        <f>VLOOKUP($B$9,'Sales Forecast'!$B$7:$AO$23,K9-1,FALSE)</f>
        <v>12638734</v>
      </c>
      <c r="L27" s="142">
        <f>VLOOKUP($B$9,'Sales Forecast'!$B$7:$AO$23,L9-1,FALSE)</f>
        <v>12981288</v>
      </c>
      <c r="M27" s="142">
        <f>VLOOKUP($B$9,'Sales Forecast'!$B$7:$AO$23,M9-1,FALSE)</f>
        <v>11802571</v>
      </c>
      <c r="N27" s="142">
        <f>VLOOKUP($B$9,'Sales Forecast'!$B$7:$AO$23,N9-1,FALSE)</f>
        <v>12835667</v>
      </c>
    </row>
    <row r="28" spans="1:31" s="12" customFormat="1" ht="15.6">
      <c r="A28" s="111"/>
      <c r="B28" s="108" t="str">
        <f>"TEST - "&amp;MANUAL!$B$10</f>
        <v>TEST - 2017</v>
      </c>
      <c r="C28" s="142">
        <f>VLOOKUP($B$9,'Sales Forecast'!$B$7:$AO$23,C9+11,FALSE)</f>
        <v>15148163</v>
      </c>
      <c r="D28" s="142">
        <f>VLOOKUP($B$9,'Sales Forecast'!$B$7:$AO$23,D9+11,FALSE)</f>
        <v>16443605</v>
      </c>
      <c r="E28" s="142">
        <f>VLOOKUP($B$9,'Sales Forecast'!$B$7:$AO$23,E9+11,FALSE)</f>
        <v>14960739</v>
      </c>
      <c r="F28" s="142">
        <f>VLOOKUP($B$9,'Sales Forecast'!$B$7:$AO$23,F9+11,FALSE)</f>
        <v>15206466</v>
      </c>
      <c r="G28" s="142">
        <f>VLOOKUP($B$9,'Sales Forecast'!$B$7:$AO$23,G9+11,FALSE)</f>
        <v>16116480</v>
      </c>
      <c r="H28" s="142">
        <f>VLOOKUP($B$9,'Sales Forecast'!$B$7:$AO$23,H9+11,FALSE)</f>
        <v>16104073</v>
      </c>
      <c r="I28" s="142">
        <f>VLOOKUP($B$9,'Sales Forecast'!$B$7:$AO$23,I9+11,FALSE)</f>
        <v>13743742</v>
      </c>
      <c r="J28" s="142">
        <f>VLOOKUP($B$9,'Sales Forecast'!$B$7:$AO$23,J9+11,FALSE)</f>
        <v>14208254</v>
      </c>
      <c r="K28" s="142">
        <f>VLOOKUP($B$9,'Sales Forecast'!$B$7:$AO$23,K9+11,FALSE)</f>
        <v>12822301</v>
      </c>
      <c r="L28" s="142">
        <f>VLOOKUP($B$9,'Sales Forecast'!$B$7:$AO$23,L9+11,FALSE)</f>
        <v>13194996</v>
      </c>
      <c r="M28" s="142">
        <f>VLOOKUP($B$9,'Sales Forecast'!$B$7:$AO$23,M9+11,FALSE)</f>
        <v>12004690</v>
      </c>
      <c r="N28" s="142">
        <f>VLOOKUP($B$9,'Sales Forecast'!$B$7:$AO$23,N9+11,FALSE)</f>
        <v>13038751</v>
      </c>
    </row>
    <row r="29" spans="1:31">
      <c r="A29" s="114"/>
      <c r="B29" t="s">
        <v>1094</v>
      </c>
      <c r="C29" s="142">
        <f>VLOOKUP($B$9,'Sales Forecast'!$B$7:$AO$23,C9+23,FALSE)</f>
        <v>15425108</v>
      </c>
      <c r="D29" s="142">
        <f>VLOOKUP($B$9,'Sales Forecast'!$B$7:$AO$23,D9+23,FALSE)</f>
        <v>16748922</v>
      </c>
      <c r="E29" s="142">
        <f>VLOOKUP($B$9,'Sales Forecast'!$B$7:$AO$23,E9+23,FALSE)</f>
        <v>15198299</v>
      </c>
      <c r="F29" s="142">
        <f>VLOOKUP($B$9,'Sales Forecast'!$B$7:$AO$23,F9+23,FALSE)</f>
        <v>15447726</v>
      </c>
      <c r="G29" s="142">
        <f>VLOOKUP($B$9,'Sales Forecast'!$B$7:$AO$23,G9+23,FALSE)</f>
        <v>16458422</v>
      </c>
      <c r="H29" s="142">
        <f>VLOOKUP($B$9,'Sales Forecast'!$B$7:$AO$23,H9+23,FALSE)</f>
        <v>16352543</v>
      </c>
      <c r="I29" s="142">
        <f>VLOOKUP($B$9,'Sales Forecast'!$B$7:$AO$23,I9+23,FALSE)</f>
        <v>13949252</v>
      </c>
      <c r="J29" s="142">
        <f>VLOOKUP($B$9,'Sales Forecast'!$B$7:$AO$23,J9+23,FALSE)</f>
        <v>14409104</v>
      </c>
      <c r="K29" s="142">
        <f>VLOOKUP($B$9,'Sales Forecast'!$B$7:$AO$23,K9+23,FALSE)</f>
        <v>13006701</v>
      </c>
      <c r="L29" s="142">
        <f>VLOOKUP($B$9,'Sales Forecast'!$B$7:$AO$23,L9+23,FALSE)</f>
        <v>13385730</v>
      </c>
      <c r="M29" s="142">
        <f>VLOOKUP($B$9,'Sales Forecast'!$B$7:$AO$23,M9+23,FALSE)</f>
        <v>12175178</v>
      </c>
      <c r="N29" s="142">
        <f>VLOOKUP($B$9,'Sales Forecast'!$B$7:$AO$23,N9+23,FALSE)</f>
        <v>13225543</v>
      </c>
    </row>
    <row r="30" spans="1:31">
      <c r="A30" s="114"/>
      <c r="C30" s="142"/>
      <c r="D30" s="142"/>
      <c r="E30" s="142"/>
      <c r="F30" s="142"/>
      <c r="G30" s="142"/>
      <c r="H30" s="142"/>
      <c r="I30" s="142"/>
      <c r="J30" s="142"/>
      <c r="K30" s="142"/>
      <c r="L30" s="142"/>
      <c r="M30" s="142"/>
      <c r="N30" s="142"/>
    </row>
    <row r="31" spans="1:31" s="12" customFormat="1" ht="15.6">
      <c r="A31" s="113" t="s">
        <v>1248</v>
      </c>
      <c r="B31"/>
      <c r="C31" s="142"/>
      <c r="D31" s="142"/>
      <c r="E31" s="142"/>
      <c r="F31" s="142"/>
      <c r="G31" s="142"/>
      <c r="H31" s="142"/>
      <c r="I31" s="142"/>
      <c r="J31" s="142"/>
      <c r="K31" s="142"/>
      <c r="L31" s="142"/>
      <c r="M31" s="142"/>
      <c r="N31" s="142"/>
    </row>
    <row r="32" spans="1:31" s="12" customFormat="1">
      <c r="A32" s="114"/>
      <c r="B32" t="s">
        <v>1254</v>
      </c>
      <c r="C32" s="115">
        <v>1</v>
      </c>
      <c r="D32" s="115">
        <v>1</v>
      </c>
      <c r="E32" s="115">
        <v>1</v>
      </c>
      <c r="F32" s="115">
        <v>1</v>
      </c>
      <c r="G32" s="115">
        <v>1</v>
      </c>
      <c r="H32" s="115">
        <v>1</v>
      </c>
      <c r="I32" s="115">
        <v>1</v>
      </c>
      <c r="J32" s="115">
        <v>1</v>
      </c>
      <c r="K32" s="115">
        <v>1</v>
      </c>
      <c r="L32" s="115">
        <v>1</v>
      </c>
      <c r="M32" s="115">
        <v>1</v>
      </c>
      <c r="N32" s="115">
        <v>1</v>
      </c>
      <c r="S32" s="522"/>
      <c r="T32" s="523"/>
      <c r="U32" s="523"/>
      <c r="V32" s="523"/>
      <c r="W32" s="523"/>
      <c r="X32" s="523"/>
      <c r="Y32" s="523"/>
      <c r="Z32" s="523"/>
      <c r="AA32" s="523"/>
      <c r="AB32" s="523"/>
      <c r="AC32" s="523"/>
      <c r="AD32" s="523"/>
      <c r="AE32" s="523"/>
    </row>
    <row r="33" spans="1:31" s="12" customFormat="1">
      <c r="A33" s="114"/>
      <c r="B33" t="s">
        <v>1253</v>
      </c>
      <c r="C33" s="115">
        <v>0</v>
      </c>
      <c r="D33" s="115">
        <v>0</v>
      </c>
      <c r="E33" s="115">
        <v>0</v>
      </c>
      <c r="F33" s="115">
        <v>0</v>
      </c>
      <c r="G33" s="115">
        <v>0</v>
      </c>
      <c r="H33" s="115">
        <v>0</v>
      </c>
      <c r="I33" s="115">
        <v>0</v>
      </c>
      <c r="J33" s="115">
        <v>0</v>
      </c>
      <c r="K33" s="115">
        <v>0</v>
      </c>
      <c r="L33" s="115">
        <v>0</v>
      </c>
      <c r="M33" s="115">
        <v>0</v>
      </c>
      <c r="N33" s="115">
        <v>0</v>
      </c>
      <c r="S33" s="206"/>
      <c r="T33" s="523"/>
      <c r="U33" s="523"/>
      <c r="V33" s="523"/>
      <c r="W33" s="523"/>
      <c r="X33" s="523"/>
      <c r="Y33" s="523"/>
      <c r="Z33" s="523"/>
      <c r="AA33" s="523"/>
      <c r="AB33" s="523"/>
      <c r="AC33" s="523"/>
      <c r="AD33" s="523"/>
      <c r="AE33" s="523"/>
    </row>
    <row r="34" spans="1:31" s="12" customFormat="1">
      <c r="A34" s="114"/>
      <c r="B34" t="s">
        <v>1252</v>
      </c>
      <c r="C34" s="115">
        <v>0</v>
      </c>
      <c r="D34" s="115">
        <v>0</v>
      </c>
      <c r="E34" s="115">
        <v>0</v>
      </c>
      <c r="F34" s="115">
        <v>0</v>
      </c>
      <c r="G34" s="115">
        <v>0</v>
      </c>
      <c r="H34" s="115">
        <v>0</v>
      </c>
      <c r="I34" s="115">
        <v>0</v>
      </c>
      <c r="J34" s="115">
        <v>0</v>
      </c>
      <c r="K34" s="115">
        <v>0</v>
      </c>
      <c r="L34" s="115">
        <v>0</v>
      </c>
      <c r="M34" s="115">
        <v>0</v>
      </c>
      <c r="N34" s="115">
        <v>0</v>
      </c>
      <c r="S34" s="206"/>
      <c r="T34" s="523"/>
      <c r="U34" s="523"/>
      <c r="V34" s="523"/>
      <c r="W34" s="523"/>
      <c r="X34" s="523"/>
      <c r="Y34" s="523"/>
      <c r="Z34" s="523"/>
      <c r="AA34" s="523"/>
      <c r="AB34" s="523"/>
      <c r="AC34" s="523"/>
      <c r="AD34" s="523"/>
      <c r="AE34" s="523"/>
    </row>
    <row r="35" spans="1:31" s="12" customFormat="1" ht="15.6">
      <c r="A35" s="114"/>
      <c r="B35" s="513">
        <v>2017</v>
      </c>
      <c r="C35" s="115"/>
      <c r="D35" s="115"/>
      <c r="E35" s="115"/>
      <c r="F35" s="115"/>
      <c r="G35" s="115"/>
      <c r="H35" s="115"/>
      <c r="I35" s="115"/>
      <c r="J35" s="115"/>
      <c r="K35" s="115"/>
      <c r="L35" s="115"/>
      <c r="M35" s="115"/>
      <c r="N35" s="115"/>
      <c r="S35" s="206"/>
      <c r="T35" s="523"/>
      <c r="U35" s="523"/>
      <c r="V35" s="523"/>
      <c r="W35" s="523"/>
      <c r="X35" s="523"/>
      <c r="Y35" s="523"/>
      <c r="Z35" s="523"/>
      <c r="AA35" s="523"/>
      <c r="AB35" s="523"/>
      <c r="AC35" s="523"/>
      <c r="AD35" s="523"/>
      <c r="AE35" s="523"/>
    </row>
    <row r="36" spans="1:31"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S36" s="206"/>
      <c r="T36" s="523"/>
      <c r="U36" s="523"/>
      <c r="V36" s="523"/>
      <c r="W36" s="523"/>
      <c r="X36" s="523"/>
      <c r="Y36" s="523"/>
      <c r="Z36" s="523"/>
      <c r="AA36" s="523"/>
      <c r="AB36" s="523"/>
      <c r="AC36" s="523"/>
      <c r="AD36" s="523"/>
      <c r="AE36" s="523"/>
    </row>
    <row r="37" spans="1:31"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s="508"/>
      <c r="S37" s="206"/>
      <c r="T37" s="524"/>
      <c r="U37" s="524"/>
      <c r="V37" s="524"/>
      <c r="W37" s="524"/>
      <c r="X37" s="524"/>
      <c r="Y37" s="524"/>
      <c r="Z37" s="524"/>
      <c r="AA37" s="524"/>
      <c r="AB37" s="524"/>
      <c r="AC37" s="524"/>
      <c r="AD37" s="524"/>
      <c r="AE37" s="524"/>
    </row>
    <row r="38" spans="1:31"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c r="S38" s="206"/>
      <c r="T38" s="524"/>
      <c r="U38" s="524"/>
      <c r="V38" s="524"/>
      <c r="W38" s="524"/>
      <c r="X38" s="524"/>
      <c r="Y38" s="524"/>
      <c r="Z38" s="524"/>
      <c r="AA38" s="524"/>
      <c r="AB38" s="524"/>
      <c r="AC38" s="524"/>
      <c r="AD38" s="524"/>
      <c r="AE38" s="524"/>
    </row>
    <row r="39" spans="1:31" s="12" customFormat="1">
      <c r="A39" s="114"/>
      <c r="B39" t="s">
        <v>1255</v>
      </c>
      <c r="C39" s="107">
        <f>(+C$28/C$19/C13)+C23</f>
        <v>20645.036398179433</v>
      </c>
      <c r="D39" s="107">
        <f t="shared" ref="D39:N39" si="0">(+D$28/D$19/D13)+D23</f>
        <v>26148.40200443826</v>
      </c>
      <c r="E39" s="107">
        <f t="shared" si="0"/>
        <v>22658.523845703676</v>
      </c>
      <c r="F39" s="107">
        <f t="shared" si="0"/>
        <v>25071.037094560077</v>
      </c>
      <c r="G39" s="107">
        <f t="shared" si="0"/>
        <v>22572.211196110045</v>
      </c>
      <c r="H39" s="107">
        <f t="shared" si="0"/>
        <v>25311.969571393791</v>
      </c>
      <c r="I39" s="107">
        <f t="shared" si="0"/>
        <v>21336.157136856767</v>
      </c>
      <c r="J39" s="107">
        <f t="shared" si="0"/>
        <v>23378.617227443036</v>
      </c>
      <c r="K39" s="107">
        <f t="shared" si="0"/>
        <v>18801.388463216023</v>
      </c>
      <c r="L39" s="107">
        <f t="shared" si="0"/>
        <v>20868.019960147674</v>
      </c>
      <c r="M39" s="107">
        <f t="shared" si="0"/>
        <v>18045.315168607052</v>
      </c>
      <c r="N39" s="107">
        <f t="shared" si="0"/>
        <v>16753.203462317775</v>
      </c>
      <c r="R39"/>
      <c r="S39" s="206"/>
      <c r="T39" s="524"/>
      <c r="U39" s="524"/>
      <c r="V39" s="524"/>
      <c r="W39" s="524"/>
      <c r="X39" s="524"/>
      <c r="Y39" s="524"/>
      <c r="Z39" s="524"/>
      <c r="AA39" s="524"/>
      <c r="AB39" s="524"/>
      <c r="AC39" s="524"/>
      <c r="AD39" s="524"/>
      <c r="AE39" s="524"/>
    </row>
    <row r="40" spans="1:31" s="12" customFormat="1">
      <c r="A40" s="114"/>
      <c r="B40" t="s">
        <v>1256</v>
      </c>
      <c r="C40" s="107">
        <f t="shared" ref="C40:N40" si="1">(C39*C32*C36)+(C39*C33*C37)+(C39*C34*C38)</f>
        <v>21095.853786168824</v>
      </c>
      <c r="D40" s="107">
        <f t="shared" si="1"/>
        <v>26719.394182140451</v>
      </c>
      <c r="E40" s="107">
        <f t="shared" si="1"/>
        <v>23153.308952341526</v>
      </c>
      <c r="F40" s="107">
        <f t="shared" si="1"/>
        <v>25618.503286392581</v>
      </c>
      <c r="G40" s="107">
        <f t="shared" si="1"/>
        <v>23065.111528001569</v>
      </c>
      <c r="H40" s="107">
        <f t="shared" si="1"/>
        <v>25864.696909188602</v>
      </c>
      <c r="I40" s="107">
        <f t="shared" si="1"/>
        <v>21802.066251505614</v>
      </c>
      <c r="J40" s="107">
        <f t="shared" si="1"/>
        <v>23889.126724738428</v>
      </c>
      <c r="K40" s="107">
        <f t="shared" si="1"/>
        <v>19211.946849943226</v>
      </c>
      <c r="L40" s="107">
        <f t="shared" si="1"/>
        <v>21323.706550837043</v>
      </c>
      <c r="M40" s="107">
        <f t="shared" si="1"/>
        <v>18439.363485735434</v>
      </c>
      <c r="N40" s="107">
        <f t="shared" si="1"/>
        <v>17119.036453825745</v>
      </c>
      <c r="R40" s="508"/>
      <c r="S40" s="206"/>
      <c r="T40" s="523"/>
      <c r="U40" s="523"/>
      <c r="V40" s="523"/>
      <c r="W40" s="523"/>
      <c r="X40" s="523"/>
      <c r="Y40" s="523"/>
      <c r="Z40" s="523"/>
      <c r="AA40" s="523"/>
      <c r="AB40" s="523"/>
      <c r="AC40" s="523"/>
      <c r="AD40" s="523"/>
      <c r="AE40" s="523"/>
    </row>
    <row r="41" spans="1:31"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s="508"/>
    </row>
    <row r="42" spans="1:31"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R42" s="508"/>
      <c r="T42" s="95"/>
      <c r="U42" s="95"/>
      <c r="V42" s="95"/>
      <c r="W42" s="95"/>
      <c r="X42" s="95"/>
      <c r="Y42" s="95"/>
      <c r="Z42" s="95"/>
      <c r="AA42" s="95"/>
      <c r="AB42" s="95"/>
      <c r="AC42" s="95"/>
      <c r="AD42" s="95"/>
      <c r="AE42" s="95"/>
    </row>
    <row r="43" spans="1:31" s="12" customFormat="1">
      <c r="A43" s="114"/>
      <c r="B43" t="s">
        <v>1259</v>
      </c>
      <c r="C43" s="235">
        <f>C40*C42/C41</f>
        <v>1942.7692288032101</v>
      </c>
      <c r="D43" s="235">
        <f>D40*D42/D41</f>
        <v>183.99703019371046</v>
      </c>
      <c r="E43" s="235">
        <f t="shared" ref="E43:N43" si="2">E40*E42/E41</f>
        <v>2753.3007472238928</v>
      </c>
      <c r="F43" s="235">
        <f t="shared" si="2"/>
        <v>2051.1505784607098</v>
      </c>
      <c r="G43" s="235">
        <f t="shared" si="2"/>
        <v>2311.9745041371098</v>
      </c>
      <c r="H43" s="235">
        <f t="shared" si="2"/>
        <v>1333.3133741887414</v>
      </c>
      <c r="I43" s="235">
        <f t="shared" si="2"/>
        <v>1392.8175998686872</v>
      </c>
      <c r="J43" s="235">
        <f t="shared" si="2"/>
        <v>2324.9242302272005</v>
      </c>
      <c r="K43" s="235">
        <f t="shared" si="2"/>
        <v>180.04170735501378</v>
      </c>
      <c r="L43" s="235">
        <f t="shared" si="2"/>
        <v>424.52517317651672</v>
      </c>
      <c r="M43" s="235">
        <f t="shared" si="2"/>
        <v>-382.37263797263023</v>
      </c>
      <c r="N43" s="235">
        <f t="shared" si="2"/>
        <v>445.3430362975472</v>
      </c>
      <c r="R43" s="508"/>
      <c r="T43" s="544"/>
      <c r="U43" s="544"/>
      <c r="V43" s="544"/>
      <c r="W43" s="544"/>
      <c r="X43" s="544"/>
      <c r="Y43" s="544"/>
      <c r="Z43" s="544"/>
      <c r="AA43" s="544"/>
      <c r="AB43" s="544"/>
      <c r="AC43" s="544"/>
      <c r="AD43" s="544"/>
      <c r="AE43" s="544"/>
    </row>
    <row r="44" spans="1:31" s="12" customFormat="1">
      <c r="A44" s="114"/>
      <c r="B44" t="s">
        <v>1260</v>
      </c>
      <c r="C44" s="235">
        <f t="shared" ref="C44:N44" si="3">((C43*C32)/C36)+((C43*C33)/C37)+((C43*C34)/C38)</f>
        <v>1901.2523431595744</v>
      </c>
      <c r="D44" s="235">
        <f>((D43*D32)/D36)+((D43*D33)/D37)+((D43*D34)/D38)</f>
        <v>180.06502244514905</v>
      </c>
      <c r="E44" s="235">
        <f t="shared" si="3"/>
        <v>2694.4628417380995</v>
      </c>
      <c r="F44" s="235">
        <f t="shared" si="3"/>
        <v>2007.3175885505857</v>
      </c>
      <c r="G44" s="235">
        <f t="shared" si="3"/>
        <v>2262.5677193907859</v>
      </c>
      <c r="H44" s="235">
        <f t="shared" si="3"/>
        <v>1304.8205310539836</v>
      </c>
      <c r="I44" s="235">
        <f t="shared" si="3"/>
        <v>1363.053154272741</v>
      </c>
      <c r="J44" s="235">
        <f t="shared" si="3"/>
        <v>2275.2407104527388</v>
      </c>
      <c r="K44" s="235">
        <f t="shared" si="3"/>
        <v>176.19422466663104</v>
      </c>
      <c r="L44" s="235">
        <f t="shared" si="3"/>
        <v>415.45309049870355</v>
      </c>
      <c r="M44" s="235">
        <f t="shared" si="3"/>
        <v>-374.2013529591527</v>
      </c>
      <c r="N44" s="235">
        <f t="shared" si="3"/>
        <v>435.82607687898332</v>
      </c>
      <c r="R44" s="508"/>
      <c r="T44" s="544"/>
      <c r="U44" s="544"/>
      <c r="V44" s="544"/>
      <c r="W44" s="544"/>
      <c r="X44" s="544"/>
      <c r="Y44" s="544"/>
      <c r="Z44" s="544"/>
      <c r="AA44" s="544"/>
      <c r="AB44" s="544"/>
      <c r="AC44" s="544"/>
      <c r="AD44" s="544"/>
      <c r="AE44" s="544"/>
    </row>
    <row r="45" spans="1:31" s="12" customFormat="1" ht="15.6">
      <c r="A45" s="114"/>
      <c r="B45" s="513">
        <v>2018</v>
      </c>
      <c r="C45" s="235"/>
      <c r="D45" s="235"/>
      <c r="E45" s="235"/>
      <c r="F45" s="235"/>
      <c r="G45" s="235"/>
      <c r="H45" s="235"/>
      <c r="I45" s="235"/>
      <c r="J45" s="235"/>
      <c r="K45" s="235"/>
      <c r="L45" s="235"/>
      <c r="M45" s="235"/>
      <c r="N45" s="235"/>
      <c r="R45" s="508"/>
      <c r="T45" s="544"/>
      <c r="U45" s="544"/>
      <c r="V45" s="544"/>
      <c r="W45" s="544"/>
      <c r="X45" s="544"/>
      <c r="Y45" s="544"/>
      <c r="Z45" s="544"/>
      <c r="AA45" s="544"/>
      <c r="AB45" s="544"/>
      <c r="AC45" s="544"/>
      <c r="AD45" s="544"/>
      <c r="AE45" s="544"/>
    </row>
    <row r="46" spans="1:31"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s="508"/>
      <c r="T46" s="551"/>
      <c r="U46" s="551"/>
      <c r="V46" s="551"/>
      <c r="W46" s="551"/>
      <c r="X46" s="551"/>
      <c r="Y46" s="551"/>
      <c r="Z46" s="551"/>
      <c r="AA46" s="551"/>
      <c r="AB46" s="551"/>
      <c r="AC46" s="551"/>
      <c r="AD46" s="551"/>
      <c r="AE46" s="551"/>
    </row>
    <row r="47" spans="1:31"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s="508"/>
      <c r="T47" s="551"/>
      <c r="U47" s="551"/>
      <c r="V47" s="551"/>
      <c r="W47" s="551"/>
      <c r="X47" s="551"/>
      <c r="Y47" s="551"/>
      <c r="Z47" s="551"/>
      <c r="AA47" s="551"/>
      <c r="AB47" s="551"/>
      <c r="AC47" s="551"/>
      <c r="AD47" s="551"/>
      <c r="AE47" s="551"/>
    </row>
    <row r="48" spans="1:31" s="12" customFormat="1">
      <c r="A48" s="114"/>
      <c r="B48" t="s">
        <v>1251</v>
      </c>
      <c r="C48">
        <v>1.06467</v>
      </c>
      <c r="D48">
        <v>1.06467</v>
      </c>
      <c r="E48">
        <v>1.06467</v>
      </c>
      <c r="F48">
        <v>1.06467</v>
      </c>
      <c r="G48">
        <v>1.06467</v>
      </c>
      <c r="H48">
        <v>1.06467</v>
      </c>
      <c r="I48">
        <v>1.06467</v>
      </c>
      <c r="J48">
        <v>1.06467</v>
      </c>
      <c r="K48">
        <v>1.06467</v>
      </c>
      <c r="L48">
        <v>1.06467</v>
      </c>
      <c r="M48">
        <v>1.06467</v>
      </c>
      <c r="N48">
        <v>1.06467</v>
      </c>
      <c r="R48" s="508"/>
      <c r="T48" s="551"/>
      <c r="U48" s="551"/>
      <c r="V48" s="551"/>
      <c r="W48" s="551"/>
      <c r="X48" s="551"/>
      <c r="Y48" s="551"/>
      <c r="Z48" s="551"/>
      <c r="AA48" s="551"/>
      <c r="AB48" s="551"/>
      <c r="AC48" s="551"/>
      <c r="AD48" s="551"/>
      <c r="AE48" s="551"/>
    </row>
    <row r="49" spans="1:31" s="12" customFormat="1">
      <c r="A49" s="114"/>
      <c r="B49" t="s">
        <v>1255</v>
      </c>
      <c r="C49" s="235">
        <f>(+C$29/C$20/C13)+C23</f>
        <v>21022.477517957046</v>
      </c>
      <c r="D49" s="235">
        <f t="shared" ref="D49:N49" si="4">(+D$29/D$20/D13)+D23</f>
        <v>26633.913037742033</v>
      </c>
      <c r="E49" s="235">
        <f t="shared" si="4"/>
        <v>23018.316161095674</v>
      </c>
      <c r="F49" s="235">
        <f t="shared" si="4"/>
        <v>25468.804623809381</v>
      </c>
      <c r="G49" s="235">
        <f t="shared" si="4"/>
        <v>23051.123901664876</v>
      </c>
      <c r="H49" s="235">
        <f t="shared" si="4"/>
        <v>25702.508354930367</v>
      </c>
      <c r="I49" s="235">
        <f t="shared" si="4"/>
        <v>21655.196424206271</v>
      </c>
      <c r="J49" s="235">
        <f t="shared" si="4"/>
        <v>23709.100851267038</v>
      </c>
      <c r="K49" s="235">
        <f t="shared" si="4"/>
        <v>19071.774880803398</v>
      </c>
      <c r="L49" s="235">
        <f t="shared" si="4"/>
        <v>21169.667715029813</v>
      </c>
      <c r="M49" s="235">
        <f t="shared" si="4"/>
        <v>18301.59081524728</v>
      </c>
      <c r="N49" s="235">
        <f t="shared" si="4"/>
        <v>16993.208381587512</v>
      </c>
      <c r="R49" s="508"/>
    </row>
    <row r="50" spans="1:31" s="12" customFormat="1">
      <c r="A50" s="114"/>
      <c r="B50" t="s">
        <v>1256</v>
      </c>
      <c r="C50" s="107">
        <f>(C49*C32*C46)+(C49*C33*C47)+(C49*C34*C48)</f>
        <v>21483.290225150664</v>
      </c>
      <c r="D50" s="107">
        <f t="shared" ref="D50:N50" si="5">(D49*D32*D46)+(D49*D33*D47)+(D49*D34*D48)</f>
        <v>27217.728411529337</v>
      </c>
      <c r="E50" s="107">
        <f t="shared" si="5"/>
        <v>23522.877651346891</v>
      </c>
      <c r="F50" s="107">
        <f t="shared" si="5"/>
        <v>26027.080821163283</v>
      </c>
      <c r="G50" s="107">
        <f t="shared" si="5"/>
        <v>23556.404537589369</v>
      </c>
      <c r="H50" s="107">
        <f t="shared" si="5"/>
        <v>26265.907338070439</v>
      </c>
      <c r="I50" s="107">
        <f t="shared" si="5"/>
        <v>22129.878329824871</v>
      </c>
      <c r="J50" s="107">
        <f t="shared" si="5"/>
        <v>24228.804341926811</v>
      </c>
      <c r="K50" s="107">
        <f t="shared" si="5"/>
        <v>19489.828186190607</v>
      </c>
      <c r="L50" s="107">
        <f t="shared" si="5"/>
        <v>21633.706831343265</v>
      </c>
      <c r="M50" s="107">
        <f t="shared" si="5"/>
        <v>18702.7616859175</v>
      </c>
      <c r="N50" s="107">
        <f t="shared" si="5"/>
        <v>17365.699509311908</v>
      </c>
      <c r="R50" s="508"/>
    </row>
    <row r="51" spans="1:31"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s="508"/>
    </row>
    <row r="52" spans="1:31"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s="508"/>
    </row>
    <row r="53" spans="1:31" s="12" customFormat="1">
      <c r="A53" s="114"/>
      <c r="B53" t="s">
        <v>1259</v>
      </c>
      <c r="C53" s="235">
        <f>C50*C52/C51</f>
        <v>2189.9781634538094</v>
      </c>
      <c r="D53" s="235">
        <f t="shared" ref="D53:N53" si="6">D50*D52/D51</f>
        <v>423.80015228635875</v>
      </c>
      <c r="E53" s="235">
        <f t="shared" si="6"/>
        <v>2960.3454226551917</v>
      </c>
      <c r="F53" s="235">
        <f t="shared" si="6"/>
        <v>2194.6058815139349</v>
      </c>
      <c r="G53" s="235">
        <f t="shared" si="6"/>
        <v>2459.9444880822462</v>
      </c>
      <c r="H53" s="235">
        <f t="shared" si="6"/>
        <v>1484.3831040136417</v>
      </c>
      <c r="I53" s="235">
        <f t="shared" si="6"/>
        <v>1536.6516385737282</v>
      </c>
      <c r="J53" s="235">
        <f t="shared" si="6"/>
        <v>2555.8495248131785</v>
      </c>
      <c r="K53" s="235">
        <f t="shared" si="6"/>
        <v>291.92610432362954</v>
      </c>
      <c r="L53" s="235">
        <f t="shared" si="6"/>
        <v>552.5994151978523</v>
      </c>
      <c r="M53" s="235">
        <f t="shared" si="6"/>
        <v>-299.66373391833963</v>
      </c>
      <c r="N53" s="235">
        <f t="shared" si="6"/>
        <v>517.41369627195922</v>
      </c>
      <c r="R53" s="508"/>
    </row>
    <row r="54" spans="1:31" s="12" customFormat="1">
      <c r="A54" s="114"/>
      <c r="B54" t="s">
        <v>1260</v>
      </c>
      <c r="C54" s="235">
        <f>((C53*C32)/C46)+((C53*C33)/C47)+((C53*C34)/C48)</f>
        <v>2143.0035261603743</v>
      </c>
      <c r="D54" s="235">
        <f t="shared" ref="D54:N54" si="7">((D53*D32)/D46)+((D53*D33)/D47)+((D53*D34)/D48)</f>
        <v>414.70971532640402</v>
      </c>
      <c r="E54" s="235">
        <f t="shared" si="7"/>
        <v>2896.8465463590023</v>
      </c>
      <c r="F54" s="235">
        <f t="shared" si="7"/>
        <v>2147.5319805013455</v>
      </c>
      <c r="G54" s="235">
        <f t="shared" si="7"/>
        <v>2407.1791217338405</v>
      </c>
      <c r="H54" s="235">
        <f t="shared" si="7"/>
        <v>1452.5433537005263</v>
      </c>
      <c r="I54" s="235">
        <f t="shared" si="7"/>
        <v>1503.6907376054176</v>
      </c>
      <c r="J54" s="235">
        <f t="shared" si="7"/>
        <v>2501.0270126949063</v>
      </c>
      <c r="K54" s="235">
        <f t="shared" si="7"/>
        <v>285.66434194812661</v>
      </c>
      <c r="L54" s="235">
        <f t="shared" si="7"/>
        <v>540.74625723916972</v>
      </c>
      <c r="M54" s="235">
        <f t="shared" si="7"/>
        <v>-293.23600078121541</v>
      </c>
      <c r="N54" s="235">
        <f t="shared" si="7"/>
        <v>506.3152656489346</v>
      </c>
      <c r="R54" s="508"/>
    </row>
    <row r="55" spans="1:31">
      <c r="A55" s="114"/>
      <c r="S55" s="522"/>
      <c r="T55" s="523"/>
      <c r="U55" s="523"/>
      <c r="V55" s="523"/>
      <c r="W55" s="523"/>
      <c r="X55" s="523"/>
      <c r="Y55" s="523"/>
      <c r="Z55" s="523"/>
      <c r="AA55" s="523"/>
      <c r="AB55" s="523"/>
      <c r="AC55" s="523"/>
      <c r="AD55" s="523"/>
      <c r="AE55" s="523"/>
    </row>
    <row r="56" spans="1:31" ht="17.399999999999999">
      <c r="A56" s="147" t="s">
        <v>425</v>
      </c>
      <c r="S56" s="206"/>
      <c r="T56" s="523"/>
      <c r="U56" s="523"/>
      <c r="V56" s="523"/>
      <c r="W56" s="523"/>
      <c r="X56" s="523"/>
      <c r="Y56" s="523"/>
      <c r="Z56" s="523"/>
      <c r="AA56" s="523"/>
      <c r="AB56" s="523"/>
      <c r="AC56" s="523"/>
      <c r="AD56" s="523"/>
      <c r="AE56" s="523"/>
    </row>
    <row r="57" spans="1:31" ht="15.6">
      <c r="A57" s="113"/>
      <c r="B57" s="146" t="str">
        <f>"PRIOR - "&amp;MANUAL!$B$9</f>
        <v>PRIOR - 2016</v>
      </c>
      <c r="C57" s="5"/>
      <c r="D57" s="5"/>
      <c r="E57" s="5"/>
      <c r="F57" s="5"/>
      <c r="G57" s="5"/>
      <c r="H57" s="5"/>
      <c r="I57" s="5"/>
      <c r="J57" s="5"/>
      <c r="K57" s="5"/>
      <c r="L57" s="5"/>
      <c r="M57" s="5"/>
      <c r="N57" s="5"/>
      <c r="R57" s="509"/>
      <c r="S57" s="206"/>
      <c r="T57" s="523"/>
      <c r="U57" s="523"/>
      <c r="V57" s="523"/>
      <c r="W57" s="523"/>
      <c r="X57" s="523"/>
      <c r="Y57" s="523"/>
      <c r="Z57" s="523"/>
      <c r="AA57" s="523"/>
      <c r="AB57" s="523"/>
      <c r="AC57" s="523"/>
      <c r="AD57" s="523"/>
      <c r="AE57" s="523"/>
    </row>
    <row r="58" spans="1:31" s="12" customFormat="1" ht="15.6">
      <c r="A58" s="111"/>
      <c r="B58" s="149" t="s">
        <v>432</v>
      </c>
      <c r="C58" s="107">
        <f t="shared" ref="C58:N58" si="8">MIN((+C$27/C$18/C13)+C23,C59)</f>
        <v>20193.152378748488</v>
      </c>
      <c r="D58" s="107">
        <f t="shared" si="8"/>
        <v>24697.326973628551</v>
      </c>
      <c r="E58" s="107">
        <f t="shared" si="8"/>
        <v>22109.858739119602</v>
      </c>
      <c r="F58" s="107">
        <f t="shared" si="8"/>
        <v>24502.24403637262</v>
      </c>
      <c r="G58" s="107">
        <f t="shared" si="8"/>
        <v>22345.938381176446</v>
      </c>
      <c r="H58" s="107">
        <f t="shared" si="8"/>
        <v>24826.542767725598</v>
      </c>
      <c r="I58" s="107">
        <f t="shared" si="8"/>
        <v>20995.653992824406</v>
      </c>
      <c r="J58" s="107">
        <f t="shared" si="8"/>
        <v>22962.40860328242</v>
      </c>
      <c r="K58" s="107">
        <f t="shared" si="8"/>
        <v>18532.223476679894</v>
      </c>
      <c r="L58" s="107">
        <f t="shared" si="8"/>
        <v>20530.038591328521</v>
      </c>
      <c r="M58" s="107">
        <f t="shared" si="8"/>
        <v>17741.49215805337</v>
      </c>
      <c r="N58" s="107">
        <f t="shared" si="8"/>
        <v>16492.265311727941</v>
      </c>
      <c r="P58" s="152">
        <f>AVERAGE(C58:N58)</f>
        <v>21327.428784222317</v>
      </c>
      <c r="S58" s="206"/>
      <c r="T58" s="523"/>
      <c r="U58" s="523"/>
      <c r="V58" s="523"/>
      <c r="W58" s="523"/>
      <c r="X58" s="523"/>
      <c r="Y58" s="523"/>
      <c r="Z58" s="523"/>
      <c r="AA58" s="523"/>
      <c r="AB58" s="523"/>
      <c r="AC58" s="523"/>
      <c r="AD58" s="523"/>
      <c r="AE58" s="523"/>
    </row>
    <row r="59" spans="1:31" s="12" customFormat="1" ht="15.6">
      <c r="A59" s="111"/>
      <c r="B59" s="149" t="s">
        <v>430</v>
      </c>
      <c r="C59" s="107">
        <f t="shared" ref="C59:N59" si="9">MIN(+C$27/C$18/C14,C60)</f>
        <v>26781.36750865974</v>
      </c>
      <c r="D59" s="107">
        <f t="shared" si="9"/>
        <v>34175.611078731978</v>
      </c>
      <c r="E59" s="107">
        <f t="shared" si="9"/>
        <v>28221.723849800863</v>
      </c>
      <c r="F59" s="107">
        <f t="shared" si="9"/>
        <v>31233.333859702281</v>
      </c>
      <c r="G59" s="107">
        <f t="shared" si="9"/>
        <v>30727.745385050453</v>
      </c>
      <c r="H59" s="107">
        <f t="shared" si="9"/>
        <v>33324.186596511689</v>
      </c>
      <c r="I59" s="107">
        <f t="shared" si="9"/>
        <v>25406.658384684375</v>
      </c>
      <c r="J59" s="107">
        <f t="shared" si="9"/>
        <v>28392.232140624565</v>
      </c>
      <c r="K59" s="107">
        <f t="shared" si="9"/>
        <v>27094.155432733452</v>
      </c>
      <c r="L59" s="107">
        <f t="shared" si="9"/>
        <v>26673.284376591753</v>
      </c>
      <c r="M59" s="107">
        <f t="shared" si="9"/>
        <v>24877.037318365052</v>
      </c>
      <c r="N59" s="107">
        <f t="shared" si="9"/>
        <v>24999.020867905972</v>
      </c>
      <c r="P59" s="152">
        <f>AVERAGE(C59:N59)</f>
        <v>28492.196399946853</v>
      </c>
      <c r="S59" s="206"/>
      <c r="T59" s="523"/>
      <c r="U59" s="523"/>
      <c r="V59" s="523"/>
      <c r="W59" s="523"/>
      <c r="X59" s="523"/>
      <c r="Y59" s="523"/>
      <c r="Z59" s="523"/>
      <c r="AA59" s="523"/>
      <c r="AB59" s="523"/>
      <c r="AC59" s="523"/>
      <c r="AD59" s="523"/>
      <c r="AE59" s="523"/>
    </row>
    <row r="60" spans="1:31" s="106" customFormat="1">
      <c r="A60" s="109"/>
      <c r="B60" s="149" t="s">
        <v>133</v>
      </c>
      <c r="C60" s="107">
        <f t="shared" ref="C60:N60" si="10">+C$27/C$18/C15</f>
        <v>34167.844540610349</v>
      </c>
      <c r="D60" s="107">
        <f t="shared" si="10"/>
        <v>40441.026214514146</v>
      </c>
      <c r="E60" s="107">
        <f t="shared" si="10"/>
        <v>35560.190467100452</v>
      </c>
      <c r="F60" s="107">
        <f t="shared" si="10"/>
        <v>36901.464479298986</v>
      </c>
      <c r="G60" s="107">
        <f t="shared" si="10"/>
        <v>37611.17914696956</v>
      </c>
      <c r="H60" s="107">
        <f t="shared" si="10"/>
        <v>40798.709962277142</v>
      </c>
      <c r="I60" s="107">
        <f t="shared" si="10"/>
        <v>32881.384867279623</v>
      </c>
      <c r="J60" s="107">
        <f t="shared" si="10"/>
        <v>32098.219173590944</v>
      </c>
      <c r="K60" s="107">
        <f t="shared" si="10"/>
        <v>32689.520478589446</v>
      </c>
      <c r="L60" s="107">
        <f t="shared" si="10"/>
        <v>32229.541978275745</v>
      </c>
      <c r="M60" s="107">
        <f t="shared" si="10"/>
        <v>33527.087689575899</v>
      </c>
      <c r="N60" s="107">
        <f t="shared" si="10"/>
        <v>31748.717356108817</v>
      </c>
      <c r="P60" s="152">
        <f>AVERAGE(C60:N60)</f>
        <v>35054.573862849262</v>
      </c>
      <c r="S60" s="206"/>
      <c r="T60" s="524"/>
      <c r="U60" s="524"/>
      <c r="V60" s="524"/>
      <c r="W60" s="524"/>
      <c r="X60" s="524"/>
      <c r="Y60" s="524"/>
      <c r="Z60" s="524"/>
      <c r="AA60" s="524"/>
      <c r="AB60" s="524"/>
      <c r="AC60" s="524"/>
      <c r="AD60" s="524"/>
      <c r="AE60" s="524"/>
    </row>
    <row r="61" spans="1:31" s="106" customFormat="1" ht="16.5" customHeight="1">
      <c r="A61" s="109"/>
      <c r="B61" s="108"/>
      <c r="C61" s="107"/>
      <c r="D61" s="107"/>
      <c r="E61" s="107"/>
      <c r="F61" s="107"/>
      <c r="G61" s="107"/>
      <c r="H61" s="107"/>
      <c r="I61" s="107"/>
      <c r="J61" s="107"/>
      <c r="K61" s="107"/>
      <c r="L61" s="107"/>
      <c r="M61" s="107"/>
      <c r="N61" s="107"/>
      <c r="S61" s="206"/>
      <c r="T61" s="524"/>
      <c r="U61" s="524"/>
      <c r="V61" s="524"/>
      <c r="W61" s="524"/>
      <c r="X61" s="524"/>
      <c r="Y61" s="524"/>
      <c r="Z61" s="524"/>
      <c r="AA61" s="524"/>
      <c r="AB61" s="524"/>
      <c r="AC61" s="524"/>
      <c r="AD61" s="524"/>
      <c r="AE61" s="524"/>
    </row>
    <row r="62" spans="1:31" s="106" customFormat="1" ht="16.5" customHeight="1">
      <c r="A62" s="109"/>
      <c r="B62" s="146" t="str">
        <f>"TEST - "&amp;MANUAL!$B$10</f>
        <v>TEST - 2017</v>
      </c>
      <c r="C62" s="107"/>
      <c r="D62" s="107"/>
      <c r="E62" s="107"/>
      <c r="F62" s="107"/>
      <c r="G62" s="107"/>
      <c r="H62" s="107"/>
      <c r="I62" s="107"/>
      <c r="J62" s="107"/>
      <c r="K62" s="107"/>
      <c r="L62" s="107"/>
      <c r="M62" s="107"/>
      <c r="N62" s="107"/>
      <c r="S62" s="206"/>
      <c r="T62" s="524"/>
      <c r="U62" s="524"/>
      <c r="V62" s="524"/>
      <c r="W62" s="524"/>
      <c r="X62" s="524"/>
      <c r="Y62" s="524"/>
      <c r="Z62" s="524"/>
      <c r="AA62" s="524"/>
      <c r="AB62" s="524"/>
      <c r="AC62" s="524"/>
      <c r="AD62" s="524"/>
      <c r="AE62" s="524"/>
    </row>
    <row r="63" spans="1:31" s="106" customFormat="1" ht="16.5" customHeight="1">
      <c r="A63" s="109"/>
      <c r="B63" s="149" t="s">
        <v>432</v>
      </c>
      <c r="C63" s="107">
        <f>C39+C44</f>
        <v>22546.288741339005</v>
      </c>
      <c r="D63" s="107">
        <f t="shared" ref="D63:N63" si="11">D39+D44</f>
        <v>26328.467026883409</v>
      </c>
      <c r="E63" s="107">
        <f t="shared" si="11"/>
        <v>25352.986687441775</v>
      </c>
      <c r="F63" s="107">
        <f t="shared" si="11"/>
        <v>27078.354683110661</v>
      </c>
      <c r="G63" s="107">
        <f t="shared" si="11"/>
        <v>24834.778915500832</v>
      </c>
      <c r="H63" s="107">
        <f t="shared" si="11"/>
        <v>26616.790102447776</v>
      </c>
      <c r="I63" s="107">
        <f t="shared" si="11"/>
        <v>22699.210291129508</v>
      </c>
      <c r="J63" s="107">
        <f t="shared" si="11"/>
        <v>25653.857937895773</v>
      </c>
      <c r="K63" s="107">
        <f t="shared" si="11"/>
        <v>18977.582687882652</v>
      </c>
      <c r="L63" s="107">
        <f t="shared" si="11"/>
        <v>21283.473050646378</v>
      </c>
      <c r="M63" s="107">
        <f t="shared" si="11"/>
        <v>17671.113815647899</v>
      </c>
      <c r="N63" s="107">
        <f t="shared" si="11"/>
        <v>17189.029539196759</v>
      </c>
      <c r="P63" s="152">
        <f>AVERAGE(C63:N63)</f>
        <v>23019.327789926869</v>
      </c>
      <c r="S63" s="206"/>
      <c r="T63" s="523"/>
      <c r="U63" s="523"/>
      <c r="V63" s="523"/>
      <c r="W63" s="523"/>
      <c r="X63" s="523"/>
      <c r="Y63" s="523"/>
      <c r="Z63" s="523"/>
      <c r="AA63" s="523"/>
      <c r="AB63" s="523"/>
      <c r="AC63" s="523"/>
      <c r="AD63" s="523"/>
      <c r="AE63" s="523"/>
    </row>
    <row r="64" spans="1:31" s="106" customFormat="1" ht="16.5" customHeight="1">
      <c r="A64" s="109"/>
      <c r="B64" s="149" t="s">
        <v>430</v>
      </c>
      <c r="C64" s="107">
        <f>MAX(+C$28/C$19/C14,C63)</f>
        <v>27380.683146390817</v>
      </c>
      <c r="D64" s="107">
        <f t="shared" ref="D64:N65" si="12">MAX(+D$28/D$19/D14,D63)</f>
        <v>36183.576392223775</v>
      </c>
      <c r="E64" s="107">
        <f t="shared" si="12"/>
        <v>28922.057366479581</v>
      </c>
      <c r="F64" s="107">
        <f t="shared" si="12"/>
        <v>31958.381878042073</v>
      </c>
      <c r="G64" s="107">
        <f t="shared" si="12"/>
        <v>31038.891568586663</v>
      </c>
      <c r="H64" s="107">
        <f t="shared" si="12"/>
        <v>33975.765575338191</v>
      </c>
      <c r="I64" s="107">
        <f t="shared" si="12"/>
        <v>25818.698279335804</v>
      </c>
      <c r="J64" s="107">
        <f t="shared" si="12"/>
        <v>28906.859855872557</v>
      </c>
      <c r="K64" s="107">
        <f t="shared" si="12"/>
        <v>27487.675292421976</v>
      </c>
      <c r="L64" s="107">
        <f t="shared" si="12"/>
        <v>27112.400607396637</v>
      </c>
      <c r="M64" s="107">
        <f t="shared" si="12"/>
        <v>25303.056522634241</v>
      </c>
      <c r="N64" s="107">
        <f t="shared" si="12"/>
        <v>25394.551630268208</v>
      </c>
      <c r="P64" s="152">
        <f>AVERAGE(C64:N64)</f>
        <v>29123.549842915876</v>
      </c>
    </row>
    <row r="65" spans="1:32" s="106" customFormat="1" ht="16.5" customHeight="1">
      <c r="A65" s="109"/>
      <c r="B65" s="149" t="s">
        <v>133</v>
      </c>
      <c r="C65" s="107">
        <f>MAX(+C$28/C$19/C15,C64)</f>
        <v>34932.455366929462</v>
      </c>
      <c r="D65" s="107">
        <f t="shared" si="12"/>
        <v>42817.111829887137</v>
      </c>
      <c r="E65" s="107">
        <f t="shared" si="12"/>
        <v>36442.631007449134</v>
      </c>
      <c r="F65" s="107">
        <f t="shared" si="12"/>
        <v>37758.092011112749</v>
      </c>
      <c r="G65" s="107">
        <f t="shared" si="12"/>
        <v>37992.026316302392</v>
      </c>
      <c r="H65" s="107">
        <f t="shared" si="12"/>
        <v>41596.436313306571</v>
      </c>
      <c r="I65" s="107">
        <f t="shared" si="12"/>
        <v>33414.648319386113</v>
      </c>
      <c r="J65" s="107">
        <f t="shared" si="12"/>
        <v>32680.020319588162</v>
      </c>
      <c r="K65" s="107">
        <f t="shared" si="12"/>
        <v>33164.308317758558</v>
      </c>
      <c r="L65" s="107">
        <f t="shared" si="12"/>
        <v>32760.129617737512</v>
      </c>
      <c r="M65" s="107">
        <f t="shared" si="12"/>
        <v>34101.238985656164</v>
      </c>
      <c r="N65" s="107">
        <f t="shared" si="12"/>
        <v>32251.040804944627</v>
      </c>
      <c r="P65" s="152">
        <f>AVERAGE(C65:N65)</f>
        <v>35825.844934171553</v>
      </c>
    </row>
    <row r="66" spans="1:32" s="106" customFormat="1" ht="16.5" customHeight="1">
      <c r="A66" s="109"/>
      <c r="B66" s="149" t="s">
        <v>158</v>
      </c>
      <c r="C66" s="499">
        <f>C28/C19/C63</f>
        <v>0.90305035890247165</v>
      </c>
      <c r="D66" s="499">
        <f t="shared" ref="D66:N66" si="13">D28/D19/D63</f>
        <v>0.9293989761209277</v>
      </c>
      <c r="E66" s="499">
        <f t="shared" si="13"/>
        <v>0.79314206287383016</v>
      </c>
      <c r="F66" s="499">
        <f t="shared" si="13"/>
        <v>0.77996214739884884</v>
      </c>
      <c r="G66" s="499">
        <f t="shared" si="13"/>
        <v>0.87224192965738423</v>
      </c>
      <c r="H66" s="499">
        <f t="shared" si="13"/>
        <v>0.84032552270450622</v>
      </c>
      <c r="I66" s="499">
        <f t="shared" si="13"/>
        <v>0.81380679188628924</v>
      </c>
      <c r="J66" s="499">
        <f t="shared" si="13"/>
        <v>0.7444149584685924</v>
      </c>
      <c r="K66" s="499">
        <f t="shared" si="13"/>
        <v>0.93840989560066201</v>
      </c>
      <c r="L66" s="499">
        <f t="shared" si="13"/>
        <v>0.83328550914676669</v>
      </c>
      <c r="M66" s="499">
        <f t="shared" si="13"/>
        <v>0.9435274272746369</v>
      </c>
      <c r="N66" s="499">
        <f t="shared" si="13"/>
        <v>1.0195574402281351</v>
      </c>
      <c r="P66" s="152"/>
    </row>
    <row r="67" spans="1:32" s="106" customFormat="1" ht="16.5" customHeight="1">
      <c r="A67" s="109"/>
      <c r="B67" s="149" t="s">
        <v>988</v>
      </c>
      <c r="C67" s="499">
        <f>C28/C19/C64</f>
        <v>0.74360577604758393</v>
      </c>
      <c r="D67" s="499">
        <f t="shared" ref="D67:N67" si="14">D28/D19/D64</f>
        <v>0.67626400531479325</v>
      </c>
      <c r="E67" s="499">
        <f t="shared" si="14"/>
        <v>0.69526589711408038</v>
      </c>
      <c r="F67" s="499">
        <f t="shared" si="14"/>
        <v>0.66086235990495612</v>
      </c>
      <c r="G67" s="499">
        <f t="shared" si="14"/>
        <v>0.69789655458554534</v>
      </c>
      <c r="H67" s="499">
        <f t="shared" si="14"/>
        <v>0.65831535145129449</v>
      </c>
      <c r="I67" s="499">
        <f t="shared" si="14"/>
        <v>0.71548035867327875</v>
      </c>
      <c r="J67" s="499">
        <f t="shared" si="14"/>
        <v>0.66064303375097266</v>
      </c>
      <c r="K67" s="499">
        <f t="shared" si="14"/>
        <v>0.64788132133525855</v>
      </c>
      <c r="L67" s="499">
        <f t="shared" si="14"/>
        <v>0.6541364571229058</v>
      </c>
      <c r="M67" s="499">
        <f t="shared" si="14"/>
        <v>0.65893938705155886</v>
      </c>
      <c r="N67" s="499">
        <f t="shared" si="14"/>
        <v>0.69011665227042851</v>
      </c>
      <c r="P67" s="152"/>
    </row>
    <row r="68" spans="1:32" s="106" customFormat="1" ht="16.5" customHeight="1">
      <c r="A68" s="109"/>
      <c r="B68" s="149" t="s">
        <v>150</v>
      </c>
      <c r="C68" s="499">
        <f>C28/C19/C65</f>
        <v>0.58285150373541039</v>
      </c>
      <c r="D68" s="499">
        <f t="shared" ref="D68:N68" si="15">D28/D19/D65</f>
        <v>0.57149231351328034</v>
      </c>
      <c r="E68" s="499">
        <f t="shared" si="15"/>
        <v>0.55178563142655634</v>
      </c>
      <c r="F68" s="499">
        <f t="shared" si="15"/>
        <v>0.55935272525027802</v>
      </c>
      <c r="G68" s="499">
        <f t="shared" si="15"/>
        <v>0.57017057483390465</v>
      </c>
      <c r="H68" s="499">
        <f t="shared" si="15"/>
        <v>0.53770875675713825</v>
      </c>
      <c r="I68" s="499">
        <f t="shared" si="15"/>
        <v>0.55283453319061371</v>
      </c>
      <c r="J68" s="499">
        <f t="shared" si="15"/>
        <v>0.58436669881600967</v>
      </c>
      <c r="K68" s="499">
        <f t="shared" si="15"/>
        <v>0.53698546094364952</v>
      </c>
      <c r="L68" s="499">
        <f t="shared" si="15"/>
        <v>0.54136567481152076</v>
      </c>
      <c r="M68" s="499">
        <f t="shared" si="15"/>
        <v>0.4889318116144904</v>
      </c>
      <c r="N68" s="499">
        <f t="shared" si="15"/>
        <v>0.54339960880587579</v>
      </c>
      <c r="P68" s="152"/>
    </row>
    <row r="69" spans="1:32" s="106" customFormat="1" ht="16.5" customHeight="1">
      <c r="A69" s="109"/>
      <c r="B69" s="149"/>
      <c r="C69" s="107"/>
      <c r="D69" s="107"/>
      <c r="E69" s="107"/>
      <c r="F69" s="107"/>
      <c r="G69" s="107"/>
      <c r="H69" s="107"/>
      <c r="I69" s="107"/>
      <c r="J69" s="107"/>
      <c r="K69" s="107"/>
      <c r="L69" s="107"/>
      <c r="M69" s="107"/>
      <c r="N69" s="107"/>
      <c r="P69" s="152"/>
      <c r="T69" s="554"/>
      <c r="U69" s="554"/>
      <c r="V69" s="554"/>
      <c r="W69" s="554"/>
      <c r="X69" s="554"/>
      <c r="Y69" s="554"/>
      <c r="Z69" s="554"/>
      <c r="AA69" s="554"/>
      <c r="AB69" s="554"/>
      <c r="AC69" s="554"/>
      <c r="AD69" s="554"/>
      <c r="AE69" s="554"/>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c r="T70" s="554"/>
      <c r="U70" s="554"/>
      <c r="V70" s="554"/>
      <c r="W70" s="554"/>
      <c r="X70" s="554"/>
      <c r="Y70" s="554"/>
      <c r="Z70" s="554"/>
      <c r="AA70" s="554"/>
      <c r="AB70" s="554"/>
      <c r="AC70" s="554"/>
      <c r="AD70" s="554"/>
      <c r="AE70" s="554"/>
    </row>
    <row r="71" spans="1:32" s="106" customFormat="1" ht="16.5" customHeight="1">
      <c r="A71" s="109"/>
      <c r="B71" s="149" t="s">
        <v>432</v>
      </c>
      <c r="C71" s="107">
        <f>C49+C54</f>
        <v>23165.48104411742</v>
      </c>
      <c r="D71" s="107">
        <f t="shared" ref="D71:N71" si="16">D49+D54</f>
        <v>27048.622753068437</v>
      </c>
      <c r="E71" s="107">
        <f t="shared" si="16"/>
        <v>25915.162707454678</v>
      </c>
      <c r="F71" s="107">
        <f t="shared" si="16"/>
        <v>27616.336604310727</v>
      </c>
      <c r="G71" s="107">
        <f t="shared" si="16"/>
        <v>25458.303023398716</v>
      </c>
      <c r="H71" s="107">
        <f t="shared" si="16"/>
        <v>27155.051708630894</v>
      </c>
      <c r="I71" s="107">
        <f t="shared" si="16"/>
        <v>23158.88716181169</v>
      </c>
      <c r="J71" s="107">
        <f t="shared" si="16"/>
        <v>26210.127863961945</v>
      </c>
      <c r="K71" s="107">
        <f t="shared" si="16"/>
        <v>19357.439222751524</v>
      </c>
      <c r="L71" s="107">
        <f t="shared" si="16"/>
        <v>21710.413972268983</v>
      </c>
      <c r="M71" s="107">
        <f t="shared" si="16"/>
        <v>18008.354814466064</v>
      </c>
      <c r="N71" s="107">
        <f t="shared" si="16"/>
        <v>17499.523647236445</v>
      </c>
      <c r="O71" s="107"/>
      <c r="P71" s="152">
        <f>AVERAGE(C71:N71)</f>
        <v>23525.308710289799</v>
      </c>
      <c r="T71" s="554"/>
      <c r="U71" s="554"/>
      <c r="V71" s="554"/>
      <c r="W71" s="554"/>
      <c r="X71" s="554"/>
      <c r="Y71" s="554"/>
      <c r="Z71" s="554"/>
      <c r="AA71" s="554"/>
      <c r="AB71" s="554"/>
      <c r="AC71" s="554"/>
      <c r="AD71" s="554"/>
      <c r="AE71" s="554"/>
      <c r="AF71" s="523"/>
    </row>
    <row r="72" spans="1:32" s="106" customFormat="1" ht="16.5" customHeight="1">
      <c r="A72" s="109"/>
      <c r="B72" s="149" t="s">
        <v>430</v>
      </c>
      <c r="C72" s="107">
        <f>MAX(+C$29/C$14/C20,C71)</f>
        <v>27881.268154221616</v>
      </c>
      <c r="D72" s="107">
        <f t="shared" ref="D72:N72" si="17">MAX(+D$29/D$14/D20,D71)</f>
        <v>36855.415748213207</v>
      </c>
      <c r="E72" s="107">
        <f t="shared" si="17"/>
        <v>29381.307671426475</v>
      </c>
      <c r="F72" s="107">
        <f t="shared" si="17"/>
        <v>32465.421397408139</v>
      </c>
      <c r="G72" s="107">
        <f t="shared" si="17"/>
        <v>31697.44111915513</v>
      </c>
      <c r="H72" s="107">
        <f t="shared" si="17"/>
        <v>34499.978206049956</v>
      </c>
      <c r="I72" s="107">
        <f t="shared" si="17"/>
        <v>26204.764947597349</v>
      </c>
      <c r="J72" s="107">
        <f t="shared" si="17"/>
        <v>29315.491542922355</v>
      </c>
      <c r="K72" s="107">
        <f t="shared" si="17"/>
        <v>27882.980887254183</v>
      </c>
      <c r="L72" s="107">
        <f t="shared" si="17"/>
        <v>27504.311042038007</v>
      </c>
      <c r="M72" s="107">
        <f t="shared" si="17"/>
        <v>25662.405035626318</v>
      </c>
      <c r="N72" s="107">
        <f t="shared" si="17"/>
        <v>25758.351743340467</v>
      </c>
      <c r="O72" s="107"/>
      <c r="P72" s="152">
        <f>AVERAGE(C72:N72)</f>
        <v>29592.428124604441</v>
      </c>
      <c r="T72" s="206"/>
      <c r="U72" s="523"/>
      <c r="V72" s="523"/>
      <c r="W72" s="523"/>
      <c r="X72" s="523"/>
      <c r="Y72" s="523"/>
      <c r="Z72" s="523"/>
      <c r="AA72" s="523"/>
      <c r="AB72" s="523"/>
      <c r="AC72" s="523"/>
      <c r="AD72" s="523"/>
      <c r="AE72" s="523"/>
      <c r="AF72" s="523"/>
    </row>
    <row r="73" spans="1:32" s="106" customFormat="1" ht="16.5" customHeight="1">
      <c r="A73" s="109"/>
      <c r="B73" s="149" t="s">
        <v>133</v>
      </c>
      <c r="C73" s="107">
        <f>MAX(+C$29/C$15/C20,C72)</f>
        <v>35571.105007258411</v>
      </c>
      <c r="D73" s="107">
        <f t="shared" ref="D73:N73" si="18">MAX(+D$29/D$15/D20,D72)</f>
        <v>43612.119502022644</v>
      </c>
      <c r="E73" s="107">
        <f t="shared" si="18"/>
        <v>37021.299709719096</v>
      </c>
      <c r="F73" s="107">
        <f t="shared" si="18"/>
        <v>38357.147523327163</v>
      </c>
      <c r="G73" s="107">
        <f t="shared" si="18"/>
        <v>38798.099941724882</v>
      </c>
      <c r="H73" s="107">
        <f t="shared" si="18"/>
        <v>42238.228394773621</v>
      </c>
      <c r="I73" s="107">
        <f t="shared" si="18"/>
        <v>33914.297132359825</v>
      </c>
      <c r="J73" s="107">
        <f t="shared" si="18"/>
        <v>33141.989966329362</v>
      </c>
      <c r="K73" s="107">
        <f t="shared" si="18"/>
        <v>33641.250674188552</v>
      </c>
      <c r="L73" s="107">
        <f t="shared" si="18"/>
        <v>33233.678117677147</v>
      </c>
      <c r="M73" s="107">
        <f t="shared" si="18"/>
        <v>34585.537375051186</v>
      </c>
      <c r="N73" s="107">
        <f t="shared" si="18"/>
        <v>32713.0663788694</v>
      </c>
      <c r="O73" s="107"/>
      <c r="P73" s="152">
        <f>AVERAGE(C73:N73)</f>
        <v>36402.318310275106</v>
      </c>
      <c r="T73" s="206"/>
      <c r="U73" s="523"/>
      <c r="V73" s="523"/>
      <c r="W73" s="523"/>
      <c r="X73" s="523"/>
      <c r="Y73" s="523"/>
      <c r="Z73" s="523"/>
      <c r="AA73" s="523"/>
      <c r="AB73" s="523"/>
      <c r="AC73" s="523"/>
      <c r="AD73" s="523"/>
      <c r="AE73" s="523"/>
      <c r="AF73" s="523"/>
    </row>
    <row r="74" spans="1:32" s="106" customFormat="1" ht="16.5" customHeight="1">
      <c r="A74" s="109"/>
      <c r="B74" s="149" t="s">
        <v>158</v>
      </c>
      <c r="C74" s="499">
        <f>C29/C20/C71</f>
        <v>0.8949812871801146</v>
      </c>
      <c r="D74" s="499">
        <f t="shared" ref="D74:N74" si="19">D29/D20/D71</f>
        <v>0.92145139140591392</v>
      </c>
      <c r="E74" s="499">
        <f t="shared" si="19"/>
        <v>0.7882574949329928</v>
      </c>
      <c r="F74" s="499">
        <f t="shared" si="19"/>
        <v>0.77690156038476832</v>
      </c>
      <c r="G74" s="499">
        <f t="shared" si="19"/>
        <v>0.86893203077615444</v>
      </c>
      <c r="H74" s="499">
        <f t="shared" si="19"/>
        <v>0.83637716920859684</v>
      </c>
      <c r="I74" s="499">
        <f t="shared" si="19"/>
        <v>0.8095809825686463</v>
      </c>
      <c r="J74" s="499">
        <f t="shared" si="19"/>
        <v>0.7389157111074719</v>
      </c>
      <c r="K74" s="499">
        <f t="shared" si="19"/>
        <v>0.93322584108995621</v>
      </c>
      <c r="L74" s="499">
        <f t="shared" si="19"/>
        <v>0.82870702528408957</v>
      </c>
      <c r="M74" s="499">
        <f t="shared" si="19"/>
        <v>0.9390069008891756</v>
      </c>
      <c r="N74" s="499">
        <f t="shared" si="19"/>
        <v>1.0158143633770018</v>
      </c>
      <c r="O74" s="107"/>
      <c r="P74" s="152"/>
      <c r="T74" s="206"/>
      <c r="U74" s="523"/>
      <c r="V74" s="523"/>
      <c r="W74" s="523"/>
      <c r="X74" s="523"/>
      <c r="Y74" s="523"/>
      <c r="Z74" s="523"/>
      <c r="AA74" s="523"/>
      <c r="AB74" s="523"/>
      <c r="AC74" s="523"/>
      <c r="AD74" s="523"/>
      <c r="AE74" s="523"/>
      <c r="AF74" s="523"/>
    </row>
    <row r="75" spans="1:32" s="106" customFormat="1" ht="16.5" customHeight="1">
      <c r="A75" s="109"/>
      <c r="B75" s="149" t="s">
        <v>988</v>
      </c>
      <c r="C75" s="499">
        <f>C29/C20/C72</f>
        <v>0.74360577604758393</v>
      </c>
      <c r="D75" s="499">
        <f t="shared" ref="D75:N75" si="20">D29/D20/D72</f>
        <v>0.67626400531479325</v>
      </c>
      <c r="E75" s="499">
        <f t="shared" si="20"/>
        <v>0.69526589711408038</v>
      </c>
      <c r="F75" s="499">
        <f t="shared" si="20"/>
        <v>0.66086235990495601</v>
      </c>
      <c r="G75" s="499">
        <f t="shared" si="20"/>
        <v>0.69789655458554545</v>
      </c>
      <c r="H75" s="499">
        <f t="shared" si="20"/>
        <v>0.65831535145129449</v>
      </c>
      <c r="I75" s="499">
        <f t="shared" si="20"/>
        <v>0.71548035867327886</v>
      </c>
      <c r="J75" s="499">
        <f t="shared" si="20"/>
        <v>0.66064303375097255</v>
      </c>
      <c r="K75" s="499">
        <f t="shared" si="20"/>
        <v>0.64788132133525855</v>
      </c>
      <c r="L75" s="499">
        <f t="shared" si="20"/>
        <v>0.65413645712290591</v>
      </c>
      <c r="M75" s="499">
        <f t="shared" si="20"/>
        <v>0.65893938705155886</v>
      </c>
      <c r="N75" s="499">
        <f t="shared" si="20"/>
        <v>0.69011665227042851</v>
      </c>
      <c r="O75" s="107"/>
      <c r="P75" s="152"/>
      <c r="T75" s="206"/>
      <c r="U75" s="523"/>
      <c r="V75" s="523"/>
      <c r="W75" s="523"/>
      <c r="X75" s="523"/>
      <c r="Y75" s="523"/>
      <c r="Z75" s="523"/>
      <c r="AA75" s="523"/>
      <c r="AB75" s="523"/>
      <c r="AC75" s="523"/>
      <c r="AD75" s="523"/>
      <c r="AE75" s="523"/>
      <c r="AF75" s="523"/>
    </row>
    <row r="76" spans="1:32" s="106" customFormat="1" ht="16.5" customHeight="1">
      <c r="A76" s="109"/>
      <c r="B76" s="149" t="s">
        <v>150</v>
      </c>
      <c r="C76" s="499">
        <f>C29/C20/C73</f>
        <v>0.58285150373541039</v>
      </c>
      <c r="D76" s="499">
        <f t="shared" ref="D76:N76" si="21">D29/D20/D73</f>
        <v>0.57149231351328034</v>
      </c>
      <c r="E76" s="499">
        <f t="shared" si="21"/>
        <v>0.55178563142655634</v>
      </c>
      <c r="F76" s="499">
        <f t="shared" si="21"/>
        <v>0.55935272525027802</v>
      </c>
      <c r="G76" s="499">
        <f t="shared" si="21"/>
        <v>0.57017057483390465</v>
      </c>
      <c r="H76" s="499">
        <f t="shared" si="21"/>
        <v>0.53770875675713825</v>
      </c>
      <c r="I76" s="499">
        <f t="shared" si="21"/>
        <v>0.55283453319061382</v>
      </c>
      <c r="J76" s="499">
        <f t="shared" si="21"/>
        <v>0.58436669881600967</v>
      </c>
      <c r="K76" s="499">
        <f t="shared" si="21"/>
        <v>0.53698546094364952</v>
      </c>
      <c r="L76" s="499">
        <f t="shared" si="21"/>
        <v>0.54136567481152087</v>
      </c>
      <c r="M76" s="499">
        <f t="shared" si="21"/>
        <v>0.4889318116144904</v>
      </c>
      <c r="N76" s="499">
        <f t="shared" si="21"/>
        <v>0.54339960880587579</v>
      </c>
      <c r="O76" s="107"/>
      <c r="P76" s="152"/>
      <c r="T76" s="206"/>
      <c r="U76" s="524"/>
      <c r="V76" s="524"/>
      <c r="W76" s="524"/>
      <c r="X76" s="524"/>
      <c r="Y76" s="524"/>
      <c r="Z76" s="524"/>
      <c r="AA76" s="524"/>
      <c r="AB76" s="524"/>
      <c r="AC76" s="524"/>
      <c r="AD76" s="524"/>
      <c r="AE76" s="524"/>
      <c r="AF76" s="524"/>
    </row>
    <row r="77" spans="1:32" s="106" customFormat="1" ht="16.5" customHeight="1">
      <c r="A77" s="109"/>
      <c r="B77" s="108"/>
      <c r="C77" s="107"/>
      <c r="D77" s="107"/>
      <c r="E77" s="107"/>
      <c r="F77" s="107"/>
      <c r="G77" s="107"/>
      <c r="H77" s="107"/>
      <c r="I77" s="107"/>
      <c r="J77" s="107"/>
      <c r="K77" s="107"/>
      <c r="L77" s="107"/>
      <c r="M77" s="107"/>
      <c r="N77" s="107"/>
      <c r="T77" s="206"/>
      <c r="U77" s="524"/>
      <c r="V77" s="524"/>
      <c r="W77" s="524"/>
      <c r="X77" s="524"/>
      <c r="Y77" s="524"/>
      <c r="Z77" s="524"/>
      <c r="AA77" s="524"/>
      <c r="AB77" s="524"/>
      <c r="AC77" s="524"/>
      <c r="AD77" s="524"/>
      <c r="AE77" s="524"/>
      <c r="AF77" s="524"/>
    </row>
    <row r="78" spans="1:32" ht="13.2">
      <c r="A78" s="42" t="s">
        <v>116</v>
      </c>
      <c r="C78" s="105"/>
      <c r="T78" s="206"/>
      <c r="U78" s="524"/>
      <c r="V78" s="524"/>
      <c r="W78" s="524"/>
      <c r="X78" s="524"/>
      <c r="Y78" s="524"/>
      <c r="Z78" s="524"/>
      <c r="AA78" s="524"/>
      <c r="AB78" s="524"/>
      <c r="AC78" s="524"/>
      <c r="AD78" s="524"/>
      <c r="AE78" s="524"/>
      <c r="AF78" s="524"/>
    </row>
    <row r="79" spans="1:32" ht="13.2">
      <c r="A79"/>
      <c r="B79" s="10" t="s">
        <v>338</v>
      </c>
      <c r="C79" s="105"/>
      <c r="D79" s="105"/>
      <c r="E79" s="105"/>
      <c r="F79" s="105"/>
      <c r="G79" s="105"/>
      <c r="H79" s="105"/>
      <c r="I79" s="105"/>
      <c r="J79" s="105"/>
      <c r="K79" s="105"/>
      <c r="L79" s="105"/>
      <c r="M79" s="105"/>
      <c r="N79" s="105"/>
      <c r="T79" s="206"/>
      <c r="U79" s="523"/>
      <c r="V79" s="523"/>
      <c r="W79" s="523"/>
      <c r="X79" s="523"/>
      <c r="Y79" s="523"/>
      <c r="Z79" s="523"/>
      <c r="AA79" s="523"/>
      <c r="AB79" s="523"/>
      <c r="AC79" s="523"/>
      <c r="AD79" s="523"/>
      <c r="AE79" s="523"/>
      <c r="AF79" s="523"/>
    </row>
    <row r="80" spans="1:32" ht="13.2">
      <c r="A80"/>
      <c r="B80" s="81" t="s">
        <v>426</v>
      </c>
    </row>
    <row r="81" spans="1:32" ht="13.2">
      <c r="A81"/>
      <c r="B81" s="125" t="s">
        <v>431</v>
      </c>
      <c r="C81" s="104"/>
      <c r="U81" s="44"/>
      <c r="V81" s="44"/>
      <c r="W81" s="44"/>
      <c r="X81" s="44"/>
      <c r="Y81" s="44"/>
      <c r="Z81" s="44"/>
      <c r="AA81" s="44"/>
      <c r="AB81" s="44"/>
      <c r="AC81" s="44"/>
      <c r="AD81" s="44"/>
      <c r="AE81" s="44"/>
      <c r="AF81" s="44"/>
    </row>
    <row r="82" spans="1:32" ht="13.2">
      <c r="A82"/>
      <c r="B82" s="153" t="s">
        <v>435</v>
      </c>
      <c r="E82" s="88"/>
      <c r="U82" s="536"/>
      <c r="V82" s="536"/>
      <c r="W82" s="536"/>
      <c r="X82" s="536"/>
      <c r="Y82" s="536"/>
      <c r="Z82" s="536"/>
      <c r="AA82" s="536"/>
      <c r="AB82" s="536"/>
      <c r="AC82" s="536"/>
      <c r="AD82" s="536"/>
      <c r="AE82" s="536"/>
      <c r="AF82" s="536"/>
    </row>
    <row r="83" spans="1:32" ht="13.2">
      <c r="A83"/>
      <c r="B83" t="s">
        <v>433</v>
      </c>
      <c r="C83" s="98"/>
      <c r="D83" s="98"/>
      <c r="E83" s="98"/>
      <c r="F83" s="98"/>
      <c r="G83" s="98"/>
      <c r="H83" s="98"/>
      <c r="I83" s="98"/>
      <c r="J83" s="98"/>
      <c r="K83" s="98"/>
      <c r="L83" s="98"/>
      <c r="M83" s="98"/>
      <c r="N83" s="98"/>
      <c r="U83" s="536"/>
      <c r="V83" s="536"/>
      <c r="W83" s="536"/>
      <c r="X83" s="536"/>
      <c r="Y83" s="536"/>
      <c r="Z83" s="536"/>
      <c r="AA83" s="536"/>
      <c r="AB83" s="536"/>
      <c r="AC83" s="536"/>
      <c r="AD83" s="536"/>
      <c r="AE83" s="536"/>
      <c r="AF83" s="536"/>
    </row>
    <row r="84" spans="1:32">
      <c r="B84" s="10" t="s">
        <v>534</v>
      </c>
      <c r="E84" s="10"/>
      <c r="U84" s="536"/>
      <c r="V84" s="536"/>
      <c r="W84" s="536"/>
      <c r="X84" s="536"/>
      <c r="Y84" s="536"/>
      <c r="Z84" s="536"/>
      <c r="AA84" s="536"/>
      <c r="AB84" s="536"/>
      <c r="AC84" s="536"/>
      <c r="AD84" s="536"/>
      <c r="AE84" s="536"/>
      <c r="AF84" s="536"/>
    </row>
    <row r="85" spans="1:32" ht="15.6" thickBot="1">
      <c r="B85" s="10"/>
      <c r="E85" s="10"/>
      <c r="U85" s="536"/>
      <c r="V85" s="536"/>
      <c r="W85" s="536"/>
      <c r="X85" s="536"/>
      <c r="Y85" s="536"/>
      <c r="Z85" s="536"/>
      <c r="AA85" s="536"/>
      <c r="AB85" s="536"/>
      <c r="AC85" s="536"/>
      <c r="AD85" s="536"/>
      <c r="AE85" s="536"/>
      <c r="AF85" s="536"/>
    </row>
    <row r="86" spans="1:32" ht="15.6" thickBot="1">
      <c r="C86" s="102" t="s">
        <v>79</v>
      </c>
      <c r="D86" s="101" t="s">
        <v>80</v>
      </c>
      <c r="E86" s="100" t="s">
        <v>81</v>
      </c>
      <c r="F86" s="100" t="s">
        <v>70</v>
      </c>
      <c r="G86" s="100" t="s">
        <v>71</v>
      </c>
      <c r="H86" s="101" t="s">
        <v>72</v>
      </c>
      <c r="I86" s="102" t="s">
        <v>73</v>
      </c>
      <c r="J86" s="102" t="s">
        <v>74</v>
      </c>
      <c r="K86" s="103" t="s">
        <v>75</v>
      </c>
      <c r="L86" s="103" t="s">
        <v>76</v>
      </c>
      <c r="M86" s="103" t="s">
        <v>77</v>
      </c>
      <c r="N86" s="103" t="s">
        <v>78</v>
      </c>
      <c r="U86" s="536"/>
      <c r="V86" s="536"/>
      <c r="W86" s="536"/>
      <c r="X86" s="536"/>
      <c r="Y86" s="536"/>
      <c r="Z86" s="536"/>
      <c r="AA86" s="536"/>
      <c r="AB86" s="536"/>
      <c r="AC86" s="536"/>
      <c r="AD86" s="536"/>
      <c r="AE86" s="536"/>
      <c r="AF86" s="536"/>
    </row>
    <row r="87" spans="1:32">
      <c r="B87" s="43" t="s">
        <v>547</v>
      </c>
      <c r="C87" s="145">
        <f>VLOOKUP($B$9&amp;" Total",'Billing Demand'!$A$5:$AL$44,C$9,FALSE)</f>
        <v>30457</v>
      </c>
      <c r="D87" s="145">
        <f>VLOOKUP($B$9&amp;" Total",'Billing Demand'!$A$5:$AL$44,D$9,FALSE)</f>
        <v>32447</v>
      </c>
      <c r="E87" s="145">
        <f>VLOOKUP($B$9&amp;" Total",'Billing Demand'!$A$5:$AL$44,E$9,FALSE)</f>
        <v>32388</v>
      </c>
      <c r="F87" s="145">
        <f>VLOOKUP($B$9&amp;" Total",'Billing Demand'!$A$5:$AL$44,F$9,FALSE)</f>
        <v>33876</v>
      </c>
      <c r="G87" s="145">
        <f>VLOOKUP($B$9&amp;" Total",'Billing Demand'!$A$5:$AL$44,G$9,FALSE)</f>
        <v>32393</v>
      </c>
      <c r="H87" s="145">
        <f>VLOOKUP($B$9&amp;" Total",'Billing Demand'!$A$5:$AL$44,H$9,FALSE)</f>
        <v>30900</v>
      </c>
      <c r="I87" s="145">
        <f>VLOOKUP($B$9&amp;" Total",'Billing Demand'!$A$5:$AL$44,I$9,FALSE)</f>
        <v>28009</v>
      </c>
      <c r="J87" s="145">
        <f>VLOOKUP($B$9&amp;" Total",'Billing Demand'!$A$5:$AL$44,J$9,FALSE)</f>
        <v>28872</v>
      </c>
      <c r="K87" s="145">
        <f>VLOOKUP($B$9&amp;" Total",'Billing Demand'!$A$5:$AL$44,K$9,FALSE)</f>
        <v>24013</v>
      </c>
      <c r="L87" s="145">
        <f>VLOOKUP($B$9&amp;" Total",'Billing Demand'!$A$5:$AL$44,L$9,FALSE)</f>
        <v>25660</v>
      </c>
      <c r="M87" s="145">
        <f>VLOOKUP($B$9&amp;" Total",'Billing Demand'!$A$5:$AL$44,M$9,FALSE)</f>
        <v>22555</v>
      </c>
      <c r="N87" s="145">
        <f>VLOOKUP($B$9&amp;" Total",'Billing Demand'!$A$5:$AL$44,N$9,FALSE)</f>
        <v>23453</v>
      </c>
      <c r="U87" s="536"/>
      <c r="V87" s="536"/>
      <c r="W87" s="536"/>
      <c r="X87" s="536"/>
      <c r="Y87" s="536"/>
      <c r="Z87" s="536"/>
      <c r="AA87" s="536"/>
      <c r="AB87" s="536"/>
      <c r="AC87" s="536"/>
      <c r="AD87" s="536"/>
      <c r="AE87" s="536"/>
      <c r="AF87" s="536"/>
    </row>
    <row r="88" spans="1:32">
      <c r="B88" s="239" t="s">
        <v>548</v>
      </c>
      <c r="C88" s="235">
        <f>+C60</f>
        <v>34167.844540610349</v>
      </c>
      <c r="D88" s="235">
        <f t="shared" ref="D88:N88" si="22">+D60</f>
        <v>40441.026214514146</v>
      </c>
      <c r="E88" s="235">
        <f t="shared" si="22"/>
        <v>35560.190467100452</v>
      </c>
      <c r="F88" s="235">
        <f t="shared" si="22"/>
        <v>36901.464479298986</v>
      </c>
      <c r="G88" s="235">
        <f t="shared" si="22"/>
        <v>37611.17914696956</v>
      </c>
      <c r="H88" s="235">
        <f t="shared" si="22"/>
        <v>40798.709962277142</v>
      </c>
      <c r="I88" s="235">
        <f t="shared" si="22"/>
        <v>32881.384867279623</v>
      </c>
      <c r="J88" s="235">
        <f t="shared" si="22"/>
        <v>32098.219173590944</v>
      </c>
      <c r="K88" s="235">
        <f t="shared" si="22"/>
        <v>32689.520478589446</v>
      </c>
      <c r="L88" s="235">
        <f t="shared" si="22"/>
        <v>32229.541978275745</v>
      </c>
      <c r="M88" s="235">
        <f t="shared" si="22"/>
        <v>33527.087689575899</v>
      </c>
      <c r="N88" s="235">
        <f t="shared" si="22"/>
        <v>31748.717356108817</v>
      </c>
    </row>
    <row r="89" spans="1:32">
      <c r="B89" s="45" t="s">
        <v>535</v>
      </c>
      <c r="C89" s="236" t="str">
        <f>IF(C87&gt;=C88,"OK","CHECK")</f>
        <v>CHECK</v>
      </c>
      <c r="D89" s="236" t="str">
        <f>IF(D87&gt;=D88,"OK","CHECK")</f>
        <v>CHECK</v>
      </c>
      <c r="E89" s="236" t="str">
        <f>IF(E87&gt;=E88,"OK","CHECK")</f>
        <v>CHECK</v>
      </c>
      <c r="F89" s="236" t="str">
        <f>IF(F87&gt;=F88,"OK","CHECK")</f>
        <v>CHECK</v>
      </c>
      <c r="G89" s="236" t="str">
        <f t="shared" ref="G89:N89" si="23">IF(G87&gt;=G88,"OK","CHECK")</f>
        <v>CHECK</v>
      </c>
      <c r="H89" s="236" t="str">
        <f t="shared" si="23"/>
        <v>CHECK</v>
      </c>
      <c r="I89" s="236" t="str">
        <f t="shared" si="23"/>
        <v>CHECK</v>
      </c>
      <c r="J89" s="236" t="str">
        <f t="shared" si="23"/>
        <v>CHECK</v>
      </c>
      <c r="K89" s="236" t="str">
        <f t="shared" si="23"/>
        <v>CHECK</v>
      </c>
      <c r="L89" s="236" t="str">
        <f t="shared" si="23"/>
        <v>CHECK</v>
      </c>
      <c r="M89" s="236" t="str">
        <f t="shared" si="23"/>
        <v>CHECK</v>
      </c>
      <c r="N89" s="236" t="str">
        <f t="shared" si="23"/>
        <v>CHECK</v>
      </c>
    </row>
    <row r="90" spans="1:32" ht="15.6" thickBot="1">
      <c r="G90" s="145"/>
    </row>
    <row r="91" spans="1:32" ht="15.6" thickBot="1">
      <c r="C91" s="102" t="s">
        <v>79</v>
      </c>
      <c r="D91" s="101" t="s">
        <v>80</v>
      </c>
      <c r="E91" s="100" t="s">
        <v>81</v>
      </c>
      <c r="F91" s="100" t="s">
        <v>70</v>
      </c>
      <c r="G91" s="100" t="s">
        <v>71</v>
      </c>
      <c r="H91" s="101" t="s">
        <v>72</v>
      </c>
      <c r="I91" s="102" t="s">
        <v>73</v>
      </c>
      <c r="J91" s="102" t="s">
        <v>74</v>
      </c>
      <c r="K91" s="103" t="s">
        <v>75</v>
      </c>
      <c r="L91" s="103" t="s">
        <v>76</v>
      </c>
      <c r="M91" s="103" t="s">
        <v>77</v>
      </c>
      <c r="N91" s="103" t="s">
        <v>78</v>
      </c>
    </row>
    <row r="92" spans="1:32" ht="409.6">
      <c r="B92" s="43" t="s">
        <v>549</v>
      </c>
      <c r="C92" s="145">
        <f>VLOOKUP($B$9&amp;" Total",'Billing Demand'!$A$5:$AL$44,C$9+12,FALSE)</f>
        <v>31153</v>
      </c>
      <c r="D92" s="145">
        <f>VLOOKUP($B$9&amp;" Total",'Billing Demand'!$A$5:$AL$44,D$9+12,FALSE)</f>
        <v>33170</v>
      </c>
      <c r="E92" s="145">
        <f>VLOOKUP($B$9&amp;" Total",'Billing Demand'!$A$5:$AL$44,E$9+12,FALSE)</f>
        <v>33222</v>
      </c>
      <c r="F92" s="145">
        <f>VLOOKUP($B$9&amp;" Total",'Billing Demand'!$A$5:$AL$44,F$9+12,FALSE)</f>
        <v>34679</v>
      </c>
      <c r="G92" s="145">
        <f>VLOOKUP($B$9&amp;" Total",'Billing Demand'!$A$5:$AL$44,G$9+12,FALSE)</f>
        <v>32733</v>
      </c>
      <c r="H92" s="145">
        <f>VLOOKUP($B$9&amp;" Total",'Billing Demand'!$A$5:$AL$44,H$9+12,FALSE)</f>
        <v>31503</v>
      </c>
      <c r="I92" s="145">
        <f>VLOOKUP($B$9&amp;" Total",'Billing Demand'!$A$5:$AL$44,I$9+12,FALSE)</f>
        <v>28487</v>
      </c>
      <c r="J92" s="145">
        <f>VLOOKUP($B$9&amp;" Total",'Billing Demand'!$A$5:$AL$44,J$9+12,FALSE)</f>
        <v>29403</v>
      </c>
      <c r="K92" s="145">
        <f>VLOOKUP($B$9&amp;" Total",'Billing Demand'!$A$5:$AL$44,K$9+12,FALSE)</f>
        <v>24359</v>
      </c>
      <c r="L92" s="145">
        <f>VLOOKUP($B$9&amp;" Total",'Billing Demand'!$A$5:$AL$44,L$9+12,FALSE)</f>
        <v>26088</v>
      </c>
      <c r="M92" s="145">
        <f>VLOOKUP($B$9&amp;" Total",'Billing Demand'!$A$5:$AL$44,M$9+12,FALSE)</f>
        <v>22927</v>
      </c>
      <c r="N92" s="145">
        <f>VLOOKUP($B$9&amp;" Total",'Billing Demand'!$A$5:$AL$44,N$9+12,FALSE)</f>
        <v>23830</v>
      </c>
    </row>
    <row r="93" spans="1:32">
      <c r="B93" s="239" t="s">
        <v>550</v>
      </c>
      <c r="C93" s="235">
        <f>+C65</f>
        <v>34932.455366929462</v>
      </c>
      <c r="D93" s="235">
        <f t="shared" ref="D93:N93" si="24">+D65</f>
        <v>42817.111829887137</v>
      </c>
      <c r="E93" s="235">
        <f t="shared" si="24"/>
        <v>36442.631007449134</v>
      </c>
      <c r="F93" s="235">
        <f t="shared" si="24"/>
        <v>37758.092011112749</v>
      </c>
      <c r="G93" s="235">
        <f t="shared" si="24"/>
        <v>37992.026316302392</v>
      </c>
      <c r="H93" s="235">
        <f t="shared" si="24"/>
        <v>41596.436313306571</v>
      </c>
      <c r="I93" s="235">
        <f t="shared" si="24"/>
        <v>33414.648319386113</v>
      </c>
      <c r="J93" s="235">
        <f t="shared" si="24"/>
        <v>32680.020319588162</v>
      </c>
      <c r="K93" s="235">
        <f t="shared" si="24"/>
        <v>33164.308317758558</v>
      </c>
      <c r="L93" s="235">
        <f t="shared" si="24"/>
        <v>32760.129617737512</v>
      </c>
      <c r="M93" s="235">
        <f t="shared" si="24"/>
        <v>34101.238985656164</v>
      </c>
      <c r="N93" s="235">
        <f t="shared" si="24"/>
        <v>32251.040804944627</v>
      </c>
    </row>
    <row r="94" spans="1:32" ht="409.6">
      <c r="B94" s="45" t="s">
        <v>535</v>
      </c>
      <c r="C94" s="236" t="str">
        <f>IF(C92&gt;=C93,"OK","CHECK")</f>
        <v>CHECK</v>
      </c>
      <c r="D94" s="236" t="str">
        <f>IF(D92&gt;=D93,"OK","CHECK")</f>
        <v>CHECK</v>
      </c>
      <c r="E94" s="236" t="str">
        <f>IF(E92&gt;=E93,"OK","CHECK")</f>
        <v>CHECK</v>
      </c>
      <c r="F94" s="236" t="str">
        <f>IF(F92&gt;=F93,"OK","CHECK")</f>
        <v>CHECK</v>
      </c>
      <c r="G94" s="236" t="str">
        <f t="shared" ref="G94:N94" si="25">IF(G92&gt;=G93,"OK","CHECK")</f>
        <v>CHECK</v>
      </c>
      <c r="H94" s="236" t="str">
        <f t="shared" si="25"/>
        <v>CHECK</v>
      </c>
      <c r="I94" s="236" t="str">
        <f t="shared" si="25"/>
        <v>CHECK</v>
      </c>
      <c r="J94" s="236" t="str">
        <f t="shared" si="25"/>
        <v>CHECK</v>
      </c>
      <c r="K94" s="236" t="str">
        <f t="shared" si="25"/>
        <v>CHECK</v>
      </c>
      <c r="L94" s="236" t="str">
        <f t="shared" si="25"/>
        <v>CHECK</v>
      </c>
      <c r="M94" s="236" t="str">
        <f t="shared" si="25"/>
        <v>CHECK</v>
      </c>
      <c r="N94" s="236" t="str">
        <f t="shared" si="25"/>
        <v>CHECK</v>
      </c>
    </row>
    <row r="96" spans="1:32">
      <c r="B96" s="45" t="s">
        <v>554</v>
      </c>
    </row>
  </sheetData>
  <mergeCells count="3">
    <mergeCell ref="C7:E7"/>
    <mergeCell ref="F7:L7"/>
    <mergeCell ref="M7:N7"/>
  </mergeCells>
  <conditionalFormatting sqref="C59:N59">
    <cfRule type="cellIs" dxfId="149" priority="13" operator="greaterThanOrEqual">
      <formula>C60</formula>
    </cfRule>
  </conditionalFormatting>
  <conditionalFormatting sqref="C58:N58">
    <cfRule type="cellIs" dxfId="148" priority="11" operator="greaterThanOrEqual">
      <formula>C59</formula>
    </cfRule>
  </conditionalFormatting>
  <conditionalFormatting sqref="C89:N89">
    <cfRule type="cellIs" dxfId="147" priority="9" stopIfTrue="1" operator="equal">
      <formula>"Check"</formula>
    </cfRule>
  </conditionalFormatting>
  <conditionalFormatting sqref="C94:N94">
    <cfRule type="cellIs" dxfId="146" priority="8" stopIfTrue="1" operator="equal">
      <formula>"Error"</formula>
    </cfRule>
  </conditionalFormatting>
  <conditionalFormatting sqref="C94:N94">
    <cfRule type="cellIs" dxfId="145" priority="7" stopIfTrue="1" operator="equal">
      <formula>"Check"</formula>
    </cfRule>
  </conditionalFormatting>
  <conditionalFormatting sqref="C72:N72">
    <cfRule type="cellIs" dxfId="144" priority="2" operator="greaterThanOrEqual">
      <formula>C73</formula>
    </cfRule>
  </conditionalFormatting>
  <conditionalFormatting sqref="C71:N71">
    <cfRule type="cellIs" dxfId="143" priority="1" operator="greaterThan">
      <formula>C72</formula>
    </cfRule>
  </conditionalFormatting>
  <conditionalFormatting sqref="C64:N64">
    <cfRule type="cellIs" dxfId="142" priority="4" operator="greaterThanOrEqual">
      <formula>C65</formula>
    </cfRule>
  </conditionalFormatting>
  <conditionalFormatting sqref="C63:N63">
    <cfRule type="cellIs" dxfId="141" priority="3" operator="greaterThan">
      <formula>C64</formula>
    </cfRule>
  </conditionalFormatting>
  <pageMargins left="0" right="0" top="1" bottom="1" header="0.5" footer="0.5"/>
  <pageSetup scale="34" orientation="landscape" r:id="rId1"/>
  <headerFooter alignWithMargins="0">
    <oddFooter>&amp;LPrinted:  &amp;D&amp;C&amp;F&amp;RPage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pageSetUpPr fitToPage="1"/>
  </sheetPr>
  <dimension ref="A1:AG96"/>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 min="18" max="18" width="10.6640625" bestFit="1" customWidth="1"/>
    <col min="19" max="19" width="16.109375" bestFit="1" customWidth="1"/>
    <col min="20" max="24" width="10.6640625" bestFit="1" customWidth="1"/>
    <col min="25" max="25" width="9.44140625" bestFit="1" customWidth="1"/>
    <col min="26" max="26" width="7" customWidth="1"/>
    <col min="27" max="27" width="8.44140625" customWidth="1"/>
    <col min="28" max="28" width="11.5546875" bestFit="1" customWidth="1"/>
  </cols>
  <sheetData>
    <row r="1" spans="1:16" s="8" customFormat="1" ht="15.6">
      <c r="A1" s="624"/>
      <c r="B1" s="8" t="s">
        <v>1291</v>
      </c>
    </row>
    <row r="2" spans="1:16" s="8" customFormat="1" ht="15.6">
      <c r="A2" s="624"/>
      <c r="B2" s="8" t="s">
        <v>1267</v>
      </c>
    </row>
    <row r="3" spans="1:16" s="8" customFormat="1" ht="15.6">
      <c r="A3" s="624"/>
    </row>
    <row r="4" spans="1:16" ht="21">
      <c r="A4" s="124" t="s">
        <v>444</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15</v>
      </c>
      <c r="C9" s="320">
        <v>3</v>
      </c>
      <c r="D9" s="320">
        <v>4</v>
      </c>
      <c r="E9" s="320">
        <v>5</v>
      </c>
      <c r="F9" s="320">
        <v>6</v>
      </c>
      <c r="G9" s="320">
        <v>7</v>
      </c>
      <c r="H9" s="320">
        <v>8</v>
      </c>
      <c r="I9" s="320">
        <v>9</v>
      </c>
      <c r="J9" s="320">
        <v>10</v>
      </c>
      <c r="K9" s="320">
        <v>11</v>
      </c>
      <c r="L9" s="320">
        <v>12</v>
      </c>
      <c r="M9" s="320">
        <v>13</v>
      </c>
      <c r="N9" s="320">
        <v>14</v>
      </c>
    </row>
    <row r="10" spans="1:16" s="10" customFormat="1">
      <c r="A10" s="123"/>
      <c r="B10" s="10" t="s">
        <v>370</v>
      </c>
      <c r="C10" s="320"/>
      <c r="D10" s="320"/>
      <c r="E10" s="320"/>
      <c r="F10" s="320"/>
      <c r="G10" s="320"/>
      <c r="H10" s="320"/>
      <c r="I10" s="320"/>
      <c r="J10" s="320"/>
      <c r="K10" s="320"/>
      <c r="L10" s="320"/>
      <c r="M10" s="320"/>
      <c r="N10" s="320"/>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0.72435991263703736</v>
      </c>
      <c r="D13" s="115">
        <f>VLOOKUP($B$9,'Avg KWH'!$A$12:$O$38,D9,FALSE)/HOURS!C15/VLOOKUP($B$9,'Avg CP'!$A$12:$P$38,D9,FALSE)</f>
        <v>0.76537188748859497</v>
      </c>
      <c r="E13" s="115">
        <f>VLOOKUP($B$9,'Avg KWH'!$A$12:$O$38,E9,FALSE)/HOURS!D15/VLOOKUP($B$9,'Avg CP'!$A$12:$P$38,E9,FALSE)</f>
        <v>0.81814478900985066</v>
      </c>
      <c r="F13" s="115">
        <f>VLOOKUP($B$9,'Avg KWH'!$A$12:$O$38,F9,FALSE)/HOURS!E15/VLOOKUP($B$9,'Avg CP'!$A$12:$P$38,F9,FALSE)</f>
        <v>0.73812747611119356</v>
      </c>
      <c r="G13" s="115">
        <f>VLOOKUP($B$9,'Avg KWH'!$A$12:$O$38,G9,FALSE)/HOURS!F15/VLOOKUP($B$9,'Avg CP'!$A$12:$P$38,G9,FALSE)</f>
        <v>0.71686690559272803</v>
      </c>
      <c r="H13" s="115">
        <f>VLOOKUP($B$9,'Avg KWH'!$A$12:$O$38,H9,FALSE)/HOURS!G15/VLOOKUP($B$9,'Avg CP'!$A$12:$P$38,H9,FALSE)</f>
        <v>0.73872685461317222</v>
      </c>
      <c r="I13" s="115">
        <f>VLOOKUP($B$9,'Avg KWH'!$A$12:$O$38,I9,FALSE)/HOURS!H15/VLOOKUP($B$9,'Avg CP'!$A$12:$P$38,I9,FALSE)</f>
        <v>0.73676659458447857</v>
      </c>
      <c r="J13" s="115">
        <f>VLOOKUP($B$9,'Avg KWH'!$A$12:$O$38,J9,FALSE)/HOURS!I15/VLOOKUP($B$9,'Avg CP'!$A$12:$P$38,J9,FALSE)</f>
        <v>0.73368452089385627</v>
      </c>
      <c r="K13" s="115">
        <f>VLOOKUP($B$9,'Avg KWH'!$A$12:$O$38,K9,FALSE)/HOURS!J15/VLOOKUP($B$9,'Avg CP'!$A$12:$P$38,K9,FALSE)</f>
        <v>0.80505264084296946</v>
      </c>
      <c r="L13" s="115">
        <f>VLOOKUP($B$9,'Avg KWH'!$A$12:$O$38,L9,FALSE)/HOURS!K15/VLOOKUP($B$9,'Avg CP'!$A$12:$P$38,L9,FALSE)</f>
        <v>0.78684047754399655</v>
      </c>
      <c r="M13" s="115">
        <f>VLOOKUP($B$9,'Avg KWH'!$A$12:$O$38,M9,FALSE)/HOURS!L15/VLOOKUP($B$9,'Avg CP'!$A$12:$P$38,M9,FALSE)</f>
        <v>0.71539374467658701</v>
      </c>
      <c r="N13" s="115">
        <f>VLOOKUP($B$9,'Avg KWH'!$A$12:$O$38,N9,FALSE)/HOURS!M15/VLOOKUP($B$9,'Avg CP'!$A$12:$P$38,N9,FALSE)</f>
        <v>0.77903933506371781</v>
      </c>
    </row>
    <row r="14" spans="1:16" s="110" customFormat="1">
      <c r="A14" s="119"/>
      <c r="B14" s="118" t="s">
        <v>342</v>
      </c>
      <c r="C14" s="115">
        <f>VLOOKUP($B$9,'Avg KWH'!$A$12:$O$38,C9,FALSE)/HOURS!B15/VLOOKUP($B$9,'Avg GNCP'!$A$11:$P$37,C9,FALSE)</f>
        <v>0.63400505728778578</v>
      </c>
      <c r="D14" s="115">
        <f>VLOOKUP($B$9,'Avg KWH'!$A$12:$O$38,D9,FALSE)/HOURS!C15/VLOOKUP($B$9,'Avg GNCP'!$A$11:$P$37,D9,FALSE)</f>
        <v>0.62581927266930926</v>
      </c>
      <c r="E14" s="115">
        <f>VLOOKUP($B$9,'Avg KWH'!$A$12:$O$38,E9,FALSE)/HOURS!D15/VLOOKUP($B$9,'Avg GNCP'!$A$11:$P$37,E9,FALSE)</f>
        <v>0.64068890802786116</v>
      </c>
      <c r="F14" s="115">
        <f>VLOOKUP($B$9,'Avg KWH'!$A$12:$O$38,F9,FALSE)/HOURS!E15/VLOOKUP($B$9,'Avg GNCP'!$A$11:$P$37,F9,FALSE)</f>
        <v>0.66278894711003544</v>
      </c>
      <c r="G14" s="115">
        <f>VLOOKUP($B$9,'Avg KWH'!$A$12:$O$38,G9,FALSE)/HOURS!F15/VLOOKUP($B$9,'Avg GNCP'!$A$11:$P$37,G9,FALSE)</f>
        <v>0.67137720852340976</v>
      </c>
      <c r="H14" s="115">
        <f>VLOOKUP($B$9,'Avg KWH'!$A$12:$O$38,H9,FALSE)/HOURS!G15/VLOOKUP($B$9,'Avg GNCP'!$A$11:$P$37,H9,FALSE)</f>
        <v>0.64753306518698206</v>
      </c>
      <c r="I14" s="115">
        <f>VLOOKUP($B$9,'Avg KWH'!$A$12:$O$38,I9,FALSE)/HOURS!H15/VLOOKUP($B$9,'Avg GNCP'!$A$11:$P$37,I9,FALSE)</f>
        <v>0.65602590936392136</v>
      </c>
      <c r="J14" s="115">
        <f>VLOOKUP($B$9,'Avg KWH'!$A$12:$O$38,J9,FALSE)/HOURS!I15/VLOOKUP($B$9,'Avg GNCP'!$A$11:$P$37,J9,FALSE)</f>
        <v>0.66700619637338621</v>
      </c>
      <c r="K14" s="115">
        <f>VLOOKUP($B$9,'Avg KWH'!$A$12:$O$38,K9,FALSE)/HOURS!J15/VLOOKUP($B$9,'Avg GNCP'!$A$11:$P$37,K9,FALSE)</f>
        <v>0.65634999683804451</v>
      </c>
      <c r="L14" s="115">
        <f>VLOOKUP($B$9,'Avg KWH'!$A$12:$O$38,L9,FALSE)/HOURS!K15/VLOOKUP($B$9,'Avg GNCP'!$A$11:$P$37,L9,FALSE)</f>
        <v>0.66064860196580344</v>
      </c>
      <c r="M14" s="115">
        <f>VLOOKUP($B$9,'Avg KWH'!$A$12:$O$38,M9,FALSE)/HOURS!L15/VLOOKUP($B$9,'Avg GNCP'!$A$11:$P$37,M9,FALSE)</f>
        <v>0.61896281726163382</v>
      </c>
      <c r="N14" s="115">
        <f>VLOOKUP($B$9,'Avg KWH'!$A$12:$O$38,N9,FALSE)/HOURS!M15/VLOOKUP($B$9,'Avg GNCP'!$A$11:$P$37,N9,FALSE)</f>
        <v>0.63387672604563372</v>
      </c>
    </row>
    <row r="15" spans="1:16" s="10" customFormat="1">
      <c r="A15" s="119"/>
      <c r="B15" s="148" t="s">
        <v>133</v>
      </c>
      <c r="C15" s="115">
        <f>VLOOKUP($B$9,'Avg KWH'!$A$12:$O$38,C9,FALSE)/HOURS!B15/VLOOKUP($B$9,'Avg NCP'!$B$12:$P$38,C9-1,FALSE)</f>
        <v>0.55376853209514498</v>
      </c>
      <c r="D15" s="115">
        <f>VLOOKUP($B$9,'Avg KWH'!$A$12:$O$38,D9,FALSE)/HOURS!C15/VLOOKUP($B$9,'Avg NCP'!$B$12:$P$38,D9-1,FALSE)</f>
        <v>0.52774233070703036</v>
      </c>
      <c r="E15" s="115">
        <f>VLOOKUP($B$9,'Avg KWH'!$A$12:$O$38,E9,FALSE)/HOURS!D15/VLOOKUP($B$9,'Avg NCP'!$B$12:$P$38,E9-1,FALSE)</f>
        <v>0.54510299366310866</v>
      </c>
      <c r="F15" s="115">
        <f>VLOOKUP($B$9,'Avg KWH'!$A$12:$O$38,F9,FALSE)/HOURS!E15/VLOOKUP($B$9,'Avg NCP'!$B$12:$P$38,F9-1,FALSE)</f>
        <v>0.55192381372053556</v>
      </c>
      <c r="G15" s="115">
        <f>VLOOKUP($B$9,'Avg KWH'!$A$12:$O$38,G9,FALSE)/HOURS!F15/VLOOKUP($B$9,'Avg NCP'!$B$12:$P$38,G9-1,FALSE)</f>
        <v>0.56253447427882652</v>
      </c>
      <c r="H15" s="115">
        <f>VLOOKUP($B$9,'Avg KWH'!$A$12:$O$38,H9,FALSE)/HOURS!G15/VLOOKUP($B$9,'Avg NCP'!$B$12:$P$38,H9-1,FALSE)</f>
        <v>0.53895904529270355</v>
      </c>
      <c r="I15" s="115">
        <f>VLOOKUP($B$9,'Avg KWH'!$A$12:$O$38,I9,FALSE)/HOURS!H15/VLOOKUP($B$9,'Avg NCP'!$B$12:$P$38,I9-1,FALSE)</f>
        <v>0.52717289538266054</v>
      </c>
      <c r="J15" s="115">
        <f>VLOOKUP($B$9,'Avg KWH'!$A$12:$O$38,J9,FALSE)/HOURS!I15/VLOOKUP($B$9,'Avg NCP'!$B$12:$P$38,J9-1,FALSE)</f>
        <v>0.53685608793008865</v>
      </c>
      <c r="K15" s="115">
        <f>VLOOKUP($B$9,'Avg KWH'!$A$12:$O$38,K9,FALSE)/HOURS!J15/VLOOKUP($B$9,'Avg NCP'!$B$12:$P$38,K9-1,FALSE)</f>
        <v>0.53160137150376852</v>
      </c>
      <c r="L15" s="115">
        <f>VLOOKUP($B$9,'Avg KWH'!$A$12:$O$38,L9,FALSE)/HOURS!K15/VLOOKUP($B$9,'Avg NCP'!$B$12:$P$38,L9-1,FALSE)</f>
        <v>0.53905101106621167</v>
      </c>
      <c r="M15" s="115">
        <f>VLOOKUP($B$9,'Avg KWH'!$A$12:$O$38,M9,FALSE)/HOURS!L15/VLOOKUP($B$9,'Avg NCP'!$B$12:$P$38,M9-1,FALSE)</f>
        <v>0.5403626911141387</v>
      </c>
      <c r="N15" s="115">
        <f>VLOOKUP($B$9,'Avg KWH'!$A$12:$O$38,N9,FALSE)/HOURS!M15/VLOOKUP($B$9,'Avg NCP'!$B$12:$P$38,N9-1,FALSE)</f>
        <v>0.56057384889301842</v>
      </c>
    </row>
    <row r="16" spans="1:16">
      <c r="A16" s="114"/>
      <c r="C16" s="116"/>
      <c r="D16" s="116"/>
      <c r="E16" s="116"/>
      <c r="F16" s="116"/>
      <c r="G16" s="116"/>
      <c r="H16" s="116"/>
      <c r="I16" s="116"/>
      <c r="J16" s="116"/>
      <c r="K16" s="116"/>
      <c r="L16" s="116"/>
      <c r="M16" s="117"/>
      <c r="N16" s="116"/>
    </row>
    <row r="17" spans="1:32" ht="15.6">
      <c r="A17" s="113" t="s">
        <v>421</v>
      </c>
      <c r="C17" s="5"/>
      <c r="D17" s="5"/>
      <c r="E17" s="5"/>
      <c r="F17" s="5"/>
      <c r="G17" s="5"/>
      <c r="H17" s="5"/>
      <c r="I17" s="5"/>
      <c r="J17" s="5"/>
      <c r="K17" s="5"/>
      <c r="L17" s="5"/>
      <c r="M17" s="115"/>
      <c r="N17" s="5"/>
    </row>
    <row r="18" spans="1:32">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32">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32">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32">
      <c r="A21" s="114"/>
      <c r="C21" s="5"/>
      <c r="D21" s="5"/>
      <c r="E21" s="5"/>
      <c r="F21" s="5"/>
      <c r="G21" s="5"/>
      <c r="H21" s="5"/>
      <c r="I21" s="5"/>
      <c r="J21" s="5"/>
      <c r="K21" s="5"/>
      <c r="L21" s="5"/>
      <c r="M21" s="115"/>
      <c r="N21" s="5"/>
    </row>
    <row r="22" spans="1:32" ht="15.6">
      <c r="A22" s="113" t="s">
        <v>427</v>
      </c>
      <c r="C22" s="5"/>
      <c r="D22" s="5"/>
      <c r="E22" s="5"/>
      <c r="F22" s="5"/>
      <c r="G22" s="5"/>
      <c r="H22" s="5"/>
      <c r="I22" s="5"/>
      <c r="J22" s="5"/>
      <c r="K22" s="5"/>
      <c r="L22" s="5"/>
      <c r="M22" s="115"/>
      <c r="N22" s="5"/>
    </row>
    <row r="23" spans="1:32">
      <c r="A23" s="114"/>
      <c r="B23" t="s">
        <v>428</v>
      </c>
      <c r="C23" s="145">
        <v>0</v>
      </c>
      <c r="D23" s="145">
        <v>0</v>
      </c>
      <c r="E23" s="145">
        <v>0</v>
      </c>
      <c r="F23" s="145">
        <v>0</v>
      </c>
      <c r="G23" s="145">
        <v>0</v>
      </c>
      <c r="H23" s="145">
        <v>0</v>
      </c>
      <c r="I23" s="145">
        <v>0</v>
      </c>
      <c r="J23" s="145">
        <v>0</v>
      </c>
      <c r="K23" s="145">
        <v>0</v>
      </c>
      <c r="L23" s="145">
        <v>0</v>
      </c>
      <c r="M23" s="145">
        <v>0</v>
      </c>
      <c r="N23" s="145">
        <v>0</v>
      </c>
    </row>
    <row r="24" spans="1:32">
      <c r="A24" s="114"/>
      <c r="B24" t="s">
        <v>429</v>
      </c>
      <c r="C24" s="145">
        <v>0</v>
      </c>
      <c r="D24" s="145">
        <v>0</v>
      </c>
      <c r="E24" s="145">
        <v>0</v>
      </c>
      <c r="F24" s="145">
        <v>0</v>
      </c>
      <c r="G24" s="145">
        <v>0</v>
      </c>
      <c r="H24" s="145">
        <v>0</v>
      </c>
      <c r="I24" s="145">
        <v>0</v>
      </c>
      <c r="J24" s="145">
        <v>0</v>
      </c>
      <c r="K24" s="145">
        <v>0</v>
      </c>
      <c r="L24" s="145">
        <v>0</v>
      </c>
      <c r="M24" s="145">
        <v>0</v>
      </c>
      <c r="N24" s="145">
        <v>0</v>
      </c>
    </row>
    <row r="25" spans="1:32">
      <c r="A25" s="114"/>
      <c r="C25" s="5"/>
      <c r="D25" s="5"/>
      <c r="E25" s="5"/>
      <c r="F25" s="5"/>
      <c r="G25" s="5"/>
      <c r="H25" s="5"/>
      <c r="I25" s="5"/>
      <c r="J25" s="5"/>
      <c r="K25" s="5"/>
      <c r="L25" s="5"/>
      <c r="M25" s="115"/>
      <c r="N25" s="5"/>
    </row>
    <row r="26" spans="1:32" ht="15.6">
      <c r="A26" s="113" t="s">
        <v>424</v>
      </c>
      <c r="C26" s="5"/>
      <c r="D26" s="5"/>
      <c r="E26" s="5"/>
      <c r="F26" s="5"/>
      <c r="G26" s="5"/>
      <c r="H26" s="5"/>
      <c r="I26" s="5"/>
      <c r="J26" s="5"/>
      <c r="K26" s="5"/>
      <c r="L26" s="5"/>
      <c r="M26" s="115"/>
      <c r="N26" s="5"/>
    </row>
    <row r="27" spans="1:32" s="106" customFormat="1">
      <c r="A27" s="109"/>
      <c r="B27" s="108" t="str">
        <f>"PRIOR - "&amp;MANUAL!$B$9</f>
        <v>PRIOR - 2016</v>
      </c>
      <c r="C27" s="142">
        <f>VLOOKUP($B$9,'Sales Forecast'!$B$7:$AO$23,C9-1,FALSE)</f>
        <v>7754425</v>
      </c>
      <c r="D27" s="142">
        <f>VLOOKUP($B$9,'Sales Forecast'!$B$7:$AO$23,D9-1,FALSE)</f>
        <v>7096425</v>
      </c>
      <c r="E27" s="142">
        <f>VLOOKUP($B$9,'Sales Forecast'!$B$7:$AO$23,E9-1,FALSE)</f>
        <v>6611500</v>
      </c>
      <c r="F27" s="142">
        <f>VLOOKUP($B$9,'Sales Forecast'!$B$7:$AO$23,F9-1,FALSE)</f>
        <v>7592025</v>
      </c>
      <c r="G27" s="142">
        <f>VLOOKUP($B$9,'Sales Forecast'!$B$7:$AO$23,G9-1,FALSE)</f>
        <v>7956550</v>
      </c>
      <c r="H27" s="142">
        <f>VLOOKUP($B$9,'Sales Forecast'!$B$7:$AO$23,H9-1,FALSE)</f>
        <v>7737100</v>
      </c>
      <c r="I27" s="142">
        <f>VLOOKUP($B$9,'Sales Forecast'!$B$7:$AO$23,I9-1,FALSE)</f>
        <v>8150808</v>
      </c>
      <c r="J27" s="142">
        <f>VLOOKUP($B$9,'Sales Forecast'!$B$7:$AO$23,J9-1,FALSE)</f>
        <v>8111018</v>
      </c>
      <c r="K27" s="142">
        <f>VLOOKUP($B$9,'Sales Forecast'!$B$7:$AO$23,K9-1,FALSE)</f>
        <v>8063404</v>
      </c>
      <c r="L27" s="142">
        <f>VLOOKUP($B$9,'Sales Forecast'!$B$7:$AO$23,L9-1,FALSE)</f>
        <v>8004374</v>
      </c>
      <c r="M27" s="142">
        <f>VLOOKUP($B$9,'Sales Forecast'!$B$7:$AO$23,M9-1,FALSE)</f>
        <v>7282462</v>
      </c>
      <c r="N27" s="142">
        <f>VLOOKUP($B$9,'Sales Forecast'!$B$7:$AO$23,N9-1,FALSE)</f>
        <v>6913900</v>
      </c>
    </row>
    <row r="28" spans="1:32" s="12" customFormat="1" ht="15.6">
      <c r="A28" s="111"/>
      <c r="B28" s="108" t="str">
        <f>"TEST - "&amp;MANUAL!$B$10</f>
        <v>TEST - 2017</v>
      </c>
      <c r="C28" s="142">
        <f>VLOOKUP($B$9,'Sales Forecast'!$B$7:$AO$23,C9+11,FALSE)</f>
        <v>7722488</v>
      </c>
      <c r="D28" s="142">
        <f>VLOOKUP($B$9,'Sales Forecast'!$B$7:$AO$23,D9+11,FALSE)</f>
        <v>7033163</v>
      </c>
      <c r="E28" s="142">
        <f>VLOOKUP($B$9,'Sales Forecast'!$B$7:$AO$23,E9+11,FALSE)</f>
        <v>6654900</v>
      </c>
      <c r="F28" s="142">
        <f>VLOOKUP($B$9,'Sales Forecast'!$B$7:$AO$23,F9+11,FALSE)</f>
        <v>7772538</v>
      </c>
      <c r="G28" s="142">
        <f>VLOOKUP($B$9,'Sales Forecast'!$B$7:$AO$23,G9+11,FALSE)</f>
        <v>7766500</v>
      </c>
      <c r="H28" s="142">
        <f>VLOOKUP($B$9,'Sales Forecast'!$B$7:$AO$23,H9+11,FALSE)</f>
        <v>7705775</v>
      </c>
      <c r="I28" s="142">
        <f>VLOOKUP($B$9,'Sales Forecast'!$B$7:$AO$23,I9+11,FALSE)</f>
        <v>8084445</v>
      </c>
      <c r="J28" s="142">
        <f>VLOOKUP($B$9,'Sales Forecast'!$B$7:$AO$23,J9+11,FALSE)</f>
        <v>8169352</v>
      </c>
      <c r="K28" s="142">
        <f>VLOOKUP($B$9,'Sales Forecast'!$B$7:$AO$23,K9+11,FALSE)</f>
        <v>8099506</v>
      </c>
      <c r="L28" s="142">
        <f>VLOOKUP($B$9,'Sales Forecast'!$B$7:$AO$23,L9+11,FALSE)</f>
        <v>8011486</v>
      </c>
      <c r="M28" s="142">
        <f>VLOOKUP($B$9,'Sales Forecast'!$B$7:$AO$23,M9+11,FALSE)</f>
        <v>7259718</v>
      </c>
      <c r="N28" s="142">
        <f>VLOOKUP($B$9,'Sales Forecast'!$B$7:$AO$23,N9+11,FALSE)</f>
        <v>6928425</v>
      </c>
    </row>
    <row r="29" spans="1:32">
      <c r="A29" s="114"/>
      <c r="B29" t="s">
        <v>1094</v>
      </c>
      <c r="C29" s="142">
        <f>VLOOKUP($B$9,'Sales Forecast'!$B$7:$AO$23,C9+23,FALSE)</f>
        <v>7738456</v>
      </c>
      <c r="D29" s="142">
        <f>VLOOKUP($B$9,'Sales Forecast'!$B$7:$AO$23,D9+23,FALSE)</f>
        <v>7064794</v>
      </c>
      <c r="E29" s="142">
        <f>VLOOKUP($B$9,'Sales Forecast'!$B$7:$AO$23,E9+23,FALSE)</f>
        <v>6633200</v>
      </c>
      <c r="F29" s="142">
        <f>VLOOKUP($B$9,'Sales Forecast'!$B$7:$AO$23,F9+23,FALSE)</f>
        <v>7682281</v>
      </c>
      <c r="G29" s="142">
        <f>VLOOKUP($B$9,'Sales Forecast'!$B$7:$AO$23,G9+23,FALSE)</f>
        <v>7861525</v>
      </c>
      <c r="H29" s="142">
        <f>VLOOKUP($B$9,'Sales Forecast'!$B$7:$AO$23,H9+23,FALSE)</f>
        <v>7721438</v>
      </c>
      <c r="I29" s="142">
        <f>VLOOKUP($B$9,'Sales Forecast'!$B$7:$AO$23,I9+23,FALSE)</f>
        <v>8117627</v>
      </c>
      <c r="J29" s="142">
        <f>VLOOKUP($B$9,'Sales Forecast'!$B$7:$AO$23,J9+23,FALSE)</f>
        <v>8140185</v>
      </c>
      <c r="K29" s="142">
        <f>VLOOKUP($B$9,'Sales Forecast'!$B$7:$AO$23,K9+23,FALSE)</f>
        <v>8081455</v>
      </c>
      <c r="L29" s="142">
        <f>VLOOKUP($B$9,'Sales Forecast'!$B$7:$AO$23,L9+23,FALSE)</f>
        <v>8007930</v>
      </c>
      <c r="M29" s="142">
        <f>VLOOKUP($B$9,'Sales Forecast'!$B$7:$AO$23,M9+23,FALSE)</f>
        <v>7271090</v>
      </c>
      <c r="N29" s="142">
        <f>VLOOKUP($B$9,'Sales Forecast'!$B$7:$AO$23,N9+23,FALSE)</f>
        <v>6921163</v>
      </c>
    </row>
    <row r="30" spans="1:32">
      <c r="A30" s="114"/>
      <c r="C30" s="142"/>
      <c r="D30" s="142"/>
      <c r="E30" s="142"/>
      <c r="F30" s="142"/>
      <c r="G30" s="142"/>
      <c r="H30" s="142"/>
      <c r="I30" s="142"/>
      <c r="J30" s="142"/>
      <c r="K30" s="142"/>
      <c r="L30" s="142"/>
      <c r="M30" s="142"/>
      <c r="N30" s="142"/>
    </row>
    <row r="31" spans="1:32" s="12" customFormat="1" ht="15.6">
      <c r="A31" s="113" t="s">
        <v>1248</v>
      </c>
      <c r="B31"/>
      <c r="C31" s="142"/>
      <c r="D31" s="142"/>
      <c r="E31" s="142"/>
      <c r="F31" s="142"/>
      <c r="G31" s="142"/>
      <c r="H31" s="142"/>
      <c r="I31" s="142"/>
      <c r="J31" s="142"/>
      <c r="K31" s="142"/>
      <c r="L31" s="142"/>
      <c r="M31" s="142"/>
      <c r="N31" s="142"/>
      <c r="R31"/>
    </row>
    <row r="32" spans="1:32" s="12" customFormat="1">
      <c r="A32" s="114"/>
      <c r="B32" t="s">
        <v>1254</v>
      </c>
      <c r="C32" s="115">
        <v>0</v>
      </c>
      <c r="D32" s="115">
        <v>0</v>
      </c>
      <c r="E32" s="115">
        <v>0</v>
      </c>
      <c r="F32" s="115">
        <v>0</v>
      </c>
      <c r="G32" s="115">
        <v>0</v>
      </c>
      <c r="H32" s="115">
        <v>0</v>
      </c>
      <c r="I32" s="115">
        <v>0</v>
      </c>
      <c r="J32" s="115">
        <v>0</v>
      </c>
      <c r="K32" s="115">
        <v>0</v>
      </c>
      <c r="L32" s="115">
        <v>0</v>
      </c>
      <c r="M32" s="115">
        <v>0</v>
      </c>
      <c r="N32" s="115">
        <v>0</v>
      </c>
      <c r="R32"/>
      <c r="T32" s="522"/>
      <c r="U32" s="523"/>
      <c r="V32" s="523"/>
      <c r="W32" s="523"/>
      <c r="X32" s="523"/>
      <c r="Y32" s="523"/>
      <c r="Z32" s="523"/>
      <c r="AA32" s="523"/>
      <c r="AB32" s="523"/>
      <c r="AC32" s="523"/>
      <c r="AD32" s="523"/>
      <c r="AE32" s="523"/>
      <c r="AF32" s="523"/>
    </row>
    <row r="33" spans="1:33" s="12" customFormat="1">
      <c r="A33" s="114"/>
      <c r="B33" t="s">
        <v>1253</v>
      </c>
      <c r="C33" s="115">
        <v>1</v>
      </c>
      <c r="D33" s="115">
        <v>1</v>
      </c>
      <c r="E33" s="115">
        <v>1</v>
      </c>
      <c r="F33" s="115">
        <v>1</v>
      </c>
      <c r="G33" s="115">
        <v>1</v>
      </c>
      <c r="H33" s="115">
        <v>1</v>
      </c>
      <c r="I33" s="115">
        <v>1</v>
      </c>
      <c r="J33" s="115">
        <v>1</v>
      </c>
      <c r="K33" s="115">
        <v>1</v>
      </c>
      <c r="L33" s="115">
        <v>1</v>
      </c>
      <c r="M33" s="115">
        <v>1</v>
      </c>
      <c r="N33" s="115">
        <v>1</v>
      </c>
      <c r="R33" s="507"/>
      <c r="T33" s="206"/>
      <c r="U33" s="523"/>
      <c r="V33" s="523"/>
      <c r="W33" s="523"/>
      <c r="X33" s="523"/>
      <c r="Y33" s="523"/>
      <c r="Z33" s="523"/>
      <c r="AA33" s="523"/>
      <c r="AB33" s="523"/>
      <c r="AC33" s="523"/>
      <c r="AD33" s="523"/>
      <c r="AE33" s="523"/>
      <c r="AF33" s="523"/>
    </row>
    <row r="34" spans="1:33" s="12" customFormat="1">
      <c r="A34" s="114"/>
      <c r="B34" t="s">
        <v>1252</v>
      </c>
      <c r="C34" s="115">
        <v>0</v>
      </c>
      <c r="D34" s="115">
        <v>0</v>
      </c>
      <c r="E34" s="115">
        <v>0</v>
      </c>
      <c r="F34" s="115">
        <v>0</v>
      </c>
      <c r="G34" s="115">
        <v>0</v>
      </c>
      <c r="H34" s="115">
        <v>0</v>
      </c>
      <c r="I34" s="115">
        <v>0</v>
      </c>
      <c r="J34" s="115">
        <v>0</v>
      </c>
      <c r="K34" s="115">
        <v>0</v>
      </c>
      <c r="L34" s="115">
        <v>0</v>
      </c>
      <c r="M34" s="115">
        <v>0</v>
      </c>
      <c r="N34" s="115">
        <v>0</v>
      </c>
      <c r="R34"/>
      <c r="T34" s="206"/>
      <c r="U34" s="523"/>
      <c r="V34" s="523"/>
      <c r="W34" s="523"/>
      <c r="X34" s="523"/>
      <c r="Y34" s="523"/>
      <c r="Z34" s="523"/>
      <c r="AA34" s="523"/>
      <c r="AB34" s="523"/>
      <c r="AC34" s="523"/>
      <c r="AD34" s="523"/>
      <c r="AE34" s="523"/>
      <c r="AF34" s="523"/>
    </row>
    <row r="35" spans="1:33" s="12" customFormat="1" ht="15.6">
      <c r="A35" s="114"/>
      <c r="B35" s="513">
        <v>2017</v>
      </c>
      <c r="C35" s="115"/>
      <c r="D35" s="115"/>
      <c r="E35" s="115"/>
      <c r="F35" s="115"/>
      <c r="G35" s="115"/>
      <c r="H35" s="115"/>
      <c r="I35" s="115"/>
      <c r="J35" s="115"/>
      <c r="K35" s="115"/>
      <c r="L35" s="115"/>
      <c r="M35" s="115"/>
      <c r="N35" s="115"/>
      <c r="R35"/>
      <c r="T35" s="206"/>
      <c r="U35" s="523"/>
      <c r="V35" s="523"/>
      <c r="W35" s="523"/>
      <c r="X35" s="523"/>
      <c r="Y35" s="523"/>
      <c r="Z35" s="523"/>
      <c r="AA35" s="523"/>
      <c r="AB35" s="523"/>
      <c r="AC35" s="523"/>
      <c r="AD35" s="523"/>
      <c r="AE35" s="523"/>
      <c r="AF35" s="523"/>
    </row>
    <row r="36" spans="1:33"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c r="T36" s="206"/>
      <c r="U36" s="523"/>
      <c r="V36" s="523"/>
      <c r="W36" s="523"/>
      <c r="X36" s="523"/>
      <c r="Y36" s="523"/>
      <c r="Z36" s="523"/>
      <c r="AA36" s="523"/>
      <c r="AB36" s="523"/>
      <c r="AC36" s="523"/>
      <c r="AD36" s="523"/>
      <c r="AE36" s="523"/>
      <c r="AF36" s="523"/>
    </row>
    <row r="37" spans="1:33"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s="508"/>
      <c r="T37" s="206"/>
      <c r="U37" s="524"/>
      <c r="V37" s="524"/>
      <c r="W37" s="524"/>
      <c r="X37" s="524"/>
      <c r="Y37" s="524"/>
      <c r="Z37" s="524"/>
      <c r="AA37" s="524"/>
      <c r="AB37" s="524"/>
      <c r="AC37" s="524"/>
      <c r="AD37" s="524"/>
      <c r="AE37" s="524"/>
      <c r="AF37" s="524"/>
    </row>
    <row r="38" spans="1:33"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c r="T38" s="206"/>
      <c r="U38" s="524"/>
      <c r="V38" s="524"/>
      <c r="W38" s="524"/>
      <c r="X38" s="524"/>
      <c r="Y38" s="524"/>
      <c r="Z38" s="524"/>
      <c r="AA38" s="524"/>
      <c r="AB38" s="524"/>
      <c r="AC38" s="524"/>
      <c r="AD38" s="524"/>
      <c r="AE38" s="524"/>
      <c r="AF38" s="524"/>
    </row>
    <row r="39" spans="1:33" s="12" customFormat="1">
      <c r="A39" s="114"/>
      <c r="B39" t="s">
        <v>1255</v>
      </c>
      <c r="C39" s="107">
        <f>(+C$28/C$19/C13)+C23</f>
        <v>14329.462455004836</v>
      </c>
      <c r="D39" s="107">
        <f t="shared" ref="D39:N39" si="0">(+D$28/D$19/D13)+D23</f>
        <v>13674.419638523208</v>
      </c>
      <c r="E39" s="107">
        <f t="shared" si="0"/>
        <v>10932.976882174375</v>
      </c>
      <c r="F39" s="107">
        <f t="shared" si="0"/>
        <v>14625.104763124209</v>
      </c>
      <c r="G39" s="107">
        <f t="shared" si="0"/>
        <v>14561.760355487942</v>
      </c>
      <c r="H39" s="107">
        <f t="shared" si="0"/>
        <v>14487.716550364246</v>
      </c>
      <c r="I39" s="107">
        <f t="shared" si="0"/>
        <v>14748.482892682374</v>
      </c>
      <c r="J39" s="107">
        <f t="shared" si="0"/>
        <v>14965.985400072977</v>
      </c>
      <c r="K39" s="107">
        <f t="shared" si="0"/>
        <v>13973.389214784451</v>
      </c>
      <c r="L39" s="107">
        <f t="shared" si="0"/>
        <v>13685.27249347555</v>
      </c>
      <c r="M39" s="107">
        <f t="shared" si="0"/>
        <v>14094.254725731398</v>
      </c>
      <c r="N39" s="107">
        <f t="shared" si="0"/>
        <v>11953.695756308278</v>
      </c>
      <c r="R39"/>
      <c r="T39" s="206"/>
      <c r="U39" s="524"/>
      <c r="V39" s="524"/>
      <c r="W39" s="524"/>
      <c r="X39" s="524"/>
      <c r="Y39" s="524"/>
      <c r="Z39" s="524"/>
      <c r="AA39" s="524"/>
      <c r="AB39" s="524"/>
      <c r="AC39" s="524"/>
      <c r="AD39" s="524"/>
      <c r="AE39" s="524"/>
      <c r="AF39" s="524"/>
    </row>
    <row r="40" spans="1:33" s="12" customFormat="1">
      <c r="A40" s="114"/>
      <c r="B40" t="s">
        <v>1256</v>
      </c>
      <c r="C40" s="107">
        <v>14860</v>
      </c>
      <c r="D40" s="107">
        <v>14215</v>
      </c>
      <c r="E40" s="107">
        <v>11277</v>
      </c>
      <c r="F40" s="107">
        <v>14959</v>
      </c>
      <c r="G40" s="107">
        <v>15254</v>
      </c>
      <c r="H40" s="107">
        <v>15023</v>
      </c>
      <c r="I40" s="107">
        <v>15325</v>
      </c>
      <c r="J40" s="107">
        <v>15432</v>
      </c>
      <c r="K40" s="107">
        <v>14428</v>
      </c>
      <c r="L40" s="107">
        <v>14156</v>
      </c>
      <c r="M40" s="107">
        <v>14608</v>
      </c>
      <c r="N40" s="107">
        <v>12357</v>
      </c>
      <c r="R40" s="508"/>
      <c r="T40" s="206"/>
      <c r="U40" s="523"/>
      <c r="V40" s="523"/>
      <c r="W40" s="523"/>
      <c r="X40" s="523"/>
      <c r="Y40" s="523"/>
      <c r="Z40" s="523"/>
      <c r="AA40" s="523"/>
      <c r="AB40" s="523"/>
      <c r="AC40" s="523"/>
      <c r="AD40" s="523"/>
      <c r="AE40" s="523"/>
      <c r="AF40" s="523"/>
    </row>
    <row r="41" spans="1:33"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s="508"/>
    </row>
    <row r="42" spans="1:33" s="12" customFormat="1">
      <c r="A42" s="114"/>
      <c r="B42" t="s">
        <v>1258</v>
      </c>
      <c r="C42" s="235">
        <f>'2017 CP (FNG)'!B15*1000-'CILC-1D'!C41</f>
        <v>1681253.8541165739</v>
      </c>
      <c r="D42" s="235">
        <f>'2017 CP (FNG)'!C15*1000-'CILC-1D'!D41</f>
        <v>118940.04174823314</v>
      </c>
      <c r="E42" s="235">
        <f>'2017 CP (FNG)'!D15*1000-'CILC-1D'!E41</f>
        <v>1848592.610504562</v>
      </c>
      <c r="F42" s="235">
        <f>'2017 CP (FNG)'!E15*1000-'CILC-1D'!F41</f>
        <v>1405395.01052472</v>
      </c>
      <c r="G42" s="235">
        <f>'2017 CP (FNG)'!F15*1000-'CILC-1D'!G41</f>
        <v>1885830.3262467645</v>
      </c>
      <c r="H42" s="235">
        <f>'2017 CP (FNG)'!G15*1000-'CILC-1D'!H41</f>
        <v>1082727.2478197105</v>
      </c>
      <c r="I42" s="235">
        <f>'2017 CP (FNG)'!H15*1000-'CILC-1D'!I41</f>
        <v>1351395.5980101153</v>
      </c>
      <c r="J42" s="235">
        <f>'2017 CP (FNG)'!I15*1000-'CILC-1D'!J41</f>
        <v>2044459.9050353952</v>
      </c>
      <c r="K42" s="235">
        <f>'2017 CP (FNG)'!J15*1000-'CILC-1D'!K41</f>
        <v>202192.15085531026</v>
      </c>
      <c r="L42" s="235">
        <f>'2017 CP (FNG)'!K15*1000-'CILC-1D'!L41</f>
        <v>398186.26899698004</v>
      </c>
      <c r="M42" s="235">
        <f>'2017 CP (FNG)'!L15*1000-'CILC-1D'!M41</f>
        <v>-379882.10521538928</v>
      </c>
      <c r="N42" s="235">
        <f>'2017 CP (FNG)'!M15*1000-'CILC-1D'!N41</f>
        <v>437101.2625191696</v>
      </c>
      <c r="R42" s="508"/>
      <c r="U42" s="95"/>
      <c r="V42" s="95"/>
      <c r="W42" s="95"/>
      <c r="X42" s="95"/>
      <c r="Y42" s="95"/>
      <c r="Z42" s="95"/>
      <c r="AA42" s="95"/>
      <c r="AB42" s="95"/>
      <c r="AC42" s="95"/>
      <c r="AD42" s="95"/>
      <c r="AE42" s="95"/>
      <c r="AF42" s="95"/>
    </row>
    <row r="43" spans="1:33" s="12" customFormat="1">
      <c r="A43" s="114"/>
      <c r="B43" t="s">
        <v>1259</v>
      </c>
      <c r="C43" s="235">
        <f>C40*C42/C41</f>
        <v>1368.4940667793016</v>
      </c>
      <c r="D43" s="235">
        <f>D40*D42/D41</f>
        <v>97.888364024055463</v>
      </c>
      <c r="E43" s="235">
        <f t="shared" ref="E43:N43" si="1">E40*E42/E41</f>
        <v>1341.0166378531314</v>
      </c>
      <c r="F43" s="235">
        <f t="shared" si="1"/>
        <v>1197.6953204557935</v>
      </c>
      <c r="G43" s="235">
        <f t="shared" si="1"/>
        <v>1529.013160993941</v>
      </c>
      <c r="H43" s="235">
        <f t="shared" si="1"/>
        <v>774.42882438423396</v>
      </c>
      <c r="I43" s="235">
        <f t="shared" si="1"/>
        <v>979.03242159506726</v>
      </c>
      <c r="J43" s="235">
        <f t="shared" si="1"/>
        <v>1501.8644730831618</v>
      </c>
      <c r="K43" s="235">
        <f t="shared" si="1"/>
        <v>135.20970956287104</v>
      </c>
      <c r="L43" s="235">
        <f t="shared" si="1"/>
        <v>281.82616081118738</v>
      </c>
      <c r="M43" s="235">
        <f t="shared" si="1"/>
        <v>-302.92257646665735</v>
      </c>
      <c r="N43" s="235">
        <f t="shared" si="1"/>
        <v>321.46107722663112</v>
      </c>
      <c r="R43" s="508"/>
      <c r="U43" s="544"/>
      <c r="V43" s="544"/>
      <c r="W43" s="544"/>
      <c r="X43" s="544"/>
      <c r="Y43" s="544"/>
      <c r="Z43" s="544"/>
      <c r="AA43" s="544"/>
      <c r="AB43" s="544"/>
      <c r="AC43" s="544"/>
      <c r="AD43" s="544"/>
      <c r="AE43" s="544"/>
      <c r="AF43" s="544"/>
      <c r="AG43" s="544"/>
    </row>
    <row r="44" spans="1:33" s="12" customFormat="1">
      <c r="A44" s="114"/>
      <c r="B44" t="s">
        <v>1260</v>
      </c>
      <c r="C44" s="235">
        <f t="shared" ref="C44:N44" si="2">((C43*C32)/C36)+((C43*C33)/C37)+((C43*C34)/C38)</f>
        <v>1322.4425818782317</v>
      </c>
      <c r="D44" s="235">
        <f>((D43*D32)/D36)+((D43*D33)/D37)+((D43*D34)/D38)</f>
        <v>94.594301866772298</v>
      </c>
      <c r="E44" s="235">
        <f t="shared" si="2"/>
        <v>1295.8898017569275</v>
      </c>
      <c r="F44" s="235">
        <f t="shared" si="2"/>
        <v>1157.3914204938019</v>
      </c>
      <c r="G44" s="235">
        <f t="shared" si="2"/>
        <v>1477.5600139132491</v>
      </c>
      <c r="H44" s="235">
        <f t="shared" si="2"/>
        <v>748.36835530451276</v>
      </c>
      <c r="I44" s="235">
        <f t="shared" si="2"/>
        <v>946.08679334923124</v>
      </c>
      <c r="J44" s="235">
        <f t="shared" si="2"/>
        <v>1451.3249122735083</v>
      </c>
      <c r="K44" s="235">
        <f t="shared" si="2"/>
        <v>130.65973886912394</v>
      </c>
      <c r="L44" s="235">
        <f t="shared" si="2"/>
        <v>272.34236873317906</v>
      </c>
      <c r="M44" s="235">
        <f t="shared" si="2"/>
        <v>-292.72886441850915</v>
      </c>
      <c r="N44" s="235">
        <f t="shared" si="2"/>
        <v>310.64352214652473</v>
      </c>
      <c r="R44" s="508"/>
      <c r="U44" s="544"/>
      <c r="V44" s="544"/>
      <c r="W44" s="544"/>
      <c r="X44" s="544"/>
      <c r="Y44" s="544"/>
      <c r="Z44" s="544"/>
      <c r="AA44" s="544"/>
      <c r="AB44" s="544"/>
      <c r="AC44" s="544"/>
      <c r="AD44" s="544"/>
      <c r="AE44" s="544"/>
      <c r="AF44" s="544"/>
    </row>
    <row r="45" spans="1:33" s="12" customFormat="1" ht="15.6">
      <c r="A45" s="114"/>
      <c r="B45" s="513">
        <v>2018</v>
      </c>
      <c r="C45" s="235"/>
      <c r="D45" s="235"/>
      <c r="E45" s="235"/>
      <c r="F45" s="235"/>
      <c r="G45" s="235"/>
      <c r="H45" s="235"/>
      <c r="I45" s="235"/>
      <c r="J45" s="235"/>
      <c r="K45" s="235"/>
      <c r="L45" s="235"/>
      <c r="M45" s="235"/>
      <c r="N45" s="235"/>
      <c r="R45" s="508"/>
      <c r="U45" s="548"/>
      <c r="V45" s="548"/>
      <c r="W45" s="548"/>
      <c r="X45" s="548"/>
      <c r="Y45" s="548"/>
      <c r="Z45" s="548"/>
      <c r="AA45" s="548"/>
      <c r="AB45" s="548"/>
      <c r="AC45" s="548"/>
      <c r="AD45" s="548"/>
      <c r="AE45" s="548"/>
      <c r="AF45" s="548"/>
    </row>
    <row r="46" spans="1:33"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s="508"/>
      <c r="U46" s="548"/>
      <c r="V46" s="548"/>
      <c r="W46" s="548"/>
      <c r="X46" s="548"/>
      <c r="Y46" s="548"/>
      <c r="Z46" s="548"/>
      <c r="AA46" s="548"/>
      <c r="AB46" s="548"/>
      <c r="AC46" s="548"/>
      <c r="AD46" s="548"/>
      <c r="AE46" s="548"/>
      <c r="AF46" s="548"/>
    </row>
    <row r="47" spans="1:33"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s="508"/>
      <c r="U47" s="548"/>
      <c r="V47" s="548"/>
      <c r="W47" s="548"/>
      <c r="X47" s="548"/>
      <c r="Y47" s="548"/>
      <c r="Z47" s="548"/>
      <c r="AA47" s="548"/>
      <c r="AB47" s="548"/>
      <c r="AC47" s="548"/>
      <c r="AD47" s="548"/>
      <c r="AE47" s="548"/>
      <c r="AF47" s="548"/>
    </row>
    <row r="48" spans="1:33" s="12" customFormat="1">
      <c r="A48" s="114"/>
      <c r="B48" t="s">
        <v>1251</v>
      </c>
      <c r="C48">
        <v>1.06467</v>
      </c>
      <c r="D48">
        <v>1.06467</v>
      </c>
      <c r="E48">
        <v>1.06467</v>
      </c>
      <c r="F48">
        <v>1.06467</v>
      </c>
      <c r="G48">
        <v>1.06467</v>
      </c>
      <c r="H48">
        <v>1.06467</v>
      </c>
      <c r="I48">
        <v>1.06467</v>
      </c>
      <c r="J48">
        <v>1.06467</v>
      </c>
      <c r="K48">
        <v>1.06467</v>
      </c>
      <c r="L48">
        <v>1.06467</v>
      </c>
      <c r="M48">
        <v>1.06467</v>
      </c>
      <c r="N48">
        <v>1.06467</v>
      </c>
      <c r="R48" s="508"/>
      <c r="U48" s="548"/>
      <c r="V48" s="548"/>
      <c r="W48" s="548"/>
      <c r="X48" s="548"/>
      <c r="Y48" s="548"/>
      <c r="Z48" s="548"/>
      <c r="AA48" s="548"/>
      <c r="AB48" s="548"/>
      <c r="AC48" s="548"/>
      <c r="AD48" s="548"/>
      <c r="AE48" s="548"/>
      <c r="AF48" s="548"/>
    </row>
    <row r="49" spans="1:33" s="12" customFormat="1">
      <c r="A49" s="114"/>
      <c r="B49" t="s">
        <v>1255</v>
      </c>
      <c r="C49" s="235">
        <f>(+C$29/C$20/C13)+C23</f>
        <v>14359.091877087658</v>
      </c>
      <c r="D49" s="235">
        <f t="shared" ref="D49:N49" si="3">(+D$29/D$20/D13)+D23</f>
        <v>13735.919075915193</v>
      </c>
      <c r="E49" s="235">
        <f t="shared" si="3"/>
        <v>10897.327120593709</v>
      </c>
      <c r="F49" s="235">
        <f t="shared" si="3"/>
        <v>14455.273740026565</v>
      </c>
      <c r="G49" s="235">
        <f t="shared" si="3"/>
        <v>14739.927004271854</v>
      </c>
      <c r="H49" s="235">
        <f t="shared" si="3"/>
        <v>14517.164737513282</v>
      </c>
      <c r="I49" s="235">
        <f t="shared" si="3"/>
        <v>14809.016937919243</v>
      </c>
      <c r="J49" s="235">
        <f t="shared" si="3"/>
        <v>14912.552410998209</v>
      </c>
      <c r="K49" s="235">
        <f t="shared" si="3"/>
        <v>13942.247358884093</v>
      </c>
      <c r="L49" s="235">
        <f t="shared" si="3"/>
        <v>13679.198111146628</v>
      </c>
      <c r="M49" s="235">
        <f t="shared" si="3"/>
        <v>14116.332699661103</v>
      </c>
      <c r="N49" s="235">
        <f t="shared" si="3"/>
        <v>11941.166539555221</v>
      </c>
      <c r="R49" s="508"/>
    </row>
    <row r="50" spans="1:33" s="12" customFormat="1">
      <c r="A50" s="114"/>
      <c r="B50" t="s">
        <v>1256</v>
      </c>
      <c r="C50" s="107">
        <f>(C49*C32*C46)+(C49*C33*C47)+(C49*C34*C48)</f>
        <v>14859.649819922932</v>
      </c>
      <c r="D50" s="107">
        <f t="shared" ref="D50:N50" si="4">(D49*D32*D46)+(D49*D33*D47)+(D49*D34*D48)</f>
        <v>14214.753214901595</v>
      </c>
      <c r="E50" s="107">
        <f t="shared" si="4"/>
        <v>11277.207944017604</v>
      </c>
      <c r="F50" s="107">
        <f t="shared" si="4"/>
        <v>14959.18458260389</v>
      </c>
      <c r="G50" s="107">
        <f t="shared" si="4"/>
        <v>15253.76085964077</v>
      </c>
      <c r="H50" s="107">
        <f t="shared" si="4"/>
        <v>15023.233100262993</v>
      </c>
      <c r="I50" s="107">
        <f t="shared" si="4"/>
        <v>15325.259268375106</v>
      </c>
      <c r="J50" s="107">
        <f t="shared" si="4"/>
        <v>15432.403988045604</v>
      </c>
      <c r="K50" s="107">
        <f t="shared" si="4"/>
        <v>14428.274101814792</v>
      </c>
      <c r="L50" s="107">
        <f t="shared" si="4"/>
        <v>14156.054957301198</v>
      </c>
      <c r="M50" s="107">
        <f t="shared" si="4"/>
        <v>14608.428057571287</v>
      </c>
      <c r="N50" s="107">
        <f t="shared" si="4"/>
        <v>12357.435605124114</v>
      </c>
      <c r="R50" s="508"/>
    </row>
    <row r="51" spans="1:33"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s="508"/>
    </row>
    <row r="52" spans="1:33"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s="508"/>
      <c r="U52" s="522"/>
      <c r="V52" s="523"/>
      <c r="W52" s="523"/>
      <c r="X52" s="523"/>
      <c r="Y52" s="523"/>
      <c r="Z52" s="523"/>
      <c r="AA52" s="523"/>
      <c r="AB52" s="523"/>
      <c r="AC52" s="523"/>
      <c r="AD52" s="523"/>
      <c r="AE52" s="523"/>
      <c r="AF52" s="523"/>
      <c r="AG52" s="523"/>
    </row>
    <row r="53" spans="1:33" s="12" customFormat="1">
      <c r="A53" s="114"/>
      <c r="B53" t="s">
        <v>1259</v>
      </c>
      <c r="C53" s="235">
        <f>C50*C52/C51</f>
        <v>1514.773029696541</v>
      </c>
      <c r="D53" s="235">
        <f t="shared" ref="D53:N53" si="5">D50*D52/D51</f>
        <v>221.33421592363555</v>
      </c>
      <c r="E53" s="235">
        <f t="shared" si="5"/>
        <v>1419.2324345780767</v>
      </c>
      <c r="F53" s="235">
        <f t="shared" si="5"/>
        <v>1261.359838746901</v>
      </c>
      <c r="G53" s="235">
        <f t="shared" si="5"/>
        <v>1592.9173269766727</v>
      </c>
      <c r="H53" s="235">
        <f t="shared" si="5"/>
        <v>849.01820046271052</v>
      </c>
      <c r="I53" s="235">
        <f t="shared" si="5"/>
        <v>1064.1533774082068</v>
      </c>
      <c r="J53" s="235">
        <f t="shared" si="5"/>
        <v>1627.9343315062918</v>
      </c>
      <c r="K53" s="235">
        <f t="shared" si="5"/>
        <v>216.11221045245981</v>
      </c>
      <c r="L53" s="235">
        <f t="shared" si="5"/>
        <v>361.59442077581224</v>
      </c>
      <c r="M53" s="235">
        <f t="shared" si="5"/>
        <v>-234.06255032942198</v>
      </c>
      <c r="N53" s="235">
        <f t="shared" si="5"/>
        <v>368.19170051061957</v>
      </c>
      <c r="R53" s="508"/>
      <c r="U53" s="206"/>
      <c r="V53" s="523"/>
      <c r="W53" s="523"/>
      <c r="X53" s="523"/>
      <c r="Y53" s="523"/>
      <c r="Z53" s="523"/>
      <c r="AA53" s="523"/>
      <c r="AB53" s="523"/>
      <c r="AC53" s="523"/>
      <c r="AD53" s="523"/>
      <c r="AE53" s="523"/>
      <c r="AF53" s="523"/>
      <c r="AG53" s="523"/>
    </row>
    <row r="54" spans="1:33" s="12" customFormat="1">
      <c r="A54" s="114"/>
      <c r="B54" t="s">
        <v>1260</v>
      </c>
      <c r="C54" s="235">
        <f>((C53*C32)/C46)+((C53*C33)/C47)+((C53*C34)/C48)</f>
        <v>1463.7468157011974</v>
      </c>
      <c r="D54" s="235">
        <f t="shared" ref="D54:N54" si="6">((D53*D32)/D46)+((D53*D33)/D47)+((D53*D34)/D48)</f>
        <v>213.87841439773069</v>
      </c>
      <c r="E54" s="235">
        <f t="shared" si="6"/>
        <v>1371.4245739308474</v>
      </c>
      <c r="F54" s="235">
        <f t="shared" si="6"/>
        <v>1218.8700295179069</v>
      </c>
      <c r="G54" s="235">
        <f t="shared" si="6"/>
        <v>1539.2587663806437</v>
      </c>
      <c r="H54" s="235">
        <f t="shared" si="6"/>
        <v>820.41841453212089</v>
      </c>
      <c r="I54" s="235">
        <f t="shared" si="6"/>
        <v>1028.3066090178447</v>
      </c>
      <c r="J54" s="235">
        <f t="shared" si="6"/>
        <v>1573.0961980425293</v>
      </c>
      <c r="K54" s="235">
        <f t="shared" si="6"/>
        <v>208.83231591950585</v>
      </c>
      <c r="L54" s="235">
        <f t="shared" si="6"/>
        <v>349.41385383125476</v>
      </c>
      <c r="M54" s="235">
        <f t="shared" si="6"/>
        <v>-226.17798574630578</v>
      </c>
      <c r="N54" s="235">
        <f t="shared" si="6"/>
        <v>355.78889947492377</v>
      </c>
      <c r="R54" s="508"/>
      <c r="U54" s="206"/>
      <c r="V54" s="523"/>
      <c r="W54" s="523"/>
      <c r="X54" s="523"/>
      <c r="Y54" s="523"/>
      <c r="Z54" s="523"/>
      <c r="AA54" s="523"/>
      <c r="AB54" s="523"/>
      <c r="AC54" s="523"/>
      <c r="AD54" s="523"/>
      <c r="AE54" s="523"/>
      <c r="AF54" s="523"/>
      <c r="AG54" s="523"/>
    </row>
    <row r="55" spans="1:33">
      <c r="A55" s="114"/>
      <c r="U55" s="206"/>
      <c r="V55" s="523"/>
      <c r="W55" s="523"/>
      <c r="X55" s="523"/>
      <c r="Y55" s="523"/>
      <c r="Z55" s="523"/>
      <c r="AA55" s="523"/>
      <c r="AB55" s="523"/>
      <c r="AC55" s="523"/>
      <c r="AD55" s="523"/>
      <c r="AE55" s="523"/>
      <c r="AF55" s="523"/>
      <c r="AG55" s="523"/>
    </row>
    <row r="56" spans="1:33" ht="17.399999999999999">
      <c r="A56" s="147" t="s">
        <v>425</v>
      </c>
      <c r="U56" s="206"/>
      <c r="V56" s="523"/>
      <c r="W56" s="523"/>
      <c r="X56" s="523"/>
      <c r="Y56" s="523"/>
      <c r="Z56" s="523"/>
      <c r="AA56" s="523"/>
      <c r="AB56" s="523"/>
      <c r="AC56" s="523"/>
      <c r="AD56" s="523"/>
      <c r="AE56" s="523"/>
      <c r="AF56" s="523"/>
      <c r="AG56" s="523"/>
    </row>
    <row r="57" spans="1:33" ht="15.6">
      <c r="A57" s="113"/>
      <c r="B57" s="146" t="str">
        <f>"PRIOR - "&amp;MANUAL!$B$9</f>
        <v>PRIOR - 2016</v>
      </c>
      <c r="C57" s="5"/>
      <c r="D57" s="5"/>
      <c r="E57" s="5"/>
      <c r="F57" s="5"/>
      <c r="G57" s="5"/>
      <c r="H57" s="5"/>
      <c r="I57" s="5"/>
      <c r="J57" s="5"/>
      <c r="K57" s="5"/>
      <c r="L57" s="5"/>
      <c r="M57" s="5"/>
      <c r="N57" s="5"/>
      <c r="R57" s="509"/>
      <c r="U57" s="206"/>
      <c r="V57" s="524"/>
      <c r="W57" s="524"/>
      <c r="X57" s="524"/>
      <c r="Y57" s="524"/>
      <c r="Z57" s="524"/>
      <c r="AA57" s="524"/>
      <c r="AB57" s="524"/>
      <c r="AC57" s="524"/>
      <c r="AD57" s="524"/>
      <c r="AE57" s="524"/>
      <c r="AF57" s="524"/>
      <c r="AG57" s="524"/>
    </row>
    <row r="58" spans="1:33" s="12" customFormat="1" ht="15.6">
      <c r="A58" s="111"/>
      <c r="B58" s="149" t="s">
        <v>432</v>
      </c>
      <c r="C58" s="107">
        <f t="shared" ref="C58:N58" si="7">MIN((+C$27/C$18/C13)+C23,C59)</f>
        <v>14388.723154720457</v>
      </c>
      <c r="D58" s="107">
        <f t="shared" si="7"/>
        <v>13321.645461124172</v>
      </c>
      <c r="E58" s="107">
        <f t="shared" si="7"/>
        <v>10861.67735901304</v>
      </c>
      <c r="F58" s="107">
        <f t="shared" si="7"/>
        <v>14285.444598567168</v>
      </c>
      <c r="G58" s="107">
        <f t="shared" si="7"/>
        <v>14918.093653055765</v>
      </c>
      <c r="H58" s="107">
        <f t="shared" si="7"/>
        <v>14546.611044550771</v>
      </c>
      <c r="I58" s="107">
        <f t="shared" si="7"/>
        <v>14869.549158852416</v>
      </c>
      <c r="J58" s="107">
        <f t="shared" si="7"/>
        <v>14859.119421923442</v>
      </c>
      <c r="K58" s="107">
        <f t="shared" si="7"/>
        <v>13911.105502983735</v>
      </c>
      <c r="L58" s="107">
        <f t="shared" si="7"/>
        <v>13673.123728817705</v>
      </c>
      <c r="M58" s="107">
        <f t="shared" si="7"/>
        <v>14138.410673590808</v>
      </c>
      <c r="N58" s="107">
        <f t="shared" si="7"/>
        <v>11928.635597490023</v>
      </c>
      <c r="P58" s="152">
        <f>AVERAGE(C58:N58)</f>
        <v>13808.511612890792</v>
      </c>
      <c r="U58" s="206"/>
      <c r="V58" s="524"/>
      <c r="W58" s="524"/>
      <c r="X58" s="524"/>
      <c r="Y58" s="524"/>
      <c r="Z58" s="524"/>
      <c r="AA58" s="524"/>
      <c r="AB58" s="524"/>
      <c r="AC58" s="524"/>
      <c r="AD58" s="524"/>
      <c r="AE58" s="524"/>
      <c r="AF58" s="524"/>
      <c r="AG58" s="524"/>
    </row>
    <row r="59" spans="1:33" s="12" customFormat="1" ht="15.6">
      <c r="A59" s="111"/>
      <c r="B59" s="149" t="s">
        <v>430</v>
      </c>
      <c r="C59" s="107">
        <f t="shared" ref="C59:N59" si="8">MIN(+C$27/C$18/C14,C60)</f>
        <v>16439.323515649536</v>
      </c>
      <c r="D59" s="107">
        <f t="shared" si="8"/>
        <v>16292.264198808372</v>
      </c>
      <c r="E59" s="107">
        <f t="shared" si="8"/>
        <v>13870.108596911057</v>
      </c>
      <c r="F59" s="107">
        <f t="shared" si="8"/>
        <v>15909.256200852251</v>
      </c>
      <c r="G59" s="107">
        <f t="shared" si="8"/>
        <v>15928.880960867038</v>
      </c>
      <c r="H59" s="107">
        <f t="shared" si="8"/>
        <v>16595.248644359512</v>
      </c>
      <c r="I59" s="107">
        <f t="shared" si="8"/>
        <v>16699.625640390437</v>
      </c>
      <c r="J59" s="107">
        <f t="shared" si="8"/>
        <v>16344.53468836393</v>
      </c>
      <c r="K59" s="107">
        <f t="shared" si="8"/>
        <v>17062.805326691632</v>
      </c>
      <c r="L59" s="107">
        <f t="shared" si="8"/>
        <v>16284.855780044412</v>
      </c>
      <c r="M59" s="107">
        <f t="shared" si="8"/>
        <v>16341.095577119573</v>
      </c>
      <c r="N59" s="107">
        <f t="shared" si="8"/>
        <v>14660.384207602243</v>
      </c>
      <c r="P59" s="152">
        <f>AVERAGE(C59:N59)</f>
        <v>16035.698611471666</v>
      </c>
      <c r="U59" s="206"/>
      <c r="V59" s="524"/>
      <c r="W59" s="524"/>
      <c r="X59" s="524"/>
      <c r="Y59" s="524"/>
      <c r="Z59" s="524"/>
      <c r="AA59" s="524"/>
      <c r="AB59" s="524"/>
      <c r="AC59" s="524"/>
      <c r="AD59" s="524"/>
      <c r="AE59" s="524"/>
      <c r="AF59" s="524"/>
      <c r="AG59" s="524"/>
    </row>
    <row r="60" spans="1:33" s="106" customFormat="1">
      <c r="A60" s="109"/>
      <c r="B60" s="149" t="s">
        <v>133</v>
      </c>
      <c r="C60" s="107">
        <f t="shared" ref="C60:N60" si="9">+C$27/C$18/C15</f>
        <v>18821.246862617107</v>
      </c>
      <c r="D60" s="107">
        <f t="shared" si="9"/>
        <v>19320.058933636446</v>
      </c>
      <c r="E60" s="107">
        <f t="shared" si="9"/>
        <v>16302.285686353969</v>
      </c>
      <c r="F60" s="107">
        <f t="shared" si="9"/>
        <v>19104.954170370009</v>
      </c>
      <c r="G60" s="107">
        <f t="shared" si="9"/>
        <v>19010.901772942467</v>
      </c>
      <c r="H60" s="107">
        <f t="shared" si="9"/>
        <v>19938.383660276424</v>
      </c>
      <c r="I60" s="107">
        <f t="shared" si="9"/>
        <v>20781.392959935798</v>
      </c>
      <c r="J60" s="107">
        <f t="shared" si="9"/>
        <v>20306.942882983905</v>
      </c>
      <c r="K60" s="107">
        <f t="shared" si="9"/>
        <v>21066.861040148448</v>
      </c>
      <c r="L60" s="107">
        <f t="shared" si="9"/>
        <v>19958.347138652523</v>
      </c>
      <c r="M60" s="107">
        <f t="shared" si="9"/>
        <v>18718.040164284957</v>
      </c>
      <c r="N60" s="107">
        <f t="shared" si="9"/>
        <v>16577.434645652731</v>
      </c>
      <c r="P60" s="152">
        <f>AVERAGE(C60:N60)</f>
        <v>19158.904159821235</v>
      </c>
      <c r="U60" s="206"/>
      <c r="V60" s="523"/>
      <c r="W60" s="523"/>
      <c r="X60" s="523"/>
      <c r="Y60" s="523"/>
      <c r="Z60" s="523"/>
      <c r="AA60" s="523"/>
      <c r="AB60" s="523"/>
      <c r="AC60" s="523"/>
      <c r="AD60" s="523"/>
      <c r="AE60" s="523"/>
      <c r="AF60" s="523"/>
      <c r="AG60" s="523"/>
    </row>
    <row r="61" spans="1:33" s="106" customFormat="1" ht="16.5" customHeight="1">
      <c r="A61" s="109"/>
      <c r="B61" s="108"/>
      <c r="C61" s="107"/>
      <c r="D61" s="107"/>
      <c r="E61" s="107"/>
      <c r="F61" s="107"/>
      <c r="G61" s="107"/>
      <c r="H61" s="107"/>
      <c r="I61" s="107"/>
      <c r="J61" s="107"/>
      <c r="K61" s="107"/>
      <c r="L61" s="107"/>
      <c r="M61" s="107"/>
      <c r="N61" s="107"/>
    </row>
    <row r="62" spans="1:33" s="106" customFormat="1" ht="16.5" customHeight="1">
      <c r="A62" s="109"/>
      <c r="B62" s="146" t="str">
        <f>"TEST - "&amp;MANUAL!$B$10</f>
        <v>TEST - 2017</v>
      </c>
      <c r="C62" s="107"/>
      <c r="D62" s="107"/>
      <c r="E62" s="107"/>
      <c r="F62" s="107"/>
      <c r="G62" s="107"/>
      <c r="H62" s="107"/>
      <c r="I62" s="107"/>
      <c r="J62" s="107"/>
      <c r="K62" s="107"/>
      <c r="L62" s="107"/>
      <c r="M62" s="107"/>
      <c r="N62" s="107"/>
    </row>
    <row r="63" spans="1:33" s="106" customFormat="1" ht="16.5" customHeight="1">
      <c r="A63" s="109"/>
      <c r="B63" s="149" t="s">
        <v>432</v>
      </c>
      <c r="C63" s="107">
        <f>C39+C44</f>
        <v>15651.905036883067</v>
      </c>
      <c r="D63" s="107">
        <f t="shared" ref="D63:N63" si="10">D39+D44</f>
        <v>13769.013940389981</v>
      </c>
      <c r="E63" s="107">
        <f t="shared" si="10"/>
        <v>12228.866683931303</v>
      </c>
      <c r="F63" s="107">
        <f t="shared" si="10"/>
        <v>15782.496183618012</v>
      </c>
      <c r="G63" s="107">
        <f t="shared" si="10"/>
        <v>16039.320369401192</v>
      </c>
      <c r="H63" s="107">
        <f t="shared" si="10"/>
        <v>15236.084905668758</v>
      </c>
      <c r="I63" s="107">
        <f t="shared" si="10"/>
        <v>15694.569686031606</v>
      </c>
      <c r="J63" s="107">
        <f t="shared" si="10"/>
        <v>16417.310312346486</v>
      </c>
      <c r="K63" s="107">
        <f t="shared" si="10"/>
        <v>14104.048953653575</v>
      </c>
      <c r="L63" s="107">
        <f t="shared" si="10"/>
        <v>13957.614862208729</v>
      </c>
      <c r="M63" s="107">
        <f t="shared" si="10"/>
        <v>13801.52586131289</v>
      </c>
      <c r="N63" s="107">
        <f t="shared" si="10"/>
        <v>12264.339278454803</v>
      </c>
      <c r="P63" s="152">
        <f>AVERAGE(C63:N63)</f>
        <v>14578.924672825035</v>
      </c>
    </row>
    <row r="64" spans="1:33" s="106" customFormat="1" ht="16.5" customHeight="1">
      <c r="A64" s="109"/>
      <c r="B64" s="149" t="s">
        <v>430</v>
      </c>
      <c r="C64" s="107">
        <f>MAX(+C$28/C$19/C14,C63)</f>
        <v>16371.617312401802</v>
      </c>
      <c r="D64" s="107">
        <f t="shared" ref="D64:N65" si="11">MAX(+D$28/D$19/D14,D63)</f>
        <v>16723.704152489394</v>
      </c>
      <c r="E64" s="107">
        <f t="shared" si="11"/>
        <v>13961.156424651501</v>
      </c>
      <c r="F64" s="107">
        <f t="shared" si="11"/>
        <v>16287.525182393336</v>
      </c>
      <c r="G64" s="107">
        <f t="shared" si="11"/>
        <v>16039.320369401192</v>
      </c>
      <c r="H64" s="107">
        <f t="shared" si="11"/>
        <v>16528.05988322361</v>
      </c>
      <c r="I64" s="107">
        <f t="shared" si="11"/>
        <v>16563.659088807668</v>
      </c>
      <c r="J64" s="107">
        <f t="shared" si="11"/>
        <v>16462.083692263444</v>
      </c>
      <c r="K64" s="107">
        <f t="shared" si="11"/>
        <v>17139.200035167636</v>
      </c>
      <c r="L64" s="107">
        <f t="shared" si="11"/>
        <v>16299.325105729056</v>
      </c>
      <c r="M64" s="107">
        <f t="shared" si="11"/>
        <v>16290.060380807394</v>
      </c>
      <c r="N64" s="107">
        <f t="shared" si="11"/>
        <v>14691.183334088801</v>
      </c>
      <c r="P64" s="152">
        <f>AVERAGE(C64:N64)</f>
        <v>16113.074580118737</v>
      </c>
    </row>
    <row r="65" spans="1:33" s="106" customFormat="1" ht="16.5" customHeight="1">
      <c r="A65" s="109"/>
      <c r="B65" s="149" t="s">
        <v>133</v>
      </c>
      <c r="C65" s="107">
        <f>MAX(+C$28/C$19/C15,C64)</f>
        <v>18743.730585001242</v>
      </c>
      <c r="D65" s="107">
        <f t="shared" si="11"/>
        <v>19831.678756991161</v>
      </c>
      <c r="E65" s="107">
        <f t="shared" si="11"/>
        <v>16409.299102188164</v>
      </c>
      <c r="F65" s="107">
        <f t="shared" si="11"/>
        <v>19559.206177200336</v>
      </c>
      <c r="G65" s="107">
        <f t="shared" si="11"/>
        <v>18556.807739479758</v>
      </c>
      <c r="H65" s="107">
        <f t="shared" si="11"/>
        <v>19857.659633424224</v>
      </c>
      <c r="I65" s="107">
        <f t="shared" si="11"/>
        <v>20612.193098891323</v>
      </c>
      <c r="J65" s="107">
        <f t="shared" si="11"/>
        <v>20452.989310958295</v>
      </c>
      <c r="K65" s="107">
        <f t="shared" si="11"/>
        <v>21161.182968861365</v>
      </c>
      <c r="L65" s="107">
        <f t="shared" si="11"/>
        <v>19976.080413590713</v>
      </c>
      <c r="M65" s="107">
        <f t="shared" si="11"/>
        <v>18659.581485681971</v>
      </c>
      <c r="N65" s="107">
        <f t="shared" si="11"/>
        <v>16612.261189025947</v>
      </c>
      <c r="P65" s="152">
        <f>AVERAGE(C65:N65)</f>
        <v>19202.722538441209</v>
      </c>
    </row>
    <row r="66" spans="1:33" s="106" customFormat="1" ht="16.5" customHeight="1">
      <c r="A66" s="109"/>
      <c r="B66" s="149" t="s">
        <v>158</v>
      </c>
      <c r="C66" s="499">
        <f>C28/C19/C63</f>
        <v>0.66315813618749309</v>
      </c>
      <c r="D66" s="499">
        <f t="shared" ref="D66:N66" si="12">D28/D19/D63</f>
        <v>0.76011371724642096</v>
      </c>
      <c r="E66" s="499">
        <f t="shared" si="12"/>
        <v>0.73144619985673054</v>
      </c>
      <c r="F66" s="499">
        <f t="shared" si="12"/>
        <v>0.6839977365476515</v>
      </c>
      <c r="G66" s="499">
        <f t="shared" si="12"/>
        <v>0.65082832972998506</v>
      </c>
      <c r="H66" s="499">
        <f t="shared" si="12"/>
        <v>0.70244195566249457</v>
      </c>
      <c r="I66" s="499">
        <f t="shared" si="12"/>
        <v>0.69235345304179308</v>
      </c>
      <c r="J66" s="499">
        <f t="shared" si="12"/>
        <v>0.66882525937877579</v>
      </c>
      <c r="K66" s="499">
        <f t="shared" si="12"/>
        <v>0.79759464291811166</v>
      </c>
      <c r="L66" s="499">
        <f t="shared" si="12"/>
        <v>0.77148756792548545</v>
      </c>
      <c r="M66" s="499">
        <f t="shared" si="12"/>
        <v>0.73056716829623891</v>
      </c>
      <c r="N66" s="499">
        <f t="shared" si="12"/>
        <v>0.75930704313666586</v>
      </c>
      <c r="P66" s="152"/>
      <c r="V66" s="553"/>
      <c r="W66" s="553"/>
      <c r="X66" s="553"/>
      <c r="Y66" s="553"/>
      <c r="Z66" s="553"/>
      <c r="AA66" s="553"/>
      <c r="AB66" s="553"/>
      <c r="AC66" s="553"/>
      <c r="AD66" s="553"/>
      <c r="AE66" s="553"/>
      <c r="AF66" s="553"/>
      <c r="AG66" s="553"/>
    </row>
    <row r="67" spans="1:33" s="106" customFormat="1" ht="16.5" customHeight="1">
      <c r="A67" s="109"/>
      <c r="B67" s="149" t="s">
        <v>988</v>
      </c>
      <c r="C67" s="499">
        <f>C28/C19/C64</f>
        <v>0.63400505728778578</v>
      </c>
      <c r="D67" s="499">
        <f t="shared" ref="D67:N67" si="13">D28/D19/D64</f>
        <v>0.62581927266930915</v>
      </c>
      <c r="E67" s="499">
        <f t="shared" si="13"/>
        <v>0.64068890802786116</v>
      </c>
      <c r="F67" s="499">
        <f t="shared" si="13"/>
        <v>0.66278894711003544</v>
      </c>
      <c r="G67" s="499">
        <f t="shared" si="13"/>
        <v>0.65082832972998506</v>
      </c>
      <c r="H67" s="499">
        <f t="shared" si="13"/>
        <v>0.64753306518698206</v>
      </c>
      <c r="I67" s="499">
        <f t="shared" si="13"/>
        <v>0.65602590936392136</v>
      </c>
      <c r="J67" s="499">
        <f t="shared" si="13"/>
        <v>0.66700619637338621</v>
      </c>
      <c r="K67" s="499">
        <f t="shared" si="13"/>
        <v>0.65634999683804451</v>
      </c>
      <c r="L67" s="499">
        <f t="shared" si="13"/>
        <v>0.66064860196580344</v>
      </c>
      <c r="M67" s="499">
        <f t="shared" si="13"/>
        <v>0.61896281726163382</v>
      </c>
      <c r="N67" s="499">
        <f t="shared" si="13"/>
        <v>0.63387672604563372</v>
      </c>
      <c r="P67" s="152"/>
      <c r="V67" s="553"/>
      <c r="W67" s="553"/>
      <c r="X67" s="553"/>
      <c r="Y67" s="553"/>
      <c r="Z67" s="553"/>
      <c r="AA67" s="553"/>
      <c r="AB67" s="553"/>
      <c r="AC67" s="553"/>
      <c r="AD67" s="553"/>
      <c r="AE67" s="553"/>
      <c r="AF67" s="553"/>
      <c r="AG67" s="553"/>
    </row>
    <row r="68" spans="1:33" s="106" customFormat="1" ht="16.5" customHeight="1">
      <c r="A68" s="109"/>
      <c r="B68" s="149" t="s">
        <v>150</v>
      </c>
      <c r="C68" s="499">
        <f>C28/C19/C65</f>
        <v>0.55376853209514498</v>
      </c>
      <c r="D68" s="499">
        <f t="shared" ref="D68:N68" si="14">D28/D19/D65</f>
        <v>0.52774233070703036</v>
      </c>
      <c r="E68" s="499">
        <f t="shared" si="14"/>
        <v>0.54510299366310866</v>
      </c>
      <c r="F68" s="499">
        <f t="shared" si="14"/>
        <v>0.55192381372053556</v>
      </c>
      <c r="G68" s="499">
        <f t="shared" si="14"/>
        <v>0.56253447427882652</v>
      </c>
      <c r="H68" s="499">
        <f t="shared" si="14"/>
        <v>0.53895904529270355</v>
      </c>
      <c r="I68" s="499">
        <f t="shared" si="14"/>
        <v>0.52717289538266054</v>
      </c>
      <c r="J68" s="499">
        <f t="shared" si="14"/>
        <v>0.53685608793008865</v>
      </c>
      <c r="K68" s="499">
        <f t="shared" si="14"/>
        <v>0.53160137150376852</v>
      </c>
      <c r="L68" s="499">
        <f t="shared" si="14"/>
        <v>0.53905101106621167</v>
      </c>
      <c r="M68" s="499">
        <f t="shared" si="14"/>
        <v>0.5403626911141387</v>
      </c>
      <c r="N68" s="499">
        <f t="shared" si="14"/>
        <v>0.56057384889301842</v>
      </c>
      <c r="P68" s="152"/>
      <c r="V68" s="553"/>
      <c r="W68" s="553"/>
      <c r="X68" s="553"/>
      <c r="Y68" s="553"/>
      <c r="Z68" s="553"/>
      <c r="AA68" s="553"/>
      <c r="AB68" s="553"/>
      <c r="AC68" s="553"/>
      <c r="AD68" s="553"/>
      <c r="AE68" s="553"/>
      <c r="AF68" s="553"/>
      <c r="AG68" s="553"/>
    </row>
    <row r="69" spans="1:33" s="106" customFormat="1" ht="16.5" customHeight="1">
      <c r="A69" s="109"/>
      <c r="B69" s="149"/>
      <c r="C69" s="107"/>
      <c r="D69" s="107"/>
      <c r="E69" s="107"/>
      <c r="F69" s="107"/>
      <c r="G69" s="107"/>
      <c r="H69" s="107"/>
      <c r="I69" s="107"/>
      <c r="J69" s="107"/>
      <c r="K69" s="107"/>
      <c r="L69" s="107"/>
      <c r="M69" s="107"/>
      <c r="N69" s="107"/>
      <c r="P69" s="152"/>
    </row>
    <row r="70" spans="1:33" s="106" customFormat="1" ht="16.5" customHeight="1">
      <c r="A70" s="109"/>
      <c r="B70" s="146" t="str">
        <f>"SUBSEQUENT - "&amp;MANUAL!$B$11</f>
        <v>SUBSEQUENT - 2018</v>
      </c>
      <c r="C70" s="107"/>
      <c r="D70" s="107"/>
      <c r="E70" s="107"/>
      <c r="F70" s="107"/>
      <c r="G70" s="107"/>
      <c r="H70" s="107"/>
      <c r="I70" s="107"/>
      <c r="J70" s="107"/>
      <c r="K70" s="107"/>
      <c r="L70" s="107"/>
      <c r="M70" s="107"/>
      <c r="N70" s="107"/>
    </row>
    <row r="71" spans="1:33" s="106" customFormat="1" ht="16.5" customHeight="1">
      <c r="A71" s="109"/>
      <c r="B71" s="149" t="s">
        <v>432</v>
      </c>
      <c r="C71" s="107">
        <f>C49+C54</f>
        <v>15822.838692788855</v>
      </c>
      <c r="D71" s="107">
        <f t="shared" ref="D71:N71" si="15">D49+D54</f>
        <v>13949.797490312923</v>
      </c>
      <c r="E71" s="107">
        <f t="shared" si="15"/>
        <v>12268.751694524557</v>
      </c>
      <c r="F71" s="107">
        <f t="shared" si="15"/>
        <v>15674.143769544473</v>
      </c>
      <c r="G71" s="107">
        <f t="shared" si="15"/>
        <v>16279.185770652499</v>
      </c>
      <c r="H71" s="107">
        <f t="shared" si="15"/>
        <v>15337.583152045403</v>
      </c>
      <c r="I71" s="107">
        <f t="shared" si="15"/>
        <v>15837.323546937088</v>
      </c>
      <c r="J71" s="107">
        <f t="shared" si="15"/>
        <v>16485.648609040738</v>
      </c>
      <c r="K71" s="107">
        <f t="shared" si="15"/>
        <v>14151.079674803599</v>
      </c>
      <c r="L71" s="107">
        <f t="shared" si="15"/>
        <v>14028.611964977883</v>
      </c>
      <c r="M71" s="107">
        <f t="shared" si="15"/>
        <v>13890.154713914797</v>
      </c>
      <c r="N71" s="107">
        <f t="shared" si="15"/>
        <v>12296.955439030145</v>
      </c>
      <c r="O71" s="107"/>
      <c r="P71" s="152">
        <f>AVERAGE(C71:N71)</f>
        <v>14668.506209881079</v>
      </c>
      <c r="T71" s="522"/>
      <c r="U71" s="523"/>
      <c r="V71" s="523"/>
      <c r="W71" s="523"/>
      <c r="X71" s="523"/>
      <c r="Y71" s="523"/>
      <c r="Z71" s="523"/>
      <c r="AA71" s="523"/>
      <c r="AB71" s="523"/>
      <c r="AC71" s="523"/>
      <c r="AD71" s="523"/>
      <c r="AE71" s="523"/>
      <c r="AF71" s="523"/>
    </row>
    <row r="72" spans="1:33" s="106" customFormat="1" ht="16.5" customHeight="1">
      <c r="A72" s="109"/>
      <c r="B72" s="149" t="s">
        <v>430</v>
      </c>
      <c r="C72" s="107">
        <f>MAX(+C$29/C$14/C20,C71)</f>
        <v>16405.469354029377</v>
      </c>
      <c r="D72" s="107">
        <f t="shared" ref="D72:N72" si="16">MAX(+D$29/D$14/D20,D71)</f>
        <v>16798.917464913317</v>
      </c>
      <c r="E72" s="107">
        <f t="shared" si="16"/>
        <v>13915.632510781281</v>
      </c>
      <c r="F72" s="107">
        <f t="shared" si="16"/>
        <v>16098.389643861741</v>
      </c>
      <c r="G72" s="107">
        <f t="shared" si="16"/>
        <v>16279.185770652499</v>
      </c>
      <c r="H72" s="107">
        <f t="shared" si="16"/>
        <v>16561.655336237865</v>
      </c>
      <c r="I72" s="107">
        <f t="shared" si="16"/>
        <v>16631.643389014404</v>
      </c>
      <c r="J72" s="107">
        <f t="shared" si="16"/>
        <v>16485.648609040738</v>
      </c>
      <c r="K72" s="107">
        <f t="shared" si="16"/>
        <v>17101.002680929632</v>
      </c>
      <c r="L72" s="107">
        <f t="shared" si="16"/>
        <v>16292.090442886734</v>
      </c>
      <c r="M72" s="107">
        <f t="shared" si="16"/>
        <v>16315.577978963482</v>
      </c>
      <c r="N72" s="107">
        <f t="shared" si="16"/>
        <v>14675.784831056417</v>
      </c>
      <c r="O72" s="107"/>
      <c r="P72" s="152">
        <f>AVERAGE(C72:N72)</f>
        <v>16130.08316769729</v>
      </c>
      <c r="T72" s="206"/>
      <c r="U72" s="523"/>
      <c r="V72" s="523"/>
      <c r="W72" s="523"/>
      <c r="X72" s="523"/>
      <c r="Y72" s="523"/>
      <c r="Z72" s="523"/>
      <c r="AA72" s="523"/>
      <c r="AB72" s="523"/>
      <c r="AC72" s="523"/>
      <c r="AD72" s="523"/>
      <c r="AE72" s="523"/>
      <c r="AF72" s="523"/>
    </row>
    <row r="73" spans="1:33" s="106" customFormat="1" ht="16.5" customHeight="1">
      <c r="A73" s="109"/>
      <c r="B73" s="149" t="s">
        <v>133</v>
      </c>
      <c r="C73" s="107">
        <f>MAX(+C$29/C$15/C20,C72)</f>
        <v>18782.4875102281</v>
      </c>
      <c r="D73" s="107">
        <f t="shared" ref="D73:N73" si="17">MAX(+D$29/D$15/D20,D72)</f>
        <v>19920.86989770017</v>
      </c>
      <c r="E73" s="107">
        <f t="shared" si="17"/>
        <v>16355.792394271068</v>
      </c>
      <c r="F73" s="107">
        <f t="shared" si="17"/>
        <v>19332.078915559985</v>
      </c>
      <c r="G73" s="107">
        <f t="shared" si="17"/>
        <v>18783.854756211113</v>
      </c>
      <c r="H73" s="107">
        <f t="shared" si="17"/>
        <v>19898.022935342375</v>
      </c>
      <c r="I73" s="107">
        <f t="shared" si="17"/>
        <v>20696.794304219256</v>
      </c>
      <c r="J73" s="107">
        <f t="shared" si="17"/>
        <v>20379.9660969711</v>
      </c>
      <c r="K73" s="107">
        <f t="shared" si="17"/>
        <v>21114.022004504906</v>
      </c>
      <c r="L73" s="107">
        <f t="shared" si="17"/>
        <v>19967.213776121618</v>
      </c>
      <c r="M73" s="107">
        <f t="shared" si="17"/>
        <v>18688.810824983462</v>
      </c>
      <c r="N73" s="107">
        <f t="shared" si="17"/>
        <v>16594.849116187648</v>
      </c>
      <c r="O73" s="107"/>
      <c r="P73" s="152">
        <f>AVERAGE(C73:N73)</f>
        <v>19209.563544358403</v>
      </c>
      <c r="T73" s="206"/>
      <c r="U73" s="523"/>
      <c r="V73" s="523"/>
      <c r="W73" s="523"/>
      <c r="X73" s="523"/>
      <c r="Y73" s="523"/>
      <c r="Z73" s="523"/>
      <c r="AA73" s="523"/>
      <c r="AB73" s="523"/>
      <c r="AC73" s="523"/>
      <c r="AD73" s="523"/>
      <c r="AE73" s="523"/>
      <c r="AF73" s="523"/>
    </row>
    <row r="74" spans="1:33" s="106" customFormat="1" ht="16.5" customHeight="1">
      <c r="A74" s="109"/>
      <c r="B74" s="149" t="s">
        <v>158</v>
      </c>
      <c r="C74" s="499">
        <f>C29/C20/C71</f>
        <v>0.65735047544753511</v>
      </c>
      <c r="D74" s="499">
        <f t="shared" ref="D74:N74" si="18">D29/D20/D71</f>
        <v>0.7536371991653894</v>
      </c>
      <c r="E74" s="499">
        <f t="shared" si="18"/>
        <v>0.72669099675628923</v>
      </c>
      <c r="F74" s="499">
        <f t="shared" si="18"/>
        <v>0.68072839442459143</v>
      </c>
      <c r="G74" s="499">
        <f t="shared" si="18"/>
        <v>0.64908442038078218</v>
      </c>
      <c r="H74" s="499">
        <f t="shared" si="18"/>
        <v>0.69921182093244427</v>
      </c>
      <c r="I74" s="499">
        <f t="shared" si="18"/>
        <v>0.68892884243719021</v>
      </c>
      <c r="J74" s="499">
        <f t="shared" si="18"/>
        <v>0.66367475920647934</v>
      </c>
      <c r="K74" s="499">
        <f t="shared" si="18"/>
        <v>0.793172204064446</v>
      </c>
      <c r="L74" s="499">
        <f t="shared" si="18"/>
        <v>0.76724246141129315</v>
      </c>
      <c r="M74" s="499">
        <f t="shared" si="18"/>
        <v>0.72704273775975004</v>
      </c>
      <c r="N74" s="499">
        <f t="shared" si="18"/>
        <v>0.75649932107047702</v>
      </c>
      <c r="O74" s="107"/>
      <c r="P74" s="152"/>
      <c r="T74" s="206"/>
      <c r="U74" s="523"/>
      <c r="V74" s="523"/>
      <c r="W74" s="523"/>
      <c r="X74" s="523"/>
      <c r="Y74" s="523"/>
      <c r="Z74" s="523"/>
      <c r="AA74" s="523"/>
      <c r="AB74" s="523"/>
      <c r="AC74" s="523"/>
      <c r="AD74" s="523"/>
      <c r="AE74" s="523"/>
      <c r="AF74" s="523"/>
    </row>
    <row r="75" spans="1:33" s="106" customFormat="1" ht="16.5" customHeight="1">
      <c r="A75" s="109"/>
      <c r="B75" s="149" t="s">
        <v>988</v>
      </c>
      <c r="C75" s="499">
        <f>C29/C20/C72</f>
        <v>0.63400505728778567</v>
      </c>
      <c r="D75" s="499">
        <f t="shared" ref="D75:N75" si="19">D29/D20/D72</f>
        <v>0.62581927266930937</v>
      </c>
      <c r="E75" s="499">
        <f t="shared" si="19"/>
        <v>0.64068890802786116</v>
      </c>
      <c r="F75" s="499">
        <f t="shared" si="19"/>
        <v>0.66278894711003544</v>
      </c>
      <c r="G75" s="499">
        <f t="shared" si="19"/>
        <v>0.64908442038078218</v>
      </c>
      <c r="H75" s="499">
        <f t="shared" si="19"/>
        <v>0.64753306518698217</v>
      </c>
      <c r="I75" s="499">
        <f t="shared" si="19"/>
        <v>0.65602590936392124</v>
      </c>
      <c r="J75" s="499">
        <f t="shared" si="19"/>
        <v>0.66367475920647934</v>
      </c>
      <c r="K75" s="499">
        <f t="shared" si="19"/>
        <v>0.65634999683804451</v>
      </c>
      <c r="L75" s="499">
        <f t="shared" si="19"/>
        <v>0.66064860196580344</v>
      </c>
      <c r="M75" s="499">
        <f t="shared" si="19"/>
        <v>0.61896281726163394</v>
      </c>
      <c r="N75" s="499">
        <f t="shared" si="19"/>
        <v>0.63387672604563372</v>
      </c>
      <c r="O75" s="107"/>
      <c r="P75" s="152"/>
      <c r="T75" s="206"/>
      <c r="U75" s="523"/>
      <c r="V75" s="523"/>
      <c r="W75" s="523"/>
      <c r="X75" s="523"/>
      <c r="Y75" s="523"/>
      <c r="Z75" s="523"/>
      <c r="AA75" s="523"/>
      <c r="AB75" s="523"/>
      <c r="AC75" s="523"/>
      <c r="AD75" s="523"/>
      <c r="AE75" s="523"/>
      <c r="AF75" s="523"/>
    </row>
    <row r="76" spans="1:33" s="106" customFormat="1" ht="16.5" customHeight="1">
      <c r="A76" s="109"/>
      <c r="B76" s="149" t="s">
        <v>150</v>
      </c>
      <c r="C76" s="499">
        <f>C29/C20/C73</f>
        <v>0.55376853209514487</v>
      </c>
      <c r="D76" s="499">
        <f t="shared" ref="D76:N76" si="20">D29/D20/D73</f>
        <v>0.52774233070703036</v>
      </c>
      <c r="E76" s="499">
        <f t="shared" si="20"/>
        <v>0.54510299366310866</v>
      </c>
      <c r="F76" s="499">
        <f t="shared" si="20"/>
        <v>0.55192381372053556</v>
      </c>
      <c r="G76" s="499">
        <f t="shared" si="20"/>
        <v>0.56253447427882652</v>
      </c>
      <c r="H76" s="499">
        <f t="shared" si="20"/>
        <v>0.53895904529270355</v>
      </c>
      <c r="I76" s="499">
        <f t="shared" si="20"/>
        <v>0.52717289538266054</v>
      </c>
      <c r="J76" s="499">
        <f t="shared" si="20"/>
        <v>0.53685608793008865</v>
      </c>
      <c r="K76" s="499">
        <f t="shared" si="20"/>
        <v>0.53160137150376841</v>
      </c>
      <c r="L76" s="499">
        <f t="shared" si="20"/>
        <v>0.53905101106621167</v>
      </c>
      <c r="M76" s="499">
        <f t="shared" si="20"/>
        <v>0.5403626911141387</v>
      </c>
      <c r="N76" s="499">
        <f t="shared" si="20"/>
        <v>0.56057384889301842</v>
      </c>
      <c r="O76" s="107"/>
      <c r="P76" s="152"/>
      <c r="T76" s="206"/>
      <c r="U76" s="524"/>
      <c r="V76" s="524"/>
      <c r="W76" s="524"/>
      <c r="X76" s="524"/>
      <c r="Y76" s="524"/>
      <c r="Z76" s="524"/>
      <c r="AA76" s="524"/>
      <c r="AB76" s="524"/>
      <c r="AC76" s="524"/>
      <c r="AD76" s="524"/>
      <c r="AE76" s="524"/>
      <c r="AF76" s="524"/>
    </row>
    <row r="77" spans="1:33" s="106" customFormat="1" ht="16.5" customHeight="1">
      <c r="A77" s="109"/>
      <c r="B77" s="108"/>
      <c r="C77" s="107"/>
      <c r="D77" s="107"/>
      <c r="E77" s="107"/>
      <c r="F77" s="107"/>
      <c r="G77" s="107"/>
      <c r="H77" s="107"/>
      <c r="I77" s="107"/>
      <c r="J77" s="107"/>
      <c r="K77" s="107"/>
      <c r="L77" s="107"/>
      <c r="M77" s="107"/>
      <c r="N77" s="107"/>
      <c r="T77" s="206"/>
      <c r="U77" s="524"/>
      <c r="V77" s="524"/>
      <c r="W77" s="524"/>
      <c r="X77" s="524"/>
      <c r="Y77" s="524"/>
      <c r="Z77" s="524"/>
      <c r="AA77" s="524"/>
      <c r="AB77" s="524"/>
      <c r="AC77" s="524"/>
      <c r="AD77" s="524"/>
      <c r="AE77" s="524"/>
      <c r="AF77" s="524"/>
    </row>
    <row r="78" spans="1:33" ht="13.2">
      <c r="A78" s="42" t="s">
        <v>116</v>
      </c>
      <c r="C78" s="105"/>
      <c r="T78" s="206"/>
      <c r="U78" s="524"/>
      <c r="V78" s="524"/>
      <c r="W78" s="524"/>
      <c r="X78" s="524"/>
      <c r="Y78" s="524"/>
      <c r="Z78" s="524"/>
      <c r="AA78" s="524"/>
      <c r="AB78" s="524"/>
      <c r="AC78" s="524"/>
      <c r="AD78" s="524"/>
      <c r="AE78" s="524"/>
      <c r="AF78" s="524"/>
    </row>
    <row r="79" spans="1:33" ht="13.2">
      <c r="A79"/>
      <c r="B79" s="10" t="s">
        <v>338</v>
      </c>
      <c r="C79" s="105"/>
      <c r="D79" s="105"/>
      <c r="E79" s="105"/>
      <c r="F79" s="105"/>
      <c r="G79" s="105"/>
      <c r="H79" s="105"/>
      <c r="I79" s="105"/>
      <c r="J79" s="105"/>
      <c r="K79" s="105"/>
      <c r="L79" s="105"/>
      <c r="M79" s="105"/>
      <c r="N79" s="105"/>
      <c r="T79" s="206"/>
      <c r="U79" s="523"/>
      <c r="V79" s="523"/>
      <c r="W79" s="523"/>
      <c r="X79" s="523"/>
      <c r="Y79" s="523"/>
      <c r="Z79" s="523"/>
      <c r="AA79" s="523"/>
      <c r="AB79" s="523"/>
      <c r="AC79" s="523"/>
      <c r="AD79" s="523"/>
      <c r="AE79" s="523"/>
      <c r="AF79" s="523"/>
    </row>
    <row r="80" spans="1:33" ht="13.2">
      <c r="A80"/>
      <c r="B80" s="81" t="s">
        <v>426</v>
      </c>
    </row>
    <row r="81" spans="1:32" ht="13.2">
      <c r="A81"/>
      <c r="B81" s="125" t="s">
        <v>431</v>
      </c>
      <c r="C81" s="104"/>
      <c r="U81" s="492"/>
      <c r="V81" s="492"/>
      <c r="W81" s="492"/>
      <c r="X81" s="492"/>
      <c r="Y81" s="492"/>
      <c r="Z81" s="492"/>
      <c r="AA81" s="492"/>
      <c r="AB81" s="492"/>
      <c r="AC81" s="492"/>
      <c r="AD81" s="492"/>
      <c r="AE81" s="492"/>
      <c r="AF81" s="492"/>
    </row>
    <row r="82" spans="1:32" ht="13.2">
      <c r="A82"/>
      <c r="B82" s="153" t="s">
        <v>435</v>
      </c>
      <c r="E82" s="88"/>
      <c r="U82" s="492"/>
      <c r="V82" s="492"/>
      <c r="W82" s="492"/>
      <c r="X82" s="492"/>
      <c r="Y82" s="492"/>
      <c r="Z82" s="492"/>
      <c r="AA82" s="492"/>
      <c r="AB82" s="492"/>
      <c r="AC82" s="492"/>
      <c r="AD82" s="492"/>
      <c r="AE82" s="492"/>
      <c r="AF82" s="492"/>
    </row>
    <row r="83" spans="1:32" ht="13.2">
      <c r="A83"/>
      <c r="B83" t="s">
        <v>433</v>
      </c>
      <c r="C83" s="98"/>
      <c r="D83" s="98"/>
      <c r="E83" s="98"/>
      <c r="F83" s="98"/>
      <c r="G83" s="98"/>
      <c r="H83" s="98"/>
      <c r="I83" s="98"/>
      <c r="J83" s="98"/>
      <c r="K83" s="98"/>
      <c r="L83" s="98"/>
      <c r="M83" s="98"/>
      <c r="N83" s="98"/>
      <c r="U83" s="492"/>
      <c r="V83" s="492"/>
      <c r="W83" s="492"/>
      <c r="X83" s="492"/>
      <c r="Y83" s="492"/>
      <c r="Z83" s="492"/>
      <c r="AA83" s="492"/>
      <c r="AB83" s="492"/>
      <c r="AC83" s="492"/>
      <c r="AD83" s="492"/>
      <c r="AE83" s="492"/>
      <c r="AF83" s="492"/>
    </row>
    <row r="84" spans="1:32">
      <c r="B84" s="10" t="s">
        <v>534</v>
      </c>
      <c r="E84" s="10"/>
      <c r="U84" s="492"/>
      <c r="V84" s="492"/>
      <c r="W84" s="492"/>
      <c r="X84" s="492"/>
      <c r="Y84" s="492"/>
      <c r="Z84" s="492"/>
      <c r="AA84" s="492"/>
      <c r="AB84" s="492"/>
      <c r="AC84" s="492"/>
      <c r="AD84" s="492"/>
      <c r="AE84" s="492"/>
      <c r="AF84" s="492"/>
    </row>
    <row r="85" spans="1:32" ht="15.6" thickBot="1">
      <c r="B85" s="10"/>
      <c r="E85" s="10"/>
      <c r="U85" s="492"/>
      <c r="V85" s="492"/>
      <c r="W85" s="492"/>
      <c r="X85" s="492"/>
      <c r="Y85" s="492"/>
      <c r="Z85" s="492"/>
      <c r="AA85" s="492"/>
      <c r="AB85" s="492"/>
      <c r="AC85" s="492"/>
      <c r="AD85" s="492"/>
      <c r="AE85" s="492"/>
      <c r="AF85" s="492"/>
    </row>
    <row r="86" spans="1:32" ht="15.6" thickBot="1">
      <c r="C86" s="102" t="s">
        <v>79</v>
      </c>
      <c r="D86" s="101" t="s">
        <v>80</v>
      </c>
      <c r="E86" s="100" t="s">
        <v>81</v>
      </c>
      <c r="F86" s="100" t="s">
        <v>70</v>
      </c>
      <c r="G86" s="100" t="s">
        <v>71</v>
      </c>
      <c r="H86" s="101" t="s">
        <v>72</v>
      </c>
      <c r="I86" s="102" t="s">
        <v>73</v>
      </c>
      <c r="J86" s="102" t="s">
        <v>74</v>
      </c>
      <c r="K86" s="103" t="s">
        <v>75</v>
      </c>
      <c r="L86" s="103" t="s">
        <v>76</v>
      </c>
      <c r="M86" s="103" t="s">
        <v>77</v>
      </c>
      <c r="N86" s="103" t="s">
        <v>78</v>
      </c>
      <c r="U86" s="492"/>
      <c r="V86" s="492"/>
      <c r="W86" s="492"/>
      <c r="X86" s="492"/>
      <c r="Y86" s="492"/>
      <c r="Z86" s="492"/>
      <c r="AA86" s="492"/>
      <c r="AB86" s="492"/>
      <c r="AC86" s="492"/>
      <c r="AD86" s="492"/>
      <c r="AE86" s="492"/>
      <c r="AF86" s="492"/>
    </row>
    <row r="87" spans="1:32">
      <c r="B87" s="43" t="s">
        <v>547</v>
      </c>
      <c r="C87" s="145">
        <f>VLOOKUP($B$10&amp;" Total",'Billing Demand'!$A$5:$AL$44,C$9,FALSE)</f>
        <v>15770</v>
      </c>
      <c r="D87" s="145">
        <f>VLOOKUP($B$10&amp;" Total",'Billing Demand'!$A$5:$AL$44,D$9,FALSE)</f>
        <v>15915</v>
      </c>
      <c r="E87" s="145">
        <f>VLOOKUP($B$10&amp;" Total",'Billing Demand'!$A$5:$AL$44,E$9,FALSE)</f>
        <v>15828</v>
      </c>
      <c r="F87" s="145">
        <f>VLOOKUP($B$10&amp;" Total",'Billing Demand'!$A$5:$AL$44,F$9,FALSE)</f>
        <v>16408</v>
      </c>
      <c r="G87" s="145">
        <f>VLOOKUP($B$10&amp;" Total",'Billing Demand'!$A$5:$AL$44,G$9,FALSE)</f>
        <v>16036</v>
      </c>
      <c r="H87" s="145">
        <f>VLOOKUP($B$10&amp;" Total",'Billing Demand'!$A$5:$AL$44,H$9,FALSE)</f>
        <v>16263</v>
      </c>
      <c r="I87" s="145">
        <f>VLOOKUP($B$10&amp;" Total",'Billing Demand'!$A$5:$AL$44,I$9,FALSE)</f>
        <v>17003</v>
      </c>
      <c r="J87" s="145">
        <f>VLOOKUP($B$10&amp;" Total",'Billing Demand'!$A$5:$AL$44,J$9,FALSE)</f>
        <v>16909</v>
      </c>
      <c r="K87" s="145">
        <f>VLOOKUP($B$10&amp;" Total",'Billing Demand'!$A$5:$AL$44,K$9,FALSE)</f>
        <v>17020</v>
      </c>
      <c r="L87" s="145">
        <f>VLOOKUP($B$10&amp;" Total",'Billing Demand'!$A$5:$AL$44,L$9,FALSE)</f>
        <v>17007</v>
      </c>
      <c r="M87" s="145">
        <f>VLOOKUP($B$10&amp;" Total",'Billing Demand'!$A$5:$AL$44,M$9,FALSE)</f>
        <v>15961</v>
      </c>
      <c r="N87" s="145">
        <f>VLOOKUP($B$10&amp;" Total",'Billing Demand'!$A$5:$AL$44,N$9,FALSE)</f>
        <v>16053</v>
      </c>
      <c r="U87" s="492"/>
      <c r="V87" s="492"/>
      <c r="W87" s="492"/>
      <c r="X87" s="492"/>
      <c r="Y87" s="492"/>
      <c r="Z87" s="492"/>
      <c r="AA87" s="492"/>
      <c r="AB87" s="492"/>
      <c r="AC87" s="492"/>
      <c r="AD87" s="492"/>
      <c r="AE87" s="492"/>
      <c r="AF87" s="492"/>
    </row>
    <row r="88" spans="1:32">
      <c r="B88" s="239" t="s">
        <v>548</v>
      </c>
      <c r="C88" s="235">
        <f>+C60</f>
        <v>18821.246862617107</v>
      </c>
      <c r="D88" s="235">
        <f t="shared" ref="D88:N88" si="21">+D60</f>
        <v>19320.058933636446</v>
      </c>
      <c r="E88" s="235">
        <f t="shared" si="21"/>
        <v>16302.285686353969</v>
      </c>
      <c r="F88" s="235">
        <f t="shared" si="21"/>
        <v>19104.954170370009</v>
      </c>
      <c r="G88" s="235">
        <f t="shared" si="21"/>
        <v>19010.901772942467</v>
      </c>
      <c r="H88" s="235">
        <f t="shared" si="21"/>
        <v>19938.383660276424</v>
      </c>
      <c r="I88" s="235">
        <f t="shared" si="21"/>
        <v>20781.392959935798</v>
      </c>
      <c r="J88" s="235">
        <f t="shared" si="21"/>
        <v>20306.942882983905</v>
      </c>
      <c r="K88" s="235">
        <f t="shared" si="21"/>
        <v>21066.861040148448</v>
      </c>
      <c r="L88" s="235">
        <f t="shared" si="21"/>
        <v>19958.347138652523</v>
      </c>
      <c r="M88" s="235">
        <f t="shared" si="21"/>
        <v>18718.040164284957</v>
      </c>
      <c r="N88" s="235">
        <f t="shared" si="21"/>
        <v>16577.434645652731</v>
      </c>
    </row>
    <row r="89" spans="1:32">
      <c r="B89" s="45" t="s">
        <v>535</v>
      </c>
      <c r="C89" s="236" t="str">
        <f>IF(C87&gt;=C88,"OK","CHECK")</f>
        <v>CHECK</v>
      </c>
      <c r="D89" s="236" t="str">
        <f>IF(D87&gt;=D88,"OK","CHECK")</f>
        <v>CHECK</v>
      </c>
      <c r="E89" s="236" t="str">
        <f>IF(E87&gt;=E88,"OK","CHECK")</f>
        <v>CHECK</v>
      </c>
      <c r="F89" s="236" t="str">
        <f>IF(F87&gt;=F88,"OK","CHECK")</f>
        <v>CHECK</v>
      </c>
      <c r="G89" s="236" t="str">
        <f t="shared" ref="G89:N89" si="22">IF(G87&gt;=G88,"OK","CHECK")</f>
        <v>CHECK</v>
      </c>
      <c r="H89" s="236" t="str">
        <f t="shared" si="22"/>
        <v>CHECK</v>
      </c>
      <c r="I89" s="236" t="str">
        <f t="shared" si="22"/>
        <v>CHECK</v>
      </c>
      <c r="J89" s="236" t="str">
        <f t="shared" si="22"/>
        <v>CHECK</v>
      </c>
      <c r="K89" s="236" t="str">
        <f t="shared" si="22"/>
        <v>CHECK</v>
      </c>
      <c r="L89" s="236" t="str">
        <f t="shared" si="22"/>
        <v>CHECK</v>
      </c>
      <c r="M89" s="236" t="str">
        <f t="shared" si="22"/>
        <v>CHECK</v>
      </c>
      <c r="N89" s="236" t="str">
        <f t="shared" si="22"/>
        <v>CHECK</v>
      </c>
    </row>
    <row r="90" spans="1:32" ht="15.6" thickBot="1">
      <c r="G90" s="145"/>
    </row>
    <row r="91" spans="1:32" ht="15.6" thickBot="1">
      <c r="C91" s="102" t="s">
        <v>79</v>
      </c>
      <c r="D91" s="101" t="s">
        <v>80</v>
      </c>
      <c r="E91" s="100" t="s">
        <v>81</v>
      </c>
      <c r="F91" s="100" t="s">
        <v>70</v>
      </c>
      <c r="G91" s="100" t="s">
        <v>71</v>
      </c>
      <c r="H91" s="101" t="s">
        <v>72</v>
      </c>
      <c r="I91" s="102" t="s">
        <v>73</v>
      </c>
      <c r="J91" s="102" t="s">
        <v>74</v>
      </c>
      <c r="K91" s="103" t="s">
        <v>75</v>
      </c>
      <c r="L91" s="103" t="s">
        <v>76</v>
      </c>
      <c r="M91" s="103" t="s">
        <v>77</v>
      </c>
      <c r="N91" s="103" t="s">
        <v>78</v>
      </c>
    </row>
    <row r="92" spans="1:32" ht="409.6">
      <c r="B92" s="43" t="s">
        <v>549</v>
      </c>
      <c r="C92" s="145">
        <f>VLOOKUP($B$10&amp;" Total",'Billing Demand'!$A$5:$AL$44,C$9+12,FALSE)</f>
        <v>15705</v>
      </c>
      <c r="D92" s="145">
        <f>VLOOKUP($B$10&amp;" Total",'Billing Demand'!$A$5:$AL$44,D$9+12,FALSE)</f>
        <v>15773</v>
      </c>
      <c r="E92" s="145">
        <f>VLOOKUP($B$10&amp;" Total",'Billing Demand'!$A$5:$AL$44,E$9+12,FALSE)</f>
        <v>15932</v>
      </c>
      <c r="F92" s="145">
        <f>VLOOKUP($B$10&amp;" Total",'Billing Demand'!$A$5:$AL$44,F$9+12,FALSE)</f>
        <v>16798</v>
      </c>
      <c r="G92" s="145">
        <f>VLOOKUP($B$10&amp;" Total",'Billing Demand'!$A$5:$AL$44,G$9+12,FALSE)</f>
        <v>15653</v>
      </c>
      <c r="H92" s="145">
        <f>VLOOKUP($B$10&amp;" Total",'Billing Demand'!$A$5:$AL$44,H$9+12,FALSE)</f>
        <v>16197</v>
      </c>
      <c r="I92" s="145">
        <f>VLOOKUP($B$10&amp;" Total",'Billing Demand'!$A$5:$AL$44,I$9+12,FALSE)</f>
        <v>16865</v>
      </c>
      <c r="J92" s="145">
        <f>VLOOKUP($B$10&amp;" Total",'Billing Demand'!$A$5:$AL$44,J$9+12,FALSE)</f>
        <v>17031</v>
      </c>
      <c r="K92" s="145">
        <f>VLOOKUP($B$10&amp;" Total",'Billing Demand'!$A$5:$AL$44,K$9+12,FALSE)</f>
        <v>17096</v>
      </c>
      <c r="L92" s="145">
        <f>VLOOKUP($B$10&amp;" Total",'Billing Demand'!$A$5:$AL$44,L$9+12,FALSE)</f>
        <v>17022</v>
      </c>
      <c r="M92" s="145">
        <f>VLOOKUP($B$10&amp;" Total",'Billing Demand'!$A$5:$AL$44,M$9+12,FALSE)</f>
        <v>15912</v>
      </c>
      <c r="N92" s="145">
        <f>VLOOKUP($B$10&amp;" Total",'Billing Demand'!$A$5:$AL$44,N$9+12,FALSE)</f>
        <v>16086</v>
      </c>
    </row>
    <row r="93" spans="1:32">
      <c r="B93" s="239" t="s">
        <v>550</v>
      </c>
      <c r="C93" s="235">
        <f>+C65</f>
        <v>18743.730585001242</v>
      </c>
      <c r="D93" s="235">
        <f t="shared" ref="D93:N93" si="23">+D65</f>
        <v>19831.678756991161</v>
      </c>
      <c r="E93" s="235">
        <f t="shared" si="23"/>
        <v>16409.299102188164</v>
      </c>
      <c r="F93" s="235">
        <f t="shared" si="23"/>
        <v>19559.206177200336</v>
      </c>
      <c r="G93" s="235">
        <f t="shared" si="23"/>
        <v>18556.807739479758</v>
      </c>
      <c r="H93" s="235">
        <f t="shared" si="23"/>
        <v>19857.659633424224</v>
      </c>
      <c r="I93" s="235">
        <f t="shared" si="23"/>
        <v>20612.193098891323</v>
      </c>
      <c r="J93" s="235">
        <f t="shared" si="23"/>
        <v>20452.989310958295</v>
      </c>
      <c r="K93" s="235">
        <f t="shared" si="23"/>
        <v>21161.182968861365</v>
      </c>
      <c r="L93" s="235">
        <f t="shared" si="23"/>
        <v>19976.080413590713</v>
      </c>
      <c r="M93" s="235">
        <f t="shared" si="23"/>
        <v>18659.581485681971</v>
      </c>
      <c r="N93" s="235">
        <f t="shared" si="23"/>
        <v>16612.261189025947</v>
      </c>
    </row>
    <row r="94" spans="1:32" ht="409.6">
      <c r="B94" s="45" t="s">
        <v>535</v>
      </c>
      <c r="C94" s="236" t="str">
        <f>IF(C92&gt;=C93,"OK","CHECK")</f>
        <v>CHECK</v>
      </c>
      <c r="D94" s="236" t="str">
        <f>IF(D92&gt;=D93,"OK","CHECK")</f>
        <v>CHECK</v>
      </c>
      <c r="E94" s="236" t="str">
        <f>IF(E92&gt;=E93,"OK","CHECK")</f>
        <v>CHECK</v>
      </c>
      <c r="F94" s="236" t="str">
        <f>IF(F92&gt;=F93,"OK","CHECK")</f>
        <v>CHECK</v>
      </c>
      <c r="G94" s="236" t="str">
        <f t="shared" ref="G94:N94" si="24">IF(G92&gt;=G93,"OK","CHECK")</f>
        <v>CHECK</v>
      </c>
      <c r="H94" s="236" t="str">
        <f t="shared" si="24"/>
        <v>CHECK</v>
      </c>
      <c r="I94" s="236" t="str">
        <f t="shared" si="24"/>
        <v>CHECK</v>
      </c>
      <c r="J94" s="236" t="str">
        <f t="shared" si="24"/>
        <v>CHECK</v>
      </c>
      <c r="K94" s="236" t="str">
        <f t="shared" si="24"/>
        <v>CHECK</v>
      </c>
      <c r="L94" s="236" t="str">
        <f t="shared" si="24"/>
        <v>CHECK</v>
      </c>
      <c r="M94" s="236" t="str">
        <f t="shared" si="24"/>
        <v>CHECK</v>
      </c>
      <c r="N94" s="236" t="str">
        <f t="shared" si="24"/>
        <v>CHECK</v>
      </c>
    </row>
    <row r="96" spans="1:32">
      <c r="B96" s="45" t="s">
        <v>1093</v>
      </c>
    </row>
  </sheetData>
  <mergeCells count="3">
    <mergeCell ref="C7:E7"/>
    <mergeCell ref="F7:L7"/>
    <mergeCell ref="M7:N7"/>
  </mergeCells>
  <conditionalFormatting sqref="C59:N59">
    <cfRule type="cellIs" dxfId="140" priority="13" operator="greaterThanOrEqual">
      <formula>C60</formula>
    </cfRule>
  </conditionalFormatting>
  <conditionalFormatting sqref="C58:N58">
    <cfRule type="cellIs" dxfId="139" priority="11" operator="greaterThanOrEqual">
      <formula>C59</formula>
    </cfRule>
  </conditionalFormatting>
  <conditionalFormatting sqref="C89:N89">
    <cfRule type="cellIs" dxfId="138" priority="9" stopIfTrue="1" operator="equal">
      <formula>"Check"</formula>
    </cfRule>
  </conditionalFormatting>
  <conditionalFormatting sqref="C94:N94">
    <cfRule type="cellIs" dxfId="137" priority="8" stopIfTrue="1" operator="equal">
      <formula>"Error"</formula>
    </cfRule>
  </conditionalFormatting>
  <conditionalFormatting sqref="C94:N94">
    <cfRule type="cellIs" dxfId="136" priority="7" stopIfTrue="1" operator="equal">
      <formula>"Check"</formula>
    </cfRule>
  </conditionalFormatting>
  <conditionalFormatting sqref="C72:N72">
    <cfRule type="cellIs" dxfId="135" priority="2" operator="greaterThanOrEqual">
      <formula>C73</formula>
    </cfRule>
  </conditionalFormatting>
  <conditionalFormatting sqref="C71:N71">
    <cfRule type="cellIs" dxfId="134" priority="1" operator="greaterThan">
      <formula>C72</formula>
    </cfRule>
  </conditionalFormatting>
  <conditionalFormatting sqref="C64:N64">
    <cfRule type="cellIs" dxfId="133" priority="4" operator="greaterThanOrEqual">
      <formula>C65</formula>
    </cfRule>
  </conditionalFormatting>
  <conditionalFormatting sqref="C63:N63">
    <cfRule type="cellIs" dxfId="132" priority="3" operator="greaterThan">
      <formula>C64</formula>
    </cfRule>
  </conditionalFormatting>
  <pageMargins left="0" right="0" top="1" bottom="1" header="0.5" footer="0.5"/>
  <pageSetup scale="33" orientation="landscape" r:id="rId1"/>
  <headerFooter alignWithMargins="0">
    <oddFooter>&amp;LPrinted:  &amp;D&amp;C&amp;F&amp;RPage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pageSetUpPr fitToPage="1"/>
  </sheetPr>
  <dimension ref="A1:AF92"/>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 min="19" max="19" width="10.6640625" bestFit="1" customWidth="1"/>
    <col min="20" max="20" width="16.109375" bestFit="1" customWidth="1"/>
    <col min="21" max="24" width="10.6640625" bestFit="1" customWidth="1"/>
    <col min="25" max="25" width="9.44140625" bestFit="1" customWidth="1"/>
    <col min="26" max="26" width="7" customWidth="1"/>
    <col min="27" max="27" width="8.44140625" customWidth="1"/>
    <col min="28" max="28" width="11.5546875" bestFit="1" customWidth="1"/>
  </cols>
  <sheetData>
    <row r="1" spans="1:16" s="8" customFormat="1" ht="15.6">
      <c r="A1" s="624"/>
      <c r="B1" s="8" t="s">
        <v>1292</v>
      </c>
    </row>
    <row r="2" spans="1:16" s="8" customFormat="1" ht="15.6">
      <c r="A2" s="624"/>
      <c r="B2" s="8" t="s">
        <v>1267</v>
      </c>
    </row>
    <row r="3" spans="1:16" s="8" customFormat="1" ht="15.6">
      <c r="A3" s="624"/>
    </row>
    <row r="4" spans="1:16" ht="21">
      <c r="A4" s="124" t="s">
        <v>445</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c r="A9" s="123"/>
      <c r="B9" s="10" t="s">
        <v>56</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IFERROR(VLOOKUP($B$9,'Avg KWH'!$A$12:$O$38,C9,FALSE)/HOURS!B15/VLOOKUP($B$9,'Avg CP'!$A$12:$P$38,C9,FALSE),"")</f>
        <v>1.3401010527836699</v>
      </c>
      <c r="D13" s="115" t="str">
        <f>IF(VLOOKUP($B$9,'Avg CP LF'!$A$12:$P$38,D$9,FALSE)=0,"",VLOOKUP($B$9,'Avg CP LF'!$A$12:$P$38,D$9,FALSE))</f>
        <v/>
      </c>
      <c r="E13" s="115" t="str">
        <f>IF(VLOOKUP($B$9,'Avg CP LF'!$A$12:$P$38,E$9,FALSE)=0,"",VLOOKUP($B$9,'Avg CP LF'!$A$12:$P$38,E$9,FALSE))</f>
        <v/>
      </c>
      <c r="F13" s="115" t="str">
        <f>IF(VLOOKUP($B$9,'Avg CP LF'!$A$12:$P$38,F$9,FALSE)=0,"",VLOOKUP($B$9,'Avg CP LF'!$A$12:$P$38,F$9,FALSE))</f>
        <v/>
      </c>
      <c r="G13" s="115" t="str">
        <f>IF(VLOOKUP($B$9,'Avg CP LF'!$A$12:$P$38,G$9,FALSE)=0,"",VLOOKUP($B$9,'Avg CP LF'!$A$12:$P$38,G$9,FALSE))</f>
        <v/>
      </c>
      <c r="H13" s="115" t="str">
        <f>IF(VLOOKUP($B$9,'Avg CP LF'!$A$12:$P$38,H$9,FALSE)=0,"",VLOOKUP($B$9,'Avg CP LF'!$A$12:$P$38,H$9,FALSE))</f>
        <v/>
      </c>
      <c r="I13" s="115" t="str">
        <f>IF(VLOOKUP($B$9,'Avg CP LF'!$A$12:$P$38,I$9,FALSE)=0,"",VLOOKUP($B$9,'Avg CP LF'!$A$12:$P$38,I$9,FALSE))</f>
        <v/>
      </c>
      <c r="J13" s="115" t="str">
        <f>IF(VLOOKUP($B$9,'Avg CP LF'!$A$12:$P$38,J$9,FALSE)=0,"",VLOOKUP($B$9,'Avg CP LF'!$A$12:$P$38,J$9,FALSE))</f>
        <v/>
      </c>
      <c r="K13" s="115" t="str">
        <f>IF(VLOOKUP($B$9,'Avg CP LF'!$A$12:$P$38,K$9,FALSE)=0,"",VLOOKUP($B$9,'Avg CP LF'!$A$12:$P$38,K$9,FALSE))</f>
        <v/>
      </c>
      <c r="L13" s="115" t="str">
        <f>IF(VLOOKUP($B$9,'Avg CP LF'!$A$12:$P$38,L$9,FALSE)=0,"",VLOOKUP($B$9,'Avg CP LF'!$A$12:$P$38,L$9,FALSE))</f>
        <v/>
      </c>
      <c r="M13" s="115">
        <f>VLOOKUP($B$9,'Avg KWH'!$A$12:$O$38,M9,FALSE)/M19/VLOOKUP($B$9,'Avg CP'!$A$12:$P$38,M9,FALSE)</f>
        <v>1.6374335629147405</v>
      </c>
      <c r="N13" s="115">
        <f>VLOOKUP($B$9,'Avg KWH'!$A$12:$O$38,N9,FALSE)/N19/VLOOKUP($B$9,'Avg CP'!$A$12:$P$38,N9,FALSE)</f>
        <v>1.6759749957330603</v>
      </c>
    </row>
    <row r="14" spans="1:16" s="110" customFormat="1">
      <c r="A14" s="119"/>
      <c r="B14" s="118" t="s">
        <v>342</v>
      </c>
      <c r="C14" s="115">
        <f>IFERROR(VLOOKUP($B$9,'Avg KWH'!$A$12:$O$38,C9,FALSE)/HOURS!B15/VLOOKUP($B$9,'Avg GNCP'!$A$11:$P$37,C9,FALSE),"")</f>
        <v>0.55221568208837091</v>
      </c>
      <c r="D14" s="115">
        <f>IFERROR(VLOOKUP($B$9,'Avg KWH'!$A$12:$O$38,D9,FALSE)/HOURS!C15/VLOOKUP($B$9,'Avg GNCP'!$A$11:$P$37,D9,FALSE),"")</f>
        <v>0.52994619613918381</v>
      </c>
      <c r="E14" s="115">
        <f>IFERROR(VLOOKUP($B$9,'Avg KWH'!$A$12:$O$38,E9,FALSE)/HOURS!D15/VLOOKUP($B$9,'Avg GNCP'!$A$11:$P$37,E9,FALSE),"")</f>
        <v>0.49849946852056309</v>
      </c>
      <c r="F14" s="115">
        <f>IFERROR(VLOOKUP($B$9,'Avg KWH'!$A$12:$O$38,F9,FALSE)/HOURS!E15/VLOOKUP($B$9,'Avg GNCP'!$A$11:$P$37,F9,FALSE),"")</f>
        <v>0.46799871689469158</v>
      </c>
      <c r="G14" s="115">
        <f>IFERROR(VLOOKUP($B$9,'Avg KWH'!$A$12:$O$38,G9,FALSE)/HOURS!F15/VLOOKUP($B$9,'Avg GNCP'!$A$11:$P$37,G9,FALSE),"")</f>
        <v>0.44207505528525964</v>
      </c>
      <c r="H14" s="115">
        <f>IFERROR(VLOOKUP($B$9,'Avg KWH'!$A$12:$O$38,H9,FALSE)/HOURS!G15/VLOOKUP($B$9,'Avg GNCP'!$A$11:$P$37,H9,FALSE),"")</f>
        <v>0.42941768772305794</v>
      </c>
      <c r="I14" s="115">
        <f>IFERROR(VLOOKUP($B$9,'Avg KWH'!$A$12:$O$38,I9,FALSE)/HOURS!H15/VLOOKUP($B$9,'Avg GNCP'!$A$11:$P$37,I9,FALSE),"")</f>
        <v>0.43515315554304584</v>
      </c>
      <c r="J14" s="115">
        <f>IFERROR(VLOOKUP($B$9,'Avg KWH'!$A$12:$O$38,J9,FALSE)/HOURS!I15/VLOOKUP($B$9,'Avg GNCP'!$A$11:$P$37,J9,FALSE),"")</f>
        <v>0.45697852543323625</v>
      </c>
      <c r="K14" s="115">
        <f>IFERROR(VLOOKUP($B$9,'Avg KWH'!$A$12:$O$38,K9,FALSE)/HOURS!J15/VLOOKUP($B$9,'Avg GNCP'!$A$11:$P$37,K9,FALSE),"")</f>
        <v>0.48702704503064215</v>
      </c>
      <c r="L14" s="115">
        <f>IFERROR(VLOOKUP($B$9,'Avg KWH'!$A$12:$O$38,L9,FALSE)/HOURS!K15/VLOOKUP($B$9,'Avg GNCP'!$A$11:$P$37,L9,FALSE),"")</f>
        <v>0.51868990649112512</v>
      </c>
      <c r="M14" s="115">
        <f>IFERROR(VLOOKUP($B$9,'Avg KWH'!$A$12:$O$38,M9,FALSE)/HOURS!L15/VLOOKUP($B$9,'Avg GNCP'!$A$11:$P$37,M9,FALSE),"")</f>
        <v>0.54551953018587207</v>
      </c>
      <c r="N14" s="115">
        <f>IFERROR(VLOOKUP($B$9,'Avg KWH'!$A$12:$O$38,N9,FALSE)/HOURS!M15/VLOOKUP($B$9,'Avg GNCP'!$A$11:$P$37,N9,FALSE),"")</f>
        <v>0.55863985837073005</v>
      </c>
    </row>
    <row r="15" spans="1:16" s="10" customFormat="1">
      <c r="A15" s="119"/>
      <c r="B15" s="148" t="s">
        <v>133</v>
      </c>
      <c r="C15" s="115">
        <f>IFERROR(VLOOKUP($B$9,'Avg KWH'!$A$12:$O$38,C9,FALSE)/HOURS!B15/VLOOKUP($B$9,'Avg NCP'!$B$12:$P$38,C9-1,FALSE),"")</f>
        <v>0.55221568208837091</v>
      </c>
      <c r="D15" s="115">
        <f>IFERROR(VLOOKUP($B$9,'Avg KWH'!$A$12:$O$38,D9,FALSE)/HOURS!C15/VLOOKUP($B$9,'Avg NCP'!$B$12:$P$38,D9-1,FALSE),"")</f>
        <v>0.52994619613918381</v>
      </c>
      <c r="E15" s="115">
        <f>IFERROR(VLOOKUP($B$9,'Avg KWH'!$A$12:$O$38,E9,FALSE)/HOURS!D15/VLOOKUP($B$9,'Avg NCP'!$B$12:$P$38,E9-1,FALSE),"")</f>
        <v>0.49849946852056309</v>
      </c>
      <c r="F15" s="115">
        <f>IFERROR(VLOOKUP($B$9,'Avg KWH'!$A$12:$O$38,F9,FALSE)/HOURS!E15/VLOOKUP($B$9,'Avg NCP'!$B$12:$P$38,F9-1,FALSE),"")</f>
        <v>0.46799871689469158</v>
      </c>
      <c r="G15" s="115">
        <f>IFERROR(VLOOKUP($B$9,'Avg KWH'!$A$12:$O$38,G9,FALSE)/HOURS!F15/VLOOKUP($B$9,'Avg NCP'!$B$12:$P$38,G9-1,FALSE),"")</f>
        <v>0.44207505528525964</v>
      </c>
      <c r="H15" s="115">
        <f>IFERROR(VLOOKUP($B$9,'Avg KWH'!$A$12:$O$38,H9,FALSE)/HOURS!G15/VLOOKUP($B$9,'Avg NCP'!$B$12:$P$38,H9-1,FALSE),"")</f>
        <v>0.42941768772305794</v>
      </c>
      <c r="I15" s="115">
        <f>IFERROR(VLOOKUP($B$9,'Avg KWH'!$A$12:$O$38,I9,FALSE)/HOURS!H15/VLOOKUP($B$9,'Avg NCP'!$B$12:$P$38,I9-1,FALSE),"")</f>
        <v>0.43515315554304584</v>
      </c>
      <c r="J15" s="115">
        <f>IFERROR(VLOOKUP($B$9,'Avg KWH'!$A$12:$O$38,J9,FALSE)/HOURS!I15/VLOOKUP($B$9,'Avg NCP'!$B$12:$P$38,J9-1,FALSE),"")</f>
        <v>0.45697852543323625</v>
      </c>
      <c r="K15" s="115">
        <f>IFERROR(VLOOKUP($B$9,'Avg KWH'!$A$12:$O$38,K9,FALSE)/HOURS!J15/VLOOKUP($B$9,'Avg NCP'!$B$12:$P$38,K9-1,FALSE),"")</f>
        <v>0.48702704503064215</v>
      </c>
      <c r="L15" s="115">
        <f>IFERROR(VLOOKUP($B$9,'Avg KWH'!$A$12:$O$38,L9,FALSE)/HOURS!K15/VLOOKUP($B$9,'Avg NCP'!$B$12:$P$38,L9-1,FALSE),"")</f>
        <v>0.51868990649112512</v>
      </c>
      <c r="M15" s="115">
        <f>IFERROR(VLOOKUP($B$9,'Avg KWH'!$A$12:$O$38,M9,FALSE)/HOURS!L15/VLOOKUP($B$9,'Avg NCP'!$B$12:$P$38,M9-1,FALSE),"")</f>
        <v>0.54551953018587207</v>
      </c>
      <c r="N15" s="115">
        <f>IFERROR(VLOOKUP($B$9,'Avg KWH'!$A$12:$O$38,N9,FALSE)/HOURS!M15/VLOOKUP($B$9,'Avg NCP'!$B$12:$P$38,N9-1,FALSE),"")</f>
        <v>0.55863985837073005</v>
      </c>
    </row>
    <row r="16" spans="1:16">
      <c r="A16" s="114"/>
      <c r="C16" s="116"/>
      <c r="D16" s="116"/>
      <c r="E16" s="116"/>
      <c r="F16" s="116"/>
      <c r="G16" s="116"/>
      <c r="H16" s="116"/>
      <c r="I16" s="116"/>
      <c r="J16" s="116"/>
      <c r="K16" s="116"/>
      <c r="L16" s="116"/>
      <c r="M16" s="117"/>
      <c r="N16" s="116"/>
    </row>
    <row r="17" spans="1:31" ht="15.6">
      <c r="A17" s="113" t="s">
        <v>421</v>
      </c>
      <c r="C17" s="5"/>
      <c r="D17" s="5"/>
      <c r="E17" s="5"/>
      <c r="F17" s="5"/>
      <c r="G17" s="5"/>
      <c r="H17" s="5"/>
      <c r="I17" s="5"/>
      <c r="J17" s="5"/>
      <c r="K17" s="5"/>
      <c r="L17" s="5"/>
      <c r="M17" s="115"/>
      <c r="N17" s="5"/>
    </row>
    <row r="18" spans="1:31">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31">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31">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31">
      <c r="A21" s="114"/>
      <c r="C21" s="5"/>
      <c r="D21" s="5"/>
      <c r="E21" s="5"/>
      <c r="F21" s="5"/>
      <c r="G21" s="5"/>
      <c r="H21" s="5"/>
      <c r="I21" s="5"/>
      <c r="J21" s="5"/>
      <c r="K21" s="5"/>
      <c r="L21" s="5"/>
      <c r="M21" s="115"/>
      <c r="N21" s="5"/>
    </row>
    <row r="22" spans="1:31" ht="15.6">
      <c r="A22" s="113" t="s">
        <v>427</v>
      </c>
      <c r="C22" s="5"/>
      <c r="D22" s="5"/>
      <c r="E22" s="5"/>
      <c r="F22" s="5"/>
      <c r="G22" s="5"/>
      <c r="H22" s="5"/>
      <c r="I22" s="5"/>
      <c r="J22" s="5"/>
      <c r="K22" s="5"/>
      <c r="L22" s="5"/>
      <c r="M22" s="115"/>
      <c r="N22" s="5"/>
    </row>
    <row r="23" spans="1:31">
      <c r="A23" s="114"/>
      <c r="B23" t="s">
        <v>428</v>
      </c>
      <c r="C23" s="145">
        <v>0</v>
      </c>
      <c r="D23" s="145">
        <v>0</v>
      </c>
      <c r="E23" s="145">
        <v>0</v>
      </c>
      <c r="F23" s="145">
        <v>0</v>
      </c>
      <c r="G23" s="145">
        <v>0</v>
      </c>
      <c r="H23" s="145">
        <v>0</v>
      </c>
      <c r="I23" s="145">
        <v>0</v>
      </c>
      <c r="J23" s="145">
        <v>0</v>
      </c>
      <c r="K23" s="145">
        <v>0</v>
      </c>
      <c r="L23" s="145">
        <v>0</v>
      </c>
      <c r="M23" s="145">
        <v>0</v>
      </c>
      <c r="N23" s="145">
        <v>0</v>
      </c>
    </row>
    <row r="24" spans="1:31">
      <c r="A24" s="114"/>
      <c r="B24" t="s">
        <v>429</v>
      </c>
      <c r="C24" s="145">
        <v>0</v>
      </c>
      <c r="D24" s="145">
        <v>0</v>
      </c>
      <c r="E24" s="145">
        <v>0</v>
      </c>
      <c r="F24" s="145">
        <v>0</v>
      </c>
      <c r="G24" s="145">
        <v>0</v>
      </c>
      <c r="H24" s="145">
        <v>0</v>
      </c>
      <c r="I24" s="145">
        <v>0</v>
      </c>
      <c r="J24" s="145">
        <v>0</v>
      </c>
      <c r="K24" s="145">
        <v>0</v>
      </c>
      <c r="L24" s="145">
        <v>0</v>
      </c>
      <c r="M24" s="145">
        <v>0</v>
      </c>
      <c r="N24" s="145">
        <v>0</v>
      </c>
    </row>
    <row r="25" spans="1:31">
      <c r="A25" s="114"/>
      <c r="C25" s="5"/>
      <c r="D25" s="5"/>
      <c r="E25" s="5"/>
      <c r="F25" s="5"/>
      <c r="G25" s="5"/>
      <c r="H25" s="5"/>
      <c r="I25" s="5"/>
      <c r="J25" s="5"/>
      <c r="K25" s="5"/>
      <c r="L25" s="5"/>
      <c r="M25" s="115"/>
      <c r="N25" s="5"/>
    </row>
    <row r="26" spans="1:31" ht="15.6">
      <c r="A26" s="113" t="s">
        <v>424</v>
      </c>
      <c r="C26" s="5"/>
      <c r="D26" s="5"/>
      <c r="E26" s="5"/>
      <c r="F26" s="5"/>
      <c r="G26" s="5"/>
      <c r="H26" s="5"/>
      <c r="I26" s="5"/>
      <c r="J26" s="5"/>
      <c r="K26" s="5"/>
      <c r="L26" s="5"/>
      <c r="M26" s="115"/>
      <c r="N26" s="5"/>
    </row>
    <row r="27" spans="1:31" s="106" customFormat="1">
      <c r="A27" s="109"/>
      <c r="B27" s="108" t="str">
        <f>"PRIOR - "&amp;MANUAL!$B$9</f>
        <v>PRIOR - 2016</v>
      </c>
      <c r="C27" s="142">
        <f>VLOOKUP($B$9,'Sales Forecast'!$B$7:$AO$23,C9-1,FALSE)</f>
        <v>8229452</v>
      </c>
      <c r="D27" s="142">
        <f>VLOOKUP($B$9,'Sales Forecast'!$B$7:$AO$23,D9-1,FALSE)</f>
        <v>8225388</v>
      </c>
      <c r="E27" s="142">
        <f>VLOOKUP($B$9,'Sales Forecast'!$B$7:$AO$23,E9-1,FALSE)</f>
        <v>8221324</v>
      </c>
      <c r="F27" s="142">
        <f>VLOOKUP($B$9,'Sales Forecast'!$B$7:$AO$23,F9-1,FALSE)</f>
        <v>8217260</v>
      </c>
      <c r="G27" s="142">
        <f>VLOOKUP($B$9,'Sales Forecast'!$B$7:$AO$23,G9-1,FALSE)</f>
        <v>8213196</v>
      </c>
      <c r="H27" s="142">
        <f>VLOOKUP($B$9,'Sales Forecast'!$B$7:$AO$23,H9-1,FALSE)</f>
        <v>8209132</v>
      </c>
      <c r="I27" s="142">
        <f>VLOOKUP($B$9,'Sales Forecast'!$B$7:$AO$23,I9-1,FALSE)</f>
        <v>8205068</v>
      </c>
      <c r="J27" s="142">
        <f>VLOOKUP($B$9,'Sales Forecast'!$B$7:$AO$23,J9-1,FALSE)</f>
        <v>8201004</v>
      </c>
      <c r="K27" s="142">
        <f>VLOOKUP($B$9,'Sales Forecast'!$B$7:$AO$23,K9-1,FALSE)</f>
        <v>8196940</v>
      </c>
      <c r="L27" s="142">
        <f>VLOOKUP($B$9,'Sales Forecast'!$B$7:$AO$23,L9-1,FALSE)</f>
        <v>8192876</v>
      </c>
      <c r="M27" s="142">
        <f>VLOOKUP($B$9,'Sales Forecast'!$B$7:$AO$23,M9-1,FALSE)</f>
        <v>8188812</v>
      </c>
      <c r="N27" s="142">
        <f>VLOOKUP($B$9,'Sales Forecast'!$B$7:$AO$23,N9-1,FALSE)</f>
        <v>8184748</v>
      </c>
    </row>
    <row r="28" spans="1:31" s="12" customFormat="1" ht="15.6">
      <c r="A28" s="111"/>
      <c r="B28" s="108" t="str">
        <f>"TEST - "&amp;MANUAL!$B$10</f>
        <v>TEST - 2017</v>
      </c>
      <c r="C28" s="142">
        <f>VLOOKUP($B$9,'Sales Forecast'!$B$7:$AO$23,C9+11,FALSE)</f>
        <v>8180684</v>
      </c>
      <c r="D28" s="142">
        <f>VLOOKUP($B$9,'Sales Forecast'!$B$7:$AO$23,D9+11,FALSE)</f>
        <v>8176620</v>
      </c>
      <c r="E28" s="142">
        <f>VLOOKUP($B$9,'Sales Forecast'!$B$7:$AO$23,E9+11,FALSE)</f>
        <v>8172556</v>
      </c>
      <c r="F28" s="142">
        <f>VLOOKUP($B$9,'Sales Forecast'!$B$7:$AO$23,F9+11,FALSE)</f>
        <v>8168492</v>
      </c>
      <c r="G28" s="142">
        <f>VLOOKUP($B$9,'Sales Forecast'!$B$7:$AO$23,G9+11,FALSE)</f>
        <v>8164428</v>
      </c>
      <c r="H28" s="142">
        <f>VLOOKUP($B$9,'Sales Forecast'!$B$7:$AO$23,H9+11,FALSE)</f>
        <v>8160364</v>
      </c>
      <c r="I28" s="142">
        <f>VLOOKUP($B$9,'Sales Forecast'!$B$7:$AO$23,I9+11,FALSE)</f>
        <v>8156300</v>
      </c>
      <c r="J28" s="142">
        <f>VLOOKUP($B$9,'Sales Forecast'!$B$7:$AO$23,J9+11,FALSE)</f>
        <v>8152236</v>
      </c>
      <c r="K28" s="142">
        <f>VLOOKUP($B$9,'Sales Forecast'!$B$7:$AO$23,K9+11,FALSE)</f>
        <v>8148172</v>
      </c>
      <c r="L28" s="142">
        <f>VLOOKUP($B$9,'Sales Forecast'!$B$7:$AO$23,L9+11,FALSE)</f>
        <v>8144108</v>
      </c>
      <c r="M28" s="142">
        <f>VLOOKUP($B$9,'Sales Forecast'!$B$7:$AO$23,M9+11,FALSE)</f>
        <v>8140044</v>
      </c>
      <c r="N28" s="142">
        <f>VLOOKUP($B$9,'Sales Forecast'!$B$7:$AO$23,N9+11,FALSE)</f>
        <v>8135980</v>
      </c>
    </row>
    <row r="29" spans="1:31">
      <c r="A29" s="114"/>
      <c r="B29" t="s">
        <v>1094</v>
      </c>
      <c r="C29" s="142">
        <f>VLOOKUP($B$9,'Sales Forecast'!$B$7:$AO$23,C9+23,FALSE)</f>
        <v>8131916</v>
      </c>
      <c r="D29" s="142">
        <f>VLOOKUP($B$9,'Sales Forecast'!$B$7:$AO$23,D9+23,FALSE)</f>
        <v>8127852</v>
      </c>
      <c r="E29" s="142">
        <f>VLOOKUP($B$9,'Sales Forecast'!$B$7:$AO$23,E9+23,FALSE)</f>
        <v>8123788</v>
      </c>
      <c r="F29" s="142">
        <f>VLOOKUP($B$9,'Sales Forecast'!$B$7:$AO$23,F9+23,FALSE)</f>
        <v>8119724</v>
      </c>
      <c r="G29" s="142">
        <f>VLOOKUP($B$9,'Sales Forecast'!$B$7:$AO$23,G9+23,FALSE)</f>
        <v>8115660</v>
      </c>
      <c r="H29" s="142">
        <f>VLOOKUP($B$9,'Sales Forecast'!$B$7:$AO$23,H9+23,FALSE)</f>
        <v>8111596</v>
      </c>
      <c r="I29" s="142">
        <f>VLOOKUP($B$9,'Sales Forecast'!$B$7:$AO$23,I9+23,FALSE)</f>
        <v>8107532</v>
      </c>
      <c r="J29" s="142">
        <f>VLOOKUP($B$9,'Sales Forecast'!$B$7:$AO$23,J9+23,FALSE)</f>
        <v>8103468</v>
      </c>
      <c r="K29" s="142">
        <f>VLOOKUP($B$9,'Sales Forecast'!$B$7:$AO$23,K9+23,FALSE)</f>
        <v>8099404</v>
      </c>
      <c r="L29" s="142">
        <f>VLOOKUP($B$9,'Sales Forecast'!$B$7:$AO$23,L9+23,FALSE)</f>
        <v>8095340</v>
      </c>
      <c r="M29" s="142">
        <f>VLOOKUP($B$9,'Sales Forecast'!$B$7:$AO$23,M9+23,FALSE)</f>
        <v>8091276</v>
      </c>
      <c r="N29" s="142">
        <f>VLOOKUP($B$9,'Sales Forecast'!$B$7:$AO$23,N9+23,FALSE)</f>
        <v>8087212</v>
      </c>
    </row>
    <row r="30" spans="1:31">
      <c r="A30" s="114"/>
      <c r="C30" s="142"/>
      <c r="D30" s="142"/>
      <c r="E30" s="142"/>
      <c r="F30" s="142"/>
      <c r="G30" s="142"/>
      <c r="H30" s="142"/>
      <c r="I30" s="142"/>
      <c r="J30" s="142"/>
      <c r="K30" s="142"/>
      <c r="L30" s="142"/>
      <c r="M30" s="142"/>
      <c r="N30" s="142"/>
    </row>
    <row r="31" spans="1:31" s="12" customFormat="1" ht="15.6">
      <c r="A31" s="113" t="s">
        <v>1248</v>
      </c>
      <c r="B31"/>
      <c r="C31" s="142"/>
      <c r="D31" s="142"/>
      <c r="E31" s="142"/>
      <c r="F31" s="142"/>
      <c r="G31" s="142"/>
      <c r="H31" s="142"/>
      <c r="I31" s="142"/>
      <c r="J31" s="142"/>
      <c r="K31" s="142"/>
      <c r="L31" s="142"/>
      <c r="M31" s="142"/>
      <c r="N31" s="142"/>
      <c r="S31" s="522"/>
      <c r="T31" s="523"/>
      <c r="U31" s="523"/>
      <c r="V31" s="523"/>
      <c r="W31" s="523"/>
      <c r="X31" s="523"/>
      <c r="Y31" s="523"/>
      <c r="Z31" s="523"/>
      <c r="AA31" s="523"/>
      <c r="AB31" s="523"/>
      <c r="AC31" s="523"/>
      <c r="AD31" s="523"/>
      <c r="AE31" s="523"/>
    </row>
    <row r="32" spans="1:31" s="12" customFormat="1">
      <c r="A32" s="114"/>
      <c r="B32" t="s">
        <v>1254</v>
      </c>
      <c r="C32" s="115">
        <v>0</v>
      </c>
      <c r="D32" s="115">
        <v>0</v>
      </c>
      <c r="E32" s="115">
        <v>0</v>
      </c>
      <c r="F32" s="115">
        <v>0</v>
      </c>
      <c r="G32" s="115">
        <v>0</v>
      </c>
      <c r="H32" s="115">
        <v>0</v>
      </c>
      <c r="I32" s="115">
        <v>0</v>
      </c>
      <c r="J32" s="115">
        <v>0</v>
      </c>
      <c r="K32" s="115">
        <v>0</v>
      </c>
      <c r="L32" s="115">
        <v>0</v>
      </c>
      <c r="M32" s="115">
        <v>0</v>
      </c>
      <c r="N32" s="115">
        <v>0</v>
      </c>
      <c r="S32" s="206"/>
      <c r="T32" s="523"/>
      <c r="U32" s="523"/>
      <c r="V32" s="523"/>
      <c r="W32" s="523"/>
      <c r="X32" s="523"/>
      <c r="Y32" s="523"/>
      <c r="Z32" s="523"/>
      <c r="AA32" s="523"/>
      <c r="AB32" s="523"/>
      <c r="AC32" s="523"/>
      <c r="AD32" s="523"/>
      <c r="AE32" s="523"/>
    </row>
    <row r="33" spans="1:31" s="12" customFormat="1">
      <c r="A33" s="114"/>
      <c r="B33" t="s">
        <v>1253</v>
      </c>
      <c r="C33" s="115">
        <v>0</v>
      </c>
      <c r="D33" s="115">
        <v>0</v>
      </c>
      <c r="E33" s="115">
        <v>0</v>
      </c>
      <c r="F33" s="115">
        <v>0</v>
      </c>
      <c r="G33" s="115">
        <v>0</v>
      </c>
      <c r="H33" s="115">
        <v>0</v>
      </c>
      <c r="I33" s="115">
        <v>0</v>
      </c>
      <c r="J33" s="115">
        <v>0</v>
      </c>
      <c r="K33" s="115">
        <v>0</v>
      </c>
      <c r="L33" s="115">
        <v>0</v>
      </c>
      <c r="M33" s="115">
        <v>0</v>
      </c>
      <c r="N33" s="115">
        <v>0</v>
      </c>
      <c r="S33" s="206"/>
      <c r="T33" s="523"/>
      <c r="U33" s="523"/>
      <c r="V33" s="523"/>
      <c r="W33" s="523"/>
      <c r="X33" s="523"/>
      <c r="Y33" s="523"/>
      <c r="Z33" s="523"/>
      <c r="AA33" s="523"/>
      <c r="AB33" s="523"/>
      <c r="AC33" s="523"/>
      <c r="AD33" s="523"/>
      <c r="AE33" s="523"/>
    </row>
    <row r="34" spans="1:31" s="12" customFormat="1">
      <c r="A34" s="114"/>
      <c r="B34" t="s">
        <v>1252</v>
      </c>
      <c r="C34" s="115">
        <v>1</v>
      </c>
      <c r="D34" s="115">
        <v>1</v>
      </c>
      <c r="E34" s="115">
        <v>1</v>
      </c>
      <c r="F34" s="115">
        <v>1</v>
      </c>
      <c r="G34" s="115">
        <v>1</v>
      </c>
      <c r="H34" s="115">
        <v>1</v>
      </c>
      <c r="I34" s="115">
        <v>1</v>
      </c>
      <c r="J34" s="115">
        <v>1</v>
      </c>
      <c r="K34" s="115">
        <v>1</v>
      </c>
      <c r="L34" s="115">
        <v>1</v>
      </c>
      <c r="M34" s="115">
        <v>1</v>
      </c>
      <c r="N34" s="115">
        <v>1</v>
      </c>
      <c r="S34" s="206"/>
      <c r="T34" s="523"/>
      <c r="U34" s="523"/>
      <c r="V34" s="523"/>
      <c r="W34" s="523"/>
      <c r="X34" s="523"/>
      <c r="Y34" s="523"/>
      <c r="Z34" s="523"/>
      <c r="AA34" s="523"/>
      <c r="AB34" s="523"/>
      <c r="AC34" s="523"/>
      <c r="AD34" s="523"/>
      <c r="AE34" s="523"/>
    </row>
    <row r="35" spans="1:31" s="12" customFormat="1" ht="15.6">
      <c r="A35" s="114"/>
      <c r="B35" s="513">
        <v>2017</v>
      </c>
      <c r="C35" s="115"/>
      <c r="D35" s="115"/>
      <c r="E35" s="115"/>
      <c r="F35" s="115"/>
      <c r="G35" s="115"/>
      <c r="H35" s="115"/>
      <c r="I35" s="115"/>
      <c r="J35" s="115"/>
      <c r="K35" s="115"/>
      <c r="L35" s="115"/>
      <c r="M35" s="115"/>
      <c r="N35" s="115"/>
      <c r="S35" s="206"/>
      <c r="T35" s="523"/>
      <c r="U35" s="523"/>
      <c r="V35" s="523"/>
      <c r="W35" s="523"/>
      <c r="X35" s="523"/>
      <c r="Y35" s="523"/>
      <c r="Z35" s="523"/>
      <c r="AA35" s="523"/>
      <c r="AB35" s="523"/>
      <c r="AC35" s="523"/>
      <c r="AD35" s="523"/>
      <c r="AE35" s="523"/>
    </row>
    <row r="36" spans="1:31"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S36" s="206"/>
      <c r="T36" s="524"/>
      <c r="U36" s="524"/>
      <c r="V36" s="524"/>
      <c r="W36" s="524"/>
      <c r="X36" s="524"/>
      <c r="Y36" s="524"/>
      <c r="Z36" s="524"/>
      <c r="AA36" s="524"/>
      <c r="AB36" s="524"/>
      <c r="AC36" s="524"/>
      <c r="AD36" s="524"/>
      <c r="AE36" s="524"/>
    </row>
    <row r="37" spans="1:31"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S37" s="206"/>
      <c r="T37" s="524"/>
      <c r="U37" s="524"/>
      <c r="V37" s="524"/>
      <c r="W37" s="524"/>
      <c r="X37" s="524"/>
      <c r="Y37" s="524"/>
      <c r="Z37" s="524"/>
      <c r="AA37" s="524"/>
      <c r="AB37" s="524"/>
      <c r="AC37" s="524"/>
      <c r="AD37" s="524"/>
      <c r="AE37" s="524"/>
    </row>
    <row r="38" spans="1:31"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206"/>
      <c r="T38" s="524"/>
      <c r="U38" s="524"/>
      <c r="V38" s="524"/>
      <c r="W38" s="524"/>
      <c r="X38" s="524"/>
      <c r="Y38" s="524"/>
      <c r="Z38" s="524"/>
      <c r="AA38" s="524"/>
      <c r="AB38" s="524"/>
      <c r="AC38" s="524"/>
      <c r="AD38" s="524"/>
      <c r="AE38" s="524"/>
    </row>
    <row r="39" spans="1:31" s="12" customFormat="1">
      <c r="A39" s="114"/>
      <c r="B39" t="s">
        <v>1255</v>
      </c>
      <c r="C39" s="107">
        <f>IFERROR((+C$28/C$19/C13)+C23,0)</f>
        <v>8205.0103519526747</v>
      </c>
      <c r="D39" s="107">
        <f t="shared" ref="D39:N39" si="0">IFERROR((+D$28/D$19/D13)+D23,0)</f>
        <v>0</v>
      </c>
      <c r="E39" s="107">
        <f t="shared" si="0"/>
        <v>0</v>
      </c>
      <c r="F39" s="107">
        <f t="shared" si="0"/>
        <v>0</v>
      </c>
      <c r="G39" s="107">
        <f t="shared" si="0"/>
        <v>0</v>
      </c>
      <c r="H39" s="107">
        <f t="shared" si="0"/>
        <v>0</v>
      </c>
      <c r="I39" s="107">
        <f t="shared" si="0"/>
        <v>0</v>
      </c>
      <c r="J39" s="107">
        <f t="shared" si="0"/>
        <v>0</v>
      </c>
      <c r="K39" s="107">
        <f t="shared" si="0"/>
        <v>0</v>
      </c>
      <c r="L39" s="107">
        <f t="shared" si="0"/>
        <v>0</v>
      </c>
      <c r="M39" s="107">
        <f t="shared" si="0"/>
        <v>6904.4735143586031</v>
      </c>
      <c r="N39" s="107">
        <f t="shared" si="0"/>
        <v>6524.8330178483457</v>
      </c>
      <c r="O39" s="107"/>
      <c r="S39" s="206"/>
      <c r="T39" s="523"/>
      <c r="U39" s="523"/>
      <c r="V39" s="523"/>
      <c r="W39" s="523"/>
      <c r="X39" s="523"/>
      <c r="Y39" s="523"/>
      <c r="Z39" s="523"/>
      <c r="AA39" s="523"/>
      <c r="AB39" s="523"/>
      <c r="AC39" s="523"/>
      <c r="AD39" s="523"/>
      <c r="AE39" s="523"/>
    </row>
    <row r="40" spans="1:31" s="12" customFormat="1">
      <c r="A40" s="114"/>
      <c r="B40" t="s">
        <v>1256</v>
      </c>
      <c r="C40" s="107">
        <f>IFERROR((C39*C32*C36)+(C39*C33*C37)+(C39*C34*C38),0)</f>
        <v>8733.4960775678446</v>
      </c>
      <c r="D40" s="107">
        <f>IFERROR((D39*D32*D36)+(D39*D33*D37)+(D39*D34*D38),0)</f>
        <v>0</v>
      </c>
      <c r="E40" s="107">
        <f t="shared" ref="E40:N40" si="1">IFERROR((E39*E32*E36)+(E39*E33*E37)+(E39*E34*E38),0)</f>
        <v>0</v>
      </c>
      <c r="F40" s="107">
        <f t="shared" si="1"/>
        <v>0</v>
      </c>
      <c r="G40" s="107">
        <f t="shared" si="1"/>
        <v>0</v>
      </c>
      <c r="H40" s="107">
        <f t="shared" si="1"/>
        <v>0</v>
      </c>
      <c r="I40" s="107">
        <f t="shared" si="1"/>
        <v>0</v>
      </c>
      <c r="J40" s="107">
        <f t="shared" si="1"/>
        <v>0</v>
      </c>
      <c r="K40" s="107">
        <f t="shared" si="1"/>
        <v>0</v>
      </c>
      <c r="L40" s="107">
        <f t="shared" si="1"/>
        <v>0</v>
      </c>
      <c r="M40" s="107">
        <f t="shared" si="1"/>
        <v>7349.1915023570145</v>
      </c>
      <c r="N40" s="107">
        <f t="shared" si="1"/>
        <v>6945.0983147878869</v>
      </c>
      <c r="S40"/>
    </row>
    <row r="41" spans="1:31"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S41"/>
      <c r="T41" s="95"/>
      <c r="U41" s="95"/>
      <c r="V41" s="95"/>
      <c r="W41" s="95"/>
      <c r="X41" s="95"/>
      <c r="Y41" s="95"/>
      <c r="Z41" s="95"/>
      <c r="AA41" s="95"/>
      <c r="AB41" s="95"/>
      <c r="AC41" s="95"/>
      <c r="AD41" s="95"/>
      <c r="AE41" s="95"/>
    </row>
    <row r="42" spans="1:31"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S42"/>
      <c r="T42" s="544"/>
      <c r="U42" s="544"/>
      <c r="V42" s="544"/>
      <c r="W42" s="544"/>
      <c r="X42" s="544"/>
      <c r="Y42" s="544"/>
      <c r="Z42" s="544"/>
      <c r="AA42" s="544"/>
      <c r="AB42" s="544"/>
      <c r="AC42" s="544"/>
      <c r="AD42" s="544"/>
      <c r="AE42" s="544"/>
    </row>
    <row r="43" spans="1:31" s="12" customFormat="1">
      <c r="A43" s="114"/>
      <c r="B43" t="s">
        <v>1259</v>
      </c>
      <c r="C43" s="235">
        <f>IFERROR(C40*C42/C41,0)</f>
        <v>804.2892035256998</v>
      </c>
      <c r="D43" s="235">
        <f t="shared" ref="D43:N43" si="2">IFERROR(D40*D42/D41,0)</f>
        <v>0</v>
      </c>
      <c r="E43" s="235">
        <f t="shared" si="2"/>
        <v>0</v>
      </c>
      <c r="F43" s="235">
        <f t="shared" si="2"/>
        <v>0</v>
      </c>
      <c r="G43" s="235">
        <f t="shared" si="2"/>
        <v>0</v>
      </c>
      <c r="H43" s="235">
        <f t="shared" si="2"/>
        <v>0</v>
      </c>
      <c r="I43" s="235">
        <f t="shared" si="2"/>
        <v>0</v>
      </c>
      <c r="J43" s="235">
        <f t="shared" si="2"/>
        <v>0</v>
      </c>
      <c r="K43" s="235">
        <f t="shared" si="2"/>
        <v>0</v>
      </c>
      <c r="L43" s="235">
        <f t="shared" si="2"/>
        <v>0</v>
      </c>
      <c r="M43" s="235">
        <f t="shared" si="2"/>
        <v>-152.39841352963111</v>
      </c>
      <c r="N43" s="235">
        <f t="shared" si="2"/>
        <v>180.67320431468593</v>
      </c>
      <c r="S43"/>
      <c r="T43" s="544"/>
      <c r="U43" s="544"/>
      <c r="V43" s="544"/>
      <c r="W43" s="544"/>
      <c r="X43" s="544"/>
      <c r="Y43" s="544"/>
      <c r="Z43" s="544"/>
      <c r="AA43" s="544"/>
      <c r="AB43" s="544"/>
      <c r="AC43" s="544"/>
      <c r="AD43" s="544"/>
      <c r="AE43" s="544"/>
    </row>
    <row r="44" spans="1:31" s="12" customFormat="1">
      <c r="A44" s="114"/>
      <c r="B44" t="s">
        <v>1260</v>
      </c>
      <c r="C44" s="235">
        <f>IFERROR(((C43*C32)/C36)+((C43*C33)/C37)+((C43*C34)/C38),0)</f>
        <v>755.61964902489797</v>
      </c>
      <c r="D44" s="235">
        <f t="shared" ref="D44:N44" si="3">IFERROR(((D43*D32)/D36)+((D43*D33)/D37)+((D43*D34)/D38),0)</f>
        <v>0</v>
      </c>
      <c r="E44" s="235">
        <f t="shared" si="3"/>
        <v>0</v>
      </c>
      <c r="F44" s="235">
        <f t="shared" si="3"/>
        <v>0</v>
      </c>
      <c r="G44" s="235">
        <f t="shared" si="3"/>
        <v>0</v>
      </c>
      <c r="H44" s="235">
        <f t="shared" si="3"/>
        <v>0</v>
      </c>
      <c r="I44" s="235">
        <f t="shared" si="3"/>
        <v>0</v>
      </c>
      <c r="J44" s="235">
        <f t="shared" si="3"/>
        <v>0</v>
      </c>
      <c r="K44" s="235">
        <f t="shared" si="3"/>
        <v>0</v>
      </c>
      <c r="L44" s="235">
        <f t="shared" si="3"/>
        <v>0</v>
      </c>
      <c r="M44" s="235">
        <f t="shared" si="3"/>
        <v>-143.17640375926234</v>
      </c>
      <c r="N44" s="235">
        <f t="shared" si="3"/>
        <v>169.74021612376944</v>
      </c>
      <c r="S44"/>
      <c r="T44" s="544"/>
      <c r="U44" s="544"/>
      <c r="V44" s="544"/>
      <c r="W44" s="544"/>
      <c r="X44" s="544"/>
      <c r="Y44" s="544"/>
      <c r="Z44" s="544"/>
      <c r="AA44" s="544"/>
      <c r="AB44" s="544"/>
      <c r="AC44" s="544"/>
      <c r="AD44" s="544"/>
      <c r="AE44" s="544"/>
    </row>
    <row r="45" spans="1:31" s="12" customFormat="1" ht="15.6">
      <c r="A45" s="114"/>
      <c r="B45" s="513">
        <v>2018</v>
      </c>
      <c r="C45" s="235"/>
      <c r="D45" s="235"/>
      <c r="E45" s="235"/>
      <c r="F45" s="235"/>
      <c r="G45" s="235"/>
      <c r="H45" s="235"/>
      <c r="I45" s="235"/>
      <c r="J45" s="235"/>
      <c r="K45" s="235"/>
      <c r="L45" s="235"/>
      <c r="M45" s="235"/>
      <c r="N45" s="235"/>
      <c r="S45"/>
      <c r="T45" s="550"/>
      <c r="U45" s="550"/>
      <c r="V45" s="550"/>
      <c r="W45" s="550"/>
      <c r="X45" s="550"/>
      <c r="Y45" s="550"/>
      <c r="Z45" s="550"/>
      <c r="AA45" s="550"/>
      <c r="AB45" s="550"/>
      <c r="AC45" s="550"/>
      <c r="AD45" s="550"/>
      <c r="AE45" s="550"/>
    </row>
    <row r="46" spans="1:31"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S46"/>
      <c r="T46" s="550"/>
      <c r="U46" s="550"/>
      <c r="V46" s="550"/>
      <c r="W46" s="550"/>
      <c r="X46" s="550"/>
      <c r="Y46" s="550"/>
      <c r="Z46" s="550"/>
      <c r="AA46" s="550"/>
      <c r="AB46" s="550"/>
      <c r="AC46" s="550"/>
      <c r="AD46" s="550"/>
      <c r="AE46" s="550"/>
    </row>
    <row r="47" spans="1:31"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S47"/>
      <c r="T47" s="550"/>
      <c r="U47" s="550"/>
      <c r="V47" s="550"/>
      <c r="W47" s="550"/>
      <c r="X47" s="550"/>
      <c r="Y47" s="550"/>
      <c r="Z47" s="550"/>
      <c r="AA47" s="550"/>
      <c r="AB47" s="550"/>
      <c r="AC47" s="550"/>
      <c r="AD47" s="550"/>
      <c r="AE47" s="550"/>
    </row>
    <row r="48" spans="1:31" s="12" customFormat="1">
      <c r="A48" s="114"/>
      <c r="B48" t="s">
        <v>1251</v>
      </c>
      <c r="C48">
        <v>1.06467</v>
      </c>
      <c r="D48">
        <v>1.06467</v>
      </c>
      <c r="E48">
        <v>1.06467</v>
      </c>
      <c r="F48">
        <v>1.06467</v>
      </c>
      <c r="G48">
        <v>1.06467</v>
      </c>
      <c r="H48">
        <v>1.06467</v>
      </c>
      <c r="I48">
        <v>1.06467</v>
      </c>
      <c r="J48">
        <v>1.06467</v>
      </c>
      <c r="K48">
        <v>1.06467</v>
      </c>
      <c r="L48">
        <v>1.06467</v>
      </c>
      <c r="M48">
        <v>1.06467</v>
      </c>
      <c r="N48">
        <v>1.06467</v>
      </c>
      <c r="S48"/>
    </row>
    <row r="49" spans="1:32" s="12" customFormat="1">
      <c r="A49" s="114"/>
      <c r="B49" t="s">
        <v>1255</v>
      </c>
      <c r="C49" s="235">
        <f>IFERROR((+C$29/C$20/C13)+C23,0)</f>
        <v>8156.0973338182457</v>
      </c>
      <c r="D49" s="235">
        <f t="shared" ref="D49:N49" si="4">IFERROR((+D$29/D$20/D13)+D23,0)</f>
        <v>0</v>
      </c>
      <c r="E49" s="235">
        <f t="shared" si="4"/>
        <v>0</v>
      </c>
      <c r="F49" s="235">
        <f t="shared" si="4"/>
        <v>0</v>
      </c>
      <c r="G49" s="235">
        <f t="shared" si="4"/>
        <v>0</v>
      </c>
      <c r="H49" s="235">
        <f t="shared" si="4"/>
        <v>0</v>
      </c>
      <c r="I49" s="235">
        <f t="shared" si="4"/>
        <v>0</v>
      </c>
      <c r="J49" s="235">
        <f t="shared" si="4"/>
        <v>0</v>
      </c>
      <c r="K49" s="235">
        <f t="shared" si="4"/>
        <v>0</v>
      </c>
      <c r="L49" s="235">
        <f t="shared" si="4"/>
        <v>0</v>
      </c>
      <c r="M49" s="235">
        <f t="shared" si="4"/>
        <v>6863.1079683801972</v>
      </c>
      <c r="N49" s="235">
        <f t="shared" si="4"/>
        <v>6485.722418189247</v>
      </c>
      <c r="S49"/>
    </row>
    <row r="50" spans="1:32" s="12" customFormat="1">
      <c r="A50" s="114"/>
      <c r="B50" t="s">
        <v>1256</v>
      </c>
      <c r="C50" s="107">
        <f>(C49*C32*C46)+(C49*C33*C47)+(C49*C34*C48)</f>
        <v>8683.5521483962711</v>
      </c>
      <c r="D50" s="107">
        <f t="shared" ref="D50:N50" si="5">(D49*D32*D46)+(D49*D33*D47)+(D49*D34*D48)</f>
        <v>0</v>
      </c>
      <c r="E50" s="107">
        <f t="shared" si="5"/>
        <v>0</v>
      </c>
      <c r="F50" s="107">
        <f t="shared" si="5"/>
        <v>0</v>
      </c>
      <c r="G50" s="107">
        <f t="shared" si="5"/>
        <v>0</v>
      </c>
      <c r="H50" s="107">
        <f t="shared" si="5"/>
        <v>0</v>
      </c>
      <c r="I50" s="107">
        <f t="shared" si="5"/>
        <v>0</v>
      </c>
      <c r="J50" s="107">
        <f t="shared" si="5"/>
        <v>0</v>
      </c>
      <c r="K50" s="107">
        <f t="shared" si="5"/>
        <v>0</v>
      </c>
      <c r="L50" s="107">
        <f t="shared" si="5"/>
        <v>0</v>
      </c>
      <c r="M50" s="107">
        <f t="shared" si="5"/>
        <v>7306.9451606953444</v>
      </c>
      <c r="N50" s="107">
        <f t="shared" si="5"/>
        <v>6905.1540869735454</v>
      </c>
      <c r="S50"/>
    </row>
    <row r="51" spans="1:32"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S51"/>
      <c r="T51" s="522"/>
      <c r="U51" s="523"/>
      <c r="V51" s="523"/>
      <c r="W51" s="523"/>
      <c r="X51" s="523"/>
      <c r="Y51" s="523"/>
      <c r="Z51" s="523"/>
      <c r="AA51" s="523"/>
      <c r="AB51" s="523"/>
      <c r="AC51" s="523"/>
      <c r="AD51" s="523"/>
      <c r="AE51" s="523"/>
      <c r="AF51" s="523"/>
    </row>
    <row r="52" spans="1:32"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S52"/>
      <c r="T52" s="206"/>
      <c r="U52" s="523"/>
      <c r="V52" s="523"/>
      <c r="W52" s="523"/>
      <c r="X52" s="523"/>
      <c r="Y52" s="523"/>
      <c r="Z52" s="523"/>
      <c r="AA52" s="523"/>
      <c r="AB52" s="523"/>
      <c r="AC52" s="523"/>
      <c r="AD52" s="523"/>
      <c r="AE52" s="523"/>
      <c r="AF52" s="523"/>
    </row>
    <row r="53" spans="1:32" s="12" customFormat="1">
      <c r="A53" s="114"/>
      <c r="B53" t="s">
        <v>1259</v>
      </c>
      <c r="C53" s="235">
        <f>C50*C52/C51</f>
        <v>885.18980970322389</v>
      </c>
      <c r="D53" s="235">
        <f t="shared" ref="D53:N53" si="6">D50*D52/D51</f>
        <v>0</v>
      </c>
      <c r="E53" s="235">
        <f t="shared" si="6"/>
        <v>0</v>
      </c>
      <c r="F53" s="235">
        <f t="shared" si="6"/>
        <v>0</v>
      </c>
      <c r="G53" s="235">
        <f t="shared" si="6"/>
        <v>0</v>
      </c>
      <c r="H53" s="235">
        <f t="shared" si="6"/>
        <v>0</v>
      </c>
      <c r="I53" s="235">
        <f t="shared" si="6"/>
        <v>0</v>
      </c>
      <c r="J53" s="235">
        <f t="shared" si="6"/>
        <v>0</v>
      </c>
      <c r="K53" s="235">
        <f t="shared" si="6"/>
        <v>0</v>
      </c>
      <c r="L53" s="235">
        <f t="shared" si="6"/>
        <v>0</v>
      </c>
      <c r="M53" s="235">
        <f t="shared" si="6"/>
        <v>-117.07503454098004</v>
      </c>
      <c r="N53" s="235">
        <f t="shared" si="6"/>
        <v>205.74013143280376</v>
      </c>
      <c r="S53"/>
      <c r="T53" s="206"/>
      <c r="U53" s="523"/>
      <c r="V53" s="523"/>
      <c r="W53" s="523"/>
      <c r="X53" s="523"/>
      <c r="Y53" s="523"/>
      <c r="Z53" s="523"/>
      <c r="AA53" s="523"/>
      <c r="AB53" s="523"/>
      <c r="AC53" s="523"/>
      <c r="AD53" s="523"/>
      <c r="AE53" s="523"/>
      <c r="AF53" s="523"/>
    </row>
    <row r="54" spans="1:32" s="12" customFormat="1">
      <c r="A54" s="114"/>
      <c r="B54" t="s">
        <v>1260</v>
      </c>
      <c r="C54" s="235">
        <f>((C53*C32)/C46)+((C53*C33)/C47)+((C53*C34)/C48)</f>
        <v>831.42176421165607</v>
      </c>
      <c r="D54" s="235">
        <f t="shared" ref="D54:N54" si="7">((D53*D32)/D46)+((D53*D33)/D47)+((D53*D34)/D48)</f>
        <v>0</v>
      </c>
      <c r="E54" s="235">
        <f t="shared" si="7"/>
        <v>0</v>
      </c>
      <c r="F54" s="235">
        <f t="shared" si="7"/>
        <v>0</v>
      </c>
      <c r="G54" s="235">
        <f t="shared" si="7"/>
        <v>0</v>
      </c>
      <c r="H54" s="235">
        <f t="shared" si="7"/>
        <v>0</v>
      </c>
      <c r="I54" s="235">
        <f t="shared" si="7"/>
        <v>0</v>
      </c>
      <c r="J54" s="235">
        <f t="shared" si="7"/>
        <v>0</v>
      </c>
      <c r="K54" s="235">
        <f t="shared" si="7"/>
        <v>0</v>
      </c>
      <c r="L54" s="235">
        <f t="shared" si="7"/>
        <v>0</v>
      </c>
      <c r="M54" s="235">
        <f t="shared" si="7"/>
        <v>-109.96368315156813</v>
      </c>
      <c r="N54" s="235">
        <f t="shared" si="7"/>
        <v>193.24310014633997</v>
      </c>
      <c r="S54"/>
      <c r="T54" s="206"/>
      <c r="U54" s="523"/>
      <c r="V54" s="523"/>
      <c r="W54" s="523"/>
      <c r="X54" s="523"/>
      <c r="Y54" s="523"/>
      <c r="Z54" s="523"/>
      <c r="AA54" s="523"/>
      <c r="AB54" s="523"/>
      <c r="AC54" s="523"/>
      <c r="AD54" s="523"/>
      <c r="AE54" s="523"/>
      <c r="AF54" s="523"/>
    </row>
    <row r="55" spans="1:32">
      <c r="A55" s="114"/>
      <c r="S55" s="508"/>
      <c r="T55" s="206"/>
      <c r="U55" s="523"/>
      <c r="V55" s="523"/>
      <c r="W55" s="523"/>
      <c r="X55" s="523"/>
      <c r="Y55" s="523"/>
      <c r="Z55" s="523"/>
      <c r="AA55" s="523"/>
      <c r="AB55" s="523"/>
      <c r="AC55" s="523"/>
      <c r="AD55" s="523"/>
      <c r="AE55" s="523"/>
      <c r="AF55" s="523"/>
    </row>
    <row r="56" spans="1:32" ht="17.399999999999999">
      <c r="A56" s="147" t="s">
        <v>425</v>
      </c>
      <c r="T56" s="206"/>
      <c r="U56" s="524"/>
      <c r="V56" s="524"/>
      <c r="W56" s="524"/>
      <c r="X56" s="524"/>
      <c r="Y56" s="524"/>
      <c r="Z56" s="524"/>
      <c r="AA56" s="524"/>
      <c r="AB56" s="524"/>
      <c r="AC56" s="524"/>
      <c r="AD56" s="524"/>
      <c r="AE56" s="524"/>
      <c r="AF56" s="524"/>
    </row>
    <row r="57" spans="1:32" ht="15.6">
      <c r="A57" s="113"/>
      <c r="B57" s="146" t="str">
        <f>"PRIOR - "&amp;MANUAL!$B$9</f>
        <v>PRIOR - 2016</v>
      </c>
      <c r="C57" s="5"/>
      <c r="D57" s="5"/>
      <c r="E57" s="5"/>
      <c r="F57" s="5"/>
      <c r="G57" s="5"/>
      <c r="H57" s="5"/>
      <c r="I57" s="5"/>
      <c r="J57" s="5"/>
      <c r="K57" s="5"/>
      <c r="L57" s="5"/>
      <c r="M57" s="5"/>
      <c r="N57" s="5"/>
      <c r="T57" s="206"/>
      <c r="U57" s="524"/>
      <c r="V57" s="524"/>
      <c r="W57" s="524"/>
      <c r="X57" s="524"/>
      <c r="Y57" s="524"/>
      <c r="Z57" s="524"/>
      <c r="AA57" s="524"/>
      <c r="AB57" s="524"/>
      <c r="AC57" s="524"/>
      <c r="AD57" s="524"/>
      <c r="AE57" s="524"/>
      <c r="AF57" s="524"/>
    </row>
    <row r="58" spans="1:32" s="12" customFormat="1" ht="15.6">
      <c r="A58" s="111"/>
      <c r="B58" s="149" t="s">
        <v>432</v>
      </c>
      <c r="C58" s="145">
        <f t="shared" ref="C58:N58" si="8">IF(C13="",0,MIN((+C$27/C$18/C13)+C23,C59))</f>
        <v>8253.9233700871027</v>
      </c>
      <c r="D58" s="145">
        <f t="shared" si="8"/>
        <v>0</v>
      </c>
      <c r="E58" s="145">
        <f t="shared" si="8"/>
        <v>0</v>
      </c>
      <c r="F58" s="145">
        <f t="shared" si="8"/>
        <v>0</v>
      </c>
      <c r="G58" s="145">
        <f t="shared" si="8"/>
        <v>0</v>
      </c>
      <c r="H58" s="145">
        <f t="shared" si="8"/>
        <v>0</v>
      </c>
      <c r="I58" s="145">
        <f t="shared" si="8"/>
        <v>0</v>
      </c>
      <c r="J58" s="145">
        <f t="shared" si="8"/>
        <v>0</v>
      </c>
      <c r="K58" s="145">
        <f t="shared" si="8"/>
        <v>0</v>
      </c>
      <c r="L58" s="145">
        <f t="shared" si="8"/>
        <v>0</v>
      </c>
      <c r="M58" s="145">
        <f t="shared" si="8"/>
        <v>6945.839060337008</v>
      </c>
      <c r="N58" s="145">
        <f t="shared" si="8"/>
        <v>6563.9436175074434</v>
      </c>
      <c r="P58" s="152">
        <f>AVERAGE(C58:N58)</f>
        <v>1813.6421706609628</v>
      </c>
      <c r="S58" s="509"/>
      <c r="T58" s="206"/>
      <c r="U58" s="524"/>
      <c r="V58" s="524"/>
      <c r="W58" s="524"/>
      <c r="X58" s="524"/>
      <c r="Y58" s="524"/>
      <c r="Z58" s="524"/>
      <c r="AA58" s="524"/>
      <c r="AB58" s="524"/>
      <c r="AC58" s="524"/>
      <c r="AD58" s="524"/>
      <c r="AE58" s="524"/>
      <c r="AF58" s="524"/>
    </row>
    <row r="59" spans="1:32" s="12" customFormat="1" ht="15.6">
      <c r="A59" s="111"/>
      <c r="B59" s="149" t="s">
        <v>430</v>
      </c>
      <c r="C59" s="145">
        <f t="shared" ref="C59:N59" si="9">MIN(+C$27/C$18/C14,C60)</f>
        <v>20030.382614304966</v>
      </c>
      <c r="D59" s="145">
        <f t="shared" si="9"/>
        <v>22300.539739684591</v>
      </c>
      <c r="E59" s="145">
        <f t="shared" si="9"/>
        <v>22166.857468195769</v>
      </c>
      <c r="F59" s="145">
        <f t="shared" si="9"/>
        <v>24386.522225613746</v>
      </c>
      <c r="G59" s="145">
        <f t="shared" si="9"/>
        <v>24971.420132177631</v>
      </c>
      <c r="H59" s="145">
        <f t="shared" si="9"/>
        <v>26551.240314943381</v>
      </c>
      <c r="I59" s="145">
        <f t="shared" si="9"/>
        <v>25343.530349764729</v>
      </c>
      <c r="J59" s="145">
        <f t="shared" si="9"/>
        <v>24121.165930629923</v>
      </c>
      <c r="K59" s="145">
        <f t="shared" si="9"/>
        <v>23375.783757907335</v>
      </c>
      <c r="L59" s="145">
        <f t="shared" si="9"/>
        <v>21230.276451726746</v>
      </c>
      <c r="M59" s="145">
        <f t="shared" si="9"/>
        <v>20848.657785221396</v>
      </c>
      <c r="N59" s="145">
        <f t="shared" si="9"/>
        <v>19692.482037405021</v>
      </c>
      <c r="P59" s="152">
        <f>AVERAGE(C59:N59)</f>
        <v>22918.238233964603</v>
      </c>
      <c r="T59" s="206"/>
      <c r="U59" s="523"/>
      <c r="V59" s="523"/>
      <c r="W59" s="523"/>
      <c r="X59" s="523"/>
      <c r="Y59" s="523"/>
      <c r="Z59" s="523"/>
      <c r="AA59" s="523"/>
      <c r="AB59" s="523"/>
      <c r="AC59" s="523"/>
      <c r="AD59" s="523"/>
      <c r="AE59" s="523"/>
      <c r="AF59" s="523"/>
    </row>
    <row r="60" spans="1:32" s="106" customFormat="1">
      <c r="A60" s="109"/>
      <c r="B60" s="149" t="s">
        <v>133</v>
      </c>
      <c r="C60" s="145">
        <f t="shared" ref="C60:N60" si="10">+C$27/C$18/C15</f>
        <v>20030.382614304966</v>
      </c>
      <c r="D60" s="145">
        <f t="shared" si="10"/>
        <v>22300.539739684591</v>
      </c>
      <c r="E60" s="145">
        <f t="shared" si="10"/>
        <v>22166.857468195769</v>
      </c>
      <c r="F60" s="145">
        <f t="shared" si="10"/>
        <v>24386.522225613746</v>
      </c>
      <c r="G60" s="145">
        <f t="shared" si="10"/>
        <v>24971.420132177631</v>
      </c>
      <c r="H60" s="145">
        <f t="shared" si="10"/>
        <v>26551.240314943381</v>
      </c>
      <c r="I60" s="145">
        <f t="shared" si="10"/>
        <v>25343.530349764729</v>
      </c>
      <c r="J60" s="145">
        <f t="shared" si="10"/>
        <v>24121.165930629923</v>
      </c>
      <c r="K60" s="145">
        <f t="shared" si="10"/>
        <v>23375.783757907335</v>
      </c>
      <c r="L60" s="145">
        <f t="shared" si="10"/>
        <v>21230.276451726746</v>
      </c>
      <c r="M60" s="145">
        <f t="shared" si="10"/>
        <v>20848.657785221396</v>
      </c>
      <c r="N60" s="145">
        <f t="shared" si="10"/>
        <v>19692.482037405021</v>
      </c>
      <c r="P60" s="152">
        <f>AVERAGE(C60:N60)</f>
        <v>22918.238233964603</v>
      </c>
    </row>
    <row r="61" spans="1:32" s="106" customFormat="1" ht="16.5" customHeight="1">
      <c r="A61" s="109"/>
      <c r="B61" s="108"/>
      <c r="C61" s="107"/>
      <c r="D61" s="107"/>
      <c r="E61" s="107"/>
      <c r="F61" s="107"/>
      <c r="G61" s="107"/>
      <c r="H61" s="107"/>
      <c r="I61" s="107"/>
      <c r="J61" s="107"/>
      <c r="K61" s="107"/>
      <c r="L61" s="107"/>
      <c r="M61" s="107"/>
      <c r="N61" s="107"/>
    </row>
    <row r="62" spans="1:32" s="106" customFormat="1" ht="16.5" customHeight="1">
      <c r="A62" s="109"/>
      <c r="B62" s="146" t="str">
        <f>"TEST - "&amp;MANUAL!$B$10</f>
        <v>TEST - 2017</v>
      </c>
      <c r="C62" s="107"/>
      <c r="D62" s="107"/>
      <c r="E62" s="107"/>
      <c r="F62" s="107"/>
      <c r="G62" s="107"/>
      <c r="H62" s="107"/>
      <c r="I62" s="107"/>
      <c r="J62" s="107"/>
      <c r="K62" s="107"/>
      <c r="L62" s="107"/>
      <c r="M62" s="107"/>
      <c r="N62" s="107"/>
    </row>
    <row r="63" spans="1:32" s="106" customFormat="1" ht="16.5" customHeight="1">
      <c r="A63" s="109"/>
      <c r="B63" s="149" t="s">
        <v>432</v>
      </c>
      <c r="C63" s="107">
        <f>C39+C44</f>
        <v>8960.6300009775732</v>
      </c>
      <c r="D63" s="107">
        <f>D39+D44</f>
        <v>0</v>
      </c>
      <c r="E63" s="107">
        <f t="shared" ref="E63:N63" si="11">E39+E44</f>
        <v>0</v>
      </c>
      <c r="F63" s="107">
        <f t="shared" si="11"/>
        <v>0</v>
      </c>
      <c r="G63" s="107">
        <f t="shared" si="11"/>
        <v>0</v>
      </c>
      <c r="H63" s="107">
        <f t="shared" si="11"/>
        <v>0</v>
      </c>
      <c r="I63" s="107">
        <f t="shared" si="11"/>
        <v>0</v>
      </c>
      <c r="J63" s="107">
        <f t="shared" si="11"/>
        <v>0</v>
      </c>
      <c r="K63" s="107">
        <f t="shared" si="11"/>
        <v>0</v>
      </c>
      <c r="L63" s="107">
        <f t="shared" si="11"/>
        <v>0</v>
      </c>
      <c r="M63" s="107">
        <f t="shared" si="11"/>
        <v>6761.2971105993411</v>
      </c>
      <c r="N63" s="107">
        <f t="shared" si="11"/>
        <v>6694.5732339721153</v>
      </c>
      <c r="P63" s="152">
        <f>AVERAGE(C63:N63)</f>
        <v>1868.0416954624191</v>
      </c>
    </row>
    <row r="64" spans="1:32" s="106" customFormat="1" ht="16.5" customHeight="1">
      <c r="A64" s="109"/>
      <c r="B64" s="149" t="s">
        <v>430</v>
      </c>
      <c r="C64" s="107">
        <f>MAX(+C$28/C$19/C14,C63)</f>
        <v>19911.681915967529</v>
      </c>
      <c r="D64" s="107">
        <f>MAX(+D$28/D$19/D14,D63)</f>
        <v>22960.046461997095</v>
      </c>
      <c r="E64" s="107">
        <f t="shared" ref="D64:N65" si="12">MAX(+E$28/E$19/E14,E63)</f>
        <v>22035.366080067903</v>
      </c>
      <c r="F64" s="107">
        <f t="shared" si="12"/>
        <v>24241.792484082052</v>
      </c>
      <c r="G64" s="107">
        <f t="shared" si="12"/>
        <v>24823.14579207835</v>
      </c>
      <c r="H64" s="107">
        <f t="shared" si="12"/>
        <v>26393.507330788761</v>
      </c>
      <c r="I64" s="107">
        <f t="shared" si="12"/>
        <v>25192.897437508876</v>
      </c>
      <c r="J64" s="107">
        <f t="shared" si="12"/>
        <v>23977.727271155429</v>
      </c>
      <c r="K64" s="107">
        <f t="shared" si="12"/>
        <v>23236.708661309625</v>
      </c>
      <c r="L64" s="107">
        <f t="shared" si="12"/>
        <v>21103.903475741536</v>
      </c>
      <c r="M64" s="107">
        <f t="shared" si="12"/>
        <v>20724.494800057044</v>
      </c>
      <c r="N64" s="107">
        <f t="shared" si="12"/>
        <v>19575.146358407917</v>
      </c>
      <c r="P64" s="152">
        <f>AVERAGE(C64:N64)</f>
        <v>22848.034839096843</v>
      </c>
    </row>
    <row r="65" spans="1:32" s="106" customFormat="1" ht="16.5" customHeight="1">
      <c r="A65" s="109"/>
      <c r="B65" s="149" t="s">
        <v>133</v>
      </c>
      <c r="C65" s="107">
        <f>MAX(+C$28/C$19/C15,C64)</f>
        <v>19911.681915967529</v>
      </c>
      <c r="D65" s="107">
        <f t="shared" si="12"/>
        <v>22960.046461997095</v>
      </c>
      <c r="E65" s="107">
        <f t="shared" si="12"/>
        <v>22035.366080067903</v>
      </c>
      <c r="F65" s="107">
        <f t="shared" si="12"/>
        <v>24241.792484082052</v>
      </c>
      <c r="G65" s="107">
        <f t="shared" si="12"/>
        <v>24823.14579207835</v>
      </c>
      <c r="H65" s="107">
        <f t="shared" si="12"/>
        <v>26393.507330788761</v>
      </c>
      <c r="I65" s="107">
        <f t="shared" si="12"/>
        <v>25192.897437508876</v>
      </c>
      <c r="J65" s="107">
        <f t="shared" si="12"/>
        <v>23977.727271155429</v>
      </c>
      <c r="K65" s="107">
        <f t="shared" si="12"/>
        <v>23236.708661309625</v>
      </c>
      <c r="L65" s="107">
        <f t="shared" si="12"/>
        <v>21103.903475741536</v>
      </c>
      <c r="M65" s="107">
        <f t="shared" si="12"/>
        <v>20724.494800057044</v>
      </c>
      <c r="N65" s="107">
        <f t="shared" si="12"/>
        <v>19575.146358407917</v>
      </c>
      <c r="P65" s="152">
        <f>AVERAGE(C65:N65)</f>
        <v>22848.034839096843</v>
      </c>
      <c r="T65" s="554"/>
      <c r="U65" s="554"/>
      <c r="V65" s="554"/>
      <c r="W65" s="554"/>
      <c r="X65" s="554"/>
      <c r="Y65" s="554"/>
      <c r="Z65" s="554"/>
      <c r="AA65" s="554"/>
      <c r="AB65" s="554"/>
      <c r="AC65" s="554"/>
      <c r="AD65" s="554"/>
      <c r="AE65" s="554"/>
      <c r="AF65" s="554"/>
    </row>
    <row r="66" spans="1:32" s="106" customFormat="1" ht="16.5" customHeight="1">
      <c r="A66" s="109"/>
      <c r="B66" s="149" t="s">
        <v>158</v>
      </c>
      <c r="C66" s="499">
        <f>IFERROR(C28/C19/C63,0)</f>
        <v>1.2270948593517546</v>
      </c>
      <c r="D66" s="499">
        <f t="shared" ref="D66:N66" si="13">IFERROR(D28/D19/D63,0)</f>
        <v>0</v>
      </c>
      <c r="E66" s="499">
        <f t="shared" si="13"/>
        <v>0</v>
      </c>
      <c r="F66" s="499">
        <f t="shared" si="13"/>
        <v>0</v>
      </c>
      <c r="G66" s="499">
        <f t="shared" si="13"/>
        <v>0</v>
      </c>
      <c r="H66" s="499">
        <f t="shared" si="13"/>
        <v>0</v>
      </c>
      <c r="I66" s="499">
        <f t="shared" si="13"/>
        <v>0</v>
      </c>
      <c r="J66" s="499">
        <f t="shared" si="13"/>
        <v>0</v>
      </c>
      <c r="K66" s="499">
        <f t="shared" si="13"/>
        <v>0</v>
      </c>
      <c r="L66" s="499">
        <f t="shared" si="13"/>
        <v>0</v>
      </c>
      <c r="M66" s="499">
        <f t="shared" si="13"/>
        <v>1.6721076565239867</v>
      </c>
      <c r="N66" s="499">
        <f t="shared" si="13"/>
        <v>1.6334808220118517</v>
      </c>
      <c r="O66" s="520" t="str">
        <f t="shared" ref="O66" si="14">IFERROR(O28/O19/O63,"")</f>
        <v/>
      </c>
      <c r="P66" s="152"/>
      <c r="T66" s="554"/>
      <c r="U66" s="554"/>
      <c r="V66" s="554"/>
      <c r="W66" s="554"/>
      <c r="X66" s="554"/>
      <c r="Y66" s="554"/>
      <c r="Z66" s="554"/>
      <c r="AA66" s="554"/>
      <c r="AB66" s="554"/>
      <c r="AC66" s="554"/>
      <c r="AD66" s="554"/>
      <c r="AE66" s="554"/>
      <c r="AF66" s="554"/>
    </row>
    <row r="67" spans="1:32" s="106" customFormat="1" ht="16.5" customHeight="1">
      <c r="A67" s="109"/>
      <c r="B67" s="149" t="s">
        <v>988</v>
      </c>
      <c r="C67" s="499">
        <f>C28/C19/C64</f>
        <v>0.55221568208837091</v>
      </c>
      <c r="D67" s="499">
        <f t="shared" ref="D67:N67" si="15">D28/D19/D64</f>
        <v>0.52994619613918381</v>
      </c>
      <c r="E67" s="499">
        <f t="shared" si="15"/>
        <v>0.49849946852056309</v>
      </c>
      <c r="F67" s="499">
        <f t="shared" si="15"/>
        <v>0.46799871689469152</v>
      </c>
      <c r="G67" s="499">
        <f t="shared" si="15"/>
        <v>0.44207505528525964</v>
      </c>
      <c r="H67" s="499">
        <f t="shared" si="15"/>
        <v>0.42941768772305794</v>
      </c>
      <c r="I67" s="499">
        <f t="shared" si="15"/>
        <v>0.43515315554304584</v>
      </c>
      <c r="J67" s="499">
        <f t="shared" si="15"/>
        <v>0.45697852543323625</v>
      </c>
      <c r="K67" s="499">
        <f t="shared" si="15"/>
        <v>0.48702704503064215</v>
      </c>
      <c r="L67" s="499">
        <f t="shared" si="15"/>
        <v>0.51868990649112512</v>
      </c>
      <c r="M67" s="499">
        <f t="shared" si="15"/>
        <v>0.54551953018587207</v>
      </c>
      <c r="N67" s="499">
        <f t="shared" si="15"/>
        <v>0.55863985837073005</v>
      </c>
      <c r="P67" s="152"/>
      <c r="T67" s="554"/>
      <c r="U67" s="554"/>
      <c r="V67" s="554"/>
      <c r="W67" s="554"/>
      <c r="X67" s="554"/>
      <c r="Y67" s="554"/>
      <c r="Z67" s="554"/>
      <c r="AA67" s="554"/>
      <c r="AB67" s="554"/>
      <c r="AC67" s="554"/>
      <c r="AD67" s="554"/>
      <c r="AE67" s="554"/>
      <c r="AF67" s="554"/>
    </row>
    <row r="68" spans="1:32" s="106" customFormat="1" ht="16.5" customHeight="1">
      <c r="A68" s="109"/>
      <c r="B68" s="149" t="s">
        <v>150</v>
      </c>
      <c r="C68" s="499">
        <f>C28/C19/C65</f>
        <v>0.55221568208837091</v>
      </c>
      <c r="D68" s="499">
        <f t="shared" ref="D68:N68" si="16">D28/D19/D65</f>
        <v>0.52994619613918381</v>
      </c>
      <c r="E68" s="499">
        <f t="shared" si="16"/>
        <v>0.49849946852056309</v>
      </c>
      <c r="F68" s="499">
        <f t="shared" si="16"/>
        <v>0.46799871689469152</v>
      </c>
      <c r="G68" s="499">
        <f t="shared" si="16"/>
        <v>0.44207505528525964</v>
      </c>
      <c r="H68" s="499">
        <f t="shared" si="16"/>
        <v>0.42941768772305794</v>
      </c>
      <c r="I68" s="499">
        <f t="shared" si="16"/>
        <v>0.43515315554304584</v>
      </c>
      <c r="J68" s="499">
        <f t="shared" si="16"/>
        <v>0.45697852543323625</v>
      </c>
      <c r="K68" s="499">
        <f t="shared" si="16"/>
        <v>0.48702704503064215</v>
      </c>
      <c r="L68" s="499">
        <f t="shared" si="16"/>
        <v>0.51868990649112512</v>
      </c>
      <c r="M68" s="499">
        <f t="shared" si="16"/>
        <v>0.54551953018587207</v>
      </c>
      <c r="N68" s="499">
        <f t="shared" si="16"/>
        <v>0.55863985837073005</v>
      </c>
      <c r="P68" s="152"/>
    </row>
    <row r="69" spans="1:32" s="106" customFormat="1" ht="16.5" customHeight="1">
      <c r="A69" s="109"/>
      <c r="B69" s="149"/>
      <c r="C69" s="107"/>
      <c r="D69" s="107"/>
      <c r="E69" s="107"/>
      <c r="F69" s="107"/>
      <c r="G69" s="107"/>
      <c r="H69" s="107"/>
      <c r="I69" s="107"/>
      <c r="J69" s="107"/>
      <c r="K69" s="107"/>
      <c r="L69" s="107"/>
      <c r="M69" s="107"/>
      <c r="N69" s="107"/>
      <c r="P69" s="152"/>
      <c r="T69" s="522"/>
      <c r="U69" s="523"/>
      <c r="V69" s="523"/>
      <c r="W69" s="523"/>
      <c r="X69" s="523"/>
      <c r="Y69" s="523"/>
      <c r="Z69" s="523"/>
      <c r="AA69" s="523"/>
      <c r="AB69" s="523"/>
      <c r="AC69" s="523"/>
      <c r="AD69" s="523"/>
      <c r="AE69" s="523"/>
      <c r="AF69" s="523"/>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c r="T70" s="206"/>
      <c r="U70" s="523"/>
      <c r="V70" s="523"/>
      <c r="W70" s="523"/>
      <c r="X70" s="523"/>
      <c r="Y70" s="523"/>
      <c r="Z70" s="523"/>
      <c r="AA70" s="523"/>
      <c r="AB70" s="523"/>
      <c r="AC70" s="523"/>
      <c r="AD70" s="523"/>
      <c r="AE70" s="523"/>
      <c r="AF70" s="523"/>
    </row>
    <row r="71" spans="1:32" s="106" customFormat="1" ht="16.5" customHeight="1">
      <c r="A71" s="109"/>
      <c r="B71" s="149" t="s">
        <v>432</v>
      </c>
      <c r="C71" s="107">
        <f>C49+C54</f>
        <v>8987.5190980299012</v>
      </c>
      <c r="D71" s="107">
        <f t="shared" ref="D71:N71" si="17">D49+D54</f>
        <v>0</v>
      </c>
      <c r="E71" s="107">
        <f t="shared" si="17"/>
        <v>0</v>
      </c>
      <c r="F71" s="107">
        <f t="shared" si="17"/>
        <v>0</v>
      </c>
      <c r="G71" s="107">
        <f t="shared" si="17"/>
        <v>0</v>
      </c>
      <c r="H71" s="107">
        <f t="shared" si="17"/>
        <v>0</v>
      </c>
      <c r="I71" s="107">
        <f t="shared" si="17"/>
        <v>0</v>
      </c>
      <c r="J71" s="107">
        <f t="shared" si="17"/>
        <v>0</v>
      </c>
      <c r="K71" s="107">
        <f t="shared" si="17"/>
        <v>0</v>
      </c>
      <c r="L71" s="107">
        <f t="shared" si="17"/>
        <v>0</v>
      </c>
      <c r="M71" s="107">
        <f t="shared" si="17"/>
        <v>6753.1442852286291</v>
      </c>
      <c r="N71" s="107">
        <f t="shared" si="17"/>
        <v>6678.9655183355871</v>
      </c>
      <c r="O71" s="145"/>
      <c r="P71" s="152">
        <f>AVERAGE(C71:N71)</f>
        <v>1868.3024084661765</v>
      </c>
      <c r="T71" s="206"/>
      <c r="U71" s="523"/>
      <c r="V71" s="523"/>
      <c r="W71" s="523"/>
      <c r="X71" s="523"/>
      <c r="Y71" s="523"/>
      <c r="Z71" s="523"/>
      <c r="AA71" s="523"/>
      <c r="AB71" s="523"/>
      <c r="AC71" s="523"/>
      <c r="AD71" s="523"/>
      <c r="AE71" s="523"/>
      <c r="AF71" s="523"/>
    </row>
    <row r="72" spans="1:32" s="106" customFormat="1" ht="16.5" customHeight="1">
      <c r="A72" s="109"/>
      <c r="B72" s="149" t="s">
        <v>430</v>
      </c>
      <c r="C72" s="107">
        <f>MAX(+C$29/C$14/C20,C71)</f>
        <v>19792.981217630091</v>
      </c>
      <c r="D72" s="107">
        <f t="shared" ref="D72:N72" si="18">MAX(+D$29/D$14/D20,D71)</f>
        <v>22823.105336463726</v>
      </c>
      <c r="E72" s="107">
        <f t="shared" si="18"/>
        <v>21903.874691940029</v>
      </c>
      <c r="F72" s="107">
        <f t="shared" si="18"/>
        <v>24097.062742550355</v>
      </c>
      <c r="G72" s="107">
        <f t="shared" si="18"/>
        <v>24674.871451979074</v>
      </c>
      <c r="H72" s="107">
        <f t="shared" si="18"/>
        <v>26235.774346634145</v>
      </c>
      <c r="I72" s="107">
        <f t="shared" si="18"/>
        <v>25042.26452525302</v>
      </c>
      <c r="J72" s="107">
        <f t="shared" si="18"/>
        <v>23834.288611680935</v>
      </c>
      <c r="K72" s="107">
        <f t="shared" si="18"/>
        <v>23097.633564711916</v>
      </c>
      <c r="L72" s="107">
        <f t="shared" si="18"/>
        <v>20977.530499756325</v>
      </c>
      <c r="M72" s="107">
        <f t="shared" si="18"/>
        <v>20600.331814892688</v>
      </c>
      <c r="N72" s="107">
        <f t="shared" si="18"/>
        <v>19457.810679410817</v>
      </c>
      <c r="O72" s="107"/>
      <c r="P72" s="152">
        <f>AVERAGE(C72:N72)</f>
        <v>22711.460790241923</v>
      </c>
      <c r="T72" s="206"/>
      <c r="U72" s="523"/>
      <c r="V72" s="523"/>
      <c r="W72" s="523"/>
      <c r="X72" s="523"/>
      <c r="Y72" s="523"/>
      <c r="Z72" s="523"/>
      <c r="AA72" s="523"/>
      <c r="AB72" s="523"/>
      <c r="AC72" s="523"/>
      <c r="AD72" s="523"/>
      <c r="AE72" s="523"/>
      <c r="AF72" s="523"/>
    </row>
    <row r="73" spans="1:32" s="106" customFormat="1" ht="16.5" customHeight="1">
      <c r="A73" s="109"/>
      <c r="B73" s="149" t="s">
        <v>133</v>
      </c>
      <c r="C73" s="107">
        <f>MAX(+C$29/C$15/C20,C72)</f>
        <v>19792.981217630091</v>
      </c>
      <c r="D73" s="107">
        <f t="shared" ref="D73:N73" si="19">MAX(+D$29/D$15/D20,D72)</f>
        <v>22823.105336463726</v>
      </c>
      <c r="E73" s="107">
        <f t="shared" si="19"/>
        <v>21903.874691940029</v>
      </c>
      <c r="F73" s="107">
        <f t="shared" si="19"/>
        <v>24097.062742550355</v>
      </c>
      <c r="G73" s="107">
        <f t="shared" si="19"/>
        <v>24674.871451979074</v>
      </c>
      <c r="H73" s="107">
        <f t="shared" si="19"/>
        <v>26235.774346634145</v>
      </c>
      <c r="I73" s="107">
        <f t="shared" si="19"/>
        <v>25042.26452525302</v>
      </c>
      <c r="J73" s="107">
        <f t="shared" si="19"/>
        <v>23834.288611680935</v>
      </c>
      <c r="K73" s="107">
        <f t="shared" si="19"/>
        <v>23097.633564711916</v>
      </c>
      <c r="L73" s="107">
        <f t="shared" si="19"/>
        <v>20977.530499756325</v>
      </c>
      <c r="M73" s="107">
        <f t="shared" si="19"/>
        <v>20600.331814892688</v>
      </c>
      <c r="N73" s="107">
        <f t="shared" si="19"/>
        <v>19457.810679410817</v>
      </c>
      <c r="O73" s="107"/>
      <c r="P73" s="152">
        <f>AVERAGE(C73:N73)</f>
        <v>22711.460790241923</v>
      </c>
      <c r="T73" s="206"/>
      <c r="U73" s="523"/>
      <c r="V73" s="523"/>
      <c r="W73" s="523"/>
      <c r="X73" s="523"/>
      <c r="Y73" s="523"/>
      <c r="Z73" s="523"/>
      <c r="AA73" s="523"/>
      <c r="AB73" s="523"/>
      <c r="AC73" s="523"/>
      <c r="AD73" s="523"/>
      <c r="AE73" s="523"/>
      <c r="AF73" s="523"/>
    </row>
    <row r="74" spans="1:32" s="106" customFormat="1" ht="16.5" customHeight="1">
      <c r="A74" s="109"/>
      <c r="B74" s="149" t="s">
        <v>158</v>
      </c>
      <c r="C74" s="499">
        <f>IFERROR(C29/C20/C71,0)</f>
        <v>1.216130336351865</v>
      </c>
      <c r="D74" s="499">
        <f t="shared" ref="D74:N74" si="20">IFERROR(D29/D20/D71,0)</f>
        <v>0</v>
      </c>
      <c r="E74" s="499">
        <f t="shared" si="20"/>
        <v>0</v>
      </c>
      <c r="F74" s="499">
        <f t="shared" si="20"/>
        <v>0</v>
      </c>
      <c r="G74" s="499">
        <f t="shared" si="20"/>
        <v>0</v>
      </c>
      <c r="H74" s="499">
        <f t="shared" si="20"/>
        <v>0</v>
      </c>
      <c r="I74" s="499">
        <f t="shared" si="20"/>
        <v>0</v>
      </c>
      <c r="J74" s="499">
        <f t="shared" si="20"/>
        <v>0</v>
      </c>
      <c r="K74" s="499">
        <f t="shared" si="20"/>
        <v>0</v>
      </c>
      <c r="L74" s="499">
        <f t="shared" si="20"/>
        <v>0</v>
      </c>
      <c r="M74" s="499">
        <f t="shared" si="20"/>
        <v>1.6640964354803316</v>
      </c>
      <c r="N74" s="499">
        <f t="shared" si="20"/>
        <v>1.6274838629290218</v>
      </c>
      <c r="O74" s="107"/>
      <c r="P74" s="152"/>
      <c r="T74" s="206"/>
      <c r="U74" s="524"/>
      <c r="V74" s="524"/>
      <c r="W74" s="524"/>
      <c r="X74" s="524"/>
      <c r="Y74" s="524"/>
      <c r="Z74" s="524"/>
      <c r="AA74" s="524"/>
      <c r="AB74" s="524"/>
      <c r="AC74" s="524"/>
      <c r="AD74" s="524"/>
      <c r="AE74" s="524"/>
      <c r="AF74" s="524"/>
    </row>
    <row r="75" spans="1:32" s="106" customFormat="1" ht="16.5" customHeight="1">
      <c r="A75" s="109"/>
      <c r="B75" s="149" t="s">
        <v>988</v>
      </c>
      <c r="C75" s="499">
        <f>C29/C20/C72</f>
        <v>0.5522156820883708</v>
      </c>
      <c r="D75" s="499">
        <f t="shared" ref="D75:N75" si="21">D29/D20/D72</f>
        <v>0.5299461961391837</v>
      </c>
      <c r="E75" s="499">
        <f t="shared" si="21"/>
        <v>0.49849946852056315</v>
      </c>
      <c r="F75" s="499">
        <f t="shared" si="21"/>
        <v>0.46799871689469158</v>
      </c>
      <c r="G75" s="499">
        <f t="shared" si="21"/>
        <v>0.44207505528525959</v>
      </c>
      <c r="H75" s="499">
        <f t="shared" si="21"/>
        <v>0.42941768772305794</v>
      </c>
      <c r="I75" s="499">
        <f t="shared" si="21"/>
        <v>0.43515315554304584</v>
      </c>
      <c r="J75" s="499">
        <f t="shared" si="21"/>
        <v>0.45697852543323625</v>
      </c>
      <c r="K75" s="499">
        <f t="shared" si="21"/>
        <v>0.48702704503064215</v>
      </c>
      <c r="L75" s="499">
        <f t="shared" si="21"/>
        <v>0.51868990649112512</v>
      </c>
      <c r="M75" s="499">
        <f t="shared" si="21"/>
        <v>0.54551953018587207</v>
      </c>
      <c r="N75" s="499">
        <f t="shared" si="21"/>
        <v>0.55863985837073005</v>
      </c>
      <c r="O75" s="107"/>
      <c r="P75" s="152"/>
      <c r="T75" s="206"/>
      <c r="U75" s="524"/>
      <c r="V75" s="524"/>
      <c r="W75" s="524"/>
      <c r="X75" s="524"/>
      <c r="Y75" s="524"/>
      <c r="Z75" s="524"/>
      <c r="AA75" s="524"/>
      <c r="AB75" s="524"/>
      <c r="AC75" s="524"/>
      <c r="AD75" s="524"/>
      <c r="AE75" s="524"/>
      <c r="AF75" s="524"/>
    </row>
    <row r="76" spans="1:32" s="106" customFormat="1" ht="16.5" customHeight="1">
      <c r="A76" s="109"/>
      <c r="B76" s="149" t="s">
        <v>150</v>
      </c>
      <c r="C76" s="499">
        <f>C29/C20/C73</f>
        <v>0.5522156820883708</v>
      </c>
      <c r="D76" s="499">
        <f t="shared" ref="D76:N76" si="22">D29/D20/D73</f>
        <v>0.5299461961391837</v>
      </c>
      <c r="E76" s="499">
        <f t="shared" si="22"/>
        <v>0.49849946852056315</v>
      </c>
      <c r="F76" s="499">
        <f t="shared" si="22"/>
        <v>0.46799871689469158</v>
      </c>
      <c r="G76" s="499">
        <f t="shared" si="22"/>
        <v>0.44207505528525959</v>
      </c>
      <c r="H76" s="499">
        <f t="shared" si="22"/>
        <v>0.42941768772305794</v>
      </c>
      <c r="I76" s="499">
        <f t="shared" si="22"/>
        <v>0.43515315554304584</v>
      </c>
      <c r="J76" s="499">
        <f t="shared" si="22"/>
        <v>0.45697852543323625</v>
      </c>
      <c r="K76" s="499">
        <f t="shared" si="22"/>
        <v>0.48702704503064215</v>
      </c>
      <c r="L76" s="499">
        <f t="shared" si="22"/>
        <v>0.51868990649112512</v>
      </c>
      <c r="M76" s="499">
        <f t="shared" si="22"/>
        <v>0.54551953018587207</v>
      </c>
      <c r="N76" s="499">
        <f t="shared" si="22"/>
        <v>0.55863985837073005</v>
      </c>
      <c r="O76" s="107"/>
      <c r="P76" s="152"/>
      <c r="T76" s="206"/>
      <c r="U76" s="524"/>
      <c r="V76" s="524"/>
      <c r="W76" s="524"/>
      <c r="X76" s="524"/>
      <c r="Y76" s="524"/>
      <c r="Z76" s="524"/>
      <c r="AA76" s="524"/>
      <c r="AB76" s="524"/>
      <c r="AC76" s="524"/>
      <c r="AD76" s="524"/>
      <c r="AE76" s="524"/>
      <c r="AF76" s="524"/>
    </row>
    <row r="77" spans="1:32" s="106" customFormat="1" ht="16.5" customHeight="1">
      <c r="A77" s="109"/>
      <c r="B77" s="108"/>
      <c r="C77" s="107"/>
      <c r="D77" s="107"/>
      <c r="E77" s="107"/>
      <c r="F77" s="107"/>
      <c r="G77" s="107"/>
      <c r="H77" s="107"/>
      <c r="I77" s="107"/>
      <c r="J77" s="107"/>
      <c r="K77" s="107"/>
      <c r="L77" s="107"/>
      <c r="M77" s="107"/>
      <c r="N77" s="107"/>
      <c r="T77" s="206"/>
      <c r="U77" s="523"/>
      <c r="V77" s="523"/>
      <c r="W77" s="523"/>
      <c r="X77" s="523"/>
      <c r="Y77" s="523"/>
      <c r="Z77" s="523"/>
      <c r="AA77" s="523"/>
      <c r="AB77" s="523"/>
      <c r="AC77" s="523"/>
      <c r="AD77" s="523"/>
      <c r="AE77" s="523"/>
      <c r="AF77" s="523"/>
    </row>
    <row r="78" spans="1:32" ht="13.2">
      <c r="A78" s="42" t="s">
        <v>116</v>
      </c>
      <c r="C78" s="105"/>
    </row>
    <row r="79" spans="1:32" ht="13.2">
      <c r="A79"/>
      <c r="B79" s="10" t="s">
        <v>338</v>
      </c>
      <c r="C79" s="105"/>
      <c r="D79" s="105"/>
      <c r="E79" s="105"/>
      <c r="F79" s="105"/>
      <c r="G79" s="105"/>
      <c r="H79" s="105"/>
      <c r="I79" s="105"/>
      <c r="J79" s="105"/>
      <c r="K79" s="105"/>
      <c r="L79" s="105"/>
      <c r="M79" s="105"/>
      <c r="N79" s="105"/>
      <c r="U79" s="492"/>
      <c r="V79" s="492"/>
      <c r="W79" s="492"/>
      <c r="X79" s="492"/>
      <c r="Y79" s="492"/>
      <c r="Z79" s="492"/>
      <c r="AA79" s="492"/>
      <c r="AB79" s="492"/>
      <c r="AC79" s="492"/>
      <c r="AD79" s="492"/>
      <c r="AE79" s="492"/>
      <c r="AF79" s="492"/>
    </row>
    <row r="80" spans="1:32" ht="13.2">
      <c r="A80"/>
      <c r="B80" s="81" t="s">
        <v>426</v>
      </c>
      <c r="U80" s="492"/>
      <c r="V80" s="492"/>
      <c r="W80" s="492"/>
      <c r="X80" s="492"/>
      <c r="Y80" s="492"/>
      <c r="Z80" s="492"/>
      <c r="AA80" s="492"/>
      <c r="AB80" s="492"/>
      <c r="AC80" s="492"/>
      <c r="AD80" s="492"/>
      <c r="AE80" s="492"/>
      <c r="AF80" s="492"/>
    </row>
    <row r="81" spans="1:32" ht="13.2">
      <c r="A81"/>
      <c r="B81" s="125" t="s">
        <v>431</v>
      </c>
      <c r="C81" s="104"/>
      <c r="U81" s="492"/>
      <c r="V81" s="492"/>
      <c r="W81" s="492"/>
      <c r="X81" s="492"/>
      <c r="Y81" s="492"/>
      <c r="Z81" s="492"/>
      <c r="AA81" s="492"/>
      <c r="AB81" s="492"/>
      <c r="AC81" s="492"/>
      <c r="AD81" s="492"/>
      <c r="AE81" s="492"/>
      <c r="AF81" s="492"/>
    </row>
    <row r="82" spans="1:32" ht="13.2">
      <c r="A82"/>
      <c r="B82" s="153" t="s">
        <v>435</v>
      </c>
      <c r="E82" s="88"/>
      <c r="U82" s="492"/>
      <c r="V82" s="492"/>
      <c r="W82" s="492"/>
      <c r="X82" s="492"/>
      <c r="Y82" s="492"/>
      <c r="Z82" s="492"/>
      <c r="AA82" s="492"/>
      <c r="AB82" s="492"/>
      <c r="AC82" s="492"/>
      <c r="AD82" s="492"/>
      <c r="AE82" s="492"/>
      <c r="AF82" s="492"/>
    </row>
    <row r="83" spans="1:32" ht="13.2">
      <c r="A83"/>
      <c r="B83" t="s">
        <v>433</v>
      </c>
      <c r="C83" s="98"/>
      <c r="D83" s="98"/>
      <c r="E83" s="98"/>
      <c r="F83" s="98"/>
      <c r="G83" s="98"/>
      <c r="H83" s="98"/>
      <c r="I83" s="98"/>
      <c r="J83" s="98"/>
      <c r="K83" s="98"/>
      <c r="L83" s="98"/>
      <c r="M83" s="98"/>
      <c r="N83" s="98"/>
      <c r="U83" s="492"/>
      <c r="V83" s="492"/>
      <c r="W83" s="492"/>
      <c r="X83" s="492"/>
      <c r="Y83" s="492"/>
      <c r="Z83" s="492"/>
      <c r="AA83" s="492"/>
      <c r="AB83" s="492"/>
      <c r="AC83" s="492"/>
      <c r="AD83" s="492"/>
      <c r="AE83" s="492"/>
      <c r="AF83" s="492"/>
    </row>
    <row r="84" spans="1:32" ht="409.6">
      <c r="U84" s="492"/>
      <c r="V84" s="492"/>
      <c r="W84" s="492"/>
      <c r="X84" s="492"/>
      <c r="Y84" s="492"/>
      <c r="Z84" s="492"/>
      <c r="AA84" s="492"/>
      <c r="AB84" s="492"/>
      <c r="AC84" s="492"/>
      <c r="AD84" s="492"/>
      <c r="AE84" s="492"/>
      <c r="AF84" s="492"/>
    </row>
    <row r="85" spans="1:32" ht="409.6">
      <c r="U85" s="492"/>
      <c r="V85" s="492"/>
      <c r="W85" s="492"/>
      <c r="X85" s="492"/>
      <c r="Y85" s="492"/>
      <c r="Z85" s="492"/>
      <c r="AA85" s="492"/>
      <c r="AB85" s="492"/>
      <c r="AC85" s="492"/>
      <c r="AD85" s="492"/>
      <c r="AE85" s="492"/>
      <c r="AF85" s="492"/>
    </row>
    <row r="89" spans="1:32">
      <c r="G89" s="145"/>
    </row>
    <row r="90" spans="1:32" ht="409.6">
      <c r="G90" s="44"/>
    </row>
    <row r="92" spans="1:32">
      <c r="G92" s="150"/>
    </row>
  </sheetData>
  <mergeCells count="3">
    <mergeCell ref="C7:E7"/>
    <mergeCell ref="F7:L7"/>
    <mergeCell ref="M7:N7"/>
  </mergeCells>
  <conditionalFormatting sqref="C72:N72">
    <cfRule type="cellIs" dxfId="131" priority="2" operator="greaterThanOrEqual">
      <formula>C73</formula>
    </cfRule>
  </conditionalFormatting>
  <conditionalFormatting sqref="C71:N71">
    <cfRule type="cellIs" dxfId="130" priority="1" operator="greaterThan">
      <formula>C72</formula>
    </cfRule>
  </conditionalFormatting>
  <conditionalFormatting sqref="C64:N64">
    <cfRule type="cellIs" dxfId="129" priority="4" operator="greaterThanOrEqual">
      <formula>C65</formula>
    </cfRule>
  </conditionalFormatting>
  <conditionalFormatting sqref="C63:N63">
    <cfRule type="cellIs" dxfId="128" priority="3" operator="greaterThan">
      <formula>C64</formula>
    </cfRule>
  </conditionalFormatting>
  <pageMargins left="0" right="0" top="1" bottom="1" header="0.5" footer="0.5"/>
  <pageSetup scale="38" orientation="landscape" r:id="rId1"/>
  <headerFooter alignWithMargins="0">
    <oddFooter>&amp;LPrinted:  &amp;D&amp;C&amp;F&amp;RPage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pageSetUpPr fitToPage="1"/>
  </sheetPr>
  <dimension ref="A1:AF92"/>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 customWidth="1"/>
    <col min="5" max="8" width="14.88671875" bestFit="1" customWidth="1"/>
    <col min="9" max="9" width="14.109375" bestFit="1" customWidth="1"/>
    <col min="10" max="12" width="14.88671875" bestFit="1" customWidth="1"/>
    <col min="13" max="13" width="15.33203125" bestFit="1" customWidth="1"/>
    <col min="14" max="14" width="14.88671875" bestFit="1" customWidth="1"/>
    <col min="15" max="15" width="2.6640625" customWidth="1"/>
    <col min="16" max="16" width="12.88671875" bestFit="1" customWidth="1"/>
    <col min="19" max="19" width="10.6640625" bestFit="1" customWidth="1"/>
    <col min="20" max="20" width="16.109375" bestFit="1" customWidth="1"/>
    <col min="21" max="23" width="10.6640625" bestFit="1" customWidth="1"/>
    <col min="24" max="24" width="9.44140625" bestFit="1" customWidth="1"/>
    <col min="25" max="25" width="7" customWidth="1"/>
    <col min="26" max="26" width="8.44140625" customWidth="1"/>
    <col min="27" max="27" width="11.5546875" bestFit="1" customWidth="1"/>
  </cols>
  <sheetData>
    <row r="1" spans="1:16" s="8" customFormat="1" ht="15.6">
      <c r="A1" s="624"/>
      <c r="B1" s="8" t="s">
        <v>1293</v>
      </c>
    </row>
    <row r="2" spans="1:16" s="8" customFormat="1" ht="15.6">
      <c r="A2" s="624"/>
      <c r="B2" s="8" t="s">
        <v>1267</v>
      </c>
    </row>
    <row r="3" spans="1:16" s="8" customFormat="1" ht="15.6">
      <c r="A3" s="624"/>
    </row>
    <row r="4" spans="1:16" ht="21">
      <c r="A4" s="124" t="s">
        <v>446</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57</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0.52329359352403693</v>
      </c>
      <c r="D13" s="115">
        <f>VLOOKUP($B$9,'Avg KWH'!$A$12:$O$38,D9,FALSE)/HOURS!C15/VLOOKUP($B$9,'Avg CP'!$A$12:$P$38,D9,FALSE)</f>
        <v>2.4636230155088557</v>
      </c>
      <c r="E13" s="115">
        <f>VLOOKUP($B$9,'Avg KWH'!$A$12:$O$38,E9,FALSE)/HOURS!D15/VLOOKUP($B$9,'Avg CP'!$A$12:$P$38,E9,FALSE)</f>
        <v>1.6887195036356999</v>
      </c>
      <c r="F13" s="115">
        <f>VLOOKUP($B$9,'Avg KWH'!$A$12:$O$38,F9,FALSE)/HOURS!E15/VLOOKUP($B$9,'Avg CP'!$A$12:$P$38,F9,FALSE)</f>
        <v>1.3835086763750335</v>
      </c>
      <c r="G13" s="115">
        <f>VLOOKUP($B$9,'Avg KWH'!$A$12:$O$38,G9,FALSE)/HOURS!F15/VLOOKUP($B$9,'Avg CP'!$A$12:$P$38,G9,FALSE)</f>
        <v>1.3396219507302198</v>
      </c>
      <c r="H13" s="115">
        <f>VLOOKUP($B$9,'Avg KWH'!$A$12:$O$38,H9,FALSE)/HOURS!G15/VLOOKUP($B$9,'Avg CP'!$A$12:$P$38,H9,FALSE)</f>
        <v>1.2822905348303755</v>
      </c>
      <c r="I13" s="115">
        <f>VLOOKUP($B$9,'Avg KWH'!$A$12:$O$38,I9,FALSE)/HOURS!H15/VLOOKUP($B$9,'Avg CP'!$A$12:$P$38,I9,FALSE)</f>
        <v>1.2682057988509601</v>
      </c>
      <c r="J13" s="115">
        <f>VLOOKUP($B$9,'Avg KWH'!$A$12:$O$38,J9,FALSE)/HOURS!I15/VLOOKUP($B$9,'Avg CP'!$A$12:$P$38,J9,FALSE)</f>
        <v>1.1084512073559454</v>
      </c>
      <c r="K13" s="115">
        <f>VLOOKUP($B$9,'Avg KWH'!$A$12:$O$38,K9,FALSE)/HOURS!J15/VLOOKUP($B$9,'Avg CP'!$A$12:$P$38,K9,FALSE)</f>
        <v>1.3538241350113536</v>
      </c>
      <c r="L13" s="115">
        <f>VLOOKUP($B$9,'Avg KWH'!$A$12:$O$38,L9,FALSE)/HOURS!K15/VLOOKUP($B$9,'Avg CP'!$A$12:$P$38,L9,FALSE)</f>
        <v>1.5793720331383534</v>
      </c>
      <c r="M13" s="115">
        <f>VLOOKUP($B$9,'Avg KWH'!$A$12:$O$38,M9,FALSE)/HOURS!L15/VLOOKUP($B$9,'Avg CP'!$A$12:$P$38,M9,FALSE)</f>
        <v>0.54914907353605791</v>
      </c>
      <c r="N13" s="115">
        <f>VLOOKUP($B$9,'Avg KWH'!$A$12:$O$38,N9,FALSE)/HOURS!M15/VLOOKUP($B$9,'Avg CP'!$A$12:$P$38,N9,FALSE)</f>
        <v>0.42515484021219896</v>
      </c>
    </row>
    <row r="14" spans="1:16" s="110" customFormat="1">
      <c r="A14" s="119"/>
      <c r="B14" s="118" t="s">
        <v>342</v>
      </c>
      <c r="C14" s="115">
        <f>VLOOKUP($B$9,'Avg KWH'!$A$12:$O$38,C9,FALSE)/HOURS!B15/VLOOKUP($B$9,'Avg GNCP'!$A$11:$P$37,C9,FALSE)</f>
        <v>0.14196262237501686</v>
      </c>
      <c r="D14" s="115">
        <f>VLOOKUP($B$9,'Avg KWH'!$A$12:$O$38,D9,FALSE)/HOURS!C15/VLOOKUP($B$9,'Avg GNCP'!$A$11:$P$37,D9,FALSE)</f>
        <v>0.13674153030143538</v>
      </c>
      <c r="E14" s="115">
        <f>VLOOKUP($B$9,'Avg KWH'!$A$12:$O$38,E9,FALSE)/HOURS!D15/VLOOKUP($B$9,'Avg GNCP'!$A$11:$P$37,E9,FALSE)</f>
        <v>0.12006940327385661</v>
      </c>
      <c r="F14" s="115">
        <f>VLOOKUP($B$9,'Avg KWH'!$A$12:$O$38,F9,FALSE)/HOURS!E15/VLOOKUP($B$9,'Avg GNCP'!$A$11:$P$37,F9,FALSE)</f>
        <v>0.13861312156547381</v>
      </c>
      <c r="G14" s="115">
        <f>VLOOKUP($B$9,'Avg KWH'!$A$12:$O$38,G9,FALSE)/HOURS!F15/VLOOKUP($B$9,'Avg GNCP'!$A$11:$P$37,G9,FALSE)</f>
        <v>0.14546948249420541</v>
      </c>
      <c r="H14" s="115">
        <f>VLOOKUP($B$9,'Avg KWH'!$A$12:$O$38,H9,FALSE)/HOURS!G15/VLOOKUP($B$9,'Avg GNCP'!$A$11:$P$37,H9,FALSE)</f>
        <v>0.17217352364278884</v>
      </c>
      <c r="I14" s="115">
        <f>VLOOKUP($B$9,'Avg KWH'!$A$12:$O$38,I9,FALSE)/HOURS!H15/VLOOKUP($B$9,'Avg GNCP'!$A$11:$P$37,I9,FALSE)</f>
        <v>0.19052001663043033</v>
      </c>
      <c r="J14" s="115">
        <f>VLOOKUP($B$9,'Avg KWH'!$A$12:$O$38,J9,FALSE)/HOURS!I15/VLOOKUP($B$9,'Avg GNCP'!$A$11:$P$37,J9,FALSE)</f>
        <v>0.17043391010074344</v>
      </c>
      <c r="K14" s="115">
        <f>VLOOKUP($B$9,'Avg KWH'!$A$12:$O$38,K9,FALSE)/HOURS!J15/VLOOKUP($B$9,'Avg GNCP'!$A$11:$P$37,K9,FALSE)</f>
        <v>0.14544843248652045</v>
      </c>
      <c r="L14" s="115">
        <f>VLOOKUP($B$9,'Avg KWH'!$A$12:$O$38,L9,FALSE)/HOURS!K15/VLOOKUP($B$9,'Avg GNCP'!$A$11:$P$37,L9,FALSE)</f>
        <v>0.13726820370473652</v>
      </c>
      <c r="M14" s="115">
        <f>VLOOKUP($B$9,'Avg KWH'!$A$12:$O$38,M9,FALSE)/HOURS!L15/VLOOKUP($B$9,'Avg GNCP'!$A$11:$P$37,M9,FALSE)</f>
        <v>0.13615985528822297</v>
      </c>
      <c r="N14" s="115">
        <f>VLOOKUP($B$9,'Avg KWH'!$A$12:$O$38,N9,FALSE)/HOURS!M15/VLOOKUP($B$9,'Avg GNCP'!$A$11:$P$37,N9,FALSE)</f>
        <v>0.13765152186414675</v>
      </c>
    </row>
    <row r="15" spans="1:16" s="10" customFormat="1">
      <c r="A15" s="119"/>
      <c r="B15" s="148" t="s">
        <v>133</v>
      </c>
      <c r="C15" s="115">
        <f>IFERROR(VLOOKUP($B$9,'Avg KWH'!$A$12:$O$38,C9,FALSE)/HOURS!B15/VLOOKUP($B$9,'Avg NCP'!$B$12:$P$38,C9-1,FALSE),"")</f>
        <v>9.7298831916123013E-2</v>
      </c>
      <c r="D15" s="115">
        <f>IFERROR(VLOOKUP($B$9,'Avg KWH'!$A$12:$O$38,D9,FALSE)/HOURS!C15/VLOOKUP($B$9,'Avg NCP'!$B$12:$P$38,D9-1,FALSE),"")</f>
        <v>0.10580786284362992</v>
      </c>
      <c r="E15" s="115">
        <f>IFERROR(VLOOKUP($B$9,'Avg KWH'!$A$12:$O$38,E9,FALSE)/HOURS!D15/VLOOKUP($B$9,'Avg NCP'!$B$12:$P$38,E9-1,FALSE),"")</f>
        <v>9.536306742874949E-2</v>
      </c>
      <c r="F15" s="115">
        <f>IFERROR(VLOOKUP($B$9,'Avg KWH'!$A$12:$O$38,F9,FALSE)/HOURS!E15/VLOOKUP($B$9,'Avg NCP'!$B$12:$P$38,F9-1,FALSE),"")</f>
        <v>8.8600879479704409E-2</v>
      </c>
      <c r="G15" s="115">
        <f>IFERROR(VLOOKUP($B$9,'Avg KWH'!$A$12:$O$38,G9,FALSE)/HOURS!F15/VLOOKUP($B$9,'Avg NCP'!$B$12:$P$38,G9-1,FALSE),"")</f>
        <v>8.5387119534723624E-2</v>
      </c>
      <c r="H15" s="115">
        <f>IFERROR(VLOOKUP($B$9,'Avg KWH'!$A$12:$O$38,H9,FALSE)/HOURS!G15/VLOOKUP($B$9,'Avg NCP'!$B$12:$P$38,H9-1,FALSE),"")</f>
        <v>9.5668499653218775E-2</v>
      </c>
      <c r="I15" s="115">
        <f>IFERROR(VLOOKUP($B$9,'Avg KWH'!$A$12:$O$38,I9,FALSE)/HOURS!H15/VLOOKUP($B$9,'Avg NCP'!$B$12:$P$38,I9-1,FALSE),"")</f>
        <v>0.10326499682545229</v>
      </c>
      <c r="J15" s="115">
        <f>IFERROR(VLOOKUP($B$9,'Avg KWH'!$A$12:$O$38,J9,FALSE)/HOURS!I15/VLOOKUP($B$9,'Avg NCP'!$B$12:$P$38,J9-1,FALSE),"")</f>
        <v>9.7277077219315666E-2</v>
      </c>
      <c r="K15" s="115">
        <f>IFERROR(VLOOKUP($B$9,'Avg KWH'!$A$12:$O$38,K9,FALSE)/HOURS!J15/VLOOKUP($B$9,'Avg NCP'!$B$12:$P$38,K9-1,FALSE),"")</f>
        <v>8.8451395803787844E-2</v>
      </c>
      <c r="L15" s="115">
        <f>IFERROR(VLOOKUP($B$9,'Avg KWH'!$A$12:$O$38,L9,FALSE)/HOURS!K15/VLOOKUP($B$9,'Avg NCP'!$B$12:$P$38,L9-1,FALSE),"")</f>
        <v>9.8357995297652254E-2</v>
      </c>
      <c r="M15" s="115">
        <f>IFERROR(VLOOKUP($B$9,'Avg KWH'!$A$12:$O$38,M9,FALSE)/HOURS!L15/VLOOKUP($B$9,'Avg NCP'!$B$12:$P$38,M9-1,FALSE),"")</f>
        <v>0.10140838185711358</v>
      </c>
      <c r="N15" s="115">
        <f>IFERROR(VLOOKUP($B$9,'Avg KWH'!$A$12:$O$38,N9,FALSE)/HOURS!M15/VLOOKUP($B$9,'Avg NCP'!$B$12:$P$38,N9-1,FALSE),"")</f>
        <v>9.1398483941337219E-2</v>
      </c>
    </row>
    <row r="16" spans="1:16">
      <c r="A16" s="114"/>
      <c r="C16" s="116"/>
      <c r="D16" s="116"/>
      <c r="E16" s="116"/>
      <c r="F16" s="116"/>
      <c r="G16" s="116"/>
      <c r="H16" s="116"/>
      <c r="I16" s="116"/>
      <c r="J16" s="116"/>
      <c r="K16" s="116"/>
      <c r="L16" s="116"/>
      <c r="M16" s="117"/>
      <c r="N16" s="116"/>
    </row>
    <row r="17" spans="1:19" ht="15.6">
      <c r="A17" s="113" t="s">
        <v>421</v>
      </c>
      <c r="C17" s="5"/>
      <c r="D17" s="5"/>
      <c r="E17" s="5"/>
      <c r="F17" s="5"/>
      <c r="G17" s="5"/>
      <c r="H17" s="5"/>
      <c r="I17" s="5"/>
      <c r="J17" s="5"/>
      <c r="K17" s="5"/>
      <c r="L17" s="5"/>
      <c r="M17" s="115"/>
      <c r="N17" s="5"/>
    </row>
    <row r="18" spans="1:19">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9">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9">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9">
      <c r="A21" s="114"/>
      <c r="C21" s="5"/>
      <c r="D21" s="5"/>
      <c r="E21" s="5"/>
      <c r="F21" s="5"/>
      <c r="G21" s="5"/>
      <c r="H21" s="5"/>
      <c r="I21" s="5"/>
      <c r="J21" s="5"/>
      <c r="K21" s="5"/>
      <c r="L21" s="5"/>
      <c r="M21" s="115"/>
      <c r="N21" s="5"/>
    </row>
    <row r="22" spans="1:19" ht="15.6">
      <c r="A22" s="113" t="s">
        <v>427</v>
      </c>
      <c r="C22" s="5"/>
      <c r="D22" s="5"/>
      <c r="E22" s="5"/>
      <c r="F22" s="5"/>
      <c r="G22" s="5"/>
      <c r="H22" s="5"/>
      <c r="I22" s="5"/>
      <c r="J22" s="5"/>
      <c r="K22" s="5"/>
      <c r="L22" s="5"/>
      <c r="M22" s="115"/>
      <c r="N22" s="5"/>
    </row>
    <row r="23" spans="1:19">
      <c r="A23" s="114"/>
      <c r="B23" t="s">
        <v>428</v>
      </c>
      <c r="C23" s="145">
        <v>0</v>
      </c>
      <c r="D23" s="145">
        <v>0</v>
      </c>
      <c r="E23" s="145">
        <v>0</v>
      </c>
      <c r="F23" s="145">
        <v>0</v>
      </c>
      <c r="G23" s="145">
        <v>0</v>
      </c>
      <c r="H23" s="145">
        <v>0</v>
      </c>
      <c r="I23" s="145">
        <v>0</v>
      </c>
      <c r="J23" s="145">
        <v>0</v>
      </c>
      <c r="K23" s="145">
        <v>0</v>
      </c>
      <c r="L23" s="145">
        <v>0</v>
      </c>
      <c r="M23" s="145">
        <v>0</v>
      </c>
      <c r="N23" s="145">
        <v>0</v>
      </c>
    </row>
    <row r="24" spans="1:19">
      <c r="A24" s="114"/>
      <c r="B24" t="s">
        <v>429</v>
      </c>
      <c r="C24" s="145">
        <v>0</v>
      </c>
      <c r="D24" s="145">
        <v>0</v>
      </c>
      <c r="E24" s="145">
        <v>0</v>
      </c>
      <c r="F24" s="145">
        <v>0</v>
      </c>
      <c r="G24" s="145">
        <v>0</v>
      </c>
      <c r="H24" s="145">
        <v>0</v>
      </c>
      <c r="I24" s="145">
        <v>0</v>
      </c>
      <c r="J24" s="145">
        <v>0</v>
      </c>
      <c r="K24" s="145">
        <v>0</v>
      </c>
      <c r="L24" s="145">
        <v>0</v>
      </c>
      <c r="M24" s="145">
        <v>0</v>
      </c>
      <c r="N24" s="145">
        <v>0</v>
      </c>
    </row>
    <row r="25" spans="1:19">
      <c r="A25" s="114"/>
      <c r="C25" s="5"/>
      <c r="D25" s="5"/>
      <c r="E25" s="5"/>
      <c r="F25" s="5"/>
      <c r="G25" s="5"/>
      <c r="H25" s="5"/>
      <c r="I25" s="5"/>
      <c r="J25" s="5"/>
      <c r="K25" s="5"/>
      <c r="L25" s="5"/>
      <c r="M25" s="115"/>
      <c r="N25" s="5"/>
    </row>
    <row r="26" spans="1:19" ht="15.6">
      <c r="A26" s="113" t="s">
        <v>424</v>
      </c>
      <c r="C26" s="5"/>
      <c r="D26" s="5"/>
      <c r="E26" s="5"/>
      <c r="F26" s="5"/>
      <c r="G26" s="5"/>
      <c r="H26" s="5"/>
      <c r="I26" s="5"/>
      <c r="J26" s="5"/>
      <c r="K26" s="5"/>
      <c r="L26" s="5"/>
      <c r="M26" s="115"/>
      <c r="N26" s="5"/>
    </row>
    <row r="27" spans="1:19" s="106" customFormat="1">
      <c r="A27" s="109"/>
      <c r="B27" s="108" t="str">
        <f>"PRIOR - "&amp;MANUAL!$B$9</f>
        <v>PRIOR - 2016</v>
      </c>
      <c r="C27" s="142">
        <f>VLOOKUP($B$9,'Sales Forecast'!$B$7:$AO$23,C9-1,FALSE)</f>
        <v>876403</v>
      </c>
      <c r="D27" s="142">
        <f>VLOOKUP($B$9,'Sales Forecast'!$B$7:$AO$23,D9-1,FALSE)</f>
        <v>999104</v>
      </c>
      <c r="E27" s="142">
        <f>VLOOKUP($B$9,'Sales Forecast'!$B$7:$AO$23,E9-1,FALSE)</f>
        <v>1067306</v>
      </c>
      <c r="F27" s="142">
        <f>VLOOKUP($B$9,'Sales Forecast'!$B$7:$AO$23,F9-1,FALSE)</f>
        <v>910716</v>
      </c>
      <c r="G27" s="142">
        <f>VLOOKUP($B$9,'Sales Forecast'!$B$7:$AO$23,G9-1,FALSE)</f>
        <v>882804</v>
      </c>
      <c r="H27" s="142">
        <f>VLOOKUP($B$9,'Sales Forecast'!$B$7:$AO$23,H9-1,FALSE)</f>
        <v>837955</v>
      </c>
      <c r="I27" s="142">
        <f>VLOOKUP($B$9,'Sales Forecast'!$B$7:$AO$23,I9-1,FALSE)</f>
        <v>726491</v>
      </c>
      <c r="J27" s="142">
        <f>VLOOKUP($B$9,'Sales Forecast'!$B$7:$AO$23,J9-1,FALSE)</f>
        <v>729042</v>
      </c>
      <c r="K27" s="142">
        <f>VLOOKUP($B$9,'Sales Forecast'!$B$7:$AO$23,K9-1,FALSE)</f>
        <v>927091</v>
      </c>
      <c r="L27" s="142">
        <f>VLOOKUP($B$9,'Sales Forecast'!$B$7:$AO$23,L9-1,FALSE)</f>
        <v>948179</v>
      </c>
      <c r="M27" s="142">
        <f>VLOOKUP($B$9,'Sales Forecast'!$B$7:$AO$23,M9-1,FALSE)</f>
        <v>1095816</v>
      </c>
      <c r="N27" s="142">
        <f>VLOOKUP($B$9,'Sales Forecast'!$B$7:$AO$23,N9-1,FALSE)</f>
        <v>953457</v>
      </c>
    </row>
    <row r="28" spans="1:19" s="12" customFormat="1" ht="15.6">
      <c r="A28" s="111"/>
      <c r="B28" s="108" t="str">
        <f>"TEST - "&amp;MANUAL!$B$10</f>
        <v>TEST - 2017</v>
      </c>
      <c r="C28" s="142">
        <f>VLOOKUP($B$9,'Sales Forecast'!$B$7:$AO$23,C9+11,FALSE)</f>
        <v>868047</v>
      </c>
      <c r="D28" s="142">
        <f>VLOOKUP($B$9,'Sales Forecast'!$B$7:$AO$23,D9+11,FALSE)</f>
        <v>980593</v>
      </c>
      <c r="E28" s="142">
        <f>VLOOKUP($B$9,'Sales Forecast'!$B$7:$AO$23,E9+11,FALSE)</f>
        <v>1051238</v>
      </c>
      <c r="F28" s="142">
        <f>VLOOKUP($B$9,'Sales Forecast'!$B$7:$AO$23,F9+11,FALSE)</f>
        <v>908437</v>
      </c>
      <c r="G28" s="142">
        <f>VLOOKUP($B$9,'Sales Forecast'!$B$7:$AO$23,G9+11,FALSE)</f>
        <v>861058</v>
      </c>
      <c r="H28" s="142">
        <f>VLOOKUP($B$9,'Sales Forecast'!$B$7:$AO$23,H9+11,FALSE)</f>
        <v>823754</v>
      </c>
      <c r="I28" s="142">
        <f>VLOOKUP($B$9,'Sales Forecast'!$B$7:$AO$23,I9+11,FALSE)</f>
        <v>714380</v>
      </c>
      <c r="J28" s="142">
        <f>VLOOKUP($B$9,'Sales Forecast'!$B$7:$AO$23,J9+11,FALSE)</f>
        <v>720433</v>
      </c>
      <c r="K28" s="142">
        <f>VLOOKUP($B$9,'Sales Forecast'!$B$7:$AO$23,K9+11,FALSE)</f>
        <v>908768</v>
      </c>
      <c r="L28" s="142">
        <f>VLOOKUP($B$9,'Sales Forecast'!$B$7:$AO$23,L9+11,FALSE)</f>
        <v>936451</v>
      </c>
      <c r="M28" s="142">
        <f>VLOOKUP($B$9,'Sales Forecast'!$B$7:$AO$23,M9+11,FALSE)</f>
        <v>1075889</v>
      </c>
      <c r="N28" s="142">
        <f>VLOOKUP($B$9,'Sales Forecast'!$B$7:$AO$23,N9+11,FALSE)</f>
        <v>944265</v>
      </c>
    </row>
    <row r="29" spans="1:19">
      <c r="A29" s="114"/>
      <c r="B29" t="s">
        <v>1094</v>
      </c>
      <c r="C29" s="142">
        <f>VLOOKUP($B$9,'Sales Forecast'!$B$7:$AO$23,C9+23,FALSE)</f>
        <v>867864</v>
      </c>
      <c r="D29" s="142">
        <f>VLOOKUP($B$9,'Sales Forecast'!$B$7:$AO$23,D9+23,FALSE)</f>
        <v>984899</v>
      </c>
      <c r="E29" s="142">
        <f>VLOOKUP($B$9,'Sales Forecast'!$B$7:$AO$23,E9+23,FALSE)</f>
        <v>1053975</v>
      </c>
      <c r="F29" s="142">
        <f>VLOOKUP($B$9,'Sales Forecast'!$B$7:$AO$23,F9+23,FALSE)</f>
        <v>905029</v>
      </c>
      <c r="G29" s="142">
        <f>VLOOKUP($B$9,'Sales Forecast'!$B$7:$AO$23,G9+23,FALSE)</f>
        <v>867571</v>
      </c>
      <c r="H29" s="142">
        <f>VLOOKUP($B$9,'Sales Forecast'!$B$7:$AO$23,H9+23,FALSE)</f>
        <v>826700</v>
      </c>
      <c r="I29" s="142">
        <f>VLOOKUP($B$9,'Sales Forecast'!$B$7:$AO$23,I9+23,FALSE)</f>
        <v>716833</v>
      </c>
      <c r="J29" s="142">
        <f>VLOOKUP($B$9,'Sales Forecast'!$B$7:$AO$23,J9+23,FALSE)</f>
        <v>721114</v>
      </c>
      <c r="K29" s="142">
        <f>VLOOKUP($B$9,'Sales Forecast'!$B$7:$AO$23,K9+23,FALSE)</f>
        <v>913339</v>
      </c>
      <c r="L29" s="142">
        <f>VLOOKUP($B$9,'Sales Forecast'!$B$7:$AO$23,L9+23,FALSE)</f>
        <v>937603</v>
      </c>
      <c r="M29" s="142">
        <f>VLOOKUP($B$9,'Sales Forecast'!$B$7:$AO$23,M9+23,FALSE)</f>
        <v>1080423</v>
      </c>
      <c r="N29" s="142">
        <f>VLOOKUP($B$9,'Sales Forecast'!$B$7:$AO$23,N9+23,FALSE)</f>
        <v>944116</v>
      </c>
    </row>
    <row r="30" spans="1:19">
      <c r="A30" s="114"/>
      <c r="C30" s="142"/>
      <c r="D30" s="142"/>
      <c r="E30" s="142"/>
      <c r="F30" s="142"/>
      <c r="G30" s="142"/>
      <c r="H30" s="142"/>
      <c r="I30" s="142"/>
      <c r="J30" s="142"/>
      <c r="K30" s="142"/>
      <c r="L30" s="142"/>
      <c r="M30" s="142"/>
      <c r="N30" s="142"/>
    </row>
    <row r="31" spans="1:19" s="12" customFormat="1" ht="15.6">
      <c r="A31" s="113" t="s">
        <v>1248</v>
      </c>
      <c r="B31"/>
      <c r="C31" s="142"/>
      <c r="D31" s="142"/>
      <c r="E31" s="142"/>
      <c r="F31" s="142"/>
      <c r="G31" s="142"/>
      <c r="H31" s="142"/>
      <c r="I31" s="142"/>
      <c r="J31" s="142"/>
      <c r="K31" s="142"/>
      <c r="L31" s="142"/>
      <c r="M31" s="142"/>
      <c r="N31" s="142"/>
    </row>
    <row r="32" spans="1:19" s="12" customFormat="1">
      <c r="A32" s="114"/>
      <c r="B32" t="s">
        <v>1254</v>
      </c>
      <c r="C32" s="115">
        <v>0</v>
      </c>
      <c r="D32" s="115">
        <v>0</v>
      </c>
      <c r="E32" s="115">
        <v>0</v>
      </c>
      <c r="F32" s="115">
        <v>0</v>
      </c>
      <c r="G32" s="115">
        <v>0</v>
      </c>
      <c r="H32" s="115">
        <v>0</v>
      </c>
      <c r="I32" s="115">
        <v>0</v>
      </c>
      <c r="J32" s="115">
        <v>0</v>
      </c>
      <c r="K32" s="115">
        <v>0</v>
      </c>
      <c r="L32" s="115">
        <v>0</v>
      </c>
      <c r="M32" s="115">
        <v>0</v>
      </c>
      <c r="N32" s="115">
        <v>0</v>
      </c>
      <c r="S32"/>
    </row>
    <row r="33" spans="1:32" s="12" customFormat="1">
      <c r="A33" s="114"/>
      <c r="B33" t="s">
        <v>1253</v>
      </c>
      <c r="C33" s="115">
        <v>1</v>
      </c>
      <c r="D33" s="115">
        <v>1</v>
      </c>
      <c r="E33" s="115">
        <v>1</v>
      </c>
      <c r="F33" s="115">
        <v>1</v>
      </c>
      <c r="G33" s="115">
        <v>1</v>
      </c>
      <c r="H33" s="115">
        <v>1</v>
      </c>
      <c r="I33" s="115">
        <v>1</v>
      </c>
      <c r="J33" s="115">
        <v>1</v>
      </c>
      <c r="K33" s="115">
        <v>1</v>
      </c>
      <c r="L33" s="115">
        <v>1</v>
      </c>
      <c r="M33" s="115">
        <v>1</v>
      </c>
      <c r="N33" s="115">
        <v>1</v>
      </c>
      <c r="S33"/>
    </row>
    <row r="34" spans="1:32" s="12" customFormat="1">
      <c r="A34" s="114"/>
      <c r="B34" t="s">
        <v>1252</v>
      </c>
      <c r="C34" s="115">
        <v>0</v>
      </c>
      <c r="D34" s="115">
        <v>0</v>
      </c>
      <c r="E34" s="115">
        <v>0</v>
      </c>
      <c r="F34" s="115">
        <v>0</v>
      </c>
      <c r="G34" s="115">
        <v>0</v>
      </c>
      <c r="H34" s="115">
        <v>0</v>
      </c>
      <c r="I34" s="115">
        <v>0</v>
      </c>
      <c r="J34" s="115">
        <v>0</v>
      </c>
      <c r="K34" s="115">
        <v>0</v>
      </c>
      <c r="L34" s="115">
        <v>0</v>
      </c>
      <c r="M34" s="115">
        <v>0</v>
      </c>
      <c r="N34" s="115">
        <v>0</v>
      </c>
      <c r="S34" s="507"/>
    </row>
    <row r="35" spans="1:32" s="12" customFormat="1" ht="15.6">
      <c r="A35" s="114"/>
      <c r="B35" s="513">
        <v>2017</v>
      </c>
      <c r="C35" s="115"/>
      <c r="D35" s="115"/>
      <c r="E35" s="115"/>
      <c r="F35" s="115"/>
      <c r="G35" s="115"/>
      <c r="H35" s="115"/>
      <c r="I35" s="115"/>
      <c r="J35" s="115"/>
      <c r="K35" s="115"/>
      <c r="L35" s="115"/>
      <c r="M35" s="115"/>
      <c r="N35" s="115"/>
      <c r="S35" s="507"/>
    </row>
    <row r="36" spans="1:32"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S36"/>
    </row>
    <row r="37" spans="1:32"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S37"/>
    </row>
    <row r="38" spans="1:32"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508"/>
    </row>
    <row r="39" spans="1:32" s="12" customFormat="1">
      <c r="A39" s="114"/>
      <c r="B39" t="s">
        <v>1255</v>
      </c>
      <c r="C39" s="107">
        <f>IFERROR((+C$28/C$19/C13)+C23,0)</f>
        <v>2229.5893799358828</v>
      </c>
      <c r="D39" s="107">
        <f t="shared" ref="D39:N39" si="0">IFERROR((+D$28/D$19/D13)+D23,0)</f>
        <v>592.30481474785472</v>
      </c>
      <c r="E39" s="107">
        <f t="shared" si="0"/>
        <v>836.70159433421179</v>
      </c>
      <c r="F39" s="107">
        <f t="shared" si="0"/>
        <v>911.9697455468189</v>
      </c>
      <c r="G39" s="107">
        <f t="shared" si="0"/>
        <v>863.92733477868092</v>
      </c>
      <c r="H39" s="107">
        <f t="shared" si="0"/>
        <v>892.233660548015</v>
      </c>
      <c r="I39" s="107">
        <f t="shared" si="0"/>
        <v>757.12330988627843</v>
      </c>
      <c r="J39" s="107">
        <f t="shared" si="0"/>
        <v>873.58281384435816</v>
      </c>
      <c r="K39" s="107">
        <f t="shared" si="0"/>
        <v>932.30556697616612</v>
      </c>
      <c r="L39" s="107">
        <f t="shared" si="0"/>
        <v>796.94376784907354</v>
      </c>
      <c r="M39" s="107">
        <f t="shared" si="0"/>
        <v>2721.1013362105959</v>
      </c>
      <c r="N39" s="107">
        <f t="shared" si="0"/>
        <v>2985.2027239377476</v>
      </c>
      <c r="S39"/>
    </row>
    <row r="40" spans="1:32" s="12" customFormat="1">
      <c r="A40" s="114"/>
      <c r="B40" t="s">
        <v>1256</v>
      </c>
      <c r="C40" s="107">
        <f>IFERROR((C39*C32*C36)+(C39*C33*C37)+(C39*C34*C38),0)</f>
        <v>2307.2304836576604</v>
      </c>
      <c r="D40" s="107">
        <f>IFERROR((D39*D32*D36)+(D39*D33*D37)+(D39*D34*D38),0)</f>
        <v>612.93067526306265</v>
      </c>
      <c r="E40" s="107">
        <f t="shared" ref="E40:N40" si="1">IFERROR((E39*E32*E36)+(E39*E33*E37)+(E39*E34*E38),0)</f>
        <v>865.83809626343577</v>
      </c>
      <c r="F40" s="107">
        <f t="shared" si="1"/>
        <v>943.72731411182519</v>
      </c>
      <c r="G40" s="107">
        <f t="shared" si="1"/>
        <v>894.01192004413429</v>
      </c>
      <c r="H40" s="107">
        <f t="shared" si="1"/>
        <v>923.30395842710789</v>
      </c>
      <c r="I40" s="107">
        <f t="shared" si="1"/>
        <v>783.48865319211473</v>
      </c>
      <c r="J40" s="107">
        <f t="shared" si="1"/>
        <v>904.00363234556698</v>
      </c>
      <c r="K40" s="107">
        <f t="shared" si="1"/>
        <v>964.77129087913374</v>
      </c>
      <c r="L40" s="107">
        <f t="shared" si="1"/>
        <v>824.69578097616045</v>
      </c>
      <c r="M40" s="107">
        <f t="shared" si="1"/>
        <v>2815.8583856401506</v>
      </c>
      <c r="N40" s="107">
        <f t="shared" si="1"/>
        <v>3089.1565893470138</v>
      </c>
      <c r="S40"/>
    </row>
    <row r="41" spans="1:32"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S41"/>
    </row>
    <row r="42" spans="1:32"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S42"/>
      <c r="T42" s="522"/>
      <c r="U42" s="523"/>
      <c r="V42" s="523"/>
      <c r="W42" s="523"/>
      <c r="X42" s="523"/>
      <c r="Y42" s="523"/>
      <c r="Z42" s="523"/>
      <c r="AA42" s="523"/>
      <c r="AB42" s="523"/>
      <c r="AC42" s="523"/>
      <c r="AD42" s="523"/>
      <c r="AE42" s="523"/>
      <c r="AF42" s="523"/>
    </row>
    <row r="43" spans="1:32" s="12" customFormat="1">
      <c r="A43" s="114"/>
      <c r="B43" t="s">
        <v>1259</v>
      </c>
      <c r="C43" s="235">
        <f>IFERROR(C40*C42/C41,0)</f>
        <v>212.47854828922254</v>
      </c>
      <c r="D43" s="235">
        <f t="shared" ref="D43:N43" si="2">IFERROR(D40*D42/D41,0)</f>
        <v>4.2208076722941126</v>
      </c>
      <c r="E43" s="235">
        <f t="shared" si="2"/>
        <v>102.9620726058658</v>
      </c>
      <c r="F43" s="235">
        <f t="shared" si="2"/>
        <v>75.559715749585393</v>
      </c>
      <c r="G43" s="235">
        <f t="shared" si="2"/>
        <v>89.612953443879917</v>
      </c>
      <c r="H43" s="235">
        <f t="shared" si="2"/>
        <v>47.595899558943934</v>
      </c>
      <c r="I43" s="235">
        <f t="shared" si="2"/>
        <v>50.052906585770565</v>
      </c>
      <c r="J43" s="235">
        <f t="shared" si="2"/>
        <v>87.978935909664287</v>
      </c>
      <c r="K43" s="235">
        <f t="shared" si="2"/>
        <v>9.041200861821725</v>
      </c>
      <c r="L43" s="235">
        <f t="shared" si="2"/>
        <v>16.418539544341282</v>
      </c>
      <c r="M43" s="235">
        <f t="shared" si="2"/>
        <v>-58.391776912880403</v>
      </c>
      <c r="N43" s="235">
        <f t="shared" si="2"/>
        <v>80.3628392759761</v>
      </c>
      <c r="S43"/>
      <c r="T43" s="206"/>
      <c r="U43" s="523"/>
      <c r="V43" s="523"/>
      <c r="W43" s="523"/>
      <c r="X43" s="523"/>
      <c r="Y43" s="523"/>
      <c r="Z43" s="523"/>
      <c r="AA43" s="523"/>
      <c r="AB43" s="523"/>
      <c r="AC43" s="523"/>
      <c r="AD43" s="523"/>
      <c r="AE43" s="523"/>
      <c r="AF43" s="523"/>
    </row>
    <row r="44" spans="1:32" s="12" customFormat="1">
      <c r="A44" s="114"/>
      <c r="B44" t="s">
        <v>1260</v>
      </c>
      <c r="C44" s="235">
        <f>IFERROR(((C43*C32)/C36)+((C43*C33)/C37)+((C43*C34)/C38),0)</f>
        <v>205.32838746947496</v>
      </c>
      <c r="D44" s="235">
        <f t="shared" ref="D44:N44" si="3">IFERROR(((D43*D32)/D36)+((D43*D33)/D37)+((D43*D34)/D38),0)</f>
        <v>4.0787723756059613</v>
      </c>
      <c r="E44" s="235">
        <f t="shared" si="3"/>
        <v>99.49727400198806</v>
      </c>
      <c r="F44" s="235">
        <f t="shared" si="3"/>
        <v>73.017039684383036</v>
      </c>
      <c r="G44" s="235">
        <f t="shared" si="3"/>
        <v>86.597368888096341</v>
      </c>
      <c r="H44" s="235">
        <f t="shared" si="3"/>
        <v>45.994239819892222</v>
      </c>
      <c r="I44" s="235">
        <f t="shared" si="3"/>
        <v>48.368565580687488</v>
      </c>
      <c r="J44" s="235">
        <f t="shared" si="3"/>
        <v>85.018338025457666</v>
      </c>
      <c r="K44" s="235">
        <f t="shared" si="3"/>
        <v>8.7369534886813991</v>
      </c>
      <c r="L44" s="235">
        <f t="shared" si="3"/>
        <v>15.866035778136947</v>
      </c>
      <c r="M44" s="235">
        <f t="shared" si="3"/>
        <v>-56.426822808856642</v>
      </c>
      <c r="N44" s="235">
        <f t="shared" si="3"/>
        <v>77.658532279428812</v>
      </c>
      <c r="S44"/>
      <c r="T44" s="206"/>
      <c r="U44" s="523"/>
      <c r="V44" s="523"/>
      <c r="W44" s="523"/>
      <c r="X44" s="523"/>
      <c r="Y44" s="523"/>
      <c r="Z44" s="523"/>
      <c r="AA44" s="523"/>
      <c r="AB44" s="523"/>
      <c r="AC44" s="523"/>
      <c r="AD44" s="523"/>
      <c r="AE44" s="523"/>
      <c r="AF44" s="523"/>
    </row>
    <row r="45" spans="1:32" s="12" customFormat="1" ht="15.6">
      <c r="A45" s="114"/>
      <c r="B45" s="513">
        <v>2018</v>
      </c>
      <c r="C45" s="235"/>
      <c r="D45" s="235"/>
      <c r="E45" s="235"/>
      <c r="F45" s="235"/>
      <c r="G45" s="235"/>
      <c r="H45" s="235"/>
      <c r="I45" s="235"/>
      <c r="J45" s="235"/>
      <c r="K45" s="235"/>
      <c r="L45" s="235"/>
      <c r="M45" s="235"/>
      <c r="N45" s="235"/>
      <c r="S45"/>
      <c r="T45" s="206"/>
      <c r="U45" s="523"/>
      <c r="V45" s="523"/>
      <c r="W45" s="523"/>
      <c r="X45" s="523"/>
      <c r="Y45" s="523"/>
      <c r="Z45" s="523"/>
      <c r="AA45" s="523"/>
      <c r="AB45" s="523"/>
      <c r="AC45" s="523"/>
      <c r="AD45" s="523"/>
      <c r="AE45" s="523"/>
      <c r="AF45" s="523"/>
    </row>
    <row r="46" spans="1:32"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S46"/>
      <c r="T46" s="206"/>
      <c r="U46" s="523"/>
      <c r="V46" s="523"/>
      <c r="W46" s="523"/>
      <c r="X46" s="523"/>
      <c r="Y46" s="523"/>
      <c r="Z46" s="523"/>
      <c r="AA46" s="523"/>
      <c r="AB46" s="523"/>
      <c r="AC46" s="523"/>
      <c r="AD46" s="523"/>
      <c r="AE46" s="523"/>
      <c r="AF46" s="523"/>
    </row>
    <row r="47" spans="1:32"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S47"/>
      <c r="T47" s="206"/>
      <c r="U47" s="524"/>
      <c r="V47" s="524"/>
      <c r="W47" s="524"/>
      <c r="X47" s="524"/>
      <c r="Y47" s="524"/>
      <c r="Z47" s="524"/>
      <c r="AA47" s="524"/>
      <c r="AB47" s="524"/>
      <c r="AC47" s="524"/>
      <c r="AD47" s="524"/>
      <c r="AE47" s="524"/>
      <c r="AF47" s="524"/>
    </row>
    <row r="48" spans="1:32" s="12" customFormat="1">
      <c r="A48" s="114"/>
      <c r="B48" t="s">
        <v>1251</v>
      </c>
      <c r="C48">
        <v>1.06467</v>
      </c>
      <c r="D48">
        <v>1.06467</v>
      </c>
      <c r="E48">
        <v>1.06467</v>
      </c>
      <c r="F48">
        <v>1.06467</v>
      </c>
      <c r="G48">
        <v>1.06467</v>
      </c>
      <c r="H48">
        <v>1.06467</v>
      </c>
      <c r="I48">
        <v>1.06467</v>
      </c>
      <c r="J48">
        <v>1.06467</v>
      </c>
      <c r="K48">
        <v>1.06467</v>
      </c>
      <c r="L48">
        <v>1.06467</v>
      </c>
      <c r="M48">
        <v>1.06467</v>
      </c>
      <c r="N48">
        <v>1.06467</v>
      </c>
      <c r="S48"/>
      <c r="T48" s="206"/>
      <c r="U48" s="524"/>
      <c r="V48" s="524"/>
      <c r="W48" s="524"/>
      <c r="X48" s="524"/>
      <c r="Y48" s="524"/>
      <c r="Z48" s="524"/>
      <c r="AA48" s="524"/>
      <c r="AB48" s="524"/>
      <c r="AC48" s="524"/>
      <c r="AD48" s="524"/>
      <c r="AE48" s="524"/>
      <c r="AF48" s="524"/>
    </row>
    <row r="49" spans="1:32" s="12" customFormat="1">
      <c r="A49" s="114"/>
      <c r="B49" t="s">
        <v>1255</v>
      </c>
      <c r="C49" s="235">
        <f>IFERROR((+C$29/C$20/C13)+C23,0)</f>
        <v>2229.1193421884705</v>
      </c>
      <c r="D49" s="235">
        <f t="shared" ref="D49:N49" si="4">IFERROR((+D$29/D$20/D13)+D23,0)</f>
        <v>594.90575574203297</v>
      </c>
      <c r="E49" s="235">
        <f t="shared" si="4"/>
        <v>838.88002801306732</v>
      </c>
      <c r="F49" s="235">
        <f t="shared" si="4"/>
        <v>908.5484924573658</v>
      </c>
      <c r="G49" s="235">
        <f t="shared" si="4"/>
        <v>870.46203828461626</v>
      </c>
      <c r="H49" s="235">
        <f t="shared" si="4"/>
        <v>895.42456507045051</v>
      </c>
      <c r="I49" s="235">
        <f t="shared" si="4"/>
        <v>759.72307958748934</v>
      </c>
      <c r="J49" s="235">
        <f t="shared" si="4"/>
        <v>874.40858098193792</v>
      </c>
      <c r="K49" s="235">
        <f t="shared" si="4"/>
        <v>936.99495826926648</v>
      </c>
      <c r="L49" s="235">
        <f t="shared" si="4"/>
        <v>797.92414933252769</v>
      </c>
      <c r="M49" s="235">
        <f t="shared" si="4"/>
        <v>2732.5685725689737</v>
      </c>
      <c r="N49" s="235">
        <f t="shared" si="4"/>
        <v>2984.7316748086719</v>
      </c>
      <c r="S49"/>
      <c r="T49" s="206"/>
      <c r="U49" s="524"/>
      <c r="V49" s="524"/>
      <c r="W49" s="524"/>
      <c r="X49" s="524"/>
      <c r="Y49" s="524"/>
      <c r="Z49" s="524"/>
      <c r="AA49" s="524"/>
      <c r="AB49" s="524"/>
      <c r="AC49" s="524"/>
      <c r="AD49" s="524"/>
      <c r="AE49" s="524"/>
      <c r="AF49" s="524"/>
    </row>
    <row r="50" spans="1:32" s="12" customFormat="1">
      <c r="A50" s="114"/>
      <c r="B50" t="s">
        <v>1256</v>
      </c>
      <c r="C50" s="107">
        <f>(C49*C32*C46)+(C49*C33*C47)+(C49*C34*C48)</f>
        <v>2306.8264424571603</v>
      </c>
      <c r="D50" s="107">
        <f t="shared" ref="D50:N50" si="5">(D49*D32*D46)+(D49*D33*D47)+(D49*D34*D48)</f>
        <v>615.64417038720012</v>
      </c>
      <c r="E50" s="107">
        <f t="shared" si="5"/>
        <v>868.12338578960271</v>
      </c>
      <c r="F50" s="107">
        <f t="shared" si="5"/>
        <v>940.22049290442942</v>
      </c>
      <c r="G50" s="107">
        <f t="shared" si="5"/>
        <v>900.80634493921787</v>
      </c>
      <c r="H50" s="107">
        <f t="shared" si="5"/>
        <v>926.63906540880635</v>
      </c>
      <c r="I50" s="107">
        <f t="shared" si="5"/>
        <v>786.20702614190918</v>
      </c>
      <c r="J50" s="107">
        <f t="shared" si="5"/>
        <v>904.89046411496815</v>
      </c>
      <c r="K50" s="107">
        <f t="shared" si="5"/>
        <v>969.65860251453296</v>
      </c>
      <c r="L50" s="107">
        <f t="shared" si="5"/>
        <v>825.73978517825947</v>
      </c>
      <c r="M50" s="107">
        <f t="shared" si="5"/>
        <v>2827.8259130087276</v>
      </c>
      <c r="N50" s="107">
        <f t="shared" si="5"/>
        <v>3088.7794209925019</v>
      </c>
      <c r="S50"/>
      <c r="T50" s="206"/>
      <c r="U50" s="523"/>
      <c r="V50" s="523"/>
      <c r="W50" s="523"/>
      <c r="X50" s="523"/>
      <c r="Y50" s="523"/>
      <c r="Z50" s="523"/>
      <c r="AA50" s="523"/>
      <c r="AB50" s="523"/>
      <c r="AC50" s="523"/>
      <c r="AD50" s="523"/>
      <c r="AE50" s="523"/>
      <c r="AF50" s="523"/>
    </row>
    <row r="51" spans="1:32"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S51"/>
    </row>
    <row r="52" spans="1:32"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S52"/>
      <c r="U52" s="95"/>
      <c r="V52" s="95"/>
      <c r="W52" s="95"/>
      <c r="X52" s="95"/>
      <c r="Y52" s="95"/>
      <c r="Z52" s="95"/>
      <c r="AA52" s="95"/>
      <c r="AB52" s="95"/>
      <c r="AC52" s="95"/>
      <c r="AD52" s="95"/>
      <c r="AE52" s="95"/>
      <c r="AF52" s="95"/>
    </row>
    <row r="53" spans="1:32" s="12" customFormat="1">
      <c r="A53" s="114"/>
      <c r="B53" t="s">
        <v>1259</v>
      </c>
      <c r="C53" s="235">
        <f>C50*C52/C51</f>
        <v>235.15483349681313</v>
      </c>
      <c r="D53" s="235">
        <f t="shared" ref="D53:N53" si="6">D50*D52/D51</f>
        <v>9.5860348527022481</v>
      </c>
      <c r="E53" s="235">
        <f t="shared" si="6"/>
        <v>109.25300592527741</v>
      </c>
      <c r="F53" s="235">
        <f t="shared" si="6"/>
        <v>79.279479624552366</v>
      </c>
      <c r="G53" s="235">
        <f t="shared" si="6"/>
        <v>94.069262545000839</v>
      </c>
      <c r="H53" s="235">
        <f t="shared" si="6"/>
        <v>52.367784387107747</v>
      </c>
      <c r="I53" s="235">
        <f t="shared" si="6"/>
        <v>54.592542126674374</v>
      </c>
      <c r="J53" s="235">
        <f t="shared" si="6"/>
        <v>95.455138028172868</v>
      </c>
      <c r="K53" s="235">
        <f t="shared" si="6"/>
        <v>14.523917586740394</v>
      </c>
      <c r="L53" s="235">
        <f t="shared" si="6"/>
        <v>21.092239344484724</v>
      </c>
      <c r="M53" s="235">
        <f t="shared" si="6"/>
        <v>-45.308649395949502</v>
      </c>
      <c r="N53" s="235">
        <f t="shared" si="6"/>
        <v>92.030659423048945</v>
      </c>
      <c r="S53"/>
      <c r="U53" s="544"/>
      <c r="V53" s="544"/>
      <c r="W53" s="544"/>
      <c r="X53" s="544"/>
      <c r="Y53" s="544"/>
      <c r="Z53" s="544"/>
      <c r="AA53" s="544"/>
      <c r="AB53" s="544"/>
      <c r="AC53" s="544"/>
      <c r="AD53" s="544"/>
      <c r="AE53" s="544"/>
      <c r="AF53" s="544"/>
    </row>
    <row r="54" spans="1:32" s="12" customFormat="1">
      <c r="A54" s="114"/>
      <c r="B54" t="s">
        <v>1260</v>
      </c>
      <c r="C54" s="235">
        <f>((C53*C32)/C46)+((C53*C33)/C47)+((C53*C34)/C48)</f>
        <v>227.2334745731917</v>
      </c>
      <c r="D54" s="235">
        <f t="shared" ref="D54:N54" si="7">((D53*D32)/D46)+((D53*D33)/D47)+((D53*D34)/D48)</f>
        <v>9.2631224056415835</v>
      </c>
      <c r="E54" s="235">
        <f t="shared" si="7"/>
        <v>105.57274020184123</v>
      </c>
      <c r="F54" s="235">
        <f t="shared" si="7"/>
        <v>76.608893593870064</v>
      </c>
      <c r="G54" s="235">
        <f t="shared" si="7"/>
        <v>90.900472088012719</v>
      </c>
      <c r="H54" s="235">
        <f t="shared" si="7"/>
        <v>50.603738077718489</v>
      </c>
      <c r="I54" s="235">
        <f t="shared" si="7"/>
        <v>52.75355326002974</v>
      </c>
      <c r="J54" s="235">
        <f t="shared" si="7"/>
        <v>92.239663363327296</v>
      </c>
      <c r="K54" s="235">
        <f t="shared" si="7"/>
        <v>14.034669024544765</v>
      </c>
      <c r="L54" s="235">
        <f t="shared" si="7"/>
        <v>20.381732161340402</v>
      </c>
      <c r="M54" s="235">
        <f t="shared" si="7"/>
        <v>-43.782395102670414</v>
      </c>
      <c r="N54" s="235">
        <f t="shared" si="7"/>
        <v>88.930540771745896</v>
      </c>
      <c r="S54"/>
      <c r="U54" s="544"/>
      <c r="V54" s="544"/>
      <c r="W54" s="544"/>
      <c r="X54" s="544"/>
      <c r="Y54" s="544"/>
      <c r="Z54" s="544"/>
      <c r="AA54" s="544"/>
      <c r="AB54" s="544"/>
      <c r="AC54" s="544"/>
      <c r="AD54" s="544"/>
      <c r="AE54" s="544"/>
      <c r="AF54" s="544"/>
    </row>
    <row r="55" spans="1:32">
      <c r="A55" s="114"/>
      <c r="S55" s="508"/>
      <c r="U55" s="544"/>
      <c r="V55" s="544"/>
      <c r="W55" s="544"/>
      <c r="X55" s="544"/>
      <c r="Y55" s="544"/>
      <c r="Z55" s="544"/>
      <c r="AA55" s="544"/>
      <c r="AB55" s="544"/>
      <c r="AC55" s="544"/>
      <c r="AD55" s="544"/>
      <c r="AE55" s="544"/>
      <c r="AF55" s="544"/>
    </row>
    <row r="56" spans="1:32" ht="17.399999999999999">
      <c r="A56" s="147" t="s">
        <v>425</v>
      </c>
      <c r="U56" s="548"/>
      <c r="V56" s="548"/>
      <c r="W56" s="548"/>
      <c r="X56" s="548"/>
      <c r="Y56" s="548"/>
      <c r="Z56" s="548"/>
      <c r="AA56" s="548"/>
      <c r="AB56" s="548"/>
      <c r="AC56" s="548"/>
      <c r="AD56" s="548"/>
      <c r="AE56" s="548"/>
      <c r="AF56" s="548"/>
    </row>
    <row r="57" spans="1:32" ht="15.6">
      <c r="A57" s="113"/>
      <c r="B57" s="146" t="str">
        <f>"PRIOR - "&amp;MANUAL!$B$9</f>
        <v>PRIOR - 2016</v>
      </c>
      <c r="C57" s="5"/>
      <c r="D57" s="5"/>
      <c r="E57" s="5"/>
      <c r="F57" s="5"/>
      <c r="G57" s="5"/>
      <c r="H57" s="5"/>
      <c r="I57" s="5"/>
      <c r="J57" s="5"/>
      <c r="K57" s="5"/>
      <c r="L57" s="5"/>
      <c r="M57" s="5"/>
      <c r="N57" s="5"/>
      <c r="U57" s="548"/>
      <c r="V57" s="548"/>
      <c r="W57" s="548"/>
      <c r="X57" s="548"/>
      <c r="Y57" s="548"/>
      <c r="Z57" s="548"/>
      <c r="AA57" s="548"/>
      <c r="AB57" s="548"/>
      <c r="AC57" s="548"/>
      <c r="AD57" s="548"/>
      <c r="AE57" s="548"/>
      <c r="AF57" s="548"/>
    </row>
    <row r="58" spans="1:32" s="12" customFormat="1" ht="15.6">
      <c r="A58" s="111"/>
      <c r="B58" s="149" t="s">
        <v>432</v>
      </c>
      <c r="C58" s="107">
        <f>IF(C13="",0,MIN((+C$27/C$18/C13)+C23,C59))</f>
        <v>2251.0518685554439</v>
      </c>
      <c r="D58" s="107">
        <f t="shared" ref="D58:N58" si="8">IF(D13="",0,MIN((+D$27/D$18/D13)+D23,D59))</f>
        <v>582.67610094439112</v>
      </c>
      <c r="E58" s="107">
        <f t="shared" si="8"/>
        <v>849.49044064471627</v>
      </c>
      <c r="F58" s="107">
        <f t="shared" si="8"/>
        <v>914.2576081615091</v>
      </c>
      <c r="G58" s="107">
        <f t="shared" si="8"/>
        <v>885.74579976256962</v>
      </c>
      <c r="H58" s="107">
        <f t="shared" si="8"/>
        <v>907.61520675409395</v>
      </c>
      <c r="I58" s="107">
        <f t="shared" si="8"/>
        <v>769.95894415100133</v>
      </c>
      <c r="J58" s="107">
        <f t="shared" si="8"/>
        <v>884.02191705643486</v>
      </c>
      <c r="K58" s="107">
        <f t="shared" si="8"/>
        <v>951.10314226898493</v>
      </c>
      <c r="L58" s="107">
        <f t="shared" si="8"/>
        <v>806.92459600701659</v>
      </c>
      <c r="M58" s="107">
        <f t="shared" si="8"/>
        <v>2771.5000170472513</v>
      </c>
      <c r="N58" s="107">
        <f t="shared" si="8"/>
        <v>3014.2623453771062</v>
      </c>
      <c r="P58" s="152">
        <f>AVERAGE(C58:N58)</f>
        <v>1299.0506655608767</v>
      </c>
      <c r="S58" s="509"/>
      <c r="U58" s="548"/>
      <c r="V58" s="548"/>
      <c r="W58" s="548"/>
      <c r="X58" s="548"/>
      <c r="Y58" s="548"/>
      <c r="Z58" s="548"/>
      <c r="AA58" s="548"/>
      <c r="AB58" s="548"/>
      <c r="AC58" s="548"/>
      <c r="AD58" s="548"/>
      <c r="AE58" s="548"/>
      <c r="AF58" s="548"/>
    </row>
    <row r="59" spans="1:32" s="12" customFormat="1" ht="15.6">
      <c r="A59" s="111"/>
      <c r="B59" s="149" t="s">
        <v>430</v>
      </c>
      <c r="C59" s="107">
        <f t="shared" ref="C59:N59" si="9">MIN(+C$27/C$18/C14,C60)</f>
        <v>8297.6842904014884</v>
      </c>
      <c r="D59" s="107">
        <f t="shared" si="9"/>
        <v>10497.86593516348</v>
      </c>
      <c r="E59" s="107">
        <f t="shared" si="9"/>
        <v>11947.682225061662</v>
      </c>
      <c r="F59" s="107">
        <f t="shared" si="9"/>
        <v>9125.2784660495981</v>
      </c>
      <c r="G59" s="107">
        <f t="shared" si="9"/>
        <v>8156.7934097538118</v>
      </c>
      <c r="H59" s="107">
        <f t="shared" si="9"/>
        <v>6759.6130012620179</v>
      </c>
      <c r="I59" s="107">
        <f t="shared" si="9"/>
        <v>5125.2693292779122</v>
      </c>
      <c r="J59" s="107">
        <f t="shared" si="9"/>
        <v>5749.414307933831</v>
      </c>
      <c r="K59" s="107">
        <f t="shared" si="9"/>
        <v>8852.803477330157</v>
      </c>
      <c r="L59" s="107">
        <f t="shared" si="9"/>
        <v>9284.2632553584663</v>
      </c>
      <c r="M59" s="107">
        <f t="shared" si="9"/>
        <v>11177.792921746061</v>
      </c>
      <c r="N59" s="107">
        <f t="shared" si="9"/>
        <v>9309.9459305015025</v>
      </c>
      <c r="P59" s="152">
        <f>AVERAGE(C59:N59)</f>
        <v>8690.3672124866662</v>
      </c>
      <c r="U59" s="548"/>
      <c r="V59" s="548"/>
      <c r="W59" s="548"/>
      <c r="X59" s="548"/>
      <c r="Y59" s="548"/>
      <c r="Z59" s="548"/>
      <c r="AA59" s="548"/>
      <c r="AB59" s="548"/>
      <c r="AC59" s="548"/>
      <c r="AD59" s="548"/>
      <c r="AE59" s="548"/>
      <c r="AF59" s="548"/>
    </row>
    <row r="60" spans="1:32" s="106" customFormat="1">
      <c r="A60" s="109"/>
      <c r="B60" s="149" t="s">
        <v>133</v>
      </c>
      <c r="C60" s="107">
        <f t="shared" ref="C60:N60" si="10">+C$27/C$18/C15</f>
        <v>12106.630658432199</v>
      </c>
      <c r="D60" s="107">
        <f t="shared" si="10"/>
        <v>13566.990337901774</v>
      </c>
      <c r="E60" s="107">
        <f t="shared" si="10"/>
        <v>15043.046684091218</v>
      </c>
      <c r="F60" s="107">
        <f t="shared" si="10"/>
        <v>14276.193879351697</v>
      </c>
      <c r="G60" s="107">
        <f t="shared" si="10"/>
        <v>13896.293991349627</v>
      </c>
      <c r="H60" s="107">
        <f t="shared" si="10"/>
        <v>12165.199549564923</v>
      </c>
      <c r="I60" s="107">
        <f t="shared" si="10"/>
        <v>9455.9282222220281</v>
      </c>
      <c r="J60" s="107">
        <f t="shared" si="10"/>
        <v>10073.238108101292</v>
      </c>
      <c r="K60" s="107">
        <f t="shared" si="10"/>
        <v>14557.445670447492</v>
      </c>
      <c r="L60" s="107">
        <f t="shared" si="10"/>
        <v>12957.09754889002</v>
      </c>
      <c r="M60" s="107">
        <f t="shared" si="10"/>
        <v>15008.292596672609</v>
      </c>
      <c r="N60" s="107">
        <f t="shared" si="10"/>
        <v>14021.329135272987</v>
      </c>
      <c r="P60" s="152">
        <f>AVERAGE(C60:N60)</f>
        <v>13093.973865191487</v>
      </c>
    </row>
    <row r="61" spans="1:32" s="106" customFormat="1" ht="16.5" customHeight="1">
      <c r="A61" s="109"/>
      <c r="B61" s="108"/>
      <c r="C61" s="107"/>
      <c r="D61" s="107"/>
      <c r="E61" s="107"/>
      <c r="F61" s="107"/>
      <c r="G61" s="107"/>
      <c r="H61" s="107"/>
      <c r="I61" s="107"/>
      <c r="J61" s="107"/>
      <c r="K61" s="107"/>
      <c r="L61" s="107"/>
      <c r="M61" s="107"/>
      <c r="N61" s="107"/>
      <c r="T61" s="522"/>
      <c r="U61" s="523"/>
      <c r="V61" s="523"/>
      <c r="W61" s="523"/>
      <c r="X61" s="523"/>
      <c r="Y61" s="523"/>
      <c r="Z61" s="523"/>
      <c r="AA61" s="523"/>
      <c r="AB61" s="523"/>
      <c r="AC61" s="523"/>
      <c r="AD61" s="523"/>
      <c r="AE61" s="523"/>
      <c r="AF61" s="523"/>
    </row>
    <row r="62" spans="1:32" s="106" customFormat="1" ht="16.5" customHeight="1">
      <c r="A62" s="109"/>
      <c r="B62" s="146" t="str">
        <f>"TEST - "&amp;MANUAL!$B$10</f>
        <v>TEST - 2017</v>
      </c>
      <c r="C62" s="107"/>
      <c r="D62" s="107"/>
      <c r="E62" s="107"/>
      <c r="F62" s="107"/>
      <c r="G62" s="107"/>
      <c r="H62" s="107"/>
      <c r="I62" s="107"/>
      <c r="J62" s="107"/>
      <c r="K62" s="107"/>
      <c r="L62" s="107"/>
      <c r="M62" s="107"/>
      <c r="N62" s="107"/>
      <c r="T62" s="206"/>
      <c r="U62" s="523"/>
      <c r="V62" s="523"/>
      <c r="W62" s="523"/>
      <c r="X62" s="523"/>
      <c r="Y62" s="523"/>
      <c r="Z62" s="523"/>
      <c r="AA62" s="523"/>
      <c r="AB62" s="523"/>
      <c r="AC62" s="523"/>
      <c r="AD62" s="523"/>
      <c r="AE62" s="523"/>
      <c r="AF62" s="523"/>
    </row>
    <row r="63" spans="1:32" s="106" customFormat="1" ht="16.5" customHeight="1">
      <c r="A63" s="109"/>
      <c r="B63" s="149" t="s">
        <v>432</v>
      </c>
      <c r="C63" s="107">
        <f>C39+C44</f>
        <v>2434.9177674053576</v>
      </c>
      <c r="D63" s="107">
        <f>D39+D44</f>
        <v>596.38358712346064</v>
      </c>
      <c r="E63" s="107">
        <f t="shared" ref="E63:N63" si="11">E39+E44</f>
        <v>936.19886833619989</v>
      </c>
      <c r="F63" s="107">
        <f t="shared" si="11"/>
        <v>984.98678523120191</v>
      </c>
      <c r="G63" s="107">
        <f t="shared" si="11"/>
        <v>950.52470366677721</v>
      </c>
      <c r="H63" s="107">
        <f t="shared" si="11"/>
        <v>938.22790036790718</v>
      </c>
      <c r="I63" s="107">
        <f t="shared" si="11"/>
        <v>805.49187546696589</v>
      </c>
      <c r="J63" s="107">
        <f t="shared" si="11"/>
        <v>958.60115186981579</v>
      </c>
      <c r="K63" s="107">
        <f t="shared" si="11"/>
        <v>941.04252046484748</v>
      </c>
      <c r="L63" s="107">
        <f t="shared" si="11"/>
        <v>812.8098036272105</v>
      </c>
      <c r="M63" s="107">
        <f t="shared" si="11"/>
        <v>2664.6745134017392</v>
      </c>
      <c r="N63" s="107">
        <f t="shared" si="11"/>
        <v>3062.8612562171766</v>
      </c>
      <c r="P63" s="152">
        <f>AVERAGE(C63:N63)</f>
        <v>1340.5600610982217</v>
      </c>
      <c r="T63" s="206"/>
      <c r="U63" s="523"/>
      <c r="V63" s="523"/>
      <c r="W63" s="523"/>
      <c r="X63" s="523"/>
      <c r="Y63" s="523"/>
      <c r="Z63" s="523"/>
      <c r="AA63" s="523"/>
      <c r="AB63" s="523"/>
      <c r="AC63" s="523"/>
      <c r="AD63" s="523"/>
      <c r="AE63" s="523"/>
      <c r="AF63" s="523"/>
    </row>
    <row r="64" spans="1:32" s="106" customFormat="1" ht="16.5" customHeight="1">
      <c r="A64" s="109"/>
      <c r="B64" s="149" t="s">
        <v>430</v>
      </c>
      <c r="C64" s="107">
        <f>MAX(+C$28/C$19/C14,C63)</f>
        <v>8218.5706292996947</v>
      </c>
      <c r="D64" s="107">
        <f>MAX(+D$28/D$19/D14,D63)</f>
        <v>10671.343011832641</v>
      </c>
      <c r="E64" s="107">
        <f t="shared" ref="D64:N65" si="12">MAX(+E$28/E$19/E14,E63)</f>
        <v>11767.813135979159</v>
      </c>
      <c r="F64" s="107">
        <f t="shared" si="12"/>
        <v>9102.4431259170797</v>
      </c>
      <c r="G64" s="107">
        <f t="shared" si="12"/>
        <v>7955.8681426633748</v>
      </c>
      <c r="H64" s="107">
        <f t="shared" si="12"/>
        <v>6645.0564150122536</v>
      </c>
      <c r="I64" s="107">
        <f t="shared" si="12"/>
        <v>5039.8283026899926</v>
      </c>
      <c r="J64" s="107">
        <f t="shared" si="12"/>
        <v>5681.5215009666026</v>
      </c>
      <c r="K64" s="107">
        <f t="shared" si="12"/>
        <v>8677.8369226822088</v>
      </c>
      <c r="L64" s="107">
        <f t="shared" si="12"/>
        <v>9169.4264582359356</v>
      </c>
      <c r="M64" s="107">
        <f t="shared" si="12"/>
        <v>10974.528980033554</v>
      </c>
      <c r="N64" s="107">
        <f t="shared" si="12"/>
        <v>9220.191465441023</v>
      </c>
      <c r="P64" s="152">
        <f>AVERAGE(C64:N64)</f>
        <v>8593.7023408961268</v>
      </c>
      <c r="T64" s="206"/>
      <c r="U64" s="523"/>
      <c r="V64" s="523"/>
      <c r="W64" s="523"/>
      <c r="X64" s="523"/>
      <c r="Y64" s="523"/>
      <c r="Z64" s="523"/>
      <c r="AA64" s="523"/>
      <c r="AB64" s="523"/>
      <c r="AC64" s="523"/>
      <c r="AD64" s="523"/>
      <c r="AE64" s="523"/>
      <c r="AF64" s="523"/>
    </row>
    <row r="65" spans="1:32" s="106" customFormat="1" ht="16.5" customHeight="1">
      <c r="A65" s="109"/>
      <c r="B65" s="149" t="s">
        <v>133</v>
      </c>
      <c r="C65" s="107">
        <f>MAX(+C$28/C$19/C15,C64)</f>
        <v>11991.200878089297</v>
      </c>
      <c r="D65" s="107">
        <f t="shared" si="12"/>
        <v>13791.184649160266</v>
      </c>
      <c r="E65" s="107">
        <f t="shared" si="12"/>
        <v>14816.577729433437</v>
      </c>
      <c r="F65" s="107">
        <f t="shared" si="12"/>
        <v>14240.468751154714</v>
      </c>
      <c r="G65" s="107">
        <f t="shared" si="12"/>
        <v>13553.988327650901</v>
      </c>
      <c r="H65" s="107">
        <f t="shared" si="12"/>
        <v>11959.033348750592</v>
      </c>
      <c r="I65" s="107">
        <f t="shared" si="12"/>
        <v>9298.2927570898646</v>
      </c>
      <c r="J65" s="107">
        <f t="shared" si="12"/>
        <v>9954.2867899705889</v>
      </c>
      <c r="K65" s="107">
        <f t="shared" si="12"/>
        <v>14269.732730704134</v>
      </c>
      <c r="L65" s="107">
        <f t="shared" si="12"/>
        <v>12796.831565301076</v>
      </c>
      <c r="M65" s="107">
        <f t="shared" si="12"/>
        <v>14735.372465397017</v>
      </c>
      <c r="N65" s="107">
        <f t="shared" si="12"/>
        <v>13886.153603066048</v>
      </c>
      <c r="P65" s="152">
        <f>AVERAGE(C65:N65)</f>
        <v>12941.093632980663</v>
      </c>
      <c r="T65" s="206"/>
      <c r="U65" s="523"/>
      <c r="V65" s="523"/>
      <c r="W65" s="523"/>
      <c r="X65" s="523"/>
      <c r="Y65" s="523"/>
      <c r="Z65" s="523"/>
      <c r="AA65" s="523"/>
      <c r="AB65" s="523"/>
      <c r="AC65" s="523"/>
      <c r="AD65" s="523"/>
      <c r="AE65" s="523"/>
      <c r="AF65" s="523"/>
    </row>
    <row r="66" spans="1:32" s="106" customFormat="1" ht="16.5" customHeight="1">
      <c r="A66" s="109"/>
      <c r="B66" s="149" t="s">
        <v>158</v>
      </c>
      <c r="C66" s="499">
        <f>IFERROR(C28/C19/C63,0)</f>
        <v>0.47916601304895062</v>
      </c>
      <c r="D66" s="499">
        <f t="shared" ref="D66:N66" si="13">IFERROR(D28/D19/D63,0)</f>
        <v>2.4467738638612864</v>
      </c>
      <c r="E66" s="499">
        <f t="shared" si="13"/>
        <v>1.5092458972807266</v>
      </c>
      <c r="F66" s="499">
        <f t="shared" si="13"/>
        <v>1.2809492213232054</v>
      </c>
      <c r="G66" s="499">
        <f t="shared" si="13"/>
        <v>1.2175759525668259</v>
      </c>
      <c r="H66" s="499">
        <f t="shared" si="13"/>
        <v>1.2194294982371991</v>
      </c>
      <c r="I66" s="499">
        <f t="shared" si="13"/>
        <v>1.1920519638840097</v>
      </c>
      <c r="J66" s="499">
        <f t="shared" si="13"/>
        <v>1.0101426676177074</v>
      </c>
      <c r="K66" s="499">
        <f t="shared" si="13"/>
        <v>1.3412547789597209</v>
      </c>
      <c r="L66" s="499">
        <f t="shared" si="13"/>
        <v>1.5485427135694485</v>
      </c>
      <c r="M66" s="499">
        <f t="shared" si="13"/>
        <v>0.56077778740419526</v>
      </c>
      <c r="N66" s="499">
        <f t="shared" si="13"/>
        <v>0.41437508294589942</v>
      </c>
      <c r="P66" s="152"/>
      <c r="T66" s="206"/>
      <c r="U66" s="524"/>
      <c r="V66" s="524"/>
      <c r="W66" s="524"/>
      <c r="X66" s="524"/>
      <c r="Y66" s="524"/>
      <c r="Z66" s="524"/>
      <c r="AA66" s="524"/>
      <c r="AB66" s="524"/>
      <c r="AC66" s="524"/>
      <c r="AD66" s="524"/>
      <c r="AE66" s="524"/>
      <c r="AF66" s="524"/>
    </row>
    <row r="67" spans="1:32" s="106" customFormat="1" ht="16.5" customHeight="1">
      <c r="A67" s="109"/>
      <c r="B67" s="149" t="s">
        <v>988</v>
      </c>
      <c r="C67" s="499">
        <f>C28/C19/C64</f>
        <v>0.14196262237501686</v>
      </c>
      <c r="D67" s="499">
        <f t="shared" ref="D67:N67" si="14">D28/D19/D64</f>
        <v>0.13674153030143538</v>
      </c>
      <c r="E67" s="499">
        <f t="shared" si="14"/>
        <v>0.12006940327385661</v>
      </c>
      <c r="F67" s="499">
        <f t="shared" si="14"/>
        <v>0.13861312156547381</v>
      </c>
      <c r="G67" s="499">
        <f t="shared" si="14"/>
        <v>0.14546948249420541</v>
      </c>
      <c r="H67" s="499">
        <f t="shared" si="14"/>
        <v>0.17217352364278884</v>
      </c>
      <c r="I67" s="499">
        <f t="shared" si="14"/>
        <v>0.19052001663043033</v>
      </c>
      <c r="J67" s="499">
        <f t="shared" si="14"/>
        <v>0.17043391010074344</v>
      </c>
      <c r="K67" s="499">
        <f t="shared" si="14"/>
        <v>0.14544843248652045</v>
      </c>
      <c r="L67" s="499">
        <f t="shared" si="14"/>
        <v>0.13726820370473652</v>
      </c>
      <c r="M67" s="499">
        <f t="shared" si="14"/>
        <v>0.13615985528822297</v>
      </c>
      <c r="N67" s="499">
        <f t="shared" si="14"/>
        <v>0.13765152186414675</v>
      </c>
      <c r="P67" s="152"/>
      <c r="T67" s="206"/>
      <c r="U67" s="524"/>
      <c r="V67" s="524"/>
      <c r="W67" s="524"/>
      <c r="X67" s="524"/>
      <c r="Y67" s="524"/>
      <c r="Z67" s="524"/>
      <c r="AA67" s="524"/>
      <c r="AB67" s="524"/>
      <c r="AC67" s="524"/>
      <c r="AD67" s="524"/>
      <c r="AE67" s="524"/>
      <c r="AF67" s="524"/>
    </row>
    <row r="68" spans="1:32" s="106" customFormat="1" ht="16.5" customHeight="1">
      <c r="A68" s="109"/>
      <c r="B68" s="149" t="s">
        <v>150</v>
      </c>
      <c r="C68" s="499">
        <f>C28/C19/C65</f>
        <v>9.7298831916123027E-2</v>
      </c>
      <c r="D68" s="499">
        <f t="shared" ref="D68:N68" si="15">D28/D19/D65</f>
        <v>0.10580786284362992</v>
      </c>
      <c r="E68" s="499">
        <f t="shared" si="15"/>
        <v>9.536306742874949E-2</v>
      </c>
      <c r="F68" s="499">
        <f t="shared" si="15"/>
        <v>8.8600879479704409E-2</v>
      </c>
      <c r="G68" s="499">
        <f t="shared" si="15"/>
        <v>8.5387119534723624E-2</v>
      </c>
      <c r="H68" s="499">
        <f t="shared" si="15"/>
        <v>9.5668499653218775E-2</v>
      </c>
      <c r="I68" s="499">
        <f t="shared" si="15"/>
        <v>0.10326499682545229</v>
      </c>
      <c r="J68" s="499">
        <f t="shared" si="15"/>
        <v>9.7277077219315666E-2</v>
      </c>
      <c r="K68" s="499">
        <f t="shared" si="15"/>
        <v>8.8451395803787844E-2</v>
      </c>
      <c r="L68" s="499">
        <f t="shared" si="15"/>
        <v>9.8357995297652254E-2</v>
      </c>
      <c r="M68" s="499">
        <f t="shared" si="15"/>
        <v>0.10140838185711358</v>
      </c>
      <c r="N68" s="499">
        <f t="shared" si="15"/>
        <v>9.1398483941337219E-2</v>
      </c>
      <c r="P68" s="152"/>
      <c r="T68" s="206"/>
      <c r="U68" s="524"/>
      <c r="V68" s="524"/>
      <c r="W68" s="524"/>
      <c r="X68" s="524"/>
      <c r="Y68" s="524"/>
      <c r="Z68" s="524"/>
      <c r="AA68" s="524"/>
      <c r="AB68" s="524"/>
      <c r="AC68" s="524"/>
      <c r="AD68" s="524"/>
      <c r="AE68" s="524"/>
      <c r="AF68" s="524"/>
    </row>
    <row r="69" spans="1:32" s="106" customFormat="1" ht="16.5" customHeight="1">
      <c r="A69" s="109"/>
      <c r="B69" s="108"/>
      <c r="C69" s="107"/>
      <c r="D69" s="107"/>
      <c r="E69" s="107"/>
      <c r="F69" s="107"/>
      <c r="G69" s="107"/>
      <c r="H69" s="107"/>
      <c r="I69" s="107"/>
      <c r="J69" s="107"/>
      <c r="K69" s="107"/>
      <c r="L69" s="107"/>
      <c r="M69" s="107"/>
      <c r="N69" s="107"/>
      <c r="T69" s="206"/>
      <c r="U69" s="523"/>
      <c r="V69" s="523"/>
      <c r="W69" s="523"/>
      <c r="X69" s="523"/>
      <c r="Y69" s="523"/>
      <c r="Z69" s="523"/>
      <c r="AA69" s="523"/>
      <c r="AB69" s="523"/>
      <c r="AC69" s="523"/>
      <c r="AD69" s="523"/>
      <c r="AE69" s="523"/>
      <c r="AF69" s="523"/>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row>
    <row r="71" spans="1:32" s="106" customFormat="1" ht="16.5" customHeight="1">
      <c r="A71" s="109"/>
      <c r="B71" s="149" t="s">
        <v>432</v>
      </c>
      <c r="C71" s="107">
        <f>C49+C54</f>
        <v>2456.3528167616623</v>
      </c>
      <c r="D71" s="107">
        <f t="shared" ref="D71:N71" si="16">D49+D54</f>
        <v>604.1688781476746</v>
      </c>
      <c r="E71" s="107">
        <f t="shared" si="16"/>
        <v>944.45276821490859</v>
      </c>
      <c r="F71" s="107">
        <f t="shared" si="16"/>
        <v>985.1573860512359</v>
      </c>
      <c r="G71" s="107">
        <f t="shared" si="16"/>
        <v>961.362510372629</v>
      </c>
      <c r="H71" s="107">
        <f t="shared" si="16"/>
        <v>946.02830314816902</v>
      </c>
      <c r="I71" s="107">
        <f t="shared" si="16"/>
        <v>812.47663284751911</v>
      </c>
      <c r="J71" s="107">
        <f t="shared" si="16"/>
        <v>966.6482443452652</v>
      </c>
      <c r="K71" s="107">
        <f t="shared" si="16"/>
        <v>951.02962729381125</v>
      </c>
      <c r="L71" s="107">
        <f t="shared" si="16"/>
        <v>818.30588149386813</v>
      </c>
      <c r="M71" s="107">
        <f t="shared" si="16"/>
        <v>2688.7861774663033</v>
      </c>
      <c r="N71" s="107">
        <f t="shared" si="16"/>
        <v>3073.662215580418</v>
      </c>
      <c r="O71" s="145"/>
      <c r="P71" s="152">
        <f>AVERAGE(C71:N71)</f>
        <v>1350.7026201436222</v>
      </c>
      <c r="T71" s="522"/>
      <c r="U71" s="523"/>
      <c r="V71" s="523"/>
      <c r="W71" s="523"/>
      <c r="X71" s="523"/>
      <c r="Y71" s="523"/>
      <c r="Z71" s="523"/>
      <c r="AA71" s="523"/>
      <c r="AB71" s="523"/>
      <c r="AC71" s="523"/>
      <c r="AD71" s="523"/>
      <c r="AE71" s="523"/>
      <c r="AF71" s="523"/>
    </row>
    <row r="72" spans="1:32" s="106" customFormat="1" ht="16.5" customHeight="1">
      <c r="A72" s="109"/>
      <c r="B72" s="149" t="s">
        <v>430</v>
      </c>
      <c r="C72" s="107">
        <f>MAX(+C$29/C$14/C20,C71)</f>
        <v>8216.8380060371746</v>
      </c>
      <c r="D72" s="107">
        <f t="shared" ref="D72:N72" si="17">MAX(+D$29/D$14/D20,D71)</f>
        <v>10718.203231117248</v>
      </c>
      <c r="E72" s="107">
        <f t="shared" si="17"/>
        <v>11798.451777802586</v>
      </c>
      <c r="F72" s="107">
        <f t="shared" si="17"/>
        <v>9068.2953246131638</v>
      </c>
      <c r="G72" s="107">
        <f t="shared" si="17"/>
        <v>8016.0459346508678</v>
      </c>
      <c r="H72" s="107">
        <f t="shared" si="17"/>
        <v>6668.8211994000994</v>
      </c>
      <c r="I72" s="107">
        <f t="shared" si="17"/>
        <v>5057.1337967218778</v>
      </c>
      <c r="J72" s="107">
        <f t="shared" si="17"/>
        <v>5686.8920436015987</v>
      </c>
      <c r="K72" s="107">
        <f t="shared" si="17"/>
        <v>8721.4854584730601</v>
      </c>
      <c r="L72" s="107">
        <f t="shared" si="17"/>
        <v>9180.7064710501545</v>
      </c>
      <c r="M72" s="107">
        <f t="shared" si="17"/>
        <v>11020.777723533552</v>
      </c>
      <c r="N72" s="107">
        <f t="shared" si="17"/>
        <v>9218.7365682158252</v>
      </c>
      <c r="O72" s="107"/>
      <c r="P72" s="152">
        <f>AVERAGE(C72:N72)</f>
        <v>8614.3656279347688</v>
      </c>
      <c r="T72" s="206"/>
      <c r="U72" s="523"/>
      <c r="V72" s="523"/>
      <c r="W72" s="523"/>
      <c r="X72" s="523"/>
      <c r="Y72" s="523"/>
      <c r="Z72" s="523"/>
      <c r="AA72" s="523"/>
      <c r="AB72" s="523"/>
      <c r="AC72" s="523"/>
      <c r="AD72" s="523"/>
      <c r="AE72" s="523"/>
      <c r="AF72" s="523"/>
    </row>
    <row r="73" spans="1:32" s="106" customFormat="1" ht="16.5" customHeight="1">
      <c r="A73" s="109"/>
      <c r="B73" s="149" t="s">
        <v>133</v>
      </c>
      <c r="C73" s="107">
        <f>MAX(+C$29/C$15/C20,C72)</f>
        <v>11988.672916169391</v>
      </c>
      <c r="D73" s="107">
        <f t="shared" ref="D73:N73" si="18">MAX(+D$29/D$15/D20,D72)</f>
        <v>13851.744780732981</v>
      </c>
      <c r="E73" s="107">
        <f t="shared" si="18"/>
        <v>14855.154125307121</v>
      </c>
      <c r="F73" s="107">
        <f t="shared" si="18"/>
        <v>14187.045654667081</v>
      </c>
      <c r="G73" s="107">
        <f t="shared" si="18"/>
        <v>13656.510023027973</v>
      </c>
      <c r="H73" s="107">
        <f t="shared" si="18"/>
        <v>12001.802564129723</v>
      </c>
      <c r="I73" s="107">
        <f t="shared" si="18"/>
        <v>9330.2207395825717</v>
      </c>
      <c r="J73" s="107">
        <f t="shared" si="18"/>
        <v>9963.6962274949237</v>
      </c>
      <c r="K73" s="107">
        <f t="shared" si="18"/>
        <v>14341.507868376289</v>
      </c>
      <c r="L73" s="107">
        <f t="shared" si="18"/>
        <v>12812.573926581301</v>
      </c>
      <c r="M73" s="107">
        <f t="shared" si="18"/>
        <v>14797.470115580363</v>
      </c>
      <c r="N73" s="107">
        <f t="shared" si="18"/>
        <v>13883.962441806383</v>
      </c>
      <c r="O73" s="107"/>
      <c r="P73" s="152">
        <f>AVERAGE(C73:N73)</f>
        <v>12972.530115288007</v>
      </c>
      <c r="T73" s="206"/>
      <c r="U73" s="523"/>
      <c r="V73" s="523"/>
      <c r="W73" s="523"/>
      <c r="X73" s="523"/>
      <c r="Y73" s="523"/>
      <c r="Z73" s="523"/>
      <c r="AA73" s="523"/>
      <c r="AB73" s="523"/>
      <c r="AC73" s="523"/>
      <c r="AD73" s="523"/>
      <c r="AE73" s="523"/>
      <c r="AF73" s="523"/>
    </row>
    <row r="74" spans="1:32" s="106" customFormat="1" ht="16.5" customHeight="1">
      <c r="A74" s="109"/>
      <c r="B74" s="149" t="s">
        <v>158</v>
      </c>
      <c r="C74" s="499">
        <f>IFERROR(C29/C20/C71,0)</f>
        <v>0.47488449664392196</v>
      </c>
      <c r="D74" s="499">
        <f t="shared" ref="D74:N74" si="19">IFERROR(D29/D20/D71,0)</f>
        <v>2.4258507263701281</v>
      </c>
      <c r="E74" s="499">
        <f t="shared" si="19"/>
        <v>1.4999512015764209</v>
      </c>
      <c r="F74" s="499">
        <f t="shared" si="19"/>
        <v>1.2759227510444195</v>
      </c>
      <c r="G74" s="499">
        <f t="shared" si="19"/>
        <v>1.2129556137064867</v>
      </c>
      <c r="H74" s="499">
        <f t="shared" si="19"/>
        <v>1.2136998868041389</v>
      </c>
      <c r="I74" s="499">
        <f t="shared" si="19"/>
        <v>1.1858620618749349</v>
      </c>
      <c r="J74" s="499">
        <f t="shared" si="19"/>
        <v>1.0026803989783457</v>
      </c>
      <c r="K74" s="499">
        <f t="shared" si="19"/>
        <v>1.3338452898660225</v>
      </c>
      <c r="L74" s="499">
        <f t="shared" si="19"/>
        <v>1.5400342518874448</v>
      </c>
      <c r="M74" s="499">
        <f t="shared" si="19"/>
        <v>0.55809104962523781</v>
      </c>
      <c r="N74" s="499">
        <f t="shared" si="19"/>
        <v>0.41285379761222141</v>
      </c>
      <c r="O74" s="107"/>
      <c r="P74" s="152"/>
      <c r="T74" s="206"/>
      <c r="U74" s="523"/>
      <c r="V74" s="523"/>
      <c r="W74" s="523"/>
      <c r="X74" s="523"/>
      <c r="Y74" s="523"/>
      <c r="Z74" s="523"/>
      <c r="AA74" s="523"/>
      <c r="AB74" s="523"/>
      <c r="AC74" s="523"/>
      <c r="AD74" s="523"/>
      <c r="AE74" s="523"/>
      <c r="AF74" s="523"/>
    </row>
    <row r="75" spans="1:32" s="106" customFormat="1" ht="16.5" customHeight="1">
      <c r="A75" s="109"/>
      <c r="B75" s="149" t="s">
        <v>988</v>
      </c>
      <c r="C75" s="499">
        <f>C29/C20/C72</f>
        <v>0.14196262237501686</v>
      </c>
      <c r="D75" s="499">
        <f t="shared" ref="D75:N75" si="20">D29/D20/D72</f>
        <v>0.1367415303014354</v>
      </c>
      <c r="E75" s="499">
        <f t="shared" si="20"/>
        <v>0.12006940327385661</v>
      </c>
      <c r="F75" s="499">
        <f t="shared" si="20"/>
        <v>0.13861312156547381</v>
      </c>
      <c r="G75" s="499">
        <f t="shared" si="20"/>
        <v>0.14546948249420541</v>
      </c>
      <c r="H75" s="499">
        <f t="shared" si="20"/>
        <v>0.17217352364278882</v>
      </c>
      <c r="I75" s="499">
        <f t="shared" si="20"/>
        <v>0.19052001663043033</v>
      </c>
      <c r="J75" s="499">
        <f t="shared" si="20"/>
        <v>0.17043391010074344</v>
      </c>
      <c r="K75" s="499">
        <f t="shared" si="20"/>
        <v>0.14544843248652048</v>
      </c>
      <c r="L75" s="499">
        <f t="shared" si="20"/>
        <v>0.13726820370473652</v>
      </c>
      <c r="M75" s="499">
        <f t="shared" si="20"/>
        <v>0.136159855288223</v>
      </c>
      <c r="N75" s="499">
        <f t="shared" si="20"/>
        <v>0.13765152186414675</v>
      </c>
      <c r="O75" s="107"/>
      <c r="P75" s="152"/>
      <c r="T75" s="206"/>
      <c r="U75" s="555"/>
      <c r="V75" s="555"/>
      <c r="W75" s="555"/>
      <c r="X75" s="555"/>
      <c r="Y75" s="555"/>
      <c r="Z75" s="555"/>
      <c r="AA75" s="555"/>
      <c r="AB75" s="555"/>
      <c r="AC75" s="555"/>
      <c r="AD75" s="555"/>
      <c r="AE75" s="555"/>
      <c r="AF75" s="555"/>
    </row>
    <row r="76" spans="1:32" s="106" customFormat="1" ht="16.5" customHeight="1">
      <c r="A76" s="109"/>
      <c r="B76" s="149" t="s">
        <v>150</v>
      </c>
      <c r="C76" s="499">
        <f>C29/C20/C73</f>
        <v>9.7298831916123013E-2</v>
      </c>
      <c r="D76" s="499">
        <f t="shared" ref="D76:N76" si="21">D29/D20/D73</f>
        <v>0.10580786284362993</v>
      </c>
      <c r="E76" s="499">
        <f t="shared" si="21"/>
        <v>9.536306742874949E-2</v>
      </c>
      <c r="F76" s="499">
        <f t="shared" si="21"/>
        <v>8.8600879479704409E-2</v>
      </c>
      <c r="G76" s="499">
        <f t="shared" si="21"/>
        <v>8.5387119534723624E-2</v>
      </c>
      <c r="H76" s="499">
        <f t="shared" si="21"/>
        <v>9.5668499653218761E-2</v>
      </c>
      <c r="I76" s="499">
        <f t="shared" si="21"/>
        <v>0.1032649968254523</v>
      </c>
      <c r="J76" s="499">
        <f t="shared" si="21"/>
        <v>9.727707721931568E-2</v>
      </c>
      <c r="K76" s="499">
        <f t="shared" si="21"/>
        <v>8.8451395803787844E-2</v>
      </c>
      <c r="L76" s="499">
        <f t="shared" si="21"/>
        <v>9.835799529765224E-2</v>
      </c>
      <c r="M76" s="499">
        <f t="shared" si="21"/>
        <v>0.10140838185711358</v>
      </c>
      <c r="N76" s="499">
        <f t="shared" si="21"/>
        <v>9.1398483941337233E-2</v>
      </c>
      <c r="O76" s="107"/>
      <c r="P76" s="152"/>
      <c r="T76" s="206"/>
      <c r="U76" s="555"/>
      <c r="V76" s="555"/>
      <c r="W76" s="555"/>
      <c r="X76" s="555"/>
      <c r="Y76" s="555"/>
      <c r="Z76" s="555"/>
      <c r="AA76" s="555"/>
      <c r="AB76" s="555"/>
      <c r="AC76" s="555"/>
      <c r="AD76" s="555"/>
      <c r="AE76" s="555"/>
      <c r="AF76" s="555"/>
    </row>
    <row r="77" spans="1:32" s="106" customFormat="1" ht="16.5" customHeight="1">
      <c r="A77" s="109"/>
      <c r="B77" s="108"/>
      <c r="C77" s="107"/>
      <c r="D77" s="107"/>
      <c r="E77" s="107"/>
      <c r="F77" s="107"/>
      <c r="G77" s="107"/>
      <c r="H77" s="107"/>
      <c r="I77" s="107"/>
      <c r="J77" s="107"/>
      <c r="K77" s="107"/>
      <c r="L77" s="107"/>
      <c r="M77" s="107"/>
      <c r="N77" s="107"/>
      <c r="T77" s="206"/>
      <c r="U77" s="555"/>
      <c r="V77" s="555"/>
      <c r="W77" s="555"/>
      <c r="X77" s="555"/>
      <c r="Y77" s="555"/>
      <c r="Z77" s="555"/>
      <c r="AA77" s="555"/>
      <c r="AB77" s="555"/>
      <c r="AC77" s="555"/>
      <c r="AD77" s="555"/>
      <c r="AE77" s="555"/>
      <c r="AF77" s="555"/>
    </row>
    <row r="78" spans="1:32" ht="13.2">
      <c r="A78" s="42" t="s">
        <v>116</v>
      </c>
      <c r="C78" s="105"/>
      <c r="T78" s="206"/>
      <c r="U78" s="523"/>
      <c r="V78" s="523"/>
      <c r="W78" s="523"/>
      <c r="X78" s="523"/>
      <c r="Y78" s="523"/>
      <c r="Z78" s="523"/>
      <c r="AA78" s="523"/>
      <c r="AB78" s="523"/>
      <c r="AC78" s="523"/>
      <c r="AD78" s="523"/>
      <c r="AE78" s="523"/>
      <c r="AF78" s="523"/>
    </row>
    <row r="79" spans="1:32" ht="13.2">
      <c r="A79"/>
      <c r="B79" s="10" t="s">
        <v>338</v>
      </c>
      <c r="C79" s="105"/>
      <c r="D79" s="105"/>
      <c r="E79" s="105"/>
      <c r="F79" s="105"/>
      <c r="G79" s="105"/>
      <c r="H79" s="105"/>
      <c r="I79" s="105"/>
      <c r="J79" s="105"/>
      <c r="K79" s="105"/>
      <c r="L79" s="105"/>
      <c r="M79" s="105"/>
      <c r="N79" s="105"/>
      <c r="T79" s="206"/>
      <c r="U79" s="523"/>
      <c r="V79" s="523"/>
      <c r="W79" s="523"/>
      <c r="X79" s="523"/>
      <c r="Y79" s="523"/>
      <c r="Z79" s="523"/>
      <c r="AA79" s="523"/>
      <c r="AB79" s="523"/>
      <c r="AC79" s="523"/>
      <c r="AD79" s="523"/>
      <c r="AE79" s="523"/>
      <c r="AF79" s="523"/>
    </row>
    <row r="80" spans="1:32" ht="13.2">
      <c r="A80"/>
      <c r="B80" s="81" t="s">
        <v>426</v>
      </c>
    </row>
    <row r="81" spans="1:32" ht="13.2">
      <c r="A81"/>
      <c r="B81" s="125" t="s">
        <v>431</v>
      </c>
      <c r="C81" s="104"/>
      <c r="U81" s="44"/>
      <c r="V81" s="44"/>
      <c r="W81" s="44"/>
      <c r="X81" s="44"/>
      <c r="Y81" s="44"/>
      <c r="Z81" s="44"/>
      <c r="AA81" s="44"/>
      <c r="AB81" s="44"/>
      <c r="AC81" s="44"/>
      <c r="AD81" s="44"/>
      <c r="AE81" s="44"/>
      <c r="AF81" s="44"/>
    </row>
    <row r="82" spans="1:32" ht="13.2">
      <c r="A82"/>
      <c r="B82" s="153" t="s">
        <v>435</v>
      </c>
      <c r="E82" s="88"/>
      <c r="U82" s="536"/>
      <c r="V82" s="536"/>
      <c r="W82" s="536"/>
      <c r="X82" s="536"/>
      <c r="Y82" s="536"/>
      <c r="Z82" s="536"/>
      <c r="AA82" s="536"/>
      <c r="AB82" s="536"/>
      <c r="AC82" s="536"/>
      <c r="AD82" s="536"/>
      <c r="AE82" s="536"/>
      <c r="AF82" s="536"/>
    </row>
    <row r="83" spans="1:32" ht="13.2">
      <c r="A83"/>
      <c r="B83" t="s">
        <v>433</v>
      </c>
      <c r="C83" s="98"/>
      <c r="D83" s="98"/>
      <c r="E83" s="98"/>
      <c r="F83" s="98"/>
      <c r="G83" s="98"/>
      <c r="H83" s="98"/>
      <c r="I83" s="98"/>
      <c r="J83" s="98"/>
      <c r="K83" s="98"/>
      <c r="L83" s="98"/>
      <c r="M83" s="98"/>
      <c r="N83" s="98"/>
      <c r="U83" s="536"/>
      <c r="V83" s="536"/>
      <c r="W83" s="536"/>
      <c r="X83" s="536"/>
      <c r="Y83" s="536"/>
      <c r="Z83" s="536"/>
      <c r="AA83" s="536"/>
      <c r="AB83" s="536"/>
      <c r="AC83" s="536"/>
      <c r="AD83" s="536"/>
      <c r="AE83" s="536"/>
      <c r="AF83" s="536"/>
    </row>
    <row r="84" spans="1:32">
      <c r="U84" s="536"/>
      <c r="V84" s="536"/>
      <c r="W84" s="536"/>
      <c r="X84" s="536"/>
      <c r="Y84" s="536"/>
      <c r="Z84" s="536"/>
      <c r="AA84" s="536"/>
      <c r="AB84" s="536"/>
      <c r="AC84" s="536"/>
      <c r="AD84" s="536"/>
      <c r="AE84" s="536"/>
      <c r="AF84" s="536"/>
    </row>
    <row r="85" spans="1:32" ht="409.6">
      <c r="U85" s="536"/>
      <c r="V85" s="536"/>
      <c r="W85" s="536"/>
      <c r="X85" s="536"/>
      <c r="Y85" s="536"/>
      <c r="Z85" s="536"/>
      <c r="AA85" s="536"/>
      <c r="AB85" s="536"/>
      <c r="AC85" s="536"/>
      <c r="AD85" s="536"/>
      <c r="AE85" s="536"/>
      <c r="AF85" s="536"/>
    </row>
    <row r="86" spans="1:32">
      <c r="U86" s="536"/>
      <c r="V86" s="536"/>
      <c r="W86" s="536"/>
      <c r="X86" s="536"/>
      <c r="Y86" s="536"/>
      <c r="Z86" s="536"/>
      <c r="AA86" s="536"/>
      <c r="AB86" s="536"/>
      <c r="AC86" s="536"/>
      <c r="AD86" s="536"/>
      <c r="AE86" s="536"/>
      <c r="AF86" s="536"/>
    </row>
    <row r="87" spans="1:32">
      <c r="U87" s="536"/>
      <c r="V87" s="536"/>
      <c r="W87" s="536"/>
      <c r="X87" s="536"/>
      <c r="Y87" s="536"/>
      <c r="Z87" s="536"/>
      <c r="AA87" s="536"/>
      <c r="AB87" s="536"/>
      <c r="AC87" s="536"/>
      <c r="AD87" s="536"/>
      <c r="AE87" s="536"/>
      <c r="AF87" s="536"/>
    </row>
    <row r="89" spans="1:32">
      <c r="G89" s="145"/>
    </row>
    <row r="90" spans="1:32" ht="409.6">
      <c r="G90" s="44"/>
    </row>
    <row r="92" spans="1:32">
      <c r="G92" s="150"/>
    </row>
  </sheetData>
  <mergeCells count="3">
    <mergeCell ref="C7:E7"/>
    <mergeCell ref="F7:L7"/>
    <mergeCell ref="M7:N7"/>
  </mergeCells>
  <conditionalFormatting sqref="C59:N59">
    <cfRule type="cellIs" dxfId="127" priority="10" operator="greaterThanOrEqual">
      <formula>C60</formula>
    </cfRule>
  </conditionalFormatting>
  <conditionalFormatting sqref="C58:N58">
    <cfRule type="cellIs" dxfId="126" priority="8" operator="greaterThanOrEqual">
      <formula>C59</formula>
    </cfRule>
  </conditionalFormatting>
  <conditionalFormatting sqref="C72:N72">
    <cfRule type="cellIs" dxfId="125" priority="2" operator="greaterThanOrEqual">
      <formula>C73</formula>
    </cfRule>
  </conditionalFormatting>
  <conditionalFormatting sqref="C71:N71">
    <cfRule type="cellIs" dxfId="124" priority="1" operator="greaterThan">
      <formula>C72</formula>
    </cfRule>
  </conditionalFormatting>
  <conditionalFormatting sqref="C64:N64">
    <cfRule type="cellIs" dxfId="123" priority="4" operator="greaterThanOrEqual">
      <formula>C65</formula>
    </cfRule>
  </conditionalFormatting>
  <conditionalFormatting sqref="C63:N63">
    <cfRule type="cellIs" dxfId="122" priority="3" operator="greaterThan">
      <formula>C64</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pageSetUpPr fitToPage="1"/>
  </sheetPr>
  <dimension ref="A1:AF92"/>
  <sheetViews>
    <sheetView showGridLines="0" zoomScale="75" zoomScaleNormal="75" workbookViewId="0">
      <selection activeCell="B2" sqref="B2"/>
    </sheetView>
  </sheetViews>
  <sheetFormatPr defaultRowHeight="15"/>
  <cols>
    <col min="1" max="1" width="2.6640625" style="99" customWidth="1"/>
    <col min="2" max="2" width="23.33203125" customWidth="1"/>
    <col min="3" max="14" width="15.6640625" customWidth="1"/>
    <col min="15" max="15" width="2.6640625" customWidth="1"/>
    <col min="16" max="16" width="12.88671875" bestFit="1" customWidth="1"/>
    <col min="18" max="18" width="10.6640625" bestFit="1" customWidth="1"/>
    <col min="19" max="19" width="16.109375" bestFit="1" customWidth="1"/>
    <col min="20" max="21" width="10.6640625" bestFit="1" customWidth="1"/>
    <col min="22" max="22" width="9.44140625" bestFit="1" customWidth="1"/>
    <col min="23" max="23" width="7" customWidth="1"/>
    <col min="24" max="24" width="8.44140625" customWidth="1"/>
    <col min="25" max="25" width="11.5546875" bestFit="1" customWidth="1"/>
  </cols>
  <sheetData>
    <row r="1" spans="1:16" s="8" customFormat="1" ht="15.6">
      <c r="A1" s="624"/>
      <c r="B1" s="8" t="s">
        <v>1294</v>
      </c>
    </row>
    <row r="2" spans="1:16" s="8" customFormat="1" ht="15.6">
      <c r="A2" s="624"/>
      <c r="B2" s="8" t="s">
        <v>1267</v>
      </c>
    </row>
    <row r="3" spans="1:16" s="8" customFormat="1" ht="15.6">
      <c r="A3" s="624"/>
    </row>
    <row r="4" spans="1:16" ht="21">
      <c r="A4" s="124" t="s">
        <v>447</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10" t="s">
        <v>48</v>
      </c>
      <c r="C9" s="320">
        <v>3</v>
      </c>
      <c r="D9" s="320">
        <v>4</v>
      </c>
      <c r="E9" s="320">
        <v>5</v>
      </c>
      <c r="F9" s="320">
        <v>6</v>
      </c>
      <c r="G9" s="320">
        <v>7</v>
      </c>
      <c r="H9" s="320">
        <v>8</v>
      </c>
      <c r="I9" s="320">
        <v>9</v>
      </c>
      <c r="J9" s="320">
        <v>10</v>
      </c>
      <c r="K9" s="320">
        <v>11</v>
      </c>
      <c r="L9" s="320">
        <v>12</v>
      </c>
      <c r="M9" s="320">
        <v>13</v>
      </c>
      <c r="N9" s="320">
        <v>14</v>
      </c>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0.53359260790981877</v>
      </c>
      <c r="D13" s="115">
        <f>VLOOKUP($B$9,'Avg KWH'!$A$12:$O$38,D9,FALSE)/HOURS!C15/VLOOKUP($B$9,'Avg CP'!$A$12:$P$38,D9,FALSE)</f>
        <v>0.6815624476596599</v>
      </c>
      <c r="E13" s="115">
        <f>VLOOKUP($B$9,'Avg KWH'!$A$12:$O$38,E9,FALSE)/HOURS!D15/VLOOKUP($B$9,'Avg CP'!$A$12:$P$38,E9,FALSE)</f>
        <v>0.57789212187367189</v>
      </c>
      <c r="F13" s="115">
        <f>VLOOKUP($B$9,'Avg KWH'!$A$12:$O$38,F9,FALSE)/HOURS!E15/VLOOKUP($B$9,'Avg CP'!$A$12:$P$38,F9,FALSE)</f>
        <v>0.58289291844915669</v>
      </c>
      <c r="G13" s="115">
        <f>VLOOKUP($B$9,'Avg KWH'!$A$12:$O$38,G9,FALSE)/HOURS!F15/VLOOKUP($B$9,'Avg CP'!$A$12:$P$38,G9,FALSE)</f>
        <v>0.60551477274993171</v>
      </c>
      <c r="H13" s="115">
        <f>VLOOKUP($B$9,'Avg KWH'!$A$12:$O$38,H9,FALSE)/HOURS!G15/VLOOKUP($B$9,'Avg CP'!$A$12:$P$38,H9,FALSE)</f>
        <v>0.63548653527223997</v>
      </c>
      <c r="I13" s="115">
        <f>VLOOKUP($B$9,'Avg KWH'!$A$12:$O$38,I9,FALSE)/HOURS!H15/VLOOKUP($B$9,'Avg CP'!$A$12:$P$38,I9,FALSE)</f>
        <v>0.65437854481452484</v>
      </c>
      <c r="J13" s="115">
        <f>VLOOKUP($B$9,'Avg KWH'!$A$12:$O$38,J9,FALSE)/HOURS!I15/VLOOKUP($B$9,'Avg CP'!$A$12:$P$38,J9,FALSE)</f>
        <v>0.66863074424616009</v>
      </c>
      <c r="K13" s="115">
        <f>VLOOKUP($B$9,'Avg KWH'!$A$12:$O$38,K9,FALSE)/HOURS!J15/VLOOKUP($B$9,'Avg CP'!$A$12:$P$38,K9,FALSE)</f>
        <v>0.64141976778435672</v>
      </c>
      <c r="L13" s="115">
        <f>VLOOKUP($B$9,'Avg KWH'!$A$12:$O$38,L9,FALSE)/HOURS!K15/VLOOKUP($B$9,'Avg CP'!$A$12:$P$38,L9,FALSE)</f>
        <v>0.62773219314733053</v>
      </c>
      <c r="M13" s="115">
        <f>VLOOKUP($B$9,'Avg KWH'!$A$12:$O$38,M9,FALSE)/HOURS!L15/VLOOKUP($B$9,'Avg CP'!$A$12:$P$38,M9,FALSE)</f>
        <v>0.61737206935755473</v>
      </c>
      <c r="N13" s="115">
        <f>VLOOKUP($B$9,'Avg KWH'!$A$12:$O$38,N9,FALSE)/HOURS!M15/VLOOKUP($B$9,'Avg CP'!$A$12:$P$38,N9,FALSE)</f>
        <v>0.616426885139157</v>
      </c>
    </row>
    <row r="14" spans="1:16" s="110" customFormat="1">
      <c r="A14" s="119"/>
      <c r="B14" s="118" t="s">
        <v>342</v>
      </c>
      <c r="C14" s="115">
        <f>VLOOKUP($B$9,'Avg KWH'!$A$12:$O$38,C9,FALSE)/HOURS!B15/VLOOKUP($B$9,'Avg GNCP'!$A$11:$P$37,C9,FALSE)</f>
        <v>0.52014157480489409</v>
      </c>
      <c r="D14" s="115">
        <f>VLOOKUP($B$9,'Avg KWH'!$A$12:$O$38,D9,FALSE)/HOURS!C15/VLOOKUP($B$9,'Avg GNCP'!$A$11:$P$37,D9,FALSE)</f>
        <v>0.55130062702285787</v>
      </c>
      <c r="E14" s="115">
        <f>VLOOKUP($B$9,'Avg KWH'!$A$12:$O$38,E9,FALSE)/HOURS!D15/VLOOKUP($B$9,'Avg GNCP'!$A$11:$P$37,E9,FALSE)</f>
        <v>0.55755153587521233</v>
      </c>
      <c r="F14" s="115">
        <f>VLOOKUP($B$9,'Avg KWH'!$A$12:$O$38,F9,FALSE)/HOURS!E15/VLOOKUP($B$9,'Avg GNCP'!$A$11:$P$37,F9,FALSE)</f>
        <v>0.57066014065930537</v>
      </c>
      <c r="G14" s="115">
        <f>VLOOKUP($B$9,'Avg KWH'!$A$12:$O$38,G9,FALSE)/HOURS!F15/VLOOKUP($B$9,'Avg GNCP'!$A$11:$P$37,G9,FALSE)</f>
        <v>0.59239065413791991</v>
      </c>
      <c r="H14" s="115">
        <f>VLOOKUP($B$9,'Avg KWH'!$A$12:$O$38,H9,FALSE)/HOURS!G15/VLOOKUP($B$9,'Avg GNCP'!$A$11:$P$37,H9,FALSE)</f>
        <v>0.61473537170878023</v>
      </c>
      <c r="I14" s="115">
        <f>VLOOKUP($B$9,'Avg KWH'!$A$12:$O$38,I9,FALSE)/HOURS!H15/VLOOKUP($B$9,'Avg GNCP'!$A$11:$P$37,I9,FALSE)</f>
        <v>0.62510135078736173</v>
      </c>
      <c r="J14" s="115">
        <f>VLOOKUP($B$9,'Avg KWH'!$A$12:$O$38,J9,FALSE)/HOURS!I15/VLOOKUP($B$9,'Avg GNCP'!$A$11:$P$37,J9,FALSE)</f>
        <v>0.64130386067614265</v>
      </c>
      <c r="K14" s="115">
        <f>VLOOKUP($B$9,'Avg KWH'!$A$12:$O$38,K9,FALSE)/HOURS!J15/VLOOKUP($B$9,'Avg GNCP'!$A$11:$P$37,K9,FALSE)</f>
        <v>0.60076597912233287</v>
      </c>
      <c r="L14" s="115">
        <f>VLOOKUP($B$9,'Avg KWH'!$A$12:$O$38,L9,FALSE)/HOURS!K15/VLOOKUP($B$9,'Avg GNCP'!$A$11:$P$37,L9,FALSE)</f>
        <v>0.58919575133055524</v>
      </c>
      <c r="M14" s="115">
        <f>VLOOKUP($B$9,'Avg KWH'!$A$12:$O$38,M9,FALSE)/HOURS!L15/VLOOKUP($B$9,'Avg GNCP'!$A$11:$P$37,M9,FALSE)</f>
        <v>0.59392184761471811</v>
      </c>
      <c r="N14" s="115">
        <f>VLOOKUP($B$9,'Avg KWH'!$A$12:$O$38,N9,FALSE)/HOURS!M15/VLOOKUP($B$9,'Avg GNCP'!$A$11:$P$37,N9,FALSE)</f>
        <v>0.60026105629943272</v>
      </c>
    </row>
    <row r="15" spans="1:16" s="10" customFormat="1">
      <c r="A15" s="119"/>
      <c r="B15" s="148" t="s">
        <v>133</v>
      </c>
      <c r="C15" s="115">
        <f>IFERROR(VLOOKUP($B$9,'Avg KWH'!$A$12:$O$38,C9,FALSE)/HOURS!B15/VLOOKUP($B$9,'Avg NCP'!$B$12:$P$38,C9-1,FALSE),"")</f>
        <v>0.1803016115444773</v>
      </c>
      <c r="D15" s="115">
        <f>IFERROR(VLOOKUP($B$9,'Avg KWH'!$A$12:$O$38,D9,FALSE)/HOURS!C15/VLOOKUP($B$9,'Avg NCP'!$B$12:$P$38,D9-1,FALSE),"")</f>
        <v>0.1910940935457392</v>
      </c>
      <c r="E15" s="115">
        <f>IFERROR(VLOOKUP($B$9,'Avg KWH'!$A$12:$O$38,E9,FALSE)/HOURS!D15/VLOOKUP($B$9,'Avg NCP'!$B$12:$P$38,E9-1,FALSE),"")</f>
        <v>0.19399598403723597</v>
      </c>
      <c r="F15" s="115">
        <f>IFERROR(VLOOKUP($B$9,'Avg KWH'!$A$12:$O$38,F9,FALSE)/HOURS!E15/VLOOKUP($B$9,'Avg NCP'!$B$12:$P$38,F9-1,FALSE),"")</f>
        <v>0.2279410321484456</v>
      </c>
      <c r="G15" s="115">
        <f>IFERROR(VLOOKUP($B$9,'Avg KWH'!$A$12:$O$38,G9,FALSE)/HOURS!F15/VLOOKUP($B$9,'Avg NCP'!$B$12:$P$38,G9-1,FALSE),"")</f>
        <v>0.2573976165831291</v>
      </c>
      <c r="H15" s="115">
        <f>IFERROR(VLOOKUP($B$9,'Avg KWH'!$A$12:$O$38,H9,FALSE)/HOURS!G15/VLOOKUP($B$9,'Avg NCP'!$B$12:$P$38,H9-1,FALSE),"")</f>
        <v>0.28780843915927451</v>
      </c>
      <c r="I15" s="115">
        <f>IFERROR(VLOOKUP($B$9,'Avg KWH'!$A$12:$O$38,I9,FALSE)/HOURS!H15/VLOOKUP($B$9,'Avg NCP'!$B$12:$P$38,I9-1,FALSE),"")</f>
        <v>0.29758466899348746</v>
      </c>
      <c r="J15" s="115">
        <f>IFERROR(VLOOKUP($B$9,'Avg KWH'!$A$12:$O$38,J9,FALSE)/HOURS!I15/VLOOKUP($B$9,'Avg NCP'!$B$12:$P$38,J9-1,FALSE),"")</f>
        <v>0.3077702738555676</v>
      </c>
      <c r="K15" s="115">
        <f>IFERROR(VLOOKUP($B$9,'Avg KWH'!$A$12:$O$38,K9,FALSE)/HOURS!J15/VLOOKUP($B$9,'Avg NCP'!$B$12:$P$38,K9-1,FALSE),"")</f>
        <v>0.28674969452188742</v>
      </c>
      <c r="L15" s="115">
        <f>IFERROR(VLOOKUP($B$9,'Avg KWH'!$A$12:$O$38,L9,FALSE)/HOURS!K15/VLOOKUP($B$9,'Avg NCP'!$B$12:$P$38,L9-1,FALSE),"")</f>
        <v>0.25438957758472258</v>
      </c>
      <c r="M15" s="115">
        <f>IFERROR(VLOOKUP($B$9,'Avg KWH'!$A$12:$O$38,M9,FALSE)/HOURS!L15/VLOOKUP($B$9,'Avg NCP'!$B$12:$P$38,M9-1,FALSE),"")</f>
        <v>0.1980230935128767</v>
      </c>
      <c r="N15" s="115">
        <f>IFERROR(VLOOKUP($B$9,'Avg KWH'!$A$12:$O$38,N9,FALSE)/HOURS!M15/VLOOKUP($B$9,'Avg NCP'!$B$12:$P$38,N9-1,FALSE),"")</f>
        <v>0.19201181663038447</v>
      </c>
    </row>
    <row r="16" spans="1:16">
      <c r="A16" s="114"/>
      <c r="C16" s="116"/>
      <c r="D16" s="116"/>
      <c r="E16" s="116"/>
      <c r="F16" s="116"/>
      <c r="G16" s="116"/>
      <c r="H16" s="116"/>
      <c r="I16" s="116"/>
      <c r="J16" s="116"/>
      <c r="K16" s="116"/>
      <c r="L16" s="116"/>
      <c r="M16" s="117"/>
      <c r="N16" s="116"/>
    </row>
    <row r="17" spans="1:19" ht="15.6">
      <c r="A17" s="113" t="s">
        <v>421</v>
      </c>
      <c r="C17" s="5"/>
      <c r="D17" s="5"/>
      <c r="E17" s="5"/>
      <c r="F17" s="5"/>
      <c r="G17" s="5"/>
      <c r="H17" s="5"/>
      <c r="I17" s="5"/>
      <c r="J17" s="5"/>
      <c r="K17" s="5"/>
      <c r="L17" s="5"/>
      <c r="M17" s="115"/>
      <c r="N17" s="5"/>
    </row>
    <row r="18" spans="1:19">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9">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9">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9">
      <c r="A21" s="114"/>
      <c r="C21" s="5"/>
      <c r="D21" s="5"/>
      <c r="E21" s="5"/>
      <c r="F21" s="5"/>
      <c r="G21" s="5"/>
      <c r="H21" s="5"/>
      <c r="I21" s="5"/>
      <c r="J21" s="5"/>
      <c r="K21" s="5"/>
      <c r="L21" s="5"/>
      <c r="M21" s="115"/>
      <c r="N21" s="5"/>
    </row>
    <row r="22" spans="1:19" ht="15.6">
      <c r="A22" s="113" t="s">
        <v>427</v>
      </c>
      <c r="C22" s="5"/>
      <c r="D22" s="5"/>
      <c r="E22" s="5"/>
      <c r="F22" s="5"/>
      <c r="G22" s="5"/>
      <c r="H22" s="5"/>
      <c r="I22" s="5"/>
      <c r="J22" s="5"/>
      <c r="K22" s="5"/>
      <c r="L22" s="5"/>
      <c r="M22" s="115"/>
      <c r="N22" s="5"/>
    </row>
    <row r="23" spans="1:19">
      <c r="A23" s="114"/>
      <c r="B23" t="s">
        <v>428</v>
      </c>
      <c r="C23" s="145">
        <v>0</v>
      </c>
      <c r="D23" s="145">
        <v>0</v>
      </c>
      <c r="E23" s="145">
        <v>0</v>
      </c>
      <c r="F23" s="145">
        <v>0</v>
      </c>
      <c r="G23" s="145">
        <v>0</v>
      </c>
      <c r="H23" s="145">
        <v>0</v>
      </c>
      <c r="I23" s="145">
        <v>0</v>
      </c>
      <c r="J23" s="145">
        <v>0</v>
      </c>
      <c r="K23" s="145">
        <v>0</v>
      </c>
      <c r="L23" s="145">
        <v>0</v>
      </c>
      <c r="M23" s="145">
        <v>0</v>
      </c>
      <c r="N23" s="145">
        <v>0</v>
      </c>
    </row>
    <row r="24" spans="1:19">
      <c r="A24" s="114"/>
      <c r="B24" t="s">
        <v>429</v>
      </c>
      <c r="C24" s="145">
        <v>0</v>
      </c>
      <c r="D24" s="145">
        <v>0</v>
      </c>
      <c r="E24" s="145">
        <v>0</v>
      </c>
      <c r="F24" s="145">
        <v>0</v>
      </c>
      <c r="G24" s="145">
        <v>0</v>
      </c>
      <c r="H24" s="145">
        <v>0</v>
      </c>
      <c r="I24" s="145">
        <v>0</v>
      </c>
      <c r="J24" s="145">
        <v>0</v>
      </c>
      <c r="K24" s="145">
        <v>0</v>
      </c>
      <c r="L24" s="145">
        <v>0</v>
      </c>
      <c r="M24" s="145">
        <v>0</v>
      </c>
      <c r="N24" s="145">
        <v>0</v>
      </c>
    </row>
    <row r="25" spans="1:19">
      <c r="A25" s="114"/>
      <c r="C25" s="5"/>
      <c r="D25" s="5"/>
      <c r="E25" s="5"/>
      <c r="F25" s="5"/>
      <c r="G25" s="5"/>
      <c r="H25" s="5"/>
      <c r="I25" s="5"/>
      <c r="J25" s="5"/>
      <c r="K25" s="5"/>
      <c r="L25" s="5"/>
      <c r="M25" s="115"/>
      <c r="N25" s="5"/>
    </row>
    <row r="26" spans="1:19" ht="15.6">
      <c r="A26" s="113" t="s">
        <v>424</v>
      </c>
      <c r="C26" s="5"/>
      <c r="D26" s="5"/>
      <c r="E26" s="5"/>
      <c r="F26" s="5"/>
      <c r="G26" s="5"/>
      <c r="H26" s="5"/>
      <c r="I26" s="5"/>
      <c r="J26" s="5"/>
      <c r="K26" s="5"/>
      <c r="L26" s="5"/>
      <c r="M26" s="115"/>
      <c r="N26" s="5"/>
      <c r="S26" s="10"/>
    </row>
    <row r="27" spans="1:19" s="106" customFormat="1">
      <c r="A27" s="109"/>
      <c r="B27" s="108" t="str">
        <f>"PRIOR - "&amp;MANUAL!$B$9</f>
        <v>PRIOR - 2016</v>
      </c>
      <c r="C27" s="142">
        <f>VLOOKUP($B$9,'Sales Forecast'!$B$7:$AO$23,C9-1,FALSE)</f>
        <v>4412782486</v>
      </c>
      <c r="D27" s="142">
        <f>VLOOKUP($B$9,'Sales Forecast'!$B$7:$AO$23,D9-1,FALSE)</f>
        <v>4011033989</v>
      </c>
      <c r="E27" s="142">
        <f>VLOOKUP($B$9,'Sales Forecast'!$B$7:$AO$23,E9-1,FALSE)</f>
        <v>3919563463</v>
      </c>
      <c r="F27" s="142">
        <f>VLOOKUP($B$9,'Sales Forecast'!$B$7:$AO$23,F9-1,FALSE)</f>
        <v>3982448080</v>
      </c>
      <c r="G27" s="142">
        <f>VLOOKUP($B$9,'Sales Forecast'!$B$7:$AO$23,G9-1,FALSE)</f>
        <v>4652075043</v>
      </c>
      <c r="H27" s="142">
        <f>VLOOKUP($B$9,'Sales Forecast'!$B$7:$AO$23,H9-1,FALSE)</f>
        <v>5313054838</v>
      </c>
      <c r="I27" s="142">
        <f>VLOOKUP($B$9,'Sales Forecast'!$B$7:$AO$23,I9-1,FALSE)</f>
        <v>5780941741</v>
      </c>
      <c r="J27" s="142">
        <f>VLOOKUP($B$9,'Sales Forecast'!$B$7:$AO$23,J9-1,FALSE)</f>
        <v>5909135128</v>
      </c>
      <c r="K27" s="142">
        <f>VLOOKUP($B$9,'Sales Forecast'!$B$7:$AO$23,K9-1,FALSE)</f>
        <v>5714655770</v>
      </c>
      <c r="L27" s="142">
        <f>VLOOKUP($B$9,'Sales Forecast'!$B$7:$AO$23,L9-1,FALSE)</f>
        <v>5150015263</v>
      </c>
      <c r="M27" s="142">
        <f>VLOOKUP($B$9,'Sales Forecast'!$B$7:$AO$23,M9-1,FALSE)</f>
        <v>4257998507</v>
      </c>
      <c r="N27" s="142">
        <f>VLOOKUP($B$9,'Sales Forecast'!$B$7:$AO$23,N9-1,FALSE)</f>
        <v>4094996381</v>
      </c>
    </row>
    <row r="28" spans="1:19" s="12" customFormat="1" ht="15.6">
      <c r="A28" s="111"/>
      <c r="B28" s="108" t="str">
        <f>"TEST - "&amp;MANUAL!$B$10</f>
        <v>TEST - 2017</v>
      </c>
      <c r="C28" s="142">
        <f>VLOOKUP($B$9,'Sales Forecast'!$B$7:$AO$23,C9+11,FALSE)</f>
        <v>4459036218</v>
      </c>
      <c r="D28" s="142">
        <f>VLOOKUP($B$9,'Sales Forecast'!$B$7:$AO$23,D9+11,FALSE)</f>
        <v>3960503996</v>
      </c>
      <c r="E28" s="142">
        <f>VLOOKUP($B$9,'Sales Forecast'!$B$7:$AO$23,E9+11,FALSE)</f>
        <v>3878065213</v>
      </c>
      <c r="F28" s="142">
        <f>VLOOKUP($B$9,'Sales Forecast'!$B$7:$AO$23,F9+11,FALSE)</f>
        <v>3972698748</v>
      </c>
      <c r="G28" s="142">
        <f>VLOOKUP($B$9,'Sales Forecast'!$B$7:$AO$23,G9+11,FALSE)</f>
        <v>4630611997</v>
      </c>
      <c r="H28" s="142">
        <f>VLOOKUP($B$9,'Sales Forecast'!$B$7:$AO$23,H9+11,FALSE)</f>
        <v>5289857496</v>
      </c>
      <c r="I28" s="142">
        <f>VLOOKUP($B$9,'Sales Forecast'!$B$7:$AO$23,I9+11,FALSE)</f>
        <v>5760290400</v>
      </c>
      <c r="J28" s="142">
        <f>VLOOKUP($B$9,'Sales Forecast'!$B$7:$AO$23,J9+11,FALSE)</f>
        <v>5891589976</v>
      </c>
      <c r="K28" s="142">
        <f>VLOOKUP($B$9,'Sales Forecast'!$B$7:$AO$23,K9+11,FALSE)</f>
        <v>5704211543</v>
      </c>
      <c r="L28" s="142">
        <f>VLOOKUP($B$9,'Sales Forecast'!$B$7:$AO$23,L9+11,FALSE)</f>
        <v>5133789102</v>
      </c>
      <c r="M28" s="142">
        <f>VLOOKUP($B$9,'Sales Forecast'!$B$7:$AO$23,M9+11,FALSE)</f>
        <v>4240281030</v>
      </c>
      <c r="N28" s="142">
        <f>VLOOKUP($B$9,'Sales Forecast'!$B$7:$AO$23,N9+11,FALSE)</f>
        <v>4072742788</v>
      </c>
    </row>
    <row r="29" spans="1:19">
      <c r="A29" s="114"/>
      <c r="B29" t="s">
        <v>1094</v>
      </c>
      <c r="C29" s="142">
        <f>VLOOKUP($B$9,'Sales Forecast'!$B$7:$AO$23,C9+23,FALSE)</f>
        <v>4480547058</v>
      </c>
      <c r="D29" s="142">
        <f>VLOOKUP($B$9,'Sales Forecast'!$B$7:$AO$23,D9+23,FALSE)</f>
        <v>3970626763</v>
      </c>
      <c r="E29" s="142">
        <f>VLOOKUP($B$9,'Sales Forecast'!$B$7:$AO$23,E9+23,FALSE)</f>
        <v>3898615460</v>
      </c>
      <c r="F29" s="142">
        <f>VLOOKUP($B$9,'Sales Forecast'!$B$7:$AO$23,F9+23,FALSE)</f>
        <v>4003806466</v>
      </c>
      <c r="G29" s="142">
        <f>VLOOKUP($B$9,'Sales Forecast'!$B$7:$AO$23,G9+23,FALSE)</f>
        <v>4668629145</v>
      </c>
      <c r="H29" s="142">
        <f>VLOOKUP($B$9,'Sales Forecast'!$B$7:$AO$23,H9+23,FALSE)</f>
        <v>5326911058</v>
      </c>
      <c r="I29" s="142">
        <f>VLOOKUP($B$9,'Sales Forecast'!$B$7:$AO$23,I9+23,FALSE)</f>
        <v>5797588974</v>
      </c>
      <c r="J29" s="142">
        <f>VLOOKUP($B$9,'Sales Forecast'!$B$7:$AO$23,J9+23,FALSE)</f>
        <v>5927891677</v>
      </c>
      <c r="K29" s="142">
        <f>VLOOKUP($B$9,'Sales Forecast'!$B$7:$AO$23,K9+23,FALSE)</f>
        <v>5743314788</v>
      </c>
      <c r="L29" s="142">
        <f>VLOOKUP($B$9,'Sales Forecast'!$B$7:$AO$23,L9+23,FALSE)</f>
        <v>5166360566</v>
      </c>
      <c r="M29" s="142">
        <f>VLOOKUP($B$9,'Sales Forecast'!$B$7:$AO$23,M9+23,FALSE)</f>
        <v>4269989489</v>
      </c>
      <c r="N29" s="142">
        <f>VLOOKUP($B$9,'Sales Forecast'!$B$7:$AO$23,N9+23,FALSE)</f>
        <v>4106934435</v>
      </c>
    </row>
    <row r="30" spans="1:19">
      <c r="A30" s="114"/>
      <c r="C30" s="142"/>
      <c r="D30" s="142"/>
      <c r="E30" s="142"/>
      <c r="F30" s="142"/>
      <c r="G30" s="142"/>
      <c r="H30" s="142"/>
      <c r="I30" s="142"/>
      <c r="J30" s="142"/>
      <c r="K30" s="142"/>
      <c r="L30" s="142"/>
      <c r="M30" s="142"/>
      <c r="N30" s="142"/>
    </row>
    <row r="31" spans="1:19" s="12" customFormat="1" ht="15.6">
      <c r="A31" s="113" t="s">
        <v>1248</v>
      </c>
      <c r="B31"/>
      <c r="C31" s="142"/>
      <c r="D31" s="142"/>
      <c r="E31" s="142"/>
      <c r="F31" s="142"/>
      <c r="G31" s="142"/>
      <c r="H31" s="142"/>
      <c r="I31" s="142"/>
      <c r="J31" s="142"/>
      <c r="K31" s="142"/>
      <c r="L31" s="142"/>
      <c r="M31" s="142"/>
      <c r="N31" s="142"/>
    </row>
    <row r="32" spans="1:19" s="12" customFormat="1">
      <c r="A32" s="114"/>
      <c r="B32" t="s">
        <v>1254</v>
      </c>
      <c r="C32" s="115">
        <v>0</v>
      </c>
      <c r="D32" s="115">
        <v>0</v>
      </c>
      <c r="E32" s="115">
        <v>0</v>
      </c>
      <c r="F32" s="115">
        <v>0</v>
      </c>
      <c r="G32" s="115">
        <v>0</v>
      </c>
      <c r="H32" s="115">
        <v>0</v>
      </c>
      <c r="I32" s="115">
        <v>0</v>
      </c>
      <c r="J32" s="115">
        <v>0</v>
      </c>
      <c r="K32" s="115">
        <v>0</v>
      </c>
      <c r="L32" s="115">
        <v>0</v>
      </c>
      <c r="M32" s="115">
        <v>0</v>
      </c>
      <c r="N32" s="115">
        <v>0</v>
      </c>
      <c r="R32"/>
    </row>
    <row r="33" spans="1:32" s="12" customFormat="1">
      <c r="A33" s="114"/>
      <c r="B33" t="s">
        <v>1253</v>
      </c>
      <c r="C33" s="115">
        <v>0</v>
      </c>
      <c r="D33" s="115">
        <v>0</v>
      </c>
      <c r="E33" s="115">
        <v>0</v>
      </c>
      <c r="F33" s="115">
        <v>0</v>
      </c>
      <c r="G33" s="115">
        <v>0</v>
      </c>
      <c r="H33" s="115">
        <v>0</v>
      </c>
      <c r="I33" s="115">
        <v>0</v>
      </c>
      <c r="J33" s="115">
        <v>0</v>
      </c>
      <c r="K33" s="115">
        <v>0</v>
      </c>
      <c r="L33" s="115">
        <v>0</v>
      </c>
      <c r="M33" s="115">
        <v>0</v>
      </c>
      <c r="N33" s="115">
        <v>0</v>
      </c>
      <c r="R33"/>
    </row>
    <row r="34" spans="1:32" s="12" customFormat="1">
      <c r="A34" s="114"/>
      <c r="B34" t="s">
        <v>1252</v>
      </c>
      <c r="C34" s="115">
        <v>1</v>
      </c>
      <c r="D34" s="115">
        <v>1</v>
      </c>
      <c r="E34" s="115">
        <v>1</v>
      </c>
      <c r="F34" s="115">
        <v>1</v>
      </c>
      <c r="G34" s="115">
        <v>1</v>
      </c>
      <c r="H34" s="115">
        <v>1</v>
      </c>
      <c r="I34" s="115">
        <v>1</v>
      </c>
      <c r="J34" s="115">
        <v>1</v>
      </c>
      <c r="K34" s="115">
        <v>1</v>
      </c>
      <c r="L34" s="115">
        <v>1</v>
      </c>
      <c r="M34" s="115">
        <v>1</v>
      </c>
      <c r="N34" s="115">
        <v>1</v>
      </c>
      <c r="R34" s="507"/>
    </row>
    <row r="35" spans="1:32" s="12" customFormat="1" ht="15.6">
      <c r="A35" s="114"/>
      <c r="B35" s="513">
        <v>2017</v>
      </c>
      <c r="C35" s="115"/>
      <c r="D35" s="115"/>
      <c r="E35" s="115"/>
      <c r="F35" s="115"/>
      <c r="G35" s="115"/>
      <c r="H35" s="115"/>
      <c r="I35" s="115"/>
      <c r="J35" s="115"/>
      <c r="K35" s="115"/>
      <c r="L35" s="115"/>
      <c r="M35" s="115"/>
      <c r="N35" s="115"/>
      <c r="R35" s="507"/>
    </row>
    <row r="36" spans="1:32"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row>
    <row r="37" spans="1:32"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row>
    <row r="38" spans="1:32"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s="509"/>
    </row>
    <row r="39" spans="1:32" s="12" customFormat="1">
      <c r="A39" s="114"/>
      <c r="B39" t="s">
        <v>1255</v>
      </c>
      <c r="C39" s="107">
        <f>IFERROR((+C$28/C$19/C13)+C23,0)</f>
        <v>11232030.131521083</v>
      </c>
      <c r="D39" s="107">
        <f t="shared" ref="D39:N39" si="0">IFERROR((+D$28/D$19/D13)+D23,0)</f>
        <v>8647200.4981233235</v>
      </c>
      <c r="E39" s="107">
        <f t="shared" si="0"/>
        <v>9019768.6488258094</v>
      </c>
      <c r="F39" s="107">
        <f t="shared" si="0"/>
        <v>9465953.3086801097</v>
      </c>
      <c r="G39" s="107">
        <f t="shared" si="0"/>
        <v>10278759.720290404</v>
      </c>
      <c r="H39" s="107">
        <f t="shared" si="0"/>
        <v>11561258.802836103</v>
      </c>
      <c r="I39" s="107">
        <f t="shared" si="0"/>
        <v>11831570.377427449</v>
      </c>
      <c r="J39" s="107">
        <f t="shared" si="0"/>
        <v>11843313.816074608</v>
      </c>
      <c r="K39" s="107">
        <f t="shared" si="0"/>
        <v>12351530.822492469</v>
      </c>
      <c r="L39" s="107">
        <f t="shared" si="0"/>
        <v>10992353.498325884</v>
      </c>
      <c r="M39" s="107">
        <f t="shared" si="0"/>
        <v>9539270.5641215555</v>
      </c>
      <c r="N39" s="107">
        <f t="shared" si="0"/>
        <v>8880398.9289043825</v>
      </c>
      <c r="R39"/>
    </row>
    <row r="40" spans="1:32" s="12" customFormat="1">
      <c r="A40" s="114"/>
      <c r="B40" t="s">
        <v>1256</v>
      </c>
      <c r="C40" s="107">
        <f>IFERROR((C39*C32*C36)+(C39*C33*C37)+(C39*C34*C38),0)</f>
        <v>11955486.573325047</v>
      </c>
      <c r="D40" s="107">
        <f>IFERROR((D39*D32*D36)+(D39*D33*D37)+(D39*D34*D38),0)</f>
        <v>9204167.7454227731</v>
      </c>
      <c r="E40" s="107">
        <f t="shared" ref="E40:N40" si="1">IFERROR((E39*E32*E36)+(E39*E33*E37)+(E39*E34*E38),0)</f>
        <v>9600733.0565210711</v>
      </c>
      <c r="F40" s="107">
        <f t="shared" si="1"/>
        <v>10075656.525177158</v>
      </c>
      <c r="G40" s="107">
        <f t="shared" si="1"/>
        <v>10940815.897697771</v>
      </c>
      <c r="H40" s="107">
        <f t="shared" si="1"/>
        <v>12305920.903839733</v>
      </c>
      <c r="I40" s="107">
        <f t="shared" si="1"/>
        <v>12593643.280186631</v>
      </c>
      <c r="J40" s="107">
        <f t="shared" si="1"/>
        <v>12606143.115160964</v>
      </c>
      <c r="K40" s="107">
        <f t="shared" si="1"/>
        <v>13147094.441449951</v>
      </c>
      <c r="L40" s="107">
        <f t="shared" si="1"/>
        <v>11700372.338716339</v>
      </c>
      <c r="M40" s="107">
        <f t="shared" si="1"/>
        <v>10153696.154056301</v>
      </c>
      <c r="N40" s="107">
        <f t="shared" si="1"/>
        <v>9452386.5158033203</v>
      </c>
      <c r="R40"/>
    </row>
    <row r="41" spans="1:32"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row>
    <row r="42" spans="1:32"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R42"/>
    </row>
    <row r="43" spans="1:32" s="12" customFormat="1">
      <c r="A43" s="114"/>
      <c r="B43" t="s">
        <v>1259</v>
      </c>
      <c r="C43" s="235">
        <f>IFERROR(C40*C42/C41,0)</f>
        <v>1101010.2584828353</v>
      </c>
      <c r="D43" s="235">
        <f t="shared" ref="D43:N43" si="2">IFERROR(D40*D42/D41,0)</f>
        <v>63382.407513360136</v>
      </c>
      <c r="E43" s="235">
        <f t="shared" si="2"/>
        <v>1141681.5433520712</v>
      </c>
      <c r="F43" s="235">
        <f t="shared" si="2"/>
        <v>806709.45054646465</v>
      </c>
      <c r="G43" s="235">
        <f t="shared" si="2"/>
        <v>1096673.1021103731</v>
      </c>
      <c r="H43" s="235">
        <f t="shared" si="2"/>
        <v>634364.63146681583</v>
      </c>
      <c r="I43" s="235">
        <f t="shared" si="2"/>
        <v>804540.62494652939</v>
      </c>
      <c r="J43" s="235">
        <f t="shared" si="2"/>
        <v>1226848.00980185</v>
      </c>
      <c r="K43" s="235">
        <f t="shared" si="2"/>
        <v>123205.9066415362</v>
      </c>
      <c r="L43" s="235">
        <f t="shared" si="2"/>
        <v>232938.04862120937</v>
      </c>
      <c r="M43" s="235">
        <f t="shared" si="2"/>
        <v>-210554.75079725665</v>
      </c>
      <c r="N43" s="235">
        <f t="shared" si="2"/>
        <v>245899.03307701042</v>
      </c>
      <c r="R43"/>
    </row>
    <row r="44" spans="1:32" s="12" customFormat="1">
      <c r="A44" s="114"/>
      <c r="B44" t="s">
        <v>1260</v>
      </c>
      <c r="C44" s="235">
        <f>IFERROR(((C43*C32)/C36)+((C43*C33)/C37)+((C43*C34)/C38),0)</f>
        <v>1034385.3696415169</v>
      </c>
      <c r="D44" s="235">
        <f t="shared" ref="D44:N44" si="3">IFERROR(((D43*D32)/D36)+((D43*D33)/D37)+((D43*D34)/D38),0)</f>
        <v>59546.979257776271</v>
      </c>
      <c r="E44" s="235">
        <f t="shared" si="3"/>
        <v>1072595.5331791674</v>
      </c>
      <c r="F44" s="235">
        <f t="shared" si="3"/>
        <v>757893.44083556416</v>
      </c>
      <c r="G44" s="235">
        <f t="shared" si="3"/>
        <v>1030310.6654660042</v>
      </c>
      <c r="H44" s="235">
        <f t="shared" si="3"/>
        <v>595977.63849312649</v>
      </c>
      <c r="I44" s="235">
        <f t="shared" si="3"/>
        <v>755855.85630572657</v>
      </c>
      <c r="J44" s="235">
        <f t="shared" si="3"/>
        <v>1152608.3633966704</v>
      </c>
      <c r="K44" s="235">
        <f t="shared" si="3"/>
        <v>115750.40859204717</v>
      </c>
      <c r="L44" s="235">
        <f t="shared" si="3"/>
        <v>218842.38377455561</v>
      </c>
      <c r="M44" s="235">
        <f t="shared" si="3"/>
        <v>-197813.55537351084</v>
      </c>
      <c r="N44" s="235">
        <f t="shared" si="3"/>
        <v>231019.0665928481</v>
      </c>
      <c r="R44"/>
      <c r="T44" s="522"/>
      <c r="U44" s="523"/>
      <c r="V44" s="523"/>
      <c r="W44" s="523"/>
      <c r="X44" s="523"/>
      <c r="Y44" s="523"/>
      <c r="Z44" s="523"/>
      <c r="AA44" s="523"/>
      <c r="AB44" s="523"/>
      <c r="AC44" s="523"/>
      <c r="AD44" s="523"/>
      <c r="AE44" s="523"/>
      <c r="AF44" s="523"/>
    </row>
    <row r="45" spans="1:32" s="12" customFormat="1" ht="15.6">
      <c r="A45" s="114"/>
      <c r="B45" s="513">
        <v>2018</v>
      </c>
      <c r="C45" s="235"/>
      <c r="D45" s="235"/>
      <c r="E45" s="235"/>
      <c r="F45" s="235"/>
      <c r="G45" s="235"/>
      <c r="H45" s="235"/>
      <c r="I45" s="235"/>
      <c r="J45" s="235"/>
      <c r="K45" s="235"/>
      <c r="L45" s="235"/>
      <c r="M45" s="235"/>
      <c r="N45" s="235"/>
      <c r="R45"/>
      <c r="T45" s="206"/>
      <c r="U45" s="523"/>
      <c r="V45" s="523"/>
      <c r="W45" s="523"/>
      <c r="X45" s="523"/>
      <c r="Y45" s="523"/>
      <c r="Z45" s="523"/>
      <c r="AA45" s="523"/>
      <c r="AB45" s="523"/>
      <c r="AC45" s="523"/>
      <c r="AD45" s="523"/>
      <c r="AE45" s="523"/>
      <c r="AF45" s="523"/>
    </row>
    <row r="46" spans="1:32"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c r="T46" s="206"/>
      <c r="U46" s="523"/>
      <c r="V46" s="523"/>
      <c r="W46" s="523"/>
      <c r="X46" s="523"/>
      <c r="Y46" s="523"/>
      <c r="Z46" s="523"/>
      <c r="AA46" s="523"/>
      <c r="AB46" s="523"/>
      <c r="AC46" s="523"/>
      <c r="AD46" s="523"/>
      <c r="AE46" s="523"/>
      <c r="AF46" s="523"/>
    </row>
    <row r="47" spans="1:32"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c r="T47" s="206"/>
      <c r="U47" s="523"/>
      <c r="V47" s="523"/>
      <c r="W47" s="523"/>
      <c r="X47" s="523"/>
      <c r="Y47" s="523"/>
      <c r="Z47" s="523"/>
      <c r="AA47" s="523"/>
      <c r="AB47" s="523"/>
      <c r="AC47" s="523"/>
      <c r="AD47" s="523"/>
      <c r="AE47" s="523"/>
      <c r="AF47" s="523"/>
    </row>
    <row r="48" spans="1:32" s="12" customFormat="1">
      <c r="A48" s="114"/>
      <c r="B48" t="s">
        <v>1251</v>
      </c>
      <c r="C48">
        <v>1.06467</v>
      </c>
      <c r="D48">
        <v>1.06467</v>
      </c>
      <c r="E48">
        <v>1.06467</v>
      </c>
      <c r="F48">
        <v>1.06467</v>
      </c>
      <c r="G48">
        <v>1.06467</v>
      </c>
      <c r="H48">
        <v>1.06467</v>
      </c>
      <c r="I48">
        <v>1.06467</v>
      </c>
      <c r="J48">
        <v>1.06467</v>
      </c>
      <c r="K48">
        <v>1.06467</v>
      </c>
      <c r="L48">
        <v>1.06467</v>
      </c>
      <c r="M48">
        <v>1.06467</v>
      </c>
      <c r="N48">
        <v>1.06467</v>
      </c>
      <c r="R48"/>
      <c r="T48" s="206"/>
      <c r="U48" s="523"/>
      <c r="V48" s="523"/>
      <c r="W48" s="523"/>
      <c r="X48" s="523"/>
      <c r="Y48" s="523"/>
      <c r="Z48" s="523"/>
      <c r="AA48" s="523"/>
      <c r="AB48" s="523"/>
      <c r="AC48" s="523"/>
      <c r="AD48" s="523"/>
      <c r="AE48" s="523"/>
      <c r="AF48" s="523"/>
    </row>
    <row r="49" spans="1:32" s="12" customFormat="1">
      <c r="A49" s="114"/>
      <c r="B49" t="s">
        <v>1255</v>
      </c>
      <c r="C49" s="235">
        <f>IFERROR((+C$29/C$20/C13)+C23,0)</f>
        <v>11286214.57659444</v>
      </c>
      <c r="D49" s="235">
        <f t="shared" ref="D49:N49" si="4">IFERROR((+D$29/D$20/D13)+D23,0)</f>
        <v>8669302.1286060065</v>
      </c>
      <c r="E49" s="235">
        <f t="shared" si="4"/>
        <v>9067565.2854050174</v>
      </c>
      <c r="F49" s="235">
        <f t="shared" si="4"/>
        <v>9540075.2657693122</v>
      </c>
      <c r="G49" s="235">
        <f t="shared" si="4"/>
        <v>10363147.945819965</v>
      </c>
      <c r="H49" s="235">
        <f t="shared" si="4"/>
        <v>11642241.290582297</v>
      </c>
      <c r="I49" s="235">
        <f t="shared" si="4"/>
        <v>11908181.220390972</v>
      </c>
      <c r="J49" s="235">
        <f t="shared" si="4"/>
        <v>11916287.739710109</v>
      </c>
      <c r="K49" s="235">
        <f t="shared" si="4"/>
        <v>12436202.460673504</v>
      </c>
      <c r="L49" s="235">
        <f t="shared" si="4"/>
        <v>11062094.782810383</v>
      </c>
      <c r="M49" s="235">
        <f t="shared" si="4"/>
        <v>9606105.0560901482</v>
      </c>
      <c r="N49" s="235">
        <f t="shared" si="4"/>
        <v>8954951.9957690295</v>
      </c>
      <c r="R49"/>
      <c r="T49" s="206"/>
      <c r="U49" s="524"/>
      <c r="V49" s="524"/>
      <c r="W49" s="524"/>
      <c r="X49" s="524"/>
      <c r="Y49" s="524"/>
      <c r="Z49" s="524"/>
      <c r="AA49" s="524"/>
      <c r="AB49" s="524"/>
      <c r="AC49" s="524"/>
      <c r="AD49" s="524"/>
      <c r="AE49" s="524"/>
      <c r="AF49" s="524"/>
    </row>
    <row r="50" spans="1:32" s="12" customFormat="1">
      <c r="A50" s="114"/>
      <c r="B50" t="s">
        <v>1256</v>
      </c>
      <c r="C50" s="107">
        <v>12016085</v>
      </c>
      <c r="D50" s="107">
        <v>9229939</v>
      </c>
      <c r="E50" s="107">
        <v>9653957</v>
      </c>
      <c r="F50" s="107">
        <v>10157024</v>
      </c>
      <c r="G50" s="107">
        <v>11033324</v>
      </c>
      <c r="H50" s="107">
        <v>12395135</v>
      </c>
      <c r="I50" s="107">
        <v>12678273</v>
      </c>
      <c r="J50" s="107">
        <v>12686904</v>
      </c>
      <c r="K50" s="107">
        <v>13240441</v>
      </c>
      <c r="L50" s="107">
        <v>11777471</v>
      </c>
      <c r="M50" s="107">
        <v>10227324</v>
      </c>
      <c r="N50" s="107">
        <v>9534061</v>
      </c>
      <c r="R50"/>
      <c r="T50" s="206"/>
      <c r="U50" s="524"/>
      <c r="V50" s="524"/>
      <c r="W50" s="524"/>
      <c r="X50" s="524"/>
      <c r="Y50" s="524"/>
      <c r="Z50" s="524"/>
      <c r="AA50" s="524"/>
      <c r="AB50" s="524"/>
      <c r="AC50" s="524"/>
      <c r="AD50" s="524"/>
      <c r="AE50" s="524"/>
      <c r="AF50" s="524"/>
    </row>
    <row r="51" spans="1:32"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c r="T51" s="206"/>
      <c r="U51" s="524"/>
      <c r="V51" s="524"/>
      <c r="W51" s="524"/>
      <c r="X51" s="524"/>
      <c r="Y51" s="524"/>
      <c r="Z51" s="524"/>
      <c r="AA51" s="524"/>
      <c r="AB51" s="524"/>
      <c r="AC51" s="524"/>
      <c r="AD51" s="524"/>
      <c r="AE51" s="524"/>
      <c r="AF51" s="524"/>
    </row>
    <row r="52" spans="1:32"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c r="T52" s="206"/>
      <c r="U52" s="523"/>
      <c r="V52" s="523"/>
      <c r="W52" s="523"/>
      <c r="X52" s="523"/>
      <c r="Y52" s="523"/>
      <c r="Z52" s="523"/>
      <c r="AA52" s="523"/>
      <c r="AB52" s="523"/>
      <c r="AC52" s="523"/>
      <c r="AD52" s="523"/>
      <c r="AE52" s="523"/>
      <c r="AF52" s="523"/>
    </row>
    <row r="53" spans="1:32" s="12" customFormat="1">
      <c r="A53" s="114"/>
      <c r="B53" t="s">
        <v>1259</v>
      </c>
      <c r="C53" s="235">
        <f>C50*C52/C51</f>
        <v>1224903.7965980519</v>
      </c>
      <c r="D53" s="235">
        <f t="shared" ref="D53:N53" si="5">D50*D52/D51</f>
        <v>143716.97353467753</v>
      </c>
      <c r="E53" s="235">
        <f t="shared" si="5"/>
        <v>1214946.9056913471</v>
      </c>
      <c r="F53" s="235">
        <f t="shared" si="5"/>
        <v>856441.21068518329</v>
      </c>
      <c r="G53" s="235">
        <f t="shared" si="5"/>
        <v>1152186.2139748707</v>
      </c>
      <c r="H53" s="235">
        <f t="shared" si="5"/>
        <v>700494.70323456102</v>
      </c>
      <c r="I53" s="235">
        <f>I50*I52/I51</f>
        <v>880352.28614332969</v>
      </c>
      <c r="J53" s="235">
        <f t="shared" si="5"/>
        <v>1338316.8687213778</v>
      </c>
      <c r="K53" s="235">
        <f t="shared" si="5"/>
        <v>198320.39173108494</v>
      </c>
      <c r="L53" s="235">
        <f t="shared" si="5"/>
        <v>300837.19067878119</v>
      </c>
      <c r="M53" s="235">
        <f t="shared" si="5"/>
        <v>-163866.60693753592</v>
      </c>
      <c r="N53" s="235">
        <f t="shared" si="5"/>
        <v>284068.81852626259</v>
      </c>
      <c r="R53"/>
    </row>
    <row r="54" spans="1:32" s="12" customFormat="1">
      <c r="A54" s="114"/>
      <c r="B54" t="s">
        <v>1260</v>
      </c>
      <c r="C54" s="235">
        <f>((C53*C32)/C46)+((C53*C33)/C47)+((C53*C34)/C48)</f>
        <v>1150500.9031888302</v>
      </c>
      <c r="D54" s="235">
        <f t="shared" ref="D54:N54" si="6">((D53*D32)/D46)+((D53*D33)/D47)+((D53*D34)/D48)</f>
        <v>134987.34211979067</v>
      </c>
      <c r="E54" s="235">
        <f t="shared" si="6"/>
        <v>1141148.8120181344</v>
      </c>
      <c r="F54" s="235">
        <f t="shared" si="6"/>
        <v>804419.40759595297</v>
      </c>
      <c r="G54" s="235">
        <f t="shared" si="6"/>
        <v>1082200.3193241763</v>
      </c>
      <c r="H54" s="235">
        <f t="shared" si="6"/>
        <v>657945.3757826942</v>
      </c>
      <c r="I54" s="235">
        <f>((I53*I32)/I46)+((I53*I33)/I47)+((I53*I34)/I48)</f>
        <v>826878.08066661947</v>
      </c>
      <c r="J54" s="235">
        <f t="shared" si="6"/>
        <v>1257025.0582071231</v>
      </c>
      <c r="K54" s="235">
        <f t="shared" si="6"/>
        <v>186274.04898333279</v>
      </c>
      <c r="L54" s="235">
        <f t="shared" si="6"/>
        <v>282563.79035643081</v>
      </c>
      <c r="M54" s="235">
        <f t="shared" si="6"/>
        <v>-153913.0499943982</v>
      </c>
      <c r="N54" s="235">
        <f t="shared" si="6"/>
        <v>266813.95974927687</v>
      </c>
      <c r="R54"/>
      <c r="U54" s="95"/>
      <c r="V54" s="95"/>
      <c r="W54" s="95"/>
      <c r="X54" s="95"/>
      <c r="Y54" s="95"/>
      <c r="Z54" s="95"/>
      <c r="AA54" s="95"/>
      <c r="AB54" s="95"/>
      <c r="AC54" s="95"/>
      <c r="AD54" s="95"/>
      <c r="AE54" s="95"/>
      <c r="AF54" s="95"/>
    </row>
    <row r="55" spans="1:32">
      <c r="A55" s="114"/>
      <c r="R55" s="508"/>
      <c r="U55" s="235"/>
      <c r="V55" s="235"/>
      <c r="W55" s="235"/>
      <c r="X55" s="235"/>
      <c r="Y55" s="235"/>
      <c r="Z55" s="235"/>
      <c r="AA55" s="235"/>
      <c r="AB55" s="235"/>
      <c r="AC55" s="235"/>
      <c r="AD55" s="235"/>
      <c r="AE55" s="235"/>
      <c r="AF55" s="235"/>
    </row>
    <row r="56" spans="1:32" ht="17.399999999999999">
      <c r="A56" s="147" t="s">
        <v>425</v>
      </c>
      <c r="U56" s="235"/>
      <c r="V56" s="235"/>
      <c r="W56" s="235"/>
      <c r="X56" s="235"/>
      <c r="Y56" s="235"/>
      <c r="Z56" s="235"/>
      <c r="AA56" s="235"/>
      <c r="AB56" s="235"/>
      <c r="AC56" s="235"/>
      <c r="AD56" s="235"/>
      <c r="AE56" s="235"/>
      <c r="AF56" s="235"/>
    </row>
    <row r="57" spans="1:32" ht="15.6">
      <c r="A57" s="113"/>
      <c r="B57" s="146" t="str">
        <f>"PRIOR - "&amp;MANUAL!$B$9</f>
        <v>PRIOR - 2016</v>
      </c>
      <c r="C57" s="5"/>
      <c r="D57" s="5"/>
      <c r="E57" s="5"/>
      <c r="F57" s="5"/>
      <c r="G57" s="5"/>
      <c r="H57" s="5"/>
      <c r="I57" s="5"/>
      <c r="J57" s="5"/>
      <c r="K57" s="5"/>
      <c r="L57" s="5"/>
      <c r="M57" s="5"/>
      <c r="N57" s="5"/>
      <c r="U57" s="235"/>
      <c r="V57" s="235"/>
      <c r="W57" s="235"/>
      <c r="X57" s="235"/>
      <c r="Y57" s="235"/>
      <c r="Z57" s="235"/>
      <c r="AA57" s="235"/>
      <c r="AB57" s="235"/>
      <c r="AC57" s="235"/>
      <c r="AD57" s="235"/>
      <c r="AE57" s="235"/>
      <c r="AF57" s="235"/>
    </row>
    <row r="58" spans="1:32" s="12" customFormat="1" ht="15.6">
      <c r="A58" s="111"/>
      <c r="B58" s="149" t="s">
        <v>432</v>
      </c>
      <c r="C58" s="107">
        <f>IF(C13="",0,MIN((+C$27/C$18/C13)+C23,C59))</f>
        <v>11115519.906862644</v>
      </c>
      <c r="D58" s="107">
        <f t="shared" ref="D58:N58" si="7">IF(D13="",0,MIN((+D$27/D$18/D13)+D23,D59))</f>
        <v>8455541.9522330165</v>
      </c>
      <c r="E58" s="107">
        <f t="shared" si="7"/>
        <v>9116287.0397689007</v>
      </c>
      <c r="F58" s="107">
        <f t="shared" si="7"/>
        <v>9489183.5426738858</v>
      </c>
      <c r="G58" s="107">
        <f t="shared" si="7"/>
        <v>10326402.12540715</v>
      </c>
      <c r="H58" s="107">
        <f t="shared" si="7"/>
        <v>11611957.800796388</v>
      </c>
      <c r="I58" s="107">
        <f t="shared" si="7"/>
        <v>11873987.994849959</v>
      </c>
      <c r="J58" s="107">
        <f t="shared" si="7"/>
        <v>11878583.198691728</v>
      </c>
      <c r="K58" s="107">
        <f t="shared" si="7"/>
        <v>12374146.07628086</v>
      </c>
      <c r="L58" s="107">
        <f t="shared" si="7"/>
        <v>11027096.588485794</v>
      </c>
      <c r="M58" s="107">
        <f t="shared" si="7"/>
        <v>9579129.1974576116</v>
      </c>
      <c r="N58" s="107">
        <f t="shared" si="7"/>
        <v>8928921.7042742744</v>
      </c>
      <c r="P58" s="152">
        <f>AVERAGE(C58:N58)</f>
        <v>10481396.427315185</v>
      </c>
      <c r="R58" s="509"/>
      <c r="U58" s="105"/>
      <c r="V58" s="105"/>
      <c r="W58" s="105"/>
      <c r="X58" s="105"/>
      <c r="Y58" s="105"/>
      <c r="Z58" s="105"/>
      <c r="AA58" s="105"/>
      <c r="AB58" s="105"/>
      <c r="AC58" s="105"/>
      <c r="AD58" s="105"/>
      <c r="AE58" s="105"/>
      <c r="AF58" s="105"/>
    </row>
    <row r="59" spans="1:32" s="12" customFormat="1" ht="15.6">
      <c r="A59" s="111"/>
      <c r="B59" s="149" t="s">
        <v>430</v>
      </c>
      <c r="C59" s="107">
        <f t="shared" ref="C59:N59" si="8">MIN(+C$27/C$18/C14,C60)</f>
        <v>11402970.92690799</v>
      </c>
      <c r="D59" s="107">
        <f t="shared" si="8"/>
        <v>10453425.203548573</v>
      </c>
      <c r="E59" s="107">
        <f t="shared" si="8"/>
        <v>9448867.2742184103</v>
      </c>
      <c r="F59" s="107">
        <f t="shared" si="8"/>
        <v>9692595.4605809841</v>
      </c>
      <c r="G59" s="107">
        <f t="shared" si="8"/>
        <v>10555178.398939686</v>
      </c>
      <c r="H59" s="107">
        <f t="shared" si="8"/>
        <v>12003934.001785956</v>
      </c>
      <c r="I59" s="107">
        <f t="shared" si="8"/>
        <v>12430117.092897104</v>
      </c>
      <c r="J59" s="107">
        <f t="shared" si="8"/>
        <v>12384746.781903554</v>
      </c>
      <c r="K59" s="107">
        <f t="shared" si="8"/>
        <v>13211503.611394707</v>
      </c>
      <c r="L59" s="107">
        <f t="shared" si="8"/>
        <v>11748325.594517337</v>
      </c>
      <c r="M59" s="107">
        <f t="shared" si="8"/>
        <v>9957348.4946358856</v>
      </c>
      <c r="N59" s="107">
        <f t="shared" si="8"/>
        <v>9169389.4449011013</v>
      </c>
      <c r="P59" s="152">
        <f>AVERAGE(C59:N59)</f>
        <v>11038200.190519273</v>
      </c>
      <c r="U59" s="105"/>
      <c r="V59" s="105"/>
      <c r="W59" s="105"/>
      <c r="X59" s="105"/>
      <c r="Y59" s="105"/>
      <c r="Z59" s="105"/>
      <c r="AA59" s="105"/>
      <c r="AB59" s="105"/>
      <c r="AC59" s="105"/>
      <c r="AD59" s="105"/>
      <c r="AE59" s="105"/>
      <c r="AF59" s="105"/>
    </row>
    <row r="60" spans="1:32" s="106" customFormat="1">
      <c r="A60" s="109"/>
      <c r="B60" s="149" t="s">
        <v>133</v>
      </c>
      <c r="C60" s="107">
        <f t="shared" ref="C60:N60" si="9">+C$27/C$18/C15</f>
        <v>32895763.962227426</v>
      </c>
      <c r="D60" s="107">
        <f t="shared" si="9"/>
        <v>30157812.637330309</v>
      </c>
      <c r="E60" s="107">
        <f t="shared" si="9"/>
        <v>27156389.278709557</v>
      </c>
      <c r="F60" s="107">
        <f t="shared" si="9"/>
        <v>24265828.037870485</v>
      </c>
      <c r="G60" s="107">
        <f t="shared" si="9"/>
        <v>24292334.635005925</v>
      </c>
      <c r="H60" s="107">
        <f t="shared" si="9"/>
        <v>25639424.792793684</v>
      </c>
      <c r="I60" s="107">
        <f t="shared" si="9"/>
        <v>26110494.910559721</v>
      </c>
      <c r="J60" s="107">
        <f t="shared" si="9"/>
        <v>25806215.217712793</v>
      </c>
      <c r="K60" s="107">
        <f t="shared" si="9"/>
        <v>27679268.903883524</v>
      </c>
      <c r="L60" s="107">
        <f t="shared" si="9"/>
        <v>27210483.979959015</v>
      </c>
      <c r="M60" s="107">
        <f t="shared" si="9"/>
        <v>29864632.000071343</v>
      </c>
      <c r="N60" s="107">
        <f t="shared" si="9"/>
        <v>28665045.154029503</v>
      </c>
      <c r="P60" s="152">
        <f>AVERAGE(C60:N60)</f>
        <v>27478641.125846107</v>
      </c>
      <c r="U60" s="105"/>
      <c r="V60" s="235"/>
      <c r="W60" s="235"/>
      <c r="X60" s="235"/>
      <c r="Y60" s="235"/>
      <c r="Z60" s="235"/>
      <c r="AA60" s="235"/>
      <c r="AB60" s="235"/>
      <c r="AC60" s="235"/>
      <c r="AD60" s="235"/>
      <c r="AE60" s="235"/>
      <c r="AF60" s="235"/>
    </row>
    <row r="61" spans="1:32" s="106" customFormat="1" ht="16.5" customHeight="1">
      <c r="A61" s="109"/>
      <c r="B61" s="108"/>
      <c r="C61" s="107"/>
      <c r="D61" s="107"/>
      <c r="E61" s="107"/>
      <c r="F61" s="107"/>
      <c r="G61" s="107"/>
      <c r="H61" s="107"/>
      <c r="I61" s="107"/>
      <c r="J61" s="107"/>
      <c r="K61" s="107"/>
      <c r="L61" s="107"/>
      <c r="M61" s="107"/>
      <c r="N61" s="107"/>
    </row>
    <row r="62" spans="1:32" s="106" customFormat="1" ht="16.5" customHeight="1">
      <c r="A62" s="109"/>
      <c r="B62" s="146" t="str">
        <f>"TEST - "&amp;MANUAL!$B$10</f>
        <v>TEST - 2017</v>
      </c>
      <c r="C62" s="107"/>
      <c r="D62" s="107"/>
      <c r="E62" s="107"/>
      <c r="F62" s="107"/>
      <c r="G62" s="107"/>
      <c r="H62" s="107"/>
      <c r="I62" s="107"/>
      <c r="J62" s="107"/>
      <c r="K62" s="107"/>
      <c r="L62" s="107"/>
      <c r="M62" s="107"/>
      <c r="N62" s="107"/>
      <c r="T62" s="522"/>
      <c r="U62" s="523"/>
      <c r="V62" s="523"/>
      <c r="W62" s="523"/>
      <c r="X62" s="523"/>
      <c r="Y62" s="523"/>
      <c r="Z62" s="523"/>
      <c r="AA62" s="523"/>
      <c r="AB62" s="523"/>
      <c r="AC62" s="523"/>
      <c r="AD62" s="523"/>
      <c r="AE62" s="523"/>
      <c r="AF62" s="523"/>
    </row>
    <row r="63" spans="1:32" s="106" customFormat="1" ht="16.5" customHeight="1">
      <c r="A63" s="109"/>
      <c r="B63" s="149" t="s">
        <v>432</v>
      </c>
      <c r="C63" s="107">
        <f>C39+C44</f>
        <v>12266415.5011626</v>
      </c>
      <c r="D63" s="107">
        <f>D39+D44</f>
        <v>8706747.477381099</v>
      </c>
      <c r="E63" s="107">
        <f t="shared" ref="E63:N63" si="10">E39+E44</f>
        <v>10092364.182004977</v>
      </c>
      <c r="F63" s="107">
        <f t="shared" si="10"/>
        <v>10223846.749515673</v>
      </c>
      <c r="G63" s="107">
        <f t="shared" si="10"/>
        <v>11309070.385756409</v>
      </c>
      <c r="H63" s="107">
        <f t="shared" si="10"/>
        <v>12157236.44132923</v>
      </c>
      <c r="I63" s="107">
        <f t="shared" si="10"/>
        <v>12587426.233733175</v>
      </c>
      <c r="J63" s="107">
        <f t="shared" si="10"/>
        <v>12995922.179471279</v>
      </c>
      <c r="K63" s="107">
        <f t="shared" si="10"/>
        <v>12467281.231084516</v>
      </c>
      <c r="L63" s="107">
        <f t="shared" si="10"/>
        <v>11211195.882100441</v>
      </c>
      <c r="M63" s="107">
        <f t="shared" si="10"/>
        <v>9341457.0087480452</v>
      </c>
      <c r="N63" s="107">
        <f t="shared" si="10"/>
        <v>9111417.9954972304</v>
      </c>
      <c r="P63" s="152">
        <f>AVERAGE(C63:N63)</f>
        <v>11039198.438982056</v>
      </c>
      <c r="T63" s="206"/>
      <c r="U63" s="523"/>
      <c r="V63" s="523"/>
      <c r="W63" s="523"/>
      <c r="X63" s="523"/>
      <c r="Y63" s="523"/>
      <c r="Z63" s="523"/>
      <c r="AA63" s="523"/>
      <c r="AB63" s="523"/>
      <c r="AC63" s="523"/>
      <c r="AD63" s="523"/>
      <c r="AE63" s="523"/>
      <c r="AF63" s="523"/>
    </row>
    <row r="64" spans="1:32" s="106" customFormat="1" ht="16.5" customHeight="1">
      <c r="A64" s="109"/>
      <c r="B64" s="149" t="s">
        <v>430</v>
      </c>
      <c r="C64" s="107">
        <f>MAX(+C$28/C$19/C14,C63)</f>
        <v>12266415.5011626</v>
      </c>
      <c r="D64" s="107">
        <f>MAX(+D$28/D$19/D14,D63)</f>
        <v>10690369.007435217</v>
      </c>
      <c r="E64" s="107">
        <f t="shared" ref="D64:N65" si="11">MAX(+E$28/E$19/E14,E63)</f>
        <v>10092364.182004977</v>
      </c>
      <c r="F64" s="107">
        <f t="shared" si="11"/>
        <v>10223846.749515673</v>
      </c>
      <c r="G64" s="107">
        <f t="shared" si="11"/>
        <v>11309070.385756409</v>
      </c>
      <c r="H64" s="107">
        <f t="shared" si="11"/>
        <v>12157236.44132923</v>
      </c>
      <c r="I64" s="107">
        <f t="shared" si="11"/>
        <v>12587426.233733175</v>
      </c>
      <c r="J64" s="107">
        <f t="shared" si="11"/>
        <v>12995922.179471279</v>
      </c>
      <c r="K64" s="107">
        <f t="shared" si="11"/>
        <v>13187357.985081904</v>
      </c>
      <c r="L64" s="107">
        <f t="shared" si="11"/>
        <v>11711310.127020253</v>
      </c>
      <c r="M64" s="107">
        <f t="shared" si="11"/>
        <v>9915916.0956708156</v>
      </c>
      <c r="N64" s="107">
        <f t="shared" si="11"/>
        <v>9119559.8866352905</v>
      </c>
      <c r="P64" s="152">
        <f>AVERAGE(C64:N64)</f>
        <v>11354732.897901403</v>
      </c>
      <c r="T64" s="206"/>
      <c r="U64" s="523"/>
      <c r="V64" s="523"/>
      <c r="W64" s="523"/>
      <c r="X64" s="523"/>
      <c r="Y64" s="523"/>
      <c r="Z64" s="523"/>
      <c r="AA64" s="523"/>
      <c r="AB64" s="523"/>
      <c r="AC64" s="523"/>
      <c r="AD64" s="523"/>
      <c r="AE64" s="523"/>
      <c r="AF64" s="523"/>
    </row>
    <row r="65" spans="1:32" s="106" customFormat="1" ht="16.5" customHeight="1">
      <c r="A65" s="109"/>
      <c r="B65" s="149" t="s">
        <v>133</v>
      </c>
      <c r="C65" s="107">
        <f>MAX(+C$28/C$19/C15,C64)</f>
        <v>33240569.502738744</v>
      </c>
      <c r="D65" s="107">
        <f t="shared" si="11"/>
        <v>30841388.279193997</v>
      </c>
      <c r="E65" s="107">
        <f t="shared" si="11"/>
        <v>26868871.895199031</v>
      </c>
      <c r="F65" s="107">
        <f t="shared" si="11"/>
        <v>24206423.468358532</v>
      </c>
      <c r="G65" s="107">
        <f t="shared" si="11"/>
        <v>24180258.305432726</v>
      </c>
      <c r="H65" s="107">
        <f t="shared" si="11"/>
        <v>25527480.436159562</v>
      </c>
      <c r="I65" s="107">
        <f t="shared" si="11"/>
        <v>26017220.015527923</v>
      </c>
      <c r="J65" s="107">
        <f t="shared" si="11"/>
        <v>25729592.504112281</v>
      </c>
      <c r="K65" s="107">
        <f t="shared" si="11"/>
        <v>27628681.680564873</v>
      </c>
      <c r="L65" s="107">
        <f t="shared" si="11"/>
        <v>27124751.866285715</v>
      </c>
      <c r="M65" s="107">
        <f t="shared" si="11"/>
        <v>29740365.650586989</v>
      </c>
      <c r="N65" s="107">
        <f t="shared" si="11"/>
        <v>28509269.619979188</v>
      </c>
      <c r="P65" s="152">
        <f>AVERAGE(C65:N65)</f>
        <v>27467906.102011632</v>
      </c>
      <c r="T65" s="206"/>
      <c r="U65" s="523"/>
      <c r="V65" s="523"/>
      <c r="W65" s="523"/>
      <c r="X65" s="523"/>
      <c r="Y65" s="523"/>
      <c r="Z65" s="523"/>
      <c r="AA65" s="523"/>
      <c r="AB65" s="523"/>
      <c r="AC65" s="523"/>
      <c r="AD65" s="523"/>
      <c r="AE65" s="523"/>
      <c r="AF65" s="523"/>
    </row>
    <row r="66" spans="1:32" s="106" customFormat="1" ht="16.5" customHeight="1">
      <c r="A66" s="109"/>
      <c r="B66" s="149" t="s">
        <v>158</v>
      </c>
      <c r="C66" s="499">
        <f>IFERROR(C28/C19/C63,0)</f>
        <v>0.48859654635308558</v>
      </c>
      <c r="D66" s="499">
        <f t="shared" ref="D66:N66" si="12">IFERROR(D28/D19/D63,0)</f>
        <v>0.6769011220568325</v>
      </c>
      <c r="E66" s="499">
        <f t="shared" si="12"/>
        <v>0.51647494573903197</v>
      </c>
      <c r="F66" s="499">
        <f t="shared" si="12"/>
        <v>0.53968308457493097</v>
      </c>
      <c r="G66" s="499">
        <f t="shared" si="12"/>
        <v>0.55034946674500751</v>
      </c>
      <c r="H66" s="499">
        <f t="shared" si="12"/>
        <v>0.6043334219464026</v>
      </c>
      <c r="I66" s="499">
        <f t="shared" si="12"/>
        <v>0.6150841055737728</v>
      </c>
      <c r="J66" s="499">
        <f t="shared" si="12"/>
        <v>0.60932988223733442</v>
      </c>
      <c r="K66" s="499">
        <f t="shared" si="12"/>
        <v>0.63546461213944017</v>
      </c>
      <c r="L66" s="499">
        <f t="shared" si="12"/>
        <v>0.61547886968700982</v>
      </c>
      <c r="M66" s="499">
        <f t="shared" si="12"/>
        <v>0.63044546507232946</v>
      </c>
      <c r="N66" s="499">
        <f t="shared" si="12"/>
        <v>0.60079744483711395</v>
      </c>
      <c r="P66" s="152"/>
      <c r="T66" s="206"/>
      <c r="U66" s="523"/>
      <c r="V66" s="523"/>
      <c r="W66" s="523"/>
      <c r="X66" s="523"/>
      <c r="Y66" s="523"/>
      <c r="Z66" s="523"/>
      <c r="AA66" s="523"/>
      <c r="AB66" s="523"/>
      <c r="AC66" s="523"/>
      <c r="AD66" s="523"/>
      <c r="AE66" s="523"/>
      <c r="AF66" s="523"/>
    </row>
    <row r="67" spans="1:32" s="106" customFormat="1" ht="16.5" customHeight="1">
      <c r="A67" s="109"/>
      <c r="B67" s="149" t="s">
        <v>988</v>
      </c>
      <c r="C67" s="499">
        <f>C28/C19/C64</f>
        <v>0.48859654635308558</v>
      </c>
      <c r="D67" s="499">
        <f t="shared" ref="D67:N67" si="13">D28/D19/D64</f>
        <v>0.55130062702285787</v>
      </c>
      <c r="E67" s="499">
        <f t="shared" si="13"/>
        <v>0.51647494573903197</v>
      </c>
      <c r="F67" s="499">
        <f t="shared" si="13"/>
        <v>0.53968308457493097</v>
      </c>
      <c r="G67" s="499">
        <f t="shared" si="13"/>
        <v>0.55034946674500751</v>
      </c>
      <c r="H67" s="499">
        <f t="shared" si="13"/>
        <v>0.6043334219464026</v>
      </c>
      <c r="I67" s="499">
        <f t="shared" si="13"/>
        <v>0.6150841055737728</v>
      </c>
      <c r="J67" s="499">
        <f t="shared" si="13"/>
        <v>0.60932988223733442</v>
      </c>
      <c r="K67" s="499">
        <f t="shared" si="13"/>
        <v>0.60076597912233287</v>
      </c>
      <c r="L67" s="499">
        <f t="shared" si="13"/>
        <v>0.58919575133055524</v>
      </c>
      <c r="M67" s="499">
        <f t="shared" si="13"/>
        <v>0.59392184761471811</v>
      </c>
      <c r="N67" s="499">
        <f t="shared" si="13"/>
        <v>0.60026105629943272</v>
      </c>
      <c r="P67" s="152"/>
      <c r="T67" s="206"/>
      <c r="U67" s="524"/>
      <c r="V67" s="524"/>
      <c r="W67" s="524"/>
      <c r="X67" s="524"/>
      <c r="Y67" s="524"/>
      <c r="Z67" s="524"/>
      <c r="AA67" s="524"/>
      <c r="AB67" s="524"/>
      <c r="AC67" s="524"/>
      <c r="AD67" s="524"/>
      <c r="AE67" s="524"/>
      <c r="AF67" s="524"/>
    </row>
    <row r="68" spans="1:32" s="106" customFormat="1" ht="16.5" customHeight="1">
      <c r="A68" s="109"/>
      <c r="B68" s="149" t="s">
        <v>150</v>
      </c>
      <c r="C68" s="499">
        <f>C28/C19/C65</f>
        <v>0.1803016115444773</v>
      </c>
      <c r="D68" s="499">
        <f t="shared" ref="D68:N68" si="14">D28/D19/D65</f>
        <v>0.1910940935457392</v>
      </c>
      <c r="E68" s="499">
        <f t="shared" si="14"/>
        <v>0.19399598403723597</v>
      </c>
      <c r="F68" s="499">
        <f t="shared" si="14"/>
        <v>0.2279410321484456</v>
      </c>
      <c r="G68" s="499">
        <f t="shared" si="14"/>
        <v>0.2573976165831291</v>
      </c>
      <c r="H68" s="499">
        <f t="shared" si="14"/>
        <v>0.28780843915927451</v>
      </c>
      <c r="I68" s="499">
        <f t="shared" si="14"/>
        <v>0.29758466899348746</v>
      </c>
      <c r="J68" s="499">
        <f t="shared" si="14"/>
        <v>0.3077702738555676</v>
      </c>
      <c r="K68" s="499">
        <f t="shared" si="14"/>
        <v>0.28674969452188742</v>
      </c>
      <c r="L68" s="499">
        <f t="shared" si="14"/>
        <v>0.25438957758472258</v>
      </c>
      <c r="M68" s="499">
        <f t="shared" si="14"/>
        <v>0.1980230935128767</v>
      </c>
      <c r="N68" s="499">
        <f t="shared" si="14"/>
        <v>0.19201181663038447</v>
      </c>
      <c r="P68" s="152"/>
      <c r="T68" s="206"/>
      <c r="U68" s="524"/>
      <c r="V68" s="524"/>
      <c r="W68" s="524"/>
      <c r="X68" s="524"/>
      <c r="Y68" s="524"/>
      <c r="Z68" s="524"/>
      <c r="AA68" s="524"/>
      <c r="AB68" s="524"/>
      <c r="AC68" s="524"/>
      <c r="AD68" s="524"/>
      <c r="AE68" s="524"/>
      <c r="AF68" s="524"/>
    </row>
    <row r="69" spans="1:32" s="106" customFormat="1" ht="16.5" customHeight="1">
      <c r="A69" s="109"/>
      <c r="B69" s="108"/>
      <c r="C69" s="107"/>
      <c r="D69" s="107"/>
      <c r="E69" s="107"/>
      <c r="F69" s="107"/>
      <c r="G69" s="107"/>
      <c r="H69" s="107"/>
      <c r="I69" s="107"/>
      <c r="J69" s="107"/>
      <c r="K69" s="107"/>
      <c r="L69" s="107"/>
      <c r="M69" s="107"/>
      <c r="N69" s="107"/>
      <c r="T69" s="206"/>
      <c r="U69" s="524"/>
      <c r="V69" s="524"/>
      <c r="W69" s="524"/>
      <c r="X69" s="524"/>
      <c r="Y69" s="524"/>
      <c r="Z69" s="524"/>
      <c r="AA69" s="524"/>
      <c r="AB69" s="524"/>
      <c r="AC69" s="524"/>
      <c r="AD69" s="524"/>
      <c r="AE69" s="524"/>
      <c r="AF69" s="524"/>
    </row>
    <row r="70" spans="1:32" s="106" customFormat="1" ht="16.5" customHeight="1">
      <c r="A70" s="109"/>
      <c r="B70" s="146" t="str">
        <f>"SUBSEQUENT - "&amp;MANUAL!$B$11</f>
        <v>SUBSEQUENT - 2018</v>
      </c>
      <c r="C70" s="107"/>
      <c r="D70" s="107"/>
      <c r="E70" s="107"/>
      <c r="F70" s="107"/>
      <c r="G70" s="107"/>
      <c r="H70" s="107"/>
      <c r="I70" s="107"/>
      <c r="J70" s="107"/>
      <c r="K70" s="107"/>
      <c r="L70" s="107"/>
      <c r="M70" s="107"/>
      <c r="N70" s="107"/>
      <c r="T70" s="206"/>
      <c r="U70" s="523"/>
      <c r="V70" s="523"/>
      <c r="W70" s="523"/>
      <c r="X70" s="523"/>
      <c r="Y70" s="523"/>
      <c r="Z70" s="523"/>
      <c r="AA70" s="523"/>
      <c r="AB70" s="523"/>
      <c r="AC70" s="523"/>
      <c r="AD70" s="523"/>
      <c r="AE70" s="523"/>
      <c r="AF70" s="523"/>
    </row>
    <row r="71" spans="1:32" s="106" customFormat="1" ht="16.5" customHeight="1">
      <c r="A71" s="109"/>
      <c r="B71" s="149" t="s">
        <v>432</v>
      </c>
      <c r="C71" s="107">
        <f>C49+C54</f>
        <v>12436715.479783271</v>
      </c>
      <c r="D71" s="107">
        <f t="shared" ref="D71:N71" si="15">D49+D54</f>
        <v>8804289.4707257971</v>
      </c>
      <c r="E71" s="107">
        <f t="shared" si="15"/>
        <v>10208714.097423151</v>
      </c>
      <c r="F71" s="107">
        <f t="shared" si="15"/>
        <v>10344494.673365265</v>
      </c>
      <c r="G71" s="107">
        <f t="shared" si="15"/>
        <v>11445348.265144141</v>
      </c>
      <c r="H71" s="107">
        <f t="shared" si="15"/>
        <v>12300186.666364992</v>
      </c>
      <c r="I71" s="107">
        <f>I49+I54</f>
        <v>12735059.301057592</v>
      </c>
      <c r="J71" s="107">
        <f t="shared" si="15"/>
        <v>13173312.797917232</v>
      </c>
      <c r="K71" s="107">
        <f t="shared" si="15"/>
        <v>12622476.509656837</v>
      </c>
      <c r="L71" s="107">
        <f t="shared" si="15"/>
        <v>11344658.573166814</v>
      </c>
      <c r="M71" s="107">
        <f t="shared" si="15"/>
        <v>9452192.0060957503</v>
      </c>
      <c r="N71" s="107">
        <f t="shared" si="15"/>
        <v>9221765.9555183072</v>
      </c>
      <c r="O71" s="145"/>
      <c r="P71" s="152">
        <f>AVERAGE(C71:N71)</f>
        <v>11174101.14968493</v>
      </c>
      <c r="T71" s="206"/>
      <c r="U71" s="523"/>
      <c r="V71" s="523"/>
      <c r="W71" s="523"/>
      <c r="X71" s="523"/>
      <c r="Y71" s="523"/>
      <c r="Z71" s="523"/>
      <c r="AA71" s="523"/>
      <c r="AB71" s="523"/>
      <c r="AC71" s="523"/>
      <c r="AD71" s="523"/>
      <c r="AE71" s="523"/>
      <c r="AF71" s="523"/>
    </row>
    <row r="72" spans="1:32" s="106" customFormat="1" ht="16.5" customHeight="1">
      <c r="A72" s="109"/>
      <c r="B72" s="149" t="s">
        <v>430</v>
      </c>
      <c r="C72" s="107">
        <f>MAX(+C$29/C$14/C20,C71)</f>
        <v>12436715.479783271</v>
      </c>
      <c r="D72" s="107">
        <f t="shared" ref="D72:N72" si="16">MAX(+D$29/D$14/D20,D71)</f>
        <v>10717692.831553455</v>
      </c>
      <c r="E72" s="107">
        <f t="shared" si="16"/>
        <v>10208714.097423151</v>
      </c>
      <c r="F72" s="107">
        <f t="shared" si="16"/>
        <v>10344494.673365265</v>
      </c>
      <c r="G72" s="107">
        <f t="shared" si="16"/>
        <v>11445348.265144141</v>
      </c>
      <c r="H72" s="107">
        <f t="shared" si="16"/>
        <v>12300186.666364992</v>
      </c>
      <c r="I72" s="107">
        <f t="shared" si="16"/>
        <v>12735059.301057592</v>
      </c>
      <c r="J72" s="107">
        <f t="shared" si="16"/>
        <v>13173312.797917232</v>
      </c>
      <c r="K72" s="107">
        <f t="shared" si="16"/>
        <v>13277759.346655909</v>
      </c>
      <c r="L72" s="107">
        <f t="shared" si="16"/>
        <v>11785612.851307558</v>
      </c>
      <c r="M72" s="107">
        <f t="shared" si="16"/>
        <v>9985389.4595095515</v>
      </c>
      <c r="N72" s="107">
        <f t="shared" si="16"/>
        <v>9221765.9555183072</v>
      </c>
      <c r="O72" s="107"/>
      <c r="P72" s="152">
        <f>AVERAGE(C72:N72)</f>
        <v>11469337.643800035</v>
      </c>
      <c r="T72" s="206"/>
      <c r="U72" s="523"/>
      <c r="V72" s="523"/>
      <c r="W72" s="523"/>
      <c r="X72" s="523"/>
      <c r="Y72" s="523"/>
      <c r="Z72" s="523"/>
      <c r="AA72" s="523"/>
      <c r="AB72" s="523"/>
      <c r="AC72" s="523"/>
      <c r="AD72" s="523"/>
      <c r="AE72" s="523"/>
      <c r="AF72" s="523"/>
    </row>
    <row r="73" spans="1:32" s="106" customFormat="1" ht="16.5" customHeight="1">
      <c r="A73" s="109"/>
      <c r="B73" s="149" t="s">
        <v>133</v>
      </c>
      <c r="C73" s="107">
        <f>MAX(+C$29/C$15/C20,C72)</f>
        <v>33400925.359279197</v>
      </c>
      <c r="D73" s="107">
        <f t="shared" ref="D73:N73" si="17">MAX(+D$29/D$15/D20,D72)</f>
        <v>30920216.677756939</v>
      </c>
      <c r="E73" s="107">
        <f t="shared" si="17"/>
        <v>27011252.676266547</v>
      </c>
      <c r="F73" s="107">
        <f t="shared" si="17"/>
        <v>24395968.823495604</v>
      </c>
      <c r="G73" s="107">
        <f t="shared" si="17"/>
        <v>24378777.304491904</v>
      </c>
      <c r="H73" s="107">
        <f t="shared" si="17"/>
        <v>25706291.317125693</v>
      </c>
      <c r="I73" s="107">
        <f t="shared" si="17"/>
        <v>26185684.648148429</v>
      </c>
      <c r="J73" s="107">
        <f t="shared" si="17"/>
        <v>25888128.311549827</v>
      </c>
      <c r="K73" s="107">
        <f t="shared" si="17"/>
        <v>27818080.530982319</v>
      </c>
      <c r="L73" s="107">
        <f t="shared" si="17"/>
        <v>27296845.58914189</v>
      </c>
      <c r="M73" s="107">
        <f t="shared" si="17"/>
        <v>29948734.01752409</v>
      </c>
      <c r="N73" s="107">
        <f t="shared" si="17"/>
        <v>28748611.737518813</v>
      </c>
      <c r="O73" s="107"/>
      <c r="P73" s="152">
        <f>AVERAGE(C73:N73)</f>
        <v>27641626.416106772</v>
      </c>
      <c r="T73" s="206"/>
      <c r="U73" s="523"/>
      <c r="V73" s="523"/>
      <c r="W73" s="523"/>
      <c r="X73" s="523"/>
      <c r="Y73" s="523"/>
      <c r="Z73" s="523"/>
      <c r="AA73" s="523"/>
      <c r="AB73" s="523"/>
      <c r="AC73" s="523"/>
      <c r="AD73" s="523"/>
      <c r="AE73" s="523"/>
      <c r="AF73" s="523"/>
    </row>
    <row r="74" spans="1:32" s="106" customFormat="1" ht="16.5" customHeight="1">
      <c r="A74" s="109"/>
      <c r="B74" s="149" t="s">
        <v>158</v>
      </c>
      <c r="C74" s="499">
        <f>IFERROR(C29/C20/C71,0)</f>
        <v>0.48423079864972401</v>
      </c>
      <c r="D74" s="499">
        <f t="shared" ref="D74:N74" si="18">IFERROR(D29/D20/D71,0)</f>
        <v>0.67111273407355587</v>
      </c>
      <c r="E74" s="499">
        <f t="shared" si="18"/>
        <v>0.51329427908392833</v>
      </c>
      <c r="F74" s="499">
        <f t="shared" si="18"/>
        <v>0.53756539004334358</v>
      </c>
      <c r="G74" s="499">
        <f t="shared" si="18"/>
        <v>0.5482610950771335</v>
      </c>
      <c r="H74" s="499">
        <f t="shared" si="18"/>
        <v>0.60149392698135296</v>
      </c>
      <c r="I74" s="499">
        <f t="shared" si="18"/>
        <v>0.61189022478599431</v>
      </c>
      <c r="J74" s="499">
        <f t="shared" si="18"/>
        <v>0.60482860023740426</v>
      </c>
      <c r="K74" s="499">
        <f t="shared" si="18"/>
        <v>0.63195412471885104</v>
      </c>
      <c r="L74" s="499">
        <f t="shared" si="18"/>
        <v>0.61209713576058788</v>
      </c>
      <c r="M74" s="499">
        <f t="shared" si="18"/>
        <v>0.62742493520231268</v>
      </c>
      <c r="N74" s="499">
        <f t="shared" si="18"/>
        <v>0.59859176560638772</v>
      </c>
      <c r="O74" s="107"/>
      <c r="P74" s="152"/>
      <c r="T74" s="206"/>
      <c r="U74" s="523"/>
      <c r="V74" s="523"/>
      <c r="W74" s="523"/>
      <c r="X74" s="523"/>
      <c r="Y74" s="523"/>
      <c r="Z74" s="523"/>
      <c r="AA74" s="523"/>
      <c r="AB74" s="523"/>
      <c r="AC74" s="523"/>
      <c r="AD74" s="523"/>
      <c r="AE74" s="523"/>
      <c r="AF74" s="523"/>
    </row>
    <row r="75" spans="1:32" s="106" customFormat="1" ht="16.5" customHeight="1">
      <c r="A75" s="109"/>
      <c r="B75" s="149" t="s">
        <v>988</v>
      </c>
      <c r="C75" s="499">
        <f>C29/C20/C72</f>
        <v>0.48423079864972401</v>
      </c>
      <c r="D75" s="499">
        <f t="shared" ref="D75:N75" si="19">D29/D20/D72</f>
        <v>0.55130062702285798</v>
      </c>
      <c r="E75" s="499">
        <f t="shared" si="19"/>
        <v>0.51329427908392833</v>
      </c>
      <c r="F75" s="499">
        <f t="shared" si="19"/>
        <v>0.53756539004334358</v>
      </c>
      <c r="G75" s="499">
        <f t="shared" si="19"/>
        <v>0.5482610950771335</v>
      </c>
      <c r="H75" s="499">
        <f t="shared" si="19"/>
        <v>0.60149392698135296</v>
      </c>
      <c r="I75" s="499">
        <f t="shared" si="19"/>
        <v>0.61189022478599431</v>
      </c>
      <c r="J75" s="499">
        <f t="shared" si="19"/>
        <v>0.60482860023740426</v>
      </c>
      <c r="K75" s="499">
        <f t="shared" si="19"/>
        <v>0.60076597912233287</v>
      </c>
      <c r="L75" s="499">
        <f t="shared" si="19"/>
        <v>0.58919575133055524</v>
      </c>
      <c r="M75" s="499">
        <f t="shared" si="19"/>
        <v>0.59392184761471811</v>
      </c>
      <c r="N75" s="499">
        <f t="shared" si="19"/>
        <v>0.59859176560638772</v>
      </c>
      <c r="O75" s="107"/>
      <c r="P75" s="152"/>
      <c r="T75" s="206"/>
      <c r="U75" s="523"/>
      <c r="V75" s="523"/>
      <c r="W75" s="523"/>
      <c r="X75" s="523"/>
      <c r="Y75" s="523"/>
      <c r="Z75" s="523"/>
      <c r="AA75" s="523"/>
      <c r="AB75" s="523"/>
      <c r="AC75" s="523"/>
      <c r="AD75" s="523"/>
      <c r="AE75" s="523"/>
      <c r="AF75" s="523"/>
    </row>
    <row r="76" spans="1:32" s="106" customFormat="1" ht="16.5" customHeight="1">
      <c r="A76" s="109"/>
      <c r="B76" s="149" t="s">
        <v>150</v>
      </c>
      <c r="C76" s="499">
        <f>C29/C20/C73</f>
        <v>0.1803016115444773</v>
      </c>
      <c r="D76" s="499">
        <f t="shared" ref="D76:N76" si="20">D29/D20/D73</f>
        <v>0.1910940935457392</v>
      </c>
      <c r="E76" s="499">
        <f t="shared" si="20"/>
        <v>0.19399598403723597</v>
      </c>
      <c r="F76" s="499">
        <f t="shared" si="20"/>
        <v>0.22794103214844563</v>
      </c>
      <c r="G76" s="499">
        <f t="shared" si="20"/>
        <v>0.25739761658312915</v>
      </c>
      <c r="H76" s="499">
        <f t="shared" si="20"/>
        <v>0.28780843915927445</v>
      </c>
      <c r="I76" s="499">
        <f t="shared" si="20"/>
        <v>0.29758466899348751</v>
      </c>
      <c r="J76" s="499">
        <f t="shared" si="20"/>
        <v>0.3077702738555676</v>
      </c>
      <c r="K76" s="499">
        <f t="shared" si="20"/>
        <v>0.28674969452188742</v>
      </c>
      <c r="L76" s="499">
        <f t="shared" si="20"/>
        <v>0.25438957758472258</v>
      </c>
      <c r="M76" s="499">
        <f t="shared" si="20"/>
        <v>0.1980230935128767</v>
      </c>
      <c r="N76" s="499">
        <f t="shared" si="20"/>
        <v>0.19201181663038444</v>
      </c>
      <c r="O76" s="107"/>
      <c r="P76" s="152"/>
      <c r="T76" s="206"/>
      <c r="U76" s="556"/>
      <c r="V76" s="556"/>
      <c r="W76" s="556"/>
      <c r="X76" s="556"/>
      <c r="Y76" s="556"/>
      <c r="Z76" s="556"/>
      <c r="AA76" s="556"/>
      <c r="AB76" s="556"/>
      <c r="AC76" s="556"/>
      <c r="AD76" s="556"/>
      <c r="AE76" s="556"/>
      <c r="AF76" s="556"/>
    </row>
    <row r="77" spans="1:32" s="106" customFormat="1" ht="16.5" customHeight="1">
      <c r="A77" s="109"/>
      <c r="B77" s="108"/>
      <c r="C77" s="107"/>
      <c r="D77" s="107"/>
      <c r="E77" s="107"/>
      <c r="F77" s="107"/>
      <c r="G77" s="107"/>
      <c r="H77" s="107"/>
      <c r="I77" s="107"/>
      <c r="J77" s="107"/>
      <c r="K77" s="107"/>
      <c r="L77" s="107"/>
      <c r="M77" s="107"/>
      <c r="N77" s="107"/>
      <c r="T77" s="206"/>
      <c r="U77" s="556"/>
      <c r="V77" s="556"/>
      <c r="W77" s="556"/>
      <c r="X77" s="556"/>
      <c r="Y77" s="556"/>
      <c r="Z77" s="556"/>
      <c r="AA77" s="556"/>
      <c r="AB77" s="556"/>
      <c r="AC77" s="556"/>
      <c r="AD77" s="556"/>
      <c r="AE77" s="556"/>
      <c r="AF77" s="556"/>
    </row>
    <row r="78" spans="1:32" ht="13.2">
      <c r="A78" s="42" t="s">
        <v>116</v>
      </c>
      <c r="C78" s="105"/>
      <c r="T78" s="206"/>
      <c r="U78" s="556"/>
      <c r="V78" s="556"/>
      <c r="W78" s="556"/>
      <c r="X78" s="556"/>
      <c r="Y78" s="556"/>
      <c r="Z78" s="556"/>
      <c r="AA78" s="556"/>
      <c r="AB78" s="556"/>
      <c r="AC78" s="556"/>
      <c r="AD78" s="556"/>
      <c r="AE78" s="556"/>
      <c r="AF78" s="556"/>
    </row>
    <row r="79" spans="1:32" ht="13.2">
      <c r="A79"/>
      <c r="B79" s="10" t="s">
        <v>338</v>
      </c>
      <c r="C79" s="105"/>
      <c r="D79" s="105"/>
      <c r="E79" s="105"/>
      <c r="F79" s="105"/>
      <c r="G79" s="105"/>
      <c r="H79" s="105"/>
      <c r="I79" s="105"/>
      <c r="J79" s="105"/>
      <c r="K79" s="105"/>
      <c r="L79" s="105"/>
      <c r="M79" s="105"/>
      <c r="N79" s="105"/>
      <c r="U79" s="105"/>
      <c r="V79" s="105"/>
      <c r="W79" s="105"/>
      <c r="X79" s="105"/>
      <c r="Y79" s="105"/>
      <c r="Z79" s="105"/>
      <c r="AA79" s="105"/>
      <c r="AB79" s="105"/>
      <c r="AC79" s="105"/>
      <c r="AD79" s="105"/>
      <c r="AE79" s="105"/>
      <c r="AF79" s="105"/>
    </row>
    <row r="80" spans="1:32" ht="13.2">
      <c r="A80"/>
      <c r="B80" s="81" t="s">
        <v>426</v>
      </c>
      <c r="U80" s="492"/>
      <c r="V80" s="492"/>
      <c r="W80" s="492"/>
      <c r="X80" s="492"/>
      <c r="Y80" s="492"/>
      <c r="Z80" s="492"/>
      <c r="AA80" s="492"/>
      <c r="AB80" s="492"/>
      <c r="AC80" s="492"/>
      <c r="AD80" s="492"/>
      <c r="AE80" s="492"/>
      <c r="AF80" s="492"/>
    </row>
    <row r="81" spans="1:32" ht="13.2">
      <c r="A81"/>
      <c r="B81" s="125" t="s">
        <v>431</v>
      </c>
      <c r="C81" s="104"/>
      <c r="U81" s="492"/>
      <c r="V81" s="492"/>
      <c r="W81" s="492"/>
      <c r="X81" s="492"/>
      <c r="Y81" s="492"/>
      <c r="Z81" s="492"/>
      <c r="AA81" s="492"/>
      <c r="AB81" s="492"/>
      <c r="AC81" s="492"/>
      <c r="AD81" s="492"/>
      <c r="AE81" s="492"/>
      <c r="AF81" s="492"/>
    </row>
    <row r="82" spans="1:32" ht="13.2">
      <c r="A82"/>
      <c r="B82" s="153" t="s">
        <v>435</v>
      </c>
      <c r="E82" s="88"/>
      <c r="U82" s="492"/>
      <c r="V82" s="492"/>
      <c r="W82" s="492"/>
      <c r="X82" s="492"/>
      <c r="Y82" s="492"/>
      <c r="Z82" s="492"/>
      <c r="AA82" s="492"/>
      <c r="AB82" s="492"/>
      <c r="AC82" s="492"/>
      <c r="AD82" s="492"/>
      <c r="AE82" s="492"/>
      <c r="AF82" s="492"/>
    </row>
    <row r="83" spans="1:32" ht="13.2">
      <c r="A83"/>
      <c r="B83" t="s">
        <v>433</v>
      </c>
      <c r="C83" s="98"/>
      <c r="D83" s="98"/>
      <c r="E83" s="98"/>
      <c r="F83" s="98"/>
      <c r="G83" s="98"/>
      <c r="H83" s="98"/>
      <c r="I83" s="98"/>
      <c r="J83" s="98"/>
      <c r="K83" s="98"/>
      <c r="L83" s="98"/>
      <c r="M83" s="98"/>
      <c r="N83" s="98"/>
      <c r="U83" s="492"/>
      <c r="V83" s="492"/>
      <c r="W83" s="492"/>
      <c r="X83" s="492"/>
      <c r="Y83" s="492"/>
      <c r="Z83" s="492"/>
      <c r="AA83" s="492"/>
      <c r="AB83" s="492"/>
      <c r="AC83" s="492"/>
      <c r="AD83" s="492"/>
      <c r="AE83" s="492"/>
      <c r="AF83" s="492"/>
    </row>
    <row r="84" spans="1:32" ht="409.6">
      <c r="U84" s="492"/>
      <c r="V84" s="492"/>
      <c r="W84" s="492"/>
      <c r="X84" s="492"/>
      <c r="Y84" s="492"/>
      <c r="Z84" s="492"/>
      <c r="AA84" s="492"/>
      <c r="AB84" s="492"/>
      <c r="AC84" s="492"/>
      <c r="AD84" s="492"/>
      <c r="AE84" s="492"/>
      <c r="AF84" s="492"/>
    </row>
    <row r="85" spans="1:32" ht="409.6">
      <c r="U85" s="492"/>
      <c r="V85" s="492"/>
      <c r="W85" s="492"/>
      <c r="X85" s="492"/>
      <c r="Y85" s="492"/>
      <c r="Z85" s="492"/>
      <c r="AA85" s="492"/>
      <c r="AB85" s="492"/>
      <c r="AC85" s="492"/>
      <c r="AD85" s="492"/>
      <c r="AE85" s="492"/>
      <c r="AF85" s="492"/>
    </row>
    <row r="86" spans="1:32">
      <c r="U86" s="492"/>
      <c r="V86" s="492"/>
      <c r="W86" s="492"/>
      <c r="X86" s="492"/>
      <c r="Y86" s="492"/>
      <c r="Z86" s="492"/>
      <c r="AA86" s="492"/>
      <c r="AB86" s="492"/>
      <c r="AC86" s="492"/>
      <c r="AD86" s="492"/>
      <c r="AE86" s="492"/>
      <c r="AF86" s="492"/>
    </row>
    <row r="89" spans="1:32">
      <c r="G89" s="145"/>
    </row>
    <row r="90" spans="1:32" ht="409.6">
      <c r="G90" s="44"/>
    </row>
    <row r="92" spans="1:32">
      <c r="G92" s="150"/>
    </row>
  </sheetData>
  <mergeCells count="3">
    <mergeCell ref="C7:E7"/>
    <mergeCell ref="F7:L7"/>
    <mergeCell ref="M7:N7"/>
  </mergeCells>
  <conditionalFormatting sqref="C59:N59">
    <cfRule type="cellIs" dxfId="121" priority="10" operator="greaterThanOrEqual">
      <formula>C60</formula>
    </cfRule>
  </conditionalFormatting>
  <conditionalFormatting sqref="C58:N58">
    <cfRule type="cellIs" dxfId="120" priority="8" operator="greaterThanOrEqual">
      <formula>C59</formula>
    </cfRule>
  </conditionalFormatting>
  <conditionalFormatting sqref="C72:N72">
    <cfRule type="cellIs" dxfId="119" priority="2" operator="greaterThanOrEqual">
      <formula>C73</formula>
    </cfRule>
  </conditionalFormatting>
  <conditionalFormatting sqref="C71:N71">
    <cfRule type="cellIs" dxfId="118" priority="1" operator="greaterThan">
      <formula>C72</formula>
    </cfRule>
  </conditionalFormatting>
  <conditionalFormatting sqref="C64:N64">
    <cfRule type="cellIs" dxfId="117" priority="4" operator="greaterThanOrEqual">
      <formula>C65</formula>
    </cfRule>
  </conditionalFormatting>
  <conditionalFormatting sqref="C63:N63">
    <cfRule type="cellIs" dxfId="116" priority="3" operator="greaterThan">
      <formula>C64</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pageSetUpPr fitToPage="1"/>
  </sheetPr>
  <dimension ref="A1:AE92"/>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 min="18" max="18" width="10.6640625" bestFit="1" customWidth="1"/>
    <col min="19" max="19" width="16.109375" bestFit="1" customWidth="1"/>
    <col min="20" max="20" width="10.6640625" bestFit="1" customWidth="1"/>
    <col min="21" max="21" width="9.44140625" bestFit="1" customWidth="1"/>
    <col min="22" max="22" width="7" customWidth="1"/>
    <col min="23" max="23" width="8.44140625" customWidth="1"/>
    <col min="24" max="24" width="11.5546875" bestFit="1" customWidth="1"/>
  </cols>
  <sheetData>
    <row r="1" spans="1:16" s="8" customFormat="1" ht="15.6">
      <c r="A1" s="624"/>
      <c r="B1" s="8" t="s">
        <v>1295</v>
      </c>
    </row>
    <row r="2" spans="1:16" s="8" customFormat="1" ht="15.6">
      <c r="A2" s="624"/>
      <c r="B2" s="8" t="s">
        <v>1267</v>
      </c>
    </row>
    <row r="3" spans="1:16" s="8" customFormat="1" ht="15.6">
      <c r="A3" s="624"/>
    </row>
    <row r="4" spans="1:16" ht="21">
      <c r="A4" s="124" t="s">
        <v>448</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t="s">
        <v>53</v>
      </c>
      <c r="C9" s="320">
        <v>3</v>
      </c>
      <c r="D9" s="320">
        <v>4</v>
      </c>
      <c r="E9" s="320">
        <v>5</v>
      </c>
      <c r="F9" s="320">
        <v>6</v>
      </c>
      <c r="G9" s="320">
        <v>7</v>
      </c>
      <c r="H9" s="320">
        <v>8</v>
      </c>
      <c r="I9" s="320">
        <v>9</v>
      </c>
      <c r="J9" s="320">
        <v>10</v>
      </c>
      <c r="K9" s="320">
        <v>11</v>
      </c>
      <c r="L9" s="320">
        <v>12</v>
      </c>
      <c r="M9" s="320">
        <v>13</v>
      </c>
      <c r="N9" s="320">
        <v>14</v>
      </c>
      <c r="P9" s="329"/>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IFERROR(VLOOKUP($B$9,'Avg KWH'!$A$12:$O$38,C9,FALSE)/HOURS!B15/VLOOKUP($B$9,'Avg CP'!$A$12:$P$38,C9,FALSE),"")</f>
        <v>1.3338849075762926</v>
      </c>
      <c r="D13" s="115" t="str">
        <f>IFERROR(VLOOKUP($B$9,'Avg KWH'!$A$12:$O$38,D9,FALSE)/HOURS!C15/VLOOKUP($B$9,'Avg CP'!$A$12:$P$38,D9,FALSE),"")</f>
        <v/>
      </c>
      <c r="E13" s="115" t="str">
        <f>IFERROR(VLOOKUP($B$9,'Avg KWH'!$A$12:$O$38,E9,FALSE)/HOURS!D15/VLOOKUP($B$9,'Avg CP'!$A$12:$P$38,E9,FALSE),"")</f>
        <v/>
      </c>
      <c r="F13" s="115" t="str">
        <f>IFERROR(VLOOKUP($B$9,'Avg KWH'!$A$12:$O$38,F9,FALSE)/HOURS!E15/VLOOKUP($B$9,'Avg CP'!$A$12:$P$38,F9,FALSE),"")</f>
        <v/>
      </c>
      <c r="G13" s="115" t="str">
        <f>IFERROR(VLOOKUP($B$9,'Avg KWH'!$A$12:$O$38,G9,FALSE)/HOURS!F15/VLOOKUP($B$9,'Avg CP'!$A$12:$P$38,G9,FALSE),"")</f>
        <v/>
      </c>
      <c r="H13" s="115" t="str">
        <f>IFERROR(VLOOKUP($B$9,'Avg KWH'!$A$12:$O$38,H9,FALSE)/HOURS!G15/VLOOKUP($B$9,'Avg CP'!$A$12:$P$38,H9,FALSE),"")</f>
        <v/>
      </c>
      <c r="I13" s="115" t="str">
        <f>IFERROR(VLOOKUP($B$9,'Avg KWH'!$A$12:$O$38,I9,FALSE)/HOURS!H15/VLOOKUP($B$9,'Avg CP'!$A$12:$P$38,I9,FALSE),"")</f>
        <v/>
      </c>
      <c r="J13" s="115" t="str">
        <f>IFERROR(VLOOKUP($B$9,'Avg KWH'!$A$12:$O$38,J9,FALSE)/HOURS!I15/VLOOKUP($B$9,'Avg CP'!$A$12:$P$38,J9,FALSE),"")</f>
        <v/>
      </c>
      <c r="K13" s="115" t="str">
        <f>IFERROR(VLOOKUP($B$9,'Avg KWH'!$A$12:$O$38,K9,FALSE)/HOURS!J15/VLOOKUP($B$9,'Avg CP'!$A$12:$P$38,K9,FALSE),"")</f>
        <v/>
      </c>
      <c r="L13" s="115" t="str">
        <f>IFERROR(VLOOKUP($B$9,'Avg KWH'!$A$12:$O$38,L9,FALSE)/HOURS!K15/VLOOKUP($B$9,'Avg CP'!$A$12:$P$38,L9,FALSE),"")</f>
        <v/>
      </c>
      <c r="M13" s="115">
        <f>IFERROR(VLOOKUP($B$9,'Avg KWH'!$A$12:$O$38,M9,FALSE)/HOURS!L15/VLOOKUP($B$9,'Avg CP'!$A$12:$P$38,M9,FALSE),"")</f>
        <v>1.52514980491481</v>
      </c>
      <c r="N13" s="115">
        <f>IFERROR(VLOOKUP($B$9,'Avg KWH'!$A$12:$O$38,N9,FALSE)/HOURS!M15/VLOOKUP($B$9,'Avg CP'!$A$12:$P$38,N9,FALSE),"")</f>
        <v>1.7580388400454101</v>
      </c>
    </row>
    <row r="14" spans="1:16" s="110" customFormat="1">
      <c r="A14" s="119"/>
      <c r="B14" s="118" t="s">
        <v>342</v>
      </c>
      <c r="C14" s="115">
        <f>IFERROR(VLOOKUP($B$9,'Avg KWH'!$A$12:$O$38,C9,FALSE)/HOURS!B15/VLOOKUP($B$9,'Avg GNCP'!$A$11:$P$37,C9,FALSE),0)</f>
        <v>0.55221567288667817</v>
      </c>
      <c r="D14" s="115">
        <f>IFERROR(VLOOKUP($B$9,'Avg KWH'!$A$12:$O$38,D9,FALSE)/HOURS!C15/VLOOKUP($B$9,'Avg GNCP'!$A$11:$P$37,D9,FALSE),0)</f>
        <v>0.52998213586551624</v>
      </c>
      <c r="E14" s="115">
        <f>IFERROR(VLOOKUP($B$9,'Avg KWH'!$A$12:$O$38,E9,FALSE)/HOURS!D15/VLOOKUP($B$9,'Avg GNCP'!$A$11:$P$37,E9,FALSE),0)</f>
        <v>0.49850927648012566</v>
      </c>
      <c r="F14" s="115">
        <f>IFERROR(VLOOKUP($B$9,'Avg KWH'!$A$12:$O$38,F9,FALSE)/HOURS!E15/VLOOKUP($B$9,'Avg GNCP'!$A$11:$P$37,F9,FALSE),0)</f>
        <v>0.46799877978184468</v>
      </c>
      <c r="G14" s="115">
        <f>IFERROR(VLOOKUP($B$9,'Avg KWH'!$A$12:$O$38,G9,FALSE)/HOURS!F15/VLOOKUP($B$9,'Avg GNCP'!$A$11:$P$37,G9,FALSE),0)</f>
        <v>0.44207962580564686</v>
      </c>
      <c r="H14" s="115">
        <f>IFERROR(VLOOKUP($B$9,'Avg KWH'!$A$12:$O$38,H9,FALSE)/HOURS!G15/VLOOKUP($B$9,'Avg GNCP'!$A$11:$P$37,H9,FALSE),0)</f>
        <v>0.42943565245715143</v>
      </c>
      <c r="I14" s="115">
        <f>IFERROR(VLOOKUP($B$9,'Avg KWH'!$A$12:$O$38,I9,FALSE)/HOURS!H15/VLOOKUP($B$9,'Avg GNCP'!$A$11:$P$37,I9,FALSE),0)</f>
        <v>0.43512322819272786</v>
      </c>
      <c r="J14" s="115">
        <f>IFERROR(VLOOKUP($B$9,'Avg KWH'!$A$12:$O$38,J9,FALSE)/HOURS!I15/VLOOKUP($B$9,'Avg GNCP'!$A$11:$P$37,J9,FALSE),0)</f>
        <v>0.45698294376251891</v>
      </c>
      <c r="K14" s="115">
        <f>IFERROR(VLOOKUP($B$9,'Avg KWH'!$A$12:$O$38,K9,FALSE)/HOURS!J15/VLOOKUP($B$9,'Avg GNCP'!$A$11:$P$37,K9,FALSE),0)</f>
        <v>0.4870234015485928</v>
      </c>
      <c r="L14" s="115">
        <f>IFERROR(VLOOKUP($B$9,'Avg KWH'!$A$12:$O$38,L9,FALSE)/HOURS!K15/VLOOKUP($B$9,'Avg GNCP'!$A$11:$P$37,L9,FALSE),0)</f>
        <v>0.51867176385786362</v>
      </c>
      <c r="M14" s="115">
        <f>IFERROR(VLOOKUP($B$9,'Avg KWH'!$A$12:$O$38,M9,FALSE)/HOURS!L15/VLOOKUP($B$9,'Avg GNCP'!$A$11:$P$37,M9,FALSE),0)</f>
        <v>0.54553193248961729</v>
      </c>
      <c r="N14" s="115">
        <f>IFERROR(VLOOKUP($B$9,'Avg KWH'!$A$12:$O$38,N9,FALSE)/HOURS!M15/VLOOKUP($B$9,'Avg GNCP'!$A$11:$P$37,N9,FALSE),0)</f>
        <v>0.55895647797100845</v>
      </c>
    </row>
    <row r="15" spans="1:16" s="10" customFormat="1">
      <c r="A15" s="119"/>
      <c r="B15" s="148" t="s">
        <v>133</v>
      </c>
      <c r="C15" s="115">
        <f>IFERROR(VLOOKUP($B$9,'Avg KWH'!$A$12:$O$38,C9,FALSE)/HOURS!B15/VLOOKUP($B$9,'Avg NCP'!$B$12:$P$38,C9-1,FALSE),"")</f>
        <v>0.55221567288667817</v>
      </c>
      <c r="D15" s="115">
        <f>IFERROR(VLOOKUP($B$9,'Avg KWH'!$A$12:$O$38,D9,FALSE)/HOURS!C15/VLOOKUP($B$9,'Avg NCP'!$B$12:$P$38,D9-1,FALSE),"")</f>
        <v>0.52998213586551624</v>
      </c>
      <c r="E15" s="115">
        <f>IFERROR(VLOOKUP($B$9,'Avg KWH'!$A$12:$O$38,E9,FALSE)/HOURS!D15/VLOOKUP($B$9,'Avg NCP'!$B$12:$P$38,E9-1,FALSE),"")</f>
        <v>0.49850927648012566</v>
      </c>
      <c r="F15" s="115">
        <f>IFERROR(VLOOKUP($B$9,'Avg KWH'!$A$12:$O$38,F9,FALSE)/HOURS!E15/VLOOKUP($B$9,'Avg NCP'!$B$12:$P$38,F9-1,FALSE),"")</f>
        <v>0.46799877978184468</v>
      </c>
      <c r="G15" s="115">
        <f>IFERROR(VLOOKUP($B$9,'Avg KWH'!$A$12:$O$38,G9,FALSE)/HOURS!F15/VLOOKUP($B$9,'Avg NCP'!$B$12:$P$38,G9-1,FALSE),"")</f>
        <v>0.44207962580564686</v>
      </c>
      <c r="H15" s="115">
        <f>IFERROR(VLOOKUP($B$9,'Avg KWH'!$A$12:$O$38,H9,FALSE)/HOURS!G15/VLOOKUP($B$9,'Avg NCP'!$B$12:$P$38,H9-1,FALSE),"")</f>
        <v>0.42943565245715143</v>
      </c>
      <c r="I15" s="115">
        <f>IFERROR(VLOOKUP($B$9,'Avg KWH'!$A$12:$O$38,I9,FALSE)/HOURS!H15/VLOOKUP($B$9,'Avg NCP'!$B$12:$P$38,I9-1,FALSE),"")</f>
        <v>0.43512322819272786</v>
      </c>
      <c r="J15" s="115">
        <f>IFERROR(VLOOKUP($B$9,'Avg KWH'!$A$12:$O$38,J9,FALSE)/HOURS!I15/VLOOKUP($B$9,'Avg NCP'!$B$12:$P$38,J9-1,FALSE),"")</f>
        <v>0.45698294376251891</v>
      </c>
      <c r="K15" s="115">
        <f>IFERROR(VLOOKUP($B$9,'Avg KWH'!$A$12:$O$38,K9,FALSE)/HOURS!J15/VLOOKUP($B$9,'Avg NCP'!$B$12:$P$38,K9-1,FALSE),"")</f>
        <v>0.4870234015485928</v>
      </c>
      <c r="L15" s="115">
        <f>IFERROR(VLOOKUP($B$9,'Avg KWH'!$A$12:$O$38,L9,FALSE)/HOURS!K15/VLOOKUP($B$9,'Avg NCP'!$B$12:$P$38,L9-1,FALSE),"")</f>
        <v>0.51867176385786362</v>
      </c>
      <c r="M15" s="115">
        <f>IFERROR(VLOOKUP($B$9,'Avg KWH'!$A$12:$O$38,M9,FALSE)/HOURS!L15/VLOOKUP($B$9,'Avg NCP'!$B$12:$P$38,M9-1,FALSE),"")</f>
        <v>0.54553193248961729</v>
      </c>
      <c r="N15" s="115">
        <f>IFERROR(VLOOKUP($B$9,'Avg KWH'!$A$12:$O$38,N9,FALSE)/HOURS!M15/VLOOKUP($B$9,'Avg NCP'!$B$12:$P$38,N9-1,FALSE),"")</f>
        <v>0.55895647797100845</v>
      </c>
    </row>
    <row r="16" spans="1:16">
      <c r="A16" s="114"/>
      <c r="C16" s="116"/>
      <c r="D16" s="116"/>
      <c r="E16" s="116"/>
      <c r="F16" s="116"/>
      <c r="G16" s="116"/>
      <c r="H16" s="116"/>
      <c r="I16" s="116"/>
      <c r="J16" s="116"/>
      <c r="K16" s="116"/>
      <c r="L16" s="116"/>
      <c r="M16" s="117"/>
      <c r="N16" s="116"/>
    </row>
    <row r="17" spans="1:18" ht="15.6">
      <c r="A17" s="113" t="s">
        <v>421</v>
      </c>
      <c r="C17" s="5"/>
      <c r="D17" s="5"/>
      <c r="E17" s="5"/>
      <c r="F17" s="5"/>
      <c r="G17" s="5"/>
      <c r="H17" s="5"/>
      <c r="I17" s="5"/>
      <c r="J17" s="5"/>
      <c r="K17" s="5"/>
      <c r="L17" s="5"/>
      <c r="M17" s="115"/>
      <c r="N17" s="5"/>
    </row>
    <row r="18" spans="1:18">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8">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8">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8">
      <c r="A21" s="114"/>
      <c r="C21" s="5"/>
      <c r="D21" s="5"/>
      <c r="E21" s="5"/>
      <c r="F21" s="5"/>
      <c r="G21" s="5"/>
      <c r="H21" s="5"/>
      <c r="I21" s="5"/>
      <c r="J21" s="5"/>
      <c r="K21" s="5"/>
      <c r="L21" s="5"/>
      <c r="M21" s="115"/>
      <c r="N21" s="5"/>
    </row>
    <row r="22" spans="1:18" ht="15.6">
      <c r="A22" s="113" t="s">
        <v>427</v>
      </c>
      <c r="C22" s="5"/>
      <c r="D22" s="5"/>
      <c r="E22" s="5"/>
      <c r="F22" s="5"/>
      <c r="G22" s="5"/>
      <c r="H22" s="5"/>
      <c r="I22" s="5"/>
      <c r="J22" s="5"/>
      <c r="K22" s="5"/>
      <c r="L22" s="5"/>
      <c r="M22" s="115"/>
      <c r="N22" s="5"/>
    </row>
    <row r="23" spans="1:18">
      <c r="A23" s="114"/>
      <c r="B23" t="s">
        <v>428</v>
      </c>
      <c r="C23" s="145">
        <v>0</v>
      </c>
      <c r="D23" s="145">
        <v>0</v>
      </c>
      <c r="E23" s="145">
        <v>0</v>
      </c>
      <c r="F23" s="145">
        <v>0</v>
      </c>
      <c r="G23" s="145">
        <v>0</v>
      </c>
      <c r="H23" s="145">
        <v>0</v>
      </c>
      <c r="I23" s="145">
        <v>0</v>
      </c>
      <c r="J23" s="145">
        <v>0</v>
      </c>
      <c r="K23" s="145">
        <v>0</v>
      </c>
      <c r="L23" s="145">
        <v>0</v>
      </c>
      <c r="M23" s="145">
        <v>0</v>
      </c>
      <c r="N23" s="145">
        <v>0</v>
      </c>
    </row>
    <row r="24" spans="1:18">
      <c r="A24" s="114"/>
      <c r="B24" t="s">
        <v>429</v>
      </c>
      <c r="C24" s="145">
        <v>0</v>
      </c>
      <c r="D24" s="145">
        <v>0</v>
      </c>
      <c r="E24" s="145">
        <v>0</v>
      </c>
      <c r="F24" s="145">
        <v>0</v>
      </c>
      <c r="G24" s="145">
        <v>0</v>
      </c>
      <c r="H24" s="145">
        <v>0</v>
      </c>
      <c r="I24" s="145">
        <v>0</v>
      </c>
      <c r="J24" s="145">
        <v>0</v>
      </c>
      <c r="K24" s="145">
        <v>0</v>
      </c>
      <c r="L24" s="145">
        <v>0</v>
      </c>
      <c r="M24" s="145">
        <v>0</v>
      </c>
      <c r="N24" s="145">
        <v>0</v>
      </c>
    </row>
    <row r="25" spans="1:18">
      <c r="A25" s="114"/>
      <c r="C25" s="5"/>
      <c r="D25" s="5"/>
      <c r="E25" s="5"/>
      <c r="F25" s="5"/>
      <c r="G25" s="5"/>
      <c r="H25" s="5"/>
      <c r="I25" s="5"/>
      <c r="J25" s="5"/>
      <c r="K25" s="5"/>
      <c r="L25" s="5"/>
      <c r="M25" s="115"/>
      <c r="N25" s="5"/>
    </row>
    <row r="26" spans="1:18" ht="15.6">
      <c r="A26" s="113" t="s">
        <v>424</v>
      </c>
      <c r="C26" s="5"/>
      <c r="D26" s="5"/>
      <c r="E26" s="5"/>
      <c r="F26" s="5"/>
      <c r="G26" s="5"/>
      <c r="H26" s="5"/>
      <c r="I26" s="5"/>
      <c r="J26" s="5"/>
      <c r="K26" s="5"/>
      <c r="L26" s="5"/>
      <c r="M26" s="115"/>
      <c r="N26" s="5"/>
    </row>
    <row r="27" spans="1:18" s="106" customFormat="1">
      <c r="A27" s="109"/>
      <c r="B27" s="108" t="str">
        <f>"PRIOR - "&amp;MANUAL!$B$9</f>
        <v>PRIOR - 2016</v>
      </c>
      <c r="C27" s="142">
        <f>VLOOKUP($B$9,'Sales Forecast'!$B$7:$AO$23,C9-1,FALSE)</f>
        <v>48174083</v>
      </c>
      <c r="D27" s="142">
        <f>VLOOKUP($B$9,'Sales Forecast'!$B$7:$AO$23,D9-1,FALSE)</f>
        <v>44675133</v>
      </c>
      <c r="E27" s="142">
        <f>VLOOKUP($B$9,'Sales Forecast'!$B$7:$AO$23,E9-1,FALSE)</f>
        <v>44932085</v>
      </c>
      <c r="F27" s="142">
        <f>VLOOKUP($B$9,'Sales Forecast'!$B$7:$AO$23,F9-1,FALSE)</f>
        <v>46308634</v>
      </c>
      <c r="G27" s="142">
        <f>VLOOKUP($B$9,'Sales Forecast'!$B$7:$AO$23,G9-1,FALSE)</f>
        <v>46167749</v>
      </c>
      <c r="H27" s="142">
        <f>VLOOKUP($B$9,'Sales Forecast'!$B$7:$AO$23,H9-1,FALSE)</f>
        <v>43695955</v>
      </c>
      <c r="I27" s="142">
        <f>VLOOKUP($B$9,'Sales Forecast'!$B$7:$AO$23,I9-1,FALSE)</f>
        <v>45197734</v>
      </c>
      <c r="J27" s="142">
        <f>VLOOKUP($B$9,'Sales Forecast'!$B$7:$AO$23,J9-1,FALSE)</f>
        <v>51483554</v>
      </c>
      <c r="K27" s="142">
        <f>VLOOKUP($B$9,'Sales Forecast'!$B$7:$AO$23,K9-1,FALSE)</f>
        <v>45694635</v>
      </c>
      <c r="L27" s="142">
        <f>VLOOKUP($B$9,'Sales Forecast'!$B$7:$AO$23,L9-1,FALSE)</f>
        <v>43097778</v>
      </c>
      <c r="M27" s="142">
        <f>VLOOKUP($B$9,'Sales Forecast'!$B$7:$AO$23,M9-1,FALSE)</f>
        <v>42650157</v>
      </c>
      <c r="N27" s="142">
        <f>VLOOKUP($B$9,'Sales Forecast'!$B$7:$AO$23,N9-1,FALSE)</f>
        <v>48984218</v>
      </c>
    </row>
    <row r="28" spans="1:18" s="12" customFormat="1" ht="15.6">
      <c r="A28" s="111"/>
      <c r="B28" s="108" t="str">
        <f>"TEST - "&amp;MANUAL!$B$10</f>
        <v>TEST - 2017</v>
      </c>
      <c r="C28" s="142">
        <f>VLOOKUP($B$9,'Sales Forecast'!$B$7:$AO$23,C9+11,FALSE)</f>
        <v>49089770</v>
      </c>
      <c r="D28" s="142">
        <f>VLOOKUP($B$9,'Sales Forecast'!$B$7:$AO$23,D9+11,FALSE)</f>
        <v>45452138</v>
      </c>
      <c r="E28" s="142">
        <f>VLOOKUP($B$9,'Sales Forecast'!$B$7:$AO$23,E9+11,FALSE)</f>
        <v>45698883</v>
      </c>
      <c r="F28" s="142">
        <f>VLOOKUP($B$9,'Sales Forecast'!$B$7:$AO$23,F9+11,FALSE)</f>
        <v>47161001</v>
      </c>
      <c r="G28" s="142">
        <f>VLOOKUP($B$9,'Sales Forecast'!$B$7:$AO$23,G9+11,FALSE)</f>
        <v>46982784</v>
      </c>
      <c r="H28" s="142">
        <f>VLOOKUP($B$9,'Sales Forecast'!$B$7:$AO$23,H9+11,FALSE)</f>
        <v>44454046</v>
      </c>
      <c r="I28" s="142">
        <f>VLOOKUP($B$9,'Sales Forecast'!$B$7:$AO$23,I9+11,FALSE)</f>
        <v>45978606</v>
      </c>
      <c r="J28" s="142">
        <f>VLOOKUP($B$9,'Sales Forecast'!$B$7:$AO$23,J9+11,FALSE)</f>
        <v>52412648</v>
      </c>
      <c r="K28" s="142">
        <f>VLOOKUP($B$9,'Sales Forecast'!$B$7:$AO$23,K9+11,FALSE)</f>
        <v>46488434</v>
      </c>
      <c r="L28" s="142">
        <f>VLOOKUP($B$9,'Sales Forecast'!$B$7:$AO$23,L9+11,FALSE)</f>
        <v>43851383</v>
      </c>
      <c r="M28" s="142">
        <f>VLOOKUP($B$9,'Sales Forecast'!$B$7:$AO$23,M9+11,FALSE)</f>
        <v>43397174</v>
      </c>
      <c r="N28" s="142">
        <f>VLOOKUP($B$9,'Sales Forecast'!$B$7:$AO$23,N9+11,FALSE)</f>
        <v>49840091</v>
      </c>
    </row>
    <row r="29" spans="1:18">
      <c r="A29" s="114"/>
      <c r="B29" t="s">
        <v>1094</v>
      </c>
      <c r="C29" s="142">
        <f>VLOOKUP($B$9,'Sales Forecast'!$B$7:$AO$23,C9+23,FALSE)</f>
        <v>49954501</v>
      </c>
      <c r="D29" s="142">
        <f>VLOOKUP($B$9,'Sales Forecast'!$B$7:$AO$23,D9+23,FALSE)</f>
        <v>46262213</v>
      </c>
      <c r="E29" s="142">
        <f>VLOOKUP($B$9,'Sales Forecast'!$B$7:$AO$23,E9+23,FALSE)</f>
        <v>46526540</v>
      </c>
      <c r="F29" s="142">
        <f>VLOOKUP($B$9,'Sales Forecast'!$B$7:$AO$23,F9+23,FALSE)</f>
        <v>48037603</v>
      </c>
      <c r="G29" s="142">
        <f>VLOOKUP($B$9,'Sales Forecast'!$B$7:$AO$23,G9+23,FALSE)</f>
        <v>47848318</v>
      </c>
      <c r="H29" s="142">
        <f>VLOOKUP($B$9,'Sales Forecast'!$B$7:$AO$23,H9+23,FALSE)</f>
        <v>45261755</v>
      </c>
      <c r="I29" s="142">
        <f>VLOOKUP($B$9,'Sales Forecast'!$B$7:$AO$23,I9+23,FALSE)</f>
        <v>46811116</v>
      </c>
      <c r="J29" s="142">
        <f>VLOOKUP($B$9,'Sales Forecast'!$B$7:$AO$23,J9+23,FALSE)</f>
        <v>53380049</v>
      </c>
      <c r="K29" s="142">
        <f>VLOOKUP($B$9,'Sales Forecast'!$B$7:$AO$23,K9+23,FALSE)</f>
        <v>47321203</v>
      </c>
      <c r="L29" s="142">
        <f>VLOOKUP($B$9,'Sales Forecast'!$B$7:$AO$23,L9+23,FALSE)</f>
        <v>44630969</v>
      </c>
      <c r="M29" s="142">
        <f>VLOOKUP($B$9,'Sales Forecast'!$B$7:$AO$23,M9+23,FALSE)</f>
        <v>44174215</v>
      </c>
      <c r="N29" s="142">
        <f>VLOOKUP($B$9,'Sales Forecast'!$B$7:$AO$23,N9+23,FALSE)</f>
        <v>50751782</v>
      </c>
    </row>
    <row r="30" spans="1:18">
      <c r="A30" s="114"/>
      <c r="C30" s="142"/>
      <c r="D30" s="142"/>
      <c r="E30" s="142"/>
      <c r="F30" s="142"/>
      <c r="G30" s="142"/>
      <c r="H30" s="142"/>
      <c r="I30" s="142"/>
      <c r="J30" s="142"/>
      <c r="K30" s="142"/>
      <c r="L30" s="142"/>
      <c r="M30" s="142"/>
      <c r="N30" s="142"/>
    </row>
    <row r="31" spans="1:18" s="12" customFormat="1" ht="15.6">
      <c r="A31" s="113" t="s">
        <v>1248</v>
      </c>
      <c r="B31"/>
      <c r="C31" s="142"/>
      <c r="D31" s="142"/>
      <c r="E31" s="142"/>
      <c r="F31" s="142"/>
      <c r="G31" s="142"/>
      <c r="H31" s="142"/>
      <c r="I31" s="142"/>
      <c r="J31" s="142"/>
      <c r="K31" s="142"/>
      <c r="L31" s="142"/>
      <c r="M31" s="142"/>
      <c r="N31" s="142"/>
      <c r="R31"/>
    </row>
    <row r="32" spans="1:18" s="12" customFormat="1">
      <c r="A32" s="114"/>
      <c r="B32" t="s">
        <v>1254</v>
      </c>
      <c r="C32" s="115">
        <v>0</v>
      </c>
      <c r="D32" s="115">
        <v>0</v>
      </c>
      <c r="E32" s="115">
        <v>0</v>
      </c>
      <c r="F32" s="115">
        <v>0</v>
      </c>
      <c r="G32" s="115">
        <v>0</v>
      </c>
      <c r="H32" s="115">
        <v>0</v>
      </c>
      <c r="I32" s="115">
        <v>0</v>
      </c>
      <c r="J32" s="115">
        <v>0</v>
      </c>
      <c r="K32" s="115">
        <v>0</v>
      </c>
      <c r="L32" s="115">
        <v>0</v>
      </c>
      <c r="M32" s="115">
        <v>0</v>
      </c>
      <c r="N32" s="115">
        <v>0</v>
      </c>
      <c r="R32"/>
    </row>
    <row r="33" spans="1:31" s="12" customFormat="1">
      <c r="A33" s="114"/>
      <c r="B33" t="s">
        <v>1253</v>
      </c>
      <c r="C33" s="115">
        <v>0</v>
      </c>
      <c r="D33" s="115">
        <v>0</v>
      </c>
      <c r="E33" s="115">
        <v>0</v>
      </c>
      <c r="F33" s="115">
        <v>0</v>
      </c>
      <c r="G33" s="115">
        <v>0</v>
      </c>
      <c r="H33" s="115">
        <v>0</v>
      </c>
      <c r="I33" s="115">
        <v>0</v>
      </c>
      <c r="J33" s="115">
        <v>0</v>
      </c>
      <c r="K33" s="115">
        <v>0</v>
      </c>
      <c r="L33" s="115">
        <v>0</v>
      </c>
      <c r="M33" s="115">
        <v>0</v>
      </c>
      <c r="N33" s="115">
        <v>0</v>
      </c>
      <c r="R33" s="507"/>
    </row>
    <row r="34" spans="1:31" s="12" customFormat="1">
      <c r="A34" s="114"/>
      <c r="B34" t="s">
        <v>1252</v>
      </c>
      <c r="C34" s="115">
        <v>1</v>
      </c>
      <c r="D34" s="115">
        <v>1</v>
      </c>
      <c r="E34" s="115">
        <v>1</v>
      </c>
      <c r="F34" s="115">
        <v>1</v>
      </c>
      <c r="G34" s="115">
        <v>1</v>
      </c>
      <c r="H34" s="115">
        <v>1</v>
      </c>
      <c r="I34" s="115">
        <v>1</v>
      </c>
      <c r="J34" s="115">
        <v>1</v>
      </c>
      <c r="K34" s="115">
        <v>1</v>
      </c>
      <c r="L34" s="115">
        <v>1</v>
      </c>
      <c r="M34" s="115">
        <v>1</v>
      </c>
      <c r="N34" s="115">
        <v>1</v>
      </c>
      <c r="R34"/>
    </row>
    <row r="35" spans="1:31" s="12" customFormat="1" ht="15.6">
      <c r="A35" s="114"/>
      <c r="B35" s="513">
        <v>2017</v>
      </c>
      <c r="C35" s="115"/>
      <c r="D35" s="115"/>
      <c r="E35" s="115"/>
      <c r="F35" s="115"/>
      <c r="G35" s="115"/>
      <c r="H35" s="115"/>
      <c r="I35" s="115"/>
      <c r="J35" s="115"/>
      <c r="K35" s="115"/>
      <c r="L35" s="115"/>
      <c r="M35" s="115"/>
      <c r="N35" s="115"/>
      <c r="R35"/>
    </row>
    <row r="36" spans="1:31"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row>
    <row r="37" spans="1:31"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s="509"/>
    </row>
    <row r="38" spans="1:31"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row>
    <row r="39" spans="1:31" s="12" customFormat="1">
      <c r="A39" s="114"/>
      <c r="B39" t="s">
        <v>1255</v>
      </c>
      <c r="C39" s="107">
        <f>IFERROR((+C$28/C$19/C13)+C23,0)</f>
        <v>49465.192447377733</v>
      </c>
      <c r="D39" s="107">
        <f t="shared" ref="D39:N39" si="0">IFERROR((+D$28/D$19/D13)+D23,0)</f>
        <v>0</v>
      </c>
      <c r="E39" s="107">
        <f t="shared" si="0"/>
        <v>0</v>
      </c>
      <c r="F39" s="107">
        <f t="shared" si="0"/>
        <v>0</v>
      </c>
      <c r="G39" s="107">
        <f t="shared" si="0"/>
        <v>0</v>
      </c>
      <c r="H39" s="107">
        <f t="shared" si="0"/>
        <v>0</v>
      </c>
      <c r="I39" s="107">
        <f t="shared" si="0"/>
        <v>0</v>
      </c>
      <c r="J39" s="107">
        <f t="shared" si="0"/>
        <v>0</v>
      </c>
      <c r="K39" s="107">
        <f t="shared" si="0"/>
        <v>0</v>
      </c>
      <c r="L39" s="107">
        <f t="shared" si="0"/>
        <v>0</v>
      </c>
      <c r="M39" s="107">
        <f t="shared" si="0"/>
        <v>39519.955733885748</v>
      </c>
      <c r="N39" s="107">
        <f t="shared" si="0"/>
        <v>38104.601615016414</v>
      </c>
      <c r="R39"/>
    </row>
    <row r="40" spans="1:31" s="12" customFormat="1">
      <c r="A40" s="114"/>
      <c r="B40" t="s">
        <v>1256</v>
      </c>
      <c r="C40" s="107">
        <f>IFERROR((C39*C32*C36)+(C39*C33*C37)+(C39*C34*C38),0)</f>
        <v>52651.251574899143</v>
      </c>
      <c r="D40" s="107">
        <f>IFERROR((D39*D32*D36)+(D39*D33*D37)+(D39*D34*D38),0)</f>
        <v>0</v>
      </c>
      <c r="E40" s="107">
        <f t="shared" ref="E40:N40" si="1">IFERROR((E39*E32*E36)+(E39*E33*E37)+(E39*E34*E38),0)</f>
        <v>0</v>
      </c>
      <c r="F40" s="107">
        <f t="shared" si="1"/>
        <v>0</v>
      </c>
      <c r="G40" s="107">
        <f t="shared" si="1"/>
        <v>0</v>
      </c>
      <c r="H40" s="107">
        <f t="shared" si="1"/>
        <v>0</v>
      </c>
      <c r="I40" s="107">
        <f t="shared" si="1"/>
        <v>0</v>
      </c>
      <c r="J40" s="107">
        <f t="shared" si="1"/>
        <v>0</v>
      </c>
      <c r="K40" s="107">
        <f t="shared" si="1"/>
        <v>0</v>
      </c>
      <c r="L40" s="107">
        <f t="shared" si="1"/>
        <v>0</v>
      </c>
      <c r="M40" s="107">
        <f t="shared" si="1"/>
        <v>42065.440941875953</v>
      </c>
      <c r="N40" s="107">
        <f t="shared" si="1"/>
        <v>40558.923690185577</v>
      </c>
      <c r="R40" s="508"/>
    </row>
    <row r="41" spans="1:31"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s="508"/>
    </row>
    <row r="42" spans="1:31"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R42" s="508"/>
    </row>
    <row r="43" spans="1:31" s="12" customFormat="1">
      <c r="A43" s="114"/>
      <c r="B43" t="s">
        <v>1259</v>
      </c>
      <c r="C43" s="235">
        <f>IFERROR(C40*C42/C41,0)</f>
        <v>4848.7836735365981</v>
      </c>
      <c r="D43" s="235">
        <f t="shared" ref="D43:N43" si="2">IFERROR(D40*D42/D41,0)</f>
        <v>0</v>
      </c>
      <c r="E43" s="235">
        <f t="shared" si="2"/>
        <v>0</v>
      </c>
      <c r="F43" s="235">
        <f t="shared" si="2"/>
        <v>0</v>
      </c>
      <c r="G43" s="235">
        <f t="shared" si="2"/>
        <v>0</v>
      </c>
      <c r="H43" s="235">
        <f t="shared" si="2"/>
        <v>0</v>
      </c>
      <c r="I43" s="235">
        <f t="shared" si="2"/>
        <v>0</v>
      </c>
      <c r="J43" s="235">
        <f t="shared" si="2"/>
        <v>0</v>
      </c>
      <c r="K43" s="235">
        <f t="shared" si="2"/>
        <v>0</v>
      </c>
      <c r="L43" s="235">
        <f t="shared" si="2"/>
        <v>0</v>
      </c>
      <c r="M43" s="235">
        <f t="shared" si="2"/>
        <v>-872.30091390464668</v>
      </c>
      <c r="N43" s="235">
        <f t="shared" si="2"/>
        <v>1055.1197944970286</v>
      </c>
      <c r="R43" s="508"/>
      <c r="S43" s="522"/>
      <c r="T43" s="523"/>
      <c r="U43" s="523"/>
      <c r="V43" s="523"/>
      <c r="W43" s="523"/>
      <c r="X43" s="523"/>
      <c r="Y43" s="523"/>
      <c r="Z43" s="523"/>
      <c r="AA43" s="523"/>
      <c r="AB43" s="523"/>
      <c r="AC43" s="523"/>
      <c r="AD43" s="523"/>
      <c r="AE43" s="523"/>
    </row>
    <row r="44" spans="1:31" s="12" customFormat="1">
      <c r="A44" s="114"/>
      <c r="B44" t="s">
        <v>1260</v>
      </c>
      <c r="C44" s="235">
        <f>IFERROR(((C43*C32)/C36)+((C43*C33)/C37)+((C43*C34)/C38),0)</f>
        <v>4555.3716269402939</v>
      </c>
      <c r="D44" s="235">
        <f t="shared" ref="D44:N44" si="3">IFERROR(((D43*D32)/D36)+((D43*D33)/D37)+((D43*D34)/D38),0)</f>
        <v>0</v>
      </c>
      <c r="E44" s="235">
        <f t="shared" si="3"/>
        <v>0</v>
      </c>
      <c r="F44" s="235">
        <f t="shared" si="3"/>
        <v>0</v>
      </c>
      <c r="G44" s="235">
        <f t="shared" si="3"/>
        <v>0</v>
      </c>
      <c r="H44" s="235">
        <f t="shared" si="3"/>
        <v>0</v>
      </c>
      <c r="I44" s="235">
        <f t="shared" si="3"/>
        <v>0</v>
      </c>
      <c r="J44" s="235">
        <f t="shared" si="3"/>
        <v>0</v>
      </c>
      <c r="K44" s="235">
        <f t="shared" si="3"/>
        <v>0</v>
      </c>
      <c r="L44" s="235">
        <f t="shared" si="3"/>
        <v>0</v>
      </c>
      <c r="M44" s="235">
        <f t="shared" si="3"/>
        <v>-819.51580043516708</v>
      </c>
      <c r="N44" s="235">
        <f t="shared" si="3"/>
        <v>991.27185259001396</v>
      </c>
      <c r="R44" s="508"/>
      <c r="S44" s="206"/>
      <c r="T44" s="523"/>
      <c r="U44" s="523"/>
      <c r="V44" s="523"/>
      <c r="W44" s="523"/>
      <c r="X44" s="523"/>
      <c r="Y44" s="523"/>
      <c r="Z44" s="523"/>
      <c r="AA44" s="523"/>
      <c r="AB44" s="523"/>
      <c r="AC44" s="523"/>
      <c r="AD44" s="523"/>
      <c r="AE44" s="523"/>
    </row>
    <row r="45" spans="1:31" s="12" customFormat="1" ht="15.6">
      <c r="A45" s="114"/>
      <c r="B45" s="513">
        <v>2018</v>
      </c>
      <c r="C45" s="235"/>
      <c r="D45" s="235"/>
      <c r="E45" s="235"/>
      <c r="F45" s="235"/>
      <c r="G45" s="235"/>
      <c r="H45" s="235"/>
      <c r="I45" s="235"/>
      <c r="J45" s="235"/>
      <c r="K45" s="235"/>
      <c r="L45" s="235"/>
      <c r="M45" s="235"/>
      <c r="N45" s="235"/>
      <c r="R45" s="508"/>
      <c r="S45" s="206"/>
      <c r="T45" s="523"/>
      <c r="U45" s="523"/>
      <c r="V45" s="523"/>
      <c r="W45" s="523"/>
      <c r="X45" s="523"/>
      <c r="Y45" s="523"/>
      <c r="Z45" s="523"/>
      <c r="AA45" s="523"/>
      <c r="AB45" s="523"/>
      <c r="AC45" s="523"/>
      <c r="AD45" s="523"/>
      <c r="AE45" s="523"/>
    </row>
    <row r="46" spans="1:31"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s="508"/>
      <c r="S46" s="206"/>
      <c r="T46" s="523"/>
      <c r="U46" s="523"/>
      <c r="V46" s="523"/>
      <c r="W46" s="523"/>
      <c r="X46" s="523"/>
      <c r="Y46" s="523"/>
      <c r="Z46" s="523"/>
      <c r="AA46" s="523"/>
      <c r="AB46" s="523"/>
      <c r="AC46" s="523"/>
      <c r="AD46" s="523"/>
      <c r="AE46" s="523"/>
    </row>
    <row r="47" spans="1:31"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s="508"/>
      <c r="S47" s="206"/>
      <c r="T47" s="523"/>
      <c r="U47" s="523"/>
      <c r="V47" s="523"/>
      <c r="W47" s="523"/>
      <c r="X47" s="523"/>
      <c r="Y47" s="523"/>
      <c r="Z47" s="523"/>
      <c r="AA47" s="523"/>
      <c r="AB47" s="523"/>
      <c r="AC47" s="523"/>
      <c r="AD47" s="523"/>
      <c r="AE47" s="523"/>
    </row>
    <row r="48" spans="1:31" s="12" customFormat="1">
      <c r="A48" s="114"/>
      <c r="B48" t="s">
        <v>1251</v>
      </c>
      <c r="C48">
        <v>1.06467</v>
      </c>
      <c r="D48">
        <v>1.06467</v>
      </c>
      <c r="E48">
        <v>1.06467</v>
      </c>
      <c r="F48">
        <v>1.06467</v>
      </c>
      <c r="G48">
        <v>1.06467</v>
      </c>
      <c r="H48">
        <v>1.06467</v>
      </c>
      <c r="I48">
        <v>1.06467</v>
      </c>
      <c r="J48">
        <v>1.06467</v>
      </c>
      <c r="K48">
        <v>1.06467</v>
      </c>
      <c r="L48">
        <v>1.06467</v>
      </c>
      <c r="M48">
        <v>1.06467</v>
      </c>
      <c r="N48">
        <v>1.06467</v>
      </c>
      <c r="R48" s="508"/>
      <c r="S48" s="206"/>
      <c r="T48" s="524"/>
      <c r="U48" s="524"/>
      <c r="V48" s="524"/>
      <c r="W48" s="524"/>
      <c r="X48" s="524"/>
      <c r="Y48" s="524"/>
      <c r="Z48" s="524"/>
      <c r="AA48" s="524"/>
      <c r="AB48" s="524"/>
      <c r="AC48" s="524"/>
      <c r="AD48" s="524"/>
      <c r="AE48" s="524"/>
    </row>
    <row r="49" spans="1:31" s="12" customFormat="1">
      <c r="A49" s="114"/>
      <c r="B49" t="s">
        <v>1255</v>
      </c>
      <c r="C49" s="235">
        <f>IFERROR((+C$29/C$20/C13)+C23,0)</f>
        <v>50336.536626220157</v>
      </c>
      <c r="D49" s="235">
        <f t="shared" ref="D49:N49" si="4">IFERROR((+D$29/D$20/D13)+D23,0)</f>
        <v>0</v>
      </c>
      <c r="E49" s="235">
        <f t="shared" si="4"/>
        <v>0</v>
      </c>
      <c r="F49" s="235">
        <f t="shared" si="4"/>
        <v>0</v>
      </c>
      <c r="G49" s="235">
        <f t="shared" si="4"/>
        <v>0</v>
      </c>
      <c r="H49" s="235">
        <f t="shared" si="4"/>
        <v>0</v>
      </c>
      <c r="I49" s="235">
        <f t="shared" si="4"/>
        <v>0</v>
      </c>
      <c r="J49" s="235">
        <f t="shared" si="4"/>
        <v>0</v>
      </c>
      <c r="K49" s="235">
        <f t="shared" si="4"/>
        <v>0</v>
      </c>
      <c r="L49" s="235">
        <f t="shared" si="4"/>
        <v>0</v>
      </c>
      <c r="M49" s="235">
        <f t="shared" si="4"/>
        <v>40227.573836470365</v>
      </c>
      <c r="N49" s="235">
        <f t="shared" si="4"/>
        <v>38801.623262729619</v>
      </c>
      <c r="R49" s="508"/>
      <c r="S49" s="206"/>
      <c r="T49" s="524"/>
      <c r="U49" s="524"/>
      <c r="V49" s="524"/>
      <c r="W49" s="524"/>
      <c r="X49" s="524"/>
      <c r="Y49" s="524"/>
      <c r="Z49" s="524"/>
      <c r="AA49" s="524"/>
      <c r="AB49" s="524"/>
      <c r="AC49" s="524"/>
      <c r="AD49" s="524"/>
      <c r="AE49" s="524"/>
    </row>
    <row r="50" spans="1:31" s="12" customFormat="1">
      <c r="A50" s="114"/>
      <c r="B50" t="s">
        <v>1256</v>
      </c>
      <c r="C50" s="107">
        <f>(C49*C32*C46)+(C49*C33*C47)+(C49*C34*C48)</f>
        <v>53591.800449837814</v>
      </c>
      <c r="D50" s="107">
        <f t="shared" ref="D50:N50" si="5">(D49*D32*D46)+(D49*D33*D47)+(D49*D34*D48)</f>
        <v>0</v>
      </c>
      <c r="E50" s="107">
        <f t="shared" si="5"/>
        <v>0</v>
      </c>
      <c r="F50" s="107">
        <f t="shared" si="5"/>
        <v>0</v>
      </c>
      <c r="G50" s="107">
        <f t="shared" si="5"/>
        <v>0</v>
      </c>
      <c r="H50" s="107">
        <f t="shared" si="5"/>
        <v>0</v>
      </c>
      <c r="I50" s="107">
        <f t="shared" si="5"/>
        <v>0</v>
      </c>
      <c r="J50" s="107">
        <f t="shared" si="5"/>
        <v>0</v>
      </c>
      <c r="K50" s="107">
        <f t="shared" si="5"/>
        <v>0</v>
      </c>
      <c r="L50" s="107">
        <f t="shared" si="5"/>
        <v>0</v>
      </c>
      <c r="M50" s="107">
        <f t="shared" si="5"/>
        <v>42829.091036474907</v>
      </c>
      <c r="N50" s="107">
        <f t="shared" si="5"/>
        <v>41310.924239130341</v>
      </c>
      <c r="R50" s="508"/>
      <c r="S50" s="206"/>
      <c r="T50" s="524"/>
      <c r="U50" s="524"/>
      <c r="V50" s="524"/>
      <c r="W50" s="524"/>
      <c r="X50" s="524"/>
      <c r="Y50" s="524"/>
      <c r="Z50" s="524"/>
      <c r="AA50" s="524"/>
      <c r="AB50" s="524"/>
      <c r="AC50" s="524"/>
      <c r="AD50" s="524"/>
      <c r="AE50" s="524"/>
    </row>
    <row r="51" spans="1:31"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s="508"/>
      <c r="S51" s="206"/>
      <c r="T51" s="523"/>
      <c r="U51" s="523"/>
      <c r="V51" s="523"/>
      <c r="W51" s="523"/>
      <c r="X51" s="523"/>
      <c r="Y51" s="523"/>
      <c r="Z51" s="523"/>
      <c r="AA51" s="523"/>
      <c r="AB51" s="523"/>
      <c r="AC51" s="523"/>
      <c r="AD51" s="523"/>
      <c r="AE51" s="523"/>
    </row>
    <row r="52" spans="1:31"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s="508"/>
    </row>
    <row r="53" spans="1:31" s="12" customFormat="1">
      <c r="A53" s="114"/>
      <c r="B53" t="s">
        <v>1259</v>
      </c>
      <c r="C53" s="235">
        <f>C50*C52/C51</f>
        <v>5463.0771867485564</v>
      </c>
      <c r="D53" s="235">
        <f t="shared" ref="D53:N53" si="6">D50*D52/D51</f>
        <v>0</v>
      </c>
      <c r="E53" s="235">
        <f t="shared" si="6"/>
        <v>0</v>
      </c>
      <c r="F53" s="235">
        <f t="shared" si="6"/>
        <v>0</v>
      </c>
      <c r="G53" s="235">
        <f t="shared" si="6"/>
        <v>0</v>
      </c>
      <c r="H53" s="235">
        <f t="shared" si="6"/>
        <v>0</v>
      </c>
      <c r="I53" s="235">
        <f t="shared" si="6"/>
        <v>0</v>
      </c>
      <c r="J53" s="235">
        <f t="shared" si="6"/>
        <v>0</v>
      </c>
      <c r="K53" s="235">
        <f t="shared" si="6"/>
        <v>0</v>
      </c>
      <c r="L53" s="235">
        <f t="shared" si="6"/>
        <v>0</v>
      </c>
      <c r="M53" s="235">
        <f t="shared" si="6"/>
        <v>-686.22621385281002</v>
      </c>
      <c r="N53" s="235">
        <f t="shared" si="6"/>
        <v>1230.8653616583426</v>
      </c>
      <c r="R53" s="508"/>
      <c r="T53" s="95"/>
      <c r="U53" s="95"/>
      <c r="V53" s="95"/>
      <c r="W53" s="95"/>
      <c r="X53" s="95"/>
      <c r="Y53" s="95"/>
      <c r="Z53" s="95"/>
      <c r="AA53" s="95"/>
      <c r="AB53" s="95"/>
      <c r="AC53" s="95"/>
      <c r="AD53" s="95"/>
      <c r="AE53" s="95"/>
    </row>
    <row r="54" spans="1:31" s="12" customFormat="1">
      <c r="A54" s="114"/>
      <c r="B54" t="s">
        <v>1260</v>
      </c>
      <c r="C54" s="235">
        <f>((C53*C32)/C46)+((C53*C33)/C47)+((C53*C34)/C48)</f>
        <v>5131.2399022688314</v>
      </c>
      <c r="D54" s="235">
        <f t="shared" ref="D54:N54" si="7">((D53*D32)/D46)+((D53*D33)/D47)+((D53*D34)/D48)</f>
        <v>0</v>
      </c>
      <c r="E54" s="235">
        <f t="shared" si="7"/>
        <v>0</v>
      </c>
      <c r="F54" s="235">
        <f t="shared" si="7"/>
        <v>0</v>
      </c>
      <c r="G54" s="235">
        <f t="shared" si="7"/>
        <v>0</v>
      </c>
      <c r="H54" s="235">
        <f t="shared" si="7"/>
        <v>0</v>
      </c>
      <c r="I54" s="235">
        <f t="shared" si="7"/>
        <v>0</v>
      </c>
      <c r="J54" s="235">
        <f t="shared" si="7"/>
        <v>0</v>
      </c>
      <c r="K54" s="235">
        <f t="shared" si="7"/>
        <v>0</v>
      </c>
      <c r="L54" s="235">
        <f t="shared" si="7"/>
        <v>0</v>
      </c>
      <c r="M54" s="235">
        <f t="shared" si="7"/>
        <v>-644.54358050176108</v>
      </c>
      <c r="N54" s="235">
        <f t="shared" si="7"/>
        <v>1156.1003519009107</v>
      </c>
      <c r="R54" s="508"/>
      <c r="T54" s="544"/>
      <c r="U54" s="544"/>
      <c r="V54" s="544"/>
      <c r="W54" s="544"/>
      <c r="X54" s="544"/>
      <c r="Y54" s="544"/>
      <c r="Z54" s="544"/>
      <c r="AA54" s="544"/>
      <c r="AB54" s="544"/>
      <c r="AC54" s="544"/>
      <c r="AD54" s="544"/>
      <c r="AE54" s="544"/>
    </row>
    <row r="55" spans="1:31">
      <c r="A55" s="114"/>
      <c r="T55" s="544"/>
      <c r="U55" s="544"/>
      <c r="V55" s="544"/>
      <c r="W55" s="544"/>
      <c r="X55" s="544"/>
      <c r="Y55" s="544"/>
      <c r="Z55" s="544"/>
      <c r="AA55" s="544"/>
      <c r="AB55" s="544"/>
      <c r="AC55" s="544"/>
      <c r="AD55" s="544"/>
      <c r="AE55" s="544"/>
    </row>
    <row r="56" spans="1:31" ht="17.399999999999999">
      <c r="A56" s="147" t="s">
        <v>425</v>
      </c>
      <c r="T56" s="544"/>
      <c r="U56" s="544"/>
      <c r="V56" s="544"/>
      <c r="W56" s="544"/>
      <c r="X56" s="544"/>
      <c r="Y56" s="544"/>
      <c r="Z56" s="544"/>
      <c r="AA56" s="544"/>
      <c r="AB56" s="544"/>
      <c r="AC56" s="544"/>
      <c r="AD56" s="544"/>
      <c r="AE56" s="544"/>
    </row>
    <row r="57" spans="1:31" ht="15.6">
      <c r="A57" s="113"/>
      <c r="B57" s="146" t="str">
        <f>"PRIOR - "&amp;MANUAL!$B$9</f>
        <v>PRIOR - 2016</v>
      </c>
      <c r="C57" s="5"/>
      <c r="D57" s="5"/>
      <c r="E57" s="5"/>
      <c r="F57" s="5"/>
      <c r="G57" s="5"/>
      <c r="H57" s="5"/>
      <c r="I57" s="5"/>
      <c r="J57" s="5"/>
      <c r="K57" s="5"/>
      <c r="L57" s="5"/>
      <c r="M57" s="5"/>
      <c r="N57" s="5"/>
      <c r="R57" s="509"/>
      <c r="T57" s="551"/>
      <c r="U57" s="551"/>
      <c r="V57" s="551"/>
      <c r="W57" s="551"/>
      <c r="X57" s="551"/>
      <c r="Y57" s="551"/>
      <c r="Z57" s="551"/>
      <c r="AA57" s="551"/>
      <c r="AB57" s="551"/>
      <c r="AC57" s="551"/>
      <c r="AD57" s="551"/>
      <c r="AE57" s="551"/>
    </row>
    <row r="58" spans="1:31" s="12" customFormat="1" ht="15.6">
      <c r="A58" s="111"/>
      <c r="B58" s="149" t="s">
        <v>432</v>
      </c>
      <c r="C58" s="107">
        <f>IF(C13="",0,MIN((+C$27/C$18/C13)+C23,C59))</f>
        <v>48542.502573773476</v>
      </c>
      <c r="D58" s="107">
        <f>IF(D13="",0,MIN((+D$27/D$18/D13)+D23,D59))</f>
        <v>0</v>
      </c>
      <c r="E58" s="107">
        <f t="shared" ref="E58:N58" si="8">IF(E13="",0,MIN((+E$27/E$18/E13)+E23,E59))</f>
        <v>0</v>
      </c>
      <c r="F58" s="107">
        <f t="shared" si="8"/>
        <v>0</v>
      </c>
      <c r="G58" s="107">
        <f t="shared" si="8"/>
        <v>0</v>
      </c>
      <c r="H58" s="107">
        <f t="shared" si="8"/>
        <v>0</v>
      </c>
      <c r="I58" s="107">
        <f t="shared" si="8"/>
        <v>0</v>
      </c>
      <c r="J58" s="107">
        <f t="shared" si="8"/>
        <v>0</v>
      </c>
      <c r="K58" s="107">
        <f t="shared" si="8"/>
        <v>0</v>
      </c>
      <c r="L58" s="107">
        <f t="shared" si="8"/>
        <v>0</v>
      </c>
      <c r="M58" s="107">
        <f t="shared" si="8"/>
        <v>38839.679207758498</v>
      </c>
      <c r="N58" s="107">
        <f t="shared" si="8"/>
        <v>37450.254902486355</v>
      </c>
      <c r="P58" s="152">
        <f>AVERAGE(C58:N58)</f>
        <v>10402.703057001529</v>
      </c>
      <c r="T58" s="551"/>
      <c r="U58" s="551"/>
      <c r="V58" s="551"/>
      <c r="W58" s="551"/>
      <c r="X58" s="551"/>
      <c r="Y58" s="551"/>
      <c r="Z58" s="551"/>
      <c r="AA58" s="551"/>
      <c r="AB58" s="551"/>
      <c r="AC58" s="551"/>
      <c r="AD58" s="551"/>
      <c r="AE58" s="551"/>
    </row>
    <row r="59" spans="1:31" s="12" customFormat="1" ht="15.6">
      <c r="A59" s="111"/>
      <c r="B59" s="149" t="s">
        <v>430</v>
      </c>
      <c r="C59" s="107">
        <f t="shared" ref="C59:N59" si="9">MIN(+C$27/C$18/C14,C60)</f>
        <v>117255.11378672396</v>
      </c>
      <c r="D59" s="107">
        <f t="shared" si="9"/>
        <v>121114.28883906103</v>
      </c>
      <c r="E59" s="107">
        <f t="shared" si="9"/>
        <v>121146.36620608423</v>
      </c>
      <c r="F59" s="107">
        <f t="shared" si="9"/>
        <v>137431.01478214009</v>
      </c>
      <c r="G59" s="107">
        <f t="shared" si="9"/>
        <v>140367.07971371114</v>
      </c>
      <c r="H59" s="107">
        <f t="shared" si="9"/>
        <v>141322.2820267452</v>
      </c>
      <c r="I59" s="107">
        <f t="shared" si="9"/>
        <v>139614.79998537476</v>
      </c>
      <c r="J59" s="107">
        <f t="shared" si="9"/>
        <v>151424.30634080211</v>
      </c>
      <c r="K59" s="107">
        <f t="shared" si="9"/>
        <v>130311.54279554907</v>
      </c>
      <c r="L59" s="107">
        <f t="shared" si="9"/>
        <v>111683.58295983166</v>
      </c>
      <c r="M59" s="107">
        <f t="shared" si="9"/>
        <v>108584.53124152191</v>
      </c>
      <c r="N59" s="107">
        <f t="shared" si="9"/>
        <v>117789.13973260531</v>
      </c>
      <c r="P59" s="152">
        <f>AVERAGE(C59:N59)</f>
        <v>128170.33736751253</v>
      </c>
      <c r="T59" s="551"/>
      <c r="U59" s="551"/>
      <c r="V59" s="551"/>
      <c r="W59" s="551"/>
      <c r="X59" s="551"/>
      <c r="Y59" s="551"/>
      <c r="Z59" s="551"/>
      <c r="AA59" s="551"/>
      <c r="AB59" s="551"/>
      <c r="AC59" s="551"/>
      <c r="AD59" s="551"/>
      <c r="AE59" s="551"/>
    </row>
    <row r="60" spans="1:31" s="106" customFormat="1">
      <c r="A60" s="109"/>
      <c r="B60" s="149" t="s">
        <v>133</v>
      </c>
      <c r="C60" s="107">
        <f t="shared" ref="C60:N60" si="10">+C$27/C$18/C15</f>
        <v>117255.11378672396</v>
      </c>
      <c r="D60" s="107">
        <f t="shared" si="10"/>
        <v>121114.28883906103</v>
      </c>
      <c r="E60" s="107">
        <f t="shared" si="10"/>
        <v>121146.36620608423</v>
      </c>
      <c r="F60" s="107">
        <f t="shared" si="10"/>
        <v>137431.01478214009</v>
      </c>
      <c r="G60" s="107">
        <f t="shared" si="10"/>
        <v>140367.07971371114</v>
      </c>
      <c r="H60" s="107">
        <f t="shared" si="10"/>
        <v>141322.2820267452</v>
      </c>
      <c r="I60" s="107">
        <f t="shared" si="10"/>
        <v>139614.79998537476</v>
      </c>
      <c r="J60" s="107">
        <f t="shared" si="10"/>
        <v>151424.30634080211</v>
      </c>
      <c r="K60" s="107">
        <f t="shared" si="10"/>
        <v>130311.54279554907</v>
      </c>
      <c r="L60" s="107">
        <f t="shared" si="10"/>
        <v>111683.58295983166</v>
      </c>
      <c r="M60" s="107">
        <f t="shared" si="10"/>
        <v>108584.53124152191</v>
      </c>
      <c r="N60" s="107">
        <f t="shared" si="10"/>
        <v>117789.13973260531</v>
      </c>
      <c r="P60" s="152">
        <f>AVERAGE(C60:N60)</f>
        <v>128170.33736751253</v>
      </c>
    </row>
    <row r="61" spans="1:31" s="106" customFormat="1" ht="16.5" customHeight="1">
      <c r="A61" s="109"/>
      <c r="B61" s="108"/>
      <c r="C61" s="107"/>
      <c r="D61" s="107"/>
      <c r="E61" s="107"/>
      <c r="F61" s="107"/>
      <c r="G61" s="107"/>
      <c r="H61" s="107"/>
      <c r="I61" s="107"/>
      <c r="J61" s="107"/>
      <c r="K61" s="107"/>
      <c r="L61" s="107"/>
      <c r="M61" s="107"/>
      <c r="N61" s="107"/>
      <c r="S61" s="522"/>
      <c r="T61" s="523"/>
      <c r="U61" s="523"/>
      <c r="V61" s="523"/>
      <c r="W61" s="523"/>
      <c r="X61" s="523"/>
      <c r="Y61" s="523"/>
      <c r="Z61" s="523"/>
      <c r="AA61" s="523"/>
      <c r="AB61" s="523"/>
      <c r="AC61" s="523"/>
      <c r="AD61" s="523"/>
      <c r="AE61" s="523"/>
    </row>
    <row r="62" spans="1:31" s="106" customFormat="1" ht="16.5" customHeight="1">
      <c r="A62" s="109"/>
      <c r="B62" s="146" t="str">
        <f>"TEST - "&amp;MANUAL!$B$10</f>
        <v>TEST - 2017</v>
      </c>
      <c r="C62" s="107"/>
      <c r="D62" s="107"/>
      <c r="E62" s="107"/>
      <c r="F62" s="107"/>
      <c r="G62" s="107"/>
      <c r="H62" s="107"/>
      <c r="I62" s="107"/>
      <c r="J62" s="107"/>
      <c r="K62" s="107"/>
      <c r="L62" s="107"/>
      <c r="M62" s="107"/>
      <c r="N62" s="107"/>
      <c r="S62" s="206"/>
      <c r="T62" s="523"/>
      <c r="U62" s="523"/>
      <c r="V62" s="523"/>
      <c r="W62" s="523"/>
      <c r="X62" s="523"/>
      <c r="Y62" s="523"/>
      <c r="Z62" s="523"/>
      <c r="AA62" s="523"/>
      <c r="AB62" s="523"/>
      <c r="AC62" s="523"/>
      <c r="AD62" s="523"/>
      <c r="AE62" s="523"/>
    </row>
    <row r="63" spans="1:31" s="106" customFormat="1" ht="16.5" customHeight="1">
      <c r="A63" s="109"/>
      <c r="B63" s="149" t="s">
        <v>432</v>
      </c>
      <c r="C63" s="107">
        <f>C39+C44</f>
        <v>54020.564074318027</v>
      </c>
      <c r="D63" s="107">
        <f>D39+D44</f>
        <v>0</v>
      </c>
      <c r="E63" s="107">
        <f t="shared" ref="E63:N63" si="11">E39+E44</f>
        <v>0</v>
      </c>
      <c r="F63" s="107">
        <f t="shared" si="11"/>
        <v>0</v>
      </c>
      <c r="G63" s="107">
        <f t="shared" si="11"/>
        <v>0</v>
      </c>
      <c r="H63" s="107">
        <f t="shared" si="11"/>
        <v>0</v>
      </c>
      <c r="I63" s="107">
        <f t="shared" si="11"/>
        <v>0</v>
      </c>
      <c r="J63" s="107">
        <f t="shared" si="11"/>
        <v>0</v>
      </c>
      <c r="K63" s="107">
        <f t="shared" si="11"/>
        <v>0</v>
      </c>
      <c r="L63" s="107">
        <f t="shared" si="11"/>
        <v>0</v>
      </c>
      <c r="M63" s="107">
        <f t="shared" si="11"/>
        <v>38700.43993345058</v>
      </c>
      <c r="N63" s="107">
        <f t="shared" si="11"/>
        <v>39095.873467606427</v>
      </c>
      <c r="P63" s="152">
        <f>AVERAGE(C63:N63)</f>
        <v>10984.739789614587</v>
      </c>
      <c r="S63" s="206"/>
      <c r="T63" s="523"/>
      <c r="U63" s="523"/>
      <c r="V63" s="523"/>
      <c r="W63" s="523"/>
      <c r="X63" s="523"/>
      <c r="Y63" s="523"/>
      <c r="Z63" s="523"/>
      <c r="AA63" s="523"/>
      <c r="AB63" s="523"/>
      <c r="AC63" s="523"/>
      <c r="AD63" s="523"/>
      <c r="AE63" s="523"/>
    </row>
    <row r="64" spans="1:31" s="106" customFormat="1" ht="16.5" customHeight="1">
      <c r="A64" s="109"/>
      <c r="B64" s="149" t="s">
        <v>430</v>
      </c>
      <c r="C64" s="107">
        <f>MAX(+C$28/C$19/C14,C63)</f>
        <v>119483.88445949471</v>
      </c>
      <c r="D64" s="107">
        <f>MAX(+D$28/D$19/D14,D63)</f>
        <v>127621.49050286223</v>
      </c>
      <c r="E64" s="107">
        <f t="shared" ref="D64:N65" si="12">MAX(+E$28/E$19/E14,E63)</f>
        <v>123213.8151418301</v>
      </c>
      <c r="F64" s="107">
        <f t="shared" si="12"/>
        <v>139960.60055607607</v>
      </c>
      <c r="G64" s="107">
        <f t="shared" si="12"/>
        <v>142845.08839493283</v>
      </c>
      <c r="H64" s="107">
        <f t="shared" si="12"/>
        <v>143774.11424105286</v>
      </c>
      <c r="I64" s="107">
        <f t="shared" si="12"/>
        <v>142026.89631069452</v>
      </c>
      <c r="J64" s="107">
        <f t="shared" si="12"/>
        <v>154156.97344601792</v>
      </c>
      <c r="K64" s="107">
        <f t="shared" si="12"/>
        <v>132575.29153453262</v>
      </c>
      <c r="L64" s="107">
        <f t="shared" si="12"/>
        <v>113636.47497520296</v>
      </c>
      <c r="M64" s="107">
        <f t="shared" si="12"/>
        <v>110486.38803361877</v>
      </c>
      <c r="N64" s="107">
        <f t="shared" si="12"/>
        <v>119847.20146159657</v>
      </c>
      <c r="P64" s="152">
        <f>AVERAGE(C64:N64)</f>
        <v>130802.35158815933</v>
      </c>
      <c r="S64" s="206"/>
      <c r="T64" s="523"/>
      <c r="U64" s="523"/>
      <c r="V64" s="523"/>
      <c r="W64" s="523"/>
      <c r="X64" s="523"/>
      <c r="Y64" s="523"/>
      <c r="Z64" s="523"/>
      <c r="AA64" s="523"/>
      <c r="AB64" s="523"/>
      <c r="AC64" s="523"/>
      <c r="AD64" s="523"/>
      <c r="AE64" s="523"/>
    </row>
    <row r="65" spans="1:31" s="106" customFormat="1" ht="16.5" customHeight="1">
      <c r="A65" s="109"/>
      <c r="B65" s="149" t="s">
        <v>133</v>
      </c>
      <c r="C65" s="107">
        <f>MAX(+C$28/C$19/C15,C64)</f>
        <v>119483.88445949471</v>
      </c>
      <c r="D65" s="107">
        <f t="shared" si="12"/>
        <v>127621.49050286223</v>
      </c>
      <c r="E65" s="107">
        <f t="shared" si="12"/>
        <v>123213.8151418301</v>
      </c>
      <c r="F65" s="107">
        <f t="shared" si="12"/>
        <v>139960.60055607607</v>
      </c>
      <c r="G65" s="107">
        <f t="shared" si="12"/>
        <v>142845.08839493283</v>
      </c>
      <c r="H65" s="107">
        <f t="shared" si="12"/>
        <v>143774.11424105286</v>
      </c>
      <c r="I65" s="107">
        <f t="shared" si="12"/>
        <v>142026.89631069452</v>
      </c>
      <c r="J65" s="107">
        <f t="shared" si="12"/>
        <v>154156.97344601792</v>
      </c>
      <c r="K65" s="107">
        <f t="shared" si="12"/>
        <v>132575.29153453262</v>
      </c>
      <c r="L65" s="107">
        <f t="shared" si="12"/>
        <v>113636.47497520296</v>
      </c>
      <c r="M65" s="107">
        <f t="shared" si="12"/>
        <v>110486.38803361877</v>
      </c>
      <c r="N65" s="107">
        <f t="shared" si="12"/>
        <v>119847.20146159657</v>
      </c>
      <c r="P65" s="152">
        <f>AVERAGE(C65:N65)</f>
        <v>130802.35158815933</v>
      </c>
      <c r="S65" s="206"/>
      <c r="T65" s="523"/>
      <c r="U65" s="523"/>
      <c r="V65" s="523"/>
      <c r="W65" s="523"/>
      <c r="X65" s="523"/>
      <c r="Y65" s="523"/>
      <c r="Z65" s="523"/>
      <c r="AA65" s="523"/>
      <c r="AB65" s="523"/>
      <c r="AC65" s="523"/>
      <c r="AD65" s="523"/>
      <c r="AE65" s="523"/>
    </row>
    <row r="66" spans="1:31" s="106" customFormat="1" ht="16.5" customHeight="1">
      <c r="A66" s="109"/>
      <c r="B66" s="149" t="s">
        <v>158</v>
      </c>
      <c r="C66" s="499">
        <f>IFERROR(C28/C19/C63,0)</f>
        <v>1.2214029006646752</v>
      </c>
      <c r="D66" s="499">
        <f t="shared" ref="D66:N66" si="13">IFERROR(D28/D19/D63,0)</f>
        <v>0</v>
      </c>
      <c r="E66" s="499">
        <f t="shared" si="13"/>
        <v>0</v>
      </c>
      <c r="F66" s="499">
        <f t="shared" si="13"/>
        <v>0</v>
      </c>
      <c r="G66" s="499">
        <f t="shared" si="13"/>
        <v>0</v>
      </c>
      <c r="H66" s="499">
        <f t="shared" si="13"/>
        <v>0</v>
      </c>
      <c r="I66" s="499">
        <f t="shared" si="13"/>
        <v>0</v>
      </c>
      <c r="J66" s="499">
        <f t="shared" si="13"/>
        <v>0</v>
      </c>
      <c r="K66" s="499">
        <f t="shared" si="13"/>
        <v>0</v>
      </c>
      <c r="L66" s="499">
        <f t="shared" si="13"/>
        <v>0</v>
      </c>
      <c r="M66" s="499">
        <f t="shared" si="13"/>
        <v>1.557446191346272</v>
      </c>
      <c r="N66" s="499">
        <f t="shared" si="13"/>
        <v>1.7134639459880885</v>
      </c>
      <c r="P66" s="152"/>
      <c r="S66" s="206"/>
      <c r="T66" s="524"/>
      <c r="U66" s="524"/>
      <c r="V66" s="524"/>
      <c r="W66" s="524"/>
      <c r="X66" s="524"/>
      <c r="Y66" s="524"/>
      <c r="Z66" s="524"/>
      <c r="AA66" s="524"/>
      <c r="AB66" s="524"/>
      <c r="AC66" s="524"/>
      <c r="AD66" s="524"/>
      <c r="AE66" s="524"/>
    </row>
    <row r="67" spans="1:31" s="106" customFormat="1" ht="16.5" customHeight="1">
      <c r="A67" s="109"/>
      <c r="B67" s="149" t="s">
        <v>988</v>
      </c>
      <c r="C67" s="499">
        <f>C28/C19/C64</f>
        <v>0.55221567288667817</v>
      </c>
      <c r="D67" s="499">
        <f t="shared" ref="D67:N67" si="14">D28/D19/D64</f>
        <v>0.52998213586551624</v>
      </c>
      <c r="E67" s="499">
        <f t="shared" si="14"/>
        <v>0.49850927648012566</v>
      </c>
      <c r="F67" s="499">
        <f t="shared" si="14"/>
        <v>0.46799877978184473</v>
      </c>
      <c r="G67" s="499">
        <f t="shared" si="14"/>
        <v>0.44207962580564686</v>
      </c>
      <c r="H67" s="499">
        <f t="shared" si="14"/>
        <v>0.42943565245715143</v>
      </c>
      <c r="I67" s="499">
        <f t="shared" si="14"/>
        <v>0.43512322819272786</v>
      </c>
      <c r="J67" s="499">
        <f t="shared" si="14"/>
        <v>0.45698294376251886</v>
      </c>
      <c r="K67" s="499">
        <f t="shared" si="14"/>
        <v>0.48702340154859286</v>
      </c>
      <c r="L67" s="499">
        <f t="shared" si="14"/>
        <v>0.51867176385786362</v>
      </c>
      <c r="M67" s="499">
        <f t="shared" si="14"/>
        <v>0.54553193248961729</v>
      </c>
      <c r="N67" s="499">
        <f t="shared" si="14"/>
        <v>0.55895647797100845</v>
      </c>
      <c r="P67" s="152"/>
      <c r="S67" s="206"/>
      <c r="T67" s="524"/>
      <c r="U67" s="524"/>
      <c r="V67" s="524"/>
      <c r="W67" s="524"/>
      <c r="X67" s="524"/>
      <c r="Y67" s="524"/>
      <c r="Z67" s="524"/>
      <c r="AA67" s="524"/>
      <c r="AB67" s="524"/>
      <c r="AC67" s="524"/>
      <c r="AD67" s="524"/>
      <c r="AE67" s="524"/>
    </row>
    <row r="68" spans="1:31" s="106" customFormat="1" ht="16.5" customHeight="1">
      <c r="A68" s="109"/>
      <c r="B68" s="149" t="s">
        <v>150</v>
      </c>
      <c r="C68" s="499">
        <f>C28/C19/C65</f>
        <v>0.55221567288667817</v>
      </c>
      <c r="D68" s="499">
        <f t="shared" ref="D68:N68" si="15">D28/D19/D65</f>
        <v>0.52998213586551624</v>
      </c>
      <c r="E68" s="499">
        <f t="shared" si="15"/>
        <v>0.49850927648012566</v>
      </c>
      <c r="F68" s="499">
        <f t="shared" si="15"/>
        <v>0.46799877978184473</v>
      </c>
      <c r="G68" s="499">
        <f t="shared" si="15"/>
        <v>0.44207962580564686</v>
      </c>
      <c r="H68" s="499">
        <f t="shared" si="15"/>
        <v>0.42943565245715143</v>
      </c>
      <c r="I68" s="499">
        <f t="shared" si="15"/>
        <v>0.43512322819272786</v>
      </c>
      <c r="J68" s="499">
        <f t="shared" si="15"/>
        <v>0.45698294376251886</v>
      </c>
      <c r="K68" s="499">
        <f t="shared" si="15"/>
        <v>0.48702340154859286</v>
      </c>
      <c r="L68" s="499">
        <f t="shared" si="15"/>
        <v>0.51867176385786362</v>
      </c>
      <c r="M68" s="499">
        <f t="shared" si="15"/>
        <v>0.54553193248961729</v>
      </c>
      <c r="N68" s="499">
        <f t="shared" si="15"/>
        <v>0.55895647797100845</v>
      </c>
      <c r="P68" s="152"/>
      <c r="S68" s="206"/>
      <c r="T68" s="524"/>
      <c r="U68" s="524"/>
      <c r="V68" s="524"/>
      <c r="W68" s="524"/>
      <c r="X68" s="524"/>
      <c r="Y68" s="524"/>
      <c r="Z68" s="524"/>
      <c r="AA68" s="524"/>
      <c r="AB68" s="524"/>
      <c r="AC68" s="524"/>
      <c r="AD68" s="524"/>
      <c r="AE68" s="524"/>
    </row>
    <row r="69" spans="1:31" s="106" customFormat="1" ht="16.5" customHeight="1">
      <c r="A69" s="109"/>
      <c r="B69" s="149"/>
      <c r="C69" s="107"/>
      <c r="D69" s="107"/>
      <c r="E69" s="107"/>
      <c r="F69" s="107"/>
      <c r="G69" s="107"/>
      <c r="H69" s="107"/>
      <c r="I69" s="107"/>
      <c r="J69" s="107"/>
      <c r="K69" s="107"/>
      <c r="L69" s="107"/>
      <c r="M69" s="107"/>
      <c r="N69" s="107"/>
      <c r="P69" s="152"/>
      <c r="S69" s="206"/>
      <c r="T69" s="523"/>
      <c r="U69" s="523"/>
      <c r="V69" s="523"/>
      <c r="W69" s="523"/>
      <c r="X69" s="523"/>
      <c r="Y69" s="523"/>
      <c r="Z69" s="523"/>
      <c r="AA69" s="523"/>
      <c r="AB69" s="523"/>
      <c r="AC69" s="523"/>
      <c r="AD69" s="523"/>
      <c r="AE69" s="523"/>
    </row>
    <row r="70" spans="1:31" s="106" customFormat="1" ht="16.5" customHeight="1">
      <c r="A70" s="109"/>
      <c r="B70" s="146" t="str">
        <f>"SUBSEQUENT - "&amp;MANUAL!$B$11</f>
        <v>SUBSEQUENT - 2018</v>
      </c>
      <c r="C70" s="107"/>
      <c r="D70" s="107"/>
      <c r="E70" s="107"/>
      <c r="F70" s="107"/>
      <c r="G70" s="107"/>
      <c r="H70" s="107"/>
      <c r="I70" s="107"/>
      <c r="J70" s="107"/>
      <c r="K70" s="107"/>
      <c r="L70" s="107"/>
      <c r="M70" s="107"/>
      <c r="N70" s="107"/>
      <c r="S70" s="206"/>
      <c r="T70" s="523"/>
      <c r="U70" s="523"/>
      <c r="V70" s="523"/>
      <c r="W70" s="523"/>
      <c r="X70" s="523"/>
      <c r="Y70" s="523"/>
      <c r="Z70" s="523"/>
      <c r="AA70" s="523"/>
      <c r="AB70" s="523"/>
      <c r="AC70" s="523"/>
      <c r="AD70" s="523"/>
      <c r="AE70" s="523"/>
    </row>
    <row r="71" spans="1:31" s="106" customFormat="1" ht="16.5" customHeight="1">
      <c r="A71" s="109"/>
      <c r="B71" s="149" t="s">
        <v>432</v>
      </c>
      <c r="C71" s="107">
        <f>C49+C54</f>
        <v>55467.77652848899</v>
      </c>
      <c r="D71" s="107">
        <f t="shared" ref="D71:N71" si="16">D49+D54</f>
        <v>0</v>
      </c>
      <c r="E71" s="107">
        <f t="shared" si="16"/>
        <v>0</v>
      </c>
      <c r="F71" s="107">
        <f t="shared" si="16"/>
        <v>0</v>
      </c>
      <c r="G71" s="107">
        <f t="shared" si="16"/>
        <v>0</v>
      </c>
      <c r="H71" s="107">
        <f t="shared" si="16"/>
        <v>0</v>
      </c>
      <c r="I71" s="107">
        <f t="shared" si="16"/>
        <v>0</v>
      </c>
      <c r="J71" s="107">
        <f t="shared" si="16"/>
        <v>0</v>
      </c>
      <c r="K71" s="107">
        <f t="shared" si="16"/>
        <v>0</v>
      </c>
      <c r="L71" s="107">
        <f t="shared" si="16"/>
        <v>0</v>
      </c>
      <c r="M71" s="107">
        <f t="shared" si="16"/>
        <v>39583.030255968602</v>
      </c>
      <c r="N71" s="107">
        <f t="shared" si="16"/>
        <v>39957.723614630529</v>
      </c>
      <c r="O71" s="145"/>
      <c r="P71" s="152">
        <f>AVERAGE(C71:N71)</f>
        <v>11250.710866590676</v>
      </c>
      <c r="S71" s="206"/>
      <c r="T71" s="523"/>
      <c r="U71" s="523"/>
      <c r="V71" s="523"/>
      <c r="W71" s="523"/>
      <c r="X71" s="523"/>
      <c r="Y71" s="523"/>
      <c r="Z71" s="523"/>
      <c r="AA71" s="523"/>
      <c r="AB71" s="523"/>
      <c r="AC71" s="523"/>
      <c r="AD71" s="523"/>
      <c r="AE71" s="523"/>
    </row>
    <row r="72" spans="1:31" s="106" customFormat="1" ht="16.5" customHeight="1">
      <c r="A72" s="109"/>
      <c r="B72" s="149" t="s">
        <v>430</v>
      </c>
      <c r="C72" s="107">
        <f>MAX(+C$29/C$14/C20,C71)</f>
        <v>121588.62886739362</v>
      </c>
      <c r="D72" s="107">
        <f t="shared" ref="D72:N72" si="17">MAX(+D$29/D$14/D20,D71)</f>
        <v>129896.03650813719</v>
      </c>
      <c r="E72" s="107">
        <f t="shared" si="17"/>
        <v>125445.352761663</v>
      </c>
      <c r="F72" s="107">
        <f t="shared" si="17"/>
        <v>142562.10900091712</v>
      </c>
      <c r="G72" s="107">
        <f t="shared" si="17"/>
        <v>145476.63276528814</v>
      </c>
      <c r="H72" s="107">
        <f t="shared" si="17"/>
        <v>146386.42192705124</v>
      </c>
      <c r="I72" s="107">
        <f t="shared" si="17"/>
        <v>144598.50127513421</v>
      </c>
      <c r="J72" s="107">
        <f t="shared" si="17"/>
        <v>157002.30975241194</v>
      </c>
      <c r="K72" s="107">
        <f t="shared" si="17"/>
        <v>134950.17456363016</v>
      </c>
      <c r="L72" s="107">
        <f t="shared" si="17"/>
        <v>115656.6941546076</v>
      </c>
      <c r="M72" s="107">
        <f t="shared" si="17"/>
        <v>112464.68398081642</v>
      </c>
      <c r="N72" s="107">
        <f t="shared" si="17"/>
        <v>122039.48507816791</v>
      </c>
      <c r="O72" s="107"/>
      <c r="P72" s="152">
        <f>AVERAGE(C72:N72)</f>
        <v>133172.25255293489</v>
      </c>
      <c r="S72" s="206"/>
      <c r="T72" s="523"/>
      <c r="U72" s="523"/>
      <c r="V72" s="523"/>
      <c r="W72" s="523"/>
      <c r="X72" s="523"/>
      <c r="Y72" s="523"/>
      <c r="Z72" s="523"/>
      <c r="AA72" s="523"/>
      <c r="AB72" s="523"/>
      <c r="AC72" s="523"/>
      <c r="AD72" s="523"/>
      <c r="AE72" s="523"/>
    </row>
    <row r="73" spans="1:31" s="106" customFormat="1" ht="16.5" customHeight="1">
      <c r="A73" s="109"/>
      <c r="B73" s="149" t="s">
        <v>133</v>
      </c>
      <c r="C73" s="107">
        <f>MAX(+C$29/C$15/C20,C72)</f>
        <v>121588.62886739362</v>
      </c>
      <c r="D73" s="107">
        <f t="shared" ref="D73:N73" si="18">MAX(+D$29/D$15/D20,D72)</f>
        <v>129896.03650813719</v>
      </c>
      <c r="E73" s="107">
        <f t="shared" si="18"/>
        <v>125445.352761663</v>
      </c>
      <c r="F73" s="107">
        <f t="shared" si="18"/>
        <v>142562.10900091712</v>
      </c>
      <c r="G73" s="107">
        <f t="shared" si="18"/>
        <v>145476.63276528814</v>
      </c>
      <c r="H73" s="107">
        <f t="shared" si="18"/>
        <v>146386.42192705124</v>
      </c>
      <c r="I73" s="107">
        <f t="shared" si="18"/>
        <v>144598.50127513421</v>
      </c>
      <c r="J73" s="107">
        <f t="shared" si="18"/>
        <v>157002.30975241194</v>
      </c>
      <c r="K73" s="107">
        <f t="shared" si="18"/>
        <v>134950.17456363016</v>
      </c>
      <c r="L73" s="107">
        <f t="shared" si="18"/>
        <v>115656.6941546076</v>
      </c>
      <c r="M73" s="107">
        <f t="shared" si="18"/>
        <v>112464.68398081642</v>
      </c>
      <c r="N73" s="107">
        <f t="shared" si="18"/>
        <v>122039.48507816791</v>
      </c>
      <c r="O73" s="107"/>
      <c r="P73" s="152">
        <f>AVERAGE(C73:N73)</f>
        <v>133172.25255293489</v>
      </c>
      <c r="S73" s="206"/>
      <c r="T73" s="523"/>
      <c r="U73" s="523"/>
      <c r="V73" s="523"/>
      <c r="W73" s="523"/>
      <c r="X73" s="523"/>
      <c r="Y73" s="523"/>
      <c r="Z73" s="523"/>
      <c r="AA73" s="523"/>
      <c r="AB73" s="523"/>
      <c r="AC73" s="523"/>
      <c r="AD73" s="523"/>
      <c r="AE73" s="523"/>
    </row>
    <row r="74" spans="1:31" s="106" customFormat="1" ht="16.5" customHeight="1">
      <c r="A74" s="109"/>
      <c r="B74" s="149" t="s">
        <v>158</v>
      </c>
      <c r="C74" s="499">
        <f>IFERROR(C29/C20/C71,0)</f>
        <v>1.2104892373122389</v>
      </c>
      <c r="D74" s="499">
        <f t="shared" ref="D74:N74" si="19">IFERROR(D29/D20/D71,0)</f>
        <v>0</v>
      </c>
      <c r="E74" s="499">
        <f t="shared" si="19"/>
        <v>0</v>
      </c>
      <c r="F74" s="499">
        <f t="shared" si="19"/>
        <v>0</v>
      </c>
      <c r="G74" s="499">
        <f t="shared" si="19"/>
        <v>0</v>
      </c>
      <c r="H74" s="499">
        <f t="shared" si="19"/>
        <v>0</v>
      </c>
      <c r="I74" s="499">
        <f t="shared" si="19"/>
        <v>0</v>
      </c>
      <c r="J74" s="499">
        <f t="shared" si="19"/>
        <v>0</v>
      </c>
      <c r="K74" s="499">
        <f t="shared" si="19"/>
        <v>0</v>
      </c>
      <c r="L74" s="499">
        <f t="shared" si="19"/>
        <v>0</v>
      </c>
      <c r="M74" s="499">
        <f t="shared" si="19"/>
        <v>1.5499843238918691</v>
      </c>
      <c r="N74" s="499">
        <f t="shared" si="19"/>
        <v>1.7071733467747228</v>
      </c>
      <c r="O74" s="107"/>
      <c r="P74" s="152"/>
      <c r="S74" s="206"/>
      <c r="T74" s="523"/>
      <c r="U74" s="523"/>
      <c r="V74" s="523"/>
      <c r="W74" s="523"/>
      <c r="X74" s="523"/>
      <c r="Y74" s="523"/>
      <c r="Z74" s="523"/>
      <c r="AA74" s="523"/>
      <c r="AB74" s="523"/>
      <c r="AC74" s="523"/>
      <c r="AD74" s="523"/>
      <c r="AE74" s="523"/>
    </row>
    <row r="75" spans="1:31" s="106" customFormat="1" ht="16.5" customHeight="1">
      <c r="A75" s="109"/>
      <c r="B75" s="149" t="s">
        <v>988</v>
      </c>
      <c r="C75" s="499">
        <f>C29/C20/C72</f>
        <v>0.55221567288667806</v>
      </c>
      <c r="D75" s="499">
        <f t="shared" ref="D75:N75" si="20">D29/D20/D72</f>
        <v>0.52998213586551624</v>
      </c>
      <c r="E75" s="499">
        <f t="shared" si="20"/>
        <v>0.49850927648012561</v>
      </c>
      <c r="F75" s="499">
        <f t="shared" si="20"/>
        <v>0.46799877978184473</v>
      </c>
      <c r="G75" s="499">
        <f t="shared" si="20"/>
        <v>0.44207962580564686</v>
      </c>
      <c r="H75" s="499">
        <f t="shared" si="20"/>
        <v>0.42943565245715143</v>
      </c>
      <c r="I75" s="499">
        <f t="shared" si="20"/>
        <v>0.43512322819272781</v>
      </c>
      <c r="J75" s="499">
        <f t="shared" si="20"/>
        <v>0.45698294376251891</v>
      </c>
      <c r="K75" s="499">
        <f t="shared" si="20"/>
        <v>0.48702340154859286</v>
      </c>
      <c r="L75" s="499">
        <f t="shared" si="20"/>
        <v>0.51867176385786362</v>
      </c>
      <c r="M75" s="499">
        <f t="shared" si="20"/>
        <v>0.54553193248961729</v>
      </c>
      <c r="N75" s="499">
        <f t="shared" si="20"/>
        <v>0.55895647797100845</v>
      </c>
      <c r="O75" s="107"/>
      <c r="P75" s="152"/>
      <c r="S75" s="206"/>
      <c r="T75" s="556"/>
      <c r="U75" s="556"/>
      <c r="V75" s="556"/>
      <c r="W75" s="556"/>
      <c r="X75" s="556"/>
      <c r="Y75" s="556"/>
      <c r="Z75" s="556"/>
      <c r="AA75" s="556"/>
      <c r="AB75" s="556"/>
      <c r="AC75" s="556"/>
      <c r="AD75" s="556"/>
      <c r="AE75" s="556"/>
    </row>
    <row r="76" spans="1:31" s="106" customFormat="1" ht="16.5" customHeight="1">
      <c r="A76" s="109"/>
      <c r="B76" s="149" t="s">
        <v>150</v>
      </c>
      <c r="C76" s="499">
        <f>C29/C20/C73</f>
        <v>0.55221567288667806</v>
      </c>
      <c r="D76" s="499">
        <f t="shared" ref="D76:N76" si="21">D29/D20/D73</f>
        <v>0.52998213586551624</v>
      </c>
      <c r="E76" s="499">
        <f t="shared" si="21"/>
        <v>0.49850927648012561</v>
      </c>
      <c r="F76" s="499">
        <f t="shared" si="21"/>
        <v>0.46799877978184473</v>
      </c>
      <c r="G76" s="499">
        <f t="shared" si="21"/>
        <v>0.44207962580564686</v>
      </c>
      <c r="H76" s="499">
        <f t="shared" si="21"/>
        <v>0.42943565245715143</v>
      </c>
      <c r="I76" s="499">
        <f t="shared" si="21"/>
        <v>0.43512322819272781</v>
      </c>
      <c r="J76" s="499">
        <f t="shared" si="21"/>
        <v>0.45698294376251891</v>
      </c>
      <c r="K76" s="499">
        <f t="shared" si="21"/>
        <v>0.48702340154859286</v>
      </c>
      <c r="L76" s="499">
        <f t="shared" si="21"/>
        <v>0.51867176385786362</v>
      </c>
      <c r="M76" s="499">
        <f t="shared" si="21"/>
        <v>0.54553193248961729</v>
      </c>
      <c r="N76" s="499">
        <f t="shared" si="21"/>
        <v>0.55895647797100845</v>
      </c>
      <c r="O76" s="107"/>
      <c r="P76" s="152"/>
      <c r="S76" s="206"/>
      <c r="T76" s="556"/>
      <c r="U76" s="556"/>
      <c r="V76" s="556"/>
      <c r="W76" s="556"/>
      <c r="X76" s="556"/>
      <c r="Y76" s="556"/>
      <c r="Z76" s="556"/>
      <c r="AA76" s="556"/>
      <c r="AB76" s="556"/>
      <c r="AC76" s="556"/>
      <c r="AD76" s="556"/>
      <c r="AE76" s="556"/>
    </row>
    <row r="77" spans="1:31" s="106" customFormat="1" ht="16.5" customHeight="1">
      <c r="A77" s="109"/>
      <c r="B77" s="108"/>
      <c r="C77" s="107"/>
      <c r="D77" s="107"/>
      <c r="E77" s="107"/>
      <c r="F77" s="107"/>
      <c r="G77" s="107"/>
      <c r="H77" s="107"/>
      <c r="I77" s="107"/>
      <c r="J77" s="107"/>
      <c r="K77" s="107"/>
      <c r="L77" s="107"/>
      <c r="M77" s="107"/>
      <c r="N77" s="107"/>
      <c r="S77" s="206"/>
      <c r="T77" s="556"/>
      <c r="U77" s="556"/>
      <c r="V77" s="556"/>
      <c r="W77" s="556"/>
      <c r="X77" s="556"/>
      <c r="Y77" s="556"/>
      <c r="Z77" s="556"/>
      <c r="AA77" s="556"/>
      <c r="AB77" s="556"/>
      <c r="AC77" s="556"/>
      <c r="AD77" s="556"/>
      <c r="AE77" s="556"/>
    </row>
    <row r="78" spans="1:31" ht="13.2">
      <c r="A78" s="42" t="s">
        <v>116</v>
      </c>
      <c r="C78" s="105"/>
    </row>
    <row r="79" spans="1:31" ht="13.2">
      <c r="A79"/>
      <c r="B79" s="10" t="s">
        <v>338</v>
      </c>
      <c r="C79" s="105"/>
      <c r="D79" s="105"/>
      <c r="E79" s="105"/>
      <c r="F79" s="105"/>
      <c r="G79" s="105"/>
      <c r="H79" s="105"/>
      <c r="I79" s="105"/>
      <c r="J79" s="105"/>
      <c r="K79" s="105"/>
      <c r="L79" s="105"/>
      <c r="M79" s="105"/>
      <c r="N79" s="105"/>
      <c r="T79" s="44"/>
      <c r="U79" s="44"/>
      <c r="V79" s="44"/>
      <c r="W79" s="44"/>
      <c r="X79" s="44"/>
      <c r="Y79" s="44"/>
      <c r="Z79" s="44"/>
      <c r="AA79" s="44"/>
      <c r="AB79" s="44"/>
      <c r="AC79" s="44"/>
      <c r="AD79" s="44"/>
      <c r="AE79" s="44"/>
    </row>
    <row r="80" spans="1:31" ht="13.2">
      <c r="A80"/>
      <c r="B80" s="81" t="s">
        <v>426</v>
      </c>
      <c r="T80" s="536"/>
      <c r="U80" s="536"/>
      <c r="V80" s="536"/>
      <c r="W80" s="536"/>
      <c r="X80" s="536"/>
      <c r="Y80" s="536"/>
      <c r="Z80" s="536"/>
      <c r="AA80" s="536"/>
      <c r="AB80" s="536"/>
      <c r="AC80" s="536"/>
      <c r="AD80" s="536"/>
      <c r="AE80" s="536"/>
    </row>
    <row r="81" spans="1:31" ht="13.2">
      <c r="A81"/>
      <c r="B81" s="125" t="s">
        <v>431</v>
      </c>
      <c r="C81" s="104"/>
      <c r="T81" s="536"/>
      <c r="U81" s="536"/>
      <c r="V81" s="536"/>
      <c r="W81" s="536"/>
      <c r="X81" s="536"/>
      <c r="Y81" s="536"/>
      <c r="Z81" s="536"/>
      <c r="AA81" s="536"/>
      <c r="AB81" s="536"/>
      <c r="AC81" s="536"/>
      <c r="AD81" s="536"/>
      <c r="AE81" s="536"/>
    </row>
    <row r="82" spans="1:31" ht="13.2">
      <c r="A82"/>
      <c r="B82" s="153" t="s">
        <v>435</v>
      </c>
      <c r="E82" s="88"/>
      <c r="T82" s="536"/>
      <c r="U82" s="536"/>
      <c r="V82" s="536"/>
      <c r="W82" s="536"/>
      <c r="X82" s="536"/>
      <c r="Y82" s="536"/>
      <c r="Z82" s="536"/>
      <c r="AA82" s="536"/>
      <c r="AB82" s="536"/>
      <c r="AC82" s="536"/>
      <c r="AD82" s="536"/>
      <c r="AE82" s="536"/>
    </row>
    <row r="83" spans="1:31" ht="13.2">
      <c r="A83"/>
      <c r="B83" t="s">
        <v>433</v>
      </c>
      <c r="C83" s="98"/>
      <c r="D83" s="98"/>
      <c r="E83" s="98"/>
      <c r="F83" s="98"/>
      <c r="G83" s="98"/>
      <c r="H83" s="98"/>
      <c r="I83" s="98"/>
      <c r="J83" s="98"/>
      <c r="K83" s="98"/>
      <c r="L83" s="98"/>
      <c r="M83" s="98"/>
      <c r="N83" s="98"/>
      <c r="T83" s="536"/>
      <c r="U83" s="536"/>
      <c r="V83" s="536"/>
      <c r="W83" s="536"/>
      <c r="X83" s="536"/>
      <c r="Y83" s="536"/>
      <c r="Z83" s="536"/>
      <c r="AA83" s="536"/>
      <c r="AB83" s="536"/>
      <c r="AC83" s="536"/>
      <c r="AD83" s="536"/>
      <c r="AE83" s="536"/>
    </row>
    <row r="84" spans="1:31" ht="409.6">
      <c r="T84" s="536"/>
      <c r="U84" s="536"/>
      <c r="V84" s="536"/>
      <c r="W84" s="536"/>
      <c r="X84" s="536"/>
      <c r="Y84" s="536"/>
      <c r="Z84" s="536"/>
      <c r="AA84" s="536"/>
      <c r="AB84" s="536"/>
      <c r="AC84" s="536"/>
      <c r="AD84" s="536"/>
      <c r="AE84" s="536"/>
    </row>
    <row r="85" spans="1:31" ht="409.6">
      <c r="T85" s="536"/>
      <c r="U85" s="536"/>
      <c r="V85" s="536"/>
      <c r="W85" s="536"/>
      <c r="X85" s="536"/>
      <c r="Y85" s="536"/>
      <c r="Z85" s="536"/>
      <c r="AA85" s="536"/>
      <c r="AB85" s="536"/>
      <c r="AC85" s="536"/>
      <c r="AD85" s="536"/>
      <c r="AE85" s="536"/>
    </row>
    <row r="89" spans="1:31">
      <c r="G89" s="145"/>
    </row>
    <row r="90" spans="1:31" ht="409.6">
      <c r="G90" s="44"/>
    </row>
    <row r="92" spans="1:31">
      <c r="G92" s="150"/>
    </row>
  </sheetData>
  <mergeCells count="3">
    <mergeCell ref="C7:E7"/>
    <mergeCell ref="F7:L7"/>
    <mergeCell ref="M7:N7"/>
  </mergeCells>
  <conditionalFormatting sqref="C59:N59">
    <cfRule type="cellIs" dxfId="115" priority="10" operator="greaterThanOrEqual">
      <formula>C60</formula>
    </cfRule>
  </conditionalFormatting>
  <conditionalFormatting sqref="C58:N58">
    <cfRule type="cellIs" dxfId="114" priority="8" operator="greaterThanOrEqual">
      <formula>C59</formula>
    </cfRule>
  </conditionalFormatting>
  <conditionalFormatting sqref="C72:N72">
    <cfRule type="cellIs" dxfId="113" priority="2" operator="greaterThanOrEqual">
      <formula>C73</formula>
    </cfRule>
  </conditionalFormatting>
  <conditionalFormatting sqref="C71:N71">
    <cfRule type="cellIs" dxfId="112" priority="1" operator="greaterThan">
      <formula>C72</formula>
    </cfRule>
  </conditionalFormatting>
  <conditionalFormatting sqref="C64:N64">
    <cfRule type="cellIs" dxfId="111" priority="4" operator="greaterThanOrEqual">
      <formula>C65</formula>
    </cfRule>
  </conditionalFormatting>
  <conditionalFormatting sqref="C63:N63">
    <cfRule type="cellIs" dxfId="110" priority="3" operator="greaterThan">
      <formula>C64</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165"/>
  <sheetViews>
    <sheetView showGridLines="0" topLeftCell="B1" zoomScale="75" zoomScaleNormal="75" zoomScaleSheetLayoutView="75" workbookViewId="0">
      <selection activeCell="B2" sqref="B2"/>
    </sheetView>
  </sheetViews>
  <sheetFormatPr defaultRowHeight="13.2"/>
  <cols>
    <col min="1" max="1" width="23.33203125" hidden="1" customWidth="1"/>
    <col min="2" max="2" width="22.6640625" customWidth="1"/>
    <col min="3" max="3" width="15.5546875" customWidth="1"/>
    <col min="4" max="4" width="17.109375" customWidth="1"/>
    <col min="5" max="7" width="13.109375" bestFit="1" customWidth="1"/>
    <col min="8" max="9" width="12.6640625" bestFit="1" customWidth="1"/>
    <col min="10" max="11" width="13.109375" bestFit="1" customWidth="1"/>
    <col min="12" max="12" width="12.44140625" bestFit="1" customWidth="1"/>
    <col min="13" max="13" width="13.109375" bestFit="1" customWidth="1"/>
    <col min="14" max="14" width="12.6640625" bestFit="1" customWidth="1"/>
    <col min="15" max="15" width="13" bestFit="1" customWidth="1"/>
    <col min="258" max="258" width="11.33203125" customWidth="1"/>
    <col min="259" max="259" width="15.5546875" customWidth="1"/>
    <col min="260" max="260" width="12.6640625" bestFit="1" customWidth="1"/>
    <col min="261" max="263" width="13.109375" bestFit="1" customWidth="1"/>
    <col min="264" max="264" width="12.6640625" bestFit="1" customWidth="1"/>
    <col min="265" max="265" width="12.109375" bestFit="1" customWidth="1"/>
    <col min="266" max="267" width="13.109375" bestFit="1" customWidth="1"/>
    <col min="268" max="268" width="12.44140625" bestFit="1" customWidth="1"/>
    <col min="269" max="269" width="13.109375" bestFit="1" customWidth="1"/>
    <col min="270" max="270" width="12.109375" bestFit="1" customWidth="1"/>
    <col min="271" max="271" width="13" bestFit="1" customWidth="1"/>
    <col min="514" max="514" width="11.33203125" customWidth="1"/>
    <col min="515" max="515" width="15.5546875" customWidth="1"/>
    <col min="516" max="516" width="12.6640625" bestFit="1" customWidth="1"/>
    <col min="517" max="519" width="13.109375" bestFit="1" customWidth="1"/>
    <col min="520" max="520" width="12.6640625" bestFit="1" customWidth="1"/>
    <col min="521" max="521" width="12.109375" bestFit="1" customWidth="1"/>
    <col min="522" max="523" width="13.109375" bestFit="1" customWidth="1"/>
    <col min="524" max="524" width="12.44140625" bestFit="1" customWidth="1"/>
    <col min="525" max="525" width="13.109375" bestFit="1" customWidth="1"/>
    <col min="526" max="526" width="12.109375" bestFit="1" customWidth="1"/>
    <col min="527" max="527" width="13" bestFit="1" customWidth="1"/>
    <col min="770" max="770" width="11.33203125" customWidth="1"/>
    <col min="771" max="771" width="15.5546875" customWidth="1"/>
    <col min="772" max="772" width="12.6640625" bestFit="1" customWidth="1"/>
    <col min="773" max="775" width="13.109375" bestFit="1" customWidth="1"/>
    <col min="776" max="776" width="12.6640625" bestFit="1" customWidth="1"/>
    <col min="777" max="777" width="12.109375" bestFit="1" customWidth="1"/>
    <col min="778" max="779" width="13.109375" bestFit="1" customWidth="1"/>
    <col min="780" max="780" width="12.44140625" bestFit="1" customWidth="1"/>
    <col min="781" max="781" width="13.109375" bestFit="1" customWidth="1"/>
    <col min="782" max="782" width="12.109375" bestFit="1" customWidth="1"/>
    <col min="783" max="783" width="13" bestFit="1" customWidth="1"/>
    <col min="1026" max="1026" width="11.33203125" customWidth="1"/>
    <col min="1027" max="1027" width="15.5546875" customWidth="1"/>
    <col min="1028" max="1028" width="12.6640625" bestFit="1" customWidth="1"/>
    <col min="1029" max="1031" width="13.109375" bestFit="1" customWidth="1"/>
    <col min="1032" max="1032" width="12.6640625" bestFit="1" customWidth="1"/>
    <col min="1033" max="1033" width="12.109375" bestFit="1" customWidth="1"/>
    <col min="1034" max="1035" width="13.109375" bestFit="1" customWidth="1"/>
    <col min="1036" max="1036" width="12.44140625" bestFit="1" customWidth="1"/>
    <col min="1037" max="1037" width="13.109375" bestFit="1" customWidth="1"/>
    <col min="1038" max="1038" width="12.109375" bestFit="1" customWidth="1"/>
    <col min="1039" max="1039" width="13" bestFit="1" customWidth="1"/>
    <col min="1282" max="1282" width="11.33203125" customWidth="1"/>
    <col min="1283" max="1283" width="15.5546875" customWidth="1"/>
    <col min="1284" max="1284" width="12.6640625" bestFit="1" customWidth="1"/>
    <col min="1285" max="1287" width="13.109375" bestFit="1" customWidth="1"/>
    <col min="1288" max="1288" width="12.6640625" bestFit="1" customWidth="1"/>
    <col min="1289" max="1289" width="12.109375" bestFit="1" customWidth="1"/>
    <col min="1290" max="1291" width="13.109375" bestFit="1" customWidth="1"/>
    <col min="1292" max="1292" width="12.44140625" bestFit="1" customWidth="1"/>
    <col min="1293" max="1293" width="13.109375" bestFit="1" customWidth="1"/>
    <col min="1294" max="1294" width="12.109375" bestFit="1" customWidth="1"/>
    <col min="1295" max="1295" width="13" bestFit="1" customWidth="1"/>
    <col min="1538" max="1538" width="11.33203125" customWidth="1"/>
    <col min="1539" max="1539" width="15.5546875" customWidth="1"/>
    <col min="1540" max="1540" width="12.6640625" bestFit="1" customWidth="1"/>
    <col min="1541" max="1543" width="13.109375" bestFit="1" customWidth="1"/>
    <col min="1544" max="1544" width="12.6640625" bestFit="1" customWidth="1"/>
    <col min="1545" max="1545" width="12.109375" bestFit="1" customWidth="1"/>
    <col min="1546" max="1547" width="13.109375" bestFit="1" customWidth="1"/>
    <col min="1548" max="1548" width="12.44140625" bestFit="1" customWidth="1"/>
    <col min="1549" max="1549" width="13.109375" bestFit="1" customWidth="1"/>
    <col min="1550" max="1550" width="12.109375" bestFit="1" customWidth="1"/>
    <col min="1551" max="1551" width="13" bestFit="1" customWidth="1"/>
    <col min="1794" max="1794" width="11.33203125" customWidth="1"/>
    <col min="1795" max="1795" width="15.5546875" customWidth="1"/>
    <col min="1796" max="1796" width="12.6640625" bestFit="1" customWidth="1"/>
    <col min="1797" max="1799" width="13.109375" bestFit="1" customWidth="1"/>
    <col min="1800" max="1800" width="12.6640625" bestFit="1" customWidth="1"/>
    <col min="1801" max="1801" width="12.109375" bestFit="1" customWidth="1"/>
    <col min="1802" max="1803" width="13.109375" bestFit="1" customWidth="1"/>
    <col min="1804" max="1804" width="12.44140625" bestFit="1" customWidth="1"/>
    <col min="1805" max="1805" width="13.109375" bestFit="1" customWidth="1"/>
    <col min="1806" max="1806" width="12.109375" bestFit="1" customWidth="1"/>
    <col min="1807" max="1807" width="13" bestFit="1" customWidth="1"/>
    <col min="2050" max="2050" width="11.33203125" customWidth="1"/>
    <col min="2051" max="2051" width="15.5546875" customWidth="1"/>
    <col min="2052" max="2052" width="12.6640625" bestFit="1" customWidth="1"/>
    <col min="2053" max="2055" width="13.109375" bestFit="1" customWidth="1"/>
    <col min="2056" max="2056" width="12.6640625" bestFit="1" customWidth="1"/>
    <col min="2057" max="2057" width="12.109375" bestFit="1" customWidth="1"/>
    <col min="2058" max="2059" width="13.109375" bestFit="1" customWidth="1"/>
    <col min="2060" max="2060" width="12.44140625" bestFit="1" customWidth="1"/>
    <col min="2061" max="2061" width="13.109375" bestFit="1" customWidth="1"/>
    <col min="2062" max="2062" width="12.109375" bestFit="1" customWidth="1"/>
    <col min="2063" max="2063" width="13" bestFit="1" customWidth="1"/>
    <col min="2306" max="2306" width="11.33203125" customWidth="1"/>
    <col min="2307" max="2307" width="15.5546875" customWidth="1"/>
    <col min="2308" max="2308" width="12.6640625" bestFit="1" customWidth="1"/>
    <col min="2309" max="2311" width="13.109375" bestFit="1" customWidth="1"/>
    <col min="2312" max="2312" width="12.6640625" bestFit="1" customWidth="1"/>
    <col min="2313" max="2313" width="12.109375" bestFit="1" customWidth="1"/>
    <col min="2314" max="2315" width="13.109375" bestFit="1" customWidth="1"/>
    <col min="2316" max="2316" width="12.44140625" bestFit="1" customWidth="1"/>
    <col min="2317" max="2317" width="13.109375" bestFit="1" customWidth="1"/>
    <col min="2318" max="2318" width="12.109375" bestFit="1" customWidth="1"/>
    <col min="2319" max="2319" width="13" bestFit="1" customWidth="1"/>
    <col min="2562" max="2562" width="11.33203125" customWidth="1"/>
    <col min="2563" max="2563" width="15.5546875" customWidth="1"/>
    <col min="2564" max="2564" width="12.6640625" bestFit="1" customWidth="1"/>
    <col min="2565" max="2567" width="13.109375" bestFit="1" customWidth="1"/>
    <col min="2568" max="2568" width="12.6640625" bestFit="1" customWidth="1"/>
    <col min="2569" max="2569" width="12.109375" bestFit="1" customWidth="1"/>
    <col min="2570" max="2571" width="13.109375" bestFit="1" customWidth="1"/>
    <col min="2572" max="2572" width="12.44140625" bestFit="1" customWidth="1"/>
    <col min="2573" max="2573" width="13.109375" bestFit="1" customWidth="1"/>
    <col min="2574" max="2574" width="12.109375" bestFit="1" customWidth="1"/>
    <col min="2575" max="2575" width="13" bestFit="1" customWidth="1"/>
    <col min="2818" max="2818" width="11.33203125" customWidth="1"/>
    <col min="2819" max="2819" width="15.5546875" customWidth="1"/>
    <col min="2820" max="2820" width="12.6640625" bestFit="1" customWidth="1"/>
    <col min="2821" max="2823" width="13.109375" bestFit="1" customWidth="1"/>
    <col min="2824" max="2824" width="12.6640625" bestFit="1" customWidth="1"/>
    <col min="2825" max="2825" width="12.109375" bestFit="1" customWidth="1"/>
    <col min="2826" max="2827" width="13.109375" bestFit="1" customWidth="1"/>
    <col min="2828" max="2828" width="12.44140625" bestFit="1" customWidth="1"/>
    <col min="2829" max="2829" width="13.109375" bestFit="1" customWidth="1"/>
    <col min="2830" max="2830" width="12.109375" bestFit="1" customWidth="1"/>
    <col min="2831" max="2831" width="13" bestFit="1" customWidth="1"/>
    <col min="3074" max="3074" width="11.33203125" customWidth="1"/>
    <col min="3075" max="3075" width="15.5546875" customWidth="1"/>
    <col min="3076" max="3076" width="12.6640625" bestFit="1" customWidth="1"/>
    <col min="3077" max="3079" width="13.109375" bestFit="1" customWidth="1"/>
    <col min="3080" max="3080" width="12.6640625" bestFit="1" customWidth="1"/>
    <col min="3081" max="3081" width="12.109375" bestFit="1" customWidth="1"/>
    <col min="3082" max="3083" width="13.109375" bestFit="1" customWidth="1"/>
    <col min="3084" max="3084" width="12.44140625" bestFit="1" customWidth="1"/>
    <col min="3085" max="3085" width="13.109375" bestFit="1" customWidth="1"/>
    <col min="3086" max="3086" width="12.109375" bestFit="1" customWidth="1"/>
    <col min="3087" max="3087" width="13" bestFit="1" customWidth="1"/>
    <col min="3330" max="3330" width="11.33203125" customWidth="1"/>
    <col min="3331" max="3331" width="15.5546875" customWidth="1"/>
    <col min="3332" max="3332" width="12.6640625" bestFit="1" customWidth="1"/>
    <col min="3333" max="3335" width="13.109375" bestFit="1" customWidth="1"/>
    <col min="3336" max="3336" width="12.6640625" bestFit="1" customWidth="1"/>
    <col min="3337" max="3337" width="12.109375" bestFit="1" customWidth="1"/>
    <col min="3338" max="3339" width="13.109375" bestFit="1" customWidth="1"/>
    <col min="3340" max="3340" width="12.44140625" bestFit="1" customWidth="1"/>
    <col min="3341" max="3341" width="13.109375" bestFit="1" customWidth="1"/>
    <col min="3342" max="3342" width="12.109375" bestFit="1" customWidth="1"/>
    <col min="3343" max="3343" width="13" bestFit="1" customWidth="1"/>
    <col min="3586" max="3586" width="11.33203125" customWidth="1"/>
    <col min="3587" max="3587" width="15.5546875" customWidth="1"/>
    <col min="3588" max="3588" width="12.6640625" bestFit="1" customWidth="1"/>
    <col min="3589" max="3591" width="13.109375" bestFit="1" customWidth="1"/>
    <col min="3592" max="3592" width="12.6640625" bestFit="1" customWidth="1"/>
    <col min="3593" max="3593" width="12.109375" bestFit="1" customWidth="1"/>
    <col min="3594" max="3595" width="13.109375" bestFit="1" customWidth="1"/>
    <col min="3596" max="3596" width="12.44140625" bestFit="1" customWidth="1"/>
    <col min="3597" max="3597" width="13.109375" bestFit="1" customWidth="1"/>
    <col min="3598" max="3598" width="12.109375" bestFit="1" customWidth="1"/>
    <col min="3599" max="3599" width="13" bestFit="1" customWidth="1"/>
    <col min="3842" max="3842" width="11.33203125" customWidth="1"/>
    <col min="3843" max="3843" width="15.5546875" customWidth="1"/>
    <col min="3844" max="3844" width="12.6640625" bestFit="1" customWidth="1"/>
    <col min="3845" max="3847" width="13.109375" bestFit="1" customWidth="1"/>
    <col min="3848" max="3848" width="12.6640625" bestFit="1" customWidth="1"/>
    <col min="3849" max="3849" width="12.109375" bestFit="1" customWidth="1"/>
    <col min="3850" max="3851" width="13.109375" bestFit="1" customWidth="1"/>
    <col min="3852" max="3852" width="12.44140625" bestFit="1" customWidth="1"/>
    <col min="3853" max="3853" width="13.109375" bestFit="1" customWidth="1"/>
    <col min="3854" max="3854" width="12.109375" bestFit="1" customWidth="1"/>
    <col min="3855" max="3855" width="13" bestFit="1" customWidth="1"/>
    <col min="4098" max="4098" width="11.33203125" customWidth="1"/>
    <col min="4099" max="4099" width="15.5546875" customWidth="1"/>
    <col min="4100" max="4100" width="12.6640625" bestFit="1" customWidth="1"/>
    <col min="4101" max="4103" width="13.109375" bestFit="1" customWidth="1"/>
    <col min="4104" max="4104" width="12.6640625" bestFit="1" customWidth="1"/>
    <col min="4105" max="4105" width="12.109375" bestFit="1" customWidth="1"/>
    <col min="4106" max="4107" width="13.109375" bestFit="1" customWidth="1"/>
    <col min="4108" max="4108" width="12.44140625" bestFit="1" customWidth="1"/>
    <col min="4109" max="4109" width="13.109375" bestFit="1" customWidth="1"/>
    <col min="4110" max="4110" width="12.109375" bestFit="1" customWidth="1"/>
    <col min="4111" max="4111" width="13" bestFit="1" customWidth="1"/>
    <col min="4354" max="4354" width="11.33203125" customWidth="1"/>
    <col min="4355" max="4355" width="15.5546875" customWidth="1"/>
    <col min="4356" max="4356" width="12.6640625" bestFit="1" customWidth="1"/>
    <col min="4357" max="4359" width="13.109375" bestFit="1" customWidth="1"/>
    <col min="4360" max="4360" width="12.6640625" bestFit="1" customWidth="1"/>
    <col min="4361" max="4361" width="12.109375" bestFit="1" customWidth="1"/>
    <col min="4362" max="4363" width="13.109375" bestFit="1" customWidth="1"/>
    <col min="4364" max="4364" width="12.44140625" bestFit="1" customWidth="1"/>
    <col min="4365" max="4365" width="13.109375" bestFit="1" customWidth="1"/>
    <col min="4366" max="4366" width="12.109375" bestFit="1" customWidth="1"/>
    <col min="4367" max="4367" width="13" bestFit="1" customWidth="1"/>
    <col min="4610" max="4610" width="11.33203125" customWidth="1"/>
    <col min="4611" max="4611" width="15.5546875" customWidth="1"/>
    <col min="4612" max="4612" width="12.6640625" bestFit="1" customWidth="1"/>
    <col min="4613" max="4615" width="13.109375" bestFit="1" customWidth="1"/>
    <col min="4616" max="4616" width="12.6640625" bestFit="1" customWidth="1"/>
    <col min="4617" max="4617" width="12.109375" bestFit="1" customWidth="1"/>
    <col min="4618" max="4619" width="13.109375" bestFit="1" customWidth="1"/>
    <col min="4620" max="4620" width="12.44140625" bestFit="1" customWidth="1"/>
    <col min="4621" max="4621" width="13.109375" bestFit="1" customWidth="1"/>
    <col min="4622" max="4622" width="12.109375" bestFit="1" customWidth="1"/>
    <col min="4623" max="4623" width="13" bestFit="1" customWidth="1"/>
    <col min="4866" max="4866" width="11.33203125" customWidth="1"/>
    <col min="4867" max="4867" width="15.5546875" customWidth="1"/>
    <col min="4868" max="4868" width="12.6640625" bestFit="1" customWidth="1"/>
    <col min="4869" max="4871" width="13.109375" bestFit="1" customWidth="1"/>
    <col min="4872" max="4872" width="12.6640625" bestFit="1" customWidth="1"/>
    <col min="4873" max="4873" width="12.109375" bestFit="1" customWidth="1"/>
    <col min="4874" max="4875" width="13.109375" bestFit="1" customWidth="1"/>
    <col min="4876" max="4876" width="12.44140625" bestFit="1" customWidth="1"/>
    <col min="4877" max="4877" width="13.109375" bestFit="1" customWidth="1"/>
    <col min="4878" max="4878" width="12.109375" bestFit="1" customWidth="1"/>
    <col min="4879" max="4879" width="13" bestFit="1" customWidth="1"/>
    <col min="5122" max="5122" width="11.33203125" customWidth="1"/>
    <col min="5123" max="5123" width="15.5546875" customWidth="1"/>
    <col min="5124" max="5124" width="12.6640625" bestFit="1" customWidth="1"/>
    <col min="5125" max="5127" width="13.109375" bestFit="1" customWidth="1"/>
    <col min="5128" max="5128" width="12.6640625" bestFit="1" customWidth="1"/>
    <col min="5129" max="5129" width="12.109375" bestFit="1" customWidth="1"/>
    <col min="5130" max="5131" width="13.109375" bestFit="1" customWidth="1"/>
    <col min="5132" max="5132" width="12.44140625" bestFit="1" customWidth="1"/>
    <col min="5133" max="5133" width="13.109375" bestFit="1" customWidth="1"/>
    <col min="5134" max="5134" width="12.109375" bestFit="1" customWidth="1"/>
    <col min="5135" max="5135" width="13" bestFit="1" customWidth="1"/>
    <col min="5378" max="5378" width="11.33203125" customWidth="1"/>
    <col min="5379" max="5379" width="15.5546875" customWidth="1"/>
    <col min="5380" max="5380" width="12.6640625" bestFit="1" customWidth="1"/>
    <col min="5381" max="5383" width="13.109375" bestFit="1" customWidth="1"/>
    <col min="5384" max="5384" width="12.6640625" bestFit="1" customWidth="1"/>
    <col min="5385" max="5385" width="12.109375" bestFit="1" customWidth="1"/>
    <col min="5386" max="5387" width="13.109375" bestFit="1" customWidth="1"/>
    <col min="5388" max="5388" width="12.44140625" bestFit="1" customWidth="1"/>
    <col min="5389" max="5389" width="13.109375" bestFit="1" customWidth="1"/>
    <col min="5390" max="5390" width="12.109375" bestFit="1" customWidth="1"/>
    <col min="5391" max="5391" width="13" bestFit="1" customWidth="1"/>
    <col min="5634" max="5634" width="11.33203125" customWidth="1"/>
    <col min="5635" max="5635" width="15.5546875" customWidth="1"/>
    <col min="5636" max="5636" width="12.6640625" bestFit="1" customWidth="1"/>
    <col min="5637" max="5639" width="13.109375" bestFit="1" customWidth="1"/>
    <col min="5640" max="5640" width="12.6640625" bestFit="1" customWidth="1"/>
    <col min="5641" max="5641" width="12.109375" bestFit="1" customWidth="1"/>
    <col min="5642" max="5643" width="13.109375" bestFit="1" customWidth="1"/>
    <col min="5644" max="5644" width="12.44140625" bestFit="1" customWidth="1"/>
    <col min="5645" max="5645" width="13.109375" bestFit="1" customWidth="1"/>
    <col min="5646" max="5646" width="12.109375" bestFit="1" customWidth="1"/>
    <col min="5647" max="5647" width="13" bestFit="1" customWidth="1"/>
    <col min="5890" max="5890" width="11.33203125" customWidth="1"/>
    <col min="5891" max="5891" width="15.5546875" customWidth="1"/>
    <col min="5892" max="5892" width="12.6640625" bestFit="1" customWidth="1"/>
    <col min="5893" max="5895" width="13.109375" bestFit="1" customWidth="1"/>
    <col min="5896" max="5896" width="12.6640625" bestFit="1" customWidth="1"/>
    <col min="5897" max="5897" width="12.109375" bestFit="1" customWidth="1"/>
    <col min="5898" max="5899" width="13.109375" bestFit="1" customWidth="1"/>
    <col min="5900" max="5900" width="12.44140625" bestFit="1" customWidth="1"/>
    <col min="5901" max="5901" width="13.109375" bestFit="1" customWidth="1"/>
    <col min="5902" max="5902" width="12.109375" bestFit="1" customWidth="1"/>
    <col min="5903" max="5903" width="13" bestFit="1" customWidth="1"/>
    <col min="6146" max="6146" width="11.33203125" customWidth="1"/>
    <col min="6147" max="6147" width="15.5546875" customWidth="1"/>
    <col min="6148" max="6148" width="12.6640625" bestFit="1" customWidth="1"/>
    <col min="6149" max="6151" width="13.109375" bestFit="1" customWidth="1"/>
    <col min="6152" max="6152" width="12.6640625" bestFit="1" customWidth="1"/>
    <col min="6153" max="6153" width="12.109375" bestFit="1" customWidth="1"/>
    <col min="6154" max="6155" width="13.109375" bestFit="1" customWidth="1"/>
    <col min="6156" max="6156" width="12.44140625" bestFit="1" customWidth="1"/>
    <col min="6157" max="6157" width="13.109375" bestFit="1" customWidth="1"/>
    <col min="6158" max="6158" width="12.109375" bestFit="1" customWidth="1"/>
    <col min="6159" max="6159" width="13" bestFit="1" customWidth="1"/>
    <col min="6402" max="6402" width="11.33203125" customWidth="1"/>
    <col min="6403" max="6403" width="15.5546875" customWidth="1"/>
    <col min="6404" max="6404" width="12.6640625" bestFit="1" customWidth="1"/>
    <col min="6405" max="6407" width="13.109375" bestFit="1" customWidth="1"/>
    <col min="6408" max="6408" width="12.6640625" bestFit="1" customWidth="1"/>
    <col min="6409" max="6409" width="12.109375" bestFit="1" customWidth="1"/>
    <col min="6410" max="6411" width="13.109375" bestFit="1" customWidth="1"/>
    <col min="6412" max="6412" width="12.44140625" bestFit="1" customWidth="1"/>
    <col min="6413" max="6413" width="13.109375" bestFit="1" customWidth="1"/>
    <col min="6414" max="6414" width="12.109375" bestFit="1" customWidth="1"/>
    <col min="6415" max="6415" width="13" bestFit="1" customWidth="1"/>
    <col min="6658" max="6658" width="11.33203125" customWidth="1"/>
    <col min="6659" max="6659" width="15.5546875" customWidth="1"/>
    <col min="6660" max="6660" width="12.6640625" bestFit="1" customWidth="1"/>
    <col min="6661" max="6663" width="13.109375" bestFit="1" customWidth="1"/>
    <col min="6664" max="6664" width="12.6640625" bestFit="1" customWidth="1"/>
    <col min="6665" max="6665" width="12.109375" bestFit="1" customWidth="1"/>
    <col min="6666" max="6667" width="13.109375" bestFit="1" customWidth="1"/>
    <col min="6668" max="6668" width="12.44140625" bestFit="1" customWidth="1"/>
    <col min="6669" max="6669" width="13.109375" bestFit="1" customWidth="1"/>
    <col min="6670" max="6670" width="12.109375" bestFit="1" customWidth="1"/>
    <col min="6671" max="6671" width="13" bestFit="1" customWidth="1"/>
    <col min="6914" max="6914" width="11.33203125" customWidth="1"/>
    <col min="6915" max="6915" width="15.5546875" customWidth="1"/>
    <col min="6916" max="6916" width="12.6640625" bestFit="1" customWidth="1"/>
    <col min="6917" max="6919" width="13.109375" bestFit="1" customWidth="1"/>
    <col min="6920" max="6920" width="12.6640625" bestFit="1" customWidth="1"/>
    <col min="6921" max="6921" width="12.109375" bestFit="1" customWidth="1"/>
    <col min="6922" max="6923" width="13.109375" bestFit="1" customWidth="1"/>
    <col min="6924" max="6924" width="12.44140625" bestFit="1" customWidth="1"/>
    <col min="6925" max="6925" width="13.109375" bestFit="1" customWidth="1"/>
    <col min="6926" max="6926" width="12.109375" bestFit="1" customWidth="1"/>
    <col min="6927" max="6927" width="13" bestFit="1" customWidth="1"/>
    <col min="7170" max="7170" width="11.33203125" customWidth="1"/>
    <col min="7171" max="7171" width="15.5546875" customWidth="1"/>
    <col min="7172" max="7172" width="12.6640625" bestFit="1" customWidth="1"/>
    <col min="7173" max="7175" width="13.109375" bestFit="1" customWidth="1"/>
    <col min="7176" max="7176" width="12.6640625" bestFit="1" customWidth="1"/>
    <col min="7177" max="7177" width="12.109375" bestFit="1" customWidth="1"/>
    <col min="7178" max="7179" width="13.109375" bestFit="1" customWidth="1"/>
    <col min="7180" max="7180" width="12.44140625" bestFit="1" customWidth="1"/>
    <col min="7181" max="7181" width="13.109375" bestFit="1" customWidth="1"/>
    <col min="7182" max="7182" width="12.109375" bestFit="1" customWidth="1"/>
    <col min="7183" max="7183" width="13" bestFit="1" customWidth="1"/>
    <col min="7426" max="7426" width="11.33203125" customWidth="1"/>
    <col min="7427" max="7427" width="15.5546875" customWidth="1"/>
    <col min="7428" max="7428" width="12.6640625" bestFit="1" customWidth="1"/>
    <col min="7429" max="7431" width="13.109375" bestFit="1" customWidth="1"/>
    <col min="7432" max="7432" width="12.6640625" bestFit="1" customWidth="1"/>
    <col min="7433" max="7433" width="12.109375" bestFit="1" customWidth="1"/>
    <col min="7434" max="7435" width="13.109375" bestFit="1" customWidth="1"/>
    <col min="7436" max="7436" width="12.44140625" bestFit="1" customWidth="1"/>
    <col min="7437" max="7437" width="13.109375" bestFit="1" customWidth="1"/>
    <col min="7438" max="7438" width="12.109375" bestFit="1" customWidth="1"/>
    <col min="7439" max="7439" width="13" bestFit="1" customWidth="1"/>
    <col min="7682" max="7682" width="11.33203125" customWidth="1"/>
    <col min="7683" max="7683" width="15.5546875" customWidth="1"/>
    <col min="7684" max="7684" width="12.6640625" bestFit="1" customWidth="1"/>
    <col min="7685" max="7687" width="13.109375" bestFit="1" customWidth="1"/>
    <col min="7688" max="7688" width="12.6640625" bestFit="1" customWidth="1"/>
    <col min="7689" max="7689" width="12.109375" bestFit="1" customWidth="1"/>
    <col min="7690" max="7691" width="13.109375" bestFit="1" customWidth="1"/>
    <col min="7692" max="7692" width="12.44140625" bestFit="1" customWidth="1"/>
    <col min="7693" max="7693" width="13.109375" bestFit="1" customWidth="1"/>
    <col min="7694" max="7694" width="12.109375" bestFit="1" customWidth="1"/>
    <col min="7695" max="7695" width="13" bestFit="1" customWidth="1"/>
    <col min="7938" max="7938" width="11.33203125" customWidth="1"/>
    <col min="7939" max="7939" width="15.5546875" customWidth="1"/>
    <col min="7940" max="7940" width="12.6640625" bestFit="1" customWidth="1"/>
    <col min="7941" max="7943" width="13.109375" bestFit="1" customWidth="1"/>
    <col min="7944" max="7944" width="12.6640625" bestFit="1" customWidth="1"/>
    <col min="7945" max="7945" width="12.109375" bestFit="1" customWidth="1"/>
    <col min="7946" max="7947" width="13.109375" bestFit="1" customWidth="1"/>
    <col min="7948" max="7948" width="12.44140625" bestFit="1" customWidth="1"/>
    <col min="7949" max="7949" width="13.109375" bestFit="1" customWidth="1"/>
    <col min="7950" max="7950" width="12.109375" bestFit="1" customWidth="1"/>
    <col min="7951" max="7951" width="13" bestFit="1" customWidth="1"/>
    <col min="8194" max="8194" width="11.33203125" customWidth="1"/>
    <col min="8195" max="8195" width="15.5546875" customWidth="1"/>
    <col min="8196" max="8196" width="12.6640625" bestFit="1" customWidth="1"/>
    <col min="8197" max="8199" width="13.109375" bestFit="1" customWidth="1"/>
    <col min="8200" max="8200" width="12.6640625" bestFit="1" customWidth="1"/>
    <col min="8201" max="8201" width="12.109375" bestFit="1" customWidth="1"/>
    <col min="8202" max="8203" width="13.109375" bestFit="1" customWidth="1"/>
    <col min="8204" max="8204" width="12.44140625" bestFit="1" customWidth="1"/>
    <col min="8205" max="8205" width="13.109375" bestFit="1" customWidth="1"/>
    <col min="8206" max="8206" width="12.109375" bestFit="1" customWidth="1"/>
    <col min="8207" max="8207" width="13" bestFit="1" customWidth="1"/>
    <col min="8450" max="8450" width="11.33203125" customWidth="1"/>
    <col min="8451" max="8451" width="15.5546875" customWidth="1"/>
    <col min="8452" max="8452" width="12.6640625" bestFit="1" customWidth="1"/>
    <col min="8453" max="8455" width="13.109375" bestFit="1" customWidth="1"/>
    <col min="8456" max="8456" width="12.6640625" bestFit="1" customWidth="1"/>
    <col min="8457" max="8457" width="12.109375" bestFit="1" customWidth="1"/>
    <col min="8458" max="8459" width="13.109375" bestFit="1" customWidth="1"/>
    <col min="8460" max="8460" width="12.44140625" bestFit="1" customWidth="1"/>
    <col min="8461" max="8461" width="13.109375" bestFit="1" customWidth="1"/>
    <col min="8462" max="8462" width="12.109375" bestFit="1" customWidth="1"/>
    <col min="8463" max="8463" width="13" bestFit="1" customWidth="1"/>
    <col min="8706" max="8706" width="11.33203125" customWidth="1"/>
    <col min="8707" max="8707" width="15.5546875" customWidth="1"/>
    <col min="8708" max="8708" width="12.6640625" bestFit="1" customWidth="1"/>
    <col min="8709" max="8711" width="13.109375" bestFit="1" customWidth="1"/>
    <col min="8712" max="8712" width="12.6640625" bestFit="1" customWidth="1"/>
    <col min="8713" max="8713" width="12.109375" bestFit="1" customWidth="1"/>
    <col min="8714" max="8715" width="13.109375" bestFit="1" customWidth="1"/>
    <col min="8716" max="8716" width="12.44140625" bestFit="1" customWidth="1"/>
    <col min="8717" max="8717" width="13.109375" bestFit="1" customWidth="1"/>
    <col min="8718" max="8718" width="12.109375" bestFit="1" customWidth="1"/>
    <col min="8719" max="8719" width="13" bestFit="1" customWidth="1"/>
    <col min="8962" max="8962" width="11.33203125" customWidth="1"/>
    <col min="8963" max="8963" width="15.5546875" customWidth="1"/>
    <col min="8964" max="8964" width="12.6640625" bestFit="1" customWidth="1"/>
    <col min="8965" max="8967" width="13.109375" bestFit="1" customWidth="1"/>
    <col min="8968" max="8968" width="12.6640625" bestFit="1" customWidth="1"/>
    <col min="8969" max="8969" width="12.109375" bestFit="1" customWidth="1"/>
    <col min="8970" max="8971" width="13.109375" bestFit="1" customWidth="1"/>
    <col min="8972" max="8972" width="12.44140625" bestFit="1" customWidth="1"/>
    <col min="8973" max="8973" width="13.109375" bestFit="1" customWidth="1"/>
    <col min="8974" max="8974" width="12.109375" bestFit="1" customWidth="1"/>
    <col min="8975" max="8975" width="13" bestFit="1" customWidth="1"/>
    <col min="9218" max="9218" width="11.33203125" customWidth="1"/>
    <col min="9219" max="9219" width="15.5546875" customWidth="1"/>
    <col min="9220" max="9220" width="12.6640625" bestFit="1" customWidth="1"/>
    <col min="9221" max="9223" width="13.109375" bestFit="1" customWidth="1"/>
    <col min="9224" max="9224" width="12.6640625" bestFit="1" customWidth="1"/>
    <col min="9225" max="9225" width="12.109375" bestFit="1" customWidth="1"/>
    <col min="9226" max="9227" width="13.109375" bestFit="1" customWidth="1"/>
    <col min="9228" max="9228" width="12.44140625" bestFit="1" customWidth="1"/>
    <col min="9229" max="9229" width="13.109375" bestFit="1" customWidth="1"/>
    <col min="9230" max="9230" width="12.109375" bestFit="1" customWidth="1"/>
    <col min="9231" max="9231" width="13" bestFit="1" customWidth="1"/>
    <col min="9474" max="9474" width="11.33203125" customWidth="1"/>
    <col min="9475" max="9475" width="15.5546875" customWidth="1"/>
    <col min="9476" max="9476" width="12.6640625" bestFit="1" customWidth="1"/>
    <col min="9477" max="9479" width="13.109375" bestFit="1" customWidth="1"/>
    <col min="9480" max="9480" width="12.6640625" bestFit="1" customWidth="1"/>
    <col min="9481" max="9481" width="12.109375" bestFit="1" customWidth="1"/>
    <col min="9482" max="9483" width="13.109375" bestFit="1" customWidth="1"/>
    <col min="9484" max="9484" width="12.44140625" bestFit="1" customWidth="1"/>
    <col min="9485" max="9485" width="13.109375" bestFit="1" customWidth="1"/>
    <col min="9486" max="9486" width="12.109375" bestFit="1" customWidth="1"/>
    <col min="9487" max="9487" width="13" bestFit="1" customWidth="1"/>
    <col min="9730" max="9730" width="11.33203125" customWidth="1"/>
    <col min="9731" max="9731" width="15.5546875" customWidth="1"/>
    <col min="9732" max="9732" width="12.6640625" bestFit="1" customWidth="1"/>
    <col min="9733" max="9735" width="13.109375" bestFit="1" customWidth="1"/>
    <col min="9736" max="9736" width="12.6640625" bestFit="1" customWidth="1"/>
    <col min="9737" max="9737" width="12.109375" bestFit="1" customWidth="1"/>
    <col min="9738" max="9739" width="13.109375" bestFit="1" customWidth="1"/>
    <col min="9740" max="9740" width="12.44140625" bestFit="1" customWidth="1"/>
    <col min="9741" max="9741" width="13.109375" bestFit="1" customWidth="1"/>
    <col min="9742" max="9742" width="12.109375" bestFit="1" customWidth="1"/>
    <col min="9743" max="9743" width="13" bestFit="1" customWidth="1"/>
    <col min="9986" max="9986" width="11.33203125" customWidth="1"/>
    <col min="9987" max="9987" width="15.5546875" customWidth="1"/>
    <col min="9988" max="9988" width="12.6640625" bestFit="1" customWidth="1"/>
    <col min="9989" max="9991" width="13.109375" bestFit="1" customWidth="1"/>
    <col min="9992" max="9992" width="12.6640625" bestFit="1" customWidth="1"/>
    <col min="9993" max="9993" width="12.109375" bestFit="1" customWidth="1"/>
    <col min="9994" max="9995" width="13.109375" bestFit="1" customWidth="1"/>
    <col min="9996" max="9996" width="12.44140625" bestFit="1" customWidth="1"/>
    <col min="9997" max="9997" width="13.109375" bestFit="1" customWidth="1"/>
    <col min="9998" max="9998" width="12.109375" bestFit="1" customWidth="1"/>
    <col min="9999" max="9999" width="13" bestFit="1" customWidth="1"/>
    <col min="10242" max="10242" width="11.33203125" customWidth="1"/>
    <col min="10243" max="10243" width="15.5546875" customWidth="1"/>
    <col min="10244" max="10244" width="12.6640625" bestFit="1" customWidth="1"/>
    <col min="10245" max="10247" width="13.109375" bestFit="1" customWidth="1"/>
    <col min="10248" max="10248" width="12.6640625" bestFit="1" customWidth="1"/>
    <col min="10249" max="10249" width="12.109375" bestFit="1" customWidth="1"/>
    <col min="10250" max="10251" width="13.109375" bestFit="1" customWidth="1"/>
    <col min="10252" max="10252" width="12.44140625" bestFit="1" customWidth="1"/>
    <col min="10253" max="10253" width="13.109375" bestFit="1" customWidth="1"/>
    <col min="10254" max="10254" width="12.109375" bestFit="1" customWidth="1"/>
    <col min="10255" max="10255" width="13" bestFit="1" customWidth="1"/>
    <col min="10498" max="10498" width="11.33203125" customWidth="1"/>
    <col min="10499" max="10499" width="15.5546875" customWidth="1"/>
    <col min="10500" max="10500" width="12.6640625" bestFit="1" customWidth="1"/>
    <col min="10501" max="10503" width="13.109375" bestFit="1" customWidth="1"/>
    <col min="10504" max="10504" width="12.6640625" bestFit="1" customWidth="1"/>
    <col min="10505" max="10505" width="12.109375" bestFit="1" customWidth="1"/>
    <col min="10506" max="10507" width="13.109375" bestFit="1" customWidth="1"/>
    <col min="10508" max="10508" width="12.44140625" bestFit="1" customWidth="1"/>
    <col min="10509" max="10509" width="13.109375" bestFit="1" customWidth="1"/>
    <col min="10510" max="10510" width="12.109375" bestFit="1" customWidth="1"/>
    <col min="10511" max="10511" width="13" bestFit="1" customWidth="1"/>
    <col min="10754" max="10754" width="11.33203125" customWidth="1"/>
    <col min="10755" max="10755" width="15.5546875" customWidth="1"/>
    <col min="10756" max="10756" width="12.6640625" bestFit="1" customWidth="1"/>
    <col min="10757" max="10759" width="13.109375" bestFit="1" customWidth="1"/>
    <col min="10760" max="10760" width="12.6640625" bestFit="1" customWidth="1"/>
    <col min="10761" max="10761" width="12.109375" bestFit="1" customWidth="1"/>
    <col min="10762" max="10763" width="13.109375" bestFit="1" customWidth="1"/>
    <col min="10764" max="10764" width="12.44140625" bestFit="1" customWidth="1"/>
    <col min="10765" max="10765" width="13.109375" bestFit="1" customWidth="1"/>
    <col min="10766" max="10766" width="12.109375" bestFit="1" customWidth="1"/>
    <col min="10767" max="10767" width="13" bestFit="1" customWidth="1"/>
    <col min="11010" max="11010" width="11.33203125" customWidth="1"/>
    <col min="11011" max="11011" width="15.5546875" customWidth="1"/>
    <col min="11012" max="11012" width="12.6640625" bestFit="1" customWidth="1"/>
    <col min="11013" max="11015" width="13.109375" bestFit="1" customWidth="1"/>
    <col min="11016" max="11016" width="12.6640625" bestFit="1" customWidth="1"/>
    <col min="11017" max="11017" width="12.109375" bestFit="1" customWidth="1"/>
    <col min="11018" max="11019" width="13.109375" bestFit="1" customWidth="1"/>
    <col min="11020" max="11020" width="12.44140625" bestFit="1" customWidth="1"/>
    <col min="11021" max="11021" width="13.109375" bestFit="1" customWidth="1"/>
    <col min="11022" max="11022" width="12.109375" bestFit="1" customWidth="1"/>
    <col min="11023" max="11023" width="13" bestFit="1" customWidth="1"/>
    <col min="11266" max="11266" width="11.33203125" customWidth="1"/>
    <col min="11267" max="11267" width="15.5546875" customWidth="1"/>
    <col min="11268" max="11268" width="12.6640625" bestFit="1" customWidth="1"/>
    <col min="11269" max="11271" width="13.109375" bestFit="1" customWidth="1"/>
    <col min="11272" max="11272" width="12.6640625" bestFit="1" customWidth="1"/>
    <col min="11273" max="11273" width="12.109375" bestFit="1" customWidth="1"/>
    <col min="11274" max="11275" width="13.109375" bestFit="1" customWidth="1"/>
    <col min="11276" max="11276" width="12.44140625" bestFit="1" customWidth="1"/>
    <col min="11277" max="11277" width="13.109375" bestFit="1" customWidth="1"/>
    <col min="11278" max="11278" width="12.109375" bestFit="1" customWidth="1"/>
    <col min="11279" max="11279" width="13" bestFit="1" customWidth="1"/>
    <col min="11522" max="11522" width="11.33203125" customWidth="1"/>
    <col min="11523" max="11523" width="15.5546875" customWidth="1"/>
    <col min="11524" max="11524" width="12.6640625" bestFit="1" customWidth="1"/>
    <col min="11525" max="11527" width="13.109375" bestFit="1" customWidth="1"/>
    <col min="11528" max="11528" width="12.6640625" bestFit="1" customWidth="1"/>
    <col min="11529" max="11529" width="12.109375" bestFit="1" customWidth="1"/>
    <col min="11530" max="11531" width="13.109375" bestFit="1" customWidth="1"/>
    <col min="11532" max="11532" width="12.44140625" bestFit="1" customWidth="1"/>
    <col min="11533" max="11533" width="13.109375" bestFit="1" customWidth="1"/>
    <col min="11534" max="11534" width="12.109375" bestFit="1" customWidth="1"/>
    <col min="11535" max="11535" width="13" bestFit="1" customWidth="1"/>
    <col min="11778" max="11778" width="11.33203125" customWidth="1"/>
    <col min="11779" max="11779" width="15.5546875" customWidth="1"/>
    <col min="11780" max="11780" width="12.6640625" bestFit="1" customWidth="1"/>
    <col min="11781" max="11783" width="13.109375" bestFit="1" customWidth="1"/>
    <col min="11784" max="11784" width="12.6640625" bestFit="1" customWidth="1"/>
    <col min="11785" max="11785" width="12.109375" bestFit="1" customWidth="1"/>
    <col min="11786" max="11787" width="13.109375" bestFit="1" customWidth="1"/>
    <col min="11788" max="11788" width="12.44140625" bestFit="1" customWidth="1"/>
    <col min="11789" max="11789" width="13.109375" bestFit="1" customWidth="1"/>
    <col min="11790" max="11790" width="12.109375" bestFit="1" customWidth="1"/>
    <col min="11791" max="11791" width="13" bestFit="1" customWidth="1"/>
    <col min="12034" max="12034" width="11.33203125" customWidth="1"/>
    <col min="12035" max="12035" width="15.5546875" customWidth="1"/>
    <col min="12036" max="12036" width="12.6640625" bestFit="1" customWidth="1"/>
    <col min="12037" max="12039" width="13.109375" bestFit="1" customWidth="1"/>
    <col min="12040" max="12040" width="12.6640625" bestFit="1" customWidth="1"/>
    <col min="12041" max="12041" width="12.109375" bestFit="1" customWidth="1"/>
    <col min="12042" max="12043" width="13.109375" bestFit="1" customWidth="1"/>
    <col min="12044" max="12044" width="12.44140625" bestFit="1" customWidth="1"/>
    <col min="12045" max="12045" width="13.109375" bestFit="1" customWidth="1"/>
    <col min="12046" max="12046" width="12.109375" bestFit="1" customWidth="1"/>
    <col min="12047" max="12047" width="13" bestFit="1" customWidth="1"/>
    <col min="12290" max="12290" width="11.33203125" customWidth="1"/>
    <col min="12291" max="12291" width="15.5546875" customWidth="1"/>
    <col min="12292" max="12292" width="12.6640625" bestFit="1" customWidth="1"/>
    <col min="12293" max="12295" width="13.109375" bestFit="1" customWidth="1"/>
    <col min="12296" max="12296" width="12.6640625" bestFit="1" customWidth="1"/>
    <col min="12297" max="12297" width="12.109375" bestFit="1" customWidth="1"/>
    <col min="12298" max="12299" width="13.109375" bestFit="1" customWidth="1"/>
    <col min="12300" max="12300" width="12.44140625" bestFit="1" customWidth="1"/>
    <col min="12301" max="12301" width="13.109375" bestFit="1" customWidth="1"/>
    <col min="12302" max="12302" width="12.109375" bestFit="1" customWidth="1"/>
    <col min="12303" max="12303" width="13" bestFit="1" customWidth="1"/>
    <col min="12546" max="12546" width="11.33203125" customWidth="1"/>
    <col min="12547" max="12547" width="15.5546875" customWidth="1"/>
    <col min="12548" max="12548" width="12.6640625" bestFit="1" customWidth="1"/>
    <col min="12549" max="12551" width="13.109375" bestFit="1" customWidth="1"/>
    <col min="12552" max="12552" width="12.6640625" bestFit="1" customWidth="1"/>
    <col min="12553" max="12553" width="12.109375" bestFit="1" customWidth="1"/>
    <col min="12554" max="12555" width="13.109375" bestFit="1" customWidth="1"/>
    <col min="12556" max="12556" width="12.44140625" bestFit="1" customWidth="1"/>
    <col min="12557" max="12557" width="13.109375" bestFit="1" customWidth="1"/>
    <col min="12558" max="12558" width="12.109375" bestFit="1" customWidth="1"/>
    <col min="12559" max="12559" width="13" bestFit="1" customWidth="1"/>
    <col min="12802" max="12802" width="11.33203125" customWidth="1"/>
    <col min="12803" max="12803" width="15.5546875" customWidth="1"/>
    <col min="12804" max="12804" width="12.6640625" bestFit="1" customWidth="1"/>
    <col min="12805" max="12807" width="13.109375" bestFit="1" customWidth="1"/>
    <col min="12808" max="12808" width="12.6640625" bestFit="1" customWidth="1"/>
    <col min="12809" max="12809" width="12.109375" bestFit="1" customWidth="1"/>
    <col min="12810" max="12811" width="13.109375" bestFit="1" customWidth="1"/>
    <col min="12812" max="12812" width="12.44140625" bestFit="1" customWidth="1"/>
    <col min="12813" max="12813" width="13.109375" bestFit="1" customWidth="1"/>
    <col min="12814" max="12814" width="12.109375" bestFit="1" customWidth="1"/>
    <col min="12815" max="12815" width="13" bestFit="1" customWidth="1"/>
    <col min="13058" max="13058" width="11.33203125" customWidth="1"/>
    <col min="13059" max="13059" width="15.5546875" customWidth="1"/>
    <col min="13060" max="13060" width="12.6640625" bestFit="1" customWidth="1"/>
    <col min="13061" max="13063" width="13.109375" bestFit="1" customWidth="1"/>
    <col min="13064" max="13064" width="12.6640625" bestFit="1" customWidth="1"/>
    <col min="13065" max="13065" width="12.109375" bestFit="1" customWidth="1"/>
    <col min="13066" max="13067" width="13.109375" bestFit="1" customWidth="1"/>
    <col min="13068" max="13068" width="12.44140625" bestFit="1" customWidth="1"/>
    <col min="13069" max="13069" width="13.109375" bestFit="1" customWidth="1"/>
    <col min="13070" max="13070" width="12.109375" bestFit="1" customWidth="1"/>
    <col min="13071" max="13071" width="13" bestFit="1" customWidth="1"/>
    <col min="13314" max="13314" width="11.33203125" customWidth="1"/>
    <col min="13315" max="13315" width="15.5546875" customWidth="1"/>
    <col min="13316" max="13316" width="12.6640625" bestFit="1" customWidth="1"/>
    <col min="13317" max="13319" width="13.109375" bestFit="1" customWidth="1"/>
    <col min="13320" max="13320" width="12.6640625" bestFit="1" customWidth="1"/>
    <col min="13321" max="13321" width="12.109375" bestFit="1" customWidth="1"/>
    <col min="13322" max="13323" width="13.109375" bestFit="1" customWidth="1"/>
    <col min="13324" max="13324" width="12.44140625" bestFit="1" customWidth="1"/>
    <col min="13325" max="13325" width="13.109375" bestFit="1" customWidth="1"/>
    <col min="13326" max="13326" width="12.109375" bestFit="1" customWidth="1"/>
    <col min="13327" max="13327" width="13" bestFit="1" customWidth="1"/>
    <col min="13570" max="13570" width="11.33203125" customWidth="1"/>
    <col min="13571" max="13571" width="15.5546875" customWidth="1"/>
    <col min="13572" max="13572" width="12.6640625" bestFit="1" customWidth="1"/>
    <col min="13573" max="13575" width="13.109375" bestFit="1" customWidth="1"/>
    <col min="13576" max="13576" width="12.6640625" bestFit="1" customWidth="1"/>
    <col min="13577" max="13577" width="12.109375" bestFit="1" customWidth="1"/>
    <col min="13578" max="13579" width="13.109375" bestFit="1" customWidth="1"/>
    <col min="13580" max="13580" width="12.44140625" bestFit="1" customWidth="1"/>
    <col min="13581" max="13581" width="13.109375" bestFit="1" customWidth="1"/>
    <col min="13582" max="13582" width="12.109375" bestFit="1" customWidth="1"/>
    <col min="13583" max="13583" width="13" bestFit="1" customWidth="1"/>
    <col min="13826" max="13826" width="11.33203125" customWidth="1"/>
    <col min="13827" max="13827" width="15.5546875" customWidth="1"/>
    <col min="13828" max="13828" width="12.6640625" bestFit="1" customWidth="1"/>
    <col min="13829" max="13831" width="13.109375" bestFit="1" customWidth="1"/>
    <col min="13832" max="13832" width="12.6640625" bestFit="1" customWidth="1"/>
    <col min="13833" max="13833" width="12.109375" bestFit="1" customWidth="1"/>
    <col min="13834" max="13835" width="13.109375" bestFit="1" customWidth="1"/>
    <col min="13836" max="13836" width="12.44140625" bestFit="1" customWidth="1"/>
    <col min="13837" max="13837" width="13.109375" bestFit="1" customWidth="1"/>
    <col min="13838" max="13838" width="12.109375" bestFit="1" customWidth="1"/>
    <col min="13839" max="13839" width="13" bestFit="1" customWidth="1"/>
    <col min="14082" max="14082" width="11.33203125" customWidth="1"/>
    <col min="14083" max="14083" width="15.5546875" customWidth="1"/>
    <col min="14084" max="14084" width="12.6640625" bestFit="1" customWidth="1"/>
    <col min="14085" max="14087" width="13.109375" bestFit="1" customWidth="1"/>
    <col min="14088" max="14088" width="12.6640625" bestFit="1" customWidth="1"/>
    <col min="14089" max="14089" width="12.109375" bestFit="1" customWidth="1"/>
    <col min="14090" max="14091" width="13.109375" bestFit="1" customWidth="1"/>
    <col min="14092" max="14092" width="12.44140625" bestFit="1" customWidth="1"/>
    <col min="14093" max="14093" width="13.109375" bestFit="1" customWidth="1"/>
    <col min="14094" max="14094" width="12.109375" bestFit="1" customWidth="1"/>
    <col min="14095" max="14095" width="13" bestFit="1" customWidth="1"/>
    <col min="14338" max="14338" width="11.33203125" customWidth="1"/>
    <col min="14339" max="14339" width="15.5546875" customWidth="1"/>
    <col min="14340" max="14340" width="12.6640625" bestFit="1" customWidth="1"/>
    <col min="14341" max="14343" width="13.109375" bestFit="1" customWidth="1"/>
    <col min="14344" max="14344" width="12.6640625" bestFit="1" customWidth="1"/>
    <col min="14345" max="14345" width="12.109375" bestFit="1" customWidth="1"/>
    <col min="14346" max="14347" width="13.109375" bestFit="1" customWidth="1"/>
    <col min="14348" max="14348" width="12.44140625" bestFit="1" customWidth="1"/>
    <col min="14349" max="14349" width="13.109375" bestFit="1" customWidth="1"/>
    <col min="14350" max="14350" width="12.109375" bestFit="1" customWidth="1"/>
    <col min="14351" max="14351" width="13" bestFit="1" customWidth="1"/>
    <col min="14594" max="14594" width="11.33203125" customWidth="1"/>
    <col min="14595" max="14595" width="15.5546875" customWidth="1"/>
    <col min="14596" max="14596" width="12.6640625" bestFit="1" customWidth="1"/>
    <col min="14597" max="14599" width="13.109375" bestFit="1" customWidth="1"/>
    <col min="14600" max="14600" width="12.6640625" bestFit="1" customWidth="1"/>
    <col min="14601" max="14601" width="12.109375" bestFit="1" customWidth="1"/>
    <col min="14602" max="14603" width="13.109375" bestFit="1" customWidth="1"/>
    <col min="14604" max="14604" width="12.44140625" bestFit="1" customWidth="1"/>
    <col min="14605" max="14605" width="13.109375" bestFit="1" customWidth="1"/>
    <col min="14606" max="14606" width="12.109375" bestFit="1" customWidth="1"/>
    <col min="14607" max="14607" width="13" bestFit="1" customWidth="1"/>
    <col min="14850" max="14850" width="11.33203125" customWidth="1"/>
    <col min="14851" max="14851" width="15.5546875" customWidth="1"/>
    <col min="14852" max="14852" width="12.6640625" bestFit="1" customWidth="1"/>
    <col min="14853" max="14855" width="13.109375" bestFit="1" customWidth="1"/>
    <col min="14856" max="14856" width="12.6640625" bestFit="1" customWidth="1"/>
    <col min="14857" max="14857" width="12.109375" bestFit="1" customWidth="1"/>
    <col min="14858" max="14859" width="13.109375" bestFit="1" customWidth="1"/>
    <col min="14860" max="14860" width="12.44140625" bestFit="1" customWidth="1"/>
    <col min="14861" max="14861" width="13.109375" bestFit="1" customWidth="1"/>
    <col min="14862" max="14862" width="12.109375" bestFit="1" customWidth="1"/>
    <col min="14863" max="14863" width="13" bestFit="1" customWidth="1"/>
    <col min="15106" max="15106" width="11.33203125" customWidth="1"/>
    <col min="15107" max="15107" width="15.5546875" customWidth="1"/>
    <col min="15108" max="15108" width="12.6640625" bestFit="1" customWidth="1"/>
    <col min="15109" max="15111" width="13.109375" bestFit="1" customWidth="1"/>
    <col min="15112" max="15112" width="12.6640625" bestFit="1" customWidth="1"/>
    <col min="15113" max="15113" width="12.109375" bestFit="1" customWidth="1"/>
    <col min="15114" max="15115" width="13.109375" bestFit="1" customWidth="1"/>
    <col min="15116" max="15116" width="12.44140625" bestFit="1" customWidth="1"/>
    <col min="15117" max="15117" width="13.109375" bestFit="1" customWidth="1"/>
    <col min="15118" max="15118" width="12.109375" bestFit="1" customWidth="1"/>
    <col min="15119" max="15119" width="13" bestFit="1" customWidth="1"/>
    <col min="15362" max="15362" width="11.33203125" customWidth="1"/>
    <col min="15363" max="15363" width="15.5546875" customWidth="1"/>
    <col min="15364" max="15364" width="12.6640625" bestFit="1" customWidth="1"/>
    <col min="15365" max="15367" width="13.109375" bestFit="1" customWidth="1"/>
    <col min="15368" max="15368" width="12.6640625" bestFit="1" customWidth="1"/>
    <col min="15369" max="15369" width="12.109375" bestFit="1" customWidth="1"/>
    <col min="15370" max="15371" width="13.109375" bestFit="1" customWidth="1"/>
    <col min="15372" max="15372" width="12.44140625" bestFit="1" customWidth="1"/>
    <col min="15373" max="15373" width="13.109375" bestFit="1" customWidth="1"/>
    <col min="15374" max="15374" width="12.109375" bestFit="1" customWidth="1"/>
    <col min="15375" max="15375" width="13" bestFit="1" customWidth="1"/>
    <col min="15618" max="15618" width="11.33203125" customWidth="1"/>
    <col min="15619" max="15619" width="15.5546875" customWidth="1"/>
    <col min="15620" max="15620" width="12.6640625" bestFit="1" customWidth="1"/>
    <col min="15621" max="15623" width="13.109375" bestFit="1" customWidth="1"/>
    <col min="15624" max="15624" width="12.6640625" bestFit="1" customWidth="1"/>
    <col min="15625" max="15625" width="12.109375" bestFit="1" customWidth="1"/>
    <col min="15626" max="15627" width="13.109375" bestFit="1" customWidth="1"/>
    <col min="15628" max="15628" width="12.44140625" bestFit="1" customWidth="1"/>
    <col min="15629" max="15629" width="13.109375" bestFit="1" customWidth="1"/>
    <col min="15630" max="15630" width="12.109375" bestFit="1" customWidth="1"/>
    <col min="15631" max="15631" width="13" bestFit="1" customWidth="1"/>
    <col min="15874" max="15874" width="11.33203125" customWidth="1"/>
    <col min="15875" max="15875" width="15.5546875" customWidth="1"/>
    <col min="15876" max="15876" width="12.6640625" bestFit="1" customWidth="1"/>
    <col min="15877" max="15879" width="13.109375" bestFit="1" customWidth="1"/>
    <col min="15880" max="15880" width="12.6640625" bestFit="1" customWidth="1"/>
    <col min="15881" max="15881" width="12.109375" bestFit="1" customWidth="1"/>
    <col min="15882" max="15883" width="13.109375" bestFit="1" customWidth="1"/>
    <col min="15884" max="15884" width="12.44140625" bestFit="1" customWidth="1"/>
    <col min="15885" max="15885" width="13.109375" bestFit="1" customWidth="1"/>
    <col min="15886" max="15886" width="12.109375" bestFit="1" customWidth="1"/>
    <col min="15887" max="15887" width="13" bestFit="1" customWidth="1"/>
    <col min="16130" max="16130" width="11.33203125" customWidth="1"/>
    <col min="16131" max="16131" width="15.5546875" customWidth="1"/>
    <col min="16132" max="16132" width="12.6640625" bestFit="1" customWidth="1"/>
    <col min="16133" max="16135" width="13.109375" bestFit="1" customWidth="1"/>
    <col min="16136" max="16136" width="12.6640625" bestFit="1" customWidth="1"/>
    <col min="16137" max="16137" width="12.109375" bestFit="1" customWidth="1"/>
    <col min="16138" max="16139" width="13.109375" bestFit="1" customWidth="1"/>
    <col min="16140" max="16140" width="12.44140625" bestFit="1" customWidth="1"/>
    <col min="16141" max="16141" width="13.109375" bestFit="1" customWidth="1"/>
    <col min="16142" max="16142" width="12.109375" bestFit="1" customWidth="1"/>
    <col min="16143" max="16143" width="13" bestFit="1" customWidth="1"/>
  </cols>
  <sheetData>
    <row r="1" spans="1:20" s="8" customFormat="1">
      <c r="B1" s="8" t="s">
        <v>1269</v>
      </c>
    </row>
    <row r="2" spans="1:20" s="8" customFormat="1">
      <c r="B2" s="8" t="s">
        <v>1267</v>
      </c>
    </row>
    <row r="3" spans="1:20" s="8" customFormat="1"/>
    <row r="5" spans="1:20">
      <c r="B5" t="s">
        <v>555</v>
      </c>
      <c r="C5" t="s">
        <v>556</v>
      </c>
    </row>
    <row r="8" spans="1:20">
      <c r="C8" t="s">
        <v>106</v>
      </c>
      <c r="D8" s="4">
        <v>42370</v>
      </c>
      <c r="E8" s="4">
        <v>42401</v>
      </c>
      <c r="F8" s="4">
        <v>42430</v>
      </c>
      <c r="G8" s="4">
        <v>42461</v>
      </c>
      <c r="H8" s="4">
        <v>42491</v>
      </c>
      <c r="I8" s="4">
        <v>42522</v>
      </c>
      <c r="J8" s="4">
        <v>42552</v>
      </c>
      <c r="K8" s="4">
        <v>42583</v>
      </c>
      <c r="L8" s="4">
        <v>42614</v>
      </c>
      <c r="M8" s="4">
        <v>42644</v>
      </c>
      <c r="N8" s="4">
        <v>42675</v>
      </c>
      <c r="O8" s="4">
        <v>42705</v>
      </c>
    </row>
    <row r="9" spans="1:20" s="240" customFormat="1">
      <c r="C9" s="240" t="s">
        <v>113</v>
      </c>
      <c r="D9" s="145">
        <f>+'CP FCST'!B45/1000</f>
        <v>18224.496024575095</v>
      </c>
      <c r="E9" s="145">
        <f>+'CP FCST'!C45/1000</f>
        <v>16899.548355427934</v>
      </c>
      <c r="F9" s="145">
        <f>+'CP FCST'!D45/1000</f>
        <v>15757.360471485339</v>
      </c>
      <c r="G9" s="145">
        <f>+'CP FCST'!E45/1000</f>
        <v>17540.582008055302</v>
      </c>
      <c r="H9" s="145">
        <f>+'CP FCST'!F45/1000</f>
        <v>18890.634899294164</v>
      </c>
      <c r="I9" s="145">
        <f>+'CP FCST'!G45/1000</f>
        <v>21030.307191586464</v>
      </c>
      <c r="J9" s="145">
        <f>+'CP FCST'!H45/1000</f>
        <v>21161.156596233017</v>
      </c>
      <c r="K9" s="145">
        <f>+'CP FCST'!I45/1000</f>
        <v>21079.251144695598</v>
      </c>
      <c r="L9" s="145">
        <f>+'CP FCST'!J45/1000</f>
        <v>21441.855087695025</v>
      </c>
      <c r="M9" s="145">
        <f>+'CP FCST'!K45/1000</f>
        <v>19980.627986563391</v>
      </c>
      <c r="N9" s="145">
        <f>+'CP FCST'!L45/1000</f>
        <v>18257.050107749317</v>
      </c>
      <c r="O9" s="145">
        <f>+'CP FCST'!M45/1000</f>
        <v>16814.144395976291</v>
      </c>
    </row>
    <row r="10" spans="1:20">
      <c r="D10" s="150"/>
      <c r="E10" s="150"/>
      <c r="F10" s="150"/>
      <c r="G10" s="150"/>
      <c r="H10" s="150"/>
      <c r="I10" s="150"/>
      <c r="J10" s="150"/>
      <c r="K10" s="150"/>
      <c r="L10" s="150"/>
      <c r="M10" s="150"/>
      <c r="N10" s="150"/>
      <c r="O10" s="150"/>
      <c r="P10" s="150"/>
      <c r="Q10" s="150"/>
    </row>
    <row r="11" spans="1:20">
      <c r="A11" t="s">
        <v>98</v>
      </c>
      <c r="B11" t="s">
        <v>122</v>
      </c>
      <c r="C11" t="s">
        <v>1117</v>
      </c>
    </row>
    <row r="12" spans="1:20">
      <c r="A12" t="s">
        <v>98</v>
      </c>
      <c r="B12" t="s">
        <v>122</v>
      </c>
      <c r="C12" t="s">
        <v>557</v>
      </c>
      <c r="D12" s="4">
        <f>$D$8</f>
        <v>42370</v>
      </c>
      <c r="E12" s="4">
        <f>$E$8</f>
        <v>42401</v>
      </c>
      <c r="F12" s="4">
        <f>$F$8</f>
        <v>42430</v>
      </c>
      <c r="G12" s="4">
        <f>$G$8</f>
        <v>42461</v>
      </c>
      <c r="H12" s="4">
        <f>$H$8</f>
        <v>42491</v>
      </c>
      <c r="I12" s="4">
        <f>$I$8</f>
        <v>42522</v>
      </c>
      <c r="J12" s="4">
        <f>$J$8</f>
        <v>42552</v>
      </c>
      <c r="K12" s="4">
        <f>$K$8</f>
        <v>42583</v>
      </c>
      <c r="L12" s="4">
        <f>$L$8</f>
        <v>42614</v>
      </c>
      <c r="M12" s="4">
        <f>$M$8</f>
        <v>42644</v>
      </c>
      <c r="N12" s="4">
        <f>$N$8</f>
        <v>42675</v>
      </c>
      <c r="O12" s="4">
        <f>$O$8</f>
        <v>42705</v>
      </c>
    </row>
    <row r="13" spans="1:20" s="240" customFormat="1">
      <c r="A13" t="s">
        <v>98</v>
      </c>
      <c r="B13" t="s">
        <v>122</v>
      </c>
      <c r="C13" s="240" t="s">
        <v>148</v>
      </c>
      <c r="D13" s="145">
        <f>VLOOKUP($A13&amp;" CP",'2016 PRIOR'!$A$13:$R$196,'2016 PRIOR'!C$9,FALSE)</f>
        <v>320980.38428535068</v>
      </c>
      <c r="E13" s="145">
        <f>VLOOKUP($A13&amp;" CP",'2016 PRIOR'!$A$13:$R$196,'2016 PRIOR'!D$9,FALSE)</f>
        <v>345060.57986160798</v>
      </c>
      <c r="F13" s="145">
        <f>VLOOKUP($A13&amp;" CP",'2016 PRIOR'!$A$13:$R$196,'2016 PRIOR'!E$9,FALSE)</f>
        <v>295033.33275182598</v>
      </c>
      <c r="G13" s="145">
        <f>VLOOKUP($A13&amp;" CP",'2016 PRIOR'!$A$13:$R$196,'2016 PRIOR'!F$9,FALSE)</f>
        <v>329604.049037683</v>
      </c>
      <c r="H13" s="145">
        <f>VLOOKUP($A13&amp;" CP",'2016 PRIOR'!$A$13:$R$196,'2016 PRIOR'!G$9,FALSE)</f>
        <v>323687.73703776515</v>
      </c>
      <c r="I13" s="145">
        <f>VLOOKUP($A13&amp;" CP",'2016 PRIOR'!$A$13:$R$196,'2016 PRIOR'!H$9,FALSE)</f>
        <v>353389.48371124017</v>
      </c>
      <c r="J13" s="145">
        <f>VLOOKUP($A13&amp;" CP",'2016 PRIOR'!$A$13:$R$196,'2016 PRIOR'!I$9,FALSE)</f>
        <v>343995.16619941941</v>
      </c>
      <c r="K13" s="145">
        <f>VLOOKUP($A13&amp;" CP",'2016 PRIOR'!$A$13:$R$196,'2016 PRIOR'!J$9,FALSE)</f>
        <v>343532.20591553033</v>
      </c>
      <c r="L13" s="145">
        <f>VLOOKUP($A13&amp;" CP",'2016 PRIOR'!$A$13:$R$196,'2016 PRIOR'!K$9,FALSE)</f>
        <v>348134.7690042567</v>
      </c>
      <c r="M13" s="145">
        <f>VLOOKUP($A13&amp;" CP",'2016 PRIOR'!$A$13:$R$196,'2016 PRIOR'!L$9,FALSE)</f>
        <v>335174.91613651288</v>
      </c>
      <c r="N13" s="145">
        <f>VLOOKUP($A13&amp;" CP",'2016 PRIOR'!$A$13:$R$196,'2016 PRIOR'!M$9,FALSE)</f>
        <v>343870.66551603214</v>
      </c>
      <c r="O13" s="145">
        <f>VLOOKUP($A13&amp;" CP",'2016 PRIOR'!$A$13:$R$196,'2016 PRIOR'!N$9,FALSE)</f>
        <v>333234.33941645263</v>
      </c>
      <c r="T13"/>
    </row>
    <row r="14" spans="1:20" s="240" customFormat="1">
      <c r="A14" t="s">
        <v>98</v>
      </c>
      <c r="B14" t="s">
        <v>122</v>
      </c>
      <c r="C14" s="240" t="s">
        <v>147</v>
      </c>
      <c r="D14" s="145">
        <f>VLOOKUP($A14&amp;" GNCP",'2016 PRIOR'!$A$13:$R$196,'2016 PRIOR'!C$9,FALSE)</f>
        <v>365236.76523739443</v>
      </c>
      <c r="E14" s="145">
        <f>VLOOKUP($A14&amp;" GNCP",'2016 PRIOR'!$A$13:$R$196,'2016 PRIOR'!D$9,FALSE)</f>
        <v>359936.31283351575</v>
      </c>
      <c r="F14" s="145">
        <f>VLOOKUP($A14&amp;" GNCP",'2016 PRIOR'!$A$13:$R$196,'2016 PRIOR'!E$9,FALSE)</f>
        <v>339045.54463675513</v>
      </c>
      <c r="G14" s="145">
        <f>VLOOKUP($A14&amp;" GNCP",'2016 PRIOR'!$A$13:$R$196,'2016 PRIOR'!F$9,FALSE)</f>
        <v>349489.98673583753</v>
      </c>
      <c r="H14" s="145">
        <f>VLOOKUP($A14&amp;" GNCP",'2016 PRIOR'!$A$13:$R$196,'2016 PRIOR'!G$9,FALSE)</f>
        <v>346308.41998354561</v>
      </c>
      <c r="I14" s="145">
        <f>VLOOKUP($A14&amp;" GNCP",'2016 PRIOR'!$A$13:$R$196,'2016 PRIOR'!H$9,FALSE)</f>
        <v>367837.80999938585</v>
      </c>
      <c r="J14" s="145">
        <f>VLOOKUP($A14&amp;" GNCP",'2016 PRIOR'!$A$13:$R$196,'2016 PRIOR'!I$9,FALSE)</f>
        <v>365493.73786702991</v>
      </c>
      <c r="K14" s="145">
        <f>VLOOKUP($A14&amp;" GNCP",'2016 PRIOR'!$A$13:$R$196,'2016 PRIOR'!J$9,FALSE)</f>
        <v>365314.8043000981</v>
      </c>
      <c r="L14" s="145">
        <f>VLOOKUP($A14&amp;" GNCP",'2016 PRIOR'!$A$13:$R$196,'2016 PRIOR'!K$9,FALSE)</f>
        <v>373655.37537047628</v>
      </c>
      <c r="M14" s="145">
        <f>VLOOKUP($A14&amp;" GNCP",'2016 PRIOR'!$A$13:$R$196,'2016 PRIOR'!L$9,FALSE)</f>
        <v>354304.56447053305</v>
      </c>
      <c r="N14" s="145">
        <f>VLOOKUP($A14&amp;" GNCP",'2016 PRIOR'!$A$13:$R$196,'2016 PRIOR'!M$9,FALSE)</f>
        <v>358843.92415363039</v>
      </c>
      <c r="O14" s="145">
        <f>VLOOKUP($A14&amp;" GNCP",'2016 PRIOR'!$A$13:$R$196,'2016 PRIOR'!N$9,FALSE)</f>
        <v>359644.13354556594</v>
      </c>
      <c r="T14"/>
    </row>
    <row r="15" spans="1:20" s="240" customFormat="1">
      <c r="A15" t="s">
        <v>98</v>
      </c>
      <c r="B15" t="s">
        <v>122</v>
      </c>
      <c r="C15" s="240" t="s">
        <v>133</v>
      </c>
      <c r="D15" s="145">
        <f>VLOOKUP($A15&amp;" NCP",'2016 PRIOR'!$A$13:$R$196,'2016 PRIOR'!C$9,FALSE)</f>
        <v>440421.45257350209</v>
      </c>
      <c r="E15" s="145">
        <f>VLOOKUP($A15&amp;" NCP",'2016 PRIOR'!$A$13:$R$196,'2016 PRIOR'!D$9,FALSE)</f>
        <v>430373.00654546777</v>
      </c>
      <c r="F15" s="145">
        <f>VLOOKUP($A15&amp;" NCP",'2016 PRIOR'!$A$13:$R$196,'2016 PRIOR'!E$9,FALSE)</f>
        <v>407068.04688708117</v>
      </c>
      <c r="G15" s="145">
        <f>VLOOKUP($A15&amp;" NCP",'2016 PRIOR'!$A$13:$R$196,'2016 PRIOR'!F$9,FALSE)</f>
        <v>420289.30707446818</v>
      </c>
      <c r="H15" s="145">
        <f>VLOOKUP($A15&amp;" NCP",'2016 PRIOR'!$A$13:$R$196,'2016 PRIOR'!G$9,FALSE)</f>
        <v>419851.97913825046</v>
      </c>
      <c r="I15" s="145">
        <f>VLOOKUP($A15&amp;" NCP",'2016 PRIOR'!$A$13:$R$196,'2016 PRIOR'!H$9,FALSE)</f>
        <v>444977.62438453489</v>
      </c>
      <c r="J15" s="145">
        <f>VLOOKUP($A15&amp;" NCP",'2016 PRIOR'!$A$13:$R$196,'2016 PRIOR'!I$9,FALSE)</f>
        <v>441421.22793474764</v>
      </c>
      <c r="K15" s="145">
        <f>VLOOKUP($A15&amp;" NCP",'2016 PRIOR'!$A$13:$R$196,'2016 PRIOR'!J$9,FALSE)</f>
        <v>437922.83644533617</v>
      </c>
      <c r="L15" s="145">
        <f>VLOOKUP($A15&amp;" NCP",'2016 PRIOR'!$A$13:$R$196,'2016 PRIOR'!K$9,FALSE)</f>
        <v>448936.18122906407</v>
      </c>
      <c r="M15" s="145">
        <f>VLOOKUP($A15&amp;" NCP",'2016 PRIOR'!$A$13:$R$196,'2016 PRIOR'!L$9,FALSE)</f>
        <v>425542.9770315683</v>
      </c>
      <c r="N15" s="145">
        <f>VLOOKUP($A15&amp;" NCP",'2016 PRIOR'!$A$13:$R$196,'2016 PRIOR'!M$9,FALSE)</f>
        <v>428641.98865677975</v>
      </c>
      <c r="O15" s="145">
        <f>VLOOKUP($A15&amp;" NCP",'2016 PRIOR'!$A$13:$R$196,'2016 PRIOR'!N$9,FALSE)</f>
        <v>431524.62050190015</v>
      </c>
      <c r="T15"/>
    </row>
    <row r="16" spans="1:20">
      <c r="D16" s="241"/>
      <c r="E16" s="241"/>
      <c r="F16" s="241"/>
      <c r="G16" s="241"/>
      <c r="H16" s="241"/>
      <c r="I16" s="241"/>
      <c r="J16" s="241"/>
      <c r="K16" s="241"/>
      <c r="L16" s="241"/>
      <c r="M16" s="241"/>
      <c r="N16" s="241"/>
      <c r="O16" s="241"/>
      <c r="P16" s="241"/>
      <c r="Q16" s="242"/>
      <c r="S16" s="44"/>
    </row>
    <row r="17" spans="1:20">
      <c r="A17" t="s">
        <v>99</v>
      </c>
      <c r="B17" t="s">
        <v>177</v>
      </c>
      <c r="C17" t="s">
        <v>1116</v>
      </c>
    </row>
    <row r="18" spans="1:20">
      <c r="A18" t="s">
        <v>99</v>
      </c>
      <c r="B18" t="s">
        <v>177</v>
      </c>
      <c r="C18" t="s">
        <v>557</v>
      </c>
      <c r="D18" s="4">
        <f>$D$8</f>
        <v>42370</v>
      </c>
      <c r="E18" s="4">
        <f>$E$8</f>
        <v>42401</v>
      </c>
      <c r="F18" s="4">
        <f>$F$8</f>
        <v>42430</v>
      </c>
      <c r="G18" s="4">
        <f>$G$8</f>
        <v>42461</v>
      </c>
      <c r="H18" s="4">
        <f>$H$8</f>
        <v>42491</v>
      </c>
      <c r="I18" s="4">
        <f>$I$8</f>
        <v>42522</v>
      </c>
      <c r="J18" s="4">
        <f>$J$8</f>
        <v>42552</v>
      </c>
      <c r="K18" s="4">
        <f>$K$8</f>
        <v>42583</v>
      </c>
      <c r="L18" s="4">
        <f>$L$8</f>
        <v>42614</v>
      </c>
      <c r="M18" s="4">
        <f>$M$8</f>
        <v>42644</v>
      </c>
      <c r="N18" s="4">
        <f>$N$8</f>
        <v>42675</v>
      </c>
      <c r="O18" s="4">
        <f>$O$8</f>
        <v>42705</v>
      </c>
    </row>
    <row r="19" spans="1:20" s="240" customFormat="1">
      <c r="A19" t="s">
        <v>99</v>
      </c>
      <c r="B19" t="s">
        <v>177</v>
      </c>
      <c r="C19" s="240" t="s">
        <v>148</v>
      </c>
      <c r="D19" s="145">
        <f>VLOOKUP($A19&amp;" CP",'2016 PRIOR'!$A$13:$R$196,'2016 PRIOR'!C$9,FALSE)</f>
        <v>12494.963979292857</v>
      </c>
      <c r="E19" s="145">
        <f>VLOOKUP($A19&amp;" CP",'2016 PRIOR'!$A$13:$R$196,'2016 PRIOR'!D$9,FALSE)</f>
        <v>13450.377764121278</v>
      </c>
      <c r="F19" s="145">
        <f>VLOOKUP($A19&amp;" CP",'2016 PRIOR'!$A$13:$R$196,'2016 PRIOR'!E$9,FALSE)</f>
        <v>11588.171856161547</v>
      </c>
      <c r="G19" s="145">
        <f>VLOOKUP($A19&amp;" CP",'2016 PRIOR'!$A$13:$R$196,'2016 PRIOR'!F$9,FALSE)</f>
        <v>12659.003021166202</v>
      </c>
      <c r="H19" s="145">
        <f>VLOOKUP($A19&amp;" CP",'2016 PRIOR'!$A$13:$R$196,'2016 PRIOR'!G$9,FALSE)</f>
        <v>12770.85510919978</v>
      </c>
      <c r="I19" s="145">
        <f>VLOOKUP($A19&amp;" CP",'2016 PRIOR'!$A$13:$R$196,'2016 PRIOR'!H$9,FALSE)</f>
        <v>13626.42045942971</v>
      </c>
      <c r="J19" s="145">
        <f>VLOOKUP($A19&amp;" CP",'2016 PRIOR'!$A$13:$R$196,'2016 PRIOR'!I$9,FALSE)</f>
        <v>13284.377539434547</v>
      </c>
      <c r="K19" s="145">
        <f>VLOOKUP($A19&amp;" CP",'2016 PRIOR'!$A$13:$R$196,'2016 PRIOR'!J$9,FALSE)</f>
        <v>13293.879132234091</v>
      </c>
      <c r="L19" s="145">
        <f>VLOOKUP($A19&amp;" CP",'2016 PRIOR'!$A$13:$R$196,'2016 PRIOR'!K$9,FALSE)</f>
        <v>13485.637979706818</v>
      </c>
      <c r="M19" s="145">
        <f>VLOOKUP($A19&amp;" CP",'2016 PRIOR'!$A$13:$R$196,'2016 PRIOR'!L$9,FALSE)</f>
        <v>13114.683509869245</v>
      </c>
      <c r="N19" s="145">
        <f>VLOOKUP($A19&amp;" CP",'2016 PRIOR'!$A$13:$R$196,'2016 PRIOR'!M$9,FALSE)</f>
        <v>12995.801509544199</v>
      </c>
      <c r="O19" s="145">
        <f>VLOOKUP($A19&amp;" CP",'2016 PRIOR'!$A$13:$R$196,'2016 PRIOR'!N$9,FALSE)</f>
        <v>12736.626121209452</v>
      </c>
      <c r="T19"/>
    </row>
    <row r="20" spans="1:20" s="240" customFormat="1">
      <c r="A20" t="s">
        <v>99</v>
      </c>
      <c r="B20" t="s">
        <v>177</v>
      </c>
      <c r="C20" s="240" t="s">
        <v>147</v>
      </c>
      <c r="D20" s="145">
        <f>VLOOKUP($A20&amp;" GNCP",'2016 PRIOR'!$A$13:$R$196,'2016 PRIOR'!C$9,FALSE)</f>
        <v>13882.499246296913</v>
      </c>
      <c r="E20" s="145">
        <f>VLOOKUP($A20&amp;" GNCP",'2016 PRIOR'!$A$13:$R$196,'2016 PRIOR'!D$9,FALSE)</f>
        <v>14000.773159565279</v>
      </c>
      <c r="F20" s="145">
        <f>VLOOKUP($A20&amp;" GNCP",'2016 PRIOR'!$A$13:$R$196,'2016 PRIOR'!E$9,FALSE)</f>
        <v>12818.897438564551</v>
      </c>
      <c r="G20" s="145">
        <f>VLOOKUP($A20&amp;" GNCP",'2016 PRIOR'!$A$13:$R$196,'2016 PRIOR'!F$9,FALSE)</f>
        <v>13373.223877575223</v>
      </c>
      <c r="H20" s="145">
        <f>VLOOKUP($A20&amp;" GNCP",'2016 PRIOR'!$A$13:$R$196,'2016 PRIOR'!G$9,FALSE)</f>
        <v>13286.825163414032</v>
      </c>
      <c r="I20" s="145">
        <f>VLOOKUP($A20&amp;" GNCP",'2016 PRIOR'!$A$13:$R$196,'2016 PRIOR'!H$9,FALSE)</f>
        <v>14071.942011800633</v>
      </c>
      <c r="J20" s="145">
        <f>VLOOKUP($A20&amp;" GNCP",'2016 PRIOR'!$A$13:$R$196,'2016 PRIOR'!I$9,FALSE)</f>
        <v>13981.618875897037</v>
      </c>
      <c r="K20" s="145">
        <f>VLOOKUP($A20&amp;" GNCP",'2016 PRIOR'!$A$13:$R$196,'2016 PRIOR'!J$9,FALSE)</f>
        <v>13923.298276555452</v>
      </c>
      <c r="L20" s="145">
        <f>VLOOKUP($A20&amp;" GNCP",'2016 PRIOR'!$A$13:$R$196,'2016 PRIOR'!K$9,FALSE)</f>
        <v>14481.35019877888</v>
      </c>
      <c r="M20" s="145">
        <f>VLOOKUP($A20&amp;" GNCP",'2016 PRIOR'!$A$13:$R$196,'2016 PRIOR'!L$9,FALSE)</f>
        <v>13717.491172576967</v>
      </c>
      <c r="N20" s="145">
        <f>VLOOKUP($A20&amp;" GNCP",'2016 PRIOR'!$A$13:$R$196,'2016 PRIOR'!M$9,FALSE)</f>
        <v>13638.130191244087</v>
      </c>
      <c r="O20" s="145">
        <f>VLOOKUP($A20&amp;" GNCP",'2016 PRIOR'!$A$13:$R$196,'2016 PRIOR'!N$9,FALSE)</f>
        <v>13861.482484814267</v>
      </c>
      <c r="T20"/>
    </row>
    <row r="21" spans="1:20" s="240" customFormat="1">
      <c r="A21" t="s">
        <v>99</v>
      </c>
      <c r="B21" t="s">
        <v>177</v>
      </c>
      <c r="C21" s="240" t="s">
        <v>133</v>
      </c>
      <c r="D21" s="145">
        <f>VLOOKUP($A21&amp;" NCP",'2016 PRIOR'!$A$13:$R$196,'2016 PRIOR'!C$9,FALSE)</f>
        <v>17274.55753043744</v>
      </c>
      <c r="E21" s="145">
        <f>VLOOKUP($A21&amp;" NCP",'2016 PRIOR'!$A$13:$R$196,'2016 PRIOR'!D$9,FALSE)</f>
        <v>17062.979562432509</v>
      </c>
      <c r="F21" s="145">
        <f>VLOOKUP($A21&amp;" NCP",'2016 PRIOR'!$A$13:$R$196,'2016 PRIOR'!E$9,FALSE)</f>
        <v>15788.46165504622</v>
      </c>
      <c r="G21" s="145">
        <f>VLOOKUP($A21&amp;" NCP",'2016 PRIOR'!$A$13:$R$196,'2016 PRIOR'!F$9,FALSE)</f>
        <v>16263.719745368575</v>
      </c>
      <c r="H21" s="145">
        <f>VLOOKUP($A21&amp;" NCP",'2016 PRIOR'!$A$13:$R$196,'2016 PRIOR'!G$9,FALSE)</f>
        <v>16719.536568011245</v>
      </c>
      <c r="I21" s="145">
        <f>VLOOKUP($A21&amp;" NCP",'2016 PRIOR'!$A$13:$R$196,'2016 PRIOR'!H$9,FALSE)</f>
        <v>17603.025296904932</v>
      </c>
      <c r="J21" s="145">
        <f>VLOOKUP($A21&amp;" NCP",'2016 PRIOR'!$A$13:$R$196,'2016 PRIOR'!I$9,FALSE)</f>
        <v>17298.340423654157</v>
      </c>
      <c r="K21" s="145">
        <f>VLOOKUP($A21&amp;" NCP",'2016 PRIOR'!$A$13:$R$196,'2016 PRIOR'!J$9,FALSE)</f>
        <v>17405.608726582705</v>
      </c>
      <c r="L21" s="145">
        <f>VLOOKUP($A21&amp;" NCP",'2016 PRIOR'!$A$13:$R$196,'2016 PRIOR'!K$9,FALSE)</f>
        <v>17837.940203103299</v>
      </c>
      <c r="M21" s="145">
        <f>VLOOKUP($A21&amp;" NCP",'2016 PRIOR'!$A$13:$R$196,'2016 PRIOR'!L$9,FALSE)</f>
        <v>16739.165049843221</v>
      </c>
      <c r="N21" s="145">
        <f>VLOOKUP($A21&amp;" NCP",'2016 PRIOR'!$A$13:$R$196,'2016 PRIOR'!M$9,FALSE)</f>
        <v>16866.196776264263</v>
      </c>
      <c r="O21" s="145">
        <f>VLOOKUP($A21&amp;" NCP",'2016 PRIOR'!$A$13:$R$196,'2016 PRIOR'!N$9,FALSE)</f>
        <v>17213.125648610538</v>
      </c>
      <c r="T21"/>
    </row>
    <row r="22" spans="1:20">
      <c r="D22" s="241"/>
      <c r="E22" s="241"/>
      <c r="F22" s="241"/>
      <c r="G22" s="241"/>
      <c r="H22" s="241"/>
      <c r="I22" s="241"/>
      <c r="J22" s="241"/>
      <c r="K22" s="241"/>
      <c r="L22" s="241"/>
      <c r="M22" s="241"/>
      <c r="N22" s="241"/>
      <c r="O22" s="241"/>
      <c r="P22" s="241"/>
      <c r="Q22" s="242"/>
      <c r="S22" s="44"/>
    </row>
    <row r="23" spans="1:20">
      <c r="A23" t="s">
        <v>50</v>
      </c>
      <c r="B23" t="s">
        <v>185</v>
      </c>
      <c r="C23" t="s">
        <v>1115</v>
      </c>
    </row>
    <row r="24" spans="1:20">
      <c r="A24" t="s">
        <v>50</v>
      </c>
      <c r="B24" t="s">
        <v>185</v>
      </c>
      <c r="C24" t="s">
        <v>557</v>
      </c>
      <c r="D24" s="4">
        <f>$D$8</f>
        <v>42370</v>
      </c>
      <c r="E24" s="4">
        <f>$E$8</f>
        <v>42401</v>
      </c>
      <c r="F24" s="4">
        <f>$F$8</f>
        <v>42430</v>
      </c>
      <c r="G24" s="4">
        <f>$G$8</f>
        <v>42461</v>
      </c>
      <c r="H24" s="4">
        <f>$H$8</f>
        <v>42491</v>
      </c>
      <c r="I24" s="4">
        <f>$I$8</f>
        <v>42522</v>
      </c>
      <c r="J24" s="4">
        <f>$J$8</f>
        <v>42552</v>
      </c>
      <c r="K24" s="4">
        <f>$K$8</f>
        <v>42583</v>
      </c>
      <c r="L24" s="4">
        <f>$L$8</f>
        <v>42614</v>
      </c>
      <c r="M24" s="4">
        <f>$M$8</f>
        <v>42644</v>
      </c>
      <c r="N24" s="4">
        <f>$N$8</f>
        <v>42675</v>
      </c>
      <c r="O24" s="4">
        <f>$O$8</f>
        <v>42705</v>
      </c>
    </row>
    <row r="25" spans="1:20" s="240" customFormat="1">
      <c r="A25" t="s">
        <v>50</v>
      </c>
      <c r="B25" t="s">
        <v>185</v>
      </c>
      <c r="C25" s="240" t="s">
        <v>148</v>
      </c>
      <c r="D25" s="145">
        <f>VLOOKUP($A25&amp;" CP",'2016 PRIOR'!$A$13:$R$196,'2016 PRIOR'!C$9,FALSE)</f>
        <v>160082.29848813682</v>
      </c>
      <c r="E25" s="145">
        <f>VLOOKUP($A25&amp;" CP",'2016 PRIOR'!$A$13:$R$196,'2016 PRIOR'!D$9,FALSE)</f>
        <v>178045.84102476717</v>
      </c>
      <c r="F25" s="145">
        <f>VLOOKUP($A25&amp;" CP",'2016 PRIOR'!$A$13:$R$196,'2016 PRIOR'!E$9,FALSE)</f>
        <v>170038.20964516478</v>
      </c>
      <c r="G25" s="145">
        <f>VLOOKUP($A25&amp;" CP",'2016 PRIOR'!$A$13:$R$196,'2016 PRIOR'!F$9,FALSE)</f>
        <v>168527.91903261127</v>
      </c>
      <c r="H25" s="145">
        <f>VLOOKUP($A25&amp;" CP",'2016 PRIOR'!$A$13:$R$196,'2016 PRIOR'!G$9,FALSE)</f>
        <v>175303.40579056696</v>
      </c>
      <c r="I25" s="145">
        <f>VLOOKUP($A25&amp;" CP",'2016 PRIOR'!$A$13:$R$196,'2016 PRIOR'!H$9,FALSE)</f>
        <v>179024.53876155007</v>
      </c>
      <c r="J25" s="145">
        <f>VLOOKUP($A25&amp;" CP",'2016 PRIOR'!$A$13:$R$196,'2016 PRIOR'!I$9,FALSE)</f>
        <v>175789.04193440522</v>
      </c>
      <c r="K25" s="145">
        <f>VLOOKUP($A25&amp;" CP",'2016 PRIOR'!$A$13:$R$196,'2016 PRIOR'!J$9,FALSE)</f>
        <v>173451.85048336379</v>
      </c>
      <c r="L25" s="145">
        <f>VLOOKUP($A25&amp;" CP",'2016 PRIOR'!$A$13:$R$196,'2016 PRIOR'!K$9,FALSE)</f>
        <v>178879.80893964294</v>
      </c>
      <c r="M25" s="145">
        <f>VLOOKUP($A25&amp;" CP",'2016 PRIOR'!$A$13:$R$196,'2016 PRIOR'!L$9,FALSE)</f>
        <v>174052.57282544338</v>
      </c>
      <c r="N25" s="145">
        <f>VLOOKUP($A25&amp;" CP",'2016 PRIOR'!$A$13:$R$196,'2016 PRIOR'!M$9,FALSE)</f>
        <v>192285.92848512228</v>
      </c>
      <c r="O25" s="145">
        <f>VLOOKUP($A25&amp;" CP",'2016 PRIOR'!$A$13:$R$196,'2016 PRIOR'!N$9,FALSE)</f>
        <v>184680.40412308136</v>
      </c>
      <c r="T25"/>
    </row>
    <row r="26" spans="1:20" s="240" customFormat="1">
      <c r="A26" t="s">
        <v>50</v>
      </c>
      <c r="B26" t="s">
        <v>185</v>
      </c>
      <c r="C26" s="240" t="s">
        <v>147</v>
      </c>
      <c r="D26" s="145">
        <f>VLOOKUP($A26&amp;" GNCP",'2016 PRIOR'!$A$13:$R$196,'2016 PRIOR'!C$9,FALSE)</f>
        <v>193088.9504398584</v>
      </c>
      <c r="E26" s="145">
        <f>VLOOKUP($A26&amp;" GNCP",'2016 PRIOR'!$A$13:$R$196,'2016 PRIOR'!D$9,FALSE)</f>
        <v>196879.30128791358</v>
      </c>
      <c r="F26" s="145">
        <f>VLOOKUP($A26&amp;" GNCP",'2016 PRIOR'!$A$13:$R$196,'2016 PRIOR'!E$9,FALSE)</f>
        <v>185883.05010491359</v>
      </c>
      <c r="G26" s="145">
        <f>VLOOKUP($A26&amp;" GNCP",'2016 PRIOR'!$A$13:$R$196,'2016 PRIOR'!F$9,FALSE)</f>
        <v>194358.89882718981</v>
      </c>
      <c r="H26" s="145">
        <f>VLOOKUP($A26&amp;" GNCP",'2016 PRIOR'!$A$13:$R$196,'2016 PRIOR'!G$9,FALSE)</f>
        <v>186495.29698992302</v>
      </c>
      <c r="I26" s="145">
        <f>VLOOKUP($A26&amp;" GNCP",'2016 PRIOR'!$A$13:$R$196,'2016 PRIOR'!H$9,FALSE)</f>
        <v>201366.86933956316</v>
      </c>
      <c r="J26" s="145">
        <f>VLOOKUP($A26&amp;" GNCP",'2016 PRIOR'!$A$13:$R$196,'2016 PRIOR'!I$9,FALSE)</f>
        <v>196053.11579853087</v>
      </c>
      <c r="K26" s="145">
        <f>VLOOKUP($A26&amp;" GNCP",'2016 PRIOR'!$A$13:$R$196,'2016 PRIOR'!J$9,FALSE)</f>
        <v>193541.43011542736</v>
      </c>
      <c r="L26" s="145">
        <f>VLOOKUP($A26&amp;" GNCP",'2016 PRIOR'!$A$13:$R$196,'2016 PRIOR'!K$9,FALSE)</f>
        <v>211943.35946898794</v>
      </c>
      <c r="M26" s="145">
        <f>VLOOKUP($A26&amp;" GNCP",'2016 PRIOR'!$A$13:$R$196,'2016 PRIOR'!L$9,FALSE)</f>
        <v>196586.38539948474</v>
      </c>
      <c r="N26" s="145">
        <f>VLOOKUP($A26&amp;" GNCP",'2016 PRIOR'!$A$13:$R$196,'2016 PRIOR'!M$9,FALSE)</f>
        <v>209093.14413938974</v>
      </c>
      <c r="O26" s="145">
        <f>VLOOKUP($A26&amp;" GNCP",'2016 PRIOR'!$A$13:$R$196,'2016 PRIOR'!N$9,FALSE)</f>
        <v>204701.3553768151</v>
      </c>
      <c r="T26"/>
    </row>
    <row r="27" spans="1:20" s="240" customFormat="1">
      <c r="A27" t="s">
        <v>50</v>
      </c>
      <c r="B27" t="s">
        <v>185</v>
      </c>
      <c r="C27" s="240" t="s">
        <v>133</v>
      </c>
      <c r="D27" s="145">
        <f>VLOOKUP($A27&amp;" NCP",'2016 PRIOR'!$A$13:$R$196,'2016 PRIOR'!C$9,FALSE)</f>
        <v>223784.1068264567</v>
      </c>
      <c r="E27" s="145">
        <f>VLOOKUP($A27&amp;" NCP",'2016 PRIOR'!$A$13:$R$196,'2016 PRIOR'!D$9,FALSE)</f>
        <v>229024.46153605607</v>
      </c>
      <c r="F27" s="145">
        <f>VLOOKUP($A27&amp;" NCP",'2016 PRIOR'!$A$13:$R$196,'2016 PRIOR'!E$9,FALSE)</f>
        <v>217328.62729093328</v>
      </c>
      <c r="G27" s="145">
        <f>VLOOKUP($A27&amp;" NCP",'2016 PRIOR'!$A$13:$R$196,'2016 PRIOR'!F$9,FALSE)</f>
        <v>225784.95481467768</v>
      </c>
      <c r="H27" s="145">
        <f>VLOOKUP($A27&amp;" NCP",'2016 PRIOR'!$A$13:$R$196,'2016 PRIOR'!G$9,FALSE)</f>
        <v>213828.76605608175</v>
      </c>
      <c r="I27" s="145">
        <f>VLOOKUP($A27&amp;" NCP",'2016 PRIOR'!$A$13:$R$196,'2016 PRIOR'!H$9,FALSE)</f>
        <v>236628.50416488794</v>
      </c>
      <c r="J27" s="145">
        <f>VLOOKUP($A27&amp;" NCP",'2016 PRIOR'!$A$13:$R$196,'2016 PRIOR'!I$9,FALSE)</f>
        <v>226991.34665196994</v>
      </c>
      <c r="K27" s="145">
        <f>VLOOKUP($A27&amp;" NCP",'2016 PRIOR'!$A$13:$R$196,'2016 PRIOR'!J$9,FALSE)</f>
        <v>223325.04010157057</v>
      </c>
      <c r="L27" s="145">
        <f>VLOOKUP($A27&amp;" NCP",'2016 PRIOR'!$A$13:$R$196,'2016 PRIOR'!K$9,FALSE)</f>
        <v>244815.19348573271</v>
      </c>
      <c r="M27" s="145">
        <f>VLOOKUP($A27&amp;" NCP",'2016 PRIOR'!$A$13:$R$196,'2016 PRIOR'!L$9,FALSE)</f>
        <v>225276.72282148991</v>
      </c>
      <c r="N27" s="145">
        <f>VLOOKUP($A27&amp;" NCP",'2016 PRIOR'!$A$13:$R$196,'2016 PRIOR'!M$9,FALSE)</f>
        <v>241657.46834816775</v>
      </c>
      <c r="O27" s="145">
        <f>VLOOKUP($A27&amp;" NCP",'2016 PRIOR'!$A$13:$R$196,'2016 PRIOR'!N$9,FALSE)</f>
        <v>231665.58383727225</v>
      </c>
      <c r="T27"/>
    </row>
    <row r="28" spans="1:20">
      <c r="D28" s="241"/>
      <c r="E28" s="241"/>
      <c r="F28" s="241"/>
      <c r="G28" s="241"/>
      <c r="H28" s="241"/>
      <c r="I28" s="241"/>
      <c r="J28" s="241"/>
      <c r="K28" s="241"/>
      <c r="L28" s="241"/>
      <c r="M28" s="241"/>
      <c r="N28" s="241"/>
      <c r="O28" s="241"/>
      <c r="P28" s="241"/>
      <c r="Q28" s="242"/>
      <c r="S28" s="44"/>
    </row>
    <row r="29" spans="1:20">
      <c r="A29" t="s">
        <v>49</v>
      </c>
      <c r="B29" t="s">
        <v>632</v>
      </c>
      <c r="C29" t="s">
        <v>1113</v>
      </c>
    </row>
    <row r="30" spans="1:20">
      <c r="A30" t="s">
        <v>49</v>
      </c>
      <c r="B30" t="s">
        <v>632</v>
      </c>
      <c r="C30" t="s">
        <v>557</v>
      </c>
      <c r="D30" s="4">
        <f>$D$8</f>
        <v>42370</v>
      </c>
      <c r="E30" s="4">
        <f>$E$8</f>
        <v>42401</v>
      </c>
      <c r="F30" s="4">
        <f>$F$8</f>
        <v>42430</v>
      </c>
      <c r="G30" s="4">
        <f>$G$8</f>
        <v>42461</v>
      </c>
      <c r="H30" s="4">
        <f>$H$8</f>
        <v>42491</v>
      </c>
      <c r="I30" s="4">
        <f>$I$8</f>
        <v>42522</v>
      </c>
      <c r="J30" s="4">
        <f>$J$8</f>
        <v>42552</v>
      </c>
      <c r="K30" s="4">
        <f>$K$8</f>
        <v>42583</v>
      </c>
      <c r="L30" s="4">
        <f>$L$8</f>
        <v>42614</v>
      </c>
      <c r="M30" s="4">
        <f>$M$8</f>
        <v>42644</v>
      </c>
      <c r="N30" s="4">
        <f>$N$8</f>
        <v>42675</v>
      </c>
      <c r="O30" s="4">
        <f>$O$8</f>
        <v>42705</v>
      </c>
    </row>
    <row r="31" spans="1:20" s="240" customFormat="1">
      <c r="A31" t="s">
        <v>49</v>
      </c>
      <c r="B31" t="s">
        <v>632</v>
      </c>
      <c r="C31" s="240" t="s">
        <v>148</v>
      </c>
      <c r="D31" s="145">
        <f>VLOOKUP($A31&amp;" CP",'2016 PRIOR'!$A$13:$R$196,'2016 PRIOR'!C$9,FALSE)</f>
        <v>628241.20993750053</v>
      </c>
      <c r="E31" s="145">
        <f>VLOOKUP($A31&amp;" CP",'2016 PRIOR'!$A$13:$R$196,'2016 PRIOR'!D$9,FALSE)</f>
        <v>990250.10013783665</v>
      </c>
      <c r="F31" s="145">
        <f>VLOOKUP($A31&amp;" CP",'2016 PRIOR'!$A$13:$R$196,'2016 PRIOR'!E$9,FALSE)</f>
        <v>603909.17352259695</v>
      </c>
      <c r="G31" s="145">
        <f>VLOOKUP($A31&amp;" CP",'2016 PRIOR'!$A$13:$R$196,'2016 PRIOR'!F$9,FALSE)</f>
        <v>964753.60653135309</v>
      </c>
      <c r="H31" s="145">
        <f>VLOOKUP($A31&amp;" CP",'2016 PRIOR'!$A$13:$R$196,'2016 PRIOR'!G$9,FALSE)</f>
        <v>1043863.3948092745</v>
      </c>
      <c r="I31" s="145">
        <f>VLOOKUP($A31&amp;" CP",'2016 PRIOR'!$A$13:$R$196,'2016 PRIOR'!H$9,FALSE)</f>
        <v>1221618.8152911121</v>
      </c>
      <c r="J31" s="145">
        <f>VLOOKUP($A31&amp;" CP",'2016 PRIOR'!$A$13:$R$196,'2016 PRIOR'!I$9,FALSE)</f>
        <v>1200672.0970909919</v>
      </c>
      <c r="K31" s="145">
        <f>VLOOKUP($A31&amp;" CP",'2016 PRIOR'!$A$13:$R$196,'2016 PRIOR'!J$9,FALSE)</f>
        <v>1185731.9519249836</v>
      </c>
      <c r="L31" s="145">
        <f>VLOOKUP($A31&amp;" CP",'2016 PRIOR'!$A$13:$R$196,'2016 PRIOR'!K$9,FALSE)</f>
        <v>1140787.9546395477</v>
      </c>
      <c r="M31" s="145">
        <f>VLOOKUP($A31&amp;" CP",'2016 PRIOR'!$A$13:$R$196,'2016 PRIOR'!L$9,FALSE)</f>
        <v>1082279.007193828</v>
      </c>
      <c r="N31" s="145">
        <f>VLOOKUP($A31&amp;" CP",'2016 PRIOR'!$A$13:$R$196,'2016 PRIOR'!M$9,FALSE)</f>
        <v>1024269.0828097948</v>
      </c>
      <c r="O31" s="145">
        <f>VLOOKUP($A31&amp;" CP",'2016 PRIOR'!$A$13:$R$196,'2016 PRIOR'!N$9,FALSE)</f>
        <v>872211.05005638604</v>
      </c>
    </row>
    <row r="32" spans="1:20" s="240" customFormat="1">
      <c r="A32" t="s">
        <v>49</v>
      </c>
      <c r="B32" t="s">
        <v>632</v>
      </c>
      <c r="C32" s="240" t="s">
        <v>147</v>
      </c>
      <c r="D32" s="145">
        <f>VLOOKUP($A32&amp;" GNCP",'2016 PRIOR'!$A$13:$R$196,'2016 PRIOR'!C$9,FALSE)</f>
        <v>1028198.3322939005</v>
      </c>
      <c r="E32" s="145">
        <f>VLOOKUP($A32&amp;" GNCP",'2016 PRIOR'!$A$13:$R$196,'2016 PRIOR'!D$9,FALSE)</f>
        <v>1007514.9221199374</v>
      </c>
      <c r="F32" s="145">
        <f>VLOOKUP($A32&amp;" GNCP",'2016 PRIOR'!$A$13:$R$196,'2016 PRIOR'!E$9,FALSE)</f>
        <v>945777.89135493163</v>
      </c>
      <c r="G32" s="145">
        <f>VLOOKUP($A32&amp;" GNCP",'2016 PRIOR'!$A$13:$R$196,'2016 PRIOR'!F$9,FALSE)</f>
        <v>1085419.2695663529</v>
      </c>
      <c r="H32" s="145">
        <f>VLOOKUP($A32&amp;" GNCP",'2016 PRIOR'!$A$13:$R$196,'2016 PRIOR'!G$9,FALSE)</f>
        <v>1139802.027415151</v>
      </c>
      <c r="I32" s="145">
        <f>VLOOKUP($A32&amp;" GNCP",'2016 PRIOR'!$A$13:$R$196,'2016 PRIOR'!H$9,FALSE)</f>
        <v>1266919.2103742999</v>
      </c>
      <c r="J32" s="145">
        <f>VLOOKUP($A32&amp;" GNCP",'2016 PRIOR'!$A$13:$R$196,'2016 PRIOR'!I$9,FALSE)</f>
        <v>1267425.4458075629</v>
      </c>
      <c r="K32" s="145">
        <f>VLOOKUP($A32&amp;" GNCP",'2016 PRIOR'!$A$13:$R$196,'2016 PRIOR'!J$9,FALSE)</f>
        <v>1251649.2760354974</v>
      </c>
      <c r="L32" s="145">
        <f>VLOOKUP($A32&amp;" GNCP",'2016 PRIOR'!$A$13:$R$196,'2016 PRIOR'!K$9,FALSE)</f>
        <v>1300804.557592486</v>
      </c>
      <c r="M32" s="145">
        <f>VLOOKUP($A32&amp;" GNCP",'2016 PRIOR'!$A$13:$R$196,'2016 PRIOR'!L$9,FALSE)</f>
        <v>1183257.1324510886</v>
      </c>
      <c r="N32" s="145">
        <f>VLOOKUP($A32&amp;" GNCP",'2016 PRIOR'!$A$13:$R$196,'2016 PRIOR'!M$9,FALSE)</f>
        <v>1098482.5063947425</v>
      </c>
      <c r="O32" s="145">
        <f>VLOOKUP($A32&amp;" GNCP",'2016 PRIOR'!$A$13:$R$196,'2016 PRIOR'!N$9,FALSE)</f>
        <v>1048895.0505855344</v>
      </c>
    </row>
    <row r="33" spans="1:21" s="240" customFormat="1">
      <c r="A33" t="s">
        <v>49</v>
      </c>
      <c r="B33" t="s">
        <v>632</v>
      </c>
      <c r="C33" s="240" t="s">
        <v>133</v>
      </c>
      <c r="D33" s="145">
        <f>VLOOKUP($A33&amp;" NCP",'2016 PRIOR'!$A$13:$R$196,'2016 PRIOR'!C$9,FALSE)</f>
        <v>2095363.1888433669</v>
      </c>
      <c r="E33" s="145">
        <f>VLOOKUP($A33&amp;" NCP",'2016 PRIOR'!$A$13:$R$196,'2016 PRIOR'!D$9,FALSE)</f>
        <v>1916697.7617173141</v>
      </c>
      <c r="F33" s="145">
        <f>VLOOKUP($A33&amp;" NCP",'2016 PRIOR'!$A$13:$R$196,'2016 PRIOR'!E$9,FALSE)</f>
        <v>1842612.0274330236</v>
      </c>
      <c r="G33" s="145">
        <f>VLOOKUP($A33&amp;" NCP",'2016 PRIOR'!$A$13:$R$196,'2016 PRIOR'!F$9,FALSE)</f>
        <v>1841312.018186498</v>
      </c>
      <c r="H33" s="145">
        <f>VLOOKUP($A33&amp;" NCP",'2016 PRIOR'!$A$13:$R$196,'2016 PRIOR'!G$9,FALSE)</f>
        <v>1927994.7668184894</v>
      </c>
      <c r="I33" s="145">
        <f>VLOOKUP($A33&amp;" NCP",'2016 PRIOR'!$A$13:$R$196,'2016 PRIOR'!H$9,FALSE)</f>
        <v>2101496.5398850385</v>
      </c>
      <c r="J33" s="145">
        <f>VLOOKUP($A33&amp;" NCP",'2016 PRIOR'!$A$13:$R$196,'2016 PRIOR'!I$9,FALSE)</f>
        <v>2071496.2154338998</v>
      </c>
      <c r="K33" s="145">
        <f>VLOOKUP($A33&amp;" NCP",'2016 PRIOR'!$A$13:$R$196,'2016 PRIOR'!J$9,FALSE)</f>
        <v>2041765.152169775</v>
      </c>
      <c r="L33" s="145">
        <f>VLOOKUP($A33&amp;" NCP",'2016 PRIOR'!$A$13:$R$196,'2016 PRIOR'!K$9,FALSE)</f>
        <v>2146053.5755057577</v>
      </c>
      <c r="M33" s="145">
        <f>VLOOKUP($A33&amp;" NCP",'2016 PRIOR'!$A$13:$R$196,'2016 PRIOR'!L$9,FALSE)</f>
        <v>1994437.4381940479</v>
      </c>
      <c r="N33" s="145">
        <f>VLOOKUP($A33&amp;" NCP",'2016 PRIOR'!$A$13:$R$196,'2016 PRIOR'!M$9,FALSE)</f>
        <v>2038846.1277103559</v>
      </c>
      <c r="O33" s="145">
        <f>VLOOKUP($A33&amp;" NCP",'2016 PRIOR'!$A$13:$R$196,'2016 PRIOR'!N$9,FALSE)</f>
        <v>1991367.2242881842</v>
      </c>
    </row>
    <row r="34" spans="1:21">
      <c r="D34" s="241"/>
      <c r="E34" s="241"/>
      <c r="F34" s="241"/>
      <c r="G34" s="241"/>
      <c r="H34" s="241"/>
      <c r="I34" s="241"/>
      <c r="J34" s="241"/>
      <c r="K34" s="241"/>
      <c r="L34" s="241"/>
      <c r="M34" s="241"/>
      <c r="N34" s="241"/>
      <c r="O34" s="241"/>
      <c r="P34" s="241"/>
      <c r="Q34" s="242"/>
      <c r="S34" s="44"/>
      <c r="T34" s="44"/>
      <c r="U34" s="243"/>
    </row>
    <row r="35" spans="1:21">
      <c r="A35" t="s">
        <v>325</v>
      </c>
      <c r="B35" t="s">
        <v>640</v>
      </c>
      <c r="C35" t="s">
        <v>1112</v>
      </c>
    </row>
    <row r="36" spans="1:21">
      <c r="A36" t="s">
        <v>325</v>
      </c>
      <c r="B36" t="s">
        <v>640</v>
      </c>
      <c r="C36" t="s">
        <v>557</v>
      </c>
      <c r="D36" s="4">
        <f>$D$8</f>
        <v>42370</v>
      </c>
      <c r="E36" s="4">
        <f>$E$8</f>
        <v>42401</v>
      </c>
      <c r="F36" s="4">
        <f>$F$8</f>
        <v>42430</v>
      </c>
      <c r="G36" s="4">
        <f>$G$8</f>
        <v>42461</v>
      </c>
      <c r="H36" s="4">
        <f>$H$8</f>
        <v>42491</v>
      </c>
      <c r="I36" s="4">
        <f>$I$8</f>
        <v>42522</v>
      </c>
      <c r="J36" s="4">
        <f>$J$8</f>
        <v>42552</v>
      </c>
      <c r="K36" s="4">
        <f>$K$8</f>
        <v>42583</v>
      </c>
      <c r="L36" s="4">
        <f>$L$8</f>
        <v>42614</v>
      </c>
      <c r="M36" s="4">
        <f>$M$8</f>
        <v>42644</v>
      </c>
      <c r="N36" s="4">
        <f>$N$8</f>
        <v>42675</v>
      </c>
      <c r="O36" s="4">
        <f>$O$8</f>
        <v>42705</v>
      </c>
    </row>
    <row r="37" spans="1:21" s="240" customFormat="1">
      <c r="A37" t="s">
        <v>325</v>
      </c>
      <c r="B37" t="s">
        <v>640</v>
      </c>
      <c r="C37" s="240" t="s">
        <v>148</v>
      </c>
      <c r="D37" s="145">
        <f>VLOOKUP($A37&amp;" CP",'2016 PRIOR'!$A$13:$R$196,'2016 PRIOR'!C$9,FALSE)</f>
        <v>7550.8891380471696</v>
      </c>
      <c r="E37" s="145">
        <f>VLOOKUP($A37&amp;" CP",'2016 PRIOR'!$A$13:$R$196,'2016 PRIOR'!D$9,FALSE)</f>
        <v>8408.6700745323087</v>
      </c>
      <c r="F37" s="145">
        <f>VLOOKUP($A37&amp;" CP",'2016 PRIOR'!$A$13:$R$196,'2016 PRIOR'!E$9,FALSE)</f>
        <v>7753.9184746811898</v>
      </c>
      <c r="G37" s="145">
        <f>VLOOKUP($A37&amp;" CP",'2016 PRIOR'!$A$13:$R$196,'2016 PRIOR'!F$9,FALSE)</f>
        <v>7794.5478376615974</v>
      </c>
      <c r="H37" s="145">
        <f>VLOOKUP($A37&amp;" CP",'2016 PRIOR'!$A$13:$R$196,'2016 PRIOR'!G$9,FALSE)</f>
        <v>7792.899194620536</v>
      </c>
      <c r="I37" s="145">
        <f>VLOOKUP($A37&amp;" CP",'2016 PRIOR'!$A$13:$R$196,'2016 PRIOR'!H$9,FALSE)</f>
        <v>8054.9284736831551</v>
      </c>
      <c r="J37" s="145">
        <f>VLOOKUP($A37&amp;" CP",'2016 PRIOR'!$A$13:$R$196,'2016 PRIOR'!I$9,FALSE)</f>
        <v>7800.1488065510202</v>
      </c>
      <c r="K37" s="145">
        <f>VLOOKUP($A37&amp;" CP",'2016 PRIOR'!$A$13:$R$196,'2016 PRIOR'!J$9,FALSE)</f>
        <v>7814.5357680019397</v>
      </c>
      <c r="L37" s="145">
        <f>VLOOKUP($A37&amp;" CP",'2016 PRIOR'!$A$13:$R$196,'2016 PRIOR'!K$9,FALSE)</f>
        <v>8093.1674104041122</v>
      </c>
      <c r="M37" s="145">
        <f>VLOOKUP($A37&amp;" CP",'2016 PRIOR'!$A$13:$R$196,'2016 PRIOR'!L$9,FALSE)</f>
        <v>7835.1601244860221</v>
      </c>
      <c r="N37" s="145">
        <f>VLOOKUP($A37&amp;" CP",'2016 PRIOR'!$A$13:$R$196,'2016 PRIOR'!M$9,FALSE)</f>
        <v>8144.5888329055688</v>
      </c>
      <c r="O37" s="145">
        <f>VLOOKUP($A37&amp;" CP",'2016 PRIOR'!$A$13:$R$196,'2016 PRIOR'!N$9,FALSE)</f>
        <v>7857.8631431430522</v>
      </c>
    </row>
    <row r="38" spans="1:21" s="240" customFormat="1">
      <c r="A38" t="s">
        <v>325</v>
      </c>
      <c r="B38" t="s">
        <v>640</v>
      </c>
      <c r="C38" s="240" t="s">
        <v>147</v>
      </c>
      <c r="D38" s="145">
        <f>VLOOKUP($A38&amp;" GNCP",'2016 PRIOR'!$A$13:$R$196,'2016 PRIOR'!C$9,FALSE)</f>
        <v>7903.6002940750614</v>
      </c>
      <c r="E38" s="145">
        <f>VLOOKUP($A38&amp;" GNCP",'2016 PRIOR'!$A$13:$R$196,'2016 PRIOR'!D$9,FALSE)</f>
        <v>8454.8637887149507</v>
      </c>
      <c r="F38" s="145">
        <f>VLOOKUP($A38&amp;" GNCP",'2016 PRIOR'!$A$13:$R$196,'2016 PRIOR'!E$9,FALSE)</f>
        <v>7881.805990756875</v>
      </c>
      <c r="G38" s="145">
        <f>VLOOKUP($A38&amp;" GNCP",'2016 PRIOR'!$A$13:$R$196,'2016 PRIOR'!F$9,FALSE)</f>
        <v>8127.075659598544</v>
      </c>
      <c r="H38" s="145">
        <f>VLOOKUP($A38&amp;" GNCP",'2016 PRIOR'!$A$13:$R$196,'2016 PRIOR'!G$9,FALSE)</f>
        <v>7853.0941796492853</v>
      </c>
      <c r="I38" s="145">
        <f>VLOOKUP($A38&amp;" GNCP",'2016 PRIOR'!$A$13:$R$196,'2016 PRIOR'!H$9,FALSE)</f>
        <v>8231.1101039962959</v>
      </c>
      <c r="J38" s="145">
        <f>VLOOKUP($A38&amp;" GNCP",'2016 PRIOR'!$A$13:$R$196,'2016 PRIOR'!I$9,FALSE)</f>
        <v>7894.9589416436875</v>
      </c>
      <c r="K38" s="145">
        <f>VLOOKUP($A38&amp;" GNCP",'2016 PRIOR'!$A$13:$R$196,'2016 PRIOR'!J$9,FALSE)</f>
        <v>7953.9698935422002</v>
      </c>
      <c r="L38" s="145">
        <f>VLOOKUP($A38&amp;" GNCP",'2016 PRIOR'!$A$13:$R$196,'2016 PRIOR'!K$9,FALSE)</f>
        <v>8163.7180603080087</v>
      </c>
      <c r="M38" s="145">
        <f>VLOOKUP($A38&amp;" GNCP",'2016 PRIOR'!$A$13:$R$196,'2016 PRIOR'!L$9,FALSE)</f>
        <v>7962.2927639971449</v>
      </c>
      <c r="N38" s="145">
        <f>VLOOKUP($A38&amp;" GNCP",'2016 PRIOR'!$A$13:$R$196,'2016 PRIOR'!M$9,FALSE)</f>
        <v>8212.7807016542065</v>
      </c>
      <c r="O38" s="145">
        <f>VLOOKUP($A38&amp;" GNCP",'2016 PRIOR'!$A$13:$R$196,'2016 PRIOR'!N$9,FALSE)</f>
        <v>8149.8721099738796</v>
      </c>
    </row>
    <row r="39" spans="1:21" s="240" customFormat="1">
      <c r="A39" t="s">
        <v>325</v>
      </c>
      <c r="B39" t="s">
        <v>640</v>
      </c>
      <c r="C39" s="240" t="s">
        <v>133</v>
      </c>
      <c r="D39" s="145">
        <f>VLOOKUP($A39&amp;" NCP",'2016 PRIOR'!$A$13:$R$196,'2016 PRIOR'!C$9,FALSE)</f>
        <v>8375.4765015846315</v>
      </c>
      <c r="E39" s="145">
        <f>VLOOKUP($A39&amp;" NCP",'2016 PRIOR'!$A$13:$R$196,'2016 PRIOR'!D$9,FALSE)</f>
        <v>8846.0962659761117</v>
      </c>
      <c r="F39" s="145">
        <f>VLOOKUP($A39&amp;" NCP",'2016 PRIOR'!$A$13:$R$196,'2016 PRIOR'!E$9,FALSE)</f>
        <v>8251.2041621908756</v>
      </c>
      <c r="G39" s="145">
        <f>VLOOKUP($A39&amp;" NCP",'2016 PRIOR'!$A$13:$R$196,'2016 PRIOR'!F$9,FALSE)</f>
        <v>8473.4787431702698</v>
      </c>
      <c r="H39" s="145">
        <f>VLOOKUP($A39&amp;" NCP",'2016 PRIOR'!$A$13:$R$196,'2016 PRIOR'!G$9,FALSE)</f>
        <v>8111.2742326241614</v>
      </c>
      <c r="I39" s="145">
        <f>VLOOKUP($A39&amp;" NCP",'2016 PRIOR'!$A$13:$R$196,'2016 PRIOR'!H$9,FALSE)</f>
        <v>8780.3822455607951</v>
      </c>
      <c r="J39" s="145">
        <f>VLOOKUP($A39&amp;" NCP",'2016 PRIOR'!$A$13:$R$196,'2016 PRIOR'!I$9,FALSE)</f>
        <v>8241.1886657472769</v>
      </c>
      <c r="K39" s="145">
        <f>VLOOKUP($A39&amp;" NCP",'2016 PRIOR'!$A$13:$R$196,'2016 PRIOR'!J$9,FALSE)</f>
        <v>8544.4900145058637</v>
      </c>
      <c r="L39" s="145">
        <f>VLOOKUP($A39&amp;" NCP",'2016 PRIOR'!$A$13:$R$196,'2016 PRIOR'!K$9,FALSE)</f>
        <v>8738.2019238111643</v>
      </c>
      <c r="M39" s="145">
        <f>VLOOKUP($A39&amp;" NCP",'2016 PRIOR'!$A$13:$R$196,'2016 PRIOR'!L$9,FALSE)</f>
        <v>8724.4773864508534</v>
      </c>
      <c r="N39" s="145">
        <f>VLOOKUP($A39&amp;" NCP",'2016 PRIOR'!$A$13:$R$196,'2016 PRIOR'!M$9,FALSE)</f>
        <v>8613.2529490325742</v>
      </c>
      <c r="O39" s="145">
        <f>VLOOKUP($A39&amp;" NCP",'2016 PRIOR'!$A$13:$R$196,'2016 PRIOR'!N$9,FALSE)</f>
        <v>8661.5012661438632</v>
      </c>
    </row>
    <row r="40" spans="1:21">
      <c r="C40" s="240"/>
      <c r="D40" s="241"/>
      <c r="E40" s="241"/>
      <c r="F40" s="241"/>
      <c r="G40" s="241"/>
      <c r="H40" s="241"/>
      <c r="I40" s="241"/>
      <c r="J40" s="241"/>
      <c r="K40" s="241"/>
      <c r="L40" s="241"/>
      <c r="M40" s="241"/>
      <c r="N40" s="241"/>
      <c r="O40" s="241"/>
      <c r="P40" s="241"/>
      <c r="Q40" s="242"/>
      <c r="S40" s="44"/>
      <c r="T40" s="44"/>
      <c r="U40" s="243"/>
    </row>
    <row r="41" spans="1:21">
      <c r="A41" t="s">
        <v>67</v>
      </c>
      <c r="B41" t="s">
        <v>651</v>
      </c>
      <c r="C41" t="s">
        <v>1111</v>
      </c>
    </row>
    <row r="42" spans="1:21">
      <c r="A42" t="s">
        <v>67</v>
      </c>
      <c r="B42" t="s">
        <v>651</v>
      </c>
      <c r="C42" t="s">
        <v>557</v>
      </c>
      <c r="D42" s="4">
        <f>$D$8</f>
        <v>42370</v>
      </c>
      <c r="E42" s="4">
        <f>$E$8</f>
        <v>42401</v>
      </c>
      <c r="F42" s="4">
        <f>$F$8</f>
        <v>42430</v>
      </c>
      <c r="G42" s="4">
        <f>$G$8</f>
        <v>42461</v>
      </c>
      <c r="H42" s="4">
        <f>$H$8</f>
        <v>42491</v>
      </c>
      <c r="I42" s="4">
        <f>$I$8</f>
        <v>42522</v>
      </c>
      <c r="J42" s="4">
        <f>$J$8</f>
        <v>42552</v>
      </c>
      <c r="K42" s="4">
        <f>$K$8</f>
        <v>42583</v>
      </c>
      <c r="L42" s="4">
        <f>$L$8</f>
        <v>42614</v>
      </c>
      <c r="M42" s="4">
        <f>$M$8</f>
        <v>42644</v>
      </c>
      <c r="N42" s="4">
        <f>$N$8</f>
        <v>42675</v>
      </c>
      <c r="O42" s="4">
        <f>$O$8</f>
        <v>42705</v>
      </c>
    </row>
    <row r="43" spans="1:21" s="240" customFormat="1">
      <c r="A43" t="s">
        <v>67</v>
      </c>
      <c r="B43" t="s">
        <v>651</v>
      </c>
      <c r="C43" s="240" t="s">
        <v>148</v>
      </c>
      <c r="D43" s="145">
        <f>VLOOKUP($A43&amp;" CP",'2016 PRIOR'!$A$13:$R$196,'2016 PRIOR'!C$9,FALSE)</f>
        <v>3062624.7470181189</v>
      </c>
      <c r="E43" s="145">
        <f>VLOOKUP($A43&amp;" CP",'2016 PRIOR'!$A$13:$R$196,'2016 PRIOR'!D$9,FALSE)</f>
        <v>3803578.9320904193</v>
      </c>
      <c r="F43" s="145">
        <f>VLOOKUP($A43&amp;" CP",'2016 PRIOR'!$A$13:$R$196,'2016 PRIOR'!E$9,FALSE)</f>
        <v>2934731.5679975082</v>
      </c>
      <c r="G43" s="145">
        <f>VLOOKUP($A43&amp;" CP",'2016 PRIOR'!$A$13:$R$196,'2016 PRIOR'!F$9,FALSE)</f>
        <v>3679829.4180805432</v>
      </c>
      <c r="H43" s="145">
        <f>VLOOKUP($A43&amp;" CP",'2016 PRIOR'!$A$13:$R$196,'2016 PRIOR'!G$9,FALSE)</f>
        <v>3927356.846821296</v>
      </c>
      <c r="I43" s="145">
        <f>VLOOKUP($A43&amp;" CP",'2016 PRIOR'!$A$13:$R$196,'2016 PRIOR'!H$9,FALSE)</f>
        <v>4314790.8732021106</v>
      </c>
      <c r="J43" s="145">
        <f>VLOOKUP($A43&amp;" CP",'2016 PRIOR'!$A$13:$R$196,'2016 PRIOR'!I$9,FALSE)</f>
        <v>4309559.8808891671</v>
      </c>
      <c r="K43" s="145">
        <f>VLOOKUP($A43&amp;" CP",'2016 PRIOR'!$A$13:$R$196,'2016 PRIOR'!J$9,FALSE)</f>
        <v>4178111.9564455296</v>
      </c>
      <c r="L43" s="145">
        <f>VLOOKUP($A43&amp;" CP",'2016 PRIOR'!$A$13:$R$196,'2016 PRIOR'!K$9,FALSE)</f>
        <v>4264720.2159055369</v>
      </c>
      <c r="M43" s="145">
        <f>VLOOKUP($A43&amp;" CP",'2016 PRIOR'!$A$13:$R$196,'2016 PRIOR'!L$9,FALSE)</f>
        <v>4126240.5184608349</v>
      </c>
      <c r="N43" s="145">
        <f>VLOOKUP($A43&amp;" CP",'2016 PRIOR'!$A$13:$R$196,'2016 PRIOR'!M$9,FALSE)</f>
        <v>4028591.6203315449</v>
      </c>
      <c r="O43" s="145">
        <f>VLOOKUP($A43&amp;" CP",'2016 PRIOR'!$A$13:$R$196,'2016 PRIOR'!N$9,FALSE)</f>
        <v>3626441.5712043801</v>
      </c>
    </row>
    <row r="44" spans="1:21" s="240" customFormat="1">
      <c r="A44" t="s">
        <v>67</v>
      </c>
      <c r="B44" t="s">
        <v>651</v>
      </c>
      <c r="C44" s="240" t="s">
        <v>147</v>
      </c>
      <c r="D44" s="145">
        <f>VLOOKUP($A44&amp;" GNCP",'2016 PRIOR'!$A$13:$R$196,'2016 PRIOR'!C$9,FALSE)</f>
        <v>4138185.5835734233</v>
      </c>
      <c r="E44" s="145">
        <f>VLOOKUP($A44&amp;" GNCP",'2016 PRIOR'!$A$13:$R$196,'2016 PRIOR'!D$9,FALSE)</f>
        <v>3919566.1352613694</v>
      </c>
      <c r="F44" s="145">
        <f>VLOOKUP($A44&amp;" GNCP",'2016 PRIOR'!$A$13:$R$196,'2016 PRIOR'!E$9,FALSE)</f>
        <v>3742687.6822108906</v>
      </c>
      <c r="G44" s="145">
        <f>VLOOKUP($A44&amp;" GNCP",'2016 PRIOR'!$A$13:$R$196,'2016 PRIOR'!F$9,FALSE)</f>
        <v>4050628.4478633427</v>
      </c>
      <c r="H44" s="145">
        <f>VLOOKUP($A44&amp;" GNCP",'2016 PRIOR'!$A$13:$R$196,'2016 PRIOR'!G$9,FALSE)</f>
        <v>4230260.62094553</v>
      </c>
      <c r="I44" s="145">
        <f>VLOOKUP($A44&amp;" GNCP",'2016 PRIOR'!$A$13:$R$196,'2016 PRIOR'!H$9,FALSE)</f>
        <v>4549236.6396858199</v>
      </c>
      <c r="J44" s="145">
        <f>VLOOKUP($A44&amp;" GNCP",'2016 PRIOR'!$A$13:$R$196,'2016 PRIOR'!I$9,FALSE)</f>
        <v>4527440.8995806538</v>
      </c>
      <c r="K44" s="145">
        <f>VLOOKUP($A44&amp;" GNCP",'2016 PRIOR'!$A$13:$R$196,'2016 PRIOR'!J$9,FALSE)</f>
        <v>4501558.6065717135</v>
      </c>
      <c r="L44" s="145">
        <f>VLOOKUP($A44&amp;" GNCP",'2016 PRIOR'!$A$13:$R$196,'2016 PRIOR'!K$9,FALSE)</f>
        <v>4690276.0725559974</v>
      </c>
      <c r="M44" s="145">
        <f>VLOOKUP($A44&amp;" GNCP",'2016 PRIOR'!$A$13:$R$196,'2016 PRIOR'!L$9,FALSE)</f>
        <v>4373472.4051426081</v>
      </c>
      <c r="N44" s="145">
        <f>VLOOKUP($A44&amp;" GNCP",'2016 PRIOR'!$A$13:$R$196,'2016 PRIOR'!M$9,FALSE)</f>
        <v>4231490.9948495291</v>
      </c>
      <c r="O44" s="145">
        <f>VLOOKUP($A44&amp;" GNCP",'2016 PRIOR'!$A$13:$R$196,'2016 PRIOR'!N$9,FALSE)</f>
        <v>4100203.5868640598</v>
      </c>
    </row>
    <row r="45" spans="1:21" s="240" customFormat="1">
      <c r="A45" t="s">
        <v>67</v>
      </c>
      <c r="B45" t="s">
        <v>651</v>
      </c>
      <c r="C45" s="240" t="s">
        <v>133</v>
      </c>
      <c r="D45" s="145">
        <f>VLOOKUP($A45&amp;" NCP",'2016 PRIOR'!$A$13:$R$196,'2016 PRIOR'!C$9,FALSE)</f>
        <v>6011791.3492032457</v>
      </c>
      <c r="E45" s="145">
        <f>VLOOKUP($A45&amp;" NCP",'2016 PRIOR'!$A$13:$R$196,'2016 PRIOR'!D$9,FALSE)</f>
        <v>5616198.6254109694</v>
      </c>
      <c r="F45" s="145">
        <f>VLOOKUP($A45&amp;" NCP",'2016 PRIOR'!$A$13:$R$196,'2016 PRIOR'!E$9,FALSE)</f>
        <v>5424261.3202618919</v>
      </c>
      <c r="G45" s="145">
        <f>VLOOKUP($A45&amp;" NCP",'2016 PRIOR'!$A$13:$R$196,'2016 PRIOR'!F$9,FALSE)</f>
        <v>5547175.7921332689</v>
      </c>
      <c r="H45" s="145">
        <f>VLOOKUP($A45&amp;" NCP",'2016 PRIOR'!$A$13:$R$196,'2016 PRIOR'!G$9,FALSE)</f>
        <v>5743818.5934529975</v>
      </c>
      <c r="I45" s="145">
        <f>VLOOKUP($A45&amp;" NCP",'2016 PRIOR'!$A$13:$R$196,'2016 PRIOR'!H$9,FALSE)</f>
        <v>6123103.2085875003</v>
      </c>
      <c r="J45" s="145">
        <f>VLOOKUP($A45&amp;" NCP",'2016 PRIOR'!$A$13:$R$196,'2016 PRIOR'!I$9,FALSE)</f>
        <v>6017189.4203604097</v>
      </c>
      <c r="K45" s="145">
        <f>VLOOKUP($A45&amp;" NCP",'2016 PRIOR'!$A$13:$R$196,'2016 PRIOR'!J$9,FALSE)</f>
        <v>5975585.2614922514</v>
      </c>
      <c r="L45" s="145">
        <f>VLOOKUP($A45&amp;" NCP",'2016 PRIOR'!$A$13:$R$196,'2016 PRIOR'!K$9,FALSE)</f>
        <v>6252158.274678397</v>
      </c>
      <c r="M45" s="145">
        <f>VLOOKUP($A45&amp;" NCP",'2016 PRIOR'!$A$13:$R$196,'2016 PRIOR'!L$9,FALSE)</f>
        <v>5918258.2366450606</v>
      </c>
      <c r="N45" s="145">
        <f>VLOOKUP($A45&amp;" NCP",'2016 PRIOR'!$A$13:$R$196,'2016 PRIOR'!M$9,FALSE)</f>
        <v>5925389.3875999954</v>
      </c>
      <c r="O45" s="145">
        <f>VLOOKUP($A45&amp;" NCP",'2016 PRIOR'!$A$13:$R$196,'2016 PRIOR'!N$9,FALSE)</f>
        <v>5754534.3045162093</v>
      </c>
    </row>
    <row r="46" spans="1:21">
      <c r="D46" s="241"/>
      <c r="E46" s="241"/>
      <c r="F46" s="241"/>
      <c r="G46" s="241"/>
      <c r="H46" s="241"/>
      <c r="I46" s="241"/>
      <c r="J46" s="241"/>
      <c r="K46" s="241"/>
      <c r="L46" s="241"/>
      <c r="M46" s="241"/>
      <c r="N46" s="241"/>
      <c r="O46" s="241"/>
      <c r="P46" s="241"/>
      <c r="Q46" s="242"/>
      <c r="S46" s="44"/>
      <c r="T46" s="44"/>
      <c r="U46" s="243"/>
    </row>
    <row r="47" spans="1:21">
      <c r="A47" t="s">
        <v>68</v>
      </c>
      <c r="B47" t="s">
        <v>656</v>
      </c>
      <c r="C47" t="s">
        <v>1110</v>
      </c>
    </row>
    <row r="48" spans="1:21">
      <c r="A48" t="s">
        <v>68</v>
      </c>
      <c r="B48" t="s">
        <v>656</v>
      </c>
      <c r="C48" t="s">
        <v>557</v>
      </c>
      <c r="D48" s="4">
        <f>$D$8</f>
        <v>42370</v>
      </c>
      <c r="E48" s="4">
        <f>$E$8</f>
        <v>42401</v>
      </c>
      <c r="F48" s="4">
        <f>$F$8</f>
        <v>42430</v>
      </c>
      <c r="G48" s="4">
        <f>$G$8</f>
        <v>42461</v>
      </c>
      <c r="H48" s="4">
        <f>$H$8</f>
        <v>42491</v>
      </c>
      <c r="I48" s="4">
        <f>$I$8</f>
        <v>42522</v>
      </c>
      <c r="J48" s="4">
        <f>$J$8</f>
        <v>42552</v>
      </c>
      <c r="K48" s="4">
        <f>$K$8</f>
        <v>42583</v>
      </c>
      <c r="L48" s="4">
        <f>$L$8</f>
        <v>42614</v>
      </c>
      <c r="M48" s="4">
        <f>$M$8</f>
        <v>42644</v>
      </c>
      <c r="N48" s="4">
        <f>$N$8</f>
        <v>42675</v>
      </c>
      <c r="O48" s="4">
        <f>$O$8</f>
        <v>42705</v>
      </c>
    </row>
    <row r="49" spans="1:21" s="240" customFormat="1">
      <c r="A49" t="s">
        <v>68</v>
      </c>
      <c r="B49" t="s">
        <v>656</v>
      </c>
      <c r="C49" s="240" t="s">
        <v>148</v>
      </c>
      <c r="D49" s="145">
        <f>VLOOKUP($A49&amp;" CP",'2016 PRIOR'!$A$13:$R$196,'2016 PRIOR'!C$9,FALSE)</f>
        <v>1319736.7533335742</v>
      </c>
      <c r="E49" s="145">
        <f>VLOOKUP($A49&amp;" CP",'2016 PRIOR'!$A$13:$R$196,'2016 PRIOR'!D$9,FALSE)</f>
        <v>1618717.8287113006</v>
      </c>
      <c r="F49" s="145">
        <f>VLOOKUP($A49&amp;" CP",'2016 PRIOR'!$A$13:$R$196,'2016 PRIOR'!E$9,FALSE)</f>
        <v>1264104.8663836792</v>
      </c>
      <c r="G49" s="145">
        <f>VLOOKUP($A49&amp;" CP",'2016 PRIOR'!$A$13:$R$196,'2016 PRIOR'!F$9,FALSE)</f>
        <v>1505867.4886729794</v>
      </c>
      <c r="H49" s="145">
        <f>VLOOKUP($A49&amp;" CP",'2016 PRIOR'!$A$13:$R$196,'2016 PRIOR'!G$9,FALSE)</f>
        <v>1569393.4191626958</v>
      </c>
      <c r="I49" s="145">
        <f>VLOOKUP($A49&amp;" CP",'2016 PRIOR'!$A$13:$R$196,'2016 PRIOR'!H$9,FALSE)</f>
        <v>1723536.1556828057</v>
      </c>
      <c r="J49" s="145">
        <f>VLOOKUP($A49&amp;" CP",'2016 PRIOR'!$A$13:$R$196,'2016 PRIOR'!I$9,FALSE)</f>
        <v>1637033.9823776055</v>
      </c>
      <c r="K49" s="145">
        <f>VLOOKUP($A49&amp;" CP",'2016 PRIOR'!$A$13:$R$196,'2016 PRIOR'!J$9,FALSE)</f>
        <v>1637584.5546981171</v>
      </c>
      <c r="L49" s="145">
        <f>VLOOKUP($A49&amp;" CP",'2016 PRIOR'!$A$13:$R$196,'2016 PRIOR'!K$9,FALSE)</f>
        <v>1612977.3905032882</v>
      </c>
      <c r="M49" s="145">
        <f>VLOOKUP($A49&amp;" CP",'2016 PRIOR'!$A$13:$R$196,'2016 PRIOR'!L$9,FALSE)</f>
        <v>1697003.3241244138</v>
      </c>
      <c r="N49" s="145">
        <f>VLOOKUP($A49&amp;" CP",'2016 PRIOR'!$A$13:$R$196,'2016 PRIOR'!M$9,FALSE)</f>
        <v>1620052.086277643</v>
      </c>
      <c r="O49" s="145">
        <f>VLOOKUP($A49&amp;" CP",'2016 PRIOR'!$A$13:$R$196,'2016 PRIOR'!N$9,FALSE)</f>
        <v>1471441.591356216</v>
      </c>
    </row>
    <row r="50" spans="1:21" s="240" customFormat="1">
      <c r="A50" t="s">
        <v>68</v>
      </c>
      <c r="B50" t="s">
        <v>656</v>
      </c>
      <c r="C50" s="240" t="s">
        <v>147</v>
      </c>
      <c r="D50" s="145">
        <f>VLOOKUP($A50&amp;" GNCP",'2016 PRIOR'!$A$13:$R$196,'2016 PRIOR'!C$9,FALSE)</f>
        <v>1754072.7299008099</v>
      </c>
      <c r="E50" s="145">
        <f>VLOOKUP($A50&amp;" GNCP",'2016 PRIOR'!$A$13:$R$196,'2016 PRIOR'!D$9,FALSE)</f>
        <v>1700457.5589971375</v>
      </c>
      <c r="F50" s="145">
        <f>VLOOKUP($A50&amp;" GNCP",'2016 PRIOR'!$A$13:$R$196,'2016 PRIOR'!E$9,FALSE)</f>
        <v>1639118.4828027969</v>
      </c>
      <c r="G50" s="145">
        <f>VLOOKUP($A50&amp;" GNCP",'2016 PRIOR'!$A$13:$R$196,'2016 PRIOR'!F$9,FALSE)</f>
        <v>1674322.825779041</v>
      </c>
      <c r="H50" s="145">
        <f>VLOOKUP($A50&amp;" GNCP",'2016 PRIOR'!$A$13:$R$196,'2016 PRIOR'!G$9,FALSE)</f>
        <v>1759083.425728569</v>
      </c>
      <c r="I50" s="145">
        <f>VLOOKUP($A50&amp;" GNCP",'2016 PRIOR'!$A$13:$R$196,'2016 PRIOR'!H$9,FALSE)</f>
        <v>1822540.6955156249</v>
      </c>
      <c r="J50" s="145">
        <f>VLOOKUP($A50&amp;" GNCP",'2016 PRIOR'!$A$13:$R$196,'2016 PRIOR'!I$9,FALSE)</f>
        <v>1745608.0824255061</v>
      </c>
      <c r="K50" s="145">
        <f>VLOOKUP($A50&amp;" GNCP",'2016 PRIOR'!$A$13:$R$196,'2016 PRIOR'!J$9,FALSE)</f>
        <v>1829502.657785614</v>
      </c>
      <c r="L50" s="145">
        <f>VLOOKUP($A50&amp;" GNCP",'2016 PRIOR'!$A$13:$R$196,'2016 PRIOR'!K$9,FALSE)</f>
        <v>1928839.8797213477</v>
      </c>
      <c r="M50" s="145">
        <f>VLOOKUP($A50&amp;" GNCP",'2016 PRIOR'!$A$13:$R$196,'2016 PRIOR'!L$9,FALSE)</f>
        <v>1824853.0654702007</v>
      </c>
      <c r="N50" s="145">
        <f>VLOOKUP($A50&amp;" GNCP",'2016 PRIOR'!$A$13:$R$196,'2016 PRIOR'!M$9,FALSE)</f>
        <v>1823084.0920204683</v>
      </c>
      <c r="O50" s="145">
        <f>VLOOKUP($A50&amp;" GNCP",'2016 PRIOR'!$A$13:$R$196,'2016 PRIOR'!N$9,FALSE)</f>
        <v>1847981.1665538014</v>
      </c>
    </row>
    <row r="51" spans="1:21" s="240" customFormat="1">
      <c r="A51" t="s">
        <v>68</v>
      </c>
      <c r="B51" t="s">
        <v>656</v>
      </c>
      <c r="C51" s="240" t="s">
        <v>133</v>
      </c>
      <c r="D51" s="145">
        <f>VLOOKUP($A51&amp;" NCP",'2016 PRIOR'!$A$13:$R$196,'2016 PRIOR'!C$9,FALSE)</f>
        <v>2094707.9040527949</v>
      </c>
      <c r="E51" s="145">
        <f>VLOOKUP($A51&amp;" NCP",'2016 PRIOR'!$A$13:$R$196,'2016 PRIOR'!D$9,FALSE)</f>
        <v>1997214.5215777173</v>
      </c>
      <c r="F51" s="145">
        <f>VLOOKUP($A51&amp;" NCP",'2016 PRIOR'!$A$13:$R$196,'2016 PRIOR'!E$9,FALSE)</f>
        <v>1957804.7448479398</v>
      </c>
      <c r="G51" s="145">
        <f>VLOOKUP($A51&amp;" NCP",'2016 PRIOR'!$A$13:$R$196,'2016 PRIOR'!F$9,FALSE)</f>
        <v>1975902.0669592677</v>
      </c>
      <c r="H51" s="145">
        <f>VLOOKUP($A51&amp;" NCP",'2016 PRIOR'!$A$13:$R$196,'2016 PRIOR'!G$9,FALSE)</f>
        <v>2096657.5425912722</v>
      </c>
      <c r="I51" s="145">
        <f>VLOOKUP($A51&amp;" NCP",'2016 PRIOR'!$A$13:$R$196,'2016 PRIOR'!H$9,FALSE)</f>
        <v>2235406.2192565436</v>
      </c>
      <c r="J51" s="145">
        <f>VLOOKUP($A51&amp;" NCP",'2016 PRIOR'!$A$13:$R$196,'2016 PRIOR'!I$9,FALSE)</f>
        <v>2111037.7011014572</v>
      </c>
      <c r="K51" s="145">
        <f>VLOOKUP($A51&amp;" NCP",'2016 PRIOR'!$A$13:$R$196,'2016 PRIOR'!J$9,FALSE)</f>
        <v>2149295.9534328952</v>
      </c>
      <c r="L51" s="145">
        <f>VLOOKUP($A51&amp;" NCP",'2016 PRIOR'!$A$13:$R$196,'2016 PRIOR'!K$9,FALSE)</f>
        <v>2271007.4470676472</v>
      </c>
      <c r="M51" s="145">
        <f>VLOOKUP($A51&amp;" NCP",'2016 PRIOR'!$A$13:$R$196,'2016 PRIOR'!L$9,FALSE)</f>
        <v>2138602.5500743468</v>
      </c>
      <c r="N51" s="145">
        <f>VLOOKUP($A51&amp;" NCP",'2016 PRIOR'!$A$13:$R$196,'2016 PRIOR'!M$9,FALSE)</f>
        <v>2117462.5284032319</v>
      </c>
      <c r="O51" s="145">
        <f>VLOOKUP($A51&amp;" NCP",'2016 PRIOR'!$A$13:$R$196,'2016 PRIOR'!N$9,FALSE)</f>
        <v>2144420.1658218629</v>
      </c>
    </row>
    <row r="52" spans="1:21">
      <c r="D52" s="241"/>
      <c r="E52" s="241"/>
      <c r="F52" s="241"/>
      <c r="G52" s="241"/>
      <c r="H52" s="241"/>
      <c r="I52" s="241"/>
      <c r="J52" s="241"/>
      <c r="K52" s="241"/>
      <c r="L52" s="241"/>
      <c r="M52" s="241"/>
      <c r="N52" s="241"/>
      <c r="O52" s="241"/>
      <c r="P52" s="241"/>
      <c r="Q52" s="242"/>
      <c r="S52" s="44"/>
      <c r="T52" s="44"/>
      <c r="U52" s="243"/>
    </row>
    <row r="53" spans="1:21">
      <c r="A53" t="s">
        <v>15</v>
      </c>
      <c r="B53" t="s">
        <v>15</v>
      </c>
      <c r="C53" t="s">
        <v>1108</v>
      </c>
    </row>
    <row r="54" spans="1:21">
      <c r="A54" t="s">
        <v>15</v>
      </c>
      <c r="B54" t="s">
        <v>15</v>
      </c>
      <c r="C54" t="s">
        <v>557</v>
      </c>
      <c r="D54" s="4">
        <f>$D$8</f>
        <v>42370</v>
      </c>
      <c r="E54" s="4">
        <f>$E$8</f>
        <v>42401</v>
      </c>
      <c r="F54" s="4">
        <f>$F$8</f>
        <v>42430</v>
      </c>
      <c r="G54" s="4">
        <f>$G$8</f>
        <v>42461</v>
      </c>
      <c r="H54" s="4">
        <f>$H$8</f>
        <v>42491</v>
      </c>
      <c r="I54" s="4">
        <f>$I$8</f>
        <v>42522</v>
      </c>
      <c r="J54" s="4">
        <f>$J$8</f>
        <v>42552</v>
      </c>
      <c r="K54" s="4">
        <f>$K$8</f>
        <v>42583</v>
      </c>
      <c r="L54" s="4">
        <f>$L$8</f>
        <v>42614</v>
      </c>
      <c r="M54" s="4">
        <f>$M$8</f>
        <v>42644</v>
      </c>
      <c r="N54" s="4">
        <f>$N$8</f>
        <v>42675</v>
      </c>
      <c r="O54" s="4">
        <f>$O$8</f>
        <v>42705</v>
      </c>
    </row>
    <row r="55" spans="1:21" s="240" customFormat="1">
      <c r="A55" t="s">
        <v>15</v>
      </c>
      <c r="B55" t="s">
        <v>15</v>
      </c>
      <c r="C55" s="240" t="s">
        <v>148</v>
      </c>
      <c r="D55" s="145">
        <f>VLOOKUP($A55&amp;" CP",'2016 PRIOR'!$A$13:$R$196,'2016 PRIOR'!C$9,FALSE)</f>
        <v>14388.723154720457</v>
      </c>
      <c r="E55" s="145">
        <f>VLOOKUP($A55&amp;" CP",'2016 PRIOR'!$A$13:$R$196,'2016 PRIOR'!D$9,FALSE)</f>
        <v>13321.645461124172</v>
      </c>
      <c r="F55" s="145">
        <f>VLOOKUP($A55&amp;" CP",'2016 PRIOR'!$A$13:$R$196,'2016 PRIOR'!E$9,FALSE)</f>
        <v>10861.67735901304</v>
      </c>
      <c r="G55" s="145">
        <f>VLOOKUP($A55&amp;" CP",'2016 PRIOR'!$A$13:$R$196,'2016 PRIOR'!F$9,FALSE)</f>
        <v>14285.444598567168</v>
      </c>
      <c r="H55" s="145">
        <f>VLOOKUP($A55&amp;" CP",'2016 PRIOR'!$A$13:$R$196,'2016 PRIOR'!G$9,FALSE)</f>
        <v>14918.093653055765</v>
      </c>
      <c r="I55" s="145">
        <f>VLOOKUP($A55&amp;" CP",'2016 PRIOR'!$A$13:$R$196,'2016 PRIOR'!H$9,FALSE)</f>
        <v>14546.611044550771</v>
      </c>
      <c r="J55" s="145">
        <f>VLOOKUP($A55&amp;" CP",'2016 PRIOR'!$A$13:$R$196,'2016 PRIOR'!I$9,FALSE)</f>
        <v>14869.549158852416</v>
      </c>
      <c r="K55" s="145">
        <f>VLOOKUP($A55&amp;" CP",'2016 PRIOR'!$A$13:$R$196,'2016 PRIOR'!J$9,FALSE)</f>
        <v>14859.119421923442</v>
      </c>
      <c r="L55" s="145">
        <f>VLOOKUP($A55&amp;" CP",'2016 PRIOR'!$A$13:$R$196,'2016 PRIOR'!K$9,FALSE)</f>
        <v>13911.105502983735</v>
      </c>
      <c r="M55" s="145">
        <f>VLOOKUP($A55&amp;" CP",'2016 PRIOR'!$A$13:$R$196,'2016 PRIOR'!L$9,FALSE)</f>
        <v>13673.123728817705</v>
      </c>
      <c r="N55" s="145">
        <f>VLOOKUP($A55&amp;" CP",'2016 PRIOR'!$A$13:$R$196,'2016 PRIOR'!M$9,FALSE)</f>
        <v>14138.410673590808</v>
      </c>
      <c r="O55" s="145">
        <f>VLOOKUP($A55&amp;" CP",'2016 PRIOR'!$A$13:$R$196,'2016 PRIOR'!N$9,FALSE)</f>
        <v>11928.635597490023</v>
      </c>
    </row>
    <row r="56" spans="1:21" s="240" customFormat="1">
      <c r="A56" t="s">
        <v>15</v>
      </c>
      <c r="B56" t="s">
        <v>15</v>
      </c>
      <c r="C56" s="240" t="s">
        <v>147</v>
      </c>
      <c r="D56" s="145">
        <f>VLOOKUP($A56&amp;" GNCP",'2016 PRIOR'!$A$13:$R$196,'2016 PRIOR'!C$9,FALSE)</f>
        <v>16439.323515649536</v>
      </c>
      <c r="E56" s="145">
        <f>VLOOKUP($A56&amp;" GNCP",'2016 PRIOR'!$A$13:$R$196,'2016 PRIOR'!D$9,FALSE)</f>
        <v>16292.264198808372</v>
      </c>
      <c r="F56" s="145">
        <f>VLOOKUP($A56&amp;" GNCP",'2016 PRIOR'!$A$13:$R$196,'2016 PRIOR'!E$9,FALSE)</f>
        <v>13870.108596911057</v>
      </c>
      <c r="G56" s="145">
        <f>VLOOKUP($A56&amp;" GNCP",'2016 PRIOR'!$A$13:$R$196,'2016 PRIOR'!F$9,FALSE)</f>
        <v>15909.256200852251</v>
      </c>
      <c r="H56" s="145">
        <f>VLOOKUP($A56&amp;" GNCP",'2016 PRIOR'!$A$13:$R$196,'2016 PRIOR'!G$9,FALSE)</f>
        <v>15928.880960867038</v>
      </c>
      <c r="I56" s="145">
        <f>VLOOKUP($A56&amp;" GNCP",'2016 PRIOR'!$A$13:$R$196,'2016 PRIOR'!H$9,FALSE)</f>
        <v>16595.248644359512</v>
      </c>
      <c r="J56" s="145">
        <f>VLOOKUP($A56&amp;" GNCP",'2016 PRIOR'!$A$13:$R$196,'2016 PRIOR'!I$9,FALSE)</f>
        <v>16699.625640390437</v>
      </c>
      <c r="K56" s="145">
        <f>VLOOKUP($A56&amp;" GNCP",'2016 PRIOR'!$A$13:$R$196,'2016 PRIOR'!J$9,FALSE)</f>
        <v>16344.53468836393</v>
      </c>
      <c r="L56" s="145">
        <f>VLOOKUP($A56&amp;" GNCP",'2016 PRIOR'!$A$13:$R$196,'2016 PRIOR'!K$9,FALSE)</f>
        <v>17062.805326691632</v>
      </c>
      <c r="M56" s="145">
        <f>VLOOKUP($A56&amp;" GNCP",'2016 PRIOR'!$A$13:$R$196,'2016 PRIOR'!L$9,FALSE)</f>
        <v>16284.855780044412</v>
      </c>
      <c r="N56" s="145">
        <f>VLOOKUP($A56&amp;" GNCP",'2016 PRIOR'!$A$13:$R$196,'2016 PRIOR'!M$9,FALSE)</f>
        <v>16341.095577119573</v>
      </c>
      <c r="O56" s="145">
        <f>VLOOKUP($A56&amp;" GNCP",'2016 PRIOR'!$A$13:$R$196,'2016 PRIOR'!N$9,FALSE)</f>
        <v>14660.384207602243</v>
      </c>
    </row>
    <row r="57" spans="1:21" s="240" customFormat="1">
      <c r="A57" t="s">
        <v>15</v>
      </c>
      <c r="B57" t="s">
        <v>15</v>
      </c>
      <c r="C57" s="240" t="s">
        <v>133</v>
      </c>
      <c r="D57" s="145">
        <f>VLOOKUP($A57&amp;" NCP",'2016 PRIOR'!$A$13:$R$196,'2016 PRIOR'!C$9,FALSE)</f>
        <v>18821.246862617107</v>
      </c>
      <c r="E57" s="145">
        <f>VLOOKUP($A57&amp;" NCP",'2016 PRIOR'!$A$13:$R$196,'2016 PRIOR'!D$9,FALSE)</f>
        <v>19320.058933636446</v>
      </c>
      <c r="F57" s="145">
        <f>VLOOKUP($A57&amp;" NCP",'2016 PRIOR'!$A$13:$R$196,'2016 PRIOR'!E$9,FALSE)</f>
        <v>16302.285686353969</v>
      </c>
      <c r="G57" s="145">
        <f>VLOOKUP($A57&amp;" NCP",'2016 PRIOR'!$A$13:$R$196,'2016 PRIOR'!F$9,FALSE)</f>
        <v>19104.954170370009</v>
      </c>
      <c r="H57" s="145">
        <f>VLOOKUP($A57&amp;" NCP",'2016 PRIOR'!$A$13:$R$196,'2016 PRIOR'!G$9,FALSE)</f>
        <v>19010.901772942467</v>
      </c>
      <c r="I57" s="145">
        <f>VLOOKUP($A57&amp;" NCP",'2016 PRIOR'!$A$13:$R$196,'2016 PRIOR'!H$9,FALSE)</f>
        <v>19938.383660276424</v>
      </c>
      <c r="J57" s="145">
        <f>VLOOKUP($A57&amp;" NCP",'2016 PRIOR'!$A$13:$R$196,'2016 PRIOR'!I$9,FALSE)</f>
        <v>20781.392959935798</v>
      </c>
      <c r="K57" s="145">
        <f>VLOOKUP($A57&amp;" NCP",'2016 PRIOR'!$A$13:$R$196,'2016 PRIOR'!J$9,FALSE)</f>
        <v>20306.942882983905</v>
      </c>
      <c r="L57" s="145">
        <f>VLOOKUP($A57&amp;" NCP",'2016 PRIOR'!$A$13:$R$196,'2016 PRIOR'!K$9,FALSE)</f>
        <v>21066.861040148448</v>
      </c>
      <c r="M57" s="145">
        <f>VLOOKUP($A57&amp;" NCP",'2016 PRIOR'!$A$13:$R$196,'2016 PRIOR'!L$9,FALSE)</f>
        <v>19958.347138652523</v>
      </c>
      <c r="N57" s="145">
        <f>VLOOKUP($A57&amp;" NCP",'2016 PRIOR'!$A$13:$R$196,'2016 PRIOR'!M$9,FALSE)</f>
        <v>18718.040164284957</v>
      </c>
      <c r="O57" s="145">
        <f>VLOOKUP($A57&amp;" NCP",'2016 PRIOR'!$A$13:$R$196,'2016 PRIOR'!N$9,FALSE)</f>
        <v>16577.434645652731</v>
      </c>
    </row>
    <row r="59" spans="1:21">
      <c r="A59" t="s">
        <v>56</v>
      </c>
      <c r="B59" t="s">
        <v>19</v>
      </c>
      <c r="C59" t="s">
        <v>1106</v>
      </c>
    </row>
    <row r="60" spans="1:21">
      <c r="A60" t="s">
        <v>56</v>
      </c>
      <c r="B60" t="s">
        <v>19</v>
      </c>
      <c r="C60" t="s">
        <v>557</v>
      </c>
      <c r="D60" s="4">
        <f>$D$8</f>
        <v>42370</v>
      </c>
      <c r="E60" s="4">
        <f>$E$8</f>
        <v>42401</v>
      </c>
      <c r="F60" s="4">
        <f>$F$8</f>
        <v>42430</v>
      </c>
      <c r="G60" s="4">
        <f>$G$8</f>
        <v>42461</v>
      </c>
      <c r="H60" s="4">
        <f>$H$8</f>
        <v>42491</v>
      </c>
      <c r="I60" s="4">
        <f>$I$8</f>
        <v>42522</v>
      </c>
      <c r="J60" s="4">
        <f>$J$8</f>
        <v>42552</v>
      </c>
      <c r="K60" s="4">
        <f>$K$8</f>
        <v>42583</v>
      </c>
      <c r="L60" s="4">
        <f>$L$8</f>
        <v>42614</v>
      </c>
      <c r="M60" s="4">
        <f>$M$8</f>
        <v>42644</v>
      </c>
      <c r="N60" s="4">
        <f>$N$8</f>
        <v>42675</v>
      </c>
      <c r="O60" s="4">
        <f>$O$8</f>
        <v>42705</v>
      </c>
    </row>
    <row r="61" spans="1:21" s="240" customFormat="1">
      <c r="A61" t="s">
        <v>56</v>
      </c>
      <c r="B61" t="s">
        <v>19</v>
      </c>
      <c r="C61" s="240" t="s">
        <v>148</v>
      </c>
      <c r="D61" s="145">
        <f>VLOOKUP($A61&amp;" CP",'2016 PRIOR'!$A$13:$R$196,'2016 PRIOR'!C$9,FALSE)</f>
        <v>8253.9233700871027</v>
      </c>
      <c r="E61" s="145">
        <f>VLOOKUP($A61&amp;" CP",'2016 PRIOR'!$A$13:$R$196,'2016 PRIOR'!D$9,FALSE)</f>
        <v>0</v>
      </c>
      <c r="F61" s="145">
        <f>VLOOKUP($A61&amp;" CP",'2016 PRIOR'!$A$13:$R$196,'2016 PRIOR'!E$9,FALSE)</f>
        <v>0</v>
      </c>
      <c r="G61" s="145">
        <f>VLOOKUP($A61&amp;" CP",'2016 PRIOR'!$A$13:$R$196,'2016 PRIOR'!F$9,FALSE)</f>
        <v>0</v>
      </c>
      <c r="H61" s="145">
        <f>VLOOKUP($A61&amp;" CP",'2016 PRIOR'!$A$13:$R$196,'2016 PRIOR'!G$9,FALSE)</f>
        <v>0</v>
      </c>
      <c r="I61" s="145">
        <f>VLOOKUP($A61&amp;" CP",'2016 PRIOR'!$A$13:$R$196,'2016 PRIOR'!H$9,FALSE)</f>
        <v>0</v>
      </c>
      <c r="J61" s="145">
        <f>VLOOKUP($A61&amp;" CP",'2016 PRIOR'!$A$13:$R$196,'2016 PRIOR'!I$9,FALSE)</f>
        <v>0</v>
      </c>
      <c r="K61" s="145">
        <f>VLOOKUP($A61&amp;" CP",'2016 PRIOR'!$A$13:$R$196,'2016 PRIOR'!J$9,FALSE)</f>
        <v>0</v>
      </c>
      <c r="L61" s="145">
        <f>VLOOKUP($A61&amp;" CP",'2016 PRIOR'!$A$13:$R$196,'2016 PRIOR'!K$9,FALSE)</f>
        <v>0</v>
      </c>
      <c r="M61" s="145">
        <f>VLOOKUP($A61&amp;" CP",'2016 PRIOR'!$A$13:$R$196,'2016 PRIOR'!L$9,FALSE)</f>
        <v>0</v>
      </c>
      <c r="N61" s="145">
        <f>VLOOKUP($A61&amp;" CP",'2016 PRIOR'!$A$13:$R$196,'2016 PRIOR'!M$9,FALSE)</f>
        <v>6945.839060337008</v>
      </c>
      <c r="O61" s="145">
        <f>VLOOKUP($A61&amp;" CP",'2016 PRIOR'!$A$13:$R$196,'2016 PRIOR'!N$9,FALSE)</f>
        <v>6563.9436175074434</v>
      </c>
    </row>
    <row r="62" spans="1:21" s="240" customFormat="1">
      <c r="A62" t="s">
        <v>56</v>
      </c>
      <c r="B62" t="s">
        <v>19</v>
      </c>
      <c r="C62" s="240" t="s">
        <v>147</v>
      </c>
      <c r="D62" s="145">
        <f>VLOOKUP($A62&amp;" GNCP",'2016 PRIOR'!$A$13:$R$196,'2016 PRIOR'!C$9,FALSE)</f>
        <v>20030.382614304966</v>
      </c>
      <c r="E62" s="145">
        <f>VLOOKUP($A62&amp;" GNCP",'2016 PRIOR'!$A$13:$R$196,'2016 PRIOR'!D$9,FALSE)</f>
        <v>22300.539739684591</v>
      </c>
      <c r="F62" s="145">
        <f>VLOOKUP($A62&amp;" GNCP",'2016 PRIOR'!$A$13:$R$196,'2016 PRIOR'!E$9,FALSE)</f>
        <v>22166.857468195769</v>
      </c>
      <c r="G62" s="145">
        <f>VLOOKUP($A62&amp;" GNCP",'2016 PRIOR'!$A$13:$R$196,'2016 PRIOR'!F$9,FALSE)</f>
        <v>24386.522225613746</v>
      </c>
      <c r="H62" s="145">
        <f>VLOOKUP($A62&amp;" GNCP",'2016 PRIOR'!$A$13:$R$196,'2016 PRIOR'!G$9,FALSE)</f>
        <v>24971.420132177631</v>
      </c>
      <c r="I62" s="145">
        <f>VLOOKUP($A62&amp;" GNCP",'2016 PRIOR'!$A$13:$R$196,'2016 PRIOR'!H$9,FALSE)</f>
        <v>26551.240314943381</v>
      </c>
      <c r="J62" s="145">
        <f>VLOOKUP($A62&amp;" GNCP",'2016 PRIOR'!$A$13:$R$196,'2016 PRIOR'!I$9,FALSE)</f>
        <v>25343.530349764729</v>
      </c>
      <c r="K62" s="145">
        <f>VLOOKUP($A62&amp;" GNCP",'2016 PRIOR'!$A$13:$R$196,'2016 PRIOR'!J$9,FALSE)</f>
        <v>24121.165930629923</v>
      </c>
      <c r="L62" s="145">
        <f>VLOOKUP($A62&amp;" GNCP",'2016 PRIOR'!$A$13:$R$196,'2016 PRIOR'!K$9,FALSE)</f>
        <v>23375.783757907335</v>
      </c>
      <c r="M62" s="145">
        <f>VLOOKUP($A62&amp;" GNCP",'2016 PRIOR'!$A$13:$R$196,'2016 PRIOR'!L$9,FALSE)</f>
        <v>21230.276451726746</v>
      </c>
      <c r="N62" s="145">
        <f>VLOOKUP($A62&amp;" GNCP",'2016 PRIOR'!$A$13:$R$196,'2016 PRIOR'!M$9,FALSE)</f>
        <v>20848.657785221396</v>
      </c>
      <c r="O62" s="145">
        <f>VLOOKUP($A62&amp;" GNCP",'2016 PRIOR'!$A$13:$R$196,'2016 PRIOR'!N$9,FALSE)</f>
        <v>19692.482037405021</v>
      </c>
    </row>
    <row r="63" spans="1:21" s="240" customFormat="1">
      <c r="A63" t="s">
        <v>56</v>
      </c>
      <c r="B63" t="s">
        <v>19</v>
      </c>
      <c r="C63" s="240" t="s">
        <v>133</v>
      </c>
      <c r="D63" s="145">
        <f>VLOOKUP($A63&amp;" NCP",'2016 PRIOR'!$A$13:$R$196,'2016 PRIOR'!C$9,FALSE)</f>
        <v>20030.382614304966</v>
      </c>
      <c r="E63" s="145">
        <f>VLOOKUP($A63&amp;" NCP",'2016 PRIOR'!$A$13:$R$196,'2016 PRIOR'!D$9,FALSE)</f>
        <v>22300.539739684591</v>
      </c>
      <c r="F63" s="145">
        <f>VLOOKUP($A63&amp;" NCP",'2016 PRIOR'!$A$13:$R$196,'2016 PRIOR'!E$9,FALSE)</f>
        <v>22166.857468195769</v>
      </c>
      <c r="G63" s="145">
        <f>VLOOKUP($A63&amp;" NCP",'2016 PRIOR'!$A$13:$R$196,'2016 PRIOR'!F$9,FALSE)</f>
        <v>24386.522225613746</v>
      </c>
      <c r="H63" s="145">
        <f>VLOOKUP($A63&amp;" NCP",'2016 PRIOR'!$A$13:$R$196,'2016 PRIOR'!G$9,FALSE)</f>
        <v>24971.420132177631</v>
      </c>
      <c r="I63" s="145">
        <f>VLOOKUP($A63&amp;" NCP",'2016 PRIOR'!$A$13:$R$196,'2016 PRIOR'!H$9,FALSE)</f>
        <v>26551.240314943381</v>
      </c>
      <c r="J63" s="145">
        <f>VLOOKUP($A63&amp;" NCP",'2016 PRIOR'!$A$13:$R$196,'2016 PRIOR'!I$9,FALSE)</f>
        <v>25343.530349764729</v>
      </c>
      <c r="K63" s="145">
        <f>VLOOKUP($A63&amp;" NCP",'2016 PRIOR'!$A$13:$R$196,'2016 PRIOR'!J$9,FALSE)</f>
        <v>24121.165930629923</v>
      </c>
      <c r="L63" s="145">
        <f>VLOOKUP($A63&amp;" NCP",'2016 PRIOR'!$A$13:$R$196,'2016 PRIOR'!K$9,FALSE)</f>
        <v>23375.783757907335</v>
      </c>
      <c r="M63" s="145">
        <f>VLOOKUP($A63&amp;" NCP",'2016 PRIOR'!$A$13:$R$196,'2016 PRIOR'!L$9,FALSE)</f>
        <v>21230.276451726746</v>
      </c>
      <c r="N63" s="145">
        <f>VLOOKUP($A63&amp;" NCP",'2016 PRIOR'!$A$13:$R$196,'2016 PRIOR'!M$9,FALSE)</f>
        <v>20848.657785221396</v>
      </c>
      <c r="O63" s="145">
        <f>VLOOKUP($A63&amp;" NCP",'2016 PRIOR'!$A$13:$R$196,'2016 PRIOR'!N$9,FALSE)</f>
        <v>19692.482037405021</v>
      </c>
    </row>
    <row r="65" spans="1:21">
      <c r="A65" t="s">
        <v>57</v>
      </c>
      <c r="B65" t="s">
        <v>22</v>
      </c>
      <c r="C65" t="s">
        <v>1105</v>
      </c>
    </row>
    <row r="66" spans="1:21">
      <c r="A66" t="s">
        <v>57</v>
      </c>
      <c r="B66" t="s">
        <v>22</v>
      </c>
      <c r="C66" t="s">
        <v>557</v>
      </c>
      <c r="D66" s="4">
        <f>$D$8</f>
        <v>42370</v>
      </c>
      <c r="E66" s="4">
        <f>$E$8</f>
        <v>42401</v>
      </c>
      <c r="F66" s="4">
        <f>$F$8</f>
        <v>42430</v>
      </c>
      <c r="G66" s="4">
        <f>$G$8</f>
        <v>42461</v>
      </c>
      <c r="H66" s="4">
        <f>$H$8</f>
        <v>42491</v>
      </c>
      <c r="I66" s="4">
        <f>$I$8</f>
        <v>42522</v>
      </c>
      <c r="J66" s="4">
        <f>$J$8</f>
        <v>42552</v>
      </c>
      <c r="K66" s="4">
        <f>$K$8</f>
        <v>42583</v>
      </c>
      <c r="L66" s="4">
        <f>$L$8</f>
        <v>42614</v>
      </c>
      <c r="M66" s="4">
        <f>$M$8</f>
        <v>42644</v>
      </c>
      <c r="N66" s="4">
        <f>$N$8</f>
        <v>42675</v>
      </c>
      <c r="O66" s="4">
        <f>$O$8</f>
        <v>42705</v>
      </c>
    </row>
    <row r="67" spans="1:21" s="240" customFormat="1">
      <c r="A67" t="s">
        <v>57</v>
      </c>
      <c r="B67" t="s">
        <v>22</v>
      </c>
      <c r="C67" s="240" t="s">
        <v>148</v>
      </c>
      <c r="D67" s="145">
        <f>VLOOKUP($A67&amp;" CP",'2016 PRIOR'!$A$13:$R$196,'2016 PRIOR'!C$9,FALSE)</f>
        <v>2251.0518685554439</v>
      </c>
      <c r="E67" s="145">
        <f>VLOOKUP($A67&amp;" CP",'2016 PRIOR'!$A$13:$R$196,'2016 PRIOR'!D$9,FALSE)</f>
        <v>582.67610094439112</v>
      </c>
      <c r="F67" s="145">
        <f>VLOOKUP($A67&amp;" CP",'2016 PRIOR'!$A$13:$R$196,'2016 PRIOR'!E$9,FALSE)</f>
        <v>849.49044064471627</v>
      </c>
      <c r="G67" s="145">
        <f>VLOOKUP($A67&amp;" CP",'2016 PRIOR'!$A$13:$R$196,'2016 PRIOR'!F$9,FALSE)</f>
        <v>914.2576081615091</v>
      </c>
      <c r="H67" s="145">
        <f>VLOOKUP($A67&amp;" CP",'2016 PRIOR'!$A$13:$R$196,'2016 PRIOR'!G$9,FALSE)</f>
        <v>885.74579976256962</v>
      </c>
      <c r="I67" s="145">
        <f>VLOOKUP($A67&amp;" CP",'2016 PRIOR'!$A$13:$R$196,'2016 PRIOR'!H$9,FALSE)</f>
        <v>907.61520675409395</v>
      </c>
      <c r="J67" s="145">
        <f>VLOOKUP($A67&amp;" CP",'2016 PRIOR'!$A$13:$R$196,'2016 PRIOR'!I$9,FALSE)</f>
        <v>769.95894415100133</v>
      </c>
      <c r="K67" s="145">
        <f>VLOOKUP($A67&amp;" CP",'2016 PRIOR'!$A$13:$R$196,'2016 PRIOR'!J$9,FALSE)</f>
        <v>884.02191705643486</v>
      </c>
      <c r="L67" s="145">
        <f>VLOOKUP($A67&amp;" CP",'2016 PRIOR'!$A$13:$R$196,'2016 PRIOR'!K$9,FALSE)</f>
        <v>951.10314226898493</v>
      </c>
      <c r="M67" s="145">
        <f>VLOOKUP($A67&amp;" CP",'2016 PRIOR'!$A$13:$R$196,'2016 PRIOR'!L$9,FALSE)</f>
        <v>806.92459600701659</v>
      </c>
      <c r="N67" s="145">
        <f>VLOOKUP($A67&amp;" CP",'2016 PRIOR'!$A$13:$R$196,'2016 PRIOR'!M$9,FALSE)</f>
        <v>2771.5000170472513</v>
      </c>
      <c r="O67" s="145">
        <f>VLOOKUP($A67&amp;" CP",'2016 PRIOR'!$A$13:$R$196,'2016 PRIOR'!N$9,FALSE)</f>
        <v>3014.2623453771062</v>
      </c>
    </row>
    <row r="68" spans="1:21" s="240" customFormat="1">
      <c r="A68" t="s">
        <v>57</v>
      </c>
      <c r="B68" t="s">
        <v>22</v>
      </c>
      <c r="C68" s="240" t="s">
        <v>147</v>
      </c>
      <c r="D68" s="145">
        <f>VLOOKUP($A68&amp;" GNCP",'2016 PRIOR'!$A$13:$R$196,'2016 PRIOR'!C$9,FALSE)</f>
        <v>8297.6842904014884</v>
      </c>
      <c r="E68" s="145">
        <f>VLOOKUP($A68&amp;" GNCP",'2016 PRIOR'!$A$13:$R$196,'2016 PRIOR'!D$9,FALSE)</f>
        <v>10497.86593516348</v>
      </c>
      <c r="F68" s="145">
        <f>VLOOKUP($A68&amp;" GNCP",'2016 PRIOR'!$A$13:$R$196,'2016 PRIOR'!E$9,FALSE)</f>
        <v>11947.682225061662</v>
      </c>
      <c r="G68" s="145">
        <f>VLOOKUP($A68&amp;" GNCP",'2016 PRIOR'!$A$13:$R$196,'2016 PRIOR'!F$9,FALSE)</f>
        <v>9125.2784660495981</v>
      </c>
      <c r="H68" s="145">
        <f>VLOOKUP($A68&amp;" GNCP",'2016 PRIOR'!$A$13:$R$196,'2016 PRIOR'!G$9,FALSE)</f>
        <v>8156.7934097538118</v>
      </c>
      <c r="I68" s="145">
        <f>VLOOKUP($A68&amp;" GNCP",'2016 PRIOR'!$A$13:$R$196,'2016 PRIOR'!H$9,FALSE)</f>
        <v>6759.6130012620179</v>
      </c>
      <c r="J68" s="145">
        <f>VLOOKUP($A68&amp;" GNCP",'2016 PRIOR'!$A$13:$R$196,'2016 PRIOR'!I$9,FALSE)</f>
        <v>5125.2693292779122</v>
      </c>
      <c r="K68" s="145">
        <f>VLOOKUP($A68&amp;" GNCP",'2016 PRIOR'!$A$13:$R$196,'2016 PRIOR'!J$9,FALSE)</f>
        <v>5749.414307933831</v>
      </c>
      <c r="L68" s="145">
        <f>VLOOKUP($A68&amp;" GNCP",'2016 PRIOR'!$A$13:$R$196,'2016 PRIOR'!K$9,FALSE)</f>
        <v>8852.803477330157</v>
      </c>
      <c r="M68" s="145">
        <f>VLOOKUP($A68&amp;" GNCP",'2016 PRIOR'!$A$13:$R$196,'2016 PRIOR'!L$9,FALSE)</f>
        <v>9284.2632553584663</v>
      </c>
      <c r="N68" s="145">
        <f>VLOOKUP($A68&amp;" GNCP",'2016 PRIOR'!$A$13:$R$196,'2016 PRIOR'!M$9,FALSE)</f>
        <v>11177.792921746061</v>
      </c>
      <c r="O68" s="145">
        <f>VLOOKUP($A68&amp;" GNCP",'2016 PRIOR'!$A$13:$R$196,'2016 PRIOR'!N$9,FALSE)</f>
        <v>9309.9459305015025</v>
      </c>
    </row>
    <row r="69" spans="1:21" s="240" customFormat="1">
      <c r="A69" t="s">
        <v>57</v>
      </c>
      <c r="B69" t="s">
        <v>22</v>
      </c>
      <c r="C69" s="240" t="s">
        <v>133</v>
      </c>
      <c r="D69" s="145">
        <f>VLOOKUP($A69&amp;" NCP",'2016 PRIOR'!$A$13:$R$196,'2016 PRIOR'!C$9,FALSE)</f>
        <v>12106.630658432199</v>
      </c>
      <c r="E69" s="145">
        <f>VLOOKUP($A69&amp;" NCP",'2016 PRIOR'!$A$13:$R$196,'2016 PRIOR'!D$9,FALSE)</f>
        <v>13566.990337901774</v>
      </c>
      <c r="F69" s="145">
        <f>VLOOKUP($A69&amp;" NCP",'2016 PRIOR'!$A$13:$R$196,'2016 PRIOR'!E$9,FALSE)</f>
        <v>15043.046684091218</v>
      </c>
      <c r="G69" s="145">
        <f>VLOOKUP($A69&amp;" NCP",'2016 PRIOR'!$A$13:$R$196,'2016 PRIOR'!F$9,FALSE)</f>
        <v>14276.193879351697</v>
      </c>
      <c r="H69" s="145">
        <f>VLOOKUP($A69&amp;" NCP",'2016 PRIOR'!$A$13:$R$196,'2016 PRIOR'!G$9,FALSE)</f>
        <v>13896.293991349627</v>
      </c>
      <c r="I69" s="145">
        <f>VLOOKUP($A69&amp;" NCP",'2016 PRIOR'!$A$13:$R$196,'2016 PRIOR'!H$9,FALSE)</f>
        <v>12165.199549564923</v>
      </c>
      <c r="J69" s="145">
        <f>VLOOKUP($A69&amp;" NCP",'2016 PRIOR'!$A$13:$R$196,'2016 PRIOR'!I$9,FALSE)</f>
        <v>9455.9282222220281</v>
      </c>
      <c r="K69" s="145">
        <f>VLOOKUP($A69&amp;" NCP",'2016 PRIOR'!$A$13:$R$196,'2016 PRIOR'!J$9,FALSE)</f>
        <v>10073.238108101292</v>
      </c>
      <c r="L69" s="145">
        <f>VLOOKUP($A69&amp;" NCP",'2016 PRIOR'!$A$13:$R$196,'2016 PRIOR'!K$9,FALSE)</f>
        <v>14557.445670447492</v>
      </c>
      <c r="M69" s="145">
        <f>VLOOKUP($A69&amp;" NCP",'2016 PRIOR'!$A$13:$R$196,'2016 PRIOR'!L$9,FALSE)</f>
        <v>12957.09754889002</v>
      </c>
      <c r="N69" s="145">
        <f>VLOOKUP($A69&amp;" NCP",'2016 PRIOR'!$A$13:$R$196,'2016 PRIOR'!M$9,FALSE)</f>
        <v>15008.292596672609</v>
      </c>
      <c r="O69" s="145">
        <f>VLOOKUP($A69&amp;" NCP",'2016 PRIOR'!$A$13:$R$196,'2016 PRIOR'!N$9,FALSE)</f>
        <v>14021.329135272987</v>
      </c>
    </row>
    <row r="71" spans="1:21">
      <c r="A71" t="s">
        <v>48</v>
      </c>
      <c r="B71" t="s">
        <v>687</v>
      </c>
      <c r="C71" t="s">
        <v>558</v>
      </c>
    </row>
    <row r="72" spans="1:21">
      <c r="A72" t="s">
        <v>48</v>
      </c>
      <c r="B72" t="s">
        <v>687</v>
      </c>
      <c r="C72" t="s">
        <v>557</v>
      </c>
      <c r="D72" s="4">
        <f>$D$8</f>
        <v>42370</v>
      </c>
      <c r="E72" s="4">
        <f>$E$8</f>
        <v>42401</v>
      </c>
      <c r="F72" s="4">
        <f>$F$8</f>
        <v>42430</v>
      </c>
      <c r="G72" s="4">
        <f>$G$8</f>
        <v>42461</v>
      </c>
      <c r="H72" s="4">
        <f>$H$8</f>
        <v>42491</v>
      </c>
      <c r="I72" s="4">
        <f>$I$8</f>
        <v>42522</v>
      </c>
      <c r="J72" s="4">
        <f>$J$8</f>
        <v>42552</v>
      </c>
      <c r="K72" s="4">
        <f>$K$8</f>
        <v>42583</v>
      </c>
      <c r="L72" s="4">
        <f>$L$8</f>
        <v>42614</v>
      </c>
      <c r="M72" s="4">
        <f>$M$8</f>
        <v>42644</v>
      </c>
      <c r="N72" s="4">
        <f>$N$8</f>
        <v>42675</v>
      </c>
      <c r="O72" s="4">
        <f>$O$8</f>
        <v>42705</v>
      </c>
    </row>
    <row r="73" spans="1:21" s="240" customFormat="1">
      <c r="A73" t="s">
        <v>48</v>
      </c>
      <c r="B73" t="s">
        <v>687</v>
      </c>
      <c r="C73" s="240" t="s">
        <v>148</v>
      </c>
      <c r="D73" s="145">
        <f>VLOOKUP($A73&amp;" CP",'2016 PRIOR'!$A$13:$R$196,'2016 PRIOR'!C$9,FALSE)</f>
        <v>11115519.906862644</v>
      </c>
      <c r="E73" s="145">
        <f>VLOOKUP($A73&amp;" CP",'2016 PRIOR'!$A$13:$R$196,'2016 PRIOR'!D$9,FALSE)</f>
        <v>8455541.9522330165</v>
      </c>
      <c r="F73" s="145">
        <f>VLOOKUP($A73&amp;" CP",'2016 PRIOR'!$A$13:$R$196,'2016 PRIOR'!E$9,FALSE)</f>
        <v>9116287.0397689007</v>
      </c>
      <c r="G73" s="145">
        <f>VLOOKUP($A73&amp;" CP",'2016 PRIOR'!$A$13:$R$196,'2016 PRIOR'!F$9,FALSE)</f>
        <v>9489183.5426738858</v>
      </c>
      <c r="H73" s="145">
        <f>VLOOKUP($A73&amp;" CP",'2016 PRIOR'!$A$13:$R$196,'2016 PRIOR'!G$9,FALSE)</f>
        <v>10326402.12540715</v>
      </c>
      <c r="I73" s="145">
        <f>VLOOKUP($A73&amp;" CP",'2016 PRIOR'!$A$13:$R$196,'2016 PRIOR'!H$9,FALSE)</f>
        <v>11611957.800796388</v>
      </c>
      <c r="J73" s="145">
        <f>VLOOKUP($A73&amp;" CP",'2016 PRIOR'!$A$13:$R$196,'2016 PRIOR'!I$9,FALSE)</f>
        <v>11873987.994849959</v>
      </c>
      <c r="K73" s="145">
        <f>VLOOKUP($A73&amp;" CP",'2016 PRIOR'!$A$13:$R$196,'2016 PRIOR'!J$9,FALSE)</f>
        <v>11878583.198691728</v>
      </c>
      <c r="L73" s="145">
        <f>VLOOKUP($A73&amp;" CP",'2016 PRIOR'!$A$13:$R$196,'2016 PRIOR'!K$9,FALSE)</f>
        <v>12374146.07628086</v>
      </c>
      <c r="M73" s="145">
        <f>VLOOKUP($A73&amp;" CP",'2016 PRIOR'!$A$13:$R$196,'2016 PRIOR'!L$9,FALSE)</f>
        <v>11027096.588485794</v>
      </c>
      <c r="N73" s="145">
        <f>VLOOKUP($A73&amp;" CP",'2016 PRIOR'!$A$13:$R$196,'2016 PRIOR'!M$9,FALSE)</f>
        <v>9579129.1974576116</v>
      </c>
      <c r="O73" s="145">
        <f>VLOOKUP($A73&amp;" CP",'2016 PRIOR'!$A$13:$R$196,'2016 PRIOR'!N$9,FALSE)</f>
        <v>8928921.7042742744</v>
      </c>
    </row>
    <row r="74" spans="1:21" s="240" customFormat="1">
      <c r="A74" t="s">
        <v>48</v>
      </c>
      <c r="B74" t="s">
        <v>687</v>
      </c>
      <c r="C74" s="240" t="s">
        <v>147</v>
      </c>
      <c r="D74" s="145">
        <f>VLOOKUP($A74&amp;" GNCP",'2016 PRIOR'!$A$13:$R$196,'2016 PRIOR'!C$9,FALSE)</f>
        <v>11402970.92690799</v>
      </c>
      <c r="E74" s="145">
        <f>VLOOKUP($A74&amp;" GNCP",'2016 PRIOR'!$A$13:$R$196,'2016 PRIOR'!D$9,FALSE)</f>
        <v>10453425.203548573</v>
      </c>
      <c r="F74" s="145">
        <f>VLOOKUP($A74&amp;" GNCP",'2016 PRIOR'!$A$13:$R$196,'2016 PRIOR'!E$9,FALSE)</f>
        <v>9448867.2742184103</v>
      </c>
      <c r="G74" s="145">
        <f>VLOOKUP($A74&amp;" GNCP",'2016 PRIOR'!$A$13:$R$196,'2016 PRIOR'!F$9,FALSE)</f>
        <v>9692595.4605809841</v>
      </c>
      <c r="H74" s="145">
        <f>VLOOKUP($A74&amp;" GNCP",'2016 PRIOR'!$A$13:$R$196,'2016 PRIOR'!G$9,FALSE)</f>
        <v>10555178.398939686</v>
      </c>
      <c r="I74" s="145">
        <f>VLOOKUP($A74&amp;" GNCP",'2016 PRIOR'!$A$13:$R$196,'2016 PRIOR'!H$9,FALSE)</f>
        <v>12003934.001785956</v>
      </c>
      <c r="J74" s="145">
        <f>VLOOKUP($A74&amp;" GNCP",'2016 PRIOR'!$A$13:$R$196,'2016 PRIOR'!I$9,FALSE)</f>
        <v>12430117.092897104</v>
      </c>
      <c r="K74" s="145">
        <f>VLOOKUP($A74&amp;" GNCP",'2016 PRIOR'!$A$13:$R$196,'2016 PRIOR'!J$9,FALSE)</f>
        <v>12384746.781903554</v>
      </c>
      <c r="L74" s="145">
        <f>VLOOKUP($A74&amp;" GNCP",'2016 PRIOR'!$A$13:$R$196,'2016 PRIOR'!K$9,FALSE)</f>
        <v>13211503.611394707</v>
      </c>
      <c r="M74" s="145">
        <f>VLOOKUP($A74&amp;" GNCP",'2016 PRIOR'!$A$13:$R$196,'2016 PRIOR'!L$9,FALSE)</f>
        <v>11748325.594517337</v>
      </c>
      <c r="N74" s="145">
        <f>VLOOKUP($A74&amp;" GNCP",'2016 PRIOR'!$A$13:$R$196,'2016 PRIOR'!M$9,FALSE)</f>
        <v>9957348.4946358856</v>
      </c>
      <c r="O74" s="145">
        <f>VLOOKUP($A74&amp;" GNCP",'2016 PRIOR'!$A$13:$R$196,'2016 PRIOR'!N$9,FALSE)</f>
        <v>9169389.4449011013</v>
      </c>
    </row>
    <row r="75" spans="1:21" s="240" customFormat="1">
      <c r="A75" t="s">
        <v>48</v>
      </c>
      <c r="B75" t="s">
        <v>687</v>
      </c>
      <c r="C75" s="240" t="s">
        <v>133</v>
      </c>
      <c r="D75" s="145">
        <f>VLOOKUP($A75&amp;" NCP",'2016 PRIOR'!$A$13:$R$196,'2016 PRIOR'!C$9,FALSE)</f>
        <v>32895763.962227426</v>
      </c>
      <c r="E75" s="145">
        <f>VLOOKUP($A75&amp;" NCP",'2016 PRIOR'!$A$13:$R$196,'2016 PRIOR'!D$9,FALSE)</f>
        <v>30157812.637330309</v>
      </c>
      <c r="F75" s="145">
        <f>VLOOKUP($A75&amp;" NCP",'2016 PRIOR'!$A$13:$R$196,'2016 PRIOR'!E$9,FALSE)</f>
        <v>27156389.278709557</v>
      </c>
      <c r="G75" s="145">
        <f>VLOOKUP($A75&amp;" NCP",'2016 PRIOR'!$A$13:$R$196,'2016 PRIOR'!F$9,FALSE)</f>
        <v>24265828.037870485</v>
      </c>
      <c r="H75" s="145">
        <f>VLOOKUP($A75&amp;" NCP",'2016 PRIOR'!$A$13:$R$196,'2016 PRIOR'!G$9,FALSE)</f>
        <v>24292334.635005925</v>
      </c>
      <c r="I75" s="145">
        <f>VLOOKUP($A75&amp;" NCP",'2016 PRIOR'!$A$13:$R$196,'2016 PRIOR'!H$9,FALSE)</f>
        <v>25639424.792793684</v>
      </c>
      <c r="J75" s="145">
        <f>VLOOKUP($A75&amp;" NCP",'2016 PRIOR'!$A$13:$R$196,'2016 PRIOR'!I$9,FALSE)</f>
        <v>26110494.910559721</v>
      </c>
      <c r="K75" s="145">
        <f>VLOOKUP($A75&amp;" NCP",'2016 PRIOR'!$A$13:$R$196,'2016 PRIOR'!J$9,FALSE)</f>
        <v>25806215.217712793</v>
      </c>
      <c r="L75" s="145">
        <f>VLOOKUP($A75&amp;" NCP",'2016 PRIOR'!$A$13:$R$196,'2016 PRIOR'!K$9,FALSE)</f>
        <v>27679268.903883524</v>
      </c>
      <c r="M75" s="145">
        <f>VLOOKUP($A75&amp;" NCP",'2016 PRIOR'!$A$13:$R$196,'2016 PRIOR'!L$9,FALSE)</f>
        <v>27210483.979959015</v>
      </c>
      <c r="N75" s="145">
        <f>VLOOKUP($A75&amp;" NCP",'2016 PRIOR'!$A$13:$R$196,'2016 PRIOR'!M$9,FALSE)</f>
        <v>29864632.000071343</v>
      </c>
      <c r="O75" s="145">
        <f>VLOOKUP($A75&amp;" NCP",'2016 PRIOR'!$A$13:$R$196,'2016 PRIOR'!N$9,FALSE)</f>
        <v>28665045.154029503</v>
      </c>
    </row>
    <row r="76" spans="1:21">
      <c r="D76" s="241"/>
      <c r="E76" s="241"/>
      <c r="F76" s="241"/>
      <c r="G76" s="241"/>
      <c r="H76" s="241"/>
      <c r="I76" s="241"/>
      <c r="J76" s="241"/>
      <c r="K76" s="241"/>
      <c r="L76" s="241"/>
      <c r="M76" s="241"/>
      <c r="N76" s="241"/>
      <c r="O76" s="241"/>
      <c r="P76" s="241"/>
      <c r="Q76" s="242"/>
      <c r="S76" s="44"/>
      <c r="T76" s="44"/>
      <c r="U76" s="243"/>
    </row>
    <row r="77" spans="1:21">
      <c r="A77" t="s">
        <v>53</v>
      </c>
      <c r="B77" t="s">
        <v>35</v>
      </c>
      <c r="C77" t="s">
        <v>1103</v>
      </c>
    </row>
    <row r="78" spans="1:21">
      <c r="A78" t="s">
        <v>53</v>
      </c>
      <c r="B78" t="s">
        <v>35</v>
      </c>
      <c r="C78" t="s">
        <v>557</v>
      </c>
      <c r="D78" s="4">
        <f>$D$8</f>
        <v>42370</v>
      </c>
      <c r="E78" s="4">
        <f>$E$8</f>
        <v>42401</v>
      </c>
      <c r="F78" s="4">
        <f>$F$8</f>
        <v>42430</v>
      </c>
      <c r="G78" s="4">
        <f>$G$8</f>
        <v>42461</v>
      </c>
      <c r="H78" s="4">
        <f>$H$8</f>
        <v>42491</v>
      </c>
      <c r="I78" s="4">
        <f>$I$8</f>
        <v>42522</v>
      </c>
      <c r="J78" s="4">
        <f>$J$8</f>
        <v>42552</v>
      </c>
      <c r="K78" s="4">
        <f>$K$8</f>
        <v>42583</v>
      </c>
      <c r="L78" s="4">
        <f>$L$8</f>
        <v>42614</v>
      </c>
      <c r="M78" s="4">
        <f>$M$8</f>
        <v>42644</v>
      </c>
      <c r="N78" s="4">
        <f>$N$8</f>
        <v>42675</v>
      </c>
      <c r="O78" s="4">
        <f>$O$8</f>
        <v>42705</v>
      </c>
    </row>
    <row r="79" spans="1:21" s="240" customFormat="1">
      <c r="A79" t="s">
        <v>53</v>
      </c>
      <c r="B79" t="s">
        <v>35</v>
      </c>
      <c r="C79" s="240" t="s">
        <v>148</v>
      </c>
      <c r="D79" s="145">
        <f>VLOOKUP($A79&amp;" CP",'2016 PRIOR'!$A$13:$R$196,'2016 PRIOR'!C$9,FALSE)</f>
        <v>48542.502573773476</v>
      </c>
      <c r="E79" s="145">
        <f>VLOOKUP($A79&amp;" CP",'2016 PRIOR'!$A$13:$R$196,'2016 PRIOR'!D$9,FALSE)</f>
        <v>0</v>
      </c>
      <c r="F79" s="145">
        <f>VLOOKUP($A79&amp;" CP",'2016 PRIOR'!$A$13:$R$196,'2016 PRIOR'!E$9,FALSE)</f>
        <v>0</v>
      </c>
      <c r="G79" s="145">
        <f>VLOOKUP($A79&amp;" CP",'2016 PRIOR'!$A$13:$R$196,'2016 PRIOR'!F$9,FALSE)</f>
        <v>0</v>
      </c>
      <c r="H79" s="145">
        <f>VLOOKUP($A79&amp;" CP",'2016 PRIOR'!$A$13:$R$196,'2016 PRIOR'!G$9,FALSE)</f>
        <v>0</v>
      </c>
      <c r="I79" s="145">
        <f>VLOOKUP($A79&amp;" CP",'2016 PRIOR'!$A$13:$R$196,'2016 PRIOR'!H$9,FALSE)</f>
        <v>0</v>
      </c>
      <c r="J79" s="145">
        <f>VLOOKUP($A79&amp;" CP",'2016 PRIOR'!$A$13:$R$196,'2016 PRIOR'!I$9,FALSE)</f>
        <v>0</v>
      </c>
      <c r="K79" s="145">
        <f>VLOOKUP($A79&amp;" CP",'2016 PRIOR'!$A$13:$R$196,'2016 PRIOR'!J$9,FALSE)</f>
        <v>0</v>
      </c>
      <c r="L79" s="145">
        <f>VLOOKUP($A79&amp;" CP",'2016 PRIOR'!$A$13:$R$196,'2016 PRIOR'!K$9,FALSE)</f>
        <v>0</v>
      </c>
      <c r="M79" s="145">
        <f>VLOOKUP($A79&amp;" CP",'2016 PRIOR'!$A$13:$R$196,'2016 PRIOR'!L$9,FALSE)</f>
        <v>0</v>
      </c>
      <c r="N79" s="145">
        <f>VLOOKUP($A79&amp;" CP",'2016 PRIOR'!$A$13:$R$196,'2016 PRIOR'!M$9,FALSE)</f>
        <v>38839.679207758498</v>
      </c>
      <c r="O79" s="145">
        <f>VLOOKUP($A79&amp;" CP",'2016 PRIOR'!$A$13:$R$196,'2016 PRIOR'!N$9,FALSE)</f>
        <v>37450.254902486355</v>
      </c>
    </row>
    <row r="80" spans="1:21" s="240" customFormat="1">
      <c r="A80" t="s">
        <v>53</v>
      </c>
      <c r="B80" t="s">
        <v>35</v>
      </c>
      <c r="C80" s="240" t="s">
        <v>147</v>
      </c>
      <c r="D80" s="145">
        <f>VLOOKUP($A80&amp;" GNCP",'2016 PRIOR'!$A$13:$R$196,'2016 PRIOR'!C$9,FALSE)</f>
        <v>117255.11378672396</v>
      </c>
      <c r="E80" s="145">
        <f>VLOOKUP($A80&amp;" GNCP",'2016 PRIOR'!$A$13:$R$196,'2016 PRIOR'!D$9,FALSE)</f>
        <v>121114.28883906103</v>
      </c>
      <c r="F80" s="145">
        <f>VLOOKUP($A80&amp;" GNCP",'2016 PRIOR'!$A$13:$R$196,'2016 PRIOR'!E$9,FALSE)</f>
        <v>121146.36620608423</v>
      </c>
      <c r="G80" s="145">
        <f>VLOOKUP($A80&amp;" GNCP",'2016 PRIOR'!$A$13:$R$196,'2016 PRIOR'!F$9,FALSE)</f>
        <v>137431.01478214009</v>
      </c>
      <c r="H80" s="145">
        <f>VLOOKUP($A80&amp;" GNCP",'2016 PRIOR'!$A$13:$R$196,'2016 PRIOR'!G$9,FALSE)</f>
        <v>140367.07971371114</v>
      </c>
      <c r="I80" s="145">
        <f>VLOOKUP($A80&amp;" GNCP",'2016 PRIOR'!$A$13:$R$196,'2016 PRIOR'!H$9,FALSE)</f>
        <v>141322.2820267452</v>
      </c>
      <c r="J80" s="145">
        <f>VLOOKUP($A80&amp;" GNCP",'2016 PRIOR'!$A$13:$R$196,'2016 PRIOR'!I$9,FALSE)</f>
        <v>139614.79998537476</v>
      </c>
      <c r="K80" s="145">
        <f>VLOOKUP($A80&amp;" GNCP",'2016 PRIOR'!$A$13:$R$196,'2016 PRIOR'!J$9,FALSE)</f>
        <v>151424.30634080211</v>
      </c>
      <c r="L80" s="145">
        <f>VLOOKUP($A80&amp;" GNCP",'2016 PRIOR'!$A$13:$R$196,'2016 PRIOR'!K$9,FALSE)</f>
        <v>130311.54279554907</v>
      </c>
      <c r="M80" s="145">
        <f>VLOOKUP($A80&amp;" GNCP",'2016 PRIOR'!$A$13:$R$196,'2016 PRIOR'!L$9,FALSE)</f>
        <v>111683.58295983166</v>
      </c>
      <c r="N80" s="145">
        <f>VLOOKUP($A80&amp;" GNCP",'2016 PRIOR'!$A$13:$R$196,'2016 PRIOR'!M$9,FALSE)</f>
        <v>108584.53124152191</v>
      </c>
      <c r="O80" s="145">
        <f>VLOOKUP($A80&amp;" GNCP",'2016 PRIOR'!$A$13:$R$196,'2016 PRIOR'!N$9,FALSE)</f>
        <v>117789.13973260531</v>
      </c>
    </row>
    <row r="81" spans="1:21" s="240" customFormat="1">
      <c r="A81" t="s">
        <v>53</v>
      </c>
      <c r="B81" t="s">
        <v>35</v>
      </c>
      <c r="C81" s="240" t="s">
        <v>133</v>
      </c>
      <c r="D81" s="145">
        <f>VLOOKUP($A81&amp;" NCP",'2016 PRIOR'!$A$13:$R$196,'2016 PRIOR'!C$9,FALSE)</f>
        <v>117255.11378672396</v>
      </c>
      <c r="E81" s="145">
        <f>VLOOKUP($A81&amp;" NCP",'2016 PRIOR'!$A$13:$R$196,'2016 PRIOR'!D$9,FALSE)</f>
        <v>121114.28883906103</v>
      </c>
      <c r="F81" s="145">
        <f>VLOOKUP($A81&amp;" NCP",'2016 PRIOR'!$A$13:$R$196,'2016 PRIOR'!E$9,FALSE)</f>
        <v>121146.36620608423</v>
      </c>
      <c r="G81" s="145">
        <f>VLOOKUP($A81&amp;" NCP",'2016 PRIOR'!$A$13:$R$196,'2016 PRIOR'!F$9,FALSE)</f>
        <v>137431.01478214009</v>
      </c>
      <c r="H81" s="145">
        <f>VLOOKUP($A81&amp;" NCP",'2016 PRIOR'!$A$13:$R$196,'2016 PRIOR'!G$9,FALSE)</f>
        <v>140367.07971371114</v>
      </c>
      <c r="I81" s="145">
        <f>VLOOKUP($A81&amp;" NCP",'2016 PRIOR'!$A$13:$R$196,'2016 PRIOR'!H$9,FALSE)</f>
        <v>141322.2820267452</v>
      </c>
      <c r="J81" s="145">
        <f>VLOOKUP($A81&amp;" NCP",'2016 PRIOR'!$A$13:$R$196,'2016 PRIOR'!I$9,FALSE)</f>
        <v>139614.79998537476</v>
      </c>
      <c r="K81" s="145">
        <f>VLOOKUP($A81&amp;" NCP",'2016 PRIOR'!$A$13:$R$196,'2016 PRIOR'!J$9,FALSE)</f>
        <v>151424.30634080211</v>
      </c>
      <c r="L81" s="145">
        <f>VLOOKUP($A81&amp;" NCP",'2016 PRIOR'!$A$13:$R$196,'2016 PRIOR'!K$9,FALSE)</f>
        <v>130311.54279554907</v>
      </c>
      <c r="M81" s="145">
        <f>VLOOKUP($A81&amp;" NCP",'2016 PRIOR'!$A$13:$R$196,'2016 PRIOR'!L$9,FALSE)</f>
        <v>111683.58295983166</v>
      </c>
      <c r="N81" s="145">
        <f>VLOOKUP($A81&amp;" NCP",'2016 PRIOR'!$A$13:$R$196,'2016 PRIOR'!M$9,FALSE)</f>
        <v>108584.53124152191</v>
      </c>
      <c r="O81" s="145">
        <f>VLOOKUP($A81&amp;" NCP",'2016 PRIOR'!$A$13:$R$196,'2016 PRIOR'!N$9,FALSE)</f>
        <v>117789.13973260531</v>
      </c>
    </row>
    <row r="83" spans="1:21">
      <c r="A83" t="s">
        <v>55</v>
      </c>
      <c r="B83" t="s">
        <v>38</v>
      </c>
      <c r="C83" t="s">
        <v>1102</v>
      </c>
    </row>
    <row r="84" spans="1:21">
      <c r="A84" t="s">
        <v>55</v>
      </c>
      <c r="B84" t="s">
        <v>38</v>
      </c>
      <c r="C84" t="s">
        <v>557</v>
      </c>
      <c r="D84" s="4">
        <f>$D$8</f>
        <v>42370</v>
      </c>
      <c r="E84" s="4">
        <f>$E$8</f>
        <v>42401</v>
      </c>
      <c r="F84" s="4">
        <f>$F$8</f>
        <v>42430</v>
      </c>
      <c r="G84" s="4">
        <f>$G$8</f>
        <v>42461</v>
      </c>
      <c r="H84" s="4">
        <f>$H$8</f>
        <v>42491</v>
      </c>
      <c r="I84" s="4">
        <f>$I$8</f>
        <v>42522</v>
      </c>
      <c r="J84" s="4">
        <f>$J$8</f>
        <v>42552</v>
      </c>
      <c r="K84" s="4">
        <f>$K$8</f>
        <v>42583</v>
      </c>
      <c r="L84" s="4">
        <f>$L$8</f>
        <v>42614</v>
      </c>
      <c r="M84" s="4">
        <f>$M$8</f>
        <v>42644</v>
      </c>
      <c r="N84" s="4">
        <f>$N$8</f>
        <v>42675</v>
      </c>
      <c r="O84" s="4">
        <f>$O$8</f>
        <v>42705</v>
      </c>
    </row>
    <row r="85" spans="1:21" s="240" customFormat="1">
      <c r="A85" t="s">
        <v>55</v>
      </c>
      <c r="B85" t="s">
        <v>38</v>
      </c>
      <c r="C85" s="240" t="s">
        <v>148</v>
      </c>
      <c r="D85" s="145">
        <f>VLOOKUP($A85&amp;" CP",'2016 PRIOR'!$A$13:$R$196,'2016 PRIOR'!C$9,FALSE)</f>
        <v>3547.14617263438</v>
      </c>
      <c r="E85" s="145">
        <f>VLOOKUP($A85&amp;" CP",'2016 PRIOR'!$A$13:$R$196,'2016 PRIOR'!D$9,FALSE)</f>
        <v>3801.5273754637124</v>
      </c>
      <c r="F85" s="145">
        <f>VLOOKUP($A85&amp;" CP",'2016 PRIOR'!$A$13:$R$196,'2016 PRIOR'!E$9,FALSE)</f>
        <v>3570.7796747896041</v>
      </c>
      <c r="G85" s="145">
        <f>VLOOKUP($A85&amp;" CP",'2016 PRIOR'!$A$13:$R$196,'2016 PRIOR'!F$9,FALSE)</f>
        <v>3688.905695682176</v>
      </c>
      <c r="H85" s="145">
        <f>VLOOKUP($A85&amp;" CP",'2016 PRIOR'!$A$13:$R$196,'2016 PRIOR'!G$9,FALSE)</f>
        <v>3581.5188575220513</v>
      </c>
      <c r="I85" s="145">
        <f>VLOOKUP($A85&amp;" CP",'2016 PRIOR'!$A$13:$R$196,'2016 PRIOR'!H$9,FALSE)</f>
        <v>3711.5033153802701</v>
      </c>
      <c r="J85" s="145">
        <f>VLOOKUP($A85&amp;" CP",'2016 PRIOR'!$A$13:$R$196,'2016 PRIOR'!I$9,FALSE)</f>
        <v>3596.3568242886977</v>
      </c>
      <c r="K85" s="145">
        <f>VLOOKUP($A85&amp;" CP",'2016 PRIOR'!$A$13:$R$196,'2016 PRIOR'!J$9,FALSE)</f>
        <v>3604.1318817441688</v>
      </c>
      <c r="L85" s="145">
        <f>VLOOKUP($A85&amp;" CP",'2016 PRIOR'!$A$13:$R$196,'2016 PRIOR'!K$9,FALSE)</f>
        <v>3726.4562890058628</v>
      </c>
      <c r="M85" s="145">
        <f>VLOOKUP($A85&amp;" CP",'2016 PRIOR'!$A$13:$R$196,'2016 PRIOR'!L$9,FALSE)</f>
        <v>3616.4355711845537</v>
      </c>
      <c r="N85" s="145">
        <f>VLOOKUP($A85&amp;" CP",'2016 PRIOR'!$A$13:$R$196,'2016 PRIOR'!M$9,FALSE)</f>
        <v>3751.8722899392988</v>
      </c>
      <c r="O85" s="145">
        <f>VLOOKUP($A85&amp;" CP",'2016 PRIOR'!$A$13:$R$196,'2016 PRIOR'!N$9,FALSE)</f>
        <v>3627.3765909684826</v>
      </c>
    </row>
    <row r="86" spans="1:21" s="240" customFormat="1">
      <c r="A86" t="s">
        <v>55</v>
      </c>
      <c r="B86" t="s">
        <v>38</v>
      </c>
      <c r="C86" s="240" t="s">
        <v>147</v>
      </c>
      <c r="D86" s="145">
        <f>VLOOKUP($A86&amp;" GNCP",'2016 PRIOR'!$A$13:$R$196,'2016 PRIOR'!C$9,FALSE)</f>
        <v>3547.14617263438</v>
      </c>
      <c r="E86" s="145">
        <f>VLOOKUP($A86&amp;" GNCP",'2016 PRIOR'!$A$13:$R$196,'2016 PRIOR'!D$9,FALSE)</f>
        <v>3801.5273754637124</v>
      </c>
      <c r="F86" s="145">
        <f>VLOOKUP($A86&amp;" GNCP",'2016 PRIOR'!$A$13:$R$196,'2016 PRIOR'!E$9,FALSE)</f>
        <v>3570.7796747896041</v>
      </c>
      <c r="G86" s="145">
        <f>VLOOKUP($A86&amp;" GNCP",'2016 PRIOR'!$A$13:$R$196,'2016 PRIOR'!F$9,FALSE)</f>
        <v>3688.905695682176</v>
      </c>
      <c r="H86" s="145">
        <f>VLOOKUP($A86&amp;" GNCP",'2016 PRIOR'!$A$13:$R$196,'2016 PRIOR'!G$9,FALSE)</f>
        <v>3581.5188575220513</v>
      </c>
      <c r="I86" s="145">
        <f>VLOOKUP($A86&amp;" GNCP",'2016 PRIOR'!$A$13:$R$196,'2016 PRIOR'!H$9,FALSE)</f>
        <v>3711.5033153802701</v>
      </c>
      <c r="J86" s="145">
        <f>VLOOKUP($A86&amp;" GNCP",'2016 PRIOR'!$A$13:$R$196,'2016 PRIOR'!I$9,FALSE)</f>
        <v>3596.3568242886977</v>
      </c>
      <c r="K86" s="145">
        <f>VLOOKUP($A86&amp;" GNCP",'2016 PRIOR'!$A$13:$R$196,'2016 PRIOR'!J$9,FALSE)</f>
        <v>3604.1318817441688</v>
      </c>
      <c r="L86" s="145">
        <f>VLOOKUP($A86&amp;" GNCP",'2016 PRIOR'!$A$13:$R$196,'2016 PRIOR'!K$9,FALSE)</f>
        <v>3726.4562890058628</v>
      </c>
      <c r="M86" s="145">
        <f>VLOOKUP($A86&amp;" GNCP",'2016 PRIOR'!$A$13:$R$196,'2016 PRIOR'!L$9,FALSE)</f>
        <v>3616.4355711845537</v>
      </c>
      <c r="N86" s="145">
        <f>VLOOKUP($A86&amp;" GNCP",'2016 PRIOR'!$A$13:$R$196,'2016 PRIOR'!M$9,FALSE)</f>
        <v>3751.8722899392988</v>
      </c>
      <c r="O86" s="145">
        <f>VLOOKUP($A86&amp;" GNCP",'2016 PRIOR'!$A$13:$R$196,'2016 PRIOR'!N$9,FALSE)</f>
        <v>3627.3765909684826</v>
      </c>
    </row>
    <row r="87" spans="1:21" s="240" customFormat="1">
      <c r="A87" t="s">
        <v>55</v>
      </c>
      <c r="B87" t="s">
        <v>38</v>
      </c>
      <c r="C87" s="240" t="s">
        <v>133</v>
      </c>
      <c r="D87" s="145">
        <f>VLOOKUP($A87&amp;" NCP",'2016 PRIOR'!$A$13:$R$196,'2016 PRIOR'!C$9,FALSE)</f>
        <v>3547.14617263438</v>
      </c>
      <c r="E87" s="145">
        <f>VLOOKUP($A87&amp;" NCP",'2016 PRIOR'!$A$13:$R$196,'2016 PRIOR'!D$9,FALSE)</f>
        <v>3801.5273754637124</v>
      </c>
      <c r="F87" s="145">
        <f>VLOOKUP($A87&amp;" NCP",'2016 PRIOR'!$A$13:$R$196,'2016 PRIOR'!E$9,FALSE)</f>
        <v>3570.7796747896041</v>
      </c>
      <c r="G87" s="145">
        <f>VLOOKUP($A87&amp;" NCP",'2016 PRIOR'!$A$13:$R$196,'2016 PRIOR'!F$9,FALSE)</f>
        <v>3688.905695682176</v>
      </c>
      <c r="H87" s="145">
        <f>VLOOKUP($A87&amp;" NCP",'2016 PRIOR'!$A$13:$R$196,'2016 PRIOR'!G$9,FALSE)</f>
        <v>3581.5188575220513</v>
      </c>
      <c r="I87" s="145">
        <f>VLOOKUP($A87&amp;" NCP",'2016 PRIOR'!$A$13:$R$196,'2016 PRIOR'!H$9,FALSE)</f>
        <v>3711.5033153802701</v>
      </c>
      <c r="J87" s="145">
        <f>VLOOKUP($A87&amp;" NCP",'2016 PRIOR'!$A$13:$R$196,'2016 PRIOR'!I$9,FALSE)</f>
        <v>3596.3568242886977</v>
      </c>
      <c r="K87" s="145">
        <f>VLOOKUP($A87&amp;" NCP",'2016 PRIOR'!$A$13:$R$196,'2016 PRIOR'!J$9,FALSE)</f>
        <v>3604.1318817441688</v>
      </c>
      <c r="L87" s="145">
        <f>VLOOKUP($A87&amp;" NCP",'2016 PRIOR'!$A$13:$R$196,'2016 PRIOR'!K$9,FALSE)</f>
        <v>3726.4562890058628</v>
      </c>
      <c r="M87" s="145">
        <f>VLOOKUP($A87&amp;" NCP",'2016 PRIOR'!$A$13:$R$196,'2016 PRIOR'!L$9,FALSE)</f>
        <v>3616.4355711845537</v>
      </c>
      <c r="N87" s="145">
        <f>VLOOKUP($A87&amp;" NCP",'2016 PRIOR'!$A$13:$R$196,'2016 PRIOR'!M$9,FALSE)</f>
        <v>3751.8722899392988</v>
      </c>
      <c r="O87" s="145">
        <f>VLOOKUP($A87&amp;" NCP",'2016 PRIOR'!$A$13:$R$196,'2016 PRIOR'!N$9,FALSE)</f>
        <v>3627.3765909684826</v>
      </c>
    </row>
    <row r="89" spans="1:21">
      <c r="A89" t="s">
        <v>87</v>
      </c>
      <c r="B89" t="s">
        <v>40</v>
      </c>
      <c r="C89" t="s">
        <v>1101</v>
      </c>
    </row>
    <row r="90" spans="1:21">
      <c r="A90" t="s">
        <v>87</v>
      </c>
      <c r="B90" t="s">
        <v>40</v>
      </c>
      <c r="C90" t="s">
        <v>557</v>
      </c>
      <c r="D90" s="4">
        <f>$D$8</f>
        <v>42370</v>
      </c>
      <c r="E90" s="4">
        <f>$E$8</f>
        <v>42401</v>
      </c>
      <c r="F90" s="4">
        <f>$F$8</f>
        <v>42430</v>
      </c>
      <c r="G90" s="4">
        <f>$G$8</f>
        <v>42461</v>
      </c>
      <c r="H90" s="4">
        <f>$H$8</f>
        <v>42491</v>
      </c>
      <c r="I90" s="4">
        <f>$I$8</f>
        <v>42522</v>
      </c>
      <c r="J90" s="4">
        <f>$J$8</f>
        <v>42552</v>
      </c>
      <c r="K90" s="4">
        <f>$K$8</f>
        <v>42583</v>
      </c>
      <c r="L90" s="4">
        <f>$L$8</f>
        <v>42614</v>
      </c>
      <c r="M90" s="4">
        <f>$M$8</f>
        <v>42644</v>
      </c>
      <c r="N90" s="4">
        <f>$N$8</f>
        <v>42675</v>
      </c>
      <c r="O90" s="4">
        <f>$O$8</f>
        <v>42705</v>
      </c>
    </row>
    <row r="91" spans="1:21" s="240" customFormat="1">
      <c r="A91" t="s">
        <v>87</v>
      </c>
      <c r="B91" t="s">
        <v>40</v>
      </c>
      <c r="C91" s="240" t="s">
        <v>148</v>
      </c>
      <c r="D91" s="145">
        <f>VLOOKUP($A91&amp;" CP",'2016 PRIOR'!$A$13:$R$196,'2016 PRIOR'!C$9,FALSE)</f>
        <v>985.2474049690336</v>
      </c>
      <c r="E91" s="145">
        <f>VLOOKUP($A91&amp;" CP",'2016 PRIOR'!$A$13:$R$196,'2016 PRIOR'!D$9,FALSE)</f>
        <v>1438.2724504696848</v>
      </c>
      <c r="F91" s="145">
        <f>VLOOKUP($A91&amp;" CP",'2016 PRIOR'!$A$13:$R$196,'2016 PRIOR'!E$9,FALSE)</f>
        <v>1043.305040249993</v>
      </c>
      <c r="G91" s="145">
        <f>VLOOKUP($A91&amp;" CP",'2016 PRIOR'!$A$13:$R$196,'2016 PRIOR'!F$9,FALSE)</f>
        <v>1991.7778813837754</v>
      </c>
      <c r="H91" s="145">
        <f>VLOOKUP($A91&amp;" CP",'2016 PRIOR'!$A$13:$R$196,'2016 PRIOR'!G$9,FALSE)</f>
        <v>1717.1864196042998</v>
      </c>
      <c r="I91" s="145">
        <f>VLOOKUP($A91&amp;" CP",'2016 PRIOR'!$A$13:$R$196,'2016 PRIOR'!H$9,FALSE)</f>
        <v>2116.500434801274</v>
      </c>
      <c r="J91" s="145">
        <f>VLOOKUP($A91&amp;" CP",'2016 PRIOR'!$A$13:$R$196,'2016 PRIOR'!I$9,FALSE)</f>
        <v>1995.0496415316954</v>
      </c>
      <c r="K91" s="145">
        <f>VLOOKUP($A91&amp;" CP",'2016 PRIOR'!$A$13:$R$196,'2016 PRIOR'!J$9,FALSE)</f>
        <v>1555.4464443046534</v>
      </c>
      <c r="L91" s="145">
        <f>VLOOKUP($A91&amp;" CP",'2016 PRIOR'!$A$13:$R$196,'2016 PRIOR'!K$9,FALSE)</f>
        <v>1222.3179382354567</v>
      </c>
      <c r="M91" s="145">
        <f>VLOOKUP($A91&amp;" CP",'2016 PRIOR'!$A$13:$R$196,'2016 PRIOR'!L$9,FALSE)</f>
        <v>2546.6488030279029</v>
      </c>
      <c r="N91" s="145">
        <f>VLOOKUP($A91&amp;" CP",'2016 PRIOR'!$A$13:$R$196,'2016 PRIOR'!M$9,FALSE)</f>
        <v>2646.267374491119</v>
      </c>
      <c r="O91" s="145">
        <f>VLOOKUP($A91&amp;" CP",'2016 PRIOR'!$A$13:$R$196,'2016 PRIOR'!N$9,FALSE)</f>
        <v>548.5628503320653</v>
      </c>
    </row>
    <row r="92" spans="1:21" s="240" customFormat="1">
      <c r="A92" t="s">
        <v>87</v>
      </c>
      <c r="B92" t="s">
        <v>40</v>
      </c>
      <c r="C92" s="240" t="s">
        <v>147</v>
      </c>
      <c r="D92" s="145">
        <f>VLOOKUP($A92&amp;" GNCP",'2016 PRIOR'!$A$13:$R$196,'2016 PRIOR'!C$9,FALSE)</f>
        <v>2094.8997814579911</v>
      </c>
      <c r="E92" s="145">
        <f>VLOOKUP($A92&amp;" GNCP",'2016 PRIOR'!$A$13:$R$196,'2016 PRIOR'!D$9,FALSE)</f>
        <v>3561.1033111085408</v>
      </c>
      <c r="F92" s="145">
        <f>VLOOKUP($A92&amp;" GNCP",'2016 PRIOR'!$A$13:$R$196,'2016 PRIOR'!E$9,FALSE)</f>
        <v>1559.5730910102195</v>
      </c>
      <c r="G92" s="145">
        <f>VLOOKUP($A92&amp;" GNCP",'2016 PRIOR'!$A$13:$R$196,'2016 PRIOR'!F$9,FALSE)</f>
        <v>3752.7793593986644</v>
      </c>
      <c r="H92" s="145">
        <f>VLOOKUP($A92&amp;" GNCP",'2016 PRIOR'!$A$13:$R$196,'2016 PRIOR'!G$9,FALSE)</f>
        <v>3780.5827207051971</v>
      </c>
      <c r="I92" s="145">
        <f>VLOOKUP($A92&amp;" GNCP",'2016 PRIOR'!$A$13:$R$196,'2016 PRIOR'!H$9,FALSE)</f>
        <v>3297.8128041258401</v>
      </c>
      <c r="J92" s="145">
        <f>VLOOKUP($A92&amp;" GNCP",'2016 PRIOR'!$A$13:$R$196,'2016 PRIOR'!I$9,FALSE)</f>
        <v>3153.7324038724787</v>
      </c>
      <c r="K92" s="145">
        <f>VLOOKUP($A92&amp;" GNCP",'2016 PRIOR'!$A$13:$R$196,'2016 PRIOR'!J$9,FALSE)</f>
        <v>3347.9186106707907</v>
      </c>
      <c r="L92" s="145">
        <f>VLOOKUP($A92&amp;" GNCP",'2016 PRIOR'!$A$13:$R$196,'2016 PRIOR'!K$9,FALSE)</f>
        <v>3632.0019128777417</v>
      </c>
      <c r="M92" s="145">
        <f>VLOOKUP($A92&amp;" GNCP",'2016 PRIOR'!$A$13:$R$196,'2016 PRIOR'!L$9,FALSE)</f>
        <v>5011.848283997344</v>
      </c>
      <c r="N92" s="145">
        <f>VLOOKUP($A92&amp;" GNCP",'2016 PRIOR'!$A$13:$R$196,'2016 PRIOR'!M$9,FALSE)</f>
        <v>8201.2538466420647</v>
      </c>
      <c r="O92" s="145">
        <f>VLOOKUP($A92&amp;" GNCP",'2016 PRIOR'!$A$13:$R$196,'2016 PRIOR'!N$9,FALSE)</f>
        <v>2237.9847529906788</v>
      </c>
    </row>
    <row r="93" spans="1:21" s="240" customFormat="1">
      <c r="A93" t="s">
        <v>87</v>
      </c>
      <c r="B93" t="s">
        <v>40</v>
      </c>
      <c r="C93" s="240" t="s">
        <v>133</v>
      </c>
      <c r="D93" s="145">
        <f>VLOOKUP($A93&amp;" NCP",'2016 PRIOR'!$A$13:$R$196,'2016 PRIOR'!C$9,FALSE)</f>
        <v>2593.5189042567204</v>
      </c>
      <c r="E93" s="145">
        <f>VLOOKUP($A93&amp;" NCP",'2016 PRIOR'!$A$13:$R$196,'2016 PRIOR'!D$9,FALSE)</f>
        <v>4050.1324098944556</v>
      </c>
      <c r="F93" s="145">
        <f>VLOOKUP($A93&amp;" NCP",'2016 PRIOR'!$A$13:$R$196,'2016 PRIOR'!E$9,FALSE)</f>
        <v>2074.4309236034824</v>
      </c>
      <c r="G93" s="145">
        <f>VLOOKUP($A93&amp;" NCP",'2016 PRIOR'!$A$13:$R$196,'2016 PRIOR'!F$9,FALSE)</f>
        <v>4502.7040479529442</v>
      </c>
      <c r="H93" s="145">
        <f>VLOOKUP($A93&amp;" NCP",'2016 PRIOR'!$A$13:$R$196,'2016 PRIOR'!G$9,FALSE)</f>
        <v>4384.7171398394057</v>
      </c>
      <c r="I93" s="145">
        <f>VLOOKUP($A93&amp;" NCP",'2016 PRIOR'!$A$13:$R$196,'2016 PRIOR'!H$9,FALSE)</f>
        <v>4269.2452020184992</v>
      </c>
      <c r="J93" s="145">
        <f>VLOOKUP($A93&amp;" NCP",'2016 PRIOR'!$A$13:$R$196,'2016 PRIOR'!I$9,FALSE)</f>
        <v>3783.8880214331334</v>
      </c>
      <c r="K93" s="145">
        <f>VLOOKUP($A93&amp;" NCP",'2016 PRIOR'!$A$13:$R$196,'2016 PRIOR'!J$9,FALSE)</f>
        <v>4125.9206866137783</v>
      </c>
      <c r="L93" s="145">
        <f>VLOOKUP($A93&amp;" NCP",'2016 PRIOR'!$A$13:$R$196,'2016 PRIOR'!K$9,FALSE)</f>
        <v>4196.8912214794764</v>
      </c>
      <c r="M93" s="145">
        <f>VLOOKUP($A93&amp;" NCP",'2016 PRIOR'!$A$13:$R$196,'2016 PRIOR'!L$9,FALSE)</f>
        <v>7191.7662933466345</v>
      </c>
      <c r="N93" s="145">
        <f>VLOOKUP($A93&amp;" NCP",'2016 PRIOR'!$A$13:$R$196,'2016 PRIOR'!M$9,FALSE)</f>
        <v>9915.8901043602818</v>
      </c>
      <c r="O93" s="145">
        <f>VLOOKUP($A93&amp;" NCP",'2016 PRIOR'!$A$13:$R$196,'2016 PRIOR'!N$9,FALSE)</f>
        <v>3484.258878399472</v>
      </c>
    </row>
    <row r="94" spans="1:21">
      <c r="D94" s="241"/>
      <c r="E94" s="241"/>
      <c r="F94" s="241"/>
      <c r="G94" s="241"/>
      <c r="H94" s="241"/>
      <c r="I94" s="241"/>
      <c r="J94" s="241"/>
      <c r="K94" s="241"/>
      <c r="L94" s="241"/>
      <c r="M94" s="241"/>
      <c r="N94" s="241"/>
      <c r="O94" s="241"/>
      <c r="P94" s="241"/>
      <c r="Q94" s="242"/>
      <c r="S94" s="44"/>
      <c r="T94" s="44"/>
      <c r="U94" s="243"/>
    </row>
    <row r="95" spans="1:21">
      <c r="A95" t="s">
        <v>88</v>
      </c>
      <c r="B95" t="s">
        <v>45</v>
      </c>
      <c r="C95" t="s">
        <v>559</v>
      </c>
      <c r="P95" s="241"/>
      <c r="Q95" s="242"/>
      <c r="S95" s="44"/>
      <c r="T95" s="44"/>
      <c r="U95" s="243"/>
    </row>
    <row r="96" spans="1:21">
      <c r="A96" t="s">
        <v>88</v>
      </c>
      <c r="B96" t="s">
        <v>45</v>
      </c>
      <c r="C96" t="s">
        <v>557</v>
      </c>
      <c r="D96" s="4">
        <f>$D$8</f>
        <v>42370</v>
      </c>
      <c r="E96" s="4">
        <f>$E$8</f>
        <v>42401</v>
      </c>
      <c r="F96" s="4">
        <f>$F$8</f>
        <v>42430</v>
      </c>
      <c r="G96" s="4">
        <f>$G$8</f>
        <v>42461</v>
      </c>
      <c r="H96" s="4">
        <f>$H$8</f>
        <v>42491</v>
      </c>
      <c r="I96" s="4">
        <f>$I$8</f>
        <v>42522</v>
      </c>
      <c r="J96" s="4">
        <f>$J$8</f>
        <v>42552</v>
      </c>
      <c r="K96" s="4">
        <f>$K$8</f>
        <v>42583</v>
      </c>
      <c r="L96" s="4">
        <f>$L$8</f>
        <v>42614</v>
      </c>
      <c r="M96" s="4">
        <f>$M$8</f>
        <v>42644</v>
      </c>
      <c r="N96" s="4">
        <f>$N$8</f>
        <v>42675</v>
      </c>
      <c r="O96" s="4">
        <f>$O$8</f>
        <v>42705</v>
      </c>
      <c r="P96" s="241"/>
      <c r="Q96" s="242"/>
      <c r="S96" s="44"/>
      <c r="T96" s="44"/>
      <c r="U96" s="243"/>
    </row>
    <row r="97" spans="1:21">
      <c r="A97" t="s">
        <v>88</v>
      </c>
      <c r="B97" t="s">
        <v>45</v>
      </c>
      <c r="C97" s="240" t="s">
        <v>148</v>
      </c>
      <c r="D97" s="145">
        <f>VLOOKUP($A97&amp;" CP",'2016 PRIOR'!$A$13:$R$196,'2016 PRIOR'!C$9,FALSE)</f>
        <v>10091.705184312001</v>
      </c>
      <c r="E97" s="145">
        <f>VLOOKUP($A97&amp;" CP",'2016 PRIOR'!$A$13:$R$196,'2016 PRIOR'!D$9,FALSE)</f>
        <v>9303.3944562068737</v>
      </c>
      <c r="F97" s="145">
        <f>VLOOKUP($A97&amp;" CP",'2016 PRIOR'!$A$13:$R$196,'2016 PRIOR'!E$9,FALSE)</f>
        <v>7653.328890952017</v>
      </c>
      <c r="G97" s="145">
        <f>VLOOKUP($A97&amp;" CP",'2016 PRIOR'!$A$13:$R$196,'2016 PRIOR'!F$9,FALSE)</f>
        <v>8544.2008858225727</v>
      </c>
      <c r="H97" s="145">
        <f>VLOOKUP($A97&amp;" CP",'2016 PRIOR'!$A$13:$R$196,'2016 PRIOR'!G$9,FALSE)</f>
        <v>9228.9112787339945</v>
      </c>
      <c r="I97" s="145">
        <f>VLOOKUP($A97&amp;" CP",'2016 PRIOR'!$A$13:$R$196,'2016 PRIOR'!H$9,FALSE)</f>
        <v>7762.6092720236502</v>
      </c>
      <c r="J97" s="145">
        <f>VLOOKUP($A97&amp;" CP",'2016 PRIOR'!$A$13:$R$196,'2016 PRIOR'!I$9,FALSE)</f>
        <v>6510.270882921991</v>
      </c>
      <c r="K97" s="145">
        <f>VLOOKUP($A97&amp;" CP",'2016 PRIOR'!$A$13:$R$196,'2016 PRIOR'!J$9,FALSE)</f>
        <v>5585.5853022066722</v>
      </c>
      <c r="L97" s="145">
        <f>VLOOKUP($A97&amp;" CP",'2016 PRIOR'!$A$13:$R$196,'2016 PRIOR'!K$9,FALSE)</f>
        <v>10719.206560812245</v>
      </c>
      <c r="M97" s="145">
        <f>VLOOKUP($A97&amp;" CP",'2016 PRIOR'!$A$13:$R$196,'2016 PRIOR'!L$9,FALSE)</f>
        <v>7076.7278829358784</v>
      </c>
      <c r="N97" s="145">
        <f>VLOOKUP($A97&amp;" CP",'2016 PRIOR'!$A$13:$R$196,'2016 PRIOR'!M$9,FALSE)</f>
        <v>19240.525740258134</v>
      </c>
      <c r="O97" s="145">
        <f>VLOOKUP($A97&amp;" CP",'2016 PRIOR'!$A$13:$R$196,'2016 PRIOR'!N$9,FALSE)</f>
        <v>7796.4164241659955</v>
      </c>
      <c r="P97" s="241"/>
      <c r="Q97" s="242"/>
      <c r="S97" s="44"/>
      <c r="T97" s="44"/>
      <c r="U97" s="243"/>
    </row>
    <row r="98" spans="1:21">
      <c r="A98" t="s">
        <v>88</v>
      </c>
      <c r="B98" t="s">
        <v>45</v>
      </c>
      <c r="C98" s="240" t="s">
        <v>147</v>
      </c>
      <c r="D98" s="145">
        <f>VLOOKUP($A98&amp;" GNCP",'2016 PRIOR'!$A$13:$R$196,'2016 PRIOR'!C$9,FALSE)</f>
        <v>27161.062652635701</v>
      </c>
      <c r="E98" s="145">
        <f>VLOOKUP($A98&amp;" GNCP",'2016 PRIOR'!$A$13:$R$196,'2016 PRIOR'!D$9,FALSE)</f>
        <v>34588.950168604053</v>
      </c>
      <c r="F98" s="145">
        <f>VLOOKUP($A98&amp;" GNCP",'2016 PRIOR'!$A$13:$R$196,'2016 PRIOR'!E$9,FALSE)</f>
        <v>51499.060994838059</v>
      </c>
      <c r="G98" s="145">
        <f>VLOOKUP($A98&amp;" GNCP",'2016 PRIOR'!$A$13:$R$196,'2016 PRIOR'!F$9,FALSE)</f>
        <v>38254.510631621291</v>
      </c>
      <c r="H98" s="145">
        <f>VLOOKUP($A98&amp;" GNCP",'2016 PRIOR'!$A$13:$R$196,'2016 PRIOR'!G$9,FALSE)</f>
        <v>51961.080237677292</v>
      </c>
      <c r="I98" s="145">
        <f>VLOOKUP($A98&amp;" GNCP",'2016 PRIOR'!$A$13:$R$196,'2016 PRIOR'!H$9,FALSE)</f>
        <v>42020.066943799786</v>
      </c>
      <c r="J98" s="145">
        <f>VLOOKUP($A98&amp;" GNCP",'2016 PRIOR'!$A$13:$R$196,'2016 PRIOR'!I$9,FALSE)</f>
        <v>27417.529125675708</v>
      </c>
      <c r="K98" s="145">
        <f>VLOOKUP($A98&amp;" GNCP",'2016 PRIOR'!$A$13:$R$196,'2016 PRIOR'!J$9,FALSE)</f>
        <v>33207.601247620143</v>
      </c>
      <c r="L98" s="145">
        <f>VLOOKUP($A98&amp;" GNCP",'2016 PRIOR'!$A$13:$R$196,'2016 PRIOR'!K$9,FALSE)</f>
        <v>25998.538042951037</v>
      </c>
      <c r="M98" s="145">
        <f>VLOOKUP($A98&amp;" GNCP",'2016 PRIOR'!$A$13:$R$196,'2016 PRIOR'!L$9,FALSE)</f>
        <v>35228.26656812647</v>
      </c>
      <c r="N98" s="145">
        <f>VLOOKUP($A98&amp;" GNCP",'2016 PRIOR'!$A$13:$R$196,'2016 PRIOR'!M$9,FALSE)</f>
        <v>57625.579904252947</v>
      </c>
      <c r="O98" s="145">
        <f>VLOOKUP($A98&amp;" GNCP",'2016 PRIOR'!$A$13:$R$196,'2016 PRIOR'!N$9,FALSE)</f>
        <v>29998.785873165416</v>
      </c>
      <c r="P98" s="241"/>
      <c r="Q98" s="242"/>
      <c r="S98" s="44"/>
      <c r="T98" s="44"/>
      <c r="U98" s="243"/>
    </row>
    <row r="99" spans="1:21">
      <c r="A99" t="s">
        <v>88</v>
      </c>
      <c r="B99" t="s">
        <v>45</v>
      </c>
      <c r="C99" s="240" t="s">
        <v>133</v>
      </c>
      <c r="D99" s="145">
        <f>VLOOKUP($A99&amp;" NCP",'2016 PRIOR'!$A$13:$R$196,'2016 PRIOR'!C$9,FALSE)</f>
        <v>77165.349050049161</v>
      </c>
      <c r="E99" s="145">
        <f>VLOOKUP($A99&amp;" NCP",'2016 PRIOR'!$A$13:$R$196,'2016 PRIOR'!D$9,FALSE)</f>
        <v>76603.989689428869</v>
      </c>
      <c r="F99" s="145">
        <f>VLOOKUP($A99&amp;" NCP",'2016 PRIOR'!$A$13:$R$196,'2016 PRIOR'!E$9,FALSE)</f>
        <v>126194.63538322384</v>
      </c>
      <c r="G99" s="145">
        <f>VLOOKUP($A99&amp;" NCP",'2016 PRIOR'!$A$13:$R$196,'2016 PRIOR'!F$9,FALSE)</f>
        <v>85236.757496452658</v>
      </c>
      <c r="H99" s="145">
        <f>VLOOKUP($A99&amp;" NCP",'2016 PRIOR'!$A$13:$R$196,'2016 PRIOR'!G$9,FALSE)</f>
        <v>130358.62287063993</v>
      </c>
      <c r="I99" s="145">
        <f>VLOOKUP($A99&amp;" NCP",'2016 PRIOR'!$A$13:$R$196,'2016 PRIOR'!H$9,FALSE)</f>
        <v>93864.854941203899</v>
      </c>
      <c r="J99" s="145">
        <f>VLOOKUP($A99&amp;" NCP",'2016 PRIOR'!$A$13:$R$196,'2016 PRIOR'!I$9,FALSE)</f>
        <v>69829.322856681159</v>
      </c>
      <c r="K99" s="145">
        <f>VLOOKUP($A99&amp;" NCP",'2016 PRIOR'!$A$13:$R$196,'2016 PRIOR'!J$9,FALSE)</f>
        <v>81030.196231143462</v>
      </c>
      <c r="L99" s="145">
        <f>VLOOKUP($A99&amp;" NCP",'2016 PRIOR'!$A$13:$R$196,'2016 PRIOR'!K$9,FALSE)</f>
        <v>54470.549108778629</v>
      </c>
      <c r="M99" s="145">
        <f>VLOOKUP($A99&amp;" NCP",'2016 PRIOR'!$A$13:$R$196,'2016 PRIOR'!L$9,FALSE)</f>
        <v>75766.052788883608</v>
      </c>
      <c r="N99" s="145">
        <f>VLOOKUP($A99&amp;" NCP",'2016 PRIOR'!$A$13:$R$196,'2016 PRIOR'!M$9,FALSE)</f>
        <v>143697.99467250583</v>
      </c>
      <c r="O99" s="145">
        <f>VLOOKUP($A99&amp;" NCP",'2016 PRIOR'!$A$13:$R$196,'2016 PRIOR'!N$9,FALSE)</f>
        <v>68168.578564909767</v>
      </c>
      <c r="P99" s="241"/>
      <c r="Q99" s="242"/>
      <c r="S99" s="44"/>
      <c r="T99" s="44"/>
      <c r="U99" s="243"/>
    </row>
    <row r="101" spans="1:21">
      <c r="A101" t="s">
        <v>69</v>
      </c>
      <c r="B101" t="s">
        <v>713</v>
      </c>
      <c r="C101" t="s">
        <v>1100</v>
      </c>
    </row>
    <row r="102" spans="1:21">
      <c r="A102" t="s">
        <v>69</v>
      </c>
      <c r="B102" t="s">
        <v>713</v>
      </c>
      <c r="C102" t="s">
        <v>557</v>
      </c>
      <c r="D102" s="4">
        <f>$D$8</f>
        <v>42370</v>
      </c>
      <c r="E102" s="4">
        <f>$E$8</f>
        <v>42401</v>
      </c>
      <c r="F102" s="4">
        <f>$F$8</f>
        <v>42430</v>
      </c>
      <c r="G102" s="4">
        <f>$G$8</f>
        <v>42461</v>
      </c>
      <c r="H102" s="4">
        <f>$H$8</f>
        <v>42491</v>
      </c>
      <c r="I102" s="4">
        <f>$I$8</f>
        <v>42522</v>
      </c>
      <c r="J102" s="4">
        <f>$J$8</f>
        <v>42552</v>
      </c>
      <c r="K102" s="4">
        <f>$K$8</f>
        <v>42583</v>
      </c>
      <c r="L102" s="4">
        <f>$L$8</f>
        <v>42614</v>
      </c>
      <c r="M102" s="4">
        <f>$M$8</f>
        <v>42644</v>
      </c>
      <c r="N102" s="4">
        <f>$N$8</f>
        <v>42675</v>
      </c>
      <c r="O102" s="4">
        <f>$O$8</f>
        <v>42705</v>
      </c>
    </row>
    <row r="103" spans="1:21">
      <c r="A103" t="s">
        <v>69</v>
      </c>
      <c r="B103" t="s">
        <v>713</v>
      </c>
      <c r="C103" s="240" t="s">
        <v>148</v>
      </c>
      <c r="D103" s="145">
        <f>VLOOKUP($A103&amp;" CP",'2016 PRIOR'!$A$13:$R$196,'2016 PRIOR'!C$9,FALSE)</f>
        <v>274233.81255131058</v>
      </c>
      <c r="E103" s="145">
        <f>VLOOKUP($A103&amp;" CP",'2016 PRIOR'!$A$13:$R$196,'2016 PRIOR'!D$9,FALSE)</f>
        <v>324585.25838294998</v>
      </c>
      <c r="F103" s="145">
        <f>VLOOKUP($A103&amp;" CP",'2016 PRIOR'!$A$13:$R$196,'2016 PRIOR'!E$9,FALSE)</f>
        <v>272616.02696433489</v>
      </c>
      <c r="G103" s="145">
        <f>VLOOKUP($A103&amp;" CP",'2016 PRIOR'!$A$13:$R$196,'2016 PRIOR'!F$9,FALSE)</f>
        <v>292754.72281176876</v>
      </c>
      <c r="H103" s="145">
        <f>VLOOKUP($A103&amp;" CP",'2016 PRIOR'!$A$13:$R$196,'2016 PRIOR'!G$9,FALSE)</f>
        <v>301135.56367963692</v>
      </c>
      <c r="I103" s="145">
        <f>VLOOKUP($A103&amp;" CP",'2016 PRIOR'!$A$13:$R$196,'2016 PRIOR'!H$9,FALSE)</f>
        <v>316514.04634749366</v>
      </c>
      <c r="J103" s="145">
        <f>VLOOKUP($A103&amp;" CP",'2016 PRIOR'!$A$13:$R$196,'2016 PRIOR'!I$9,FALSE)</f>
        <v>320156.65870253264</v>
      </c>
      <c r="K103" s="145">
        <f>VLOOKUP($A103&amp;" CP",'2016 PRIOR'!$A$13:$R$196,'2016 PRIOR'!J$9,FALSE)</f>
        <v>314295.6666411031</v>
      </c>
      <c r="L103" s="145">
        <f>VLOOKUP($A103&amp;" CP",'2016 PRIOR'!$A$13:$R$196,'2016 PRIOR'!K$9,FALSE)</f>
        <v>323165.94974180602</v>
      </c>
      <c r="M103" s="145">
        <f>VLOOKUP($A103&amp;" CP",'2016 PRIOR'!$A$13:$R$196,'2016 PRIOR'!L$9,FALSE)</f>
        <v>320163.01994051121</v>
      </c>
      <c r="N103" s="145">
        <f>VLOOKUP($A103&amp;" CP",'2016 PRIOR'!$A$13:$R$196,'2016 PRIOR'!M$9,FALSE)</f>
        <v>337913.93604631949</v>
      </c>
      <c r="O103" s="145">
        <f>VLOOKUP($A103&amp;" CP",'2016 PRIOR'!$A$13:$R$196,'2016 PRIOR'!N$9,FALSE)</f>
        <v>321396.71133426781</v>
      </c>
    </row>
    <row r="104" spans="1:21">
      <c r="A104" t="s">
        <v>69</v>
      </c>
      <c r="B104" t="s">
        <v>713</v>
      </c>
      <c r="C104" s="240" t="s">
        <v>147</v>
      </c>
      <c r="D104" s="145">
        <f>VLOOKUP($A104&amp;" GNCP",'2016 PRIOR'!$A$13:$R$196,'2016 PRIOR'!C$9,FALSE)</f>
        <v>358780.27182490664</v>
      </c>
      <c r="E104" s="145">
        <f>VLOOKUP($A104&amp;" GNCP",'2016 PRIOR'!$A$13:$R$196,'2016 PRIOR'!D$9,FALSE)</f>
        <v>336902.2495589641</v>
      </c>
      <c r="F104" s="145">
        <f>VLOOKUP($A104&amp;" GNCP",'2016 PRIOR'!$A$13:$R$196,'2016 PRIOR'!E$9,FALSE)</f>
        <v>323989.98201791767</v>
      </c>
      <c r="G104" s="145">
        <f>VLOOKUP($A104&amp;" GNCP",'2016 PRIOR'!$A$13:$R$196,'2016 PRIOR'!F$9,FALSE)</f>
        <v>331472.56921941409</v>
      </c>
      <c r="H104" s="145">
        <f>VLOOKUP($A104&amp;" GNCP",'2016 PRIOR'!$A$13:$R$196,'2016 PRIOR'!G$9,FALSE)</f>
        <v>336332.8253484022</v>
      </c>
      <c r="I104" s="145">
        <f>VLOOKUP($A104&amp;" GNCP",'2016 PRIOR'!$A$13:$R$196,'2016 PRIOR'!H$9,FALSE)</f>
        <v>349633.67796764756</v>
      </c>
      <c r="J104" s="145">
        <f>VLOOKUP($A104&amp;" GNCP",'2016 PRIOR'!$A$13:$R$196,'2016 PRIOR'!I$9,FALSE)</f>
        <v>354272.19587428332</v>
      </c>
      <c r="K104" s="145">
        <f>VLOOKUP($A104&amp;" GNCP",'2016 PRIOR'!$A$13:$R$196,'2016 PRIOR'!J$9,FALSE)</f>
        <v>349847.48983459972</v>
      </c>
      <c r="L104" s="145">
        <f>VLOOKUP($A104&amp;" GNCP",'2016 PRIOR'!$A$13:$R$196,'2016 PRIOR'!K$9,FALSE)</f>
        <v>367267.64958958019</v>
      </c>
      <c r="M104" s="145">
        <f>VLOOKUP($A104&amp;" GNCP",'2016 PRIOR'!$A$13:$R$196,'2016 PRIOR'!L$9,FALSE)</f>
        <v>348918.18222662574</v>
      </c>
      <c r="N104" s="145">
        <f>VLOOKUP($A104&amp;" GNCP",'2016 PRIOR'!$A$13:$R$196,'2016 PRIOR'!M$9,FALSE)</f>
        <v>361219.46483301284</v>
      </c>
      <c r="O104" s="145">
        <f>VLOOKUP($A104&amp;" GNCP",'2016 PRIOR'!$A$13:$R$196,'2016 PRIOR'!N$9,FALSE)</f>
        <v>359600.91844684788</v>
      </c>
    </row>
    <row r="105" spans="1:21">
      <c r="A105" t="s">
        <v>69</v>
      </c>
      <c r="B105" t="s">
        <v>713</v>
      </c>
      <c r="C105" s="240" t="s">
        <v>133</v>
      </c>
      <c r="D105" s="145">
        <f>VLOOKUP($A105&amp;" NCP",'2016 PRIOR'!$A$13:$R$196,'2016 PRIOR'!C$9,FALSE)</f>
        <v>443206.55806448543</v>
      </c>
      <c r="E105" s="145">
        <f>VLOOKUP($A105&amp;" NCP",'2016 PRIOR'!$A$13:$R$196,'2016 PRIOR'!D$9,FALSE)</f>
        <v>417594.15614291467</v>
      </c>
      <c r="F105" s="145">
        <f>VLOOKUP($A105&amp;" NCP",'2016 PRIOR'!$A$13:$R$196,'2016 PRIOR'!E$9,FALSE)</f>
        <v>402827.38503525796</v>
      </c>
      <c r="G105" s="145">
        <f>VLOOKUP($A105&amp;" NCP",'2016 PRIOR'!$A$13:$R$196,'2016 PRIOR'!F$9,FALSE)</f>
        <v>410699.9199473515</v>
      </c>
      <c r="H105" s="145">
        <f>VLOOKUP($A105&amp;" NCP",'2016 PRIOR'!$A$13:$R$196,'2016 PRIOR'!G$9,FALSE)</f>
        <v>419217.19838487863</v>
      </c>
      <c r="I105" s="145">
        <f>VLOOKUP($A105&amp;" NCP",'2016 PRIOR'!$A$13:$R$196,'2016 PRIOR'!H$9,FALSE)</f>
        <v>434917.06197134714</v>
      </c>
      <c r="J105" s="145">
        <f>VLOOKUP($A105&amp;" NCP",'2016 PRIOR'!$A$13:$R$196,'2016 PRIOR'!I$9,FALSE)</f>
        <v>442108.0114029618</v>
      </c>
      <c r="K105" s="145">
        <f>VLOOKUP($A105&amp;" NCP",'2016 PRIOR'!$A$13:$R$196,'2016 PRIOR'!J$9,FALSE)</f>
        <v>437328.6236678444</v>
      </c>
      <c r="L105" s="145">
        <f>VLOOKUP($A105&amp;" NCP",'2016 PRIOR'!$A$13:$R$196,'2016 PRIOR'!K$9,FALSE)</f>
        <v>458553.90741364477</v>
      </c>
      <c r="M105" s="145">
        <f>VLOOKUP($A105&amp;" NCP",'2016 PRIOR'!$A$13:$R$196,'2016 PRIOR'!L$9,FALSE)</f>
        <v>439392.40734356863</v>
      </c>
      <c r="N105" s="145">
        <f>VLOOKUP($A105&amp;" NCP",'2016 PRIOR'!$A$13:$R$196,'2016 PRIOR'!M$9,FALSE)</f>
        <v>442887.55636423564</v>
      </c>
      <c r="O105" s="145">
        <f>VLOOKUP($A105&amp;" NCP",'2016 PRIOR'!$A$13:$R$196,'2016 PRIOR'!N$9,FALSE)</f>
        <v>443493.86154914979</v>
      </c>
    </row>
    <row r="107" spans="1:21">
      <c r="A107" t="s">
        <v>52</v>
      </c>
      <c r="B107" t="s">
        <v>717</v>
      </c>
      <c r="C107" t="s">
        <v>1099</v>
      </c>
    </row>
    <row r="108" spans="1:21">
      <c r="A108" t="s">
        <v>52</v>
      </c>
      <c r="B108" t="s">
        <v>717</v>
      </c>
      <c r="C108" t="s">
        <v>557</v>
      </c>
      <c r="D108" s="4">
        <f>$D$8</f>
        <v>42370</v>
      </c>
      <c r="E108" s="4">
        <f>$E$8</f>
        <v>42401</v>
      </c>
      <c r="F108" s="4">
        <f>$F$8</f>
        <v>42430</v>
      </c>
      <c r="G108" s="4">
        <f>$G$8</f>
        <v>42461</v>
      </c>
      <c r="H108" s="4">
        <f>$H$8</f>
        <v>42491</v>
      </c>
      <c r="I108" s="4">
        <f>$I$8</f>
        <v>42522</v>
      </c>
      <c r="J108" s="4">
        <f>$J$8</f>
        <v>42552</v>
      </c>
      <c r="K108" s="4">
        <f>$K$8</f>
        <v>42583</v>
      </c>
      <c r="L108" s="4">
        <f>$L$8</f>
        <v>42614</v>
      </c>
      <c r="M108" s="4">
        <f>$M$8</f>
        <v>42644</v>
      </c>
      <c r="N108" s="4">
        <f>$N$8</f>
        <v>42675</v>
      </c>
      <c r="O108" s="4">
        <f>$O$8</f>
        <v>42705</v>
      </c>
    </row>
    <row r="109" spans="1:21">
      <c r="A109" t="s">
        <v>52</v>
      </c>
      <c r="B109" t="s">
        <v>717</v>
      </c>
      <c r="C109" s="240" t="s">
        <v>148</v>
      </c>
      <c r="D109" s="145">
        <f>VLOOKUP($A109&amp;" CP",'2016 PRIOR'!$A$13:$R$196,'2016 PRIOR'!C$9,FALSE)</f>
        <v>20193.152378748488</v>
      </c>
      <c r="E109" s="145">
        <f>VLOOKUP($A109&amp;" CP",'2016 PRIOR'!$A$13:$R$196,'2016 PRIOR'!D$9,FALSE)</f>
        <v>24697.326973628551</v>
      </c>
      <c r="F109" s="145">
        <f>VLOOKUP($A109&amp;" CP",'2016 PRIOR'!$A$13:$R$196,'2016 PRIOR'!E$9,FALSE)</f>
        <v>22109.858739119602</v>
      </c>
      <c r="G109" s="145">
        <f>VLOOKUP($A109&amp;" CP",'2016 PRIOR'!$A$13:$R$196,'2016 PRIOR'!F$9,FALSE)</f>
        <v>24502.24403637262</v>
      </c>
      <c r="H109" s="145">
        <f>VLOOKUP($A109&amp;" CP",'2016 PRIOR'!$A$13:$R$196,'2016 PRIOR'!G$9,FALSE)</f>
        <v>22345.938381176446</v>
      </c>
      <c r="I109" s="145">
        <f>VLOOKUP($A109&amp;" CP",'2016 PRIOR'!$A$13:$R$196,'2016 PRIOR'!H$9,FALSE)</f>
        <v>24826.542767725598</v>
      </c>
      <c r="J109" s="145">
        <f>VLOOKUP($A109&amp;" CP",'2016 PRIOR'!$A$13:$R$196,'2016 PRIOR'!I$9,FALSE)</f>
        <v>20995.653992824406</v>
      </c>
      <c r="K109" s="145">
        <f>VLOOKUP($A109&amp;" CP",'2016 PRIOR'!$A$13:$R$196,'2016 PRIOR'!J$9,FALSE)</f>
        <v>22962.40860328242</v>
      </c>
      <c r="L109" s="145">
        <f>VLOOKUP($A109&amp;" CP",'2016 PRIOR'!$A$13:$R$196,'2016 PRIOR'!K$9,FALSE)</f>
        <v>18532.223476679894</v>
      </c>
      <c r="M109" s="145">
        <f>VLOOKUP($A109&amp;" CP",'2016 PRIOR'!$A$13:$R$196,'2016 PRIOR'!L$9,FALSE)</f>
        <v>20530.038591328521</v>
      </c>
      <c r="N109" s="145">
        <f>VLOOKUP($A109&amp;" CP",'2016 PRIOR'!$A$13:$R$196,'2016 PRIOR'!M$9,FALSE)</f>
        <v>17741.49215805337</v>
      </c>
      <c r="O109" s="145">
        <f>VLOOKUP($A109&amp;" CP",'2016 PRIOR'!$A$13:$R$196,'2016 PRIOR'!N$9,FALSE)</f>
        <v>16492.265311727941</v>
      </c>
    </row>
    <row r="110" spans="1:21">
      <c r="A110" t="s">
        <v>52</v>
      </c>
      <c r="B110" t="s">
        <v>717</v>
      </c>
      <c r="C110" s="240" t="s">
        <v>147</v>
      </c>
      <c r="D110" s="145">
        <f>VLOOKUP($A110&amp;" GNCP",'2016 PRIOR'!$A$13:$R$196,'2016 PRIOR'!C$9,FALSE)</f>
        <v>26781.36750865974</v>
      </c>
      <c r="E110" s="145">
        <f>VLOOKUP($A110&amp;" GNCP",'2016 PRIOR'!$A$13:$R$196,'2016 PRIOR'!D$9,FALSE)</f>
        <v>34175.611078731978</v>
      </c>
      <c r="F110" s="145">
        <f>VLOOKUP($A110&amp;" GNCP",'2016 PRIOR'!$A$13:$R$196,'2016 PRIOR'!E$9,FALSE)</f>
        <v>28221.723849800863</v>
      </c>
      <c r="G110" s="145">
        <f>VLOOKUP($A110&amp;" GNCP",'2016 PRIOR'!$A$13:$R$196,'2016 PRIOR'!F$9,FALSE)</f>
        <v>31233.333859702281</v>
      </c>
      <c r="H110" s="145">
        <f>VLOOKUP($A110&amp;" GNCP",'2016 PRIOR'!$A$13:$R$196,'2016 PRIOR'!G$9,FALSE)</f>
        <v>30727.745385050453</v>
      </c>
      <c r="I110" s="145">
        <f>VLOOKUP($A110&amp;" GNCP",'2016 PRIOR'!$A$13:$R$196,'2016 PRIOR'!H$9,FALSE)</f>
        <v>33324.186596511689</v>
      </c>
      <c r="J110" s="145">
        <f>VLOOKUP($A110&amp;" GNCP",'2016 PRIOR'!$A$13:$R$196,'2016 PRIOR'!I$9,FALSE)</f>
        <v>25406.658384684375</v>
      </c>
      <c r="K110" s="145">
        <f>VLOOKUP($A110&amp;" GNCP",'2016 PRIOR'!$A$13:$R$196,'2016 PRIOR'!J$9,FALSE)</f>
        <v>28392.232140624565</v>
      </c>
      <c r="L110" s="145">
        <f>VLOOKUP($A110&amp;" GNCP",'2016 PRIOR'!$A$13:$R$196,'2016 PRIOR'!K$9,FALSE)</f>
        <v>27094.155432733452</v>
      </c>
      <c r="M110" s="145">
        <f>VLOOKUP($A110&amp;" GNCP",'2016 PRIOR'!$A$13:$R$196,'2016 PRIOR'!L$9,FALSE)</f>
        <v>26673.284376591753</v>
      </c>
      <c r="N110" s="145">
        <f>VLOOKUP($A110&amp;" GNCP",'2016 PRIOR'!$A$13:$R$196,'2016 PRIOR'!M$9,FALSE)</f>
        <v>24877.037318365052</v>
      </c>
      <c r="O110" s="145">
        <f>VLOOKUP($A110&amp;" GNCP",'2016 PRIOR'!$A$13:$R$196,'2016 PRIOR'!N$9,FALSE)</f>
        <v>24999.020867905972</v>
      </c>
    </row>
    <row r="111" spans="1:21">
      <c r="A111" t="s">
        <v>52</v>
      </c>
      <c r="B111" t="s">
        <v>717</v>
      </c>
      <c r="C111" s="240" t="s">
        <v>133</v>
      </c>
      <c r="D111" s="145">
        <f>VLOOKUP($A111&amp;" NCP",'2016 PRIOR'!$A$13:$R$196,'2016 PRIOR'!C$9,FALSE)</f>
        <v>34167.844540610349</v>
      </c>
      <c r="E111" s="145">
        <f>VLOOKUP($A111&amp;" NCP",'2016 PRIOR'!$A$13:$R$196,'2016 PRIOR'!D$9,FALSE)</f>
        <v>40441.026214514146</v>
      </c>
      <c r="F111" s="145">
        <f>VLOOKUP($A111&amp;" NCP",'2016 PRIOR'!$A$13:$R$196,'2016 PRIOR'!E$9,FALSE)</f>
        <v>35560.190467100452</v>
      </c>
      <c r="G111" s="145">
        <f>VLOOKUP($A111&amp;" NCP",'2016 PRIOR'!$A$13:$R$196,'2016 PRIOR'!F$9,FALSE)</f>
        <v>36901.464479298986</v>
      </c>
      <c r="H111" s="145">
        <f>VLOOKUP($A111&amp;" NCP",'2016 PRIOR'!$A$13:$R$196,'2016 PRIOR'!G$9,FALSE)</f>
        <v>37611.17914696956</v>
      </c>
      <c r="I111" s="145">
        <f>VLOOKUP($A111&amp;" NCP",'2016 PRIOR'!$A$13:$R$196,'2016 PRIOR'!H$9,FALSE)</f>
        <v>40798.709962277142</v>
      </c>
      <c r="J111" s="145">
        <f>VLOOKUP($A111&amp;" NCP",'2016 PRIOR'!$A$13:$R$196,'2016 PRIOR'!I$9,FALSE)</f>
        <v>32881.384867279623</v>
      </c>
      <c r="K111" s="145">
        <f>VLOOKUP($A111&amp;" NCP",'2016 PRIOR'!$A$13:$R$196,'2016 PRIOR'!J$9,FALSE)</f>
        <v>32098.219173590944</v>
      </c>
      <c r="L111" s="145">
        <f>VLOOKUP($A111&amp;" NCP",'2016 PRIOR'!$A$13:$R$196,'2016 PRIOR'!K$9,FALSE)</f>
        <v>32689.520478589446</v>
      </c>
      <c r="M111" s="145">
        <f>VLOOKUP($A111&amp;" NCP",'2016 PRIOR'!$A$13:$R$196,'2016 PRIOR'!L$9,FALSE)</f>
        <v>32229.541978275745</v>
      </c>
      <c r="N111" s="145">
        <f>VLOOKUP($A111&amp;" NCP",'2016 PRIOR'!$A$13:$R$196,'2016 PRIOR'!M$9,FALSE)</f>
        <v>33527.087689575899</v>
      </c>
      <c r="O111" s="145">
        <f>VLOOKUP($A111&amp;" NCP",'2016 PRIOR'!$A$13:$R$196,'2016 PRIOR'!N$9,FALSE)</f>
        <v>31748.717356108817</v>
      </c>
    </row>
    <row r="113" spans="1:15">
      <c r="A113" t="s">
        <v>603</v>
      </c>
      <c r="B113" t="s">
        <v>603</v>
      </c>
      <c r="C113" t="s">
        <v>1118</v>
      </c>
    </row>
    <row r="114" spans="1:15">
      <c r="A114" t="s">
        <v>603</v>
      </c>
      <c r="B114" t="s">
        <v>603</v>
      </c>
      <c r="C114" t="s">
        <v>557</v>
      </c>
      <c r="D114" s="4">
        <f>$D$8</f>
        <v>42370</v>
      </c>
      <c r="E114" s="4">
        <f>$E$8</f>
        <v>42401</v>
      </c>
      <c r="F114" s="4">
        <f>$F$8</f>
        <v>42430</v>
      </c>
      <c r="G114" s="4">
        <f>$G$8</f>
        <v>42461</v>
      </c>
      <c r="H114" s="4">
        <f>$H$8</f>
        <v>42491</v>
      </c>
      <c r="I114" s="4">
        <f>$I$8</f>
        <v>42522</v>
      </c>
      <c r="J114" s="4">
        <f>$J$8</f>
        <v>42552</v>
      </c>
      <c r="K114" s="4">
        <f>$K$8</f>
        <v>42583</v>
      </c>
      <c r="L114" s="4">
        <f>$L$8</f>
        <v>42614</v>
      </c>
      <c r="M114" s="4">
        <f>$M$8</f>
        <v>42644</v>
      </c>
      <c r="N114" s="4">
        <f>$N$8</f>
        <v>42675</v>
      </c>
      <c r="O114" s="4">
        <f>$O$8</f>
        <v>42705</v>
      </c>
    </row>
    <row r="115" spans="1:15">
      <c r="A115" t="s">
        <v>603</v>
      </c>
      <c r="B115" t="s">
        <v>603</v>
      </c>
      <c r="C115" s="240" t="s">
        <v>148</v>
      </c>
      <c r="D115" s="145">
        <f>VLOOKUP($A115&amp;" CP",'2016 PRIOR'!$A$13:$R$196,'2016 PRIOR'!C$9,FALSE)</f>
        <v>9000</v>
      </c>
      <c r="E115" s="145">
        <f>VLOOKUP($A115&amp;" CP",'2016 PRIOR'!$A$13:$R$196,'2016 PRIOR'!D$9,FALSE)</f>
        <v>9000</v>
      </c>
      <c r="F115" s="145">
        <f>VLOOKUP($A115&amp;" CP",'2016 PRIOR'!$A$13:$R$196,'2016 PRIOR'!E$9,FALSE)</f>
        <v>9000</v>
      </c>
      <c r="G115" s="145">
        <f>VLOOKUP($A115&amp;" CP",'2016 PRIOR'!$A$13:$R$196,'2016 PRIOR'!F$9,FALSE)</f>
        <v>9000</v>
      </c>
      <c r="H115" s="145">
        <f>VLOOKUP($A115&amp;" CP",'2016 PRIOR'!$A$13:$R$196,'2016 PRIOR'!G$9,FALSE)</f>
        <v>9000</v>
      </c>
      <c r="I115" s="145">
        <f>VLOOKUP($A115&amp;" CP",'2016 PRIOR'!$A$13:$R$196,'2016 PRIOR'!H$9,FALSE)</f>
        <v>9000</v>
      </c>
      <c r="J115" s="145">
        <f>VLOOKUP($A115&amp;" CP",'2016 PRIOR'!$A$13:$R$196,'2016 PRIOR'!I$9,FALSE)</f>
        <v>9000</v>
      </c>
      <c r="K115" s="145">
        <f>VLOOKUP($A115&amp;" CP",'2016 PRIOR'!$A$13:$R$196,'2016 PRIOR'!J$9,FALSE)</f>
        <v>9000</v>
      </c>
      <c r="L115" s="145">
        <f>VLOOKUP($A115&amp;" CP",'2016 PRIOR'!$A$13:$R$196,'2016 PRIOR'!K$9,FALSE)</f>
        <v>9000</v>
      </c>
      <c r="M115" s="145">
        <f>VLOOKUP($A115&amp;" CP",'2016 PRIOR'!$A$13:$R$196,'2016 PRIOR'!L$9,FALSE)</f>
        <v>9000</v>
      </c>
      <c r="N115" s="145">
        <f>VLOOKUP($A115&amp;" CP",'2016 PRIOR'!$A$13:$R$196,'2016 PRIOR'!M$9,FALSE)</f>
        <v>9000</v>
      </c>
      <c r="O115" s="145">
        <f>VLOOKUP($A115&amp;" CP",'2016 PRIOR'!$A$13:$R$196,'2016 PRIOR'!N$9,FALSE)</f>
        <v>9000</v>
      </c>
    </row>
    <row r="116" spans="1:15">
      <c r="A116" t="s">
        <v>603</v>
      </c>
      <c r="B116" t="s">
        <v>603</v>
      </c>
      <c r="C116" s="240" t="s">
        <v>147</v>
      </c>
      <c r="D116" s="145">
        <f>VLOOKUP($A116&amp;" GNCP",'2016 PRIOR'!$A$13:$R$196,'2016 PRIOR'!C$9,FALSE)</f>
        <v>9000</v>
      </c>
      <c r="E116" s="145">
        <f>VLOOKUP($A116&amp;" GNCP",'2016 PRIOR'!$A$13:$R$196,'2016 PRIOR'!D$9,FALSE)</f>
        <v>9000</v>
      </c>
      <c r="F116" s="145">
        <f>VLOOKUP($A116&amp;" GNCP",'2016 PRIOR'!$A$13:$R$196,'2016 PRIOR'!E$9,FALSE)</f>
        <v>9000</v>
      </c>
      <c r="G116" s="145">
        <f>VLOOKUP($A116&amp;" GNCP",'2016 PRIOR'!$A$13:$R$196,'2016 PRIOR'!F$9,FALSE)</f>
        <v>9000</v>
      </c>
      <c r="H116" s="145">
        <f>VLOOKUP($A116&amp;" GNCP",'2016 PRIOR'!$A$13:$R$196,'2016 PRIOR'!G$9,FALSE)</f>
        <v>9000</v>
      </c>
      <c r="I116" s="145">
        <f>VLOOKUP($A116&amp;" GNCP",'2016 PRIOR'!$A$13:$R$196,'2016 PRIOR'!H$9,FALSE)</f>
        <v>9000</v>
      </c>
      <c r="J116" s="145">
        <f>VLOOKUP($A116&amp;" GNCP",'2016 PRIOR'!$A$13:$R$196,'2016 PRIOR'!I$9,FALSE)</f>
        <v>9000</v>
      </c>
      <c r="K116" s="145">
        <f>VLOOKUP($A116&amp;" GNCP",'2016 PRIOR'!$A$13:$R$196,'2016 PRIOR'!J$9,FALSE)</f>
        <v>9000</v>
      </c>
      <c r="L116" s="145">
        <f>VLOOKUP($A116&amp;" GNCP",'2016 PRIOR'!$A$13:$R$196,'2016 PRIOR'!K$9,FALSE)</f>
        <v>9000</v>
      </c>
      <c r="M116" s="145">
        <f>VLOOKUP($A116&amp;" GNCP",'2016 PRIOR'!$A$13:$R$196,'2016 PRIOR'!L$9,FALSE)</f>
        <v>9000</v>
      </c>
      <c r="N116" s="145">
        <f>VLOOKUP($A116&amp;" GNCP",'2016 PRIOR'!$A$13:$R$196,'2016 PRIOR'!M$9,FALSE)</f>
        <v>9000</v>
      </c>
      <c r="O116" s="145">
        <f>VLOOKUP($A116&amp;" GNCP",'2016 PRIOR'!$A$13:$R$196,'2016 PRIOR'!N$9,FALSE)</f>
        <v>9000</v>
      </c>
    </row>
    <row r="117" spans="1:15">
      <c r="A117" t="s">
        <v>603</v>
      </c>
      <c r="B117" t="s">
        <v>603</v>
      </c>
      <c r="C117" s="240" t="s">
        <v>133</v>
      </c>
      <c r="D117" s="145">
        <f>VLOOKUP($A117&amp;" NCP",'2016 PRIOR'!$A$13:$R$196,'2016 PRIOR'!C$9,FALSE)</f>
        <v>9000</v>
      </c>
      <c r="E117" s="145">
        <f>VLOOKUP($A117&amp;" NCP",'2016 PRIOR'!$A$13:$R$196,'2016 PRIOR'!D$9,FALSE)</f>
        <v>9000</v>
      </c>
      <c r="F117" s="145">
        <f>VLOOKUP($A117&amp;" NCP",'2016 PRIOR'!$A$13:$R$196,'2016 PRIOR'!E$9,FALSE)</f>
        <v>9000</v>
      </c>
      <c r="G117" s="145">
        <f>VLOOKUP($A117&amp;" NCP",'2016 PRIOR'!$A$13:$R$196,'2016 PRIOR'!F$9,FALSE)</f>
        <v>9000</v>
      </c>
      <c r="H117" s="145">
        <f>VLOOKUP($A117&amp;" NCP",'2016 PRIOR'!$A$13:$R$196,'2016 PRIOR'!G$9,FALSE)</f>
        <v>9000</v>
      </c>
      <c r="I117" s="145">
        <f>VLOOKUP($A117&amp;" NCP",'2016 PRIOR'!$A$13:$R$196,'2016 PRIOR'!H$9,FALSE)</f>
        <v>9000</v>
      </c>
      <c r="J117" s="145">
        <f>VLOOKUP($A117&amp;" NCP",'2016 PRIOR'!$A$13:$R$196,'2016 PRIOR'!I$9,FALSE)</f>
        <v>9000</v>
      </c>
      <c r="K117" s="145">
        <f>VLOOKUP($A117&amp;" NCP",'2016 PRIOR'!$A$13:$R$196,'2016 PRIOR'!J$9,FALSE)</f>
        <v>9000</v>
      </c>
      <c r="L117" s="145">
        <f>VLOOKUP($A117&amp;" NCP",'2016 PRIOR'!$A$13:$R$196,'2016 PRIOR'!K$9,FALSE)</f>
        <v>9000</v>
      </c>
      <c r="M117" s="145">
        <f>VLOOKUP($A117&amp;" NCP",'2016 PRIOR'!$A$13:$R$196,'2016 PRIOR'!L$9,FALSE)</f>
        <v>9000</v>
      </c>
      <c r="N117" s="145">
        <f>VLOOKUP($A117&amp;" NCP",'2016 PRIOR'!$A$13:$R$196,'2016 PRIOR'!M$9,FALSE)</f>
        <v>9000</v>
      </c>
      <c r="O117" s="145">
        <f>VLOOKUP($A117&amp;" NCP",'2016 PRIOR'!$A$13:$R$196,'2016 PRIOR'!N$9,FALSE)</f>
        <v>9000</v>
      </c>
    </row>
    <row r="119" spans="1:15">
      <c r="A119" t="s">
        <v>1192</v>
      </c>
      <c r="B119" t="s">
        <v>1192</v>
      </c>
      <c r="C119" t="s">
        <v>1114</v>
      </c>
    </row>
    <row r="120" spans="1:15">
      <c r="A120" t="s">
        <v>1192</v>
      </c>
      <c r="B120" t="s">
        <v>1192</v>
      </c>
      <c r="C120" t="s">
        <v>557</v>
      </c>
      <c r="D120" s="4">
        <f>$D$8</f>
        <v>42370</v>
      </c>
      <c r="E120" s="4">
        <f>$E$8</f>
        <v>42401</v>
      </c>
      <c r="F120" s="4">
        <f>$F$8</f>
        <v>42430</v>
      </c>
      <c r="G120" s="4">
        <f>$G$8</f>
        <v>42461</v>
      </c>
      <c r="H120" s="4">
        <f>$H$8</f>
        <v>42491</v>
      </c>
      <c r="I120" s="4">
        <f>$I$8</f>
        <v>42522</v>
      </c>
      <c r="J120" s="4">
        <f>$J$8</f>
        <v>42552</v>
      </c>
      <c r="K120" s="4">
        <f>$K$8</f>
        <v>42583</v>
      </c>
      <c r="L120" s="4">
        <f>$L$8</f>
        <v>42614</v>
      </c>
      <c r="M120" s="4">
        <f>$M$8</f>
        <v>42644</v>
      </c>
      <c r="N120" s="4">
        <f>$N$8</f>
        <v>42675</v>
      </c>
      <c r="O120" s="4">
        <f>$O$8</f>
        <v>42705</v>
      </c>
    </row>
    <row r="121" spans="1:15">
      <c r="A121" t="s">
        <v>1192</v>
      </c>
      <c r="B121" t="s">
        <v>1192</v>
      </c>
      <c r="C121" s="240" t="s">
        <v>148</v>
      </c>
      <c r="D121" s="145">
        <f>VLOOKUP($A121&amp;" CP",'2016 PRIOR'!$A$13:$R$196,'2016 PRIOR'!C$9,FALSE)</f>
        <v>18000</v>
      </c>
      <c r="E121" s="145">
        <f>VLOOKUP($A121&amp;" CP",'2016 PRIOR'!$A$13:$R$196,'2016 PRIOR'!D$9,FALSE)</f>
        <v>0</v>
      </c>
      <c r="F121" s="145">
        <f>VLOOKUP($A121&amp;" CP",'2016 PRIOR'!$A$13:$R$196,'2016 PRIOR'!E$9,FALSE)</f>
        <v>0</v>
      </c>
      <c r="G121" s="145">
        <f>VLOOKUP($A121&amp;" CP",'2016 PRIOR'!$A$13:$R$196,'2016 PRIOR'!F$9,FALSE)</f>
        <v>0</v>
      </c>
      <c r="H121" s="145">
        <f>VLOOKUP($A121&amp;" CP",'2016 PRIOR'!$A$13:$R$196,'2016 PRIOR'!G$9,FALSE)</f>
        <v>0</v>
      </c>
      <c r="I121" s="145">
        <f>VLOOKUP($A121&amp;" CP",'2016 PRIOR'!$A$13:$R$196,'2016 PRIOR'!H$9,FALSE)</f>
        <v>0</v>
      </c>
      <c r="J121" s="145">
        <f>VLOOKUP($A121&amp;" CP",'2016 PRIOR'!$A$13:$R$196,'2016 PRIOR'!I$9,FALSE)</f>
        <v>0</v>
      </c>
      <c r="K121" s="145">
        <f>VLOOKUP($A121&amp;" CP",'2016 PRIOR'!$A$13:$R$196,'2016 PRIOR'!J$9,FALSE)</f>
        <v>18000</v>
      </c>
      <c r="L121" s="145">
        <f>VLOOKUP($A121&amp;" CP",'2016 PRIOR'!$A$13:$R$196,'2016 PRIOR'!K$9,FALSE)</f>
        <v>0</v>
      </c>
      <c r="M121" s="145">
        <f>VLOOKUP($A121&amp;" CP",'2016 PRIOR'!$A$13:$R$196,'2016 PRIOR'!L$9,FALSE)</f>
        <v>0</v>
      </c>
      <c r="N121" s="145">
        <f>VLOOKUP($A121&amp;" CP",'2016 PRIOR'!$A$13:$R$196,'2016 PRIOR'!M$9,FALSE)</f>
        <v>0</v>
      </c>
      <c r="O121" s="145">
        <f>VLOOKUP($A121&amp;" CP",'2016 PRIOR'!$A$13:$R$196,'2016 PRIOR'!N$9,FALSE)</f>
        <v>0</v>
      </c>
    </row>
    <row r="122" spans="1:15">
      <c r="A122" t="s">
        <v>1192</v>
      </c>
      <c r="B122" t="s">
        <v>1192</v>
      </c>
      <c r="C122" s="240" t="s">
        <v>147</v>
      </c>
      <c r="D122" s="145">
        <f>VLOOKUP($A122&amp;" GNCP",'2016 PRIOR'!$A$13:$R$196,'2016 PRIOR'!C$9,FALSE)</f>
        <v>18000</v>
      </c>
      <c r="E122" s="145">
        <f>VLOOKUP($A122&amp;" GNCP",'2016 PRIOR'!$A$13:$R$196,'2016 PRIOR'!D$9,FALSE)</f>
        <v>0</v>
      </c>
      <c r="F122" s="145">
        <f>VLOOKUP($A122&amp;" GNCP",'2016 PRIOR'!$A$13:$R$196,'2016 PRIOR'!E$9,FALSE)</f>
        <v>0</v>
      </c>
      <c r="G122" s="145">
        <f>VLOOKUP($A122&amp;" GNCP",'2016 PRIOR'!$A$13:$R$196,'2016 PRIOR'!F$9,FALSE)</f>
        <v>0</v>
      </c>
      <c r="H122" s="145">
        <f>VLOOKUP($A122&amp;" GNCP",'2016 PRIOR'!$A$13:$R$196,'2016 PRIOR'!G$9,FALSE)</f>
        <v>0</v>
      </c>
      <c r="I122" s="145">
        <f>VLOOKUP($A122&amp;" GNCP",'2016 PRIOR'!$A$13:$R$196,'2016 PRIOR'!H$9,FALSE)</f>
        <v>0</v>
      </c>
      <c r="J122" s="145">
        <f>VLOOKUP($A122&amp;" GNCP",'2016 PRIOR'!$A$13:$R$196,'2016 PRIOR'!I$9,FALSE)</f>
        <v>0</v>
      </c>
      <c r="K122" s="145">
        <f>VLOOKUP($A122&amp;" GNCP",'2016 PRIOR'!$A$13:$R$196,'2016 PRIOR'!J$9,FALSE)</f>
        <v>18000</v>
      </c>
      <c r="L122" s="145">
        <f>VLOOKUP($A122&amp;" GNCP",'2016 PRIOR'!$A$13:$R$196,'2016 PRIOR'!K$9,FALSE)</f>
        <v>0</v>
      </c>
      <c r="M122" s="145">
        <f>VLOOKUP($A122&amp;" GNCP",'2016 PRIOR'!$A$13:$R$196,'2016 PRIOR'!L$9,FALSE)</f>
        <v>0</v>
      </c>
      <c r="N122" s="145">
        <f>VLOOKUP($A122&amp;" GNCP",'2016 PRIOR'!$A$13:$R$196,'2016 PRIOR'!M$9,FALSE)</f>
        <v>0</v>
      </c>
      <c r="O122" s="145">
        <f>VLOOKUP($A122&amp;" GNCP",'2016 PRIOR'!$A$13:$R$196,'2016 PRIOR'!N$9,FALSE)</f>
        <v>0</v>
      </c>
    </row>
    <row r="123" spans="1:15">
      <c r="A123" t="s">
        <v>1192</v>
      </c>
      <c r="B123" t="s">
        <v>1192</v>
      </c>
      <c r="C123" s="240" t="s">
        <v>133</v>
      </c>
      <c r="D123" s="145">
        <f>VLOOKUP($A123&amp;" NCP",'2016 PRIOR'!$A$13:$R$196,'2016 PRIOR'!C$9,FALSE)</f>
        <v>18000</v>
      </c>
      <c r="E123" s="145">
        <f>VLOOKUP($A123&amp;" NCP",'2016 PRIOR'!$A$13:$R$196,'2016 PRIOR'!D$9,FALSE)</f>
        <v>0</v>
      </c>
      <c r="F123" s="145">
        <f>VLOOKUP($A123&amp;" NCP",'2016 PRIOR'!$A$13:$R$196,'2016 PRIOR'!E$9,FALSE)</f>
        <v>0</v>
      </c>
      <c r="G123" s="145">
        <f>VLOOKUP($A123&amp;" NCP",'2016 PRIOR'!$A$13:$R$196,'2016 PRIOR'!F$9,FALSE)</f>
        <v>0</v>
      </c>
      <c r="H123" s="145">
        <f>VLOOKUP($A123&amp;" NCP",'2016 PRIOR'!$A$13:$R$196,'2016 PRIOR'!G$9,FALSE)</f>
        <v>0</v>
      </c>
      <c r="I123" s="145">
        <f>VLOOKUP($A123&amp;" NCP",'2016 PRIOR'!$A$13:$R$196,'2016 PRIOR'!H$9,FALSE)</f>
        <v>0</v>
      </c>
      <c r="J123" s="145">
        <f>VLOOKUP($A123&amp;" NCP",'2016 PRIOR'!$A$13:$R$196,'2016 PRIOR'!I$9,FALSE)</f>
        <v>0</v>
      </c>
      <c r="K123" s="145">
        <f>VLOOKUP($A123&amp;" NCP",'2016 PRIOR'!$A$13:$R$196,'2016 PRIOR'!J$9,FALSE)</f>
        <v>18000</v>
      </c>
      <c r="L123" s="145">
        <f>VLOOKUP($A123&amp;" NCP",'2016 PRIOR'!$A$13:$R$196,'2016 PRIOR'!K$9,FALSE)</f>
        <v>0</v>
      </c>
      <c r="M123" s="145">
        <f>VLOOKUP($A123&amp;" NCP",'2016 PRIOR'!$A$13:$R$196,'2016 PRIOR'!L$9,FALSE)</f>
        <v>0</v>
      </c>
      <c r="N123" s="145">
        <f>VLOOKUP($A123&amp;" NCP",'2016 PRIOR'!$A$13:$R$196,'2016 PRIOR'!M$9,FALSE)</f>
        <v>0</v>
      </c>
      <c r="O123" s="145">
        <f>VLOOKUP($A123&amp;" NCP",'2016 PRIOR'!$A$13:$R$196,'2016 PRIOR'!N$9,FALSE)</f>
        <v>0</v>
      </c>
    </row>
    <row r="125" spans="1:15">
      <c r="A125" t="s">
        <v>983</v>
      </c>
      <c r="B125" t="s">
        <v>245</v>
      </c>
      <c r="C125" t="s">
        <v>1114</v>
      </c>
    </row>
    <row r="126" spans="1:15">
      <c r="A126" t="s">
        <v>983</v>
      </c>
      <c r="B126" t="s">
        <v>245</v>
      </c>
      <c r="C126" t="s">
        <v>557</v>
      </c>
      <c r="D126" s="4">
        <f>$D$8</f>
        <v>42370</v>
      </c>
      <c r="E126" s="4">
        <f>$E$8</f>
        <v>42401</v>
      </c>
      <c r="F126" s="4">
        <f>$F$8</f>
        <v>42430</v>
      </c>
      <c r="G126" s="4">
        <f>$G$8</f>
        <v>42461</v>
      </c>
      <c r="H126" s="4">
        <f>$H$8</f>
        <v>42491</v>
      </c>
      <c r="I126" s="4">
        <f>$I$8</f>
        <v>42522</v>
      </c>
      <c r="J126" s="4">
        <f>$J$8</f>
        <v>42552</v>
      </c>
      <c r="K126" s="4">
        <f>$K$8</f>
        <v>42583</v>
      </c>
      <c r="L126" s="4">
        <f>$L$8</f>
        <v>42614</v>
      </c>
      <c r="M126" s="4">
        <f>$M$8</f>
        <v>42644</v>
      </c>
      <c r="N126" s="4">
        <f>$N$8</f>
        <v>42675</v>
      </c>
      <c r="O126" s="4">
        <f>$O$8</f>
        <v>42705</v>
      </c>
    </row>
    <row r="127" spans="1:15">
      <c r="A127" t="s">
        <v>983</v>
      </c>
      <c r="B127" t="s">
        <v>245</v>
      </c>
      <c r="C127" s="240" t="s">
        <v>148</v>
      </c>
      <c r="D127" s="145">
        <f>VLOOKUP($A127&amp;" CP",'2016 PRIOR'!$A$13:$R$196,'2016 PRIOR'!C$9,FALSE)</f>
        <v>111353.81326672707</v>
      </c>
      <c r="E127" s="145">
        <f>VLOOKUP($A127&amp;" CP",'2016 PRIOR'!$A$13:$R$196,'2016 PRIOR'!D$9,FALSE)</f>
        <v>118484.45422819506</v>
      </c>
      <c r="F127" s="145">
        <f>VLOOKUP($A127&amp;" CP",'2016 PRIOR'!$A$13:$R$196,'2016 PRIOR'!E$9,FALSE)</f>
        <v>112438.25044284546</v>
      </c>
      <c r="G127" s="145">
        <f>VLOOKUP($A127&amp;" CP",'2016 PRIOR'!$A$13:$R$196,'2016 PRIOR'!F$9,FALSE)</f>
        <v>133526.34481025918</v>
      </c>
      <c r="H127" s="145">
        <f>VLOOKUP($A127&amp;" CP",'2016 PRIOR'!$A$13:$R$196,'2016 PRIOR'!G$9,FALSE)</f>
        <v>141937.14102220008</v>
      </c>
      <c r="I127" s="145">
        <f>VLOOKUP($A127&amp;" CP",'2016 PRIOR'!$A$13:$R$196,'2016 PRIOR'!H$9,FALSE)</f>
        <v>146075.34722002738</v>
      </c>
      <c r="J127" s="145">
        <f>VLOOKUP($A127&amp;" CP",'2016 PRIOR'!$A$13:$R$196,'2016 PRIOR'!I$9,FALSE)</f>
        <v>158236.37941839121</v>
      </c>
      <c r="K127" s="145">
        <f>VLOOKUP($A127&amp;" CP",'2016 PRIOR'!$A$13:$R$196,'2016 PRIOR'!J$9,FALSE)</f>
        <v>154358.27806108212</v>
      </c>
      <c r="L127" s="145">
        <f>VLOOKUP($A127&amp;" CP",'2016 PRIOR'!$A$13:$R$196,'2016 PRIOR'!K$9,FALSE)</f>
        <v>142401.98851323352</v>
      </c>
      <c r="M127" s="145">
        <f>VLOOKUP($A127&amp;" CP",'2016 PRIOR'!$A$13:$R$196,'2016 PRIOR'!L$9,FALSE)</f>
        <v>136147.86179669018</v>
      </c>
      <c r="N127" s="145">
        <f>VLOOKUP($A127&amp;" CP",'2016 PRIOR'!$A$13:$R$196,'2016 PRIOR'!M$9,FALSE)</f>
        <v>120787.11155826182</v>
      </c>
      <c r="O127" s="145">
        <f>VLOOKUP($A127&amp;" CP",'2016 PRIOR'!$A$13:$R$196,'2016 PRIOR'!N$9,FALSE)</f>
        <v>115128.13163669655</v>
      </c>
    </row>
    <row r="128" spans="1:15">
      <c r="A128" t="s">
        <v>983</v>
      </c>
      <c r="B128" t="s">
        <v>245</v>
      </c>
      <c r="C128" s="240" t="s">
        <v>147</v>
      </c>
      <c r="D128" s="145">
        <f>VLOOKUP($A128&amp;" GNCP",'2016 PRIOR'!$A$13:$R$196,'2016 PRIOR'!C$9,FALSE)</f>
        <v>125878.30577434346</v>
      </c>
      <c r="E128" s="145">
        <f>VLOOKUP($A128&amp;" GNCP",'2016 PRIOR'!$A$13:$R$196,'2016 PRIOR'!D$9,FALSE)</f>
        <v>124505.42302944943</v>
      </c>
      <c r="F128" s="145">
        <f>VLOOKUP($A128&amp;" GNCP",'2016 PRIOR'!$A$13:$R$196,'2016 PRIOR'!E$9,FALSE)</f>
        <v>131765.55744172979</v>
      </c>
      <c r="G128" s="145">
        <f>VLOOKUP($A128&amp;" GNCP",'2016 PRIOR'!$A$13:$R$196,'2016 PRIOR'!F$9,FALSE)</f>
        <v>136962.79530378565</v>
      </c>
      <c r="H128" s="145">
        <f>VLOOKUP($A128&amp;" GNCP",'2016 PRIOR'!$A$13:$R$196,'2016 PRIOR'!G$9,FALSE)</f>
        <v>149960.02471113132</v>
      </c>
      <c r="I128" s="145">
        <f>VLOOKUP($A128&amp;" GNCP",'2016 PRIOR'!$A$13:$R$196,'2016 PRIOR'!H$9,FALSE)</f>
        <v>153382.74370739752</v>
      </c>
      <c r="J128" s="145">
        <f>VLOOKUP($A128&amp;" GNCP",'2016 PRIOR'!$A$13:$R$196,'2016 PRIOR'!I$9,FALSE)</f>
        <v>162070</v>
      </c>
      <c r="K128" s="145">
        <f>VLOOKUP($A128&amp;" GNCP",'2016 PRIOR'!$A$13:$R$196,'2016 PRIOR'!J$9,FALSE)</f>
        <v>160503.3728667628</v>
      </c>
      <c r="L128" s="145">
        <f>VLOOKUP($A128&amp;" GNCP",'2016 PRIOR'!$A$13:$R$196,'2016 PRIOR'!K$9,FALSE)</f>
        <v>151484.74068575026</v>
      </c>
      <c r="M128" s="145">
        <f>VLOOKUP($A128&amp;" GNCP",'2016 PRIOR'!$A$13:$R$196,'2016 PRIOR'!L$9,FALSE)</f>
        <v>136856.12107480227</v>
      </c>
      <c r="N128" s="145">
        <f>VLOOKUP($A128&amp;" GNCP",'2016 PRIOR'!$A$13:$R$196,'2016 PRIOR'!M$9,FALSE)</f>
        <v>122272.97665196148</v>
      </c>
      <c r="O128" s="145">
        <f>VLOOKUP($A128&amp;" GNCP",'2016 PRIOR'!$A$13:$R$196,'2016 PRIOR'!N$9,FALSE)</f>
        <v>126908.89560296378</v>
      </c>
    </row>
    <row r="129" spans="1:15">
      <c r="A129" t="s">
        <v>983</v>
      </c>
      <c r="B129" t="s">
        <v>245</v>
      </c>
      <c r="C129" s="240" t="s">
        <v>133</v>
      </c>
      <c r="D129" s="145">
        <f>VLOOKUP($A129&amp;" NCP",'2016 PRIOR'!$A$13:$R$196,'2016 PRIOR'!C$9,FALSE)</f>
        <v>125878.30577434346</v>
      </c>
      <c r="E129" s="145">
        <f>VLOOKUP($A129&amp;" NCP",'2016 PRIOR'!$A$13:$R$196,'2016 PRIOR'!D$9,FALSE)</f>
        <v>124505.42302944943</v>
      </c>
      <c r="F129" s="145">
        <f>VLOOKUP($A129&amp;" NCP",'2016 PRIOR'!$A$13:$R$196,'2016 PRIOR'!E$9,FALSE)</f>
        <v>131765.55744172979</v>
      </c>
      <c r="G129" s="145">
        <f>VLOOKUP($A129&amp;" NCP",'2016 PRIOR'!$A$13:$R$196,'2016 PRIOR'!F$9,FALSE)</f>
        <v>136962.79530378565</v>
      </c>
      <c r="H129" s="145">
        <f>VLOOKUP($A129&amp;" NCP",'2016 PRIOR'!$A$13:$R$196,'2016 PRIOR'!G$9,FALSE)</f>
        <v>149960.02471113132</v>
      </c>
      <c r="I129" s="145">
        <f>VLOOKUP($A129&amp;" NCP",'2016 PRIOR'!$A$13:$R$196,'2016 PRIOR'!H$9,FALSE)</f>
        <v>153382.74370739752</v>
      </c>
      <c r="J129" s="145">
        <f>VLOOKUP($A129&amp;" NCP",'2016 PRIOR'!$A$13:$R$196,'2016 PRIOR'!I$9,FALSE)</f>
        <v>162070</v>
      </c>
      <c r="K129" s="145">
        <f>VLOOKUP($A129&amp;" NCP",'2016 PRIOR'!$A$13:$R$196,'2016 PRIOR'!J$9,FALSE)</f>
        <v>160503.3728667628</v>
      </c>
      <c r="L129" s="145">
        <f>VLOOKUP($A129&amp;" NCP",'2016 PRIOR'!$A$13:$R$196,'2016 PRIOR'!K$9,FALSE)</f>
        <v>151484.74068575026</v>
      </c>
      <c r="M129" s="145">
        <f>VLOOKUP($A129&amp;" NCP",'2016 PRIOR'!$A$13:$R$196,'2016 PRIOR'!L$9,FALSE)</f>
        <v>136856.12107480227</v>
      </c>
      <c r="N129" s="145">
        <f>VLOOKUP($A129&amp;" NCP",'2016 PRIOR'!$A$13:$R$196,'2016 PRIOR'!M$9,FALSE)</f>
        <v>122272.97665196148</v>
      </c>
      <c r="O129" s="145">
        <f>VLOOKUP($A129&amp;" NCP",'2016 PRIOR'!$A$13:$R$196,'2016 PRIOR'!N$9,FALSE)</f>
        <v>126908.89560296378</v>
      </c>
    </row>
    <row r="131" spans="1:15">
      <c r="A131" t="s">
        <v>984</v>
      </c>
      <c r="B131" t="s">
        <v>661</v>
      </c>
      <c r="C131" t="s">
        <v>1109</v>
      </c>
    </row>
    <row r="132" spans="1:15">
      <c r="A132" t="s">
        <v>984</v>
      </c>
      <c r="B132" t="s">
        <v>661</v>
      </c>
      <c r="C132" t="s">
        <v>557</v>
      </c>
      <c r="D132" s="4">
        <f>$D$8</f>
        <v>42370</v>
      </c>
      <c r="E132" s="4">
        <f>$E$8</f>
        <v>42401</v>
      </c>
      <c r="F132" s="4">
        <f>$F$8</f>
        <v>42430</v>
      </c>
      <c r="G132" s="4">
        <f>$G$8</f>
        <v>42461</v>
      </c>
      <c r="H132" s="4">
        <f>$H$8</f>
        <v>42491</v>
      </c>
      <c r="I132" s="4">
        <f>$I$8</f>
        <v>42522</v>
      </c>
      <c r="J132" s="4">
        <f>$J$8</f>
        <v>42552</v>
      </c>
      <c r="K132" s="4">
        <f>$K$8</f>
        <v>42583</v>
      </c>
      <c r="L132" s="4">
        <f>$L$8</f>
        <v>42614</v>
      </c>
      <c r="M132" s="4">
        <f>$M$8</f>
        <v>42644</v>
      </c>
      <c r="N132" s="4">
        <f>$N$8</f>
        <v>42675</v>
      </c>
      <c r="O132" s="4">
        <f>$O$8</f>
        <v>42705</v>
      </c>
    </row>
    <row r="133" spans="1:15">
      <c r="A133" t="s">
        <v>984</v>
      </c>
      <c r="B133" t="s">
        <v>661</v>
      </c>
      <c r="C133" s="240" t="s">
        <v>148</v>
      </c>
      <c r="D133" s="145">
        <f>VLOOKUP($A133&amp;" CP",'2016 PRIOR'!$A$13:$R$196,'2016 PRIOR'!C$9,FALSE)</f>
        <v>744423.79360659269</v>
      </c>
      <c r="E133" s="145">
        <f>VLOOKUP($A133&amp;" CP",'2016 PRIOR'!$A$13:$R$196,'2016 PRIOR'!D$9,FALSE)</f>
        <v>668279.51810135087</v>
      </c>
      <c r="F133" s="145">
        <f>VLOOKUP($A133&amp;" CP",'2016 PRIOR'!$A$13:$R$196,'2016 PRIOR'!E$9,FALSE)</f>
        <v>615771.4735328746</v>
      </c>
      <c r="G133" s="145">
        <f>VLOOKUP($A133&amp;" CP",'2016 PRIOR'!$A$13:$R$196,'2016 PRIOR'!F$9,FALSE)</f>
        <v>600154.53483940358</v>
      </c>
      <c r="H133" s="145">
        <f>VLOOKUP($A133&amp;" CP",'2016 PRIOR'!$A$13:$R$196,'2016 PRIOR'!G$9,FALSE)</f>
        <v>696314.11686990049</v>
      </c>
      <c r="I133" s="145">
        <f>VLOOKUP($A133&amp;" CP",'2016 PRIOR'!$A$13:$R$196,'2016 PRIOR'!H$9,FALSE)</f>
        <v>765847.39959939185</v>
      </c>
      <c r="J133" s="145">
        <f>VLOOKUP($A133&amp;" CP",'2016 PRIOR'!$A$13:$R$196,'2016 PRIOR'!I$9,FALSE)</f>
        <v>744904.02897998795</v>
      </c>
      <c r="K133" s="145">
        <f>VLOOKUP($A133&amp;" CP",'2016 PRIOR'!$A$13:$R$196,'2016 PRIOR'!J$9,FALSE)</f>
        <v>779042.35336340778</v>
      </c>
      <c r="L133" s="145">
        <f>VLOOKUP($A133&amp;" CP",'2016 PRIOR'!$A$13:$R$196,'2016 PRIOR'!K$9,FALSE)</f>
        <v>668999.71586675802</v>
      </c>
      <c r="M133" s="145">
        <f>VLOOKUP($A133&amp;" CP",'2016 PRIOR'!$A$13:$R$196,'2016 PRIOR'!L$9,FALSE)</f>
        <v>706270.43479170382</v>
      </c>
      <c r="N133" s="145">
        <f>VLOOKUP($A133&amp;" CP",'2016 PRIOR'!$A$13:$R$196,'2016 PRIOR'!M$9,FALSE)</f>
        <v>580934.50240306312</v>
      </c>
      <c r="O133" s="145">
        <f>VLOOKUP($A133&amp;" CP",'2016 PRIOR'!$A$13:$R$196,'2016 PRIOR'!N$9,FALSE)</f>
        <v>545672.68567012821</v>
      </c>
    </row>
    <row r="134" spans="1:15">
      <c r="A134" t="s">
        <v>984</v>
      </c>
      <c r="B134" t="s">
        <v>661</v>
      </c>
      <c r="C134" s="240" t="s">
        <v>147</v>
      </c>
      <c r="D134" s="145">
        <f>VLOOKUP($A134&amp;" GNCP",'2016 PRIOR'!$A$13:$R$196,'2016 PRIOR'!C$9,FALSE)</f>
        <v>751351</v>
      </c>
      <c r="E134" s="145">
        <f>VLOOKUP($A134&amp;" GNCP",'2016 PRIOR'!$A$13:$R$196,'2016 PRIOR'!D$9,FALSE)</f>
        <v>672007</v>
      </c>
      <c r="F134" s="145">
        <f>VLOOKUP($A134&amp;" GNCP",'2016 PRIOR'!$A$13:$R$196,'2016 PRIOR'!E$9,FALSE)</f>
        <v>618802</v>
      </c>
      <c r="G134" s="145">
        <f>VLOOKUP($A134&amp;" GNCP",'2016 PRIOR'!$A$13:$R$196,'2016 PRIOR'!F$9,FALSE)</f>
        <v>628268</v>
      </c>
      <c r="H134" s="145">
        <f>VLOOKUP($A134&amp;" GNCP",'2016 PRIOR'!$A$13:$R$196,'2016 PRIOR'!G$9,FALSE)</f>
        <v>717500</v>
      </c>
      <c r="I134" s="145">
        <f>VLOOKUP($A134&amp;" GNCP",'2016 PRIOR'!$A$13:$R$196,'2016 PRIOR'!H$9,FALSE)</f>
        <v>773832</v>
      </c>
      <c r="J134" s="145">
        <f>VLOOKUP($A134&amp;" GNCP",'2016 PRIOR'!$A$13:$R$196,'2016 PRIOR'!I$9,FALSE)</f>
        <v>778453</v>
      </c>
      <c r="K134" s="145">
        <f>VLOOKUP($A134&amp;" GNCP",'2016 PRIOR'!$A$13:$R$196,'2016 PRIOR'!J$9,FALSE)</f>
        <v>790759</v>
      </c>
      <c r="L134" s="145">
        <f>VLOOKUP($A134&amp;" GNCP",'2016 PRIOR'!$A$13:$R$196,'2016 PRIOR'!K$9,FALSE)</f>
        <v>755733</v>
      </c>
      <c r="M134" s="145">
        <f>VLOOKUP($A134&amp;" GNCP",'2016 PRIOR'!$A$13:$R$196,'2016 PRIOR'!L$9,FALSE)</f>
        <v>710798</v>
      </c>
      <c r="N134" s="145">
        <f>VLOOKUP($A134&amp;" GNCP",'2016 PRIOR'!$A$13:$R$196,'2016 PRIOR'!M$9,FALSE)</f>
        <v>584560</v>
      </c>
      <c r="O134" s="145">
        <f>VLOOKUP($A134&amp;" GNCP",'2016 PRIOR'!$A$13:$R$196,'2016 PRIOR'!N$9,FALSE)</f>
        <v>552739</v>
      </c>
    </row>
    <row r="135" spans="1:15">
      <c r="A135" t="s">
        <v>984</v>
      </c>
      <c r="B135" t="s">
        <v>661</v>
      </c>
      <c r="C135" s="240" t="s">
        <v>133</v>
      </c>
      <c r="D135" s="145">
        <f>VLOOKUP($A135&amp;" NCP",'2016 PRIOR'!$A$13:$R$196,'2016 PRIOR'!C$9,FALSE)</f>
        <v>751351</v>
      </c>
      <c r="E135" s="145">
        <f>VLOOKUP($A135&amp;" NCP",'2016 PRIOR'!$A$13:$R$196,'2016 PRIOR'!D$9,FALSE)</f>
        <v>672007</v>
      </c>
      <c r="F135" s="145">
        <f>VLOOKUP($A135&amp;" NCP",'2016 PRIOR'!$A$13:$R$196,'2016 PRIOR'!E$9,FALSE)</f>
        <v>618802</v>
      </c>
      <c r="G135" s="145">
        <f>VLOOKUP($A135&amp;" NCP",'2016 PRIOR'!$A$13:$R$196,'2016 PRIOR'!F$9,FALSE)</f>
        <v>628268</v>
      </c>
      <c r="H135" s="145">
        <f>VLOOKUP($A135&amp;" NCP",'2016 PRIOR'!$A$13:$R$196,'2016 PRIOR'!G$9,FALSE)</f>
        <v>717500</v>
      </c>
      <c r="I135" s="145">
        <f>VLOOKUP($A135&amp;" NCP",'2016 PRIOR'!$A$13:$R$196,'2016 PRIOR'!H$9,FALSE)</f>
        <v>773832</v>
      </c>
      <c r="J135" s="145">
        <f>VLOOKUP($A135&amp;" NCP",'2016 PRIOR'!$A$13:$R$196,'2016 PRIOR'!I$9,FALSE)</f>
        <v>778453</v>
      </c>
      <c r="K135" s="145">
        <f>VLOOKUP($A135&amp;" NCP",'2016 PRIOR'!$A$13:$R$196,'2016 PRIOR'!J$9,FALSE)</f>
        <v>790759</v>
      </c>
      <c r="L135" s="145">
        <f>VLOOKUP($A135&amp;" NCP",'2016 PRIOR'!$A$13:$R$196,'2016 PRIOR'!K$9,FALSE)</f>
        <v>755733</v>
      </c>
      <c r="M135" s="145">
        <f>VLOOKUP($A135&amp;" NCP",'2016 PRIOR'!$A$13:$R$196,'2016 PRIOR'!L$9,FALSE)</f>
        <v>710798</v>
      </c>
      <c r="N135" s="145">
        <f>VLOOKUP($A135&amp;" NCP",'2016 PRIOR'!$A$13:$R$196,'2016 PRIOR'!M$9,FALSE)</f>
        <v>584560</v>
      </c>
      <c r="O135" s="145">
        <f>VLOOKUP($A135&amp;" NCP",'2016 PRIOR'!$A$13:$R$196,'2016 PRIOR'!N$9,FALSE)</f>
        <v>552739</v>
      </c>
    </row>
    <row r="137" spans="1:15">
      <c r="A137" t="s">
        <v>985</v>
      </c>
      <c r="B137" t="s">
        <v>673</v>
      </c>
      <c r="C137" t="s">
        <v>1107</v>
      </c>
    </row>
    <row r="138" spans="1:15">
      <c r="A138" t="s">
        <v>985</v>
      </c>
      <c r="B138" t="s">
        <v>673</v>
      </c>
      <c r="C138" t="s">
        <v>557</v>
      </c>
      <c r="D138" s="4">
        <f>$D$8</f>
        <v>42370</v>
      </c>
      <c r="E138" s="4">
        <f>$E$8</f>
        <v>42401</v>
      </c>
      <c r="F138" s="4">
        <f>$F$8</f>
        <v>42430</v>
      </c>
      <c r="G138" s="4">
        <f>$G$8</f>
        <v>42461</v>
      </c>
      <c r="H138" s="4">
        <f>$H$8</f>
        <v>42491</v>
      </c>
      <c r="I138" s="4">
        <f>$I$8</f>
        <v>42522</v>
      </c>
      <c r="J138" s="4">
        <f>$J$8</f>
        <v>42552</v>
      </c>
      <c r="K138" s="4">
        <f>$K$8</f>
        <v>42583</v>
      </c>
      <c r="L138" s="4">
        <f>$L$8</f>
        <v>42614</v>
      </c>
      <c r="M138" s="4">
        <f>$M$8</f>
        <v>42644</v>
      </c>
      <c r="N138" s="4">
        <f>$N$8</f>
        <v>42675</v>
      </c>
      <c r="O138" s="4">
        <f>$O$8</f>
        <v>42705</v>
      </c>
    </row>
    <row r="139" spans="1:15">
      <c r="A139" t="s">
        <v>985</v>
      </c>
      <c r="B139" t="s">
        <v>673</v>
      </c>
      <c r="C139" s="240" t="s">
        <v>148</v>
      </c>
      <c r="D139" s="145">
        <f>VLOOKUP($A139&amp;" CP",'2016 PRIOR'!$A$13:$R$196,'2016 PRIOR'!C$9,FALSE)</f>
        <v>40000</v>
      </c>
      <c r="E139" s="145">
        <f>VLOOKUP($A139&amp;" CP",'2016 PRIOR'!$A$13:$R$196,'2016 PRIOR'!D$9,FALSE)</f>
        <v>40000</v>
      </c>
      <c r="F139" s="145">
        <f>VLOOKUP($A139&amp;" CP",'2016 PRIOR'!$A$13:$R$196,'2016 PRIOR'!E$9,FALSE)</f>
        <v>25000</v>
      </c>
      <c r="G139" s="145">
        <f>VLOOKUP($A139&amp;" CP",'2016 PRIOR'!$A$13:$R$196,'2016 PRIOR'!F$9,FALSE)</f>
        <v>20000</v>
      </c>
      <c r="H139" s="145">
        <f>VLOOKUP($A139&amp;" CP",'2016 PRIOR'!$A$13:$R$196,'2016 PRIOR'!G$9,FALSE)</f>
        <v>30000</v>
      </c>
      <c r="I139" s="145">
        <f>VLOOKUP($A139&amp;" CP",'2016 PRIOR'!$A$13:$R$196,'2016 PRIOR'!H$9,FALSE)</f>
        <v>40000</v>
      </c>
      <c r="J139" s="145">
        <f>VLOOKUP($A139&amp;" CP",'2016 PRIOR'!$A$13:$R$196,'2016 PRIOR'!I$9,FALSE)</f>
        <v>45000</v>
      </c>
      <c r="K139" s="145">
        <f>VLOOKUP($A139&amp;" CP",'2016 PRIOR'!$A$13:$R$196,'2016 PRIOR'!J$9,FALSE)</f>
        <v>45000</v>
      </c>
      <c r="L139" s="145">
        <f>VLOOKUP($A139&amp;" CP",'2016 PRIOR'!$A$13:$R$196,'2016 PRIOR'!K$9,FALSE)</f>
        <v>35000</v>
      </c>
      <c r="M139" s="145">
        <f>VLOOKUP($A139&amp;" CP",'2016 PRIOR'!$A$13:$R$196,'2016 PRIOR'!L$9,FALSE)</f>
        <v>25000</v>
      </c>
      <c r="N139" s="145">
        <f>VLOOKUP($A139&amp;" CP",'2016 PRIOR'!$A$13:$R$196,'2016 PRIOR'!M$9,FALSE)</f>
        <v>20000</v>
      </c>
      <c r="O139" s="145">
        <f>VLOOKUP($A139&amp;" CP",'2016 PRIOR'!$A$13:$R$196,'2016 PRIOR'!N$9,FALSE)</f>
        <v>25000</v>
      </c>
    </row>
    <row r="140" spans="1:15">
      <c r="A140" t="s">
        <v>985</v>
      </c>
      <c r="B140" t="s">
        <v>673</v>
      </c>
      <c r="C140" s="240" t="s">
        <v>147</v>
      </c>
      <c r="D140" s="145">
        <f>VLOOKUP($A140&amp;" GNCP",'2016 PRIOR'!$A$13:$R$196,'2016 PRIOR'!C$9,FALSE)</f>
        <v>40000</v>
      </c>
      <c r="E140" s="145">
        <f>VLOOKUP($A140&amp;" GNCP",'2016 PRIOR'!$A$13:$R$196,'2016 PRIOR'!D$9,FALSE)</f>
        <v>40000</v>
      </c>
      <c r="F140" s="145">
        <f>VLOOKUP($A140&amp;" GNCP",'2016 PRIOR'!$A$13:$R$196,'2016 PRIOR'!E$9,FALSE)</f>
        <v>25000</v>
      </c>
      <c r="G140" s="145">
        <f>VLOOKUP($A140&amp;" GNCP",'2016 PRIOR'!$A$13:$R$196,'2016 PRIOR'!F$9,FALSE)</f>
        <v>20000</v>
      </c>
      <c r="H140" s="145">
        <f>VLOOKUP($A140&amp;" GNCP",'2016 PRIOR'!$A$13:$R$196,'2016 PRIOR'!G$9,FALSE)</f>
        <v>30000</v>
      </c>
      <c r="I140" s="145">
        <f>VLOOKUP($A140&amp;" GNCP",'2016 PRIOR'!$A$13:$R$196,'2016 PRIOR'!H$9,FALSE)</f>
        <v>40000</v>
      </c>
      <c r="J140" s="145">
        <f>VLOOKUP($A140&amp;" GNCP",'2016 PRIOR'!$A$13:$R$196,'2016 PRIOR'!I$9,FALSE)</f>
        <v>45000</v>
      </c>
      <c r="K140" s="145">
        <f>VLOOKUP($A140&amp;" GNCP",'2016 PRIOR'!$A$13:$R$196,'2016 PRIOR'!J$9,FALSE)</f>
        <v>45000</v>
      </c>
      <c r="L140" s="145">
        <f>VLOOKUP($A140&amp;" GNCP",'2016 PRIOR'!$A$13:$R$196,'2016 PRIOR'!K$9,FALSE)</f>
        <v>35000</v>
      </c>
      <c r="M140" s="145">
        <f>VLOOKUP($A140&amp;" GNCP",'2016 PRIOR'!$A$13:$R$196,'2016 PRIOR'!L$9,FALSE)</f>
        <v>25000</v>
      </c>
      <c r="N140" s="145">
        <f>VLOOKUP($A140&amp;" GNCP",'2016 PRIOR'!$A$13:$R$196,'2016 PRIOR'!M$9,FALSE)</f>
        <v>20000</v>
      </c>
      <c r="O140" s="145">
        <f>VLOOKUP($A140&amp;" GNCP",'2016 PRIOR'!$A$13:$R$196,'2016 PRIOR'!N$9,FALSE)</f>
        <v>25000</v>
      </c>
    </row>
    <row r="141" spans="1:15">
      <c r="A141" t="s">
        <v>985</v>
      </c>
      <c r="B141" t="s">
        <v>673</v>
      </c>
      <c r="C141" s="240" t="s">
        <v>133</v>
      </c>
      <c r="D141" s="145">
        <f>VLOOKUP($A141&amp;" NCP",'2016 PRIOR'!$A$13:$R$196,'2016 PRIOR'!C$9,FALSE)</f>
        <v>40000</v>
      </c>
      <c r="E141" s="145">
        <f>VLOOKUP($A141&amp;" NCP",'2016 PRIOR'!$A$13:$R$196,'2016 PRIOR'!D$9,FALSE)</f>
        <v>40000</v>
      </c>
      <c r="F141" s="145">
        <f>VLOOKUP($A141&amp;" NCP",'2016 PRIOR'!$A$13:$R$196,'2016 PRIOR'!E$9,FALSE)</f>
        <v>25000</v>
      </c>
      <c r="G141" s="145">
        <f>VLOOKUP($A141&amp;" NCP",'2016 PRIOR'!$A$13:$R$196,'2016 PRIOR'!F$9,FALSE)</f>
        <v>20000</v>
      </c>
      <c r="H141" s="145">
        <f>VLOOKUP($A141&amp;" NCP",'2016 PRIOR'!$A$13:$R$196,'2016 PRIOR'!G$9,FALSE)</f>
        <v>30000</v>
      </c>
      <c r="I141" s="145">
        <f>VLOOKUP($A141&amp;" NCP",'2016 PRIOR'!$A$13:$R$196,'2016 PRIOR'!H$9,FALSE)</f>
        <v>40000</v>
      </c>
      <c r="J141" s="145">
        <f>VLOOKUP($A141&amp;" NCP",'2016 PRIOR'!$A$13:$R$196,'2016 PRIOR'!I$9,FALSE)</f>
        <v>45000</v>
      </c>
      <c r="K141" s="145">
        <f>VLOOKUP($A141&amp;" NCP",'2016 PRIOR'!$A$13:$R$196,'2016 PRIOR'!J$9,FALSE)</f>
        <v>45000</v>
      </c>
      <c r="L141" s="145">
        <f>VLOOKUP($A141&amp;" NCP",'2016 PRIOR'!$A$13:$R$196,'2016 PRIOR'!K$9,FALSE)</f>
        <v>35000</v>
      </c>
      <c r="M141" s="145">
        <f>VLOOKUP($A141&amp;" NCP",'2016 PRIOR'!$A$13:$R$196,'2016 PRIOR'!L$9,FALSE)</f>
        <v>25000</v>
      </c>
      <c r="N141" s="145">
        <f>VLOOKUP($A141&amp;" NCP",'2016 PRIOR'!$A$13:$R$196,'2016 PRIOR'!M$9,FALSE)</f>
        <v>20000</v>
      </c>
      <c r="O141" s="145">
        <f>VLOOKUP($A141&amp;" NCP",'2016 PRIOR'!$A$13:$R$196,'2016 PRIOR'!N$9,FALSE)</f>
        <v>25000</v>
      </c>
    </row>
    <row r="143" spans="1:15">
      <c r="A143" t="s">
        <v>1193</v>
      </c>
      <c r="B143" t="s">
        <v>1193</v>
      </c>
      <c r="C143" t="s">
        <v>1114</v>
      </c>
    </row>
    <row r="144" spans="1:15">
      <c r="A144" t="s">
        <v>1193</v>
      </c>
      <c r="B144" t="s">
        <v>1193</v>
      </c>
      <c r="C144" t="s">
        <v>557</v>
      </c>
      <c r="D144" s="4">
        <f>$D$8</f>
        <v>42370</v>
      </c>
      <c r="E144" s="4">
        <f>$E$8</f>
        <v>42401</v>
      </c>
      <c r="F144" s="4">
        <f>$F$8</f>
        <v>42430</v>
      </c>
      <c r="G144" s="4">
        <f>$G$8</f>
        <v>42461</v>
      </c>
      <c r="H144" s="4">
        <f>$H$8</f>
        <v>42491</v>
      </c>
      <c r="I144" s="4">
        <f>$I$8</f>
        <v>42522</v>
      </c>
      <c r="J144" s="4">
        <f>$J$8</f>
        <v>42552</v>
      </c>
      <c r="K144" s="4">
        <f>$K$8</f>
        <v>42583</v>
      </c>
      <c r="L144" s="4">
        <f>$L$8</f>
        <v>42614</v>
      </c>
      <c r="M144" s="4">
        <f>$M$8</f>
        <v>42644</v>
      </c>
      <c r="N144" s="4">
        <f>$N$8</f>
        <v>42675</v>
      </c>
      <c r="O144" s="4">
        <f>$O$8</f>
        <v>42705</v>
      </c>
    </row>
    <row r="145" spans="1:15">
      <c r="A145" t="s">
        <v>1193</v>
      </c>
      <c r="B145" t="s">
        <v>1193</v>
      </c>
      <c r="C145" s="240" t="s">
        <v>148</v>
      </c>
      <c r="D145" s="145">
        <f>VLOOKUP($A145&amp;" CP",'2016 PRIOR'!$A$13:$R$196,'2016 PRIOR'!C$9,FALSE)</f>
        <v>19000</v>
      </c>
      <c r="E145" s="145">
        <f>VLOOKUP($A145&amp;" CP",'2016 PRIOR'!$A$13:$R$196,'2016 PRIOR'!D$9,FALSE)</f>
        <v>0</v>
      </c>
      <c r="F145" s="145">
        <f>VLOOKUP($A145&amp;" CP",'2016 PRIOR'!$A$13:$R$196,'2016 PRIOR'!E$9,FALSE)</f>
        <v>0</v>
      </c>
      <c r="G145" s="145">
        <f>VLOOKUP($A145&amp;" CP",'2016 PRIOR'!$A$13:$R$196,'2016 PRIOR'!F$9,FALSE)</f>
        <v>0</v>
      </c>
      <c r="H145" s="145">
        <f>VLOOKUP($A145&amp;" CP",'2016 PRIOR'!$A$13:$R$196,'2016 PRIOR'!G$9,FALSE)</f>
        <v>0</v>
      </c>
      <c r="I145" s="145">
        <f>VLOOKUP($A145&amp;" CP",'2016 PRIOR'!$A$13:$R$196,'2016 PRIOR'!H$9,FALSE)</f>
        <v>0</v>
      </c>
      <c r="J145" s="145">
        <f>VLOOKUP($A145&amp;" CP",'2016 PRIOR'!$A$13:$R$196,'2016 PRIOR'!I$9,FALSE)</f>
        <v>0</v>
      </c>
      <c r="K145" s="145">
        <f>VLOOKUP($A145&amp;" CP",'2016 PRIOR'!$A$13:$R$196,'2016 PRIOR'!J$9,FALSE)</f>
        <v>19000</v>
      </c>
      <c r="L145" s="145">
        <f>VLOOKUP($A145&amp;" CP",'2016 PRIOR'!$A$13:$R$196,'2016 PRIOR'!K$9,FALSE)</f>
        <v>0</v>
      </c>
      <c r="M145" s="145">
        <f>VLOOKUP($A145&amp;" CP",'2016 PRIOR'!$A$13:$R$196,'2016 PRIOR'!L$9,FALSE)</f>
        <v>0</v>
      </c>
      <c r="N145" s="145">
        <f>VLOOKUP($A145&amp;" CP",'2016 PRIOR'!$A$13:$R$196,'2016 PRIOR'!M$9,FALSE)</f>
        <v>0</v>
      </c>
      <c r="O145" s="145">
        <f>VLOOKUP($A145&amp;" CP",'2016 PRIOR'!$A$13:$R$196,'2016 PRIOR'!N$9,FALSE)</f>
        <v>0</v>
      </c>
    </row>
    <row r="146" spans="1:15">
      <c r="A146" t="s">
        <v>1193</v>
      </c>
      <c r="B146" t="s">
        <v>1193</v>
      </c>
      <c r="C146" s="240" t="s">
        <v>147</v>
      </c>
      <c r="D146" s="145">
        <f>VLOOKUP($A146&amp;" GNCP",'2016 PRIOR'!$A$13:$R$196,'2016 PRIOR'!C$9,FALSE)</f>
        <v>19000</v>
      </c>
      <c r="E146" s="145">
        <f>VLOOKUP($A146&amp;" GNCP",'2016 PRIOR'!$A$13:$R$196,'2016 PRIOR'!D$9,FALSE)</f>
        <v>0</v>
      </c>
      <c r="F146" s="145">
        <f>VLOOKUP($A146&amp;" GNCP",'2016 PRIOR'!$A$13:$R$196,'2016 PRIOR'!E$9,FALSE)</f>
        <v>0</v>
      </c>
      <c r="G146" s="145">
        <f>VLOOKUP($A146&amp;" GNCP",'2016 PRIOR'!$A$13:$R$196,'2016 PRIOR'!F$9,FALSE)</f>
        <v>0</v>
      </c>
      <c r="H146" s="145">
        <f>VLOOKUP($A146&amp;" GNCP",'2016 PRIOR'!$A$13:$R$196,'2016 PRIOR'!G$9,FALSE)</f>
        <v>0</v>
      </c>
      <c r="I146" s="145">
        <f>VLOOKUP($A146&amp;" GNCP",'2016 PRIOR'!$A$13:$R$196,'2016 PRIOR'!H$9,FALSE)</f>
        <v>0</v>
      </c>
      <c r="J146" s="145">
        <f>VLOOKUP($A146&amp;" GNCP",'2016 PRIOR'!$A$13:$R$196,'2016 PRIOR'!I$9,FALSE)</f>
        <v>0</v>
      </c>
      <c r="K146" s="145">
        <f>VLOOKUP($A146&amp;" GNCP",'2016 PRIOR'!$A$13:$R$196,'2016 PRIOR'!J$9,FALSE)</f>
        <v>19000</v>
      </c>
      <c r="L146" s="145">
        <f>VLOOKUP($A146&amp;" GNCP",'2016 PRIOR'!$A$13:$R$196,'2016 PRIOR'!K$9,FALSE)</f>
        <v>0</v>
      </c>
      <c r="M146" s="145">
        <f>VLOOKUP($A146&amp;" GNCP",'2016 PRIOR'!$A$13:$R$196,'2016 PRIOR'!L$9,FALSE)</f>
        <v>0</v>
      </c>
      <c r="N146" s="145">
        <f>VLOOKUP($A146&amp;" GNCP",'2016 PRIOR'!$A$13:$R$196,'2016 PRIOR'!M$9,FALSE)</f>
        <v>0</v>
      </c>
      <c r="O146" s="145">
        <f>VLOOKUP($A146&amp;" GNCP",'2016 PRIOR'!$A$13:$R$196,'2016 PRIOR'!N$9,FALSE)</f>
        <v>0</v>
      </c>
    </row>
    <row r="147" spans="1:15">
      <c r="A147" t="s">
        <v>1193</v>
      </c>
      <c r="B147" t="s">
        <v>1193</v>
      </c>
      <c r="C147" s="240" t="s">
        <v>133</v>
      </c>
      <c r="D147" s="145">
        <f>VLOOKUP($A147&amp;" NCP",'2016 PRIOR'!$A$13:$R$196,'2016 PRIOR'!C$9,FALSE)</f>
        <v>19000</v>
      </c>
      <c r="E147" s="145">
        <f>VLOOKUP($A147&amp;" NCP",'2016 PRIOR'!$A$13:$R$196,'2016 PRIOR'!D$9,FALSE)</f>
        <v>0</v>
      </c>
      <c r="F147" s="145">
        <f>VLOOKUP($A147&amp;" NCP",'2016 PRIOR'!$A$13:$R$196,'2016 PRIOR'!E$9,FALSE)</f>
        <v>0</v>
      </c>
      <c r="G147" s="145">
        <f>VLOOKUP($A147&amp;" NCP",'2016 PRIOR'!$A$13:$R$196,'2016 PRIOR'!F$9,FALSE)</f>
        <v>0</v>
      </c>
      <c r="H147" s="145">
        <f>VLOOKUP($A147&amp;" NCP",'2016 PRIOR'!$A$13:$R$196,'2016 PRIOR'!G$9,FALSE)</f>
        <v>0</v>
      </c>
      <c r="I147" s="145">
        <f>VLOOKUP($A147&amp;" NCP",'2016 PRIOR'!$A$13:$R$196,'2016 PRIOR'!H$9,FALSE)</f>
        <v>0</v>
      </c>
      <c r="J147" s="145">
        <f>VLOOKUP($A147&amp;" NCP",'2016 PRIOR'!$A$13:$R$196,'2016 PRIOR'!I$9,FALSE)</f>
        <v>0</v>
      </c>
      <c r="K147" s="145">
        <f>VLOOKUP($A147&amp;" NCP",'2016 PRIOR'!$A$13:$R$196,'2016 PRIOR'!J$9,FALSE)</f>
        <v>19000</v>
      </c>
      <c r="L147" s="145">
        <f>VLOOKUP($A147&amp;" NCP",'2016 PRIOR'!$A$13:$R$196,'2016 PRIOR'!K$9,FALSE)</f>
        <v>0</v>
      </c>
      <c r="M147" s="145">
        <f>VLOOKUP($A147&amp;" NCP",'2016 PRIOR'!$A$13:$R$196,'2016 PRIOR'!L$9,FALSE)</f>
        <v>0</v>
      </c>
      <c r="N147" s="145">
        <f>VLOOKUP($A147&amp;" NCP",'2016 PRIOR'!$A$13:$R$196,'2016 PRIOR'!M$9,FALSE)</f>
        <v>0</v>
      </c>
      <c r="O147" s="145">
        <f>VLOOKUP($A147&amp;" NCP",'2016 PRIOR'!$A$13:$R$196,'2016 PRIOR'!N$9,FALSE)</f>
        <v>0</v>
      </c>
    </row>
    <row r="149" spans="1:15">
      <c r="A149" t="s">
        <v>1060</v>
      </c>
      <c r="B149" t="s">
        <v>691</v>
      </c>
      <c r="C149" t="s">
        <v>1104</v>
      </c>
    </row>
    <row r="150" spans="1:15">
      <c r="A150" t="s">
        <v>1060</v>
      </c>
      <c r="B150" t="s">
        <v>691</v>
      </c>
      <c r="C150" t="s">
        <v>557</v>
      </c>
      <c r="D150" s="4">
        <f>$D$8</f>
        <v>42370</v>
      </c>
      <c r="E150" s="4">
        <f>$E$8</f>
        <v>42401</v>
      </c>
      <c r="F150" s="4">
        <f>$F$8</f>
        <v>42430</v>
      </c>
      <c r="G150" s="4">
        <f>$G$8</f>
        <v>42461</v>
      </c>
      <c r="H150" s="4">
        <f>$H$8</f>
        <v>42491</v>
      </c>
      <c r="I150" s="4">
        <f>$I$8</f>
        <v>42522</v>
      </c>
      <c r="J150" s="4">
        <f>$J$8</f>
        <v>42552</v>
      </c>
      <c r="K150" s="4">
        <f>$K$8</f>
        <v>42583</v>
      </c>
      <c r="L150" s="4">
        <f>$L$8</f>
        <v>42614</v>
      </c>
      <c r="M150" s="4">
        <f>$M$8</f>
        <v>42644</v>
      </c>
      <c r="N150" s="4">
        <f>$N$8</f>
        <v>42675</v>
      </c>
      <c r="O150" s="4">
        <f>$O$8</f>
        <v>42705</v>
      </c>
    </row>
    <row r="151" spans="1:15">
      <c r="A151" t="s">
        <v>1060</v>
      </c>
      <c r="B151" t="s">
        <v>691</v>
      </c>
      <c r="C151" s="240" t="s">
        <v>148</v>
      </c>
      <c r="D151" s="145">
        <f>VLOOKUP($A151&amp;" CP",'2016 PRIOR'!$A$13:$R$196,'2016 PRIOR'!C$9,FALSE)</f>
        <v>200000</v>
      </c>
      <c r="E151" s="145">
        <f>VLOOKUP($A151&amp;" CP",'2016 PRIOR'!$A$13:$R$196,'2016 PRIOR'!D$9,FALSE)</f>
        <v>200000</v>
      </c>
      <c r="F151" s="145">
        <f>VLOOKUP($A151&amp;" CP",'2016 PRIOR'!$A$13:$R$196,'2016 PRIOR'!E$9,FALSE)</f>
        <v>200000</v>
      </c>
      <c r="G151" s="145">
        <f>VLOOKUP($A151&amp;" CP",'2016 PRIOR'!$A$13:$R$196,'2016 PRIOR'!F$9,FALSE)</f>
        <v>200000</v>
      </c>
      <c r="H151" s="145">
        <f>VLOOKUP($A151&amp;" CP",'2016 PRIOR'!$A$13:$R$196,'2016 PRIOR'!G$9,FALSE)</f>
        <v>200000</v>
      </c>
      <c r="I151" s="145">
        <f>VLOOKUP($A151&amp;" CP",'2016 PRIOR'!$A$13:$R$196,'2016 PRIOR'!H$9,FALSE)</f>
        <v>200000</v>
      </c>
      <c r="J151" s="145">
        <f>VLOOKUP($A151&amp;" CP",'2016 PRIOR'!$A$13:$R$196,'2016 PRIOR'!I$9,FALSE)</f>
        <v>200000</v>
      </c>
      <c r="K151" s="145">
        <f>VLOOKUP($A151&amp;" CP",'2016 PRIOR'!$A$13:$R$196,'2016 PRIOR'!J$9,FALSE)</f>
        <v>200000</v>
      </c>
      <c r="L151" s="145">
        <f>VLOOKUP($A151&amp;" CP",'2016 PRIOR'!$A$13:$R$196,'2016 PRIOR'!K$9,FALSE)</f>
        <v>200000</v>
      </c>
      <c r="M151" s="145">
        <f>VLOOKUP($A151&amp;" CP",'2016 PRIOR'!$A$13:$R$196,'2016 PRIOR'!L$9,FALSE)</f>
        <v>200000</v>
      </c>
      <c r="N151" s="145">
        <f>VLOOKUP($A151&amp;" CP",'2016 PRIOR'!$A$13:$R$196,'2016 PRIOR'!M$9,FALSE)</f>
        <v>200000</v>
      </c>
      <c r="O151" s="145">
        <f>VLOOKUP($A151&amp;" CP",'2016 PRIOR'!$A$13:$R$196,'2016 PRIOR'!N$9,FALSE)</f>
        <v>200000</v>
      </c>
    </row>
    <row r="152" spans="1:15">
      <c r="A152" t="s">
        <v>1060</v>
      </c>
      <c r="B152" t="s">
        <v>691</v>
      </c>
      <c r="C152" s="240" t="s">
        <v>147</v>
      </c>
      <c r="D152" s="145">
        <f>VLOOKUP($A152&amp;" GNCP",'2016 PRIOR'!$A$13:$R$196,'2016 PRIOR'!C$9,FALSE)</f>
        <v>200000</v>
      </c>
      <c r="E152" s="145">
        <f>VLOOKUP($A152&amp;" GNCP",'2016 PRIOR'!$A$13:$R$196,'2016 PRIOR'!D$9,FALSE)</f>
        <v>200000</v>
      </c>
      <c r="F152" s="145">
        <f>VLOOKUP($A152&amp;" GNCP",'2016 PRIOR'!$A$13:$R$196,'2016 PRIOR'!E$9,FALSE)</f>
        <v>200000</v>
      </c>
      <c r="G152" s="145">
        <f>VLOOKUP($A152&amp;" GNCP",'2016 PRIOR'!$A$13:$R$196,'2016 PRIOR'!F$9,FALSE)</f>
        <v>200000</v>
      </c>
      <c r="H152" s="145">
        <f>VLOOKUP($A152&amp;" GNCP",'2016 PRIOR'!$A$13:$R$196,'2016 PRIOR'!G$9,FALSE)</f>
        <v>200000</v>
      </c>
      <c r="I152" s="145">
        <f>VLOOKUP($A152&amp;" GNCP",'2016 PRIOR'!$A$13:$R$196,'2016 PRIOR'!H$9,FALSE)</f>
        <v>200000</v>
      </c>
      <c r="J152" s="145">
        <f>VLOOKUP($A152&amp;" GNCP",'2016 PRIOR'!$A$13:$R$196,'2016 PRIOR'!I$9,FALSE)</f>
        <v>200000</v>
      </c>
      <c r="K152" s="145">
        <f>VLOOKUP($A152&amp;" GNCP",'2016 PRIOR'!$A$13:$R$196,'2016 PRIOR'!J$9,FALSE)</f>
        <v>200000</v>
      </c>
      <c r="L152" s="145">
        <f>VLOOKUP($A152&amp;" GNCP",'2016 PRIOR'!$A$13:$R$196,'2016 PRIOR'!K$9,FALSE)</f>
        <v>200000</v>
      </c>
      <c r="M152" s="145">
        <f>VLOOKUP($A152&amp;" GNCP",'2016 PRIOR'!$A$13:$R$196,'2016 PRIOR'!L$9,FALSE)</f>
        <v>200000</v>
      </c>
      <c r="N152" s="145">
        <f>VLOOKUP($A152&amp;" GNCP",'2016 PRIOR'!$A$13:$R$196,'2016 PRIOR'!M$9,FALSE)</f>
        <v>200000</v>
      </c>
      <c r="O152" s="145">
        <f>VLOOKUP($A152&amp;" GNCP",'2016 PRIOR'!$A$13:$R$196,'2016 PRIOR'!N$9,FALSE)</f>
        <v>200000</v>
      </c>
    </row>
    <row r="153" spans="1:15">
      <c r="A153" t="s">
        <v>1060</v>
      </c>
      <c r="B153" t="s">
        <v>691</v>
      </c>
      <c r="C153" s="240" t="s">
        <v>133</v>
      </c>
      <c r="D153" s="145">
        <f>VLOOKUP($A153&amp;" NCP",'2016 PRIOR'!$A$13:$R$196,'2016 PRIOR'!C$9,FALSE)</f>
        <v>200000</v>
      </c>
      <c r="E153" s="145">
        <f>VLOOKUP($A153&amp;" NCP",'2016 PRIOR'!$A$13:$R$196,'2016 PRIOR'!D$9,FALSE)</f>
        <v>200000</v>
      </c>
      <c r="F153" s="145">
        <f>VLOOKUP($A153&amp;" NCP",'2016 PRIOR'!$A$13:$R$196,'2016 PRIOR'!E$9,FALSE)</f>
        <v>200000</v>
      </c>
      <c r="G153" s="145">
        <f>VLOOKUP($A153&amp;" NCP",'2016 PRIOR'!$A$13:$R$196,'2016 PRIOR'!F$9,FALSE)</f>
        <v>200000</v>
      </c>
      <c r="H153" s="145">
        <f>VLOOKUP($A153&amp;" NCP",'2016 PRIOR'!$A$13:$R$196,'2016 PRIOR'!G$9,FALSE)</f>
        <v>200000</v>
      </c>
      <c r="I153" s="145">
        <f>VLOOKUP($A153&amp;" NCP",'2016 PRIOR'!$A$13:$R$196,'2016 PRIOR'!H$9,FALSE)</f>
        <v>200000</v>
      </c>
      <c r="J153" s="145">
        <f>VLOOKUP($A153&amp;" NCP",'2016 PRIOR'!$A$13:$R$196,'2016 PRIOR'!I$9,FALSE)</f>
        <v>200000</v>
      </c>
      <c r="K153" s="145">
        <f>VLOOKUP($A153&amp;" NCP",'2016 PRIOR'!$A$13:$R$196,'2016 PRIOR'!J$9,FALSE)</f>
        <v>200000</v>
      </c>
      <c r="L153" s="145">
        <f>VLOOKUP($A153&amp;" NCP",'2016 PRIOR'!$A$13:$R$196,'2016 PRIOR'!K$9,FALSE)</f>
        <v>200000</v>
      </c>
      <c r="M153" s="145">
        <f>VLOOKUP($A153&amp;" NCP",'2016 PRIOR'!$A$13:$R$196,'2016 PRIOR'!L$9,FALSE)</f>
        <v>200000</v>
      </c>
      <c r="N153" s="145">
        <f>VLOOKUP($A153&amp;" NCP",'2016 PRIOR'!$A$13:$R$196,'2016 PRIOR'!M$9,FALSE)</f>
        <v>200000</v>
      </c>
      <c r="O153" s="145">
        <f>VLOOKUP($A153&amp;" NCP",'2016 PRIOR'!$A$13:$R$196,'2016 PRIOR'!N$9,FALSE)</f>
        <v>200000</v>
      </c>
    </row>
    <row r="155" spans="1:15">
      <c r="A155" t="s">
        <v>724</v>
      </c>
      <c r="B155" t="s">
        <v>724</v>
      </c>
      <c r="C155" s="240" t="s">
        <v>1098</v>
      </c>
    </row>
    <row r="156" spans="1:15">
      <c r="A156" t="s">
        <v>724</v>
      </c>
      <c r="B156" t="s">
        <v>724</v>
      </c>
      <c r="C156" t="s">
        <v>557</v>
      </c>
      <c r="D156" s="4">
        <f>$D$8</f>
        <v>42370</v>
      </c>
      <c r="E156" s="4">
        <f>$E$8</f>
        <v>42401</v>
      </c>
      <c r="F156" s="4">
        <f>$F$8</f>
        <v>42430</v>
      </c>
      <c r="G156" s="4">
        <f>$G$8</f>
        <v>42461</v>
      </c>
      <c r="H156" s="4">
        <f>$H$8</f>
        <v>42491</v>
      </c>
      <c r="I156" s="4">
        <f>$I$8</f>
        <v>42522</v>
      </c>
      <c r="J156" s="4">
        <f>$J$8</f>
        <v>42552</v>
      </c>
      <c r="K156" s="4">
        <f>$K$8</f>
        <v>42583</v>
      </c>
      <c r="L156" s="4">
        <f>$L$8</f>
        <v>42614</v>
      </c>
      <c r="M156" s="4">
        <f>$M$8</f>
        <v>42644</v>
      </c>
      <c r="N156" s="4">
        <f>$N$8</f>
        <v>42675</v>
      </c>
      <c r="O156" s="4">
        <f>$O$8</f>
        <v>42705</v>
      </c>
    </row>
    <row r="157" spans="1:15">
      <c r="A157" t="s">
        <v>724</v>
      </c>
      <c r="B157" t="s">
        <v>724</v>
      </c>
      <c r="C157" s="240" t="s">
        <v>148</v>
      </c>
      <c r="D157" s="145">
        <f>VLOOKUP($A157&amp;" CP",'2016 PRIOR'!$A$13:$R$196,'2016 PRIOR'!C$9,FALSE)</f>
        <v>13000</v>
      </c>
      <c r="E157" s="145">
        <f>VLOOKUP($A157&amp;" CP",'2016 PRIOR'!$A$13:$R$196,'2016 PRIOR'!D$9,FALSE)</f>
        <v>13000</v>
      </c>
      <c r="F157" s="145">
        <f>VLOOKUP($A157&amp;" CP",'2016 PRIOR'!$A$13:$R$196,'2016 PRIOR'!E$9,FALSE)</f>
        <v>13000</v>
      </c>
      <c r="G157" s="145">
        <f>VLOOKUP($A157&amp;" CP",'2016 PRIOR'!$A$13:$R$196,'2016 PRIOR'!F$9,FALSE)</f>
        <v>13000</v>
      </c>
      <c r="H157" s="145">
        <f>VLOOKUP($A157&amp;" CP",'2016 PRIOR'!$A$13:$R$196,'2016 PRIOR'!G$9,FALSE)</f>
        <v>13000</v>
      </c>
      <c r="I157" s="145">
        <f>VLOOKUP($A157&amp;" CP",'2016 PRIOR'!$A$13:$R$196,'2016 PRIOR'!H$9,FALSE)</f>
        <v>13000</v>
      </c>
      <c r="J157" s="145">
        <f>VLOOKUP($A157&amp;" CP",'2016 PRIOR'!$A$13:$R$196,'2016 PRIOR'!I$9,FALSE)</f>
        <v>13000</v>
      </c>
      <c r="K157" s="145">
        <f>VLOOKUP($A157&amp;" CP",'2016 PRIOR'!$A$13:$R$196,'2016 PRIOR'!J$9,FALSE)</f>
        <v>13000</v>
      </c>
      <c r="L157" s="145">
        <f>VLOOKUP($A157&amp;" CP",'2016 PRIOR'!$A$13:$R$196,'2016 PRIOR'!K$9,FALSE)</f>
        <v>13000</v>
      </c>
      <c r="M157" s="145">
        <f>VLOOKUP($A157&amp;" CP",'2016 PRIOR'!$A$13:$R$196,'2016 PRIOR'!L$9,FALSE)</f>
        <v>13000</v>
      </c>
      <c r="N157" s="145">
        <f>VLOOKUP($A157&amp;" CP",'2016 PRIOR'!$A$13:$R$196,'2016 PRIOR'!M$9,FALSE)</f>
        <v>13000</v>
      </c>
      <c r="O157" s="145">
        <f>VLOOKUP($A157&amp;" CP",'2016 PRIOR'!$A$13:$R$196,'2016 PRIOR'!N$9,FALSE)</f>
        <v>13000</v>
      </c>
    </row>
    <row r="158" spans="1:15">
      <c r="A158" t="s">
        <v>724</v>
      </c>
      <c r="B158" t="s">
        <v>724</v>
      </c>
      <c r="C158" s="240" t="s">
        <v>147</v>
      </c>
      <c r="D158" s="145">
        <f>VLOOKUP($A158&amp;" GNCP",'2016 PRIOR'!$A$13:$R$196,'2016 PRIOR'!C$9,FALSE)</f>
        <v>13000</v>
      </c>
      <c r="E158" s="145">
        <f>VLOOKUP($A158&amp;" GNCP",'2016 PRIOR'!$A$13:$R$196,'2016 PRIOR'!D$9,FALSE)</f>
        <v>13000</v>
      </c>
      <c r="F158" s="145">
        <f>VLOOKUP($A158&amp;" GNCP",'2016 PRIOR'!$A$13:$R$196,'2016 PRIOR'!E$9,FALSE)</f>
        <v>13000</v>
      </c>
      <c r="G158" s="145">
        <f>VLOOKUP($A158&amp;" GNCP",'2016 PRIOR'!$A$13:$R$196,'2016 PRIOR'!F$9,FALSE)</f>
        <v>13000</v>
      </c>
      <c r="H158" s="145">
        <f>VLOOKUP($A158&amp;" GNCP",'2016 PRIOR'!$A$13:$R$196,'2016 PRIOR'!G$9,FALSE)</f>
        <v>13000</v>
      </c>
      <c r="I158" s="145">
        <f>VLOOKUP($A158&amp;" GNCP",'2016 PRIOR'!$A$13:$R$196,'2016 PRIOR'!H$9,FALSE)</f>
        <v>13000</v>
      </c>
      <c r="J158" s="145">
        <f>VLOOKUP($A158&amp;" GNCP",'2016 PRIOR'!$A$13:$R$196,'2016 PRIOR'!I$9,FALSE)</f>
        <v>13000</v>
      </c>
      <c r="K158" s="145">
        <f>VLOOKUP($A158&amp;" GNCP",'2016 PRIOR'!$A$13:$R$196,'2016 PRIOR'!J$9,FALSE)</f>
        <v>13000</v>
      </c>
      <c r="L158" s="145">
        <f>VLOOKUP($A158&amp;" GNCP",'2016 PRIOR'!$A$13:$R$196,'2016 PRIOR'!K$9,FALSE)</f>
        <v>13000</v>
      </c>
      <c r="M158" s="145">
        <f>VLOOKUP($A158&amp;" GNCP",'2016 PRIOR'!$A$13:$R$196,'2016 PRIOR'!L$9,FALSE)</f>
        <v>13000</v>
      </c>
      <c r="N158" s="145">
        <f>VLOOKUP($A158&amp;" GNCP",'2016 PRIOR'!$A$13:$R$196,'2016 PRIOR'!M$9,FALSE)</f>
        <v>13000</v>
      </c>
      <c r="O158" s="145">
        <f>VLOOKUP($A158&amp;" GNCP",'2016 PRIOR'!$A$13:$R$196,'2016 PRIOR'!N$9,FALSE)</f>
        <v>13000</v>
      </c>
    </row>
    <row r="159" spans="1:15">
      <c r="A159" t="s">
        <v>724</v>
      </c>
      <c r="B159" t="s">
        <v>724</v>
      </c>
      <c r="C159" s="240" t="s">
        <v>133</v>
      </c>
      <c r="D159" s="145">
        <f>VLOOKUP($A159&amp;" NCP",'2016 PRIOR'!$A$13:$R$196,'2016 PRIOR'!C$9,FALSE)</f>
        <v>13000</v>
      </c>
      <c r="E159" s="145">
        <f>VLOOKUP($A159&amp;" NCP",'2016 PRIOR'!$A$13:$R$196,'2016 PRIOR'!D$9,FALSE)</f>
        <v>13000</v>
      </c>
      <c r="F159" s="145">
        <f>VLOOKUP($A159&amp;" NCP",'2016 PRIOR'!$A$13:$R$196,'2016 PRIOR'!E$9,FALSE)</f>
        <v>13000</v>
      </c>
      <c r="G159" s="145">
        <f>VLOOKUP($A159&amp;" NCP",'2016 PRIOR'!$A$13:$R$196,'2016 PRIOR'!F$9,FALSE)</f>
        <v>13000</v>
      </c>
      <c r="H159" s="145">
        <f>VLOOKUP($A159&amp;" NCP",'2016 PRIOR'!$A$13:$R$196,'2016 PRIOR'!G$9,FALSE)</f>
        <v>13000</v>
      </c>
      <c r="I159" s="145">
        <f>VLOOKUP($A159&amp;" NCP",'2016 PRIOR'!$A$13:$R$196,'2016 PRIOR'!H$9,FALSE)</f>
        <v>13000</v>
      </c>
      <c r="J159" s="145">
        <f>VLOOKUP($A159&amp;" NCP",'2016 PRIOR'!$A$13:$R$196,'2016 PRIOR'!I$9,FALSE)</f>
        <v>13000</v>
      </c>
      <c r="K159" s="145">
        <f>VLOOKUP($A159&amp;" NCP",'2016 PRIOR'!$A$13:$R$196,'2016 PRIOR'!J$9,FALSE)</f>
        <v>13000</v>
      </c>
      <c r="L159" s="145">
        <f>VLOOKUP($A159&amp;" NCP",'2016 PRIOR'!$A$13:$R$196,'2016 PRIOR'!K$9,FALSE)</f>
        <v>13000</v>
      </c>
      <c r="M159" s="145">
        <f>VLOOKUP($A159&amp;" NCP",'2016 PRIOR'!$A$13:$R$196,'2016 PRIOR'!L$9,FALSE)</f>
        <v>13000</v>
      </c>
      <c r="N159" s="145">
        <f>VLOOKUP($A159&amp;" NCP",'2016 PRIOR'!$A$13:$R$196,'2016 PRIOR'!M$9,FALSE)</f>
        <v>13000</v>
      </c>
      <c r="O159" s="145">
        <f>VLOOKUP($A159&amp;" NCP",'2016 PRIOR'!$A$13:$R$196,'2016 PRIOR'!N$9,FALSE)</f>
        <v>13000</v>
      </c>
    </row>
    <row r="161" spans="1:15">
      <c r="A161" t="s">
        <v>986</v>
      </c>
      <c r="B161" t="s">
        <v>727</v>
      </c>
      <c r="C161" s="240" t="s">
        <v>1097</v>
      </c>
    </row>
    <row r="162" spans="1:15">
      <c r="A162" t="s">
        <v>986</v>
      </c>
      <c r="B162" t="s">
        <v>727</v>
      </c>
      <c r="C162" t="s">
        <v>557</v>
      </c>
      <c r="D162" s="4">
        <f>$D$8</f>
        <v>42370</v>
      </c>
      <c r="E162" s="4">
        <f>$E$8</f>
        <v>42401</v>
      </c>
      <c r="F162" s="4">
        <f>$F$8</f>
        <v>42430</v>
      </c>
      <c r="G162" s="4">
        <f>$G$8</f>
        <v>42461</v>
      </c>
      <c r="H162" s="4">
        <f>$H$8</f>
        <v>42491</v>
      </c>
      <c r="I162" s="4">
        <f>$I$8</f>
        <v>42522</v>
      </c>
      <c r="J162" s="4">
        <f>$J$8</f>
        <v>42552</v>
      </c>
      <c r="K162" s="4">
        <f>$K$8</f>
        <v>42583</v>
      </c>
      <c r="L162" s="4">
        <f>$L$8</f>
        <v>42614</v>
      </c>
      <c r="M162" s="4">
        <f>$M$8</f>
        <v>42644</v>
      </c>
      <c r="N162" s="4">
        <f>$N$8</f>
        <v>42675</v>
      </c>
      <c r="O162" s="4">
        <f>$O$8</f>
        <v>42705</v>
      </c>
    </row>
    <row r="163" spans="1:15">
      <c r="A163" t="s">
        <v>986</v>
      </c>
      <c r="B163" t="s">
        <v>727</v>
      </c>
      <c r="C163" s="240" t="s">
        <v>148</v>
      </c>
      <c r="D163" s="145">
        <f>VLOOKUP($A163&amp;" CP",'2016 PRIOR'!$A$13:$R$196,'2016 PRIOR'!C$9,FALSE)</f>
        <v>60000</v>
      </c>
      <c r="E163" s="145">
        <f>VLOOKUP($A163&amp;" CP",'2016 PRIOR'!$A$13:$R$196,'2016 PRIOR'!D$9,FALSE)</f>
        <v>60000</v>
      </c>
      <c r="F163" s="145">
        <f>VLOOKUP($A163&amp;" CP",'2016 PRIOR'!$A$13:$R$196,'2016 PRIOR'!E$9,FALSE)</f>
        <v>60000</v>
      </c>
      <c r="G163" s="145">
        <f>VLOOKUP($A163&amp;" CP",'2016 PRIOR'!$A$13:$R$196,'2016 PRIOR'!F$9,FALSE)</f>
        <v>60000</v>
      </c>
      <c r="H163" s="145">
        <f>VLOOKUP($A163&amp;" CP",'2016 PRIOR'!$A$13:$R$196,'2016 PRIOR'!G$9,FALSE)</f>
        <v>60000</v>
      </c>
      <c r="I163" s="145">
        <f>VLOOKUP($A163&amp;" CP",'2016 PRIOR'!$A$13:$R$196,'2016 PRIOR'!H$9,FALSE)</f>
        <v>60000</v>
      </c>
      <c r="J163" s="145">
        <f>VLOOKUP($A163&amp;" CP",'2016 PRIOR'!$A$13:$R$196,'2016 PRIOR'!I$9,FALSE)</f>
        <v>60000</v>
      </c>
      <c r="K163" s="145">
        <f>VLOOKUP($A163&amp;" CP",'2016 PRIOR'!$A$13:$R$196,'2016 PRIOR'!J$9,FALSE)</f>
        <v>60000</v>
      </c>
      <c r="L163" s="145">
        <f>VLOOKUP($A163&amp;" CP",'2016 PRIOR'!$A$13:$R$196,'2016 PRIOR'!K$9,FALSE)</f>
        <v>60000</v>
      </c>
      <c r="M163" s="145">
        <f>VLOOKUP($A163&amp;" CP",'2016 PRIOR'!$A$13:$R$196,'2016 PRIOR'!L$9,FALSE)</f>
        <v>60000</v>
      </c>
      <c r="N163" s="145">
        <f>VLOOKUP($A163&amp;" CP",'2016 PRIOR'!$A$13:$R$196,'2016 PRIOR'!M$9,FALSE)</f>
        <v>60000</v>
      </c>
      <c r="O163" s="145">
        <f>VLOOKUP($A163&amp;" CP",'2016 PRIOR'!$A$13:$R$196,'2016 PRIOR'!N$9,FALSE)</f>
        <v>60000</v>
      </c>
    </row>
    <row r="164" spans="1:15">
      <c r="A164" t="s">
        <v>986</v>
      </c>
      <c r="B164" t="s">
        <v>727</v>
      </c>
      <c r="C164" s="240" t="s">
        <v>147</v>
      </c>
      <c r="D164" s="145">
        <f>VLOOKUP($A164&amp;" GNCP",'2016 PRIOR'!$A$13:$R$196,'2016 PRIOR'!C$9,FALSE)</f>
        <v>60000</v>
      </c>
      <c r="E164" s="145">
        <f>VLOOKUP($A164&amp;" GNCP",'2016 PRIOR'!$A$13:$R$196,'2016 PRIOR'!D$9,FALSE)</f>
        <v>60000</v>
      </c>
      <c r="F164" s="145">
        <f>VLOOKUP($A164&amp;" GNCP",'2016 PRIOR'!$A$13:$R$196,'2016 PRIOR'!E$9,FALSE)</f>
        <v>60000</v>
      </c>
      <c r="G164" s="145">
        <f>VLOOKUP($A164&amp;" GNCP",'2016 PRIOR'!$A$13:$R$196,'2016 PRIOR'!F$9,FALSE)</f>
        <v>60000</v>
      </c>
      <c r="H164" s="145">
        <f>VLOOKUP($A164&amp;" GNCP",'2016 PRIOR'!$A$13:$R$196,'2016 PRIOR'!G$9,FALSE)</f>
        <v>60000</v>
      </c>
      <c r="I164" s="145">
        <f>VLOOKUP($A164&amp;" GNCP",'2016 PRIOR'!$A$13:$R$196,'2016 PRIOR'!H$9,FALSE)</f>
        <v>60000</v>
      </c>
      <c r="J164" s="145">
        <f>VLOOKUP($A164&amp;" GNCP",'2016 PRIOR'!$A$13:$R$196,'2016 PRIOR'!I$9,FALSE)</f>
        <v>60000</v>
      </c>
      <c r="K164" s="145">
        <f>VLOOKUP($A164&amp;" GNCP",'2016 PRIOR'!$A$13:$R$196,'2016 PRIOR'!J$9,FALSE)</f>
        <v>60000</v>
      </c>
      <c r="L164" s="145">
        <f>VLOOKUP($A164&amp;" GNCP",'2016 PRIOR'!$A$13:$R$196,'2016 PRIOR'!K$9,FALSE)</f>
        <v>60000</v>
      </c>
      <c r="M164" s="145">
        <f>VLOOKUP($A164&amp;" GNCP",'2016 PRIOR'!$A$13:$R$196,'2016 PRIOR'!L$9,FALSE)</f>
        <v>60000</v>
      </c>
      <c r="N164" s="145">
        <f>VLOOKUP($A164&amp;" GNCP",'2016 PRIOR'!$A$13:$R$196,'2016 PRIOR'!M$9,FALSE)</f>
        <v>60000</v>
      </c>
      <c r="O164" s="145">
        <f>VLOOKUP($A164&amp;" GNCP",'2016 PRIOR'!$A$13:$R$196,'2016 PRIOR'!N$9,FALSE)</f>
        <v>60000</v>
      </c>
    </row>
    <row r="165" spans="1:15">
      <c r="A165" t="s">
        <v>986</v>
      </c>
      <c r="B165" t="s">
        <v>727</v>
      </c>
      <c r="C165" s="240" t="s">
        <v>133</v>
      </c>
      <c r="D165" s="145">
        <f>VLOOKUP($A165&amp;" NCP",'2016 PRIOR'!$A$13:$R$196,'2016 PRIOR'!C$9,FALSE)</f>
        <v>60000</v>
      </c>
      <c r="E165" s="145">
        <f>VLOOKUP($A165&amp;" NCP",'2016 PRIOR'!$A$13:$R$196,'2016 PRIOR'!D$9,FALSE)</f>
        <v>60000</v>
      </c>
      <c r="F165" s="145">
        <f>VLOOKUP($A165&amp;" NCP",'2016 PRIOR'!$A$13:$R$196,'2016 PRIOR'!E$9,FALSE)</f>
        <v>60000</v>
      </c>
      <c r="G165" s="145">
        <f>VLOOKUP($A165&amp;" NCP",'2016 PRIOR'!$A$13:$R$196,'2016 PRIOR'!F$9,FALSE)</f>
        <v>60000</v>
      </c>
      <c r="H165" s="145">
        <f>VLOOKUP($A165&amp;" NCP",'2016 PRIOR'!$A$13:$R$196,'2016 PRIOR'!G$9,FALSE)</f>
        <v>60000</v>
      </c>
      <c r="I165" s="145">
        <f>VLOOKUP($A165&amp;" NCP",'2016 PRIOR'!$A$13:$R$196,'2016 PRIOR'!H$9,FALSE)</f>
        <v>60000</v>
      </c>
      <c r="J165" s="145">
        <f>VLOOKUP($A165&amp;" NCP",'2016 PRIOR'!$A$13:$R$196,'2016 PRIOR'!I$9,FALSE)</f>
        <v>60000</v>
      </c>
      <c r="K165" s="145">
        <f>VLOOKUP($A165&amp;" NCP",'2016 PRIOR'!$A$13:$R$196,'2016 PRIOR'!J$9,FALSE)</f>
        <v>60000</v>
      </c>
      <c r="L165" s="145">
        <f>VLOOKUP($A165&amp;" NCP",'2016 PRIOR'!$A$13:$R$196,'2016 PRIOR'!K$9,FALSE)</f>
        <v>60000</v>
      </c>
      <c r="M165" s="145">
        <f>VLOOKUP($A165&amp;" NCP",'2016 PRIOR'!$A$13:$R$196,'2016 PRIOR'!L$9,FALSE)</f>
        <v>60000</v>
      </c>
      <c r="N165" s="145">
        <f>VLOOKUP($A165&amp;" NCP",'2016 PRIOR'!$A$13:$R$196,'2016 PRIOR'!M$9,FALSE)</f>
        <v>60000</v>
      </c>
      <c r="O165" s="145">
        <f>VLOOKUP($A165&amp;" NCP",'2016 PRIOR'!$A$13:$R$196,'2016 PRIOR'!N$9,FALSE)</f>
        <v>60000</v>
      </c>
    </row>
  </sheetData>
  <pageMargins left="0.25" right="0.25" top="1" bottom="0.5" header="0.75" footer="0"/>
  <pageSetup scale="70" fitToHeight="0" orientation="landscape" r:id="rId1"/>
  <headerFooter alignWithMargins="0">
    <oddHeader>&amp;C&amp;"Arial,Bold"&amp;16&amp;A</oddHeader>
    <oddFooter>&amp;L&amp;D - &amp;T&amp;CPage &amp;P of &amp;N&amp;R&amp;F</oddFooter>
  </headerFooter>
  <rowBreaks count="1" manualBreakCount="1">
    <brk id="4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pageSetUpPr fitToPage="1"/>
  </sheetPr>
  <dimension ref="A1:AH92"/>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 min="18" max="18" width="10.6640625" bestFit="1" customWidth="1"/>
    <col min="19" max="19" width="16.109375" bestFit="1" customWidth="1"/>
    <col min="20" max="20" width="9.44140625" bestFit="1" customWidth="1"/>
    <col min="21" max="21" width="7" customWidth="1"/>
    <col min="22" max="22" width="8.44140625" customWidth="1"/>
    <col min="23" max="23" width="11.5546875" bestFit="1" customWidth="1"/>
  </cols>
  <sheetData>
    <row r="1" spans="1:17" s="8" customFormat="1" ht="15.6">
      <c r="A1" s="624"/>
      <c r="B1" s="8" t="s">
        <v>1296</v>
      </c>
    </row>
    <row r="2" spans="1:17" s="8" customFormat="1" ht="15.6">
      <c r="A2" s="624"/>
      <c r="B2" s="8" t="s">
        <v>1267</v>
      </c>
    </row>
    <row r="3" spans="1:17" s="8" customFormat="1" ht="15.6">
      <c r="A3" s="624"/>
    </row>
    <row r="4" spans="1:17" ht="21">
      <c r="A4" s="124" t="s">
        <v>449</v>
      </c>
    </row>
    <row r="5" spans="1:17" ht="21">
      <c r="A5" s="124" t="s">
        <v>434</v>
      </c>
    </row>
    <row r="6" spans="1:17" ht="15.6" thickBot="1"/>
    <row r="7" spans="1:17" ht="15.6" thickBot="1">
      <c r="C7" s="572" t="s">
        <v>339</v>
      </c>
      <c r="D7" s="573"/>
      <c r="E7" s="574"/>
      <c r="F7" s="575" t="s">
        <v>340</v>
      </c>
      <c r="G7" s="576"/>
      <c r="H7" s="576"/>
      <c r="I7" s="576"/>
      <c r="J7" s="576"/>
      <c r="K7" s="576"/>
      <c r="L7" s="577"/>
      <c r="M7" s="572" t="s">
        <v>339</v>
      </c>
      <c r="N7" s="574"/>
    </row>
    <row r="8" spans="1:17"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7" hidden="1">
      <c r="B9" t="s">
        <v>55</v>
      </c>
      <c r="C9" s="320">
        <v>3</v>
      </c>
      <c r="D9" s="320">
        <v>4</v>
      </c>
      <c r="E9" s="320">
        <v>5</v>
      </c>
      <c r="F9" s="320">
        <v>6</v>
      </c>
      <c r="G9" s="320">
        <v>7</v>
      </c>
      <c r="H9" s="320">
        <v>8</v>
      </c>
      <c r="I9" s="320">
        <v>9</v>
      </c>
      <c r="J9" s="320">
        <v>10</v>
      </c>
      <c r="K9" s="320">
        <v>11</v>
      </c>
      <c r="L9" s="320">
        <v>12</v>
      </c>
      <c r="M9" s="320">
        <v>13</v>
      </c>
      <c r="N9" s="320">
        <v>14</v>
      </c>
      <c r="O9" s="10"/>
      <c r="P9" s="331"/>
      <c r="Q9" s="10"/>
    </row>
    <row r="10" spans="1:17" s="10" customFormat="1">
      <c r="A10" s="123"/>
      <c r="C10" s="122"/>
      <c r="D10" s="122"/>
      <c r="E10" s="122"/>
      <c r="F10" s="122"/>
      <c r="G10" s="122"/>
      <c r="H10" s="122"/>
      <c r="I10" s="122"/>
      <c r="J10" s="122"/>
      <c r="K10" s="122"/>
      <c r="L10" s="122"/>
      <c r="M10" s="122"/>
      <c r="N10" s="122"/>
    </row>
    <row r="11" spans="1:17" s="110" customFormat="1" ht="15.6">
      <c r="A11" s="120"/>
    </row>
    <row r="12" spans="1:17" s="110" customFormat="1" ht="15.6">
      <c r="A12" s="120" t="s">
        <v>343</v>
      </c>
    </row>
    <row r="13" spans="1:17" s="110" customFormat="1">
      <c r="A13" s="119"/>
      <c r="B13" s="148" t="s">
        <v>148</v>
      </c>
      <c r="C13" s="115">
        <f>VLOOKUP($B$9,'Avg KWH'!$A$12:$O$38,C9,FALSE)/HOURS!B15/VLOOKUP($B$9,'Avg CP'!$A$12:$P$38,C9,FALSE)</f>
        <v>1.0000758778841261</v>
      </c>
      <c r="D13" s="115">
        <f>VLOOKUP($B$9,'Avg KWH'!$A$12:$O$38,D9,FALSE)/HOURS!C15/VLOOKUP($B$9,'Avg CP'!$A$12:$P$38,D9,FALSE)</f>
        <v>0.99978379329874034</v>
      </c>
      <c r="E13" s="115">
        <f>VLOOKUP($B$9,'Avg KWH'!$A$12:$O$38,E9,FALSE)/HOURS!D15/VLOOKUP($B$9,'Avg CP'!$A$12:$P$38,E9,FALSE)</f>
        <v>0.99864752059431272</v>
      </c>
      <c r="F13" s="115">
        <f>VLOOKUP($B$9,'Avg KWH'!$A$12:$O$38,F9,FALSE)/HOURS!E15/VLOOKUP($B$9,'Avg CP'!$A$12:$P$38,F9,FALSE)</f>
        <v>1.0000240582897992</v>
      </c>
      <c r="G13" s="115">
        <f>VLOOKUP($B$9,'Avg KWH'!$A$12:$O$38,G9,FALSE)/HOURS!F15/VLOOKUP($B$9,'Avg CP'!$A$12:$P$38,G9,FALSE)</f>
        <v>1.0000360159880335</v>
      </c>
      <c r="H13" s="115">
        <f>VLOOKUP($B$9,'Avg KWH'!$A$12:$O$38,H9,FALSE)/HOURS!G15/VLOOKUP($B$9,'Avg CP'!$A$12:$P$38,H9,FALSE)</f>
        <v>1.0000971502590674</v>
      </c>
      <c r="I13" s="115">
        <f>VLOOKUP($B$9,'Avg KWH'!$A$12:$O$38,I9,FALSE)/HOURS!H15/VLOOKUP($B$9,'Avg CP'!$A$12:$P$38,I9,FALSE)</f>
        <v>0.99995011481267726</v>
      </c>
      <c r="J13" s="115">
        <f>VLOOKUP($B$9,'Avg KWH'!$A$12:$O$38,J9,FALSE)/HOURS!I15/VLOOKUP($B$9,'Avg CP'!$A$12:$P$38,J9,FALSE)</f>
        <v>1.0000409774539751</v>
      </c>
      <c r="K13" s="115">
        <f>VLOOKUP($B$9,'Avg KWH'!$A$12:$O$38,K9,FALSE)/HOURS!J15/VLOOKUP($B$9,'Avg CP'!$A$12:$P$38,K9,FALSE)</f>
        <v>0.99991407979326186</v>
      </c>
      <c r="L13" s="115">
        <f>VLOOKUP($B$9,'Avg KWH'!$A$12:$O$38,L9,FALSE)/HOURS!K15/VLOOKUP($B$9,'Avg CP'!$A$12:$P$38,L9,FALSE)</f>
        <v>0.99999923253557976</v>
      </c>
      <c r="M13" s="115">
        <f>VLOOKUP($B$9,'Avg KWH'!$A$12:$O$38,M9,FALSE)/HOURS!L15/VLOOKUP($B$9,'Avg CP'!$A$12:$P$38,M9,FALSE)</f>
        <v>0.99859327687965105</v>
      </c>
      <c r="N13" s="115">
        <f>VLOOKUP($B$9,'Avg KWH'!$A$12:$O$38,N9,FALSE)/HOURS!M15/VLOOKUP($B$9,'Avg CP'!$A$12:$P$38,N9,FALSE)</f>
        <v>1.0000017846362197</v>
      </c>
    </row>
    <row r="14" spans="1:17" s="110" customFormat="1">
      <c r="A14" s="119"/>
      <c r="B14" s="118" t="s">
        <v>342</v>
      </c>
      <c r="C14" s="115">
        <f>VLOOKUP($B$9,'Avg KWH'!$A$12:$O$38,C9,FALSE)/HOURS!B15/VLOOKUP($B$9,'Avg GNCP'!$A$11:$P$37,C9,FALSE)</f>
        <v>1.0000758778841261</v>
      </c>
      <c r="D14" s="115">
        <f>VLOOKUP($B$9,'Avg KWH'!$A$12:$O$38,D9,FALSE)/HOURS!C15/VLOOKUP($B$9,'Avg GNCP'!$A$11:$P$37,D9,FALSE)</f>
        <v>0.99978379329874034</v>
      </c>
      <c r="E14" s="115">
        <f>VLOOKUP($B$9,'Avg KWH'!$A$12:$O$38,E9,FALSE)/HOURS!D15/VLOOKUP($B$9,'Avg GNCP'!$A$11:$P$37,E9,FALSE)</f>
        <v>0.99864752059431272</v>
      </c>
      <c r="F14" s="115">
        <f>VLOOKUP($B$9,'Avg KWH'!$A$12:$O$38,F9,FALSE)/HOURS!E15/VLOOKUP($B$9,'Avg GNCP'!$A$11:$P$37,F9,FALSE)</f>
        <v>1.0000240582897992</v>
      </c>
      <c r="G14" s="115">
        <f>VLOOKUP($B$9,'Avg KWH'!$A$12:$O$38,G9,FALSE)/HOURS!F15/VLOOKUP($B$9,'Avg GNCP'!$A$11:$P$37,G9,FALSE)</f>
        <v>1.0000360159880335</v>
      </c>
      <c r="H14" s="115">
        <f>VLOOKUP($B$9,'Avg KWH'!$A$12:$O$38,H9,FALSE)/HOURS!G15/VLOOKUP($B$9,'Avg GNCP'!$A$11:$P$37,H9,FALSE)</f>
        <v>1.0000971502590674</v>
      </c>
      <c r="I14" s="115">
        <f>VLOOKUP($B$9,'Avg KWH'!$A$12:$O$38,I9,FALSE)/HOURS!H15/VLOOKUP($B$9,'Avg GNCP'!$A$11:$P$37,I9,FALSE)</f>
        <v>0.99995011481267726</v>
      </c>
      <c r="J14" s="115">
        <f>VLOOKUP($B$9,'Avg KWH'!$A$12:$O$38,J9,FALSE)/HOURS!I15/VLOOKUP($B$9,'Avg GNCP'!$A$11:$P$37,J9,FALSE)</f>
        <v>1.0000409774539751</v>
      </c>
      <c r="K14" s="115">
        <f>VLOOKUP($B$9,'Avg KWH'!$A$12:$O$38,K9,FALSE)/HOURS!J15/VLOOKUP($B$9,'Avg GNCP'!$A$11:$P$37,K9,FALSE)</f>
        <v>0.99991407979326186</v>
      </c>
      <c r="L14" s="115">
        <f>VLOOKUP($B$9,'Avg KWH'!$A$12:$O$38,L9,FALSE)/HOURS!K15/VLOOKUP($B$9,'Avg GNCP'!$A$11:$P$37,L9,FALSE)</f>
        <v>0.99999923253557976</v>
      </c>
      <c r="M14" s="115">
        <f>VLOOKUP($B$9,'Avg KWH'!$A$12:$O$38,M9,FALSE)/HOURS!L15/VLOOKUP($B$9,'Avg GNCP'!$A$11:$P$37,M9,FALSE)</f>
        <v>0.99859327687965105</v>
      </c>
      <c r="N14" s="115">
        <f>VLOOKUP($B$9,'Avg KWH'!$A$12:$O$38,N9,FALSE)/HOURS!M15/VLOOKUP($B$9,'Avg GNCP'!$A$11:$P$37,N9,FALSE)</f>
        <v>1.0000017846362197</v>
      </c>
    </row>
    <row r="15" spans="1:17" s="10" customFormat="1">
      <c r="A15" s="119"/>
      <c r="B15" s="148" t="s">
        <v>133</v>
      </c>
      <c r="C15" s="115">
        <f>IFERROR(VLOOKUP($B$9,'Avg KWH'!$A$12:$O$38,C9,FALSE)/HOURS!B15/VLOOKUP($B$9,'Avg NCP'!$B$12:$P$38,C9-1,FALSE),"")</f>
        <v>1.0000758778841261</v>
      </c>
      <c r="D15" s="115">
        <f>IFERROR(VLOOKUP($B$9,'Avg KWH'!$A$12:$O$38,D9,FALSE)/HOURS!C15/VLOOKUP($B$9,'Avg NCP'!$B$12:$P$38,D9-1,FALSE),"")</f>
        <v>0.99978379329874034</v>
      </c>
      <c r="E15" s="115">
        <f>IFERROR(VLOOKUP($B$9,'Avg KWH'!$A$12:$O$38,E9,FALSE)/HOURS!D15/VLOOKUP($B$9,'Avg NCP'!$B$12:$P$38,E9-1,FALSE),"")</f>
        <v>0.99864752059431272</v>
      </c>
      <c r="F15" s="115">
        <f>IFERROR(VLOOKUP($B$9,'Avg KWH'!$A$12:$O$38,F9,FALSE)/HOURS!E15/VLOOKUP($B$9,'Avg NCP'!$B$12:$P$38,F9-1,FALSE),"")</f>
        <v>1.0000240582897992</v>
      </c>
      <c r="G15" s="115">
        <f>IFERROR(VLOOKUP($B$9,'Avg KWH'!$A$12:$O$38,G9,FALSE)/HOURS!F15/VLOOKUP($B$9,'Avg NCP'!$B$12:$P$38,G9-1,FALSE),"")</f>
        <v>1.0000360159880335</v>
      </c>
      <c r="H15" s="115">
        <f>IFERROR(VLOOKUP($B$9,'Avg KWH'!$A$12:$O$38,H9,FALSE)/HOURS!G15/VLOOKUP($B$9,'Avg NCP'!$B$12:$P$38,H9-1,FALSE),"")</f>
        <v>1.0000971502590674</v>
      </c>
      <c r="I15" s="115">
        <f>IFERROR(VLOOKUP($B$9,'Avg KWH'!$A$12:$O$38,I9,FALSE)/HOURS!H15/VLOOKUP($B$9,'Avg NCP'!$B$12:$P$38,I9-1,FALSE),"")</f>
        <v>0.99995011481267726</v>
      </c>
      <c r="J15" s="115">
        <f>IFERROR(VLOOKUP($B$9,'Avg KWH'!$A$12:$O$38,J9,FALSE)/HOURS!I15/VLOOKUP($B$9,'Avg NCP'!$B$12:$P$38,J9-1,FALSE),"")</f>
        <v>1.0000409774539751</v>
      </c>
      <c r="K15" s="115">
        <f>IFERROR(VLOOKUP($B$9,'Avg KWH'!$A$12:$O$38,K9,FALSE)/HOURS!J15/VLOOKUP($B$9,'Avg NCP'!$B$12:$P$38,K9-1,FALSE),"")</f>
        <v>0.99991407979326186</v>
      </c>
      <c r="L15" s="115">
        <f>IFERROR(VLOOKUP($B$9,'Avg KWH'!$A$12:$O$38,L9,FALSE)/HOURS!K15/VLOOKUP($B$9,'Avg NCP'!$B$12:$P$38,L9-1,FALSE),"")</f>
        <v>0.99999923253557976</v>
      </c>
      <c r="M15" s="115">
        <f>IFERROR(VLOOKUP($B$9,'Avg KWH'!$A$12:$O$38,M9,FALSE)/HOURS!L15/VLOOKUP($B$9,'Avg NCP'!$B$12:$P$38,M9-1,FALSE),"")</f>
        <v>0.99859327687965105</v>
      </c>
      <c r="N15" s="115">
        <f>IFERROR(VLOOKUP($B$9,'Avg KWH'!$A$12:$O$38,N9,FALSE)/HOURS!M15/VLOOKUP($B$9,'Avg NCP'!$B$12:$P$38,N9-1,FALSE),"")</f>
        <v>1.0000017846362197</v>
      </c>
    </row>
    <row r="16" spans="1:17">
      <c r="A16" s="114"/>
      <c r="C16" s="116"/>
      <c r="D16" s="116"/>
      <c r="E16" s="116"/>
      <c r="F16" s="116"/>
      <c r="G16" s="116"/>
      <c r="H16" s="116"/>
      <c r="I16" s="116"/>
      <c r="J16" s="116"/>
      <c r="K16" s="116"/>
      <c r="L16" s="116"/>
      <c r="M16" s="117"/>
      <c r="N16" s="116"/>
    </row>
    <row r="17" spans="1:34" ht="15.6">
      <c r="A17" s="113" t="s">
        <v>421</v>
      </c>
      <c r="C17" s="5"/>
      <c r="D17" s="5"/>
      <c r="E17" s="5"/>
      <c r="F17" s="5"/>
      <c r="G17" s="5"/>
      <c r="H17" s="5"/>
      <c r="I17" s="5"/>
      <c r="J17" s="5"/>
      <c r="K17" s="5"/>
      <c r="L17" s="5"/>
      <c r="M17" s="115"/>
      <c r="N17" s="5"/>
    </row>
    <row r="18" spans="1:34">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34">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34">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34">
      <c r="A21" s="114"/>
      <c r="C21" s="5"/>
      <c r="D21" s="5"/>
      <c r="E21" s="5"/>
      <c r="F21" s="5"/>
      <c r="G21" s="5"/>
      <c r="H21" s="5"/>
      <c r="I21" s="5"/>
      <c r="J21" s="5"/>
      <c r="K21" s="5"/>
      <c r="L21" s="5"/>
      <c r="M21" s="115"/>
      <c r="N21" s="5"/>
    </row>
    <row r="22" spans="1:34" ht="15.6">
      <c r="A22" s="113" t="s">
        <v>427</v>
      </c>
      <c r="C22" s="5"/>
      <c r="D22" s="5"/>
      <c r="E22" s="5"/>
      <c r="F22" s="5"/>
      <c r="G22" s="5"/>
      <c r="H22" s="5"/>
      <c r="I22" s="5"/>
      <c r="J22" s="5"/>
      <c r="K22" s="5"/>
      <c r="L22" s="5"/>
      <c r="M22" s="115"/>
      <c r="N22" s="5"/>
    </row>
    <row r="23" spans="1:34">
      <c r="A23" s="114"/>
      <c r="B23" t="s">
        <v>428</v>
      </c>
      <c r="C23" s="145">
        <v>0</v>
      </c>
      <c r="D23" s="145">
        <v>0</v>
      </c>
      <c r="E23" s="145">
        <v>0</v>
      </c>
      <c r="F23" s="145">
        <v>0</v>
      </c>
      <c r="G23" s="145">
        <v>0</v>
      </c>
      <c r="H23" s="145">
        <v>0</v>
      </c>
      <c r="I23" s="145">
        <v>0</v>
      </c>
      <c r="J23" s="145">
        <v>0</v>
      </c>
      <c r="K23" s="145">
        <v>0</v>
      </c>
      <c r="L23" s="145">
        <v>0</v>
      </c>
      <c r="M23" s="145">
        <v>0</v>
      </c>
      <c r="N23" s="145">
        <v>0</v>
      </c>
    </row>
    <row r="24" spans="1:34">
      <c r="A24" s="114"/>
      <c r="B24" t="s">
        <v>429</v>
      </c>
      <c r="C24" s="145">
        <v>0</v>
      </c>
      <c r="D24" s="145">
        <v>0</v>
      </c>
      <c r="E24" s="145">
        <v>0</v>
      </c>
      <c r="F24" s="145">
        <v>0</v>
      </c>
      <c r="G24" s="145">
        <v>0</v>
      </c>
      <c r="H24" s="145">
        <v>0</v>
      </c>
      <c r="I24" s="145">
        <v>0</v>
      </c>
      <c r="J24" s="145">
        <v>0</v>
      </c>
      <c r="K24" s="145">
        <v>0</v>
      </c>
      <c r="L24" s="145">
        <v>0</v>
      </c>
      <c r="M24" s="145">
        <v>0</v>
      </c>
      <c r="N24" s="145">
        <v>0</v>
      </c>
      <c r="V24" s="522"/>
      <c r="W24" s="523"/>
      <c r="X24" s="523"/>
      <c r="Y24" s="523"/>
      <c r="Z24" s="523"/>
      <c r="AA24" s="523"/>
      <c r="AB24" s="523"/>
      <c r="AC24" s="523"/>
      <c r="AD24" s="523"/>
      <c r="AE24" s="523"/>
      <c r="AF24" s="523"/>
      <c r="AG24" s="523"/>
      <c r="AH24" s="523"/>
    </row>
    <row r="25" spans="1:34">
      <c r="A25" s="114"/>
      <c r="C25" s="5"/>
      <c r="D25" s="5"/>
      <c r="E25" s="5"/>
      <c r="F25" s="5"/>
      <c r="G25" s="5"/>
      <c r="H25" s="5"/>
      <c r="I25" s="5"/>
      <c r="J25" s="5"/>
      <c r="K25" s="5"/>
      <c r="L25" s="5"/>
      <c r="M25" s="115"/>
      <c r="N25" s="5"/>
      <c r="V25" s="206"/>
      <c r="W25" s="523"/>
      <c r="X25" s="523"/>
      <c r="Y25" s="523"/>
      <c r="Z25" s="523"/>
      <c r="AA25" s="523"/>
      <c r="AB25" s="523"/>
      <c r="AC25" s="523"/>
      <c r="AD25" s="523"/>
      <c r="AE25" s="523"/>
      <c r="AF25" s="523"/>
      <c r="AG25" s="523"/>
      <c r="AH25" s="523"/>
    </row>
    <row r="26" spans="1:34" ht="15.6">
      <c r="A26" s="113" t="s">
        <v>424</v>
      </c>
      <c r="C26" s="5"/>
      <c r="D26" s="5"/>
      <c r="E26" s="5"/>
      <c r="F26" s="5"/>
      <c r="G26" s="5"/>
      <c r="H26" s="5"/>
      <c r="I26" s="5"/>
      <c r="J26" s="5"/>
      <c r="K26" s="5"/>
      <c r="L26" s="5"/>
      <c r="M26" s="115"/>
      <c r="N26" s="5"/>
      <c r="V26" s="206"/>
      <c r="W26" s="523"/>
      <c r="X26" s="523"/>
      <c r="Y26" s="523"/>
      <c r="Z26" s="523"/>
      <c r="AA26" s="523"/>
      <c r="AB26" s="523"/>
      <c r="AC26" s="523"/>
      <c r="AD26" s="523"/>
      <c r="AE26" s="523"/>
      <c r="AF26" s="523"/>
      <c r="AG26" s="523"/>
      <c r="AH26" s="523"/>
    </row>
    <row r="27" spans="1:34" s="106" customFormat="1">
      <c r="A27" s="109"/>
      <c r="B27" s="108" t="str">
        <f>"PRIOR - "&amp;MANUAL!$B$9</f>
        <v>PRIOR - 2016</v>
      </c>
      <c r="C27" s="142">
        <f>VLOOKUP($B$9,'Sales Forecast'!$B$7:$AO$23,C9-1,FALSE)</f>
        <v>2639277</v>
      </c>
      <c r="D27" s="142">
        <f>VLOOKUP($B$9,'Sales Forecast'!$B$7:$AO$23,D9-1,FALSE)</f>
        <v>2645291</v>
      </c>
      <c r="E27" s="142">
        <f>VLOOKUP($B$9,'Sales Forecast'!$B$7:$AO$23,E9-1,FALSE)</f>
        <v>2653067</v>
      </c>
      <c r="F27" s="142">
        <f>VLOOKUP($B$9,'Sales Forecast'!$B$7:$AO$23,F9-1,FALSE)</f>
        <v>2656076</v>
      </c>
      <c r="G27" s="142">
        <f>VLOOKUP($B$9,'Sales Forecast'!$B$7:$AO$23,G9-1,FALSE)</f>
        <v>2664746</v>
      </c>
      <c r="H27" s="142">
        <f>VLOOKUP($B$9,'Sales Forecast'!$B$7:$AO$23,H9-1,FALSE)</f>
        <v>2672542</v>
      </c>
      <c r="I27" s="142">
        <f>VLOOKUP($B$9,'Sales Forecast'!$B$7:$AO$23,I9-1,FALSE)</f>
        <v>2675556</v>
      </c>
      <c r="J27" s="142">
        <f>VLOOKUP($B$9,'Sales Forecast'!$B$7:$AO$23,J9-1,FALSE)</f>
        <v>2681584</v>
      </c>
      <c r="K27" s="142">
        <f>VLOOKUP($B$9,'Sales Forecast'!$B$7:$AO$23,K9-1,FALSE)</f>
        <v>2682818</v>
      </c>
      <c r="L27" s="142">
        <f>VLOOKUP($B$9,'Sales Forecast'!$B$7:$AO$23,L9-1,FALSE)</f>
        <v>2690626</v>
      </c>
      <c r="M27" s="142">
        <f>VLOOKUP($B$9,'Sales Forecast'!$B$7:$AO$23,M9-1,FALSE)</f>
        <v>2697548</v>
      </c>
      <c r="N27" s="142">
        <f>VLOOKUP($B$9,'Sales Forecast'!$B$7:$AO$23,N9-1,FALSE)</f>
        <v>2698773</v>
      </c>
      <c r="V27" s="206"/>
      <c r="W27" s="523"/>
      <c r="X27" s="523"/>
      <c r="Y27" s="523"/>
      <c r="Z27" s="523"/>
      <c r="AA27" s="523"/>
      <c r="AB27" s="523"/>
      <c r="AC27" s="523"/>
      <c r="AD27" s="523"/>
      <c r="AE27" s="523"/>
      <c r="AF27" s="523"/>
      <c r="AG27" s="523"/>
      <c r="AH27" s="523"/>
    </row>
    <row r="28" spans="1:34" s="12" customFormat="1" ht="15.6">
      <c r="A28" s="111"/>
      <c r="B28" s="108" t="str">
        <f>"TEST - "&amp;MANUAL!$B$10</f>
        <v>TEST - 2017</v>
      </c>
      <c r="C28" s="142">
        <f>VLOOKUP($B$9,'Sales Forecast'!$B$7:$AO$23,C9+11,FALSE)</f>
        <v>2699417</v>
      </c>
      <c r="D28" s="142">
        <f>VLOOKUP($B$9,'Sales Forecast'!$B$7:$AO$23,D9+11,FALSE)</f>
        <v>2705431</v>
      </c>
      <c r="E28" s="142">
        <f>VLOOKUP($B$9,'Sales Forecast'!$B$7:$AO$23,E9+11,FALSE)</f>
        <v>2710238</v>
      </c>
      <c r="F28" s="142">
        <f>VLOOKUP($B$9,'Sales Forecast'!$B$7:$AO$23,F9+11,FALSE)</f>
        <v>2716256</v>
      </c>
      <c r="G28" s="142">
        <f>VLOOKUP($B$9,'Sales Forecast'!$B$7:$AO$23,G9+11,FALSE)</f>
        <v>2721974</v>
      </c>
      <c r="H28" s="142">
        <f>VLOOKUP($B$9,'Sales Forecast'!$B$7:$AO$23,H9+11,FALSE)</f>
        <v>2729808</v>
      </c>
      <c r="I28" s="142">
        <f>VLOOKUP($B$9,'Sales Forecast'!$B$7:$AO$23,I9+11,FALSE)</f>
        <v>2735836</v>
      </c>
      <c r="J28" s="142">
        <f>VLOOKUP($B$9,'Sales Forecast'!$B$7:$AO$23,J9+11,FALSE)</f>
        <v>2738850</v>
      </c>
      <c r="K28" s="142">
        <f>VLOOKUP($B$9,'Sales Forecast'!$B$7:$AO$23,K9+11,FALSE)</f>
        <v>2743058</v>
      </c>
      <c r="L28" s="142">
        <f>VLOOKUP($B$9,'Sales Forecast'!$B$7:$AO$23,L9+11,FALSE)</f>
        <v>2747892</v>
      </c>
      <c r="M28" s="142">
        <f>VLOOKUP($B$9,'Sales Forecast'!$B$7:$AO$23,M9+11,FALSE)</f>
        <v>2754833</v>
      </c>
      <c r="N28" s="142">
        <f>VLOOKUP($B$9,'Sales Forecast'!$B$7:$AO$23,N9+11,FALSE)</f>
        <v>2759033</v>
      </c>
      <c r="V28" s="206"/>
      <c r="W28" s="523"/>
      <c r="X28" s="523"/>
      <c r="Y28" s="523"/>
      <c r="Z28" s="523"/>
      <c r="AA28" s="523"/>
      <c r="AB28" s="523"/>
      <c r="AC28" s="523"/>
      <c r="AD28" s="523"/>
      <c r="AE28" s="523"/>
      <c r="AF28" s="523"/>
      <c r="AG28" s="523"/>
      <c r="AH28" s="523"/>
    </row>
    <row r="29" spans="1:34">
      <c r="A29" s="114"/>
      <c r="B29" t="s">
        <v>1094</v>
      </c>
      <c r="C29" s="142">
        <f>VLOOKUP($B$9,'Sales Forecast'!$B$7:$AO$23,C9+23,FALSE)</f>
        <v>2756550</v>
      </c>
      <c r="D29" s="142">
        <f>VLOOKUP($B$9,'Sales Forecast'!$B$7:$AO$23,D9+23,FALSE)</f>
        <v>2762564</v>
      </c>
      <c r="E29" s="142">
        <f>VLOOKUP($B$9,'Sales Forecast'!$B$7:$AO$23,E9+23,FALSE)</f>
        <v>2767409</v>
      </c>
      <c r="F29" s="142">
        <f>VLOOKUP($B$9,'Sales Forecast'!$B$7:$AO$23,F9+23,FALSE)</f>
        <v>2773427</v>
      </c>
      <c r="G29" s="142">
        <f>VLOOKUP($B$9,'Sales Forecast'!$B$7:$AO$23,G9+23,FALSE)</f>
        <v>2782214</v>
      </c>
      <c r="H29" s="142">
        <f>VLOOKUP($B$9,'Sales Forecast'!$B$7:$AO$23,H9+23,FALSE)</f>
        <v>2787074</v>
      </c>
      <c r="I29" s="142">
        <f>VLOOKUP($B$9,'Sales Forecast'!$B$7:$AO$23,I9+23,FALSE)</f>
        <v>2793102</v>
      </c>
      <c r="J29" s="142">
        <f>VLOOKUP($B$9,'Sales Forecast'!$B$7:$AO$23,J9+23,FALSE)</f>
        <v>2796116</v>
      </c>
      <c r="K29" s="142">
        <f>VLOOKUP($B$9,'Sales Forecast'!$B$7:$AO$23,K9+23,FALSE)</f>
        <v>2800286</v>
      </c>
      <c r="L29" s="142">
        <f>VLOOKUP($B$9,'Sales Forecast'!$B$7:$AO$23,L9+23,FALSE)</f>
        <v>2808172</v>
      </c>
      <c r="M29" s="142">
        <f>VLOOKUP($B$9,'Sales Forecast'!$B$7:$AO$23,M9+23,FALSE)</f>
        <v>2812118</v>
      </c>
      <c r="N29" s="142">
        <f>VLOOKUP($B$9,'Sales Forecast'!$B$7:$AO$23,N9+23,FALSE)</f>
        <v>2816280</v>
      </c>
      <c r="V29" s="206"/>
      <c r="W29" s="524"/>
      <c r="X29" s="524"/>
      <c r="Y29" s="524"/>
      <c r="Z29" s="524"/>
      <c r="AA29" s="524"/>
      <c r="AB29" s="524"/>
      <c r="AC29" s="524"/>
      <c r="AD29" s="524"/>
      <c r="AE29" s="524"/>
      <c r="AF29" s="524"/>
      <c r="AG29" s="524"/>
      <c r="AH29" s="524"/>
    </row>
    <row r="30" spans="1:34">
      <c r="A30" s="114"/>
      <c r="C30" s="142"/>
      <c r="D30" s="142"/>
      <c r="E30" s="142"/>
      <c r="F30" s="142"/>
      <c r="G30" s="142"/>
      <c r="H30" s="142"/>
      <c r="I30" s="142"/>
      <c r="J30" s="142"/>
      <c r="K30" s="142"/>
      <c r="L30" s="142"/>
      <c r="M30" s="142"/>
      <c r="N30" s="142"/>
      <c r="V30" s="206"/>
      <c r="W30" s="524"/>
      <c r="X30" s="524"/>
      <c r="Y30" s="524"/>
      <c r="Z30" s="524"/>
      <c r="AA30" s="524"/>
      <c r="AB30" s="524"/>
      <c r="AC30" s="524"/>
      <c r="AD30" s="524"/>
      <c r="AE30" s="524"/>
      <c r="AF30" s="524"/>
      <c r="AG30" s="524"/>
      <c r="AH30" s="524"/>
    </row>
    <row r="31" spans="1:34" s="12" customFormat="1" ht="15.6">
      <c r="A31" s="113" t="s">
        <v>1248</v>
      </c>
      <c r="B31"/>
      <c r="C31" s="142"/>
      <c r="D31" s="142"/>
      <c r="E31" s="142"/>
      <c r="F31" s="142"/>
      <c r="G31" s="142"/>
      <c r="H31" s="142"/>
      <c r="I31" s="142"/>
      <c r="J31" s="142"/>
      <c r="K31" s="142"/>
      <c r="L31" s="142"/>
      <c r="M31" s="142"/>
      <c r="N31" s="142"/>
      <c r="R31"/>
      <c r="V31" s="206"/>
      <c r="W31" s="524"/>
      <c r="X31" s="524"/>
      <c r="Y31" s="524"/>
      <c r="Z31" s="524"/>
      <c r="AA31" s="524"/>
      <c r="AB31" s="524"/>
      <c r="AC31" s="524"/>
      <c r="AD31" s="524"/>
      <c r="AE31" s="524"/>
      <c r="AF31" s="524"/>
      <c r="AG31" s="524"/>
      <c r="AH31" s="524"/>
    </row>
    <row r="32" spans="1:34" s="12" customFormat="1">
      <c r="A32" s="114"/>
      <c r="B32" t="s">
        <v>1254</v>
      </c>
      <c r="C32" s="115">
        <v>0</v>
      </c>
      <c r="D32" s="115">
        <v>0</v>
      </c>
      <c r="E32" s="115">
        <v>0</v>
      </c>
      <c r="F32" s="115">
        <v>0</v>
      </c>
      <c r="G32" s="115">
        <v>0</v>
      </c>
      <c r="H32" s="115">
        <v>0</v>
      </c>
      <c r="I32" s="115">
        <v>0</v>
      </c>
      <c r="J32" s="115">
        <v>0</v>
      </c>
      <c r="K32" s="115">
        <v>0</v>
      </c>
      <c r="L32" s="115">
        <v>0</v>
      </c>
      <c r="M32" s="115">
        <v>0</v>
      </c>
      <c r="N32" s="115">
        <v>0</v>
      </c>
      <c r="R32"/>
      <c r="V32" s="206"/>
      <c r="W32" s="523"/>
      <c r="X32" s="523"/>
      <c r="Y32" s="523"/>
      <c r="Z32" s="523"/>
      <c r="AA32" s="523"/>
      <c r="AB32" s="523"/>
      <c r="AC32" s="523"/>
      <c r="AD32" s="523"/>
      <c r="AE32" s="523"/>
      <c r="AF32" s="523"/>
      <c r="AG32" s="523"/>
      <c r="AH32" s="523"/>
    </row>
    <row r="33" spans="1:34" s="12" customFormat="1">
      <c r="A33" s="114"/>
      <c r="B33" t="s">
        <v>1253</v>
      </c>
      <c r="C33" s="115">
        <v>0</v>
      </c>
      <c r="D33" s="115">
        <v>0</v>
      </c>
      <c r="E33" s="115">
        <v>0</v>
      </c>
      <c r="F33" s="115">
        <v>0</v>
      </c>
      <c r="G33" s="115">
        <v>0</v>
      </c>
      <c r="H33" s="115">
        <v>0</v>
      </c>
      <c r="I33" s="115">
        <v>0</v>
      </c>
      <c r="J33" s="115">
        <v>0</v>
      </c>
      <c r="K33" s="115">
        <v>0</v>
      </c>
      <c r="L33" s="115">
        <v>0</v>
      </c>
      <c r="M33" s="115">
        <v>0</v>
      </c>
      <c r="N33" s="115">
        <v>0</v>
      </c>
      <c r="R33"/>
    </row>
    <row r="34" spans="1:34" s="12" customFormat="1">
      <c r="A34" s="114"/>
      <c r="B34" t="s">
        <v>1252</v>
      </c>
      <c r="C34" s="115">
        <v>1</v>
      </c>
      <c r="D34" s="115">
        <v>1</v>
      </c>
      <c r="E34" s="115">
        <v>1</v>
      </c>
      <c r="F34" s="115">
        <v>1</v>
      </c>
      <c r="G34" s="115">
        <v>1</v>
      </c>
      <c r="H34" s="115">
        <v>1</v>
      </c>
      <c r="I34" s="115">
        <v>1</v>
      </c>
      <c r="J34" s="115">
        <v>1</v>
      </c>
      <c r="K34" s="115">
        <v>1</v>
      </c>
      <c r="L34" s="115">
        <v>1</v>
      </c>
      <c r="M34" s="115">
        <v>1</v>
      </c>
      <c r="N34" s="115">
        <v>1</v>
      </c>
      <c r="R34"/>
      <c r="W34" s="95"/>
      <c r="X34" s="95"/>
      <c r="Y34" s="95"/>
      <c r="Z34" s="95"/>
      <c r="AA34" s="95"/>
      <c r="AB34" s="95"/>
      <c r="AC34" s="95"/>
      <c r="AD34" s="95"/>
      <c r="AE34" s="95"/>
      <c r="AF34" s="95"/>
      <c r="AG34" s="95"/>
      <c r="AH34" s="95"/>
    </row>
    <row r="35" spans="1:34" s="12" customFormat="1" ht="15.6">
      <c r="A35" s="114"/>
      <c r="B35" s="513">
        <v>2017</v>
      </c>
      <c r="C35" s="115"/>
      <c r="D35" s="115"/>
      <c r="E35" s="115"/>
      <c r="F35" s="115"/>
      <c r="G35" s="115"/>
      <c r="H35" s="115"/>
      <c r="I35" s="115"/>
      <c r="J35" s="115"/>
      <c r="K35" s="115"/>
      <c r="L35" s="115"/>
      <c r="M35" s="115"/>
      <c r="N35" s="115"/>
      <c r="R35"/>
      <c r="W35" s="544"/>
      <c r="X35" s="544"/>
      <c r="Y35" s="544"/>
      <c r="Z35" s="544"/>
      <c r="AA35" s="544"/>
      <c r="AB35" s="544"/>
      <c r="AC35" s="544"/>
      <c r="AD35" s="544"/>
      <c r="AE35" s="544"/>
      <c r="AF35" s="544"/>
      <c r="AG35" s="544"/>
      <c r="AH35" s="544"/>
    </row>
    <row r="36" spans="1:34"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R36"/>
      <c r="W36" s="544"/>
      <c r="X36" s="544"/>
      <c r="Y36" s="544"/>
      <c r="Z36" s="544"/>
      <c r="AA36" s="544"/>
      <c r="AB36" s="544"/>
      <c r="AC36" s="544"/>
      <c r="AD36" s="544"/>
      <c r="AE36" s="544"/>
      <c r="AF36" s="544"/>
      <c r="AG36" s="544"/>
      <c r="AH36" s="544"/>
    </row>
    <row r="37" spans="1:34"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R37"/>
      <c r="W37" s="544"/>
      <c r="X37" s="544"/>
      <c r="Y37" s="544"/>
      <c r="Z37" s="544"/>
      <c r="AA37" s="544"/>
      <c r="AB37" s="544"/>
      <c r="AC37" s="544"/>
      <c r="AD37" s="544"/>
      <c r="AE37" s="544"/>
      <c r="AF37" s="544"/>
      <c r="AG37" s="544"/>
      <c r="AH37" s="544"/>
    </row>
    <row r="38" spans="1:34"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R38"/>
      <c r="W38" s="551"/>
      <c r="X38" s="551"/>
      <c r="Y38" s="551"/>
      <c r="Z38" s="551"/>
      <c r="AA38" s="551"/>
      <c r="AB38" s="551"/>
      <c r="AC38" s="551"/>
      <c r="AD38" s="551"/>
      <c r="AE38" s="551"/>
      <c r="AF38" s="551"/>
      <c r="AG38" s="551"/>
      <c r="AH38" s="551"/>
    </row>
    <row r="39" spans="1:34" s="12" customFormat="1">
      <c r="A39" s="114"/>
      <c r="B39" t="s">
        <v>1255</v>
      </c>
      <c r="C39" s="107">
        <f>IFERROR((+C$28/C$19/C13)+C23,0)</f>
        <v>3627.9733729707714</v>
      </c>
      <c r="D39" s="107">
        <f t="shared" ref="D39:N39" si="0">IFERROR((+D$28/D$19/D13)+D23,0)</f>
        <v>4026.8096113179017</v>
      </c>
      <c r="E39" s="107">
        <f t="shared" si="0"/>
        <v>3647.7264857021805</v>
      </c>
      <c r="F39" s="107">
        <f t="shared" si="0"/>
        <v>3772.48701819183</v>
      </c>
      <c r="G39" s="107">
        <f t="shared" si="0"/>
        <v>3658.4354421339704</v>
      </c>
      <c r="H39" s="107">
        <f t="shared" si="0"/>
        <v>3791.0317002881843</v>
      </c>
      <c r="I39" s="107">
        <f t="shared" si="0"/>
        <v>3677.3823716396491</v>
      </c>
      <c r="J39" s="107">
        <f t="shared" si="0"/>
        <v>3681.0991579286779</v>
      </c>
      <c r="K39" s="107">
        <f t="shared" si="0"/>
        <v>3810.1301449475309</v>
      </c>
      <c r="L39" s="107">
        <f t="shared" si="0"/>
        <v>3693.4060603641924</v>
      </c>
      <c r="M39" s="107">
        <f t="shared" si="0"/>
        <v>3831.5468700131928</v>
      </c>
      <c r="N39" s="107">
        <f t="shared" si="0"/>
        <v>3708.3710700787155</v>
      </c>
      <c r="R39"/>
      <c r="W39" s="551"/>
      <c r="X39" s="551"/>
      <c r="Y39" s="551"/>
      <c r="Z39" s="551"/>
      <c r="AA39" s="551"/>
      <c r="AB39" s="551"/>
      <c r="AC39" s="551"/>
      <c r="AD39" s="551"/>
      <c r="AE39" s="551"/>
      <c r="AF39" s="551"/>
      <c r="AG39" s="551"/>
      <c r="AH39" s="551"/>
    </row>
    <row r="40" spans="1:34" s="12" customFormat="1">
      <c r="A40" s="114"/>
      <c r="B40" t="s">
        <v>1256</v>
      </c>
      <c r="C40" s="107">
        <f>IFERROR((C39*C32*C36)+(C39*C33*C37)+(C39*C34*C38),0)</f>
        <v>3861.6515840007764</v>
      </c>
      <c r="D40" s="107">
        <f>IFERROR((D39*D32*D36)+(D39*D33*D37)+(D39*D34*D38),0)</f>
        <v>4286.1769134986998</v>
      </c>
      <c r="E40" s="107">
        <f t="shared" ref="E40:N40" si="1">IFERROR((E39*E32*E36)+(E39*E33*E37)+(E39*E34*E38),0)</f>
        <v>3882.676997151957</v>
      </c>
      <c r="F40" s="107">
        <f t="shared" si="1"/>
        <v>4015.4733708791787</v>
      </c>
      <c r="G40" s="107">
        <f t="shared" si="1"/>
        <v>3894.0757187842369</v>
      </c>
      <c r="H40" s="107">
        <f t="shared" si="1"/>
        <v>4035.2125182295181</v>
      </c>
      <c r="I40" s="107">
        <f t="shared" si="1"/>
        <v>3914.2430223489932</v>
      </c>
      <c r="J40" s="107">
        <f t="shared" si="1"/>
        <v>3918.1992072998955</v>
      </c>
      <c r="K40" s="107">
        <f t="shared" si="1"/>
        <v>4055.5410960576196</v>
      </c>
      <c r="L40" s="107">
        <f t="shared" si="1"/>
        <v>3931.2987988344748</v>
      </c>
      <c r="M40" s="107">
        <f t="shared" si="1"/>
        <v>4078.3372750180511</v>
      </c>
      <c r="N40" s="107">
        <f t="shared" si="1"/>
        <v>3947.2277066647312</v>
      </c>
      <c r="R40" s="508"/>
      <c r="W40" s="551"/>
      <c r="X40" s="551"/>
      <c r="Y40" s="551"/>
      <c r="Z40" s="551"/>
      <c r="AA40" s="551"/>
      <c r="AB40" s="551"/>
      <c r="AC40" s="551"/>
      <c r="AD40" s="551"/>
      <c r="AE40" s="551"/>
      <c r="AF40" s="551"/>
      <c r="AG40" s="551"/>
      <c r="AH40" s="551"/>
    </row>
    <row r="41" spans="1:34"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R41" s="508"/>
    </row>
    <row r="42" spans="1:34"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R42" s="508"/>
    </row>
    <row r="43" spans="1:34" s="12" customFormat="1">
      <c r="A43" s="114"/>
      <c r="B43" t="s">
        <v>1259</v>
      </c>
      <c r="C43" s="235">
        <f>IFERROR(C40*C42/C41,0)</f>
        <v>355.62902292556896</v>
      </c>
      <c r="D43" s="235">
        <f t="shared" ref="D43:N43" si="2">IFERROR(D40*D42/D41,0)</f>
        <v>29.515782341193333</v>
      </c>
      <c r="E43" s="235">
        <f t="shared" si="2"/>
        <v>461.712729679029</v>
      </c>
      <c r="F43" s="235">
        <f t="shared" si="2"/>
        <v>321.49967683112794</v>
      </c>
      <c r="G43" s="235">
        <f t="shared" si="2"/>
        <v>390.32994781224852</v>
      </c>
      <c r="H43" s="235">
        <f t="shared" si="2"/>
        <v>208.01337193856287</v>
      </c>
      <c r="I43" s="235">
        <f t="shared" si="2"/>
        <v>250.06008645232819</v>
      </c>
      <c r="J43" s="235">
        <f t="shared" si="2"/>
        <v>381.32479185499739</v>
      </c>
      <c r="K43" s="235">
        <f t="shared" si="2"/>
        <v>38.005859004590967</v>
      </c>
      <c r="L43" s="235">
        <f t="shared" si="2"/>
        <v>78.266660601663787</v>
      </c>
      <c r="M43" s="235">
        <f t="shared" si="2"/>
        <v>-84.571497470459661</v>
      </c>
      <c r="N43" s="235">
        <f t="shared" si="2"/>
        <v>102.68512346388678</v>
      </c>
      <c r="R43" s="508"/>
    </row>
    <row r="44" spans="1:34" s="12" customFormat="1">
      <c r="A44" s="114"/>
      <c r="B44" t="s">
        <v>1260</v>
      </c>
      <c r="C44" s="235">
        <f>IFERROR(((C43*C32)/C36)+((C43*C33)/C37)+((C43*C34)/C38),0)</f>
        <v>334.10901987508686</v>
      </c>
      <c r="D44" s="235">
        <f t="shared" ref="D44:N44" si="3">IFERROR(((D43*D32)/D36)+((D43*D33)/D37)+((D43*D34)/D38),0)</f>
        <v>27.729708412821111</v>
      </c>
      <c r="E44" s="235">
        <f t="shared" si="3"/>
        <v>433.77333578648194</v>
      </c>
      <c r="F44" s="235">
        <f t="shared" si="3"/>
        <v>302.04492600899687</v>
      </c>
      <c r="G44" s="235">
        <f t="shared" si="3"/>
        <v>366.71010486885592</v>
      </c>
      <c r="H44" s="235">
        <f t="shared" si="3"/>
        <v>195.42596171587181</v>
      </c>
      <c r="I44" s="235">
        <f t="shared" si="3"/>
        <v>234.9283242047228</v>
      </c>
      <c r="J44" s="235">
        <f t="shared" si="3"/>
        <v>358.24987345706484</v>
      </c>
      <c r="K44" s="235">
        <f t="shared" si="3"/>
        <v>35.706029269136081</v>
      </c>
      <c r="L44" s="235">
        <f t="shared" si="3"/>
        <v>73.530548905708741</v>
      </c>
      <c r="M44" s="235">
        <f t="shared" si="3"/>
        <v>-79.453864301557587</v>
      </c>
      <c r="N44" s="235">
        <f t="shared" si="3"/>
        <v>96.471389410340578</v>
      </c>
      <c r="R44" s="508"/>
    </row>
    <row r="45" spans="1:34" s="12" customFormat="1" ht="15.6">
      <c r="A45" s="114"/>
      <c r="B45" s="513">
        <v>2018</v>
      </c>
      <c r="C45" s="235"/>
      <c r="D45" s="235"/>
      <c r="E45" s="235"/>
      <c r="F45" s="235"/>
      <c r="G45" s="235"/>
      <c r="H45" s="235"/>
      <c r="I45" s="235"/>
      <c r="J45" s="235"/>
      <c r="K45" s="235"/>
      <c r="L45" s="235"/>
      <c r="M45" s="235"/>
      <c r="N45" s="235"/>
      <c r="R45" s="508"/>
    </row>
    <row r="46" spans="1:34"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R46" s="508"/>
    </row>
    <row r="47" spans="1:34"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R47" s="508"/>
      <c r="V47" s="522"/>
      <c r="W47" s="523"/>
      <c r="X47" s="523"/>
      <c r="Y47" s="523"/>
      <c r="Z47" s="523"/>
      <c r="AA47" s="523"/>
      <c r="AB47" s="523"/>
      <c r="AC47" s="523"/>
      <c r="AD47" s="523"/>
      <c r="AE47" s="523"/>
      <c r="AF47" s="523"/>
      <c r="AG47" s="523"/>
      <c r="AH47" s="523"/>
    </row>
    <row r="48" spans="1:34" s="12" customFormat="1">
      <c r="A48" s="114"/>
      <c r="B48" t="s">
        <v>1251</v>
      </c>
      <c r="C48">
        <v>1.06467</v>
      </c>
      <c r="D48">
        <v>1.06467</v>
      </c>
      <c r="E48">
        <v>1.06467</v>
      </c>
      <c r="F48">
        <v>1.06467</v>
      </c>
      <c r="G48">
        <v>1.06467</v>
      </c>
      <c r="H48">
        <v>1.06467</v>
      </c>
      <c r="I48">
        <v>1.06467</v>
      </c>
      <c r="J48">
        <v>1.06467</v>
      </c>
      <c r="K48">
        <v>1.06467</v>
      </c>
      <c r="L48">
        <v>1.06467</v>
      </c>
      <c r="M48">
        <v>1.06467</v>
      </c>
      <c r="N48">
        <v>1.06467</v>
      </c>
      <c r="R48" s="508"/>
      <c r="V48" s="206"/>
      <c r="W48" s="523"/>
      <c r="X48" s="523"/>
      <c r="Y48" s="523"/>
      <c r="Z48" s="523"/>
      <c r="AA48" s="523"/>
      <c r="AB48" s="523"/>
      <c r="AC48" s="523"/>
      <c r="AD48" s="523"/>
      <c r="AE48" s="523"/>
      <c r="AF48" s="523"/>
      <c r="AG48" s="523"/>
      <c r="AH48" s="523"/>
    </row>
    <row r="49" spans="1:34" s="12" customFormat="1">
      <c r="A49" s="114"/>
      <c r="B49" t="s">
        <v>1255</v>
      </c>
      <c r="C49" s="235">
        <f>IFERROR((+C$29/C$20/C13)+C23,0)</f>
        <v>3704.7592132903442</v>
      </c>
      <c r="D49" s="235">
        <f t="shared" ref="D49:N49" si="4">IFERROR((+D$29/D$20/D13)+D23,0)</f>
        <v>4111.8473422832913</v>
      </c>
      <c r="E49" s="235">
        <f t="shared" si="4"/>
        <v>3724.673296614757</v>
      </c>
      <c r="F49" s="235">
        <f t="shared" si="4"/>
        <v>3851.8892745760018</v>
      </c>
      <c r="G49" s="235">
        <f t="shared" si="4"/>
        <v>3739.4002680412532</v>
      </c>
      <c r="H49" s="235">
        <f t="shared" si="4"/>
        <v>3870.5600851960985</v>
      </c>
      <c r="I49" s="235">
        <f t="shared" si="4"/>
        <v>3754.3566416230533</v>
      </c>
      <c r="J49" s="235">
        <f t="shared" si="4"/>
        <v>3758.0664341131874</v>
      </c>
      <c r="K49" s="235">
        <f t="shared" si="4"/>
        <v>3889.620308092115</v>
      </c>
      <c r="L49" s="235">
        <f t="shared" si="4"/>
        <v>3774.427627921707</v>
      </c>
      <c r="M49" s="235">
        <f t="shared" si="4"/>
        <v>3911.2214500870869</v>
      </c>
      <c r="N49" s="235">
        <f t="shared" si="4"/>
        <v>3785.315825233437</v>
      </c>
      <c r="R49" s="508"/>
      <c r="V49" s="206"/>
      <c r="W49" s="523"/>
      <c r="X49" s="523"/>
      <c r="Y49" s="523"/>
      <c r="Z49" s="523"/>
      <c r="AA49" s="523"/>
      <c r="AB49" s="523"/>
      <c r="AC49" s="523"/>
      <c r="AD49" s="523"/>
      <c r="AE49" s="523"/>
      <c r="AF49" s="523"/>
      <c r="AG49" s="523"/>
      <c r="AH49" s="523"/>
    </row>
    <row r="50" spans="1:34" s="12" customFormat="1">
      <c r="A50" s="114"/>
      <c r="B50" t="s">
        <v>1256</v>
      </c>
      <c r="C50" s="107">
        <f>(C49*C32*C46)+(C49*C33*C47)+(C49*C34*C48)</f>
        <v>3944.3459916138308</v>
      </c>
      <c r="D50" s="107">
        <f t="shared" ref="D50:N50" si="5">(D49*D32*D46)+(D49*D33*D47)+(D49*D34*D48)</f>
        <v>4377.7605099087514</v>
      </c>
      <c r="E50" s="107">
        <f t="shared" si="5"/>
        <v>3965.5479187068331</v>
      </c>
      <c r="F50" s="107">
        <f t="shared" si="5"/>
        <v>4100.9909539628316</v>
      </c>
      <c r="G50" s="107">
        <f t="shared" si="5"/>
        <v>3981.227283375481</v>
      </c>
      <c r="H50" s="107">
        <f t="shared" si="5"/>
        <v>4120.8692059057303</v>
      </c>
      <c r="I50" s="107">
        <f t="shared" si="5"/>
        <v>3997.1508856368164</v>
      </c>
      <c r="J50" s="107">
        <f t="shared" si="5"/>
        <v>4001.1005904072872</v>
      </c>
      <c r="K50" s="107">
        <f t="shared" si="5"/>
        <v>4141.1620534164322</v>
      </c>
      <c r="L50" s="107">
        <f t="shared" si="5"/>
        <v>4018.5198626194037</v>
      </c>
      <c r="M50" s="107">
        <f t="shared" si="5"/>
        <v>4164.1601412642185</v>
      </c>
      <c r="N50" s="107">
        <f t="shared" si="5"/>
        <v>4030.1121996512834</v>
      </c>
      <c r="R50" s="508"/>
      <c r="V50" s="206"/>
      <c r="W50" s="523"/>
      <c r="X50" s="523"/>
      <c r="Y50" s="523"/>
      <c r="Z50" s="523"/>
      <c r="AA50" s="523"/>
      <c r="AB50" s="523"/>
      <c r="AC50" s="523"/>
      <c r="AD50" s="523"/>
      <c r="AE50" s="523"/>
      <c r="AF50" s="523"/>
      <c r="AG50" s="523"/>
      <c r="AH50" s="523"/>
    </row>
    <row r="51" spans="1:34"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R51" s="508"/>
      <c r="V51" s="206"/>
      <c r="W51" s="523"/>
      <c r="X51" s="523"/>
      <c r="Y51" s="523"/>
      <c r="Z51" s="523"/>
      <c r="AA51" s="523"/>
      <c r="AB51" s="523"/>
      <c r="AC51" s="523"/>
      <c r="AD51" s="523"/>
      <c r="AE51" s="523"/>
      <c r="AF51" s="523"/>
      <c r="AG51" s="523"/>
      <c r="AH51" s="523"/>
    </row>
    <row r="52" spans="1:34"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R52" s="508"/>
      <c r="V52" s="206"/>
      <c r="W52" s="524"/>
      <c r="X52" s="524"/>
      <c r="Y52" s="524"/>
      <c r="Z52" s="524"/>
      <c r="AA52" s="524"/>
      <c r="AB52" s="524"/>
      <c r="AC52" s="524"/>
      <c r="AD52" s="524"/>
      <c r="AE52" s="524"/>
      <c r="AF52" s="524"/>
      <c r="AG52" s="524"/>
      <c r="AH52" s="524"/>
    </row>
    <row r="53" spans="1:34" s="12" customFormat="1">
      <c r="A53" s="114"/>
      <c r="B53" t="s">
        <v>1259</v>
      </c>
      <c r="C53" s="235">
        <f>C50*C52/C51</f>
        <v>402.08140839750132</v>
      </c>
      <c r="D53" s="235">
        <f t="shared" ref="D53:N53" si="6">D50*D52/D51</f>
        <v>68.164967433014723</v>
      </c>
      <c r="E53" s="235">
        <f t="shared" si="6"/>
        <v>499.06273388245137</v>
      </c>
      <c r="F53" s="235">
        <f t="shared" si="6"/>
        <v>345.79593960011437</v>
      </c>
      <c r="G53" s="235">
        <f t="shared" si="6"/>
        <v>415.75097319772857</v>
      </c>
      <c r="H53" s="235">
        <f t="shared" si="6"/>
        <v>232.88548704466515</v>
      </c>
      <c r="I53" s="235">
        <f t="shared" si="6"/>
        <v>277.55364790064124</v>
      </c>
      <c r="J53" s="235">
        <f t="shared" si="6"/>
        <v>422.06833232072518</v>
      </c>
      <c r="K53" s="235">
        <f t="shared" si="6"/>
        <v>62.027909844955389</v>
      </c>
      <c r="L53" s="235">
        <f t="shared" si="6"/>
        <v>102.64684380520258</v>
      </c>
      <c r="M53" s="235">
        <f t="shared" si="6"/>
        <v>-66.719974168560384</v>
      </c>
      <c r="N53" s="235">
        <f t="shared" si="6"/>
        <v>120.07781480349428</v>
      </c>
      <c r="R53" s="508"/>
      <c r="V53" s="206"/>
      <c r="W53" s="524"/>
      <c r="X53" s="524"/>
      <c r="Y53" s="524"/>
      <c r="Z53" s="524"/>
      <c r="AA53" s="524"/>
      <c r="AB53" s="524"/>
      <c r="AC53" s="524"/>
      <c r="AD53" s="524"/>
      <c r="AE53" s="524"/>
      <c r="AF53" s="524"/>
      <c r="AG53" s="524"/>
      <c r="AH53" s="524"/>
    </row>
    <row r="54" spans="1:34" s="12" customFormat="1">
      <c r="A54" s="114"/>
      <c r="B54" t="s">
        <v>1260</v>
      </c>
      <c r="C54" s="235">
        <f>((C53*C32)/C46)+((C53*C33)/C47)+((C53*C34)/C48)</f>
        <v>377.6582494082686</v>
      </c>
      <c r="D54" s="235">
        <f t="shared" ref="D54:N54" si="7">((D53*D32)/D46)+((D53*D33)/D47)+((D53*D34)/D48)</f>
        <v>64.024502834694999</v>
      </c>
      <c r="E54" s="235">
        <f t="shared" si="7"/>
        <v>468.74875208510747</v>
      </c>
      <c r="F54" s="235">
        <f t="shared" si="7"/>
        <v>324.79166276885269</v>
      </c>
      <c r="G54" s="235">
        <f t="shared" si="7"/>
        <v>390.49749988045926</v>
      </c>
      <c r="H54" s="235">
        <f t="shared" si="7"/>
        <v>218.73959728804715</v>
      </c>
      <c r="I54" s="235">
        <f t="shared" si="7"/>
        <v>260.69453248484621</v>
      </c>
      <c r="J54" s="235">
        <f t="shared" si="7"/>
        <v>396.43113107415928</v>
      </c>
      <c r="K54" s="235">
        <f t="shared" si="7"/>
        <v>58.260221331450488</v>
      </c>
      <c r="L54" s="235">
        <f t="shared" si="7"/>
        <v>96.411887068483736</v>
      </c>
      <c r="M54" s="235">
        <f t="shared" si="7"/>
        <v>-62.667281099834113</v>
      </c>
      <c r="N54" s="235">
        <f t="shared" si="7"/>
        <v>112.78406905754298</v>
      </c>
      <c r="R54" s="508"/>
      <c r="V54" s="206"/>
      <c r="W54" s="524"/>
      <c r="X54" s="524"/>
      <c r="Y54" s="524"/>
      <c r="Z54" s="524"/>
      <c r="AA54" s="524"/>
      <c r="AB54" s="524"/>
      <c r="AC54" s="524"/>
      <c r="AD54" s="524"/>
      <c r="AE54" s="524"/>
      <c r="AF54" s="524"/>
      <c r="AG54" s="524"/>
      <c r="AH54" s="524"/>
    </row>
    <row r="55" spans="1:34">
      <c r="A55" s="114"/>
      <c r="V55" s="206"/>
      <c r="W55" s="523"/>
      <c r="X55" s="523"/>
      <c r="Y55" s="523"/>
      <c r="Z55" s="523"/>
      <c r="AA55" s="523"/>
      <c r="AB55" s="523"/>
      <c r="AC55" s="523"/>
      <c r="AD55" s="523"/>
      <c r="AE55" s="523"/>
      <c r="AF55" s="523"/>
      <c r="AG55" s="523"/>
      <c r="AH55" s="523"/>
    </row>
    <row r="56" spans="1:34" ht="17.399999999999999">
      <c r="A56" s="147" t="s">
        <v>425</v>
      </c>
    </row>
    <row r="57" spans="1:34" ht="15.6">
      <c r="A57" s="113"/>
      <c r="B57" s="146" t="str">
        <f>"PRIOR - "&amp;MANUAL!$B$9</f>
        <v>PRIOR - 2016</v>
      </c>
      <c r="C57" s="5"/>
      <c r="D57" s="5"/>
      <c r="E57" s="5"/>
      <c r="F57" s="5"/>
      <c r="G57" s="5"/>
      <c r="H57" s="5"/>
      <c r="I57" s="5"/>
      <c r="J57" s="5"/>
      <c r="K57" s="5"/>
      <c r="L57" s="5"/>
      <c r="M57" s="5"/>
      <c r="N57" s="5"/>
      <c r="R57" s="509"/>
      <c r="W57" s="44"/>
      <c r="X57" s="44"/>
      <c r="Y57" s="44"/>
      <c r="Z57" s="44"/>
      <c r="AA57" s="44"/>
      <c r="AB57" s="44"/>
      <c r="AC57" s="44"/>
      <c r="AD57" s="44"/>
      <c r="AE57" s="44"/>
      <c r="AF57" s="44"/>
      <c r="AG57" s="44"/>
      <c r="AH57" s="44"/>
    </row>
    <row r="58" spans="1:34" s="12" customFormat="1" ht="15.6">
      <c r="A58" s="111"/>
      <c r="B58" s="149" t="s">
        <v>432</v>
      </c>
      <c r="C58" s="107">
        <f>IF(C13="",0,MIN((+C$27/C$18/C13)+C23,C59))</f>
        <v>3547.14617263438</v>
      </c>
      <c r="D58" s="107">
        <f t="shared" ref="D58:N58" si="8">IF(D13="",0,MIN((+D$27/D$18/D13)+D23,D59))</f>
        <v>3801.5273754637124</v>
      </c>
      <c r="E58" s="107">
        <f t="shared" si="8"/>
        <v>3570.7796747896041</v>
      </c>
      <c r="F58" s="107">
        <f t="shared" si="8"/>
        <v>3688.905695682176</v>
      </c>
      <c r="G58" s="107">
        <f t="shared" si="8"/>
        <v>3581.5188575220513</v>
      </c>
      <c r="H58" s="107">
        <f t="shared" si="8"/>
        <v>3711.5033153802701</v>
      </c>
      <c r="I58" s="107">
        <f t="shared" si="8"/>
        <v>3596.3568242886977</v>
      </c>
      <c r="J58" s="107">
        <f t="shared" si="8"/>
        <v>3604.1318817441688</v>
      </c>
      <c r="K58" s="107">
        <f t="shared" si="8"/>
        <v>3726.4562890058628</v>
      </c>
      <c r="L58" s="107">
        <f t="shared" si="8"/>
        <v>3616.4355711845537</v>
      </c>
      <c r="M58" s="107">
        <f t="shared" si="8"/>
        <v>3751.8722899392988</v>
      </c>
      <c r="N58" s="107">
        <f t="shared" si="8"/>
        <v>3627.3765909684826</v>
      </c>
      <c r="P58" s="152">
        <f>AVERAGE(C58:N58)</f>
        <v>3652.0008782169384</v>
      </c>
      <c r="W58" s="544"/>
      <c r="X58" s="544"/>
      <c r="Y58" s="544"/>
      <c r="Z58" s="544"/>
      <c r="AA58" s="544"/>
      <c r="AB58" s="544"/>
      <c r="AC58" s="544"/>
      <c r="AD58" s="544"/>
      <c r="AE58" s="544"/>
      <c r="AF58" s="544"/>
      <c r="AG58" s="544"/>
      <c r="AH58" s="544"/>
    </row>
    <row r="59" spans="1:34" s="12" customFormat="1" ht="15.6">
      <c r="A59" s="111"/>
      <c r="B59" s="149" t="s">
        <v>430</v>
      </c>
      <c r="C59" s="107">
        <f t="shared" ref="C59:N59" si="9">MIN(+C$27/C$18/C14,C60)</f>
        <v>3547.14617263438</v>
      </c>
      <c r="D59" s="107">
        <f t="shared" si="9"/>
        <v>3801.5273754637124</v>
      </c>
      <c r="E59" s="107">
        <f t="shared" si="9"/>
        <v>3570.7796747896041</v>
      </c>
      <c r="F59" s="107">
        <f t="shared" si="9"/>
        <v>3688.905695682176</v>
      </c>
      <c r="G59" s="107">
        <f t="shared" si="9"/>
        <v>3581.5188575220513</v>
      </c>
      <c r="H59" s="107">
        <f t="shared" si="9"/>
        <v>3711.5033153802701</v>
      </c>
      <c r="I59" s="107">
        <f t="shared" si="9"/>
        <v>3596.3568242886977</v>
      </c>
      <c r="J59" s="107">
        <f t="shared" si="9"/>
        <v>3604.1318817441688</v>
      </c>
      <c r="K59" s="107">
        <f t="shared" si="9"/>
        <v>3726.4562890058628</v>
      </c>
      <c r="L59" s="107">
        <f t="shared" si="9"/>
        <v>3616.4355711845537</v>
      </c>
      <c r="M59" s="107">
        <f t="shared" si="9"/>
        <v>3751.8722899392988</v>
      </c>
      <c r="N59" s="107">
        <f t="shared" si="9"/>
        <v>3627.3765909684826</v>
      </c>
      <c r="P59" s="152">
        <f>AVERAGE(C59:N59)</f>
        <v>3652.0008782169384</v>
      </c>
      <c r="W59" s="544"/>
      <c r="X59" s="544"/>
      <c r="Y59" s="544"/>
      <c r="Z59" s="544"/>
      <c r="AA59" s="544"/>
      <c r="AB59" s="544"/>
      <c r="AC59" s="544"/>
      <c r="AD59" s="544"/>
      <c r="AE59" s="544"/>
      <c r="AF59" s="544"/>
      <c r="AG59" s="544"/>
      <c r="AH59" s="544"/>
    </row>
    <row r="60" spans="1:34" s="106" customFormat="1">
      <c r="A60" s="109"/>
      <c r="B60" s="149" t="s">
        <v>133</v>
      </c>
      <c r="C60" s="107">
        <f t="shared" ref="C60:N60" si="10">+C$27/C$18/C15</f>
        <v>3547.14617263438</v>
      </c>
      <c r="D60" s="107">
        <f t="shared" si="10"/>
        <v>3801.5273754637124</v>
      </c>
      <c r="E60" s="107">
        <f t="shared" si="10"/>
        <v>3570.7796747896041</v>
      </c>
      <c r="F60" s="107">
        <f t="shared" si="10"/>
        <v>3688.905695682176</v>
      </c>
      <c r="G60" s="107">
        <f t="shared" si="10"/>
        <v>3581.5188575220513</v>
      </c>
      <c r="H60" s="107">
        <f t="shared" si="10"/>
        <v>3711.5033153802701</v>
      </c>
      <c r="I60" s="107">
        <f t="shared" si="10"/>
        <v>3596.3568242886977</v>
      </c>
      <c r="J60" s="107">
        <f t="shared" si="10"/>
        <v>3604.1318817441688</v>
      </c>
      <c r="K60" s="107">
        <f t="shared" si="10"/>
        <v>3726.4562890058628</v>
      </c>
      <c r="L60" s="107">
        <f t="shared" si="10"/>
        <v>3616.4355711845537</v>
      </c>
      <c r="M60" s="107">
        <f t="shared" si="10"/>
        <v>3751.8722899392988</v>
      </c>
      <c r="N60" s="107">
        <f t="shared" si="10"/>
        <v>3627.3765909684826</v>
      </c>
      <c r="P60" s="152">
        <f>AVERAGE(C60:N60)</f>
        <v>3652.0008782169384</v>
      </c>
      <c r="W60" s="544"/>
      <c r="X60" s="544"/>
      <c r="Y60" s="544"/>
      <c r="Z60" s="544"/>
      <c r="AA60" s="544"/>
      <c r="AB60" s="544"/>
      <c r="AC60" s="544"/>
      <c r="AD60" s="544"/>
      <c r="AE60" s="544"/>
      <c r="AF60" s="544"/>
      <c r="AG60" s="544"/>
      <c r="AH60" s="544"/>
    </row>
    <row r="61" spans="1:34" s="106" customFormat="1" ht="16.5" customHeight="1">
      <c r="A61" s="109"/>
      <c r="B61" s="108"/>
      <c r="C61" s="107"/>
      <c r="D61" s="107"/>
      <c r="E61" s="107"/>
      <c r="F61" s="107"/>
      <c r="G61" s="107"/>
      <c r="H61" s="107"/>
      <c r="I61" s="107"/>
      <c r="J61" s="107"/>
      <c r="K61" s="107"/>
      <c r="L61" s="107"/>
      <c r="M61" s="107"/>
      <c r="N61" s="107"/>
      <c r="W61" s="551"/>
      <c r="X61" s="551"/>
      <c r="Y61" s="551"/>
      <c r="Z61" s="551"/>
      <c r="AA61" s="551"/>
      <c r="AB61" s="551"/>
      <c r="AC61" s="551"/>
      <c r="AD61" s="551"/>
      <c r="AE61" s="551"/>
      <c r="AF61" s="551"/>
      <c r="AG61" s="551"/>
      <c r="AH61" s="551"/>
    </row>
    <row r="62" spans="1:34" s="106" customFormat="1" ht="16.5" customHeight="1">
      <c r="A62" s="109"/>
      <c r="B62" s="146" t="str">
        <f>"TEST - "&amp;MANUAL!$B$10</f>
        <v>TEST - 2017</v>
      </c>
      <c r="C62" s="107"/>
      <c r="D62" s="107"/>
      <c r="E62" s="107"/>
      <c r="F62" s="107"/>
      <c r="G62" s="107"/>
      <c r="H62" s="107"/>
      <c r="I62" s="107"/>
      <c r="J62" s="107"/>
      <c r="K62" s="107"/>
      <c r="L62" s="107"/>
      <c r="M62" s="107"/>
      <c r="N62" s="107"/>
      <c r="W62" s="551"/>
      <c r="X62" s="551"/>
      <c r="Y62" s="551"/>
      <c r="Z62" s="551"/>
      <c r="AA62" s="551"/>
      <c r="AB62" s="551"/>
      <c r="AC62" s="551"/>
      <c r="AD62" s="551"/>
      <c r="AE62" s="551"/>
      <c r="AF62" s="551"/>
      <c r="AG62" s="551"/>
      <c r="AH62" s="551"/>
    </row>
    <row r="63" spans="1:34" s="106" customFormat="1" ht="16.5" customHeight="1">
      <c r="A63" s="109"/>
      <c r="B63" s="149" t="s">
        <v>432</v>
      </c>
      <c r="C63" s="107">
        <f>C39+C44</f>
        <v>3962.0823928458581</v>
      </c>
      <c r="D63" s="107">
        <f>D39+D44</f>
        <v>4054.539319730723</v>
      </c>
      <c r="E63" s="107">
        <f t="shared" ref="E63:N63" si="11">E39+E44</f>
        <v>4081.4998214886623</v>
      </c>
      <c r="F63" s="107">
        <f t="shared" si="11"/>
        <v>4074.5319442008267</v>
      </c>
      <c r="G63" s="107">
        <f t="shared" si="11"/>
        <v>4025.1455470028263</v>
      </c>
      <c r="H63" s="107">
        <f t="shared" si="11"/>
        <v>3986.4576620040561</v>
      </c>
      <c r="I63" s="107">
        <f t="shared" si="11"/>
        <v>3912.3106958443718</v>
      </c>
      <c r="J63" s="107">
        <f t="shared" si="11"/>
        <v>4039.3490313857428</v>
      </c>
      <c r="K63" s="107">
        <f t="shared" si="11"/>
        <v>3845.8361742166671</v>
      </c>
      <c r="L63" s="107">
        <f t="shared" si="11"/>
        <v>3766.9366092699011</v>
      </c>
      <c r="M63" s="107">
        <f t="shared" si="11"/>
        <v>3752.0930057116352</v>
      </c>
      <c r="N63" s="107">
        <f t="shared" si="11"/>
        <v>3804.8424594890562</v>
      </c>
      <c r="P63" s="152">
        <f>AVERAGE(C63:N63)</f>
        <v>3942.1353885991939</v>
      </c>
      <c r="W63" s="551"/>
      <c r="X63" s="551"/>
      <c r="Y63" s="551"/>
      <c r="Z63" s="551"/>
      <c r="AA63" s="551"/>
      <c r="AB63" s="551"/>
      <c r="AC63" s="551"/>
      <c r="AD63" s="551"/>
      <c r="AE63" s="551"/>
      <c r="AF63" s="551"/>
      <c r="AG63" s="551"/>
      <c r="AH63" s="551"/>
    </row>
    <row r="64" spans="1:34" s="106" customFormat="1" ht="16.5" customHeight="1">
      <c r="A64" s="109"/>
      <c r="B64" s="149" t="s">
        <v>430</v>
      </c>
      <c r="C64" s="107">
        <f>MAX(+C$28/C$19/C14,C63)</f>
        <v>3962.0823928458581</v>
      </c>
      <c r="D64" s="107">
        <f>MAX(+D$28/D$19/D14,D63)</f>
        <v>4054.539319730723</v>
      </c>
      <c r="E64" s="107">
        <f t="shared" ref="D64:N65" si="12">MAX(+E$28/E$19/E14,E63)</f>
        <v>4081.4998214886623</v>
      </c>
      <c r="F64" s="107">
        <f t="shared" si="12"/>
        <v>4074.5319442008267</v>
      </c>
      <c r="G64" s="107">
        <f t="shared" si="12"/>
        <v>4025.1455470028263</v>
      </c>
      <c r="H64" s="107">
        <f t="shared" si="12"/>
        <v>3986.4576620040561</v>
      </c>
      <c r="I64" s="107">
        <f t="shared" si="12"/>
        <v>3912.3106958443718</v>
      </c>
      <c r="J64" s="107">
        <f t="shared" si="12"/>
        <v>4039.3490313857428</v>
      </c>
      <c r="K64" s="107">
        <f t="shared" si="12"/>
        <v>3845.8361742166671</v>
      </c>
      <c r="L64" s="107">
        <f t="shared" si="12"/>
        <v>3766.9366092699011</v>
      </c>
      <c r="M64" s="107">
        <f t="shared" si="12"/>
        <v>3831.5468700131928</v>
      </c>
      <c r="N64" s="107">
        <f t="shared" si="12"/>
        <v>3804.8424594890562</v>
      </c>
      <c r="P64" s="152">
        <f>AVERAGE(C64:N64)</f>
        <v>3948.756543957657</v>
      </c>
    </row>
    <row r="65" spans="1:33" s="106" customFormat="1" ht="16.5" customHeight="1">
      <c r="A65" s="109"/>
      <c r="B65" s="149" t="s">
        <v>133</v>
      </c>
      <c r="C65" s="107">
        <f>MAX(+C$28/C$19/C15,C64)</f>
        <v>3962.0823928458581</v>
      </c>
      <c r="D65" s="107">
        <f t="shared" si="12"/>
        <v>4054.539319730723</v>
      </c>
      <c r="E65" s="107">
        <f t="shared" si="12"/>
        <v>4081.4998214886623</v>
      </c>
      <c r="F65" s="107">
        <f t="shared" si="12"/>
        <v>4074.5319442008267</v>
      </c>
      <c r="G65" s="107">
        <f t="shared" si="12"/>
        <v>4025.1455470028263</v>
      </c>
      <c r="H65" s="107">
        <f t="shared" si="12"/>
        <v>3986.4576620040561</v>
      </c>
      <c r="I65" s="107">
        <f t="shared" si="12"/>
        <v>3912.3106958443718</v>
      </c>
      <c r="J65" s="107">
        <f t="shared" si="12"/>
        <v>4039.3490313857428</v>
      </c>
      <c r="K65" s="107">
        <f t="shared" si="12"/>
        <v>3845.8361742166671</v>
      </c>
      <c r="L65" s="107">
        <f t="shared" si="12"/>
        <v>3766.9366092699011</v>
      </c>
      <c r="M65" s="107">
        <f t="shared" si="12"/>
        <v>3831.5468700131928</v>
      </c>
      <c r="N65" s="107">
        <f t="shared" si="12"/>
        <v>3804.8424594890562</v>
      </c>
      <c r="P65" s="152">
        <f>AVERAGE(C65:N65)</f>
        <v>3948.756543957657</v>
      </c>
    </row>
    <row r="66" spans="1:33" s="106" customFormat="1" ht="16.5" customHeight="1">
      <c r="A66" s="109"/>
      <c r="B66" s="149" t="s">
        <v>158</v>
      </c>
      <c r="C66" s="499">
        <f>IFERROR(C28/C19/C63,0)</f>
        <v>0.91574285846890335</v>
      </c>
      <c r="D66" s="499">
        <f t="shared" ref="D66:N66" si="13">IFERROR(D28/D19/D63,0)</f>
        <v>0.99294609587424487</v>
      </c>
      <c r="E66" s="499">
        <f t="shared" si="13"/>
        <v>0.89251333335206107</v>
      </c>
      <c r="F66" s="499">
        <f t="shared" si="13"/>
        <v>0.92589230602233652</v>
      </c>
      <c r="G66" s="499">
        <f t="shared" si="13"/>
        <v>0.90892792858764826</v>
      </c>
      <c r="H66" s="499">
        <f t="shared" si="13"/>
        <v>0.95106992760434905</v>
      </c>
      <c r="I66" s="499">
        <f t="shared" si="13"/>
        <v>0.93990462685825971</v>
      </c>
      <c r="J66" s="499">
        <f t="shared" si="13"/>
        <v>0.91134734121678684</v>
      </c>
      <c r="K66" s="499">
        <f t="shared" si="13"/>
        <v>0.99063054305836917</v>
      </c>
      <c r="L66" s="499">
        <f t="shared" si="13"/>
        <v>0.98047926177401179</v>
      </c>
      <c r="M66" s="499">
        <f t="shared" si="13"/>
        <v>1.0197393664336318</v>
      </c>
      <c r="N66" s="499">
        <f t="shared" si="13"/>
        <v>0.97464684219015807</v>
      </c>
      <c r="P66" s="152"/>
    </row>
    <row r="67" spans="1:33" s="106" customFormat="1" ht="16.5" customHeight="1">
      <c r="A67" s="109"/>
      <c r="B67" s="149" t="s">
        <v>988</v>
      </c>
      <c r="C67" s="499">
        <f>C28/C19/C64</f>
        <v>0.91574285846890335</v>
      </c>
      <c r="D67" s="499">
        <f t="shared" ref="D67:N67" si="14">D28/D19/D64</f>
        <v>0.99294609587424487</v>
      </c>
      <c r="E67" s="499">
        <f t="shared" si="14"/>
        <v>0.89251333335206107</v>
      </c>
      <c r="F67" s="499">
        <f t="shared" si="14"/>
        <v>0.92589230602233652</v>
      </c>
      <c r="G67" s="499">
        <f t="shared" si="14"/>
        <v>0.90892792858764826</v>
      </c>
      <c r="H67" s="499">
        <f t="shared" si="14"/>
        <v>0.95106992760434905</v>
      </c>
      <c r="I67" s="499">
        <f t="shared" si="14"/>
        <v>0.93990462685825971</v>
      </c>
      <c r="J67" s="499">
        <f t="shared" si="14"/>
        <v>0.91134734121678684</v>
      </c>
      <c r="K67" s="499">
        <f t="shared" si="14"/>
        <v>0.99063054305836917</v>
      </c>
      <c r="L67" s="499">
        <f t="shared" si="14"/>
        <v>0.98047926177401179</v>
      </c>
      <c r="M67" s="499">
        <f t="shared" si="14"/>
        <v>0.99859327687965105</v>
      </c>
      <c r="N67" s="499">
        <f t="shared" si="14"/>
        <v>0.97464684219015807</v>
      </c>
      <c r="P67" s="152"/>
    </row>
    <row r="68" spans="1:33" s="106" customFormat="1" ht="16.5" customHeight="1">
      <c r="A68" s="109"/>
      <c r="B68" s="149" t="s">
        <v>150</v>
      </c>
      <c r="C68" s="499">
        <f>C28/C19/C65</f>
        <v>0.91574285846890335</v>
      </c>
      <c r="D68" s="499">
        <f t="shared" ref="D68:N68" si="15">D28/D19/D65</f>
        <v>0.99294609587424487</v>
      </c>
      <c r="E68" s="499">
        <f t="shared" si="15"/>
        <v>0.89251333335206107</v>
      </c>
      <c r="F68" s="499">
        <f t="shared" si="15"/>
        <v>0.92589230602233652</v>
      </c>
      <c r="G68" s="499">
        <f t="shared" si="15"/>
        <v>0.90892792858764826</v>
      </c>
      <c r="H68" s="499">
        <f t="shared" si="15"/>
        <v>0.95106992760434905</v>
      </c>
      <c r="I68" s="499">
        <f t="shared" si="15"/>
        <v>0.93990462685825971</v>
      </c>
      <c r="J68" s="499">
        <f t="shared" si="15"/>
        <v>0.91134734121678684</v>
      </c>
      <c r="K68" s="499">
        <f t="shared" si="15"/>
        <v>0.99063054305836917</v>
      </c>
      <c r="L68" s="499">
        <f t="shared" si="15"/>
        <v>0.98047926177401179</v>
      </c>
      <c r="M68" s="499">
        <f t="shared" si="15"/>
        <v>0.99859327687965105</v>
      </c>
      <c r="N68" s="499">
        <f t="shared" si="15"/>
        <v>0.97464684219015807</v>
      </c>
      <c r="P68" s="152"/>
    </row>
    <row r="69" spans="1:33" s="106" customFormat="1" ht="16.5" customHeight="1">
      <c r="A69" s="109"/>
      <c r="B69" s="149"/>
      <c r="C69" s="107"/>
      <c r="D69" s="107"/>
      <c r="E69" s="107"/>
      <c r="F69" s="107"/>
      <c r="G69" s="107"/>
      <c r="H69" s="107"/>
      <c r="I69" s="107"/>
      <c r="J69" s="107"/>
      <c r="K69" s="107"/>
      <c r="L69" s="107"/>
      <c r="M69" s="107"/>
      <c r="N69" s="107"/>
      <c r="P69" s="152"/>
    </row>
    <row r="70" spans="1:33" s="106" customFormat="1" ht="16.5" customHeight="1">
      <c r="A70" s="109"/>
      <c r="B70" s="146" t="str">
        <f>"SUBSEQUENT - "&amp;MANUAL!$B$11</f>
        <v>SUBSEQUENT - 2018</v>
      </c>
      <c r="C70" s="107"/>
      <c r="D70" s="107"/>
      <c r="E70" s="107"/>
      <c r="F70" s="107"/>
      <c r="G70" s="107"/>
      <c r="H70" s="107"/>
      <c r="I70" s="107"/>
      <c r="J70" s="107"/>
      <c r="K70" s="107"/>
      <c r="L70" s="107"/>
      <c r="M70" s="107"/>
      <c r="N70" s="107"/>
    </row>
    <row r="71" spans="1:33" s="106" customFormat="1" ht="16.5" customHeight="1">
      <c r="A71" s="109"/>
      <c r="B71" s="149" t="s">
        <v>432</v>
      </c>
      <c r="C71" s="107">
        <f>C49+C54</f>
        <v>4082.4174626986128</v>
      </c>
      <c r="D71" s="107">
        <f t="shared" ref="D71:N71" si="16">D49+D54</f>
        <v>4175.8718451179866</v>
      </c>
      <c r="E71" s="107">
        <f t="shared" si="16"/>
        <v>4193.4220486998647</v>
      </c>
      <c r="F71" s="107">
        <f t="shared" si="16"/>
        <v>4176.6809373448541</v>
      </c>
      <c r="G71" s="107">
        <f t="shared" si="16"/>
        <v>4129.8977679217123</v>
      </c>
      <c r="H71" s="107">
        <f t="shared" si="16"/>
        <v>4089.2996824841457</v>
      </c>
      <c r="I71" s="107">
        <f t="shared" si="16"/>
        <v>4015.0511741078994</v>
      </c>
      <c r="J71" s="107">
        <f t="shared" si="16"/>
        <v>4154.4975651873465</v>
      </c>
      <c r="K71" s="107">
        <f t="shared" si="16"/>
        <v>3947.8805294235653</v>
      </c>
      <c r="L71" s="107">
        <f t="shared" si="16"/>
        <v>3870.8395149901908</v>
      </c>
      <c r="M71" s="107">
        <f t="shared" si="16"/>
        <v>3848.5541689872525</v>
      </c>
      <c r="N71" s="107">
        <f t="shared" si="16"/>
        <v>3898.09989429098</v>
      </c>
      <c r="O71" s="145"/>
      <c r="P71" s="152">
        <f>AVERAGE(C71:N71)</f>
        <v>4048.5427159378673</v>
      </c>
      <c r="U71" s="522"/>
      <c r="V71" s="523"/>
      <c r="W71" s="523"/>
      <c r="X71" s="523"/>
      <c r="Y71" s="523"/>
      <c r="Z71" s="523"/>
      <c r="AA71" s="523"/>
      <c r="AB71" s="523"/>
      <c r="AC71" s="523"/>
      <c r="AD71" s="523"/>
      <c r="AE71" s="523"/>
      <c r="AF71" s="523"/>
      <c r="AG71" s="523"/>
    </row>
    <row r="72" spans="1:33" s="106" customFormat="1" ht="16.5" customHeight="1">
      <c r="A72" s="109"/>
      <c r="B72" s="149" t="s">
        <v>430</v>
      </c>
      <c r="C72" s="107">
        <f>MAX(+C$29/C$14/C20,C71)</f>
        <v>4082.4174626986128</v>
      </c>
      <c r="D72" s="107">
        <f t="shared" ref="D72:N72" si="17">MAX(+D$29/D$14/D20,D71)</f>
        <v>4175.8718451179866</v>
      </c>
      <c r="E72" s="107">
        <f t="shared" si="17"/>
        <v>4193.4220486998647</v>
      </c>
      <c r="F72" s="107">
        <f t="shared" si="17"/>
        <v>4176.6809373448541</v>
      </c>
      <c r="G72" s="107">
        <f t="shared" si="17"/>
        <v>4129.8977679217123</v>
      </c>
      <c r="H72" s="107">
        <f t="shared" si="17"/>
        <v>4089.2996824841457</v>
      </c>
      <c r="I72" s="107">
        <f t="shared" si="17"/>
        <v>4015.0511741078994</v>
      </c>
      <c r="J72" s="107">
        <f t="shared" si="17"/>
        <v>4154.4975651873465</v>
      </c>
      <c r="K72" s="107">
        <f t="shared" si="17"/>
        <v>3947.8805294235653</v>
      </c>
      <c r="L72" s="107">
        <f t="shared" si="17"/>
        <v>3870.8395149901908</v>
      </c>
      <c r="M72" s="107">
        <f t="shared" si="17"/>
        <v>3911.2214500870864</v>
      </c>
      <c r="N72" s="107">
        <f t="shared" si="17"/>
        <v>3898.09989429098</v>
      </c>
      <c r="O72" s="107"/>
      <c r="P72" s="152">
        <f>AVERAGE(C72:N72)</f>
        <v>4053.7649893628532</v>
      </c>
      <c r="U72" s="206"/>
      <c r="V72" s="523"/>
      <c r="W72" s="523"/>
      <c r="X72" s="523"/>
      <c r="Y72" s="523"/>
      <c r="Z72" s="523"/>
      <c r="AA72" s="523"/>
      <c r="AB72" s="523"/>
      <c r="AC72" s="523"/>
      <c r="AD72" s="523"/>
      <c r="AE72" s="523"/>
      <c r="AF72" s="523"/>
      <c r="AG72" s="523"/>
    </row>
    <row r="73" spans="1:33" s="106" customFormat="1" ht="16.5" customHeight="1">
      <c r="A73" s="109"/>
      <c r="B73" s="149" t="s">
        <v>133</v>
      </c>
      <c r="C73" s="107">
        <f>MAX(+C$29/C$15/C20,C72)</f>
        <v>4082.4174626986128</v>
      </c>
      <c r="D73" s="107">
        <f t="shared" ref="D73:N73" si="18">MAX(+D$29/D$15/D20,D72)</f>
        <v>4175.8718451179866</v>
      </c>
      <c r="E73" s="107">
        <f t="shared" si="18"/>
        <v>4193.4220486998647</v>
      </c>
      <c r="F73" s="107">
        <f t="shared" si="18"/>
        <v>4176.6809373448541</v>
      </c>
      <c r="G73" s="107">
        <f t="shared" si="18"/>
        <v>4129.8977679217123</v>
      </c>
      <c r="H73" s="107">
        <f t="shared" si="18"/>
        <v>4089.2996824841457</v>
      </c>
      <c r="I73" s="107">
        <f t="shared" si="18"/>
        <v>4015.0511741078994</v>
      </c>
      <c r="J73" s="107">
        <f t="shared" si="18"/>
        <v>4154.4975651873465</v>
      </c>
      <c r="K73" s="107">
        <f t="shared" si="18"/>
        <v>3947.8805294235653</v>
      </c>
      <c r="L73" s="107">
        <f t="shared" si="18"/>
        <v>3870.8395149901908</v>
      </c>
      <c r="M73" s="107">
        <f t="shared" si="18"/>
        <v>3911.2214500870864</v>
      </c>
      <c r="N73" s="107">
        <f t="shared" si="18"/>
        <v>3898.09989429098</v>
      </c>
      <c r="O73" s="107"/>
      <c r="P73" s="152">
        <f>AVERAGE(C73:N73)</f>
        <v>4053.7649893628532</v>
      </c>
      <c r="U73" s="206"/>
      <c r="V73" s="523"/>
      <c r="W73" s="523"/>
      <c r="X73" s="523"/>
      <c r="Y73" s="523"/>
      <c r="Z73" s="523"/>
      <c r="AA73" s="523"/>
      <c r="AB73" s="523"/>
      <c r="AC73" s="523"/>
      <c r="AD73" s="523"/>
      <c r="AE73" s="523"/>
      <c r="AF73" s="523"/>
      <c r="AG73" s="523"/>
    </row>
    <row r="74" spans="1:33" s="106" customFormat="1" ht="16.5" customHeight="1">
      <c r="A74" s="109"/>
      <c r="B74" s="149" t="s">
        <v>158</v>
      </c>
      <c r="C74" s="499">
        <f>IFERROR(C29/C20/C71,0)</f>
        <v>0.90756037481073559</v>
      </c>
      <c r="D74" s="499">
        <f t="shared" ref="D74:N74" si="19">IFERROR(D29/D20/D71,0)</f>
        <v>0.98445509963133948</v>
      </c>
      <c r="E74" s="499">
        <f t="shared" si="19"/>
        <v>0.8870167871229212</v>
      </c>
      <c r="F74" s="499">
        <f t="shared" si="19"/>
        <v>0.92225908615686036</v>
      </c>
      <c r="G74" s="499">
        <f t="shared" si="19"/>
        <v>0.90547881724404156</v>
      </c>
      <c r="H74" s="499">
        <f t="shared" si="19"/>
        <v>0.94660123044824529</v>
      </c>
      <c r="I74" s="499">
        <f t="shared" si="19"/>
        <v>0.93502403631825326</v>
      </c>
      <c r="J74" s="499">
        <f t="shared" si="19"/>
        <v>0.90461490737160899</v>
      </c>
      <c r="K74" s="499">
        <f t="shared" si="19"/>
        <v>0.98515800620719141</v>
      </c>
      <c r="L74" s="499">
        <f t="shared" si="19"/>
        <v>0.97509202243233806</v>
      </c>
      <c r="M74" s="499">
        <f t="shared" si="19"/>
        <v>1.0148537016622621</v>
      </c>
      <c r="N74" s="499">
        <f t="shared" si="19"/>
        <v>0.97106864454372033</v>
      </c>
      <c r="O74" s="107"/>
      <c r="P74" s="152"/>
      <c r="U74" s="206"/>
      <c r="V74" s="523"/>
      <c r="W74" s="523"/>
      <c r="X74" s="523"/>
      <c r="Y74" s="523"/>
      <c r="Z74" s="523"/>
      <c r="AA74" s="523"/>
      <c r="AB74" s="523"/>
      <c r="AC74" s="523"/>
      <c r="AD74" s="523"/>
      <c r="AE74" s="523"/>
      <c r="AF74" s="523"/>
      <c r="AG74" s="523"/>
    </row>
    <row r="75" spans="1:33" s="106" customFormat="1" ht="16.5" customHeight="1">
      <c r="A75" s="109"/>
      <c r="B75" s="149" t="s">
        <v>988</v>
      </c>
      <c r="C75" s="499">
        <f>C29/C20/C72</f>
        <v>0.90756037481073559</v>
      </c>
      <c r="D75" s="499">
        <f t="shared" ref="D75:N75" si="20">D29/D20/D72</f>
        <v>0.98445509963133948</v>
      </c>
      <c r="E75" s="499">
        <f t="shared" si="20"/>
        <v>0.8870167871229212</v>
      </c>
      <c r="F75" s="499">
        <f t="shared" si="20"/>
        <v>0.92225908615686036</v>
      </c>
      <c r="G75" s="499">
        <f t="shared" si="20"/>
        <v>0.90547881724404156</v>
      </c>
      <c r="H75" s="499">
        <f t="shared" si="20"/>
        <v>0.94660123044824529</v>
      </c>
      <c r="I75" s="499">
        <f t="shared" si="20"/>
        <v>0.93502403631825326</v>
      </c>
      <c r="J75" s="499">
        <f t="shared" si="20"/>
        <v>0.90461490737160899</v>
      </c>
      <c r="K75" s="499">
        <f t="shared" si="20"/>
        <v>0.98515800620719141</v>
      </c>
      <c r="L75" s="499">
        <f t="shared" si="20"/>
        <v>0.97509202243233806</v>
      </c>
      <c r="M75" s="499">
        <f t="shared" si="20"/>
        <v>0.99859327687965116</v>
      </c>
      <c r="N75" s="499">
        <f t="shared" si="20"/>
        <v>0.97106864454372033</v>
      </c>
      <c r="O75" s="107"/>
      <c r="P75" s="152"/>
      <c r="U75" s="206"/>
      <c r="V75" s="523"/>
      <c r="W75" s="523"/>
      <c r="X75" s="523"/>
      <c r="Y75" s="523"/>
      <c r="Z75" s="523"/>
      <c r="AA75" s="523"/>
      <c r="AB75" s="523"/>
      <c r="AC75" s="523"/>
      <c r="AD75" s="523"/>
      <c r="AE75" s="523"/>
      <c r="AF75" s="523"/>
      <c r="AG75" s="523"/>
    </row>
    <row r="76" spans="1:33" s="106" customFormat="1" ht="16.5" customHeight="1">
      <c r="A76" s="109"/>
      <c r="B76" s="149" t="s">
        <v>150</v>
      </c>
      <c r="C76" s="499">
        <f>C29/C20/C73</f>
        <v>0.90756037481073559</v>
      </c>
      <c r="D76" s="499">
        <f t="shared" ref="D76:N76" si="21">D29/D20/D73</f>
        <v>0.98445509963133948</v>
      </c>
      <c r="E76" s="499">
        <f t="shared" si="21"/>
        <v>0.8870167871229212</v>
      </c>
      <c r="F76" s="499">
        <f t="shared" si="21"/>
        <v>0.92225908615686036</v>
      </c>
      <c r="G76" s="499">
        <f t="shared" si="21"/>
        <v>0.90547881724404156</v>
      </c>
      <c r="H76" s="499">
        <f t="shared" si="21"/>
        <v>0.94660123044824529</v>
      </c>
      <c r="I76" s="499">
        <f t="shared" si="21"/>
        <v>0.93502403631825326</v>
      </c>
      <c r="J76" s="499">
        <f t="shared" si="21"/>
        <v>0.90461490737160899</v>
      </c>
      <c r="K76" s="499">
        <f t="shared" si="21"/>
        <v>0.98515800620719141</v>
      </c>
      <c r="L76" s="499">
        <f t="shared" si="21"/>
        <v>0.97509202243233806</v>
      </c>
      <c r="M76" s="499">
        <f t="shared" si="21"/>
        <v>0.99859327687965116</v>
      </c>
      <c r="N76" s="499">
        <f t="shared" si="21"/>
        <v>0.97106864454372033</v>
      </c>
      <c r="O76" s="107"/>
      <c r="P76" s="152"/>
      <c r="U76" s="206"/>
      <c r="V76" s="524"/>
      <c r="W76" s="524"/>
      <c r="X76" s="524"/>
      <c r="Y76" s="524"/>
      <c r="Z76" s="524"/>
      <c r="AA76" s="524"/>
      <c r="AB76" s="524"/>
      <c r="AC76" s="524"/>
      <c r="AD76" s="524"/>
      <c r="AE76" s="524"/>
      <c r="AF76" s="524"/>
      <c r="AG76" s="524"/>
    </row>
    <row r="77" spans="1:33" s="106" customFormat="1" ht="16.5" customHeight="1">
      <c r="A77" s="109"/>
      <c r="B77" s="108"/>
      <c r="C77" s="107"/>
      <c r="D77" s="107"/>
      <c r="E77" s="107"/>
      <c r="F77" s="107"/>
      <c r="G77" s="107"/>
      <c r="H77" s="107"/>
      <c r="I77" s="107"/>
      <c r="J77" s="107"/>
      <c r="K77" s="107"/>
      <c r="L77" s="107"/>
      <c r="M77" s="107"/>
      <c r="N77" s="107"/>
      <c r="U77" s="206"/>
      <c r="V77" s="524"/>
      <c r="W77" s="524"/>
      <c r="X77" s="524"/>
      <c r="Y77" s="524"/>
      <c r="Z77" s="524"/>
      <c r="AA77" s="524"/>
      <c r="AB77" s="524"/>
      <c r="AC77" s="524"/>
      <c r="AD77" s="524"/>
      <c r="AE77" s="524"/>
      <c r="AF77" s="524"/>
      <c r="AG77" s="524"/>
    </row>
    <row r="78" spans="1:33" ht="13.2">
      <c r="A78" s="42" t="s">
        <v>116</v>
      </c>
      <c r="C78" s="105"/>
      <c r="U78" s="206"/>
      <c r="V78" s="524"/>
      <c r="W78" s="524"/>
      <c r="X78" s="524"/>
      <c r="Y78" s="524"/>
      <c r="Z78" s="524"/>
      <c r="AA78" s="524"/>
      <c r="AB78" s="524"/>
      <c r="AC78" s="524"/>
      <c r="AD78" s="524"/>
      <c r="AE78" s="524"/>
      <c r="AF78" s="524"/>
      <c r="AG78" s="524"/>
    </row>
    <row r="79" spans="1:33" ht="13.2">
      <c r="A79"/>
      <c r="B79" s="10" t="s">
        <v>338</v>
      </c>
      <c r="C79" s="105"/>
      <c r="D79" s="105"/>
      <c r="E79" s="105"/>
      <c r="F79" s="105"/>
      <c r="G79" s="105"/>
      <c r="H79" s="105"/>
      <c r="I79" s="105"/>
      <c r="J79" s="105"/>
      <c r="K79" s="105"/>
      <c r="L79" s="105"/>
      <c r="M79" s="105"/>
      <c r="N79" s="105"/>
      <c r="U79" s="206"/>
      <c r="V79" s="523"/>
      <c r="W79" s="523"/>
      <c r="X79" s="523"/>
      <c r="Y79" s="523"/>
      <c r="Z79" s="523"/>
      <c r="AA79" s="523"/>
      <c r="AB79" s="523"/>
      <c r="AC79" s="523"/>
      <c r="AD79" s="523"/>
      <c r="AE79" s="523"/>
      <c r="AF79" s="523"/>
      <c r="AG79" s="523"/>
    </row>
    <row r="80" spans="1:33" ht="13.2">
      <c r="A80"/>
      <c r="B80" s="81" t="s">
        <v>426</v>
      </c>
    </row>
    <row r="81" spans="1:33" ht="13.2">
      <c r="A81"/>
      <c r="B81" s="125" t="s">
        <v>431</v>
      </c>
      <c r="C81" s="104"/>
      <c r="V81" s="492"/>
      <c r="W81" s="492"/>
      <c r="X81" s="492"/>
      <c r="Y81" s="492"/>
      <c r="Z81" s="492"/>
      <c r="AA81" s="492"/>
      <c r="AB81" s="492"/>
      <c r="AC81" s="492"/>
      <c r="AD81" s="492"/>
      <c r="AE81" s="492"/>
      <c r="AF81" s="492"/>
      <c r="AG81" s="492"/>
    </row>
    <row r="82" spans="1:33" ht="13.2">
      <c r="A82"/>
      <c r="B82" s="153" t="s">
        <v>435</v>
      </c>
      <c r="E82" s="88"/>
      <c r="V82" s="492"/>
      <c r="W82" s="492"/>
      <c r="X82" s="492"/>
      <c r="Y82" s="492"/>
      <c r="Z82" s="492"/>
      <c r="AA82" s="492"/>
      <c r="AB82" s="492"/>
      <c r="AC82" s="492"/>
      <c r="AD82" s="492"/>
      <c r="AE82" s="492"/>
      <c r="AF82" s="492"/>
      <c r="AG82" s="492"/>
    </row>
    <row r="83" spans="1:33" ht="13.2">
      <c r="A83"/>
      <c r="B83" t="s">
        <v>433</v>
      </c>
      <c r="C83" s="98"/>
      <c r="D83" s="98"/>
      <c r="E83" s="98"/>
      <c r="F83" s="98"/>
      <c r="G83" s="98"/>
      <c r="H83" s="98"/>
      <c r="I83" s="98"/>
      <c r="J83" s="98"/>
      <c r="K83" s="98"/>
      <c r="L83" s="98"/>
      <c r="M83" s="98"/>
      <c r="N83" s="98"/>
      <c r="V83" s="492"/>
      <c r="W83" s="492"/>
      <c r="X83" s="492"/>
      <c r="Y83" s="492"/>
      <c r="Z83" s="492"/>
      <c r="AA83" s="492"/>
      <c r="AB83" s="492"/>
      <c r="AC83" s="492"/>
      <c r="AD83" s="492"/>
      <c r="AE83" s="492"/>
      <c r="AF83" s="492"/>
      <c r="AG83" s="492"/>
    </row>
    <row r="84" spans="1:33">
      <c r="V84" s="492"/>
      <c r="W84" s="492"/>
      <c r="X84" s="492"/>
      <c r="Y84" s="492"/>
      <c r="Z84" s="492"/>
      <c r="AA84" s="492"/>
      <c r="AB84" s="492"/>
      <c r="AC84" s="492"/>
      <c r="AD84" s="492"/>
      <c r="AE84" s="492"/>
      <c r="AF84" s="492"/>
      <c r="AG84" s="492"/>
    </row>
    <row r="85" spans="1:33" ht="409.6">
      <c r="V85" s="492"/>
      <c r="W85" s="492"/>
      <c r="X85" s="492"/>
      <c r="Y85" s="492"/>
      <c r="Z85" s="492"/>
      <c r="AA85" s="492"/>
      <c r="AB85" s="492"/>
      <c r="AC85" s="492"/>
      <c r="AD85" s="492"/>
      <c r="AE85" s="492"/>
      <c r="AF85" s="492"/>
      <c r="AG85" s="492"/>
    </row>
    <row r="86" spans="1:33">
      <c r="V86" s="492"/>
      <c r="W86" s="492"/>
      <c r="X86" s="492"/>
      <c r="Y86" s="492"/>
      <c r="Z86" s="492"/>
      <c r="AA86" s="492"/>
      <c r="AB86" s="492"/>
      <c r="AC86" s="492"/>
      <c r="AD86" s="492"/>
      <c r="AE86" s="492"/>
      <c r="AF86" s="492"/>
      <c r="AG86" s="492"/>
    </row>
    <row r="87" spans="1:33">
      <c r="V87" s="492"/>
      <c r="W87" s="492"/>
      <c r="X87" s="492"/>
      <c r="Y87" s="492"/>
      <c r="Z87" s="492"/>
      <c r="AA87" s="492"/>
      <c r="AB87" s="492"/>
      <c r="AC87" s="492"/>
      <c r="AD87" s="492"/>
      <c r="AE87" s="492"/>
      <c r="AF87" s="492"/>
      <c r="AG87" s="492"/>
    </row>
    <row r="89" spans="1:33">
      <c r="G89" s="145"/>
    </row>
    <row r="90" spans="1:33" ht="409.6">
      <c r="G90" s="44"/>
    </row>
    <row r="92" spans="1:33">
      <c r="G92" s="150"/>
    </row>
  </sheetData>
  <mergeCells count="3">
    <mergeCell ref="C7:E7"/>
    <mergeCell ref="F7:L7"/>
    <mergeCell ref="M7:N7"/>
  </mergeCells>
  <conditionalFormatting sqref="C59:N59">
    <cfRule type="cellIs" dxfId="109" priority="10" operator="greaterThanOrEqual">
      <formula>C60</formula>
    </cfRule>
  </conditionalFormatting>
  <conditionalFormatting sqref="C58:N58">
    <cfRule type="cellIs" dxfId="108" priority="8" operator="greaterThanOrEqual">
      <formula>C59</formula>
    </cfRule>
  </conditionalFormatting>
  <conditionalFormatting sqref="C72:N72">
    <cfRule type="cellIs" dxfId="107" priority="2" operator="greaterThanOrEqual">
      <formula>C73</formula>
    </cfRule>
  </conditionalFormatting>
  <conditionalFormatting sqref="C71:N71">
    <cfRule type="cellIs" dxfId="106" priority="1" operator="greaterThan">
      <formula>C72</formula>
    </cfRule>
  </conditionalFormatting>
  <conditionalFormatting sqref="C64:N64">
    <cfRule type="cellIs" dxfId="105" priority="4" operator="greaterThanOrEqual">
      <formula>C65</formula>
    </cfRule>
  </conditionalFormatting>
  <conditionalFormatting sqref="C63:N63">
    <cfRule type="cellIs" dxfId="104" priority="3" operator="greaterThan">
      <formula>C64</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pageSetUpPr fitToPage="1"/>
  </sheetPr>
  <dimension ref="A1:AG92"/>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 min="19" max="19" width="10.6640625" bestFit="1" customWidth="1"/>
    <col min="25" max="25" width="16.109375" bestFit="1" customWidth="1"/>
  </cols>
  <sheetData>
    <row r="1" spans="1:16" s="8" customFormat="1" ht="15.6">
      <c r="A1" s="624"/>
      <c r="B1" s="8" t="s">
        <v>1297</v>
      </c>
    </row>
    <row r="2" spans="1:16" s="8" customFormat="1" ht="15.6">
      <c r="A2" s="624"/>
      <c r="B2" s="8" t="s">
        <v>1267</v>
      </c>
    </row>
    <row r="3" spans="1:16" s="8" customFormat="1" ht="15.6">
      <c r="A3" s="624"/>
    </row>
    <row r="4" spans="1:16" ht="21">
      <c r="A4" s="124" t="s">
        <v>450</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s="43" t="s">
        <v>87</v>
      </c>
      <c r="C9" s="320">
        <v>3</v>
      </c>
      <c r="D9" s="320">
        <v>4</v>
      </c>
      <c r="E9" s="320">
        <v>5</v>
      </c>
      <c r="F9" s="320">
        <v>6</v>
      </c>
      <c r="G9" s="320">
        <v>7</v>
      </c>
      <c r="H9" s="320">
        <v>8</v>
      </c>
      <c r="I9" s="320">
        <v>9</v>
      </c>
      <c r="J9" s="320">
        <v>10</v>
      </c>
      <c r="K9" s="320">
        <v>11</v>
      </c>
      <c r="L9" s="320">
        <v>12</v>
      </c>
      <c r="M9" s="320">
        <v>13</v>
      </c>
      <c r="N9" s="320">
        <v>14</v>
      </c>
      <c r="O9" s="10"/>
      <c r="P9" s="331"/>
    </row>
    <row r="10" spans="1:16" s="10" customFormat="1">
      <c r="A10" s="123"/>
      <c r="C10" s="122"/>
      <c r="D10" s="122"/>
      <c r="E10" s="122"/>
      <c r="F10" s="122"/>
      <c r="G10" s="122"/>
      <c r="H10" s="122"/>
      <c r="I10" s="122"/>
      <c r="J10" s="122"/>
      <c r="K10" s="122"/>
      <c r="L10" s="122"/>
      <c r="M10" s="122"/>
      <c r="N10" s="122"/>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0.82242319897925797</v>
      </c>
      <c r="D13" s="115">
        <f>VLOOKUP($B$9,'Avg KWH'!$A$12:$O$38,D9,FALSE)/HOURS!C15/VLOOKUP($B$9,'Avg CP'!$A$12:$P$38,D9,FALSE)</f>
        <v>0.68507315061113161</v>
      </c>
      <c r="E13" s="115">
        <f>VLOOKUP($B$9,'Avg KWH'!$A$12:$O$38,E9,FALSE)/HOURS!D15/VLOOKUP($B$9,'Avg CP'!$A$12:$P$38,E9,FALSE)</f>
        <v>0.85875898810042894</v>
      </c>
      <c r="F13" s="115">
        <f>VLOOKUP($B$9,'Avg KWH'!$A$12:$O$38,F9,FALSE)/HOURS!E15/VLOOKUP($B$9,'Avg CP'!$A$12:$P$38,F9,FALSE)</f>
        <v>0.85818011267357686</v>
      </c>
      <c r="G13" s="115">
        <f>VLOOKUP($B$9,'Avg KWH'!$A$12:$O$38,G9,FALSE)/HOURS!F15/VLOOKUP($B$9,'Avg CP'!$A$12:$P$38,G9,FALSE)</f>
        <v>1.1444100070588075</v>
      </c>
      <c r="H13" s="115">
        <f>VLOOKUP($B$9,'Avg KWH'!$A$12:$O$38,H9,FALSE)/HOURS!G15/VLOOKUP($B$9,'Avg CP'!$A$12:$P$38,H9,FALSE)</f>
        <v>0.77949494446656931</v>
      </c>
      <c r="I13" s="115">
        <f>VLOOKUP($B$9,'Avg KWH'!$A$12:$O$38,I9,FALSE)/HOURS!H15/VLOOKUP($B$9,'Avg CP'!$A$12:$P$38,I9,FALSE)</f>
        <v>0.73280373995468362</v>
      </c>
      <c r="J13" s="115">
        <f>VLOOKUP($B$9,'Avg KWH'!$A$12:$O$38,J9,FALSE)/HOURS!I15/VLOOKUP($B$9,'Avg CP'!$A$12:$P$38,J9,FALSE)</f>
        <v>1.0212147761752199</v>
      </c>
      <c r="K13" s="115">
        <f>VLOOKUP($B$9,'Avg KWH'!$A$12:$O$38,K9,FALSE)/HOURS!J15/VLOOKUP($B$9,'Avg CP'!$A$12:$P$38,K9,FALSE)</f>
        <v>1.3692961752602275</v>
      </c>
      <c r="L13" s="115">
        <f>VLOOKUP($B$9,'Avg KWH'!$A$12:$O$38,L9,FALSE)/HOURS!K15/VLOOKUP($B$9,'Avg CP'!$A$12:$P$38,L9,FALSE)</f>
        <v>0.65409173557945832</v>
      </c>
      <c r="M13" s="115">
        <f>VLOOKUP($B$9,'Avg KWH'!$A$12:$O$38,M9,FALSE)/HOURS!L15/VLOOKUP($B$9,'Avg CP'!$A$12:$P$38,M9,FALSE)</f>
        <v>0.41967656012176563</v>
      </c>
      <c r="N13" s="115">
        <f>VLOOKUP($B$9,'Avg KWH'!$A$12:$O$38,N9,FALSE)/HOURS!M15/VLOOKUP($B$9,'Avg CP'!$A$12:$P$38,N9,FALSE)</f>
        <v>1.2435818343986917</v>
      </c>
    </row>
    <row r="14" spans="1:16" s="110" customFormat="1">
      <c r="A14" s="119"/>
      <c r="B14" s="118" t="s">
        <v>342</v>
      </c>
      <c r="C14" s="115">
        <f>VLOOKUP($B$9,'Avg KWH'!$A$12:$O$38,C9,FALSE)/HOURS!B15/VLOOKUP($B$9,'Avg GNCP'!$A$11:$P$37,C9,FALSE)</f>
        <v>0.38679192663656015</v>
      </c>
      <c r="D14" s="115">
        <f>VLOOKUP($B$9,'Avg KWH'!$A$12:$O$38,D9,FALSE)/HOURS!C15/VLOOKUP($B$9,'Avg GNCP'!$A$11:$P$37,D9,FALSE)</f>
        <v>0.27669004603344055</v>
      </c>
      <c r="E14" s="115">
        <f>VLOOKUP($B$9,'Avg KWH'!$A$12:$O$38,E9,FALSE)/HOURS!D15/VLOOKUP($B$9,'Avg GNCP'!$A$11:$P$37,E9,FALSE)</f>
        <v>0.57448258488789894</v>
      </c>
      <c r="F14" s="115">
        <f>VLOOKUP($B$9,'Avg KWH'!$A$12:$O$38,F9,FALSE)/HOURS!E15/VLOOKUP($B$9,'Avg GNCP'!$A$11:$P$37,F9,FALSE)</f>
        <v>0.45547686207178484</v>
      </c>
      <c r="G14" s="115">
        <f>VLOOKUP($B$9,'Avg KWH'!$A$12:$O$38,G9,FALSE)/HOURS!F15/VLOOKUP($B$9,'Avg GNCP'!$A$11:$P$37,G9,FALSE)</f>
        <v>0.51980487341752446</v>
      </c>
      <c r="H14" s="115">
        <f>VLOOKUP($B$9,'Avg KWH'!$A$12:$O$38,H9,FALSE)/HOURS!G15/VLOOKUP($B$9,'Avg GNCP'!$A$11:$P$37,H9,FALSE)</f>
        <v>0.5002713880014199</v>
      </c>
      <c r="I14" s="115">
        <f>VLOOKUP($B$9,'Avg KWH'!$A$12:$O$38,I9,FALSE)/HOURS!H15/VLOOKUP($B$9,'Avg GNCP'!$A$11:$P$37,I9,FALSE)</f>
        <v>0.46357130266173102</v>
      </c>
      <c r="J14" s="115">
        <f>VLOOKUP($B$9,'Avg KWH'!$A$12:$O$38,J9,FALSE)/HOURS!I15/VLOOKUP($B$9,'Avg GNCP'!$A$11:$P$37,J9,FALSE)</f>
        <v>0.47445743973891186</v>
      </c>
      <c r="K14" s="115">
        <f>VLOOKUP($B$9,'Avg KWH'!$A$12:$O$38,K9,FALSE)/HOURS!J15/VLOOKUP($B$9,'Avg GNCP'!$A$11:$P$37,K9,FALSE)</f>
        <v>0.4608244483141376</v>
      </c>
      <c r="L14" s="115">
        <f>VLOOKUP($B$9,'Avg KWH'!$A$12:$O$38,L9,FALSE)/HOURS!K15/VLOOKUP($B$9,'Avg GNCP'!$A$11:$P$37,L9,FALSE)</f>
        <v>0.33236080605283419</v>
      </c>
      <c r="M14" s="115">
        <f>VLOOKUP($B$9,'Avg KWH'!$A$12:$O$38,M9,FALSE)/HOURS!L15/VLOOKUP($B$9,'Avg GNCP'!$A$11:$P$37,M9,FALSE)</f>
        <v>0.13541543886531512</v>
      </c>
      <c r="N14" s="115">
        <f>VLOOKUP($B$9,'Avg KWH'!$A$12:$O$38,N9,FALSE)/HOURS!M15/VLOOKUP($B$9,'Avg GNCP'!$A$11:$P$37,N9,FALSE)</f>
        <v>0.3048201265836622</v>
      </c>
    </row>
    <row r="15" spans="1:16" s="10" customFormat="1">
      <c r="A15" s="119"/>
      <c r="B15" s="148" t="s">
        <v>133</v>
      </c>
      <c r="C15" s="115">
        <f>IFERROR(VLOOKUP($B$9,'Avg KWH'!$A$12:$O$38,C9,FALSE)/HOURS!B15/VLOOKUP($B$9,'Avg NCP'!$B$12:$P$38,C9-1,FALSE),"")</f>
        <v>0.31242892475189693</v>
      </c>
      <c r="D15" s="115">
        <f>IFERROR(VLOOKUP($B$9,'Avg KWH'!$A$12:$O$38,D9,FALSE)/HOURS!C15/VLOOKUP($B$9,'Avg NCP'!$B$12:$P$38,D9-1,FALSE),"")</f>
        <v>0.24328138918948006</v>
      </c>
      <c r="E15" s="115">
        <f>IFERROR(VLOOKUP($B$9,'Avg KWH'!$A$12:$O$38,E9,FALSE)/HOURS!D15/VLOOKUP($B$9,'Avg NCP'!$B$12:$P$38,E9-1,FALSE),"")</f>
        <v>0.43190041685688707</v>
      </c>
      <c r="F15" s="115">
        <f>IFERROR(VLOOKUP($B$9,'Avg KWH'!$A$12:$O$38,F9,FALSE)/HOURS!E15/VLOOKUP($B$9,'Avg NCP'!$B$12:$P$38,F9-1,FALSE),"")</f>
        <v>0.37961725853240663</v>
      </c>
      <c r="G15" s="115">
        <f>IFERROR(VLOOKUP($B$9,'Avg KWH'!$A$12:$O$38,G9,FALSE)/HOURS!F15/VLOOKUP($B$9,'Avg NCP'!$B$12:$P$38,G9-1,FALSE),"")</f>
        <v>0.4481851987042022</v>
      </c>
      <c r="H15" s="115">
        <f>IFERROR(VLOOKUP($B$9,'Avg KWH'!$A$12:$O$38,H9,FALSE)/HOURS!G15/VLOOKUP($B$9,'Avg NCP'!$B$12:$P$38,H9-1,FALSE),"")</f>
        <v>0.38643865854996162</v>
      </c>
      <c r="I15" s="115">
        <f>IFERROR(VLOOKUP($B$9,'Avg KWH'!$A$12:$O$38,I9,FALSE)/HOURS!H15/VLOOKUP($B$9,'Avg NCP'!$B$12:$P$38,I9-1,FALSE),"")</f>
        <v>0.38636974202951119</v>
      </c>
      <c r="J15" s="115">
        <f>IFERROR(VLOOKUP($B$9,'Avg KWH'!$A$12:$O$38,J9,FALSE)/HOURS!I15/VLOOKUP($B$9,'Avg NCP'!$B$12:$P$38,J9-1,FALSE),"")</f>
        <v>0.38499162081004162</v>
      </c>
      <c r="K15" s="115">
        <f>IFERROR(VLOOKUP($B$9,'Avg KWH'!$A$12:$O$38,K9,FALSE)/HOURS!J15/VLOOKUP($B$9,'Avg NCP'!$B$12:$P$38,K9-1,FALSE),"")</f>
        <v>0.39879882261703326</v>
      </c>
      <c r="L15" s="115">
        <f>IFERROR(VLOOKUP($B$9,'Avg KWH'!$A$12:$O$38,L9,FALSE)/HOURS!K15/VLOOKUP($B$9,'Avg NCP'!$B$12:$P$38,L9-1,FALSE),"")</f>
        <v>0.2316179179828062</v>
      </c>
      <c r="M15" s="115">
        <f>IFERROR(VLOOKUP($B$9,'Avg KWH'!$A$12:$O$38,M9,FALSE)/HOURS!L15/VLOOKUP($B$9,'Avg NCP'!$B$12:$P$38,M9-1,FALSE),"")</f>
        <v>0.11199966691850878</v>
      </c>
      <c r="N15" s="115">
        <f>IFERROR(VLOOKUP($B$9,'Avg KWH'!$A$12:$O$38,N9,FALSE)/HOURS!M15/VLOOKUP($B$9,'Avg NCP'!$B$12:$P$38,N9-1,FALSE),"")</f>
        <v>0.19578992821919478</v>
      </c>
    </row>
    <row r="16" spans="1:16">
      <c r="A16" s="114"/>
      <c r="C16" s="116"/>
      <c r="D16" s="116"/>
      <c r="E16" s="116"/>
      <c r="F16" s="116"/>
      <c r="G16" s="116"/>
      <c r="H16" s="116"/>
      <c r="I16" s="116"/>
      <c r="J16" s="116"/>
      <c r="K16" s="116"/>
      <c r="L16" s="116"/>
      <c r="M16" s="117"/>
      <c r="N16" s="116"/>
    </row>
    <row r="17" spans="1:28" ht="15.6">
      <c r="A17" s="113" t="s">
        <v>421</v>
      </c>
      <c r="C17" s="5"/>
      <c r="D17" s="5"/>
      <c r="E17" s="5"/>
      <c r="F17" s="5"/>
      <c r="G17" s="5"/>
      <c r="H17" s="5"/>
      <c r="I17" s="5"/>
      <c r="J17" s="5"/>
      <c r="K17" s="5"/>
      <c r="L17" s="5"/>
      <c r="M17" s="115"/>
      <c r="N17" s="5"/>
    </row>
    <row r="18" spans="1:28">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c r="S18" s="12"/>
      <c r="T18" s="12"/>
      <c r="U18" s="12"/>
      <c r="V18" s="12"/>
      <c r="W18" s="12"/>
      <c r="X18" s="12"/>
      <c r="Y18" s="12"/>
      <c r="Z18" s="12"/>
      <c r="AA18" s="12"/>
      <c r="AB18" s="12"/>
    </row>
    <row r="19" spans="1:28">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c r="S19" s="12"/>
      <c r="T19" s="12"/>
      <c r="U19" s="12"/>
      <c r="V19" s="12"/>
      <c r="W19" s="12"/>
      <c r="X19" s="12"/>
      <c r="Y19" s="12"/>
      <c r="Z19" s="12"/>
      <c r="AA19" s="12"/>
      <c r="AB19" s="12"/>
    </row>
    <row r="20" spans="1:28">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c r="S20" s="12"/>
      <c r="T20" s="12"/>
      <c r="U20" s="12"/>
      <c r="V20" s="12"/>
      <c r="W20" s="12"/>
      <c r="X20" s="12"/>
      <c r="Y20" s="12"/>
      <c r="Z20" s="12"/>
      <c r="AA20" s="12"/>
      <c r="AB20" s="12"/>
    </row>
    <row r="21" spans="1:28">
      <c r="A21" s="114"/>
      <c r="C21" s="5"/>
      <c r="D21" s="5"/>
      <c r="E21" s="5"/>
      <c r="F21" s="5"/>
      <c r="G21" s="5"/>
      <c r="H21" s="5"/>
      <c r="I21" s="5"/>
      <c r="J21" s="5"/>
      <c r="K21" s="5"/>
      <c r="L21" s="5"/>
      <c r="M21" s="115"/>
      <c r="N21" s="5"/>
      <c r="S21" s="12"/>
      <c r="T21" s="12"/>
      <c r="U21" s="12"/>
      <c r="V21" s="12"/>
      <c r="W21" s="12"/>
      <c r="X21" s="12"/>
      <c r="Y21" s="12"/>
      <c r="Z21" s="12"/>
      <c r="AA21" s="12"/>
      <c r="AB21" s="12"/>
    </row>
    <row r="22" spans="1:28" ht="15.6">
      <c r="A22" s="113" t="s">
        <v>427</v>
      </c>
      <c r="C22" s="5"/>
      <c r="D22" s="5"/>
      <c r="E22" s="5"/>
      <c r="F22" s="5"/>
      <c r="G22" s="5"/>
      <c r="H22" s="5"/>
      <c r="I22" s="5"/>
      <c r="J22" s="5"/>
      <c r="K22" s="5"/>
      <c r="L22" s="5"/>
      <c r="M22" s="115"/>
      <c r="N22" s="5"/>
      <c r="S22" s="12"/>
      <c r="T22" s="12"/>
      <c r="U22" s="12"/>
      <c r="V22" s="12"/>
      <c r="W22" s="12"/>
      <c r="X22" s="12"/>
      <c r="Y22" s="12"/>
      <c r="Z22" s="12"/>
      <c r="AA22" s="12"/>
      <c r="AB22" s="12"/>
    </row>
    <row r="23" spans="1:28">
      <c r="A23" s="114"/>
      <c r="B23" t="s">
        <v>428</v>
      </c>
      <c r="C23" s="145">
        <v>0</v>
      </c>
      <c r="D23" s="145">
        <v>0</v>
      </c>
      <c r="E23" s="145">
        <v>0</v>
      </c>
      <c r="F23" s="145">
        <v>0</v>
      </c>
      <c r="G23" s="145">
        <v>0</v>
      </c>
      <c r="H23" s="145">
        <v>0</v>
      </c>
      <c r="I23" s="145">
        <v>0</v>
      </c>
      <c r="J23" s="145">
        <v>0</v>
      </c>
      <c r="K23" s="145">
        <v>0</v>
      </c>
      <c r="L23" s="145">
        <v>0</v>
      </c>
      <c r="M23" s="145">
        <v>0</v>
      </c>
      <c r="N23" s="145">
        <v>0</v>
      </c>
      <c r="S23" s="12"/>
      <c r="T23" s="12"/>
      <c r="U23" s="12"/>
      <c r="V23" s="12"/>
      <c r="W23" s="12"/>
      <c r="X23" s="12"/>
      <c r="Y23" s="12"/>
      <c r="Z23" s="12"/>
      <c r="AA23" s="12"/>
      <c r="AB23" s="12"/>
    </row>
    <row r="24" spans="1:28" ht="15.6">
      <c r="A24" s="114"/>
      <c r="B24" t="s">
        <v>429</v>
      </c>
      <c r="C24" s="145">
        <v>0</v>
      </c>
      <c r="D24" s="145">
        <v>0</v>
      </c>
      <c r="E24" s="145">
        <v>0</v>
      </c>
      <c r="F24" s="145">
        <v>0</v>
      </c>
      <c r="G24" s="145">
        <v>0</v>
      </c>
      <c r="H24" s="145">
        <v>0</v>
      </c>
      <c r="I24" s="145">
        <v>0</v>
      </c>
      <c r="J24" s="145">
        <v>0</v>
      </c>
      <c r="K24" s="145">
        <v>0</v>
      </c>
      <c r="L24" s="145">
        <v>0</v>
      </c>
      <c r="M24" s="145">
        <v>0</v>
      </c>
      <c r="N24" s="145">
        <v>0</v>
      </c>
      <c r="S24" s="12"/>
      <c r="T24" s="12"/>
      <c r="U24" s="12"/>
      <c r="V24" s="12"/>
      <c r="W24" s="12"/>
      <c r="X24" s="12"/>
      <c r="Y24" s="510"/>
      <c r="Z24" s="12"/>
      <c r="AA24" s="12"/>
      <c r="AB24" s="12"/>
    </row>
    <row r="25" spans="1:28" ht="15.6">
      <c r="A25" s="114"/>
      <c r="C25" s="5"/>
      <c r="D25" s="5"/>
      <c r="E25" s="5"/>
      <c r="F25" s="5"/>
      <c r="G25" s="5"/>
      <c r="H25" s="5"/>
      <c r="I25" s="5"/>
      <c r="J25" s="5"/>
      <c r="K25" s="5"/>
      <c r="L25" s="5"/>
      <c r="M25" s="115"/>
      <c r="N25" s="5"/>
      <c r="S25" s="12"/>
      <c r="T25" s="12"/>
      <c r="U25" s="12"/>
      <c r="V25" s="12"/>
      <c r="W25" s="12"/>
      <c r="X25" s="12"/>
      <c r="Y25" s="510"/>
      <c r="Z25" s="12"/>
      <c r="AA25" s="12"/>
      <c r="AB25" s="12"/>
    </row>
    <row r="26" spans="1:28" ht="15.6">
      <c r="A26" s="113" t="s">
        <v>424</v>
      </c>
      <c r="C26" s="5"/>
      <c r="D26" s="5"/>
      <c r="E26" s="5"/>
      <c r="F26" s="5"/>
      <c r="G26" s="5"/>
      <c r="H26" s="5"/>
      <c r="I26" s="5"/>
      <c r="J26" s="5"/>
      <c r="K26" s="5"/>
      <c r="L26" s="5"/>
      <c r="M26" s="115"/>
      <c r="N26" s="5"/>
      <c r="S26" s="12"/>
      <c r="T26" s="12"/>
      <c r="U26" s="12"/>
      <c r="V26" s="12"/>
      <c r="W26" s="12"/>
      <c r="X26" s="12"/>
      <c r="Y26" s="510"/>
      <c r="Z26" s="12"/>
      <c r="AA26" s="12"/>
      <c r="AB26" s="12"/>
    </row>
    <row r="27" spans="1:28" s="106" customFormat="1" ht="15.6">
      <c r="A27" s="109"/>
      <c r="B27" s="108" t="str">
        <f>"PRIOR - "&amp;MANUAL!$B$9</f>
        <v>PRIOR - 2016</v>
      </c>
      <c r="C27" s="142">
        <f>VLOOKUP($B$9,'Sales Forecast'!$B$7:$AO$23,C9-1,FALSE)</f>
        <v>602856</v>
      </c>
      <c r="D27" s="142">
        <f>VLOOKUP($B$9,'Sales Forecast'!$B$7:$AO$23,D9-1,FALSE)</f>
        <v>685784</v>
      </c>
      <c r="E27" s="142">
        <f>VLOOKUP($B$9,'Sales Forecast'!$B$7:$AO$23,E9-1,FALSE)</f>
        <v>666585</v>
      </c>
      <c r="F27" s="142">
        <f>VLOOKUP($B$9,'Sales Forecast'!$B$7:$AO$23,F9-1,FALSE)</f>
        <v>1230699</v>
      </c>
      <c r="G27" s="142">
        <f>VLOOKUP($B$9,'Sales Forecast'!$B$7:$AO$23,G9-1,FALSE)</f>
        <v>1462083</v>
      </c>
      <c r="H27" s="142">
        <f>VLOOKUP($B$9,'Sales Forecast'!$B$7:$AO$23,H9-1,FALSE)</f>
        <v>1187857</v>
      </c>
      <c r="I27" s="142">
        <f>VLOOKUP($B$9,'Sales Forecast'!$B$7:$AO$23,I9-1,FALSE)</f>
        <v>1087713</v>
      </c>
      <c r="J27" s="142">
        <f>VLOOKUP($B$9,'Sales Forecast'!$B$7:$AO$23,J9-1,FALSE)</f>
        <v>1181803</v>
      </c>
      <c r="K27" s="142">
        <f>VLOOKUP($B$9,'Sales Forecast'!$B$7:$AO$23,K9-1,FALSE)</f>
        <v>1205075</v>
      </c>
      <c r="L27" s="142">
        <f>VLOOKUP($B$9,'Sales Forecast'!$B$7:$AO$23,L9-1,FALSE)</f>
        <v>1239312</v>
      </c>
      <c r="M27" s="142">
        <f>VLOOKUP($B$9,'Sales Forecast'!$B$7:$AO$23,M9-1,FALSE)</f>
        <v>799615</v>
      </c>
      <c r="N27" s="142">
        <f>VLOOKUP($B$9,'Sales Forecast'!$B$7:$AO$23,N9-1,FALSE)</f>
        <v>507544</v>
      </c>
      <c r="S27" s="511"/>
      <c r="T27" s="511"/>
      <c r="U27" s="511"/>
      <c r="V27" s="511"/>
      <c r="W27" s="511"/>
      <c r="X27" s="511"/>
      <c r="Y27" s="510"/>
      <c r="Z27" s="511"/>
      <c r="AA27" s="511"/>
      <c r="AB27" s="511"/>
    </row>
    <row r="28" spans="1:28" s="12" customFormat="1" ht="15.6">
      <c r="A28" s="111"/>
      <c r="B28" s="108" t="str">
        <f>"TEST - "&amp;MANUAL!$B$10</f>
        <v>TEST - 2017</v>
      </c>
      <c r="C28" s="142">
        <f>VLOOKUP($B$9,'Sales Forecast'!$B$7:$AO$23,C9+11,FALSE)</f>
        <v>602856</v>
      </c>
      <c r="D28" s="142">
        <f>VLOOKUP($B$9,'Sales Forecast'!$B$7:$AO$23,D9+11,FALSE)</f>
        <v>685784</v>
      </c>
      <c r="E28" s="142">
        <f>VLOOKUP($B$9,'Sales Forecast'!$B$7:$AO$23,E9+11,FALSE)</f>
        <v>666585</v>
      </c>
      <c r="F28" s="142">
        <f>VLOOKUP($B$9,'Sales Forecast'!$B$7:$AO$23,F9+11,FALSE)</f>
        <v>1230699</v>
      </c>
      <c r="G28" s="142">
        <f>VLOOKUP($B$9,'Sales Forecast'!$B$7:$AO$23,G9+11,FALSE)</f>
        <v>1462083</v>
      </c>
      <c r="H28" s="142">
        <f>VLOOKUP($B$9,'Sales Forecast'!$B$7:$AO$23,H9+11,FALSE)</f>
        <v>1187857</v>
      </c>
      <c r="I28" s="142">
        <f>VLOOKUP($B$9,'Sales Forecast'!$B$7:$AO$23,I9+11,FALSE)</f>
        <v>1087713</v>
      </c>
      <c r="J28" s="142">
        <f>VLOOKUP($B$9,'Sales Forecast'!$B$7:$AO$23,J9+11,FALSE)</f>
        <v>1181803</v>
      </c>
      <c r="K28" s="142">
        <f>VLOOKUP($B$9,'Sales Forecast'!$B$7:$AO$23,K9+11,FALSE)</f>
        <v>1205075</v>
      </c>
      <c r="L28" s="142">
        <f>VLOOKUP($B$9,'Sales Forecast'!$B$7:$AO$23,L9+11,FALSE)</f>
        <v>1239312</v>
      </c>
      <c r="M28" s="142">
        <f>VLOOKUP($B$9,'Sales Forecast'!$B$7:$AO$23,M9+11,FALSE)</f>
        <v>799615</v>
      </c>
      <c r="N28" s="142">
        <f>VLOOKUP($B$9,'Sales Forecast'!$B$7:$AO$23,N9+11,FALSE)</f>
        <v>507544</v>
      </c>
      <c r="Y28" s="510"/>
    </row>
    <row r="29" spans="1:28" ht="15.6">
      <c r="A29" s="114"/>
      <c r="B29" t="s">
        <v>1094</v>
      </c>
      <c r="C29" s="142">
        <f>VLOOKUP($B$9,'Sales Forecast'!$B$7:$AO$23,C9+23,FALSE)</f>
        <v>602856</v>
      </c>
      <c r="D29" s="142">
        <f>VLOOKUP($B$9,'Sales Forecast'!$B$7:$AO$23,D9+23,FALSE)</f>
        <v>685784</v>
      </c>
      <c r="E29" s="142">
        <f>VLOOKUP($B$9,'Sales Forecast'!$B$7:$AO$23,E9+23,FALSE)</f>
        <v>666585</v>
      </c>
      <c r="F29" s="142">
        <f>VLOOKUP($B$9,'Sales Forecast'!$B$7:$AO$23,F9+23,FALSE)</f>
        <v>1230699</v>
      </c>
      <c r="G29" s="142">
        <f>VLOOKUP($B$9,'Sales Forecast'!$B$7:$AO$23,G9+23,FALSE)</f>
        <v>1462083</v>
      </c>
      <c r="H29" s="142">
        <f>VLOOKUP($B$9,'Sales Forecast'!$B$7:$AO$23,H9+23,FALSE)</f>
        <v>1187857</v>
      </c>
      <c r="I29" s="142">
        <f>VLOOKUP($B$9,'Sales Forecast'!$B$7:$AO$23,I9+23,FALSE)</f>
        <v>1087713</v>
      </c>
      <c r="J29" s="142">
        <f>VLOOKUP($B$9,'Sales Forecast'!$B$7:$AO$23,J9+23,FALSE)</f>
        <v>1181803</v>
      </c>
      <c r="K29" s="142">
        <f>VLOOKUP($B$9,'Sales Forecast'!$B$7:$AO$23,K9+23,FALSE)</f>
        <v>1205075</v>
      </c>
      <c r="L29" s="142">
        <f>VLOOKUP($B$9,'Sales Forecast'!$B$7:$AO$23,L9+23,FALSE)</f>
        <v>1239312</v>
      </c>
      <c r="M29" s="142">
        <f>VLOOKUP($B$9,'Sales Forecast'!$B$7:$AO$23,M9+23,FALSE)</f>
        <v>799615</v>
      </c>
      <c r="N29" s="142">
        <f>VLOOKUP($B$9,'Sales Forecast'!$B$7:$AO$23,N9+23,FALSE)</f>
        <v>507544</v>
      </c>
      <c r="S29" s="12"/>
      <c r="T29" s="12"/>
      <c r="U29" s="12"/>
      <c r="V29" s="12"/>
      <c r="W29" s="12"/>
      <c r="X29" s="12"/>
      <c r="Y29" s="510"/>
      <c r="Z29" s="12"/>
      <c r="AA29" s="12"/>
      <c r="AB29" s="12"/>
    </row>
    <row r="30" spans="1:28" ht="15.6">
      <c r="A30" s="114"/>
      <c r="C30" s="142"/>
      <c r="D30" s="142"/>
      <c r="E30" s="142"/>
      <c r="F30" s="142"/>
      <c r="G30" s="142"/>
      <c r="H30" s="142"/>
      <c r="I30" s="142"/>
      <c r="J30" s="142"/>
      <c r="K30" s="142"/>
      <c r="L30" s="142"/>
      <c r="M30" s="142"/>
      <c r="N30" s="142"/>
      <c r="S30" s="12"/>
      <c r="T30" s="12"/>
      <c r="U30" s="12"/>
      <c r="V30" s="12"/>
      <c r="W30" s="12"/>
      <c r="X30" s="12"/>
      <c r="Y30" s="510"/>
      <c r="Z30" s="12"/>
      <c r="AA30" s="12"/>
      <c r="AB30" s="12"/>
    </row>
    <row r="31" spans="1:28" s="12" customFormat="1" ht="15.6">
      <c r="A31" s="113" t="s">
        <v>1248</v>
      </c>
      <c r="B31"/>
      <c r="C31" s="142"/>
      <c r="D31" s="142"/>
      <c r="E31" s="142"/>
      <c r="F31" s="142"/>
      <c r="G31" s="142"/>
      <c r="H31" s="142"/>
      <c r="I31" s="142"/>
      <c r="J31" s="142"/>
      <c r="K31" s="142"/>
      <c r="L31" s="142"/>
      <c r="M31" s="142"/>
      <c r="N31" s="142"/>
      <c r="Y31" s="510"/>
    </row>
    <row r="32" spans="1:28" s="12" customFormat="1" ht="15.6">
      <c r="A32" s="114"/>
      <c r="B32" t="s">
        <v>1254</v>
      </c>
      <c r="C32" s="115">
        <v>0</v>
      </c>
      <c r="D32" s="115">
        <v>0</v>
      </c>
      <c r="E32" s="115">
        <v>0</v>
      </c>
      <c r="F32" s="115">
        <v>0</v>
      </c>
      <c r="G32" s="115">
        <v>0</v>
      </c>
      <c r="H32" s="115">
        <v>0</v>
      </c>
      <c r="I32" s="115">
        <v>0</v>
      </c>
      <c r="J32" s="115">
        <v>0</v>
      </c>
      <c r="K32" s="115">
        <v>0</v>
      </c>
      <c r="L32" s="115">
        <v>0</v>
      </c>
      <c r="M32" s="115">
        <v>0</v>
      </c>
      <c r="N32" s="115">
        <v>0</v>
      </c>
      <c r="Y32" s="510"/>
    </row>
    <row r="33" spans="1:31" s="12" customFormat="1" ht="15.6">
      <c r="A33" s="114"/>
      <c r="B33" t="s">
        <v>1253</v>
      </c>
      <c r="C33" s="115">
        <v>1</v>
      </c>
      <c r="D33" s="115">
        <v>1</v>
      </c>
      <c r="E33" s="115">
        <v>1</v>
      </c>
      <c r="F33" s="115">
        <v>1</v>
      </c>
      <c r="G33" s="115">
        <v>1</v>
      </c>
      <c r="H33" s="115">
        <v>1</v>
      </c>
      <c r="I33" s="115">
        <v>1</v>
      </c>
      <c r="J33" s="115">
        <v>1</v>
      </c>
      <c r="K33" s="115">
        <v>1</v>
      </c>
      <c r="L33" s="115">
        <v>1</v>
      </c>
      <c r="M33" s="115">
        <v>1</v>
      </c>
      <c r="N33" s="115">
        <v>1</v>
      </c>
      <c r="T33" s="512"/>
      <c r="U33" s="512"/>
      <c r="V33" s="512"/>
      <c r="W33" s="512"/>
      <c r="Y33" s="510"/>
    </row>
    <row r="34" spans="1:31" s="12" customFormat="1" ht="15.6">
      <c r="A34" s="114"/>
      <c r="B34" t="s">
        <v>1252</v>
      </c>
      <c r="C34" s="115">
        <v>0</v>
      </c>
      <c r="D34" s="115">
        <v>0</v>
      </c>
      <c r="E34" s="115">
        <v>0</v>
      </c>
      <c r="F34" s="115">
        <v>0</v>
      </c>
      <c r="G34" s="115">
        <v>0</v>
      </c>
      <c r="H34" s="115">
        <v>0</v>
      </c>
      <c r="I34" s="115">
        <v>0</v>
      </c>
      <c r="J34" s="115">
        <v>0</v>
      </c>
      <c r="K34" s="115">
        <v>0</v>
      </c>
      <c r="L34" s="115">
        <v>0</v>
      </c>
      <c r="M34" s="115">
        <v>0</v>
      </c>
      <c r="N34" s="115">
        <v>0</v>
      </c>
      <c r="Y34" s="510"/>
    </row>
    <row r="35" spans="1:31" s="12" customFormat="1" ht="15.6">
      <c r="A35" s="114"/>
      <c r="B35" s="513">
        <v>2017</v>
      </c>
      <c r="C35" s="115"/>
      <c r="D35" s="115"/>
      <c r="E35" s="115"/>
      <c r="F35" s="115"/>
      <c r="G35" s="115"/>
      <c r="H35" s="115"/>
      <c r="I35" s="115"/>
      <c r="J35" s="115"/>
      <c r="K35" s="115"/>
      <c r="L35" s="115"/>
      <c r="M35" s="115"/>
      <c r="N35" s="115"/>
      <c r="Y35" s="510"/>
    </row>
    <row r="36" spans="1:31"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S36" s="522"/>
      <c r="T36" s="523"/>
      <c r="U36" s="523"/>
      <c r="V36" s="523"/>
      <c r="W36" s="523"/>
      <c r="X36" s="523"/>
      <c r="Y36" s="523"/>
      <c r="Z36" s="523"/>
      <c r="AA36" s="523"/>
      <c r="AB36" s="523"/>
      <c r="AC36" s="523"/>
      <c r="AD36" s="523"/>
      <c r="AE36" s="523"/>
    </row>
    <row r="37" spans="1:31"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S37" s="206"/>
      <c r="T37" s="523"/>
      <c r="U37" s="523"/>
      <c r="V37" s="523"/>
      <c r="W37" s="523"/>
      <c r="X37" s="523"/>
      <c r="Y37" s="523"/>
      <c r="Z37" s="523"/>
      <c r="AA37" s="523"/>
      <c r="AB37" s="523"/>
      <c r="AC37" s="523"/>
      <c r="AD37" s="523"/>
      <c r="AE37" s="523"/>
    </row>
    <row r="38" spans="1:31"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S38" s="206"/>
      <c r="T38" s="523"/>
      <c r="U38" s="523"/>
      <c r="V38" s="523"/>
      <c r="W38" s="523"/>
      <c r="X38" s="523"/>
      <c r="Y38" s="523"/>
      <c r="Z38" s="523"/>
      <c r="AA38" s="523"/>
      <c r="AB38" s="523"/>
      <c r="AC38" s="523"/>
      <c r="AD38" s="523"/>
      <c r="AE38" s="523"/>
    </row>
    <row r="39" spans="1:31" s="12" customFormat="1">
      <c r="A39" s="114"/>
      <c r="B39" t="s">
        <v>1255</v>
      </c>
      <c r="C39" s="107">
        <f>IFERROR((+C$28/C$19/C13)+C23,0)</f>
        <v>985.2474049690336</v>
      </c>
      <c r="D39" s="107">
        <f t="shared" ref="D39:N39" si="0">IFERROR((+D$28/D$19/D13)+D23,0)</f>
        <v>1489.6393237007451</v>
      </c>
      <c r="E39" s="107">
        <f t="shared" si="0"/>
        <v>1043.305040249993</v>
      </c>
      <c r="F39" s="107">
        <f t="shared" si="0"/>
        <v>1991.7778813837754</v>
      </c>
      <c r="G39" s="107">
        <f t="shared" si="0"/>
        <v>1717.1864196042998</v>
      </c>
      <c r="H39" s="107">
        <f t="shared" si="0"/>
        <v>2116.500434801274</v>
      </c>
      <c r="I39" s="107">
        <f t="shared" si="0"/>
        <v>1995.0496415316954</v>
      </c>
      <c r="J39" s="107">
        <f t="shared" si="0"/>
        <v>1555.4464443046534</v>
      </c>
      <c r="K39" s="107">
        <f t="shared" si="0"/>
        <v>1222.3179382354567</v>
      </c>
      <c r="L39" s="107">
        <f t="shared" si="0"/>
        <v>2546.6488030279029</v>
      </c>
      <c r="M39" s="107">
        <f t="shared" si="0"/>
        <v>2646.267374491119</v>
      </c>
      <c r="N39" s="107">
        <f t="shared" si="0"/>
        <v>548.5628503320653</v>
      </c>
      <c r="S39" s="206"/>
      <c r="T39" s="523"/>
      <c r="U39" s="523"/>
      <c r="V39" s="523"/>
      <c r="W39" s="523"/>
      <c r="X39" s="523"/>
      <c r="Y39" s="523"/>
      <c r="Z39" s="523"/>
      <c r="AA39" s="523"/>
      <c r="AB39" s="523"/>
      <c r="AC39" s="523"/>
      <c r="AD39" s="523"/>
      <c r="AE39" s="523"/>
    </row>
    <row r="40" spans="1:31" s="12" customFormat="1">
      <c r="A40" s="114"/>
      <c r="B40" t="s">
        <v>1256</v>
      </c>
      <c r="C40" s="107">
        <f>IFERROR((C39*C32*C36)+(C39*C33*C37)+(C39*C34*C38),0)</f>
        <v>1019.5567251735516</v>
      </c>
      <c r="D40" s="107">
        <f>IFERROR((D39*D32*D36)+(D39*D33*D37)+(D39*D34*D38),0)</f>
        <v>1541.5131091969849</v>
      </c>
      <c r="E40" s="107">
        <f t="shared" ref="E40:N40" si="1">IFERROR((E39*E32*E36)+(E39*E33*E37)+(E39*E34*E38),0)</f>
        <v>1079.6361044237165</v>
      </c>
      <c r="F40" s="107">
        <f t="shared" si="1"/>
        <v>2061.1376632659922</v>
      </c>
      <c r="G40" s="107">
        <f t="shared" si="1"/>
        <v>1776.9840891276267</v>
      </c>
      <c r="H40" s="107">
        <f t="shared" si="1"/>
        <v>2190.2034364680289</v>
      </c>
      <c r="I40" s="107">
        <f t="shared" si="1"/>
        <v>2064.5233560829874</v>
      </c>
      <c r="J40" s="107">
        <f t="shared" si="1"/>
        <v>1609.61183448937</v>
      </c>
      <c r="K40" s="107">
        <f t="shared" si="1"/>
        <v>1264.8827776079233</v>
      </c>
      <c r="L40" s="107">
        <f t="shared" si="1"/>
        <v>2635.3308830728465</v>
      </c>
      <c r="M40" s="107">
        <f t="shared" si="1"/>
        <v>2738.4184770875663</v>
      </c>
      <c r="N40" s="107">
        <f t="shared" si="1"/>
        <v>567.66548220851007</v>
      </c>
      <c r="S40" s="206"/>
      <c r="T40" s="523"/>
      <c r="U40" s="523"/>
      <c r="V40" s="523"/>
      <c r="W40" s="523"/>
      <c r="X40" s="523"/>
      <c r="Y40" s="523"/>
      <c r="Z40" s="523"/>
      <c r="AA40" s="523"/>
      <c r="AB40" s="523"/>
      <c r="AC40" s="523"/>
      <c r="AD40" s="523"/>
      <c r="AE40" s="523"/>
    </row>
    <row r="41" spans="1:31"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S41" s="206"/>
      <c r="T41" s="524"/>
      <c r="U41" s="524"/>
      <c r="V41" s="524"/>
      <c r="W41" s="524"/>
      <c r="X41" s="524"/>
      <c r="Y41" s="524"/>
      <c r="Z41" s="524"/>
      <c r="AA41" s="524"/>
      <c r="AB41" s="524"/>
      <c r="AC41" s="524"/>
      <c r="AD41" s="524"/>
      <c r="AE41" s="524"/>
    </row>
    <row r="42" spans="1:31"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S42" s="206"/>
      <c r="T42" s="524"/>
      <c r="U42" s="524"/>
      <c r="V42" s="524"/>
      <c r="W42" s="524"/>
      <c r="X42" s="524"/>
      <c r="Y42" s="524"/>
      <c r="Z42" s="524"/>
      <c r="AA42" s="524"/>
      <c r="AB42" s="524"/>
      <c r="AC42" s="524"/>
      <c r="AD42" s="524"/>
      <c r="AE42" s="524"/>
    </row>
    <row r="43" spans="1:31" s="12" customFormat="1">
      <c r="A43" s="114"/>
      <c r="B43" t="s">
        <v>1259</v>
      </c>
      <c r="C43" s="235">
        <f>IFERROR(C40*C42/C41,0)</f>
        <v>93.893494558878899</v>
      </c>
      <c r="D43" s="235">
        <f t="shared" ref="D43:N43" si="2">IFERROR(D40*D42/D41,0)</f>
        <v>10.615279379593954</v>
      </c>
      <c r="E43" s="235">
        <f t="shared" si="2"/>
        <v>128.38609371811162</v>
      </c>
      <c r="F43" s="235">
        <f t="shared" si="2"/>
        <v>165.02539836278279</v>
      </c>
      <c r="G43" s="235">
        <f t="shared" si="2"/>
        <v>178.11931684495684</v>
      </c>
      <c r="H43" s="235">
        <f t="shared" si="2"/>
        <v>112.90399204328328</v>
      </c>
      <c r="I43" s="235">
        <f t="shared" si="2"/>
        <v>131.89137362123998</v>
      </c>
      <c r="J43" s="235">
        <f t="shared" si="2"/>
        <v>156.6497427212156</v>
      </c>
      <c r="K43" s="235">
        <f t="shared" si="2"/>
        <v>11.853647975564522</v>
      </c>
      <c r="L43" s="235">
        <f t="shared" si="2"/>
        <v>52.465751995166464</v>
      </c>
      <c r="M43" s="235">
        <f t="shared" si="2"/>
        <v>-56.785924186970547</v>
      </c>
      <c r="N43" s="235">
        <f t="shared" si="2"/>
        <v>14.76752912641601</v>
      </c>
      <c r="S43" s="206"/>
      <c r="T43" s="524"/>
      <c r="U43" s="524"/>
      <c r="V43" s="524"/>
      <c r="W43" s="524"/>
      <c r="X43" s="524"/>
      <c r="Y43" s="524"/>
      <c r="Z43" s="524"/>
      <c r="AA43" s="524"/>
      <c r="AB43" s="524"/>
      <c r="AC43" s="524"/>
      <c r="AD43" s="524"/>
      <c r="AE43" s="524"/>
    </row>
    <row r="44" spans="1:31" s="12" customFormat="1">
      <c r="A44" s="114"/>
      <c r="B44" t="s">
        <v>1260</v>
      </c>
      <c r="C44" s="235">
        <f>IFERROR(((C43*C32)/C36)+((C43*C33)/C37)+((C43*C34)/C38),0)</f>
        <v>90.733864603622223</v>
      </c>
      <c r="D44" s="235">
        <f t="shared" ref="D44:N44" si="3">IFERROR(((D43*D32)/D36)+((D43*D33)/D37)+((D43*D34)/D38),0)</f>
        <v>10.258062355467208</v>
      </c>
      <c r="E44" s="235">
        <f t="shared" si="3"/>
        <v>124.06574597244584</v>
      </c>
      <c r="F44" s="235">
        <f t="shared" si="3"/>
        <v>159.47209358384265</v>
      </c>
      <c r="G44" s="235">
        <f t="shared" si="3"/>
        <v>172.12538583027654</v>
      </c>
      <c r="H44" s="235">
        <f t="shared" si="3"/>
        <v>109.10463579390738</v>
      </c>
      <c r="I44" s="235">
        <f t="shared" si="3"/>
        <v>127.45306895602916</v>
      </c>
      <c r="J44" s="235">
        <f t="shared" si="3"/>
        <v>151.37828891165665</v>
      </c>
      <c r="K44" s="235">
        <f t="shared" si="3"/>
        <v>11.45475834643079</v>
      </c>
      <c r="L44" s="235">
        <f t="shared" si="3"/>
        <v>50.700215816032745</v>
      </c>
      <c r="M44" s="235">
        <f t="shared" si="3"/>
        <v>-54.875008974569184</v>
      </c>
      <c r="N44" s="235">
        <f t="shared" si="3"/>
        <v>14.270583862932503</v>
      </c>
      <c r="S44" s="206"/>
      <c r="T44" s="523"/>
      <c r="U44" s="523"/>
      <c r="V44" s="523"/>
      <c r="W44" s="523"/>
      <c r="X44" s="523"/>
      <c r="Y44" s="523"/>
      <c r="Z44" s="523"/>
      <c r="AA44" s="523"/>
      <c r="AB44" s="523"/>
      <c r="AC44" s="523"/>
      <c r="AD44" s="523"/>
      <c r="AE44" s="523"/>
    </row>
    <row r="45" spans="1:31" s="12" customFormat="1" ht="15.6">
      <c r="A45" s="114"/>
      <c r="B45" s="513">
        <v>2018</v>
      </c>
      <c r="C45" s="235"/>
      <c r="D45" s="235"/>
      <c r="E45" s="235"/>
      <c r="F45" s="235"/>
      <c r="G45" s="235"/>
      <c r="H45" s="235"/>
      <c r="I45" s="235"/>
      <c r="J45" s="235"/>
      <c r="K45" s="235"/>
      <c r="L45" s="235"/>
      <c r="M45" s="235"/>
      <c r="N45" s="235"/>
      <c r="Y45" s="510"/>
    </row>
    <row r="46" spans="1:31"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T46" s="95"/>
      <c r="U46" s="95"/>
      <c r="V46" s="95"/>
      <c r="W46" s="95"/>
      <c r="X46" s="95"/>
      <c r="Y46" s="95"/>
      <c r="Z46" s="95"/>
      <c r="AA46" s="95"/>
      <c r="AB46" s="95"/>
      <c r="AC46" s="95"/>
      <c r="AD46" s="95"/>
      <c r="AE46" s="95"/>
    </row>
    <row r="47" spans="1:31"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T47" s="544"/>
      <c r="U47" s="544"/>
      <c r="V47" s="544"/>
      <c r="W47" s="544"/>
      <c r="X47" s="544"/>
      <c r="Y47" s="544"/>
      <c r="Z47" s="544"/>
      <c r="AA47" s="544"/>
      <c r="AB47" s="544"/>
      <c r="AC47" s="544"/>
      <c r="AD47" s="544"/>
      <c r="AE47" s="544"/>
    </row>
    <row r="48" spans="1:31" s="12" customFormat="1">
      <c r="A48" s="114"/>
      <c r="B48" t="s">
        <v>1251</v>
      </c>
      <c r="C48">
        <v>1.06467</v>
      </c>
      <c r="D48">
        <v>1.06467</v>
      </c>
      <c r="E48">
        <v>1.06467</v>
      </c>
      <c r="F48">
        <v>1.06467</v>
      </c>
      <c r="G48">
        <v>1.06467</v>
      </c>
      <c r="H48">
        <v>1.06467</v>
      </c>
      <c r="I48">
        <v>1.06467</v>
      </c>
      <c r="J48">
        <v>1.06467</v>
      </c>
      <c r="K48">
        <v>1.06467</v>
      </c>
      <c r="L48">
        <v>1.06467</v>
      </c>
      <c r="M48">
        <v>1.06467</v>
      </c>
      <c r="N48">
        <v>1.06467</v>
      </c>
      <c r="T48" s="544"/>
      <c r="U48" s="544"/>
      <c r="V48" s="544"/>
      <c r="W48" s="544"/>
      <c r="X48" s="544"/>
      <c r="Y48" s="544"/>
      <c r="Z48" s="544"/>
      <c r="AA48" s="544"/>
      <c r="AB48" s="544"/>
      <c r="AC48" s="544"/>
      <c r="AD48" s="544"/>
      <c r="AE48" s="544"/>
    </row>
    <row r="49" spans="1:31" s="12" customFormat="1">
      <c r="A49" s="114"/>
      <c r="B49" t="s">
        <v>1255</v>
      </c>
      <c r="C49" s="235">
        <f>IFERROR((+C$29/C$20/C13)+C23,0)</f>
        <v>985.2474049690336</v>
      </c>
      <c r="D49" s="235">
        <f t="shared" ref="D49:N49" si="4">IFERROR((+D$29/D$20/D13)+D23,0)</f>
        <v>1489.6393237007451</v>
      </c>
      <c r="E49" s="235">
        <f t="shared" si="4"/>
        <v>1043.305040249993</v>
      </c>
      <c r="F49" s="235">
        <f t="shared" si="4"/>
        <v>1991.7778813837754</v>
      </c>
      <c r="G49" s="235">
        <f t="shared" si="4"/>
        <v>1717.1864196042998</v>
      </c>
      <c r="H49" s="235">
        <f t="shared" si="4"/>
        <v>2116.500434801274</v>
      </c>
      <c r="I49" s="235">
        <f t="shared" si="4"/>
        <v>1995.0496415316954</v>
      </c>
      <c r="J49" s="235">
        <f t="shared" si="4"/>
        <v>1555.4464443046534</v>
      </c>
      <c r="K49" s="235">
        <f t="shared" si="4"/>
        <v>1222.3179382354567</v>
      </c>
      <c r="L49" s="235">
        <f t="shared" si="4"/>
        <v>2546.6488030279029</v>
      </c>
      <c r="M49" s="235">
        <f t="shared" si="4"/>
        <v>2646.267374491119</v>
      </c>
      <c r="N49" s="235">
        <f t="shared" si="4"/>
        <v>548.5628503320653</v>
      </c>
      <c r="T49" s="544"/>
      <c r="U49" s="544"/>
      <c r="V49" s="544"/>
      <c r="W49" s="544"/>
      <c r="X49" s="544"/>
      <c r="Y49" s="544"/>
      <c r="Z49" s="544"/>
      <c r="AA49" s="544"/>
      <c r="AB49" s="544"/>
      <c r="AC49" s="544"/>
      <c r="AD49" s="544"/>
      <c r="AE49" s="544"/>
    </row>
    <row r="50" spans="1:31" s="12" customFormat="1">
      <c r="A50" s="114"/>
      <c r="B50" t="s">
        <v>1256</v>
      </c>
      <c r="C50" s="107">
        <f>(C49*C32*C46)+(C49*C33*C47)+(C49*C34*C48)</f>
        <v>1019.5931295062539</v>
      </c>
      <c r="D50" s="107">
        <f t="shared" ref="D50:N50" si="5">(D49*D32*D46)+(D49*D33*D47)+(D49*D34*D48)</f>
        <v>1541.5681505249529</v>
      </c>
      <c r="E50" s="107">
        <f t="shared" si="5"/>
        <v>1079.6746539531077</v>
      </c>
      <c r="F50" s="107">
        <f t="shared" si="5"/>
        <v>2061.2112583288135</v>
      </c>
      <c r="G50" s="107">
        <f t="shared" si="5"/>
        <v>1777.0475381917054</v>
      </c>
      <c r="H50" s="107">
        <f t="shared" si="5"/>
        <v>2190.2816399584462</v>
      </c>
      <c r="I50" s="107">
        <f t="shared" si="5"/>
        <v>2064.5970720354903</v>
      </c>
      <c r="J50" s="107">
        <f t="shared" si="5"/>
        <v>1609.6693073531135</v>
      </c>
      <c r="K50" s="107">
        <f t="shared" si="5"/>
        <v>1264.9279415623446</v>
      </c>
      <c r="L50" s="107">
        <f t="shared" si="5"/>
        <v>2635.4249803014554</v>
      </c>
      <c r="M50" s="107">
        <f t="shared" si="5"/>
        <v>2738.5162551658791</v>
      </c>
      <c r="N50" s="107">
        <f t="shared" si="5"/>
        <v>567.68575129464102</v>
      </c>
      <c r="T50" s="544"/>
      <c r="U50" s="544"/>
      <c r="V50" s="544"/>
      <c r="W50" s="544"/>
      <c r="X50" s="544"/>
      <c r="Y50" s="544"/>
      <c r="Z50" s="544"/>
      <c r="AA50" s="544"/>
      <c r="AB50" s="544"/>
      <c r="AC50" s="544"/>
      <c r="AD50" s="544"/>
      <c r="AE50" s="544"/>
    </row>
    <row r="51" spans="1:31"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T51" s="544"/>
      <c r="U51" s="544"/>
      <c r="V51" s="544"/>
      <c r="W51" s="544"/>
      <c r="X51" s="544"/>
      <c r="Y51" s="544"/>
      <c r="Z51" s="544"/>
      <c r="AA51" s="544"/>
      <c r="AB51" s="544"/>
      <c r="AC51" s="544"/>
      <c r="AD51" s="544"/>
      <c r="AE51" s="544"/>
    </row>
    <row r="52" spans="1:31"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c r="T52" s="544"/>
      <c r="U52" s="544"/>
      <c r="V52" s="544"/>
      <c r="W52" s="544"/>
      <c r="X52" s="544"/>
      <c r="Y52" s="544"/>
      <c r="Z52" s="544"/>
      <c r="AA52" s="544"/>
      <c r="AB52" s="544"/>
      <c r="AC52" s="544"/>
      <c r="AD52" s="544"/>
      <c r="AE52" s="544"/>
    </row>
    <row r="53" spans="1:31" s="12" customFormat="1">
      <c r="A53" s="114"/>
      <c r="B53" t="s">
        <v>1259</v>
      </c>
      <c r="C53" s="235">
        <f>C50*C52/C51</f>
        <v>103.93597376495754</v>
      </c>
      <c r="D53" s="235">
        <f t="shared" ref="D53:N53" si="6">D50*D52/D51</f>
        <v>24.003355719999497</v>
      </c>
      <c r="E53" s="235">
        <f t="shared" si="6"/>
        <v>135.87665451313944</v>
      </c>
      <c r="F53" s="235">
        <f t="shared" si="6"/>
        <v>173.80152548237152</v>
      </c>
      <c r="G53" s="235">
        <f t="shared" si="6"/>
        <v>185.57323931414192</v>
      </c>
      <c r="H53" s="235">
        <f t="shared" si="6"/>
        <v>123.78087752838509</v>
      </c>
      <c r="I53" s="235">
        <f t="shared" si="6"/>
        <v>143.36122532866017</v>
      </c>
      <c r="J53" s="235">
        <f t="shared" si="6"/>
        <v>169.80088972800047</v>
      </c>
      <c r="K53" s="235">
        <f t="shared" si="6"/>
        <v>18.946574731327988</v>
      </c>
      <c r="L53" s="235">
        <f t="shared" si="6"/>
        <v>67.317834815179936</v>
      </c>
      <c r="M53" s="235">
        <f t="shared" si="6"/>
        <v>-43.877691444733728</v>
      </c>
      <c r="N53" s="235">
        <f t="shared" si="6"/>
        <v>16.914284549308256</v>
      </c>
      <c r="S53" s="522"/>
      <c r="T53" s="523"/>
      <c r="U53" s="523"/>
      <c r="V53" s="523"/>
      <c r="W53" s="523"/>
      <c r="X53" s="523"/>
      <c r="Y53" s="523"/>
      <c r="Z53" s="523"/>
      <c r="AA53" s="523"/>
      <c r="AB53" s="523"/>
      <c r="AC53" s="523"/>
      <c r="AD53" s="523"/>
      <c r="AE53" s="523"/>
    </row>
    <row r="54" spans="1:31" s="12" customFormat="1">
      <c r="A54" s="114"/>
      <c r="B54" t="s">
        <v>1260</v>
      </c>
      <c r="C54" s="235">
        <f>((C53*C32)/C46)+((C53*C33)/C47)+((C53*C34)/C48)</f>
        <v>100.43481607652973</v>
      </c>
      <c r="D54" s="235">
        <f t="shared" ref="D54:N54" si="7">((D53*D32)/D46)+((D53*D33)/D47)+((D53*D34)/D48)</f>
        <v>23.19478549755474</v>
      </c>
      <c r="E54" s="235">
        <f t="shared" si="7"/>
        <v>131.29955212602619</v>
      </c>
      <c r="F54" s="235">
        <f t="shared" si="7"/>
        <v>167.94689666464211</v>
      </c>
      <c r="G54" s="235">
        <f t="shared" si="7"/>
        <v>179.322071888122</v>
      </c>
      <c r="H54" s="235">
        <f t="shared" si="7"/>
        <v>119.61123004888111</v>
      </c>
      <c r="I54" s="235">
        <f t="shared" si="7"/>
        <v>138.53199981510559</v>
      </c>
      <c r="J54" s="235">
        <f t="shared" si="7"/>
        <v>164.08102518988122</v>
      </c>
      <c r="K54" s="235">
        <f t="shared" si="7"/>
        <v>18.308345796849807</v>
      </c>
      <c r="L54" s="235">
        <f t="shared" si="7"/>
        <v>65.050185353748276</v>
      </c>
      <c r="M54" s="235">
        <f t="shared" si="7"/>
        <v>-42.399639994524605</v>
      </c>
      <c r="N54" s="235">
        <f t="shared" si="7"/>
        <v>16.34451476461382</v>
      </c>
      <c r="S54" s="206"/>
      <c r="T54" s="523"/>
      <c r="U54" s="523"/>
      <c r="V54" s="523"/>
      <c r="W54" s="523"/>
      <c r="X54" s="523"/>
      <c r="Y54" s="523"/>
      <c r="Z54" s="523"/>
      <c r="AA54" s="523"/>
      <c r="AB54" s="523"/>
      <c r="AC54" s="523"/>
      <c r="AD54" s="523"/>
      <c r="AE54" s="523"/>
    </row>
    <row r="55" spans="1:31">
      <c r="A55" s="114"/>
      <c r="S55" s="206"/>
      <c r="T55" s="523"/>
      <c r="U55" s="523"/>
      <c r="V55" s="523"/>
      <c r="W55" s="523"/>
      <c r="X55" s="523"/>
      <c r="Y55" s="523"/>
      <c r="Z55" s="523"/>
      <c r="AA55" s="523"/>
      <c r="AB55" s="523"/>
      <c r="AC55" s="523"/>
      <c r="AD55" s="523"/>
      <c r="AE55" s="523"/>
    </row>
    <row r="56" spans="1:31" ht="17.399999999999999">
      <c r="A56" s="147" t="s">
        <v>425</v>
      </c>
      <c r="S56" s="206"/>
      <c r="T56" s="523"/>
      <c r="U56" s="523"/>
      <c r="V56" s="523"/>
      <c r="W56" s="523"/>
      <c r="X56" s="523"/>
      <c r="Y56" s="523"/>
      <c r="Z56" s="523"/>
      <c r="AA56" s="523"/>
      <c r="AB56" s="523"/>
      <c r="AC56" s="523"/>
      <c r="AD56" s="523"/>
      <c r="AE56" s="523"/>
    </row>
    <row r="57" spans="1:31" ht="15.6">
      <c r="A57" s="113"/>
      <c r="B57" s="146" t="str">
        <f>"PRIOR - "&amp;MANUAL!$B$9</f>
        <v>PRIOR - 2016</v>
      </c>
      <c r="C57" s="5"/>
      <c r="D57" s="5"/>
      <c r="E57" s="5"/>
      <c r="F57" s="5"/>
      <c r="G57" s="5"/>
      <c r="H57" s="5"/>
      <c r="I57" s="5"/>
      <c r="J57" s="5"/>
      <c r="K57" s="5"/>
      <c r="L57" s="5"/>
      <c r="M57" s="5"/>
      <c r="N57" s="5"/>
      <c r="S57" s="206"/>
      <c r="T57" s="523"/>
      <c r="U57" s="523"/>
      <c r="V57" s="523"/>
      <c r="W57" s="523"/>
      <c r="X57" s="523"/>
      <c r="Y57" s="523"/>
      <c r="Z57" s="523"/>
      <c r="AA57" s="523"/>
      <c r="AB57" s="523"/>
      <c r="AC57" s="523"/>
      <c r="AD57" s="523"/>
      <c r="AE57" s="523"/>
    </row>
    <row r="58" spans="1:31" s="12" customFormat="1" ht="15.6">
      <c r="A58" s="111"/>
      <c r="B58" s="149" t="s">
        <v>432</v>
      </c>
      <c r="C58" s="107">
        <f>IF(C13="",0,MIN((+C$27/C$18/C13)+C23,C59))</f>
        <v>985.2474049690336</v>
      </c>
      <c r="D58" s="107">
        <f t="shared" ref="D58:N58" si="8">IF(D13="",0,MIN((+D$27/D$18/D13)+D23,D59))</f>
        <v>1438.2724504696848</v>
      </c>
      <c r="E58" s="107">
        <f t="shared" si="8"/>
        <v>1043.305040249993</v>
      </c>
      <c r="F58" s="107">
        <f t="shared" si="8"/>
        <v>1991.7778813837754</v>
      </c>
      <c r="G58" s="107">
        <f t="shared" si="8"/>
        <v>1717.1864196042998</v>
      </c>
      <c r="H58" s="107">
        <f t="shared" si="8"/>
        <v>2116.500434801274</v>
      </c>
      <c r="I58" s="107">
        <f t="shared" si="8"/>
        <v>1995.0496415316954</v>
      </c>
      <c r="J58" s="107">
        <f t="shared" si="8"/>
        <v>1555.4464443046534</v>
      </c>
      <c r="K58" s="107">
        <f t="shared" si="8"/>
        <v>1222.3179382354567</v>
      </c>
      <c r="L58" s="107">
        <f t="shared" si="8"/>
        <v>2546.6488030279029</v>
      </c>
      <c r="M58" s="107">
        <f t="shared" si="8"/>
        <v>2646.267374491119</v>
      </c>
      <c r="N58" s="107">
        <f t="shared" si="8"/>
        <v>548.5628503320653</v>
      </c>
      <c r="P58" s="152">
        <f>AVERAGE(C58:N58)</f>
        <v>1650.5485569500795</v>
      </c>
      <c r="S58" s="206"/>
      <c r="T58" s="524"/>
      <c r="U58" s="524"/>
      <c r="V58" s="524"/>
      <c r="W58" s="524"/>
      <c r="X58" s="524"/>
      <c r="Y58" s="524"/>
      <c r="Z58" s="524"/>
      <c r="AA58" s="524"/>
      <c r="AB58" s="524"/>
      <c r="AC58" s="524"/>
      <c r="AD58" s="524"/>
      <c r="AE58" s="524"/>
    </row>
    <row r="59" spans="1:31" s="12" customFormat="1" ht="15.6">
      <c r="A59" s="111"/>
      <c r="B59" s="149" t="s">
        <v>430</v>
      </c>
      <c r="C59" s="107">
        <f t="shared" ref="C59:N59" si="9">MIN(+C$27/C$18/C14,C60)</f>
        <v>2094.8997814579911</v>
      </c>
      <c r="D59" s="107">
        <f t="shared" si="9"/>
        <v>3561.1033111085408</v>
      </c>
      <c r="E59" s="107">
        <f t="shared" si="9"/>
        <v>1559.5730910102195</v>
      </c>
      <c r="F59" s="107">
        <f t="shared" si="9"/>
        <v>3752.7793593986644</v>
      </c>
      <c r="G59" s="107">
        <f t="shared" si="9"/>
        <v>3780.5827207051971</v>
      </c>
      <c r="H59" s="107">
        <f t="shared" si="9"/>
        <v>3297.8128041258401</v>
      </c>
      <c r="I59" s="107">
        <f t="shared" si="9"/>
        <v>3153.7324038724787</v>
      </c>
      <c r="J59" s="107">
        <f t="shared" si="9"/>
        <v>3347.9186106707907</v>
      </c>
      <c r="K59" s="107">
        <f t="shared" si="9"/>
        <v>3632.0019128777417</v>
      </c>
      <c r="L59" s="107">
        <f t="shared" si="9"/>
        <v>5011.848283997344</v>
      </c>
      <c r="M59" s="107">
        <f t="shared" si="9"/>
        <v>8201.2538466420647</v>
      </c>
      <c r="N59" s="107">
        <f t="shared" si="9"/>
        <v>2237.9847529906788</v>
      </c>
      <c r="P59" s="152">
        <f>AVERAGE(C59:N59)</f>
        <v>3635.957573238129</v>
      </c>
      <c r="S59" s="206"/>
      <c r="T59" s="524"/>
      <c r="U59" s="524"/>
      <c r="V59" s="524"/>
      <c r="W59" s="524"/>
      <c r="X59" s="524"/>
      <c r="Y59" s="524"/>
      <c r="Z59" s="524"/>
      <c r="AA59" s="524"/>
      <c r="AB59" s="524"/>
      <c r="AC59" s="524"/>
      <c r="AD59" s="524"/>
      <c r="AE59" s="524"/>
    </row>
    <row r="60" spans="1:31" s="106" customFormat="1">
      <c r="A60" s="109"/>
      <c r="B60" s="149" t="s">
        <v>133</v>
      </c>
      <c r="C60" s="107">
        <f t="shared" ref="C60:N60" si="10">+C$27/C$18/C15</f>
        <v>2593.5189042567204</v>
      </c>
      <c r="D60" s="107">
        <f t="shared" si="10"/>
        <v>4050.1324098944556</v>
      </c>
      <c r="E60" s="107">
        <f t="shared" si="10"/>
        <v>2074.4309236034824</v>
      </c>
      <c r="F60" s="107">
        <f t="shared" si="10"/>
        <v>4502.7040479529442</v>
      </c>
      <c r="G60" s="107">
        <f t="shared" si="10"/>
        <v>4384.7171398394057</v>
      </c>
      <c r="H60" s="107">
        <f t="shared" si="10"/>
        <v>4269.2452020184992</v>
      </c>
      <c r="I60" s="107">
        <f t="shared" si="10"/>
        <v>3783.8880214331334</v>
      </c>
      <c r="J60" s="107">
        <f t="shared" si="10"/>
        <v>4125.9206866137783</v>
      </c>
      <c r="K60" s="107">
        <f t="shared" si="10"/>
        <v>4196.8912214794764</v>
      </c>
      <c r="L60" s="107">
        <f t="shared" si="10"/>
        <v>7191.7662933466345</v>
      </c>
      <c r="M60" s="107">
        <f t="shared" si="10"/>
        <v>9915.8901043602818</v>
      </c>
      <c r="N60" s="107">
        <f t="shared" si="10"/>
        <v>3484.258878399472</v>
      </c>
      <c r="P60" s="152">
        <f>AVERAGE(C60:N60)</f>
        <v>4547.7803194331909</v>
      </c>
      <c r="S60" s="206"/>
      <c r="T60" s="524"/>
      <c r="U60" s="524"/>
      <c r="V60" s="524"/>
      <c r="W60" s="524"/>
      <c r="X60" s="524"/>
      <c r="Y60" s="524"/>
      <c r="Z60" s="524"/>
      <c r="AA60" s="524"/>
      <c r="AB60" s="524"/>
      <c r="AC60" s="524"/>
      <c r="AD60" s="524"/>
      <c r="AE60" s="524"/>
    </row>
    <row r="61" spans="1:31" s="106" customFormat="1" ht="16.5" customHeight="1">
      <c r="A61" s="109"/>
      <c r="B61" s="108"/>
      <c r="C61" s="107"/>
      <c r="D61" s="107"/>
      <c r="E61" s="107"/>
      <c r="F61" s="107"/>
      <c r="G61" s="107"/>
      <c r="H61" s="107"/>
      <c r="I61" s="107"/>
      <c r="J61" s="107"/>
      <c r="K61" s="107"/>
      <c r="L61" s="107"/>
      <c r="M61" s="107"/>
      <c r="N61" s="107"/>
      <c r="S61" s="206"/>
      <c r="T61" s="523"/>
      <c r="U61" s="523"/>
      <c r="V61" s="523"/>
      <c r="W61" s="523"/>
      <c r="X61" s="523"/>
      <c r="Y61" s="523"/>
      <c r="Z61" s="523"/>
      <c r="AA61" s="523"/>
      <c r="AB61" s="523"/>
      <c r="AC61" s="523"/>
      <c r="AD61" s="523"/>
      <c r="AE61" s="523"/>
    </row>
    <row r="62" spans="1:31" s="106" customFormat="1" ht="16.5" customHeight="1">
      <c r="A62" s="109"/>
      <c r="B62" s="146" t="str">
        <f>"TEST - "&amp;MANUAL!$B$10</f>
        <v>TEST - 2017</v>
      </c>
      <c r="C62" s="107"/>
      <c r="D62" s="107"/>
      <c r="E62" s="107"/>
      <c r="F62" s="107"/>
      <c r="G62" s="107"/>
      <c r="H62" s="107"/>
      <c r="I62" s="107"/>
      <c r="J62" s="107"/>
      <c r="K62" s="107"/>
      <c r="L62" s="107"/>
      <c r="M62" s="107"/>
      <c r="N62" s="107"/>
      <c r="S62" s="511"/>
      <c r="T62" s="511"/>
      <c r="U62" s="511"/>
      <c r="V62" s="511"/>
      <c r="W62" s="511"/>
      <c r="X62" s="511"/>
      <c r="Y62" s="511"/>
      <c r="Z62" s="511"/>
      <c r="AA62" s="511"/>
      <c r="AB62" s="511"/>
    </row>
    <row r="63" spans="1:31" s="106" customFormat="1" ht="16.5" customHeight="1">
      <c r="A63" s="109"/>
      <c r="B63" s="149" t="s">
        <v>432</v>
      </c>
      <c r="C63" s="107">
        <f>C39+C44</f>
        <v>1075.9812695726557</v>
      </c>
      <c r="D63" s="107">
        <f>D39+D44</f>
        <v>1499.8973860562123</v>
      </c>
      <c r="E63" s="107">
        <f t="shared" ref="E63:N63" si="11">E39+E44</f>
        <v>1167.3707862224389</v>
      </c>
      <c r="F63" s="107">
        <f t="shared" si="11"/>
        <v>2151.2499749676181</v>
      </c>
      <c r="G63" s="107">
        <f t="shared" si="11"/>
        <v>1889.3118054345764</v>
      </c>
      <c r="H63" s="107">
        <f t="shared" si="11"/>
        <v>2225.6050705951811</v>
      </c>
      <c r="I63" s="107">
        <f t="shared" si="11"/>
        <v>2122.5027104877245</v>
      </c>
      <c r="J63" s="107">
        <f t="shared" si="11"/>
        <v>1706.8247332163101</v>
      </c>
      <c r="K63" s="107">
        <f t="shared" si="11"/>
        <v>1233.7726965818874</v>
      </c>
      <c r="L63" s="107">
        <f t="shared" si="11"/>
        <v>2597.3490188439355</v>
      </c>
      <c r="M63" s="107">
        <f t="shared" si="11"/>
        <v>2591.3923655165499</v>
      </c>
      <c r="N63" s="107">
        <f t="shared" si="11"/>
        <v>562.83343419499784</v>
      </c>
      <c r="P63" s="152">
        <f>AVERAGE(C63:N63)</f>
        <v>1735.3409376408408</v>
      </c>
      <c r="S63" s="511"/>
      <c r="T63" s="511"/>
      <c r="U63" s="511"/>
      <c r="V63" s="511"/>
      <c r="W63" s="511"/>
      <c r="X63" s="511"/>
      <c r="Y63" s="511"/>
      <c r="Z63" s="511"/>
      <c r="AA63" s="511"/>
      <c r="AB63" s="511"/>
      <c r="AC63" s="511"/>
      <c r="AD63" s="511"/>
      <c r="AE63" s="511"/>
    </row>
    <row r="64" spans="1:31" s="106" customFormat="1" ht="16.5" customHeight="1">
      <c r="A64" s="109"/>
      <c r="B64" s="149" t="s">
        <v>430</v>
      </c>
      <c r="C64" s="107">
        <f>MAX(+C$28/C$19/C14,C63)</f>
        <v>2094.8997814579911</v>
      </c>
      <c r="D64" s="107">
        <f>MAX(+D$28/D$19/D14,D63)</f>
        <v>3688.2855722195604</v>
      </c>
      <c r="E64" s="107">
        <f t="shared" ref="D64:N65" si="12">MAX(+E$28/E$19/E14,E63)</f>
        <v>1559.5730910102195</v>
      </c>
      <c r="F64" s="107">
        <f t="shared" si="12"/>
        <v>3752.7793593986644</v>
      </c>
      <c r="G64" s="107">
        <f t="shared" si="12"/>
        <v>3780.5827207051971</v>
      </c>
      <c r="H64" s="107">
        <f t="shared" si="12"/>
        <v>3297.8128041258401</v>
      </c>
      <c r="I64" s="107">
        <f t="shared" si="12"/>
        <v>3153.7324038724787</v>
      </c>
      <c r="J64" s="107">
        <f t="shared" si="12"/>
        <v>3347.9186106707907</v>
      </c>
      <c r="K64" s="107">
        <f t="shared" si="12"/>
        <v>3632.0019128777417</v>
      </c>
      <c r="L64" s="107">
        <f t="shared" si="12"/>
        <v>5011.848283997344</v>
      </c>
      <c r="M64" s="107">
        <f t="shared" si="12"/>
        <v>8201.2538466420647</v>
      </c>
      <c r="N64" s="107">
        <f t="shared" si="12"/>
        <v>2237.9847529906788</v>
      </c>
      <c r="P64" s="152">
        <f>AVERAGE(C64:N64)</f>
        <v>3646.556094997381</v>
      </c>
      <c r="S64" s="511"/>
      <c r="T64" s="511"/>
      <c r="U64" s="511"/>
      <c r="V64" s="511"/>
      <c r="W64" s="511"/>
      <c r="X64" s="511"/>
      <c r="Y64" s="511"/>
      <c r="Z64" s="511"/>
      <c r="AA64" s="511"/>
      <c r="AB64" s="511"/>
      <c r="AC64" s="511"/>
      <c r="AD64" s="511"/>
      <c r="AE64" s="511"/>
    </row>
    <row r="65" spans="1:33" s="106" customFormat="1" ht="16.5" customHeight="1">
      <c r="A65" s="109"/>
      <c r="B65" s="149" t="s">
        <v>133</v>
      </c>
      <c r="C65" s="107">
        <f>MAX(+C$28/C$19/C15,C64)</f>
        <v>2593.5189042567204</v>
      </c>
      <c r="D65" s="107">
        <f t="shared" si="12"/>
        <v>4194.7799959621143</v>
      </c>
      <c r="E65" s="107">
        <f t="shared" si="12"/>
        <v>2074.4309236034824</v>
      </c>
      <c r="F65" s="107">
        <f t="shared" si="12"/>
        <v>4502.7040479529442</v>
      </c>
      <c r="G65" s="107">
        <f t="shared" si="12"/>
        <v>4384.7171398394057</v>
      </c>
      <c r="H65" s="107">
        <f t="shared" si="12"/>
        <v>4269.2452020184992</v>
      </c>
      <c r="I65" s="107">
        <f t="shared" si="12"/>
        <v>3783.8880214331334</v>
      </c>
      <c r="J65" s="107">
        <f t="shared" si="12"/>
        <v>4125.9206866137783</v>
      </c>
      <c r="K65" s="107">
        <f t="shared" si="12"/>
        <v>4196.8912214794764</v>
      </c>
      <c r="L65" s="107">
        <f t="shared" si="12"/>
        <v>7191.7662933466345</v>
      </c>
      <c r="M65" s="107">
        <f t="shared" si="12"/>
        <v>9915.8901043602818</v>
      </c>
      <c r="N65" s="107">
        <f t="shared" si="12"/>
        <v>3484.258878399472</v>
      </c>
      <c r="P65" s="152">
        <f>AVERAGE(C65:N65)</f>
        <v>4559.8342849388291</v>
      </c>
      <c r="S65" s="511"/>
      <c r="T65" s="511"/>
      <c r="U65" s="511"/>
      <c r="V65" s="511"/>
      <c r="W65" s="511"/>
      <c r="X65" s="511"/>
      <c r="Y65" s="511"/>
      <c r="Z65" s="511"/>
      <c r="AA65" s="511"/>
      <c r="AB65" s="511"/>
      <c r="AC65" s="511"/>
      <c r="AD65" s="511"/>
      <c r="AE65" s="511"/>
    </row>
    <row r="66" spans="1:33" s="106" customFormat="1" ht="16.5" customHeight="1">
      <c r="A66" s="109"/>
      <c r="B66" s="149" t="s">
        <v>158</v>
      </c>
      <c r="C66" s="499">
        <f>IFERROR(C28/C19/C63,0)</f>
        <v>0.75307102966807749</v>
      </c>
      <c r="D66" s="499">
        <f t="shared" ref="D66:N66" si="13">IFERROR(D28/D19/D63,0)</f>
        <v>0.68038781469258369</v>
      </c>
      <c r="E66" s="499">
        <f t="shared" si="13"/>
        <v>0.76749186395558922</v>
      </c>
      <c r="F66" s="499">
        <f t="shared" si="13"/>
        <v>0.79456324767297026</v>
      </c>
      <c r="G66" s="499">
        <f t="shared" si="13"/>
        <v>1.040148755185818</v>
      </c>
      <c r="H66" s="499">
        <f t="shared" si="13"/>
        <v>0.74128218464549578</v>
      </c>
      <c r="I66" s="499">
        <f t="shared" si="13"/>
        <v>0.68879998667880749</v>
      </c>
      <c r="J66" s="499">
        <f t="shared" si="13"/>
        <v>0.93064323568822505</v>
      </c>
      <c r="K66" s="499">
        <f t="shared" si="13"/>
        <v>1.3565831716123495</v>
      </c>
      <c r="L66" s="499">
        <f t="shared" si="13"/>
        <v>0.64132387422668469</v>
      </c>
      <c r="M66" s="499">
        <f t="shared" si="13"/>
        <v>0.42856357982189025</v>
      </c>
      <c r="N66" s="499">
        <f t="shared" si="13"/>
        <v>1.2120509448317127</v>
      </c>
      <c r="P66" s="152"/>
      <c r="S66" s="511"/>
      <c r="T66" s="511"/>
      <c r="U66" s="511"/>
      <c r="V66" s="511"/>
      <c r="W66" s="511"/>
      <c r="X66" s="511"/>
      <c r="Y66" s="511"/>
      <c r="Z66" s="511"/>
      <c r="AA66" s="511"/>
      <c r="AB66" s="511"/>
      <c r="AC66" s="511"/>
      <c r="AD66" s="511"/>
      <c r="AE66" s="511"/>
    </row>
    <row r="67" spans="1:33" s="106" customFormat="1" ht="16.5" customHeight="1">
      <c r="A67" s="109"/>
      <c r="B67" s="149" t="s">
        <v>988</v>
      </c>
      <c r="C67" s="499">
        <f>C28/C19/C64</f>
        <v>0.38679192663656009</v>
      </c>
      <c r="D67" s="499">
        <f t="shared" ref="D67:N67" si="14">D28/D19/D64</f>
        <v>0.27669004603344055</v>
      </c>
      <c r="E67" s="499">
        <f t="shared" si="14"/>
        <v>0.57448258488789894</v>
      </c>
      <c r="F67" s="499">
        <f t="shared" si="14"/>
        <v>0.45547686207178484</v>
      </c>
      <c r="G67" s="499">
        <f t="shared" si="14"/>
        <v>0.51980487341752446</v>
      </c>
      <c r="H67" s="499">
        <f t="shared" si="14"/>
        <v>0.5002713880014199</v>
      </c>
      <c r="I67" s="499">
        <f t="shared" si="14"/>
        <v>0.46357130266173102</v>
      </c>
      <c r="J67" s="499">
        <f t="shared" si="14"/>
        <v>0.47445743973891186</v>
      </c>
      <c r="K67" s="499">
        <f t="shared" si="14"/>
        <v>0.4608244483141376</v>
      </c>
      <c r="L67" s="499">
        <f t="shared" si="14"/>
        <v>0.33236080605283419</v>
      </c>
      <c r="M67" s="499">
        <f t="shared" si="14"/>
        <v>0.13541543886531512</v>
      </c>
      <c r="N67" s="499">
        <f t="shared" si="14"/>
        <v>0.3048201265836622</v>
      </c>
      <c r="P67" s="152"/>
      <c r="S67" s="511"/>
      <c r="T67" s="557"/>
      <c r="U67" s="557"/>
      <c r="V67" s="557"/>
      <c r="W67" s="557"/>
      <c r="X67" s="557"/>
      <c r="Y67" s="557"/>
      <c r="Z67" s="557"/>
      <c r="AA67" s="557"/>
      <c r="AB67" s="557"/>
      <c r="AC67" s="557"/>
      <c r="AD67" s="557"/>
      <c r="AE67" s="557"/>
    </row>
    <row r="68" spans="1:33" s="106" customFormat="1" ht="16.5" customHeight="1">
      <c r="A68" s="109"/>
      <c r="B68" s="149" t="s">
        <v>150</v>
      </c>
      <c r="C68" s="499">
        <f>C28/C19/C65</f>
        <v>0.31242892475189693</v>
      </c>
      <c r="D68" s="499">
        <f t="shared" ref="D68:N68" si="15">D28/D19/D65</f>
        <v>0.24328138918948009</v>
      </c>
      <c r="E68" s="499">
        <f t="shared" si="15"/>
        <v>0.43190041685688707</v>
      </c>
      <c r="F68" s="499">
        <f t="shared" si="15"/>
        <v>0.37961725853240663</v>
      </c>
      <c r="G68" s="499">
        <f t="shared" si="15"/>
        <v>0.4481851987042022</v>
      </c>
      <c r="H68" s="499">
        <f t="shared" si="15"/>
        <v>0.38643865854996162</v>
      </c>
      <c r="I68" s="499">
        <f t="shared" si="15"/>
        <v>0.38636974202951119</v>
      </c>
      <c r="J68" s="499">
        <f t="shared" si="15"/>
        <v>0.38499162081004157</v>
      </c>
      <c r="K68" s="499">
        <f t="shared" si="15"/>
        <v>0.39879882261703326</v>
      </c>
      <c r="L68" s="499">
        <f t="shared" si="15"/>
        <v>0.2316179179828062</v>
      </c>
      <c r="M68" s="499">
        <f t="shared" si="15"/>
        <v>0.11199966691850879</v>
      </c>
      <c r="N68" s="499">
        <f t="shared" si="15"/>
        <v>0.19578992821919478</v>
      </c>
      <c r="P68" s="152"/>
      <c r="S68" s="511"/>
      <c r="T68" s="557"/>
      <c r="U68" s="557"/>
      <c r="V68" s="557"/>
      <c r="W68" s="557"/>
      <c r="X68" s="557"/>
      <c r="Y68" s="557"/>
      <c r="Z68" s="557"/>
      <c r="AA68" s="557"/>
      <c r="AB68" s="557"/>
      <c r="AC68" s="557"/>
      <c r="AD68" s="557"/>
      <c r="AE68" s="557"/>
    </row>
    <row r="69" spans="1:33" s="106" customFormat="1" ht="16.5" customHeight="1">
      <c r="A69" s="109"/>
      <c r="B69" s="149"/>
      <c r="C69" s="107"/>
      <c r="D69" s="107"/>
      <c r="E69" s="107"/>
      <c r="F69" s="107"/>
      <c r="G69" s="107"/>
      <c r="H69" s="107"/>
      <c r="I69" s="107"/>
      <c r="J69" s="107"/>
      <c r="K69" s="107"/>
      <c r="L69" s="107"/>
      <c r="M69" s="107"/>
      <c r="N69" s="107"/>
      <c r="P69" s="152"/>
      <c r="T69" s="557"/>
      <c r="U69" s="557"/>
      <c r="V69" s="557"/>
      <c r="W69" s="557"/>
      <c r="X69" s="557"/>
      <c r="Y69" s="557"/>
      <c r="Z69" s="557"/>
      <c r="AA69" s="557"/>
      <c r="AB69" s="557"/>
      <c r="AC69" s="557"/>
      <c r="AD69" s="557"/>
      <c r="AE69" s="557"/>
    </row>
    <row r="70" spans="1:33" s="106" customFormat="1" ht="16.5" customHeight="1">
      <c r="A70" s="109"/>
      <c r="B70" s="146" t="str">
        <f>"SUBSEQUENT - "&amp;MANUAL!$B$11</f>
        <v>SUBSEQUENT - 2018</v>
      </c>
      <c r="C70" s="107"/>
      <c r="D70" s="107"/>
      <c r="E70" s="107"/>
      <c r="F70" s="107"/>
      <c r="G70" s="107"/>
      <c r="H70" s="107"/>
      <c r="I70" s="107"/>
      <c r="J70" s="107"/>
      <c r="K70" s="107"/>
      <c r="L70" s="107"/>
      <c r="M70" s="107"/>
      <c r="N70" s="107"/>
      <c r="X70" s="519"/>
    </row>
    <row r="71" spans="1:33" s="106" customFormat="1" ht="16.5" customHeight="1">
      <c r="A71" s="109"/>
      <c r="B71" s="149" t="s">
        <v>432</v>
      </c>
      <c r="C71" s="107">
        <f>C49+C54</f>
        <v>1085.6822210455634</v>
      </c>
      <c r="D71" s="107">
        <f t="shared" ref="D71:N71" si="16">D49+D54</f>
        <v>1512.8341091982998</v>
      </c>
      <c r="E71" s="107">
        <f t="shared" si="16"/>
        <v>1174.6045923760191</v>
      </c>
      <c r="F71" s="107">
        <f t="shared" si="16"/>
        <v>2159.7247780484176</v>
      </c>
      <c r="G71" s="107">
        <f t="shared" si="16"/>
        <v>1896.5084914924219</v>
      </c>
      <c r="H71" s="107">
        <f t="shared" si="16"/>
        <v>2236.1116648501552</v>
      </c>
      <c r="I71" s="107">
        <f t="shared" si="16"/>
        <v>2133.581641346801</v>
      </c>
      <c r="J71" s="107">
        <f t="shared" si="16"/>
        <v>1719.5274694945347</v>
      </c>
      <c r="K71" s="107">
        <f t="shared" si="16"/>
        <v>1240.6262840323066</v>
      </c>
      <c r="L71" s="107">
        <f t="shared" si="16"/>
        <v>2611.6989883816514</v>
      </c>
      <c r="M71" s="107">
        <f t="shared" si="16"/>
        <v>2603.8677344965945</v>
      </c>
      <c r="N71" s="107">
        <f t="shared" si="16"/>
        <v>564.90736509667909</v>
      </c>
      <c r="O71" s="145"/>
      <c r="P71" s="152">
        <f>AVERAGE(C71:N71)</f>
        <v>1744.9729449882871</v>
      </c>
      <c r="S71" s="522"/>
      <c r="T71" s="523"/>
      <c r="U71" s="523"/>
      <c r="V71" s="523"/>
      <c r="W71" s="523"/>
      <c r="X71" s="523"/>
      <c r="Y71" s="523"/>
      <c r="Z71" s="523"/>
      <c r="AA71" s="523"/>
      <c r="AB71" s="523"/>
      <c r="AC71" s="523"/>
      <c r="AD71" s="523"/>
      <c r="AE71" s="523"/>
      <c r="AF71"/>
      <c r="AG71"/>
    </row>
    <row r="72" spans="1:33" s="106" customFormat="1" ht="16.5" customHeight="1">
      <c r="A72" s="109"/>
      <c r="B72" s="149" t="s">
        <v>430</v>
      </c>
      <c r="C72" s="107">
        <f>MAX(+C$29/C$14/C20,C71)</f>
        <v>2094.8997814579911</v>
      </c>
      <c r="D72" s="107">
        <f t="shared" ref="D72:N72" si="17">MAX(+D$29/D$14/D20,D71)</f>
        <v>3688.2855722195604</v>
      </c>
      <c r="E72" s="107">
        <f t="shared" si="17"/>
        <v>1559.5730910102195</v>
      </c>
      <c r="F72" s="107">
        <f t="shared" si="17"/>
        <v>3752.7793593986644</v>
      </c>
      <c r="G72" s="107">
        <f t="shared" si="17"/>
        <v>3780.5827207051971</v>
      </c>
      <c r="H72" s="107">
        <f t="shared" si="17"/>
        <v>3297.8128041258406</v>
      </c>
      <c r="I72" s="107">
        <f t="shared" si="17"/>
        <v>3153.7324038724792</v>
      </c>
      <c r="J72" s="107">
        <f t="shared" si="17"/>
        <v>3347.9186106707912</v>
      </c>
      <c r="K72" s="107">
        <f t="shared" si="17"/>
        <v>3632.0019128777417</v>
      </c>
      <c r="L72" s="107">
        <f t="shared" si="17"/>
        <v>5011.848283997344</v>
      </c>
      <c r="M72" s="107">
        <f t="shared" si="17"/>
        <v>8201.2538466420629</v>
      </c>
      <c r="N72" s="107">
        <f t="shared" si="17"/>
        <v>2237.9847529906792</v>
      </c>
      <c r="O72" s="107"/>
      <c r="P72" s="152">
        <f>AVERAGE(C72:N72)</f>
        <v>3646.556094997381</v>
      </c>
      <c r="S72" s="206"/>
      <c r="T72" s="523"/>
      <c r="U72" s="523"/>
      <c r="V72" s="523"/>
      <c r="W72" s="523"/>
      <c r="X72" s="523"/>
      <c r="Y72" s="523"/>
      <c r="Z72" s="523"/>
      <c r="AA72" s="523"/>
      <c r="AB72" s="523"/>
      <c r="AC72" s="523"/>
      <c r="AD72" s="523"/>
      <c r="AE72" s="523"/>
      <c r="AF72"/>
      <c r="AG72"/>
    </row>
    <row r="73" spans="1:33" s="106" customFormat="1" ht="16.5" customHeight="1">
      <c r="A73" s="109"/>
      <c r="B73" s="149" t="s">
        <v>133</v>
      </c>
      <c r="C73" s="107">
        <f>MAX(+C$29/C$15/C20,C72)</f>
        <v>2593.5189042567208</v>
      </c>
      <c r="D73" s="107">
        <f t="shared" ref="D73:N73" si="18">MAX(+D$29/D$15/D20,D72)</f>
        <v>4194.7799959621143</v>
      </c>
      <c r="E73" s="107">
        <f t="shared" si="18"/>
        <v>2074.4309236034824</v>
      </c>
      <c r="F73" s="107">
        <f t="shared" si="18"/>
        <v>4502.7040479529442</v>
      </c>
      <c r="G73" s="107">
        <f t="shared" si="18"/>
        <v>4384.7171398394057</v>
      </c>
      <c r="H73" s="107">
        <f t="shared" si="18"/>
        <v>4269.2452020185001</v>
      </c>
      <c r="I73" s="107">
        <f t="shared" si="18"/>
        <v>3783.8880214331339</v>
      </c>
      <c r="J73" s="107">
        <f t="shared" si="18"/>
        <v>4125.9206866137783</v>
      </c>
      <c r="K73" s="107">
        <f t="shared" si="18"/>
        <v>4196.8912214794764</v>
      </c>
      <c r="L73" s="107">
        <f t="shared" si="18"/>
        <v>7191.7662933466336</v>
      </c>
      <c r="M73" s="107">
        <f t="shared" si="18"/>
        <v>9915.8901043602818</v>
      </c>
      <c r="N73" s="107">
        <f t="shared" si="18"/>
        <v>3484.258878399472</v>
      </c>
      <c r="O73" s="107"/>
      <c r="P73" s="152">
        <f>AVERAGE(C73:N73)</f>
        <v>4559.8342849388291</v>
      </c>
      <c r="S73" s="206"/>
      <c r="T73" s="523"/>
      <c r="U73" s="523"/>
      <c r="V73" s="523"/>
      <c r="W73" s="523"/>
      <c r="X73" s="523"/>
      <c r="Y73" s="523"/>
      <c r="Z73" s="523"/>
      <c r="AA73" s="523"/>
      <c r="AB73" s="523"/>
      <c r="AC73" s="523"/>
      <c r="AD73" s="523"/>
      <c r="AE73" s="523"/>
      <c r="AF73"/>
      <c r="AG73"/>
    </row>
    <row r="74" spans="1:33" s="106" customFormat="1" ht="16.5" customHeight="1">
      <c r="A74" s="109"/>
      <c r="B74" s="149" t="s">
        <v>158</v>
      </c>
      <c r="C74" s="499">
        <f>IFERROR(C29/C20/C71,0)</f>
        <v>0.7463420758611089</v>
      </c>
      <c r="D74" s="499">
        <f t="shared" ref="D74:N74" si="19">IFERROR(D29/D20/D71,0)</f>
        <v>0.67456960320831705</v>
      </c>
      <c r="E74" s="499">
        <f t="shared" si="19"/>
        <v>0.76276526284714796</v>
      </c>
      <c r="F74" s="499">
        <f t="shared" si="19"/>
        <v>0.79144536565035728</v>
      </c>
      <c r="G74" s="499">
        <f t="shared" si="19"/>
        <v>1.0362016998058337</v>
      </c>
      <c r="H74" s="499">
        <f t="shared" si="19"/>
        <v>0.73779919617719281</v>
      </c>
      <c r="I74" s="499">
        <f t="shared" si="19"/>
        <v>0.68522329325388176</v>
      </c>
      <c r="J74" s="499">
        <f t="shared" si="19"/>
        <v>0.92376825648505112</v>
      </c>
      <c r="K74" s="499">
        <f t="shared" si="19"/>
        <v>1.3490890039326247</v>
      </c>
      <c r="L74" s="499">
        <f t="shared" si="19"/>
        <v>0.63780012279135345</v>
      </c>
      <c r="M74" s="499">
        <f t="shared" si="19"/>
        <v>0.42651029242988664</v>
      </c>
      <c r="N74" s="499">
        <f t="shared" si="19"/>
        <v>1.2076011711799419</v>
      </c>
      <c r="O74" s="107"/>
      <c r="P74" s="152"/>
      <c r="S74" s="206"/>
      <c r="T74" s="523"/>
      <c r="U74" s="523"/>
      <c r="V74" s="523"/>
      <c r="W74" s="523"/>
      <c r="X74" s="523"/>
      <c r="Y74" s="523"/>
      <c r="Z74" s="523"/>
      <c r="AA74" s="523"/>
      <c r="AB74" s="523"/>
      <c r="AC74" s="523"/>
      <c r="AD74" s="523"/>
      <c r="AE74" s="523"/>
      <c r="AF74"/>
      <c r="AG74"/>
    </row>
    <row r="75" spans="1:33" s="106" customFormat="1" ht="16.5" customHeight="1">
      <c r="A75" s="109"/>
      <c r="B75" s="149" t="s">
        <v>988</v>
      </c>
      <c r="C75" s="499">
        <f>C29/C20/C72</f>
        <v>0.38679192663656009</v>
      </c>
      <c r="D75" s="499">
        <f t="shared" ref="D75:N75" si="20">D29/D20/D72</f>
        <v>0.27669004603344055</v>
      </c>
      <c r="E75" s="499">
        <f t="shared" si="20"/>
        <v>0.57448258488789894</v>
      </c>
      <c r="F75" s="499">
        <f t="shared" si="20"/>
        <v>0.45547686207178484</v>
      </c>
      <c r="G75" s="499">
        <f t="shared" si="20"/>
        <v>0.51980487341752446</v>
      </c>
      <c r="H75" s="499">
        <f t="shared" si="20"/>
        <v>0.5002713880014199</v>
      </c>
      <c r="I75" s="499">
        <f t="shared" si="20"/>
        <v>0.46357130266173097</v>
      </c>
      <c r="J75" s="499">
        <f t="shared" si="20"/>
        <v>0.4744574397389118</v>
      </c>
      <c r="K75" s="499">
        <f t="shared" si="20"/>
        <v>0.4608244483141376</v>
      </c>
      <c r="L75" s="499">
        <f t="shared" si="20"/>
        <v>0.33236080605283419</v>
      </c>
      <c r="M75" s="499">
        <f t="shared" si="20"/>
        <v>0.13541543886531515</v>
      </c>
      <c r="N75" s="499">
        <f t="shared" si="20"/>
        <v>0.30482012658366214</v>
      </c>
      <c r="O75" s="107"/>
      <c r="P75" s="152"/>
      <c r="S75" s="206"/>
      <c r="T75" s="523"/>
      <c r="U75" s="523"/>
      <c r="V75" s="523"/>
      <c r="W75" s="523"/>
      <c r="X75" s="523"/>
      <c r="Y75" s="523"/>
      <c r="Z75" s="523"/>
      <c r="AA75" s="523"/>
      <c r="AB75" s="523"/>
      <c r="AC75" s="523"/>
      <c r="AD75" s="523"/>
      <c r="AE75" s="523"/>
      <c r="AF75"/>
      <c r="AG75"/>
    </row>
    <row r="76" spans="1:33" s="106" customFormat="1" ht="16.5" customHeight="1">
      <c r="A76" s="109"/>
      <c r="B76" s="149" t="s">
        <v>150</v>
      </c>
      <c r="C76" s="499">
        <f>C29/C20/C73</f>
        <v>0.31242892475189687</v>
      </c>
      <c r="D76" s="499">
        <f t="shared" ref="D76:N76" si="21">D29/D20/D73</f>
        <v>0.24328138918948009</v>
      </c>
      <c r="E76" s="499">
        <f t="shared" si="21"/>
        <v>0.43190041685688707</v>
      </c>
      <c r="F76" s="499">
        <f t="shared" si="21"/>
        <v>0.37961725853240663</v>
      </c>
      <c r="G76" s="499">
        <f t="shared" si="21"/>
        <v>0.4481851987042022</v>
      </c>
      <c r="H76" s="499">
        <f t="shared" si="21"/>
        <v>0.38643865854996157</v>
      </c>
      <c r="I76" s="499">
        <f t="shared" si="21"/>
        <v>0.38636974202951113</v>
      </c>
      <c r="J76" s="499">
        <f t="shared" si="21"/>
        <v>0.38499162081004157</v>
      </c>
      <c r="K76" s="499">
        <f t="shared" si="21"/>
        <v>0.39879882261703326</v>
      </c>
      <c r="L76" s="499">
        <f t="shared" si="21"/>
        <v>0.23161791798280623</v>
      </c>
      <c r="M76" s="499">
        <f t="shared" si="21"/>
        <v>0.11199966691850879</v>
      </c>
      <c r="N76" s="499">
        <f t="shared" si="21"/>
        <v>0.19578992821919478</v>
      </c>
      <c r="O76" s="107"/>
      <c r="P76" s="152"/>
      <c r="S76" s="206"/>
      <c r="T76" s="524"/>
      <c r="U76" s="524"/>
      <c r="V76" s="524"/>
      <c r="W76" s="524"/>
      <c r="X76" s="524"/>
      <c r="Y76" s="524"/>
      <c r="Z76" s="524"/>
      <c r="AA76" s="524"/>
      <c r="AB76" s="524"/>
      <c r="AC76" s="524"/>
      <c r="AD76" s="524"/>
      <c r="AE76" s="524"/>
      <c r="AF76"/>
      <c r="AG76"/>
    </row>
    <row r="77" spans="1:33" s="106" customFormat="1" ht="16.5" customHeight="1">
      <c r="A77" s="109"/>
      <c r="B77" s="108"/>
      <c r="C77" s="107"/>
      <c r="D77" s="107"/>
      <c r="E77" s="107"/>
      <c r="F77" s="107"/>
      <c r="G77" s="107"/>
      <c r="H77" s="107"/>
      <c r="I77" s="107"/>
      <c r="J77" s="107"/>
      <c r="K77" s="107"/>
      <c r="L77" s="107"/>
      <c r="M77" s="107"/>
      <c r="N77" s="107"/>
      <c r="S77" s="206"/>
      <c r="T77" s="524"/>
      <c r="U77" s="524"/>
      <c r="V77" s="524"/>
      <c r="W77" s="524"/>
      <c r="X77" s="524"/>
      <c r="Y77" s="524"/>
      <c r="Z77" s="524"/>
      <c r="AA77" s="524"/>
      <c r="AB77" s="524"/>
      <c r="AC77" s="524"/>
      <c r="AD77" s="524"/>
      <c r="AE77" s="524"/>
      <c r="AF77"/>
      <c r="AG77"/>
    </row>
    <row r="78" spans="1:33" ht="13.2">
      <c r="A78" s="42" t="s">
        <v>116</v>
      </c>
      <c r="C78" s="105"/>
      <c r="S78" s="206"/>
      <c r="T78" s="524"/>
      <c r="U78" s="524"/>
      <c r="V78" s="524"/>
      <c r="W78" s="524"/>
      <c r="X78" s="524"/>
      <c r="Y78" s="524"/>
      <c r="Z78" s="524"/>
      <c r="AA78" s="524"/>
      <c r="AB78" s="524"/>
      <c r="AC78" s="524"/>
      <c r="AD78" s="524"/>
      <c r="AE78" s="524"/>
    </row>
    <row r="79" spans="1:33" ht="13.2">
      <c r="A79"/>
      <c r="B79" s="10" t="s">
        <v>338</v>
      </c>
      <c r="C79" s="105"/>
      <c r="D79" s="105"/>
      <c r="E79" s="105"/>
      <c r="F79" s="105"/>
      <c r="G79" s="105"/>
      <c r="H79" s="105"/>
      <c r="I79" s="105"/>
      <c r="J79" s="105"/>
      <c r="K79" s="105"/>
      <c r="L79" s="105"/>
      <c r="M79" s="105"/>
      <c r="N79" s="105"/>
      <c r="S79" s="206"/>
      <c r="T79" s="523"/>
      <c r="U79" s="523"/>
      <c r="V79" s="523"/>
      <c r="W79" s="523"/>
      <c r="X79" s="523"/>
      <c r="Y79" s="523"/>
      <c r="Z79" s="523"/>
      <c r="AA79" s="523"/>
      <c r="AB79" s="523"/>
      <c r="AC79" s="523"/>
      <c r="AD79" s="523"/>
      <c r="AE79" s="523"/>
    </row>
    <row r="80" spans="1:33" ht="13.2">
      <c r="A80"/>
      <c r="B80" s="81" t="s">
        <v>426</v>
      </c>
    </row>
    <row r="81" spans="1:31" ht="13.2">
      <c r="A81"/>
      <c r="B81" s="125" t="s">
        <v>431</v>
      </c>
      <c r="C81" s="104"/>
      <c r="T81" s="44"/>
      <c r="U81" s="44"/>
      <c r="V81" s="44"/>
      <c r="W81" s="44"/>
      <c r="X81" s="44"/>
      <c r="Y81" s="44"/>
      <c r="Z81" s="44"/>
      <c r="AA81" s="44"/>
      <c r="AB81" s="44"/>
      <c r="AC81" s="44"/>
      <c r="AD81" s="44"/>
      <c r="AE81" s="44"/>
    </row>
    <row r="82" spans="1:31" ht="13.2">
      <c r="A82"/>
      <c r="B82" s="153" t="s">
        <v>435</v>
      </c>
      <c r="E82" s="88"/>
      <c r="T82" s="536"/>
      <c r="U82" s="536"/>
      <c r="V82" s="536"/>
      <c r="W82" s="536"/>
      <c r="X82" s="536"/>
      <c r="Y82" s="536"/>
      <c r="Z82" s="536"/>
      <c r="AA82" s="536"/>
      <c r="AB82" s="536"/>
      <c r="AC82" s="536"/>
      <c r="AD82" s="536"/>
      <c r="AE82" s="536"/>
    </row>
    <row r="83" spans="1:31" ht="13.2">
      <c r="A83"/>
      <c r="B83" t="s">
        <v>433</v>
      </c>
      <c r="C83" s="98"/>
      <c r="D83" s="98"/>
      <c r="E83" s="98"/>
      <c r="F83" s="98"/>
      <c r="G83" s="98"/>
      <c r="H83" s="98"/>
      <c r="I83" s="98"/>
      <c r="J83" s="98"/>
      <c r="K83" s="98"/>
      <c r="L83" s="98"/>
      <c r="M83" s="98"/>
      <c r="N83" s="98"/>
      <c r="T83" s="536"/>
      <c r="U83" s="536"/>
      <c r="V83" s="536"/>
      <c r="W83" s="536"/>
      <c r="X83" s="536"/>
      <c r="Y83" s="536"/>
      <c r="Z83" s="536"/>
      <c r="AA83" s="536"/>
      <c r="AB83" s="536"/>
      <c r="AC83" s="536"/>
      <c r="AD83" s="536"/>
      <c r="AE83" s="536"/>
    </row>
    <row r="84" spans="1:31">
      <c r="T84" s="536"/>
      <c r="U84" s="536"/>
      <c r="V84" s="536"/>
      <c r="W84" s="536"/>
      <c r="X84" s="536"/>
      <c r="Y84" s="536"/>
      <c r="Z84" s="536"/>
      <c r="AA84" s="536"/>
      <c r="AB84" s="536"/>
      <c r="AC84" s="536"/>
      <c r="AD84" s="536"/>
      <c r="AE84" s="536"/>
    </row>
    <row r="85" spans="1:31" ht="409.6">
      <c r="T85" s="536"/>
      <c r="U85" s="536"/>
      <c r="V85" s="536"/>
      <c r="W85" s="536"/>
      <c r="X85" s="536"/>
      <c r="Y85" s="536"/>
      <c r="Z85" s="536"/>
      <c r="AA85" s="536"/>
      <c r="AB85" s="536"/>
      <c r="AC85" s="536"/>
      <c r="AD85" s="536"/>
      <c r="AE85" s="536"/>
    </row>
    <row r="86" spans="1:31">
      <c r="C86" s="150"/>
      <c r="T86" s="536"/>
      <c r="U86" s="536"/>
      <c r="V86" s="536"/>
      <c r="W86" s="536"/>
      <c r="X86" s="536"/>
      <c r="Y86" s="536"/>
      <c r="Z86" s="536"/>
      <c r="AA86" s="536"/>
      <c r="AB86" s="536"/>
      <c r="AC86" s="536"/>
      <c r="AD86" s="536"/>
      <c r="AE86" s="536"/>
    </row>
    <row r="87" spans="1:31">
      <c r="T87" s="536"/>
      <c r="U87" s="536"/>
      <c r="V87" s="536"/>
      <c r="W87" s="536"/>
      <c r="X87" s="536"/>
      <c r="Y87" s="536"/>
      <c r="Z87" s="536"/>
      <c r="AA87" s="536"/>
      <c r="AB87" s="536"/>
      <c r="AC87" s="536"/>
      <c r="AD87" s="536"/>
      <c r="AE87" s="536"/>
    </row>
    <row r="89" spans="1:31">
      <c r="G89" s="145"/>
    </row>
    <row r="90" spans="1:31" ht="409.6">
      <c r="G90" s="44"/>
    </row>
    <row r="92" spans="1:31">
      <c r="G92" s="150"/>
    </row>
  </sheetData>
  <mergeCells count="3">
    <mergeCell ref="C7:E7"/>
    <mergeCell ref="F7:L7"/>
    <mergeCell ref="M7:N7"/>
  </mergeCells>
  <conditionalFormatting sqref="C59:N59">
    <cfRule type="cellIs" dxfId="103" priority="10" operator="greaterThanOrEqual">
      <formula>C60</formula>
    </cfRule>
  </conditionalFormatting>
  <conditionalFormatting sqref="C58:N58">
    <cfRule type="cellIs" dxfId="102" priority="8" operator="greaterThanOrEqual">
      <formula>C59</formula>
    </cfRule>
  </conditionalFormatting>
  <conditionalFormatting sqref="C72:N72">
    <cfRule type="cellIs" dxfId="101" priority="2" operator="greaterThanOrEqual">
      <formula>C73</formula>
    </cfRule>
  </conditionalFormatting>
  <conditionalFormatting sqref="C71:N71">
    <cfRule type="cellIs" dxfId="100" priority="1" operator="greaterThan">
      <formula>C72</formula>
    </cfRule>
  </conditionalFormatting>
  <conditionalFormatting sqref="C64:N64">
    <cfRule type="cellIs" dxfId="99" priority="4" operator="greaterThanOrEqual">
      <formula>C65</formula>
    </cfRule>
  </conditionalFormatting>
  <conditionalFormatting sqref="C63:N63">
    <cfRule type="cellIs" dxfId="98" priority="3" operator="greaterThan">
      <formula>C64</formula>
    </cfRule>
  </conditionalFormatting>
  <pageMargins left="0" right="0" top="1" bottom="1" header="0.5" footer="0.5"/>
  <pageSetup scale="38" orientation="landscape" r:id="rId1"/>
  <headerFooter alignWithMargins="0">
    <oddFooter>&amp;LPrinted:  &amp;D&amp;C&amp;F&amp;RPage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50"/>
    <pageSetUpPr fitToPage="1"/>
  </sheetPr>
  <dimension ref="A1:AI92"/>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1298</v>
      </c>
    </row>
    <row r="2" spans="1:16" s="8" customFormat="1" ht="15.6">
      <c r="A2" s="624"/>
      <c r="B2" s="8" t="s">
        <v>1267</v>
      </c>
    </row>
    <row r="3" spans="1:16" s="8" customFormat="1" ht="15.6">
      <c r="A3" s="624"/>
    </row>
    <row r="4" spans="1:16" ht="21">
      <c r="A4" s="124" t="s">
        <v>451</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88</v>
      </c>
      <c r="C9" s="320">
        <v>3</v>
      </c>
      <c r="D9" s="320">
        <v>4</v>
      </c>
      <c r="E9" s="320">
        <v>5</v>
      </c>
      <c r="F9" s="320">
        <v>6</v>
      </c>
      <c r="G9" s="320">
        <v>7</v>
      </c>
      <c r="H9" s="320">
        <v>8</v>
      </c>
      <c r="I9" s="320">
        <v>9</v>
      </c>
      <c r="J9" s="320">
        <v>10</v>
      </c>
      <c r="K9" s="320">
        <v>11</v>
      </c>
      <c r="L9" s="320">
        <v>12</v>
      </c>
      <c r="M9" s="320">
        <v>13</v>
      </c>
      <c r="N9" s="320">
        <v>14</v>
      </c>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s="110" customFormat="1" ht="15.6">
      <c r="A12" s="120" t="s">
        <v>343</v>
      </c>
    </row>
    <row r="13" spans="1:16" s="110" customFormat="1">
      <c r="A13" s="119"/>
      <c r="B13" s="148" t="s">
        <v>148</v>
      </c>
      <c r="C13" s="115">
        <f>VLOOKUP($B$9,'Avg KWH'!$A$12:$O$38,C9,FALSE)/HOURS!B15/VLOOKUP($B$9,'Avg CP'!$A$12:$P$38,C9,FALSE)</f>
        <v>0.77404541941893379</v>
      </c>
      <c r="D13" s="115">
        <f>VLOOKUP($B$9,'Avg KWH'!$A$12:$O$38,D9,FALSE)/HOURS!C15/VLOOKUP($B$9,'Avg CP'!$A$12:$P$38,D9,FALSE)</f>
        <v>1.0482121423946116</v>
      </c>
      <c r="E13" s="115">
        <f>VLOOKUP($B$9,'Avg KWH'!$A$12:$O$38,E9,FALSE)/HOURS!D15/VLOOKUP($B$9,'Avg CP'!$A$12:$P$38,E9,FALSE)</f>
        <v>1.4608247211521603</v>
      </c>
      <c r="F13" s="115">
        <f>VLOOKUP($B$9,'Avg KWH'!$A$12:$O$38,F9,FALSE)/HOURS!E15/VLOOKUP($B$9,'Avg CP'!$A$12:$P$38,F9,FALSE)</f>
        <v>1.2490307270458127</v>
      </c>
      <c r="G13" s="115">
        <f>VLOOKUP($B$9,'Avg KWH'!$A$12:$O$38,G9,FALSE)/HOURS!F15/VLOOKUP($B$9,'Avg CP'!$A$12:$P$38,G9,FALSE)</f>
        <v>1.5564598763265356</v>
      </c>
      <c r="H13" s="115">
        <f>VLOOKUP($B$9,'Avg KWH'!$A$12:$O$38,H9,FALSE)/HOURS!G15/VLOOKUP($B$9,'Avg CP'!$A$12:$P$38,H9,FALSE)</f>
        <v>1.3268666322473692</v>
      </c>
      <c r="I13" s="115">
        <f>VLOOKUP($B$9,'Avg KWH'!$A$12:$O$38,I9,FALSE)/HOURS!H15/VLOOKUP($B$9,'Avg CP'!$A$12:$P$38,I9,FALSE)</f>
        <v>1.4869973232203042</v>
      </c>
      <c r="J13" s="115">
        <f>VLOOKUP($B$9,'Avg KWH'!$A$12:$O$38,J9,FALSE)/HOURS!I15/VLOOKUP($B$9,'Avg CP'!$A$12:$P$38,J9,FALSE)</f>
        <v>1.5452068031603396</v>
      </c>
      <c r="K13" s="115">
        <f>VLOOKUP($B$9,'Avg KWH'!$A$12:$O$38,K9,FALSE)/HOURS!J15/VLOOKUP($B$9,'Avg CP'!$A$12:$P$38,K9,FALSE)</f>
        <v>0.61426862005757321</v>
      </c>
      <c r="L13" s="115">
        <f>VLOOKUP($B$9,'Avg KWH'!$A$12:$O$38,L9,FALSE)/HOURS!K15/VLOOKUP($B$9,'Avg CP'!$A$12:$P$38,L9,FALSE)</f>
        <v>1.86849423738638</v>
      </c>
      <c r="M13" s="115">
        <f>VLOOKUP($B$9,'Avg KWH'!$A$12:$O$38,M9,FALSE)/HOURS!L15/VLOOKUP($B$9,'Avg CP'!$A$12:$P$38,M9,FALSE)</f>
        <v>0.70442346330583916</v>
      </c>
      <c r="N13" s="115">
        <f>VLOOKUP($B$9,'Avg KWH'!$A$12:$O$38,N9,FALSE)/HOURS!M15/VLOOKUP($B$9,'Avg CP'!$A$12:$P$38,N9,FALSE)</f>
        <v>0.86246717209256218</v>
      </c>
    </row>
    <row r="14" spans="1:16" s="110" customFormat="1">
      <c r="A14" s="119"/>
      <c r="B14" s="118" t="s">
        <v>342</v>
      </c>
      <c r="C14" s="115">
        <f>VLOOKUP($B$9,'Avg KWH'!$A$12:$O$38,C9,FALSE)/HOURS!B15/VLOOKUP($B$9,'Avg GNCP'!$A$11:$P$37,C9,FALSE)</f>
        <v>0.28759692770286333</v>
      </c>
      <c r="D14" s="115">
        <f>VLOOKUP($B$9,'Avg KWH'!$A$12:$O$38,D9,FALSE)/HOURS!C15/VLOOKUP($B$9,'Avg GNCP'!$A$11:$P$37,D9,FALSE)</f>
        <v>0.28193775720127123</v>
      </c>
      <c r="E14" s="115">
        <f>VLOOKUP($B$9,'Avg KWH'!$A$12:$O$38,E9,FALSE)/HOURS!D15/VLOOKUP($B$9,'Avg GNCP'!$A$11:$P$37,E9,FALSE)</f>
        <v>0.21709467759288625</v>
      </c>
      <c r="F14" s="115">
        <f>VLOOKUP($B$9,'Avg KWH'!$A$12:$O$38,F9,FALSE)/HOURS!E15/VLOOKUP($B$9,'Avg GNCP'!$A$11:$P$37,F9,FALSE)</f>
        <v>0.27897283923488392</v>
      </c>
      <c r="G14" s="115">
        <f>VLOOKUP($B$9,'Avg KWH'!$A$12:$O$38,G9,FALSE)/HOURS!F15/VLOOKUP($B$9,'Avg GNCP'!$A$11:$P$37,G9,FALSE)</f>
        <v>0.276445948425667</v>
      </c>
      <c r="H14" s="115">
        <f>VLOOKUP($B$9,'Avg KWH'!$A$12:$O$38,H9,FALSE)/HOURS!G15/VLOOKUP($B$9,'Avg GNCP'!$A$11:$P$37,H9,FALSE)</f>
        <v>0.24511972424979722</v>
      </c>
      <c r="I14" s="115">
        <f>VLOOKUP($B$9,'Avg KWH'!$A$12:$O$38,I9,FALSE)/HOURS!H15/VLOOKUP($B$9,'Avg GNCP'!$A$11:$P$37,I9,FALSE)</f>
        <v>0.35308635333146576</v>
      </c>
      <c r="J14" s="115">
        <f>VLOOKUP($B$9,'Avg KWH'!$A$12:$O$38,J9,FALSE)/HOURS!I15/VLOOKUP($B$9,'Avg GNCP'!$A$11:$P$37,J9,FALSE)</f>
        <v>0.25990689132418715</v>
      </c>
      <c r="K14" s="115">
        <f>VLOOKUP($B$9,'Avg KWH'!$A$12:$O$38,K9,FALSE)/HOURS!J15/VLOOKUP($B$9,'Avg GNCP'!$A$11:$P$37,K9,FALSE)</f>
        <v>0.25326317238855151</v>
      </c>
      <c r="L14" s="115">
        <f>VLOOKUP($B$9,'Avg KWH'!$A$12:$O$38,L9,FALSE)/HOURS!K15/VLOOKUP($B$9,'Avg GNCP'!$A$11:$P$37,L9,FALSE)</f>
        <v>0.37534703114744911</v>
      </c>
      <c r="M14" s="115">
        <f>VLOOKUP($B$9,'Avg KWH'!$A$12:$O$38,M9,FALSE)/HOURS!L15/VLOOKUP($B$9,'Avg GNCP'!$A$11:$P$37,M9,FALSE)</f>
        <v>0.23519898281800178</v>
      </c>
      <c r="N14" s="115">
        <f>VLOOKUP($B$9,'Avg KWH'!$A$12:$O$38,N9,FALSE)/HOURS!M15/VLOOKUP($B$9,'Avg GNCP'!$A$11:$P$37,N9,FALSE)</f>
        <v>0.22414751231053512</v>
      </c>
    </row>
    <row r="15" spans="1:16" s="10" customFormat="1">
      <c r="A15" s="119"/>
      <c r="B15" s="148" t="s">
        <v>133</v>
      </c>
      <c r="C15" s="115">
        <f>IFERROR(VLOOKUP($B$9,'Avg KWH'!$A$12:$O$38,C9,FALSE)/HOURS!B15/VLOOKUP($B$9,'Avg NCP'!$B$12:$P$38,C9-1,FALSE),"")</f>
        <v>0.10122986895292264</v>
      </c>
      <c r="D15" s="115">
        <f>IFERROR(VLOOKUP($B$9,'Avg KWH'!$A$12:$O$38,D9,FALSE)/HOURS!C15/VLOOKUP($B$9,'Avg NCP'!$B$12:$P$38,D9-1,FALSE),"")</f>
        <v>0.12730317407773994</v>
      </c>
      <c r="E15" s="115">
        <f>IFERROR(VLOOKUP($B$9,'Avg KWH'!$A$12:$O$38,E9,FALSE)/HOURS!D15/VLOOKUP($B$9,'Avg NCP'!$B$12:$P$38,E9-1,FALSE),"")</f>
        <v>8.8594669726325237E-2</v>
      </c>
      <c r="F15" s="115">
        <f>IFERROR(VLOOKUP($B$9,'Avg KWH'!$A$12:$O$38,F9,FALSE)/HOURS!E15/VLOOKUP($B$9,'Avg NCP'!$B$12:$P$38,F9-1,FALSE),"")</f>
        <v>0.12520384113495384</v>
      </c>
      <c r="G15" s="115">
        <f>IFERROR(VLOOKUP($B$9,'Avg KWH'!$A$12:$O$38,G9,FALSE)/HOURS!F15/VLOOKUP($B$9,'Avg NCP'!$B$12:$P$38,G9-1,FALSE),"")</f>
        <v>0.11019163743223399</v>
      </c>
      <c r="H15" s="115">
        <f>IFERROR(VLOOKUP($B$9,'Avg KWH'!$A$12:$O$38,H9,FALSE)/HOURS!G15/VLOOKUP($B$9,'Avg NCP'!$B$12:$P$38,H9-1,FALSE),"")</f>
        <v>0.10973166930981801</v>
      </c>
      <c r="I15" s="115">
        <f>IFERROR(VLOOKUP($B$9,'Avg KWH'!$A$12:$O$38,I9,FALSE)/HOURS!H15/VLOOKUP($B$9,'Avg NCP'!$B$12:$P$38,I9-1,FALSE),"")</f>
        <v>0.13863453031347628</v>
      </c>
      <c r="J15" s="115">
        <f>IFERROR(VLOOKUP($B$9,'Avg KWH'!$A$12:$O$38,J9,FALSE)/HOURS!I15/VLOOKUP($B$9,'Avg NCP'!$B$12:$P$38,J9-1,FALSE),"")</f>
        <v>0.10651442067327641</v>
      </c>
      <c r="K15" s="115">
        <f>IFERROR(VLOOKUP($B$9,'Avg KWH'!$A$12:$O$38,K9,FALSE)/HOURS!J15/VLOOKUP($B$9,'Avg NCP'!$B$12:$P$38,K9-1,FALSE),"")</f>
        <v>0.12088132633054456</v>
      </c>
      <c r="L15" s="115">
        <f>IFERROR(VLOOKUP($B$9,'Avg KWH'!$A$12:$O$38,L9,FALSE)/HOURS!K15/VLOOKUP($B$9,'Avg NCP'!$B$12:$P$38,L9-1,FALSE),"")</f>
        <v>0.17452176511902515</v>
      </c>
      <c r="M15" s="115">
        <f>IFERROR(VLOOKUP($B$9,'Avg KWH'!$A$12:$O$38,M9,FALSE)/HOURS!L15/VLOOKUP($B$9,'Avg NCP'!$B$12:$P$38,M9-1,FALSE),"")</f>
        <v>9.4319185237530717E-2</v>
      </c>
      <c r="N15" s="115">
        <f>IFERROR(VLOOKUP($B$9,'Avg KWH'!$A$12:$O$38,N9,FALSE)/HOURS!M15/VLOOKUP($B$9,'Avg NCP'!$B$12:$P$38,N9-1,FALSE),"")</f>
        <v>9.8640068010274667E-2</v>
      </c>
    </row>
    <row r="16" spans="1:16">
      <c r="A16" s="114"/>
      <c r="C16" s="116"/>
      <c r="D16" s="116"/>
      <c r="E16" s="116"/>
      <c r="F16" s="116"/>
      <c r="G16" s="116"/>
      <c r="H16" s="116"/>
      <c r="I16" s="116"/>
      <c r="J16" s="116"/>
      <c r="K16" s="116"/>
      <c r="L16" s="116"/>
      <c r="M16" s="117"/>
      <c r="N16" s="116"/>
    </row>
    <row r="17" spans="1:14" ht="15.6">
      <c r="A17" s="113" t="s">
        <v>421</v>
      </c>
      <c r="C17" s="5"/>
      <c r="D17" s="5"/>
      <c r="E17" s="5"/>
      <c r="F17" s="5"/>
      <c r="G17" s="5"/>
      <c r="H17" s="5"/>
      <c r="I17" s="5"/>
      <c r="J17" s="5"/>
      <c r="K17" s="5"/>
      <c r="L17" s="5"/>
      <c r="M17" s="115"/>
      <c r="N17" s="5"/>
    </row>
    <row r="18" spans="1:14">
      <c r="A18" s="114"/>
      <c r="B18" s="108" t="str">
        <f>"PRIOR - "&amp;MANUAL!$B$9</f>
        <v>PRIOR - 2016</v>
      </c>
      <c r="C18" s="145">
        <f>+HOURS!$B$18</f>
        <v>744</v>
      </c>
      <c r="D18" s="145">
        <f>+HOURS!$C$18</f>
        <v>696</v>
      </c>
      <c r="E18" s="145">
        <f>+HOURS!$D$18</f>
        <v>744</v>
      </c>
      <c r="F18" s="145">
        <f>+HOURS!$E$18</f>
        <v>720</v>
      </c>
      <c r="G18" s="145">
        <f>+HOURS!$F$18</f>
        <v>744</v>
      </c>
      <c r="H18" s="145">
        <f>+HOURS!$G$18</f>
        <v>720</v>
      </c>
      <c r="I18" s="145">
        <f>+HOURS!$H$18</f>
        <v>744</v>
      </c>
      <c r="J18" s="145">
        <f>+HOURS!$I$18</f>
        <v>744</v>
      </c>
      <c r="K18" s="145">
        <f>+HOURS!$J$18</f>
        <v>720</v>
      </c>
      <c r="L18" s="145">
        <f>+HOURS!$K$18</f>
        <v>744</v>
      </c>
      <c r="M18" s="145">
        <f>+HOURS!$L$18</f>
        <v>720</v>
      </c>
      <c r="N18" s="145">
        <f>+HOURS!$M$18</f>
        <v>744</v>
      </c>
    </row>
    <row r="19" spans="1:14">
      <c r="A19" s="114"/>
      <c r="B19" s="108" t="str">
        <f>"TEST - "&amp;MANUAL!$B$10</f>
        <v>TEST - 2017</v>
      </c>
      <c r="C19" s="145">
        <f>+HOURS!$B$19</f>
        <v>744</v>
      </c>
      <c r="D19" s="145">
        <f>+HOURS!$C$19</f>
        <v>672</v>
      </c>
      <c r="E19" s="145">
        <f>+HOURS!$D$19</f>
        <v>744</v>
      </c>
      <c r="F19" s="145">
        <f>+HOURS!$E$19</f>
        <v>720</v>
      </c>
      <c r="G19" s="145">
        <f>+HOURS!$F$19</f>
        <v>744</v>
      </c>
      <c r="H19" s="145">
        <f>+HOURS!$G$19</f>
        <v>720</v>
      </c>
      <c r="I19" s="145">
        <f>+HOURS!$H$19</f>
        <v>744</v>
      </c>
      <c r="J19" s="145">
        <f>+HOURS!$I$19</f>
        <v>744</v>
      </c>
      <c r="K19" s="145">
        <f>+HOURS!$J$19</f>
        <v>720</v>
      </c>
      <c r="L19" s="145">
        <f>+HOURS!$K$19</f>
        <v>744</v>
      </c>
      <c r="M19" s="145">
        <f>+HOURS!$L$19</f>
        <v>720</v>
      </c>
      <c r="N19" s="145">
        <f>+HOURS!$M$19</f>
        <v>744</v>
      </c>
    </row>
    <row r="20" spans="1:14">
      <c r="A20" s="114"/>
      <c r="B20" s="108" t="s">
        <v>1096</v>
      </c>
      <c r="C20" s="145">
        <f>+HOURS!B$20</f>
        <v>744</v>
      </c>
      <c r="D20" s="145">
        <f>+HOURS!C$20</f>
        <v>672</v>
      </c>
      <c r="E20" s="145">
        <f>+HOURS!D$20</f>
        <v>744</v>
      </c>
      <c r="F20" s="145">
        <f>+HOURS!E$20</f>
        <v>720</v>
      </c>
      <c r="G20" s="145">
        <f>+HOURS!F$20</f>
        <v>744</v>
      </c>
      <c r="H20" s="145">
        <f>+HOURS!G$20</f>
        <v>720</v>
      </c>
      <c r="I20" s="145">
        <f>+HOURS!H$20</f>
        <v>744</v>
      </c>
      <c r="J20" s="145">
        <f>+HOURS!I$20</f>
        <v>744</v>
      </c>
      <c r="K20" s="145">
        <f>+HOURS!J$20</f>
        <v>720</v>
      </c>
      <c r="L20" s="145">
        <f>+HOURS!K$20</f>
        <v>744</v>
      </c>
      <c r="M20" s="145">
        <f>+HOURS!L$20</f>
        <v>720</v>
      </c>
      <c r="N20" s="145">
        <f>+HOURS!M$20</f>
        <v>744</v>
      </c>
    </row>
    <row r="21" spans="1:14">
      <c r="A21" s="114"/>
      <c r="C21" s="5"/>
      <c r="D21" s="5"/>
      <c r="E21" s="5"/>
      <c r="F21" s="5"/>
      <c r="G21" s="5"/>
      <c r="H21" s="5"/>
      <c r="I21" s="5"/>
      <c r="J21" s="5"/>
      <c r="K21" s="5"/>
      <c r="L21" s="5"/>
      <c r="M21" s="115"/>
      <c r="N21" s="5"/>
    </row>
    <row r="22" spans="1:14" ht="15.6">
      <c r="A22" s="113" t="s">
        <v>427</v>
      </c>
      <c r="C22" s="5"/>
      <c r="D22" s="5"/>
      <c r="E22" s="5"/>
      <c r="F22" s="5"/>
      <c r="G22" s="5"/>
      <c r="H22" s="5"/>
      <c r="I22" s="5"/>
      <c r="J22" s="5"/>
      <c r="K22" s="5"/>
      <c r="L22" s="5"/>
      <c r="M22" s="115"/>
      <c r="N22" s="5"/>
    </row>
    <row r="23" spans="1:14">
      <c r="A23" s="114"/>
      <c r="B23" t="s">
        <v>428</v>
      </c>
      <c r="C23" s="145">
        <v>0</v>
      </c>
      <c r="D23" s="145">
        <v>0</v>
      </c>
      <c r="E23" s="145">
        <v>0</v>
      </c>
      <c r="F23" s="145">
        <v>0</v>
      </c>
      <c r="G23" s="145">
        <v>0</v>
      </c>
      <c r="H23" s="145">
        <v>0</v>
      </c>
      <c r="I23" s="145">
        <v>0</v>
      </c>
      <c r="J23" s="145">
        <v>0</v>
      </c>
      <c r="K23" s="145">
        <v>0</v>
      </c>
      <c r="L23" s="145">
        <v>0</v>
      </c>
      <c r="M23" s="145">
        <v>0</v>
      </c>
      <c r="N23" s="145">
        <v>0</v>
      </c>
    </row>
    <row r="24" spans="1:14">
      <c r="A24" s="114"/>
      <c r="B24" t="s">
        <v>429</v>
      </c>
      <c r="C24" s="145">
        <v>0</v>
      </c>
      <c r="D24" s="145">
        <v>0</v>
      </c>
      <c r="E24" s="145">
        <v>0</v>
      </c>
      <c r="F24" s="145">
        <v>0</v>
      </c>
      <c r="G24" s="145">
        <v>0</v>
      </c>
      <c r="H24" s="145">
        <v>0</v>
      </c>
      <c r="I24" s="145">
        <v>0</v>
      </c>
      <c r="J24" s="145">
        <v>0</v>
      </c>
      <c r="K24" s="145">
        <v>0</v>
      </c>
      <c r="L24" s="145">
        <v>0</v>
      </c>
      <c r="M24" s="145">
        <v>0</v>
      </c>
      <c r="N24" s="145">
        <v>0</v>
      </c>
    </row>
    <row r="25" spans="1:14">
      <c r="A25" s="114"/>
      <c r="C25" s="5"/>
      <c r="D25" s="5"/>
      <c r="E25" s="5"/>
      <c r="F25" s="5"/>
      <c r="G25" s="5"/>
      <c r="H25" s="5"/>
      <c r="I25" s="5"/>
      <c r="J25" s="5"/>
      <c r="K25" s="5"/>
      <c r="L25" s="5"/>
      <c r="M25" s="115"/>
      <c r="N25" s="5"/>
    </row>
    <row r="26" spans="1:14" ht="15.6">
      <c r="A26" s="113" t="s">
        <v>424</v>
      </c>
      <c r="C26" s="5"/>
      <c r="D26" s="5"/>
      <c r="E26" s="5"/>
      <c r="F26" s="5"/>
      <c r="G26" s="5"/>
      <c r="H26" s="5"/>
      <c r="I26" s="5"/>
      <c r="J26" s="5"/>
      <c r="K26" s="5"/>
      <c r="L26" s="5"/>
      <c r="M26" s="115"/>
      <c r="N26" s="5"/>
    </row>
    <row r="27" spans="1:14" s="106" customFormat="1">
      <c r="A27" s="109"/>
      <c r="B27" s="108" t="str">
        <f>"PRIOR - "&amp;MANUAL!$B$9</f>
        <v>PRIOR - 2016</v>
      </c>
      <c r="C27" s="142">
        <f>VLOOKUP($B$9,'Sales Forecast'!$B$7:$AO$23,C9-1,FALSE)</f>
        <v>5811710</v>
      </c>
      <c r="D27" s="142">
        <f>VLOOKUP($B$9,'Sales Forecast'!$B$7:$AO$23,D9-1,FALSE)</f>
        <v>6787344</v>
      </c>
      <c r="E27" s="142">
        <f>VLOOKUP($B$9,'Sales Forecast'!$B$7:$AO$23,E9-1,FALSE)</f>
        <v>8318048</v>
      </c>
      <c r="F27" s="142">
        <f>VLOOKUP($B$9,'Sales Forecast'!$B$7:$AO$23,F9-1,FALSE)</f>
        <v>7683818</v>
      </c>
      <c r="G27" s="142">
        <f>VLOOKUP($B$9,'Sales Forecast'!$B$7:$AO$23,G9-1,FALSE)</f>
        <v>10687136</v>
      </c>
      <c r="H27" s="142">
        <f>VLOOKUP($B$9,'Sales Forecast'!$B$7:$AO$23,H9-1,FALSE)</f>
        <v>7415962</v>
      </c>
      <c r="I27" s="142">
        <f>VLOOKUP($B$9,'Sales Forecast'!$B$7:$AO$23,I9-1,FALSE)</f>
        <v>7202482</v>
      </c>
      <c r="J27" s="142">
        <f>VLOOKUP($B$9,'Sales Forecast'!$B$7:$AO$23,J9-1,FALSE)</f>
        <v>6421378</v>
      </c>
      <c r="K27" s="142">
        <f>VLOOKUP($B$9,'Sales Forecast'!$B$7:$AO$23,K9-1,FALSE)</f>
        <v>4740820</v>
      </c>
      <c r="L27" s="142">
        <f>VLOOKUP($B$9,'Sales Forecast'!$B$7:$AO$23,L9-1,FALSE)</f>
        <v>9837782</v>
      </c>
      <c r="M27" s="142">
        <f>VLOOKUP($B$9,'Sales Forecast'!$B$7:$AO$23,M9-1,FALSE)</f>
        <v>9758504</v>
      </c>
      <c r="N27" s="142">
        <f>VLOOKUP($B$9,'Sales Forecast'!$B$7:$AO$23,N9-1,FALSE)</f>
        <v>5002770</v>
      </c>
    </row>
    <row r="28" spans="1:14" s="12" customFormat="1" ht="15.6">
      <c r="A28" s="111"/>
      <c r="B28" s="108" t="str">
        <f>"TEST - "&amp;MANUAL!$B$10</f>
        <v>TEST - 2017</v>
      </c>
      <c r="C28" s="142">
        <f>VLOOKUP($B$9,'Sales Forecast'!$B$7:$AO$23,C9+11,FALSE)</f>
        <v>5811710</v>
      </c>
      <c r="D28" s="142">
        <f>VLOOKUP($B$9,'Sales Forecast'!$B$7:$AO$23,D9+11,FALSE)</f>
        <v>6787344</v>
      </c>
      <c r="E28" s="142">
        <f>VLOOKUP($B$9,'Sales Forecast'!$B$7:$AO$23,E9+11,FALSE)</f>
        <v>8318048</v>
      </c>
      <c r="F28" s="142">
        <f>VLOOKUP($B$9,'Sales Forecast'!$B$7:$AO$23,F9+11,FALSE)</f>
        <v>7683818</v>
      </c>
      <c r="G28" s="142">
        <f>VLOOKUP($B$9,'Sales Forecast'!$B$7:$AO$23,G9+11,FALSE)</f>
        <v>10687136</v>
      </c>
      <c r="H28" s="142">
        <f>VLOOKUP($B$9,'Sales Forecast'!$B$7:$AO$23,H9+11,FALSE)</f>
        <v>7415962</v>
      </c>
      <c r="I28" s="142">
        <f>VLOOKUP($B$9,'Sales Forecast'!$B$7:$AO$23,I9+11,FALSE)</f>
        <v>7202482</v>
      </c>
      <c r="J28" s="142">
        <f>VLOOKUP($B$9,'Sales Forecast'!$B$7:$AO$23,J9+11,FALSE)</f>
        <v>6421378</v>
      </c>
      <c r="K28" s="142">
        <f>VLOOKUP($B$9,'Sales Forecast'!$B$7:$AO$23,K9+11,FALSE)</f>
        <v>4740820</v>
      </c>
      <c r="L28" s="142">
        <f>VLOOKUP($B$9,'Sales Forecast'!$B$7:$AO$23,L9+11,FALSE)</f>
        <v>9837782</v>
      </c>
      <c r="M28" s="142">
        <f>VLOOKUP($B$9,'Sales Forecast'!$B$7:$AO$23,M9+11,FALSE)</f>
        <v>9758504</v>
      </c>
      <c r="N28" s="142">
        <f>VLOOKUP($B$9,'Sales Forecast'!$B$7:$AO$23,N9+11,FALSE)</f>
        <v>5002770</v>
      </c>
    </row>
    <row r="29" spans="1:14">
      <c r="A29" s="114"/>
      <c r="B29" t="s">
        <v>1094</v>
      </c>
      <c r="C29" s="142">
        <f>VLOOKUP($B$9,'Sales Forecast'!$B$7:$AO$23,C9+23,FALSE)</f>
        <v>5811710</v>
      </c>
      <c r="D29" s="142">
        <f>VLOOKUP($B$9,'Sales Forecast'!$B$7:$AO$23,D9+23,FALSE)</f>
        <v>6787344</v>
      </c>
      <c r="E29" s="142">
        <f>VLOOKUP($B$9,'Sales Forecast'!$B$7:$AO$23,E9+23,FALSE)</f>
        <v>8318048</v>
      </c>
      <c r="F29" s="142">
        <f>VLOOKUP($B$9,'Sales Forecast'!$B$7:$AO$23,F9+23,FALSE)</f>
        <v>7683818</v>
      </c>
      <c r="G29" s="142">
        <f>VLOOKUP($B$9,'Sales Forecast'!$B$7:$AO$23,G9+23,FALSE)</f>
        <v>10687136</v>
      </c>
      <c r="H29" s="142">
        <f>VLOOKUP($B$9,'Sales Forecast'!$B$7:$AO$23,H9+23,FALSE)</f>
        <v>7415962</v>
      </c>
      <c r="I29" s="142">
        <f>VLOOKUP($B$9,'Sales Forecast'!$B$7:$AO$23,I9+23,FALSE)</f>
        <v>7202482</v>
      </c>
      <c r="J29" s="142">
        <f>VLOOKUP($B$9,'Sales Forecast'!$B$7:$AO$23,J9+23,FALSE)</f>
        <v>6421378</v>
      </c>
      <c r="K29" s="142">
        <f>VLOOKUP($B$9,'Sales Forecast'!$B$7:$AO$23,K9+23,FALSE)</f>
        <v>4740820</v>
      </c>
      <c r="L29" s="142">
        <f>VLOOKUP($B$9,'Sales Forecast'!$B$7:$AO$23,L9+23,FALSE)</f>
        <v>9837782</v>
      </c>
      <c r="M29" s="142">
        <f>VLOOKUP($B$9,'Sales Forecast'!$B$7:$AO$23,M9+23,FALSE)</f>
        <v>9758504</v>
      </c>
      <c r="N29" s="142">
        <f>VLOOKUP($B$9,'Sales Forecast'!$B$7:$AO$23,N9+23,FALSE)</f>
        <v>5002770</v>
      </c>
    </row>
    <row r="30" spans="1:14">
      <c r="A30" s="114"/>
      <c r="C30" s="142"/>
      <c r="D30" s="142"/>
      <c r="E30" s="142"/>
      <c r="F30" s="142"/>
      <c r="G30" s="142"/>
      <c r="H30" s="142"/>
      <c r="I30" s="142"/>
      <c r="J30" s="142"/>
      <c r="K30" s="142"/>
      <c r="L30" s="142"/>
      <c r="M30" s="142"/>
      <c r="N30" s="142"/>
    </row>
    <row r="31" spans="1:14" s="12" customFormat="1" ht="15.6">
      <c r="A31" s="113" t="s">
        <v>1248</v>
      </c>
      <c r="B31"/>
      <c r="C31" s="142"/>
      <c r="D31" s="142"/>
      <c r="E31" s="142"/>
      <c r="F31" s="142"/>
      <c r="G31" s="142"/>
      <c r="H31" s="142"/>
      <c r="I31" s="142"/>
      <c r="J31" s="142"/>
      <c r="K31" s="142"/>
      <c r="L31" s="142"/>
      <c r="M31" s="142"/>
      <c r="N31" s="142"/>
    </row>
    <row r="32" spans="1:14" s="12" customFormat="1">
      <c r="A32" s="114"/>
      <c r="B32" t="s">
        <v>1254</v>
      </c>
      <c r="C32" s="115">
        <v>1</v>
      </c>
      <c r="D32" s="115">
        <v>1</v>
      </c>
      <c r="E32" s="115">
        <v>1</v>
      </c>
      <c r="F32" s="115">
        <v>1</v>
      </c>
      <c r="G32" s="115">
        <v>1</v>
      </c>
      <c r="H32" s="115">
        <v>1</v>
      </c>
      <c r="I32" s="115">
        <v>1</v>
      </c>
      <c r="J32" s="115">
        <v>1</v>
      </c>
      <c r="K32" s="115">
        <v>1</v>
      </c>
      <c r="L32" s="115">
        <v>1</v>
      </c>
      <c r="M32" s="115">
        <v>1</v>
      </c>
      <c r="N32" s="115">
        <v>1</v>
      </c>
    </row>
    <row r="33" spans="1:32" s="12" customFormat="1">
      <c r="A33" s="114"/>
      <c r="B33" t="s">
        <v>1253</v>
      </c>
      <c r="C33" s="115">
        <v>0</v>
      </c>
      <c r="D33" s="115">
        <v>0</v>
      </c>
      <c r="E33" s="115">
        <v>0</v>
      </c>
      <c r="F33" s="115">
        <v>0</v>
      </c>
      <c r="G33" s="115">
        <v>0</v>
      </c>
      <c r="H33" s="115">
        <v>0</v>
      </c>
      <c r="I33" s="115">
        <v>0</v>
      </c>
      <c r="J33" s="115">
        <v>0</v>
      </c>
      <c r="K33" s="115">
        <v>0</v>
      </c>
      <c r="L33" s="115">
        <v>0</v>
      </c>
      <c r="M33" s="115">
        <v>0</v>
      </c>
      <c r="N33" s="115">
        <v>0</v>
      </c>
    </row>
    <row r="34" spans="1:32" s="12" customFormat="1">
      <c r="A34" s="114"/>
      <c r="B34" t="s">
        <v>1252</v>
      </c>
      <c r="C34" s="115">
        <v>0</v>
      </c>
      <c r="D34" s="115">
        <v>0</v>
      </c>
      <c r="E34" s="115">
        <v>0</v>
      </c>
      <c r="F34" s="115">
        <v>0</v>
      </c>
      <c r="G34" s="115">
        <v>0</v>
      </c>
      <c r="H34" s="115">
        <v>0</v>
      </c>
      <c r="I34" s="115">
        <v>0</v>
      </c>
      <c r="J34" s="115">
        <v>0</v>
      </c>
      <c r="K34" s="115">
        <v>0</v>
      </c>
      <c r="L34" s="115">
        <v>0</v>
      </c>
      <c r="M34" s="115">
        <v>0</v>
      </c>
      <c r="N34" s="115">
        <v>0</v>
      </c>
    </row>
    <row r="35" spans="1:32" s="12" customFormat="1" ht="15.6">
      <c r="A35" s="114"/>
      <c r="B35" s="513">
        <v>2017</v>
      </c>
      <c r="C35" s="115"/>
      <c r="D35" s="115"/>
      <c r="E35" s="115"/>
      <c r="F35" s="115"/>
      <c r="G35" s="115"/>
      <c r="H35" s="115"/>
      <c r="I35" s="115"/>
      <c r="J35" s="115"/>
      <c r="K35" s="115"/>
      <c r="L35" s="115"/>
      <c r="M35" s="115"/>
      <c r="N35" s="115"/>
      <c r="T35" s="522"/>
      <c r="U35" s="523"/>
      <c r="V35" s="523"/>
      <c r="W35" s="523"/>
      <c r="X35" s="523"/>
      <c r="Y35" s="523"/>
      <c r="Z35" s="523"/>
      <c r="AA35" s="523"/>
      <c r="AB35" s="523"/>
      <c r="AC35" s="523"/>
      <c r="AD35" s="523"/>
      <c r="AE35" s="523"/>
      <c r="AF35" s="523"/>
    </row>
    <row r="36" spans="1:32" s="12" customFormat="1">
      <c r="A36" s="114"/>
      <c r="B36" t="s">
        <v>1249</v>
      </c>
      <c r="C36" s="504">
        <v>1.0218365993304399</v>
      </c>
      <c r="D36" s="504">
        <v>1.0218365993304399</v>
      </c>
      <c r="E36" s="504">
        <v>1.0218365993304399</v>
      </c>
      <c r="F36" s="504">
        <v>1.0218365993304399</v>
      </c>
      <c r="G36" s="504">
        <v>1.0218365993304399</v>
      </c>
      <c r="H36" s="504">
        <v>1.0218365993304399</v>
      </c>
      <c r="I36" s="504">
        <v>1.0218365993304399</v>
      </c>
      <c r="J36" s="504">
        <v>1.0218365993304399</v>
      </c>
      <c r="K36" s="504">
        <v>1.0218365993304399</v>
      </c>
      <c r="L36" s="504">
        <v>1.0218365993304399</v>
      </c>
      <c r="M36" s="504">
        <v>1.0218365993304399</v>
      </c>
      <c r="N36" s="504">
        <v>1.0218365993304399</v>
      </c>
      <c r="T36" s="206"/>
      <c r="U36" s="523"/>
      <c r="V36" s="523"/>
      <c r="W36" s="523"/>
      <c r="X36" s="523"/>
      <c r="Y36" s="523"/>
      <c r="Z36" s="523"/>
      <c r="AA36" s="523"/>
      <c r="AB36" s="523"/>
      <c r="AC36" s="523"/>
      <c r="AD36" s="523"/>
      <c r="AE36" s="523"/>
      <c r="AF36" s="523"/>
    </row>
    <row r="37" spans="1:32" s="12" customFormat="1">
      <c r="A37" s="114"/>
      <c r="B37" t="s">
        <v>1250</v>
      </c>
      <c r="C37" s="504">
        <v>1.03482305056728</v>
      </c>
      <c r="D37" s="504">
        <v>1.03482305056728</v>
      </c>
      <c r="E37" s="504">
        <v>1.03482305056728</v>
      </c>
      <c r="F37" s="504">
        <v>1.03482305056728</v>
      </c>
      <c r="G37" s="504">
        <v>1.03482305056728</v>
      </c>
      <c r="H37" s="504">
        <v>1.03482305056728</v>
      </c>
      <c r="I37" s="504">
        <v>1.03482305056728</v>
      </c>
      <c r="J37" s="504">
        <v>1.03482305056728</v>
      </c>
      <c r="K37" s="504">
        <v>1.03482305056728</v>
      </c>
      <c r="L37" s="504">
        <v>1.03482305056728</v>
      </c>
      <c r="M37" s="504">
        <v>1.03482305056728</v>
      </c>
      <c r="N37" s="504">
        <v>1.03482305056728</v>
      </c>
      <c r="T37" s="206"/>
      <c r="U37" s="523"/>
      <c r="V37" s="523"/>
      <c r="W37" s="523"/>
      <c r="X37" s="523"/>
      <c r="Y37" s="523"/>
      <c r="Z37" s="523"/>
      <c r="AA37" s="523"/>
      <c r="AB37" s="523"/>
      <c r="AC37" s="523"/>
      <c r="AD37" s="523"/>
      <c r="AE37" s="523"/>
      <c r="AF37" s="523"/>
    </row>
    <row r="38" spans="1:32" s="12" customFormat="1">
      <c r="A38" s="114"/>
      <c r="B38" t="s">
        <v>1251</v>
      </c>
      <c r="C38" s="504">
        <v>1.0644101229548599</v>
      </c>
      <c r="D38" s="504">
        <v>1.0644101229548599</v>
      </c>
      <c r="E38" s="504">
        <v>1.0644101229548599</v>
      </c>
      <c r="F38" s="504">
        <v>1.0644101229548599</v>
      </c>
      <c r="G38" s="504">
        <v>1.0644101229548599</v>
      </c>
      <c r="H38" s="504">
        <v>1.0644101229548599</v>
      </c>
      <c r="I38" s="504">
        <v>1.0644101229548599</v>
      </c>
      <c r="J38" s="504">
        <v>1.0644101229548599</v>
      </c>
      <c r="K38" s="504">
        <v>1.0644101229548599</v>
      </c>
      <c r="L38" s="504">
        <v>1.0644101229548599</v>
      </c>
      <c r="M38" s="504">
        <v>1.0644101229548599</v>
      </c>
      <c r="N38" s="504">
        <v>1.0644101229548599</v>
      </c>
      <c r="T38" s="206"/>
      <c r="U38" s="523"/>
      <c r="V38" s="523"/>
      <c r="W38" s="523"/>
      <c r="X38" s="523"/>
      <c r="Y38" s="523"/>
      <c r="Z38" s="523"/>
      <c r="AA38" s="523"/>
      <c r="AB38" s="523"/>
      <c r="AC38" s="523"/>
      <c r="AD38" s="523"/>
      <c r="AE38" s="523"/>
      <c r="AF38" s="523"/>
    </row>
    <row r="39" spans="1:32" s="12" customFormat="1">
      <c r="A39" s="114"/>
      <c r="B39" t="s">
        <v>1255</v>
      </c>
      <c r="C39" s="107">
        <f>IFERROR((+C$28/C$19/C13)+C23,0)</f>
        <v>10091.705184312001</v>
      </c>
      <c r="D39" s="107">
        <f t="shared" ref="D39:N39" si="0">IFERROR((+D$28/D$19/D13)+D23,0)</f>
        <v>9635.6585439285482</v>
      </c>
      <c r="E39" s="107">
        <f t="shared" si="0"/>
        <v>7653.328890952017</v>
      </c>
      <c r="F39" s="107">
        <f t="shared" si="0"/>
        <v>8544.2008858225727</v>
      </c>
      <c r="G39" s="107">
        <f t="shared" si="0"/>
        <v>9228.9112787339945</v>
      </c>
      <c r="H39" s="107">
        <f t="shared" si="0"/>
        <v>7762.6092720236502</v>
      </c>
      <c r="I39" s="107">
        <f t="shared" si="0"/>
        <v>6510.270882921991</v>
      </c>
      <c r="J39" s="107">
        <f t="shared" si="0"/>
        <v>5585.5853022066722</v>
      </c>
      <c r="K39" s="107">
        <f t="shared" si="0"/>
        <v>10719.206560812245</v>
      </c>
      <c r="L39" s="107">
        <f t="shared" si="0"/>
        <v>7076.7278829358784</v>
      </c>
      <c r="M39" s="107">
        <f t="shared" si="0"/>
        <v>19240.525740258134</v>
      </c>
      <c r="N39" s="107">
        <f t="shared" si="0"/>
        <v>7796.4164241659955</v>
      </c>
      <c r="T39" s="206"/>
      <c r="U39" s="523"/>
      <c r="V39" s="523"/>
      <c r="W39" s="523"/>
      <c r="X39" s="523"/>
      <c r="Y39" s="523"/>
      <c r="Z39" s="523"/>
      <c r="AA39" s="523"/>
      <c r="AB39" s="523"/>
      <c r="AC39" s="523"/>
      <c r="AD39" s="523"/>
      <c r="AE39" s="523"/>
      <c r="AF39" s="523"/>
    </row>
    <row r="40" spans="1:32" s="12" customFormat="1">
      <c r="A40" s="114"/>
      <c r="B40" t="s">
        <v>1256</v>
      </c>
      <c r="C40" s="107">
        <f>IFERROR((C39*C32*C36)+(C39*C33*C37)+(C39*C34*C38),0)</f>
        <v>10312.073706982745</v>
      </c>
      <c r="D40" s="107">
        <f>IFERROR((D39*D32*D36)+(D39*D33*D37)+(D39*D34*D38),0)</f>
        <v>9846.0685588372453</v>
      </c>
      <c r="E40" s="107">
        <f t="shared" ref="E40:N40" si="1">IFERROR((E39*E32*E36)+(E39*E33*E37)+(E39*E34*E38),0)</f>
        <v>7820.4515674878166</v>
      </c>
      <c r="F40" s="107">
        <f t="shared" si="1"/>
        <v>8730.7771771650696</v>
      </c>
      <c r="G40" s="107">
        <f t="shared" si="1"/>
        <v>9430.4393165838865</v>
      </c>
      <c r="H40" s="107">
        <f t="shared" si="1"/>
        <v>7932.1182604555888</v>
      </c>
      <c r="I40" s="107">
        <f t="shared" si="1"/>
        <v>6652.4330597249882</v>
      </c>
      <c r="J40" s="107">
        <f t="shared" si="1"/>
        <v>5707.5554904769533</v>
      </c>
      <c r="K40" s="107">
        <f t="shared" si="1"/>
        <v>10953.277579620924</v>
      </c>
      <c r="L40" s="107">
        <f t="shared" si="1"/>
        <v>7231.2595542861018</v>
      </c>
      <c r="M40" s="107">
        <f t="shared" si="1"/>
        <v>19660.673391755165</v>
      </c>
      <c r="N40" s="107">
        <f t="shared" si="1"/>
        <v>7966.6636458337698</v>
      </c>
      <c r="T40" s="206"/>
      <c r="U40" s="524"/>
      <c r="V40" s="524"/>
      <c r="W40" s="524"/>
      <c r="X40" s="524"/>
      <c r="Y40" s="524"/>
      <c r="Z40" s="524"/>
      <c r="AA40" s="524"/>
      <c r="AB40" s="524"/>
      <c r="AC40" s="524"/>
      <c r="AD40" s="524"/>
      <c r="AE40" s="524"/>
      <c r="AF40" s="524"/>
    </row>
    <row r="41" spans="1:32" s="12" customFormat="1">
      <c r="A41" s="114"/>
      <c r="B41" t="s">
        <v>1257</v>
      </c>
      <c r="C41" s="235">
        <f>'CILC-1D'!C41</f>
        <v>18256149.499405459</v>
      </c>
      <c r="D41" s="235">
        <f>'CILC-1D'!D41</f>
        <v>17272049.750832967</v>
      </c>
      <c r="E41" s="235">
        <f>'CILC-1D'!E41</f>
        <v>15545354.382801527</v>
      </c>
      <c r="F41" s="235">
        <f>'CILC-1D'!F41</f>
        <v>17553131.922097418</v>
      </c>
      <c r="G41" s="235">
        <f>'CILC-1D'!G41</f>
        <v>18813739.822794199</v>
      </c>
      <c r="H41" s="235">
        <f>'CILC-1D'!H41</f>
        <v>21003623.485901147</v>
      </c>
      <c r="I41" s="235">
        <f>'CILC-1D'!I41</f>
        <v>21153678.961686965</v>
      </c>
      <c r="J41" s="235">
        <f>'CILC-1D'!J41</f>
        <v>21007291.816243138</v>
      </c>
      <c r="K41" s="235">
        <f>'CILC-1D'!K41</f>
        <v>21575583.306640688</v>
      </c>
      <c r="L41" s="235">
        <f>'CILC-1D'!L41</f>
        <v>20000715.361898702</v>
      </c>
      <c r="M41" s="235">
        <f>'CILC-1D'!M41</f>
        <v>18319261.171335042</v>
      </c>
      <c r="N41" s="235">
        <f>'CILC-1D'!N41</f>
        <v>16802221.74189217</v>
      </c>
      <c r="T41" s="206"/>
      <c r="U41" s="524"/>
      <c r="V41" s="524"/>
      <c r="W41" s="524"/>
      <c r="X41" s="524"/>
      <c r="Y41" s="524"/>
      <c r="Z41" s="524"/>
      <c r="AA41" s="524"/>
      <c r="AB41" s="524"/>
      <c r="AC41" s="524"/>
      <c r="AD41" s="524"/>
      <c r="AE41" s="524"/>
      <c r="AF41" s="524"/>
    </row>
    <row r="42" spans="1:32" s="12" customFormat="1">
      <c r="A42" s="114"/>
      <c r="B42" t="s">
        <v>1258</v>
      </c>
      <c r="C42" s="235">
        <f>IFERROR('2017 CP (FNG)'!B15*1000-'CILC-1D'!C41,0)</f>
        <v>1681253.8541165739</v>
      </c>
      <c r="D42" s="235">
        <f>IFERROR('2017 CP (FNG)'!C15*1000-'CILC-1D'!D41,0)</f>
        <v>118940.04174823314</v>
      </c>
      <c r="E42" s="235">
        <f>IFERROR('2017 CP (FNG)'!D15*1000-'CILC-1D'!E41,0)</f>
        <v>1848592.610504562</v>
      </c>
      <c r="F42" s="235">
        <f>IFERROR('2017 CP (FNG)'!E15*1000-'CILC-1D'!F41,0)</f>
        <v>1405395.01052472</v>
      </c>
      <c r="G42" s="235">
        <f>IFERROR('2017 CP (FNG)'!F15*1000-'CILC-1D'!G41,0)</f>
        <v>1885830.3262467645</v>
      </c>
      <c r="H42" s="235">
        <f>IFERROR('2017 CP (FNG)'!G15*1000-'CILC-1D'!H41,0)</f>
        <v>1082727.2478197105</v>
      </c>
      <c r="I42" s="235">
        <f>IFERROR('2017 CP (FNG)'!H15*1000-'CILC-1D'!I41,0)</f>
        <v>1351395.5980101153</v>
      </c>
      <c r="J42" s="235">
        <f>IFERROR('2017 CP (FNG)'!I15*1000-'CILC-1D'!J41,0)</f>
        <v>2044459.9050353952</v>
      </c>
      <c r="K42" s="235">
        <f>IFERROR('2017 CP (FNG)'!J15*1000-'CILC-1D'!K41,0)</f>
        <v>202192.15085531026</v>
      </c>
      <c r="L42" s="235">
        <f>IFERROR('2017 CP (FNG)'!K15*1000-'CILC-1D'!L41,0)</f>
        <v>398186.26899698004</v>
      </c>
      <c r="M42" s="235">
        <f>IFERROR('2017 CP (FNG)'!L15*1000-'CILC-1D'!M41,0)</f>
        <v>-379882.10521538928</v>
      </c>
      <c r="N42" s="235">
        <f>IFERROR('2017 CP (FNG)'!M15*1000-'CILC-1D'!N41,0)</f>
        <v>437101.2625191696</v>
      </c>
      <c r="T42" s="206"/>
      <c r="U42" s="524"/>
      <c r="V42" s="524"/>
      <c r="W42" s="524"/>
      <c r="X42" s="524"/>
      <c r="Y42" s="524"/>
      <c r="Z42" s="524"/>
      <c r="AA42" s="524"/>
      <c r="AB42" s="524"/>
      <c r="AC42" s="524"/>
      <c r="AD42" s="524"/>
      <c r="AE42" s="524"/>
      <c r="AF42" s="524"/>
    </row>
    <row r="43" spans="1:32" s="12" customFormat="1">
      <c r="A43" s="114"/>
      <c r="B43" t="s">
        <v>1259</v>
      </c>
      <c r="C43" s="235">
        <f>IFERROR(C40*C42/C41,0)</f>
        <v>949.66431253006215</v>
      </c>
      <c r="D43" s="235">
        <f t="shared" ref="D43:N43" si="2">IFERROR(D40*D42/D41,0)</f>
        <v>67.802711452217196</v>
      </c>
      <c r="E43" s="235">
        <f t="shared" si="2"/>
        <v>929.97744679664481</v>
      </c>
      <c r="F43" s="235">
        <f t="shared" si="2"/>
        <v>699.03141714237893</v>
      </c>
      <c r="G43" s="235">
        <f t="shared" si="2"/>
        <v>945.2776864436521</v>
      </c>
      <c r="H43" s="235">
        <f t="shared" si="2"/>
        <v>408.8970924130557</v>
      </c>
      <c r="I43" s="235">
        <f t="shared" si="2"/>
        <v>424.98842727319004</v>
      </c>
      <c r="J43" s="235">
        <f t="shared" si="2"/>
        <v>555.46752328266439</v>
      </c>
      <c r="K43" s="235">
        <f t="shared" si="2"/>
        <v>102.64690049224095</v>
      </c>
      <c r="L43" s="235">
        <f t="shared" si="2"/>
        <v>143.9642637760434</v>
      </c>
      <c r="M43" s="235">
        <f t="shared" si="2"/>
        <v>-407.69864724123289</v>
      </c>
      <c r="N43" s="235">
        <f t="shared" si="2"/>
        <v>207.24870741215213</v>
      </c>
      <c r="T43" s="206"/>
      <c r="U43" s="523"/>
      <c r="V43" s="523"/>
      <c r="W43" s="523"/>
      <c r="X43" s="523"/>
      <c r="Y43" s="523"/>
      <c r="Z43" s="523"/>
      <c r="AA43" s="523"/>
      <c r="AB43" s="523"/>
      <c r="AC43" s="523"/>
      <c r="AD43" s="523"/>
      <c r="AE43" s="523"/>
      <c r="AF43" s="523"/>
    </row>
    <row r="44" spans="1:32" s="12" customFormat="1">
      <c r="A44" s="114"/>
      <c r="B44" t="s">
        <v>1260</v>
      </c>
      <c r="C44" s="235">
        <f>IFERROR(((C43*C32)/C36)+((C43*C33)/C37)+((C43*C34)/C38),0)</f>
        <v>929.37003152199793</v>
      </c>
      <c r="D44" s="235">
        <f t="shared" ref="D44:N44" si="3">IFERROR(((D43*D32)/D36)+((D43*D33)/D37)+((D43*D34)/D38),0)</f>
        <v>66.353770746364958</v>
      </c>
      <c r="E44" s="235">
        <f t="shared" si="3"/>
        <v>910.1038731691682</v>
      </c>
      <c r="F44" s="235">
        <f t="shared" si="3"/>
        <v>684.09314913991182</v>
      </c>
      <c r="G44" s="235">
        <f t="shared" si="3"/>
        <v>925.07714742557357</v>
      </c>
      <c r="H44" s="235">
        <f t="shared" si="3"/>
        <v>400.15898107484719</v>
      </c>
      <c r="I44" s="235">
        <f t="shared" si="3"/>
        <v>415.9064448774534</v>
      </c>
      <c r="J44" s="235">
        <f t="shared" si="3"/>
        <v>543.59720883616365</v>
      </c>
      <c r="K44" s="235">
        <f t="shared" si="3"/>
        <v>100.45334113056872</v>
      </c>
      <c r="L44" s="235">
        <f t="shared" si="3"/>
        <v>140.88775433408455</v>
      </c>
      <c r="M44" s="235">
        <f t="shared" si="3"/>
        <v>-398.98614661911512</v>
      </c>
      <c r="N44" s="235">
        <f t="shared" si="3"/>
        <v>202.81981243180385</v>
      </c>
    </row>
    <row r="45" spans="1:32" s="12" customFormat="1" ht="15.6">
      <c r="A45" s="114"/>
      <c r="B45" s="513">
        <v>2018</v>
      </c>
      <c r="C45" s="235"/>
      <c r="D45" s="235"/>
      <c r="E45" s="235"/>
      <c r="F45" s="235"/>
      <c r="G45" s="235"/>
      <c r="H45" s="235"/>
      <c r="I45" s="235"/>
      <c r="J45" s="235"/>
      <c r="K45" s="235"/>
      <c r="L45" s="235"/>
      <c r="M45" s="235"/>
      <c r="N45" s="235"/>
      <c r="U45" s="95"/>
      <c r="V45" s="95"/>
      <c r="W45" s="95"/>
      <c r="X45" s="95"/>
      <c r="Y45" s="95"/>
      <c r="Z45" s="95"/>
      <c r="AA45" s="95"/>
      <c r="AB45" s="95"/>
      <c r="AC45" s="95"/>
      <c r="AD45" s="95"/>
      <c r="AE45" s="95"/>
      <c r="AF45" s="95"/>
    </row>
    <row r="46" spans="1:32" s="12" customFormat="1">
      <c r="A46" s="114"/>
      <c r="B46" t="s">
        <v>1249</v>
      </c>
      <c r="C46">
        <v>1.0219199999999999</v>
      </c>
      <c r="D46">
        <v>1.0219199999999999</v>
      </c>
      <c r="E46">
        <v>1.0219199999999999</v>
      </c>
      <c r="F46">
        <v>1.0219199999999999</v>
      </c>
      <c r="G46">
        <v>1.0219199999999999</v>
      </c>
      <c r="H46">
        <v>1.0219199999999999</v>
      </c>
      <c r="I46">
        <v>1.0219199999999999</v>
      </c>
      <c r="J46">
        <v>1.0219199999999999</v>
      </c>
      <c r="K46">
        <v>1.0219199999999999</v>
      </c>
      <c r="L46">
        <v>1.0219199999999999</v>
      </c>
      <c r="M46">
        <v>1.0219199999999999</v>
      </c>
      <c r="N46">
        <v>1.0219199999999999</v>
      </c>
      <c r="U46" s="152"/>
      <c r="V46" s="152"/>
      <c r="W46" s="152"/>
      <c r="X46" s="152"/>
      <c r="Y46" s="152"/>
      <c r="Z46" s="152"/>
      <c r="AA46" s="152"/>
      <c r="AB46" s="152"/>
      <c r="AC46" s="152"/>
      <c r="AD46" s="152"/>
      <c r="AE46" s="152"/>
      <c r="AF46" s="152"/>
    </row>
    <row r="47" spans="1:32" s="12" customFormat="1">
      <c r="A47" s="114"/>
      <c r="B47" t="s">
        <v>1250</v>
      </c>
      <c r="C47">
        <v>1.0348599999999999</v>
      </c>
      <c r="D47">
        <v>1.0348599999999999</v>
      </c>
      <c r="E47">
        <v>1.0348599999999999</v>
      </c>
      <c r="F47">
        <v>1.0348599999999999</v>
      </c>
      <c r="G47">
        <v>1.0348599999999999</v>
      </c>
      <c r="H47">
        <v>1.0348599999999999</v>
      </c>
      <c r="I47">
        <v>1.0348599999999999</v>
      </c>
      <c r="J47">
        <v>1.0348599999999999</v>
      </c>
      <c r="K47">
        <v>1.0348599999999999</v>
      </c>
      <c r="L47">
        <v>1.0348599999999999</v>
      </c>
      <c r="M47">
        <v>1.0348599999999999</v>
      </c>
      <c r="N47">
        <v>1.0348599999999999</v>
      </c>
      <c r="U47" s="152"/>
      <c r="V47" s="152"/>
      <c r="W47" s="152"/>
      <c r="X47" s="152"/>
      <c r="Y47" s="152"/>
      <c r="Z47" s="152"/>
      <c r="AA47" s="152"/>
      <c r="AB47" s="152"/>
      <c r="AC47" s="152"/>
      <c r="AD47" s="152"/>
      <c r="AE47" s="152"/>
      <c r="AF47" s="152"/>
    </row>
    <row r="48" spans="1:32" s="12" customFormat="1">
      <c r="A48" s="114"/>
      <c r="B48" t="s">
        <v>1251</v>
      </c>
      <c r="C48">
        <v>1.06467</v>
      </c>
      <c r="D48">
        <v>1.06467</v>
      </c>
      <c r="E48">
        <v>1.06467</v>
      </c>
      <c r="F48">
        <v>1.06467</v>
      </c>
      <c r="G48">
        <v>1.06467</v>
      </c>
      <c r="H48">
        <v>1.06467</v>
      </c>
      <c r="I48">
        <v>1.06467</v>
      </c>
      <c r="J48">
        <v>1.06467</v>
      </c>
      <c r="K48">
        <v>1.06467</v>
      </c>
      <c r="L48">
        <v>1.06467</v>
      </c>
      <c r="M48">
        <v>1.06467</v>
      </c>
      <c r="N48">
        <v>1.06467</v>
      </c>
      <c r="U48" s="152"/>
      <c r="V48" s="152"/>
      <c r="W48" s="152"/>
      <c r="X48" s="152"/>
      <c r="Y48" s="152"/>
      <c r="Z48" s="152"/>
      <c r="AA48" s="152"/>
      <c r="AB48" s="152"/>
      <c r="AC48" s="152"/>
      <c r="AD48" s="152"/>
      <c r="AE48" s="152"/>
      <c r="AF48" s="152"/>
    </row>
    <row r="49" spans="1:33" s="12" customFormat="1">
      <c r="A49" s="114"/>
      <c r="B49" t="s">
        <v>1255</v>
      </c>
      <c r="C49" s="235">
        <f>IFERROR((+C$29/C$20/C13)+C23,0)</f>
        <v>10091.705184312001</v>
      </c>
      <c r="D49" s="235">
        <f t="shared" ref="D49:N49" si="4">IFERROR((+D$29/D$20/D13)+D23,0)</f>
        <v>9635.6585439285482</v>
      </c>
      <c r="E49" s="235">
        <f t="shared" si="4"/>
        <v>7653.328890952017</v>
      </c>
      <c r="F49" s="235">
        <f t="shared" si="4"/>
        <v>8544.2008858225727</v>
      </c>
      <c r="G49" s="235">
        <f t="shared" si="4"/>
        <v>9228.9112787339945</v>
      </c>
      <c r="H49" s="235">
        <f t="shared" si="4"/>
        <v>7762.6092720236502</v>
      </c>
      <c r="I49" s="235">
        <f t="shared" si="4"/>
        <v>6510.270882921991</v>
      </c>
      <c r="J49" s="235">
        <f t="shared" si="4"/>
        <v>5585.5853022066722</v>
      </c>
      <c r="K49" s="235">
        <f t="shared" si="4"/>
        <v>10719.206560812245</v>
      </c>
      <c r="L49" s="235">
        <f t="shared" si="4"/>
        <v>7076.7278829358784</v>
      </c>
      <c r="M49" s="235">
        <f t="shared" si="4"/>
        <v>19240.525740258134</v>
      </c>
      <c r="N49" s="235">
        <f t="shared" si="4"/>
        <v>7796.4164241659955</v>
      </c>
      <c r="U49" s="550"/>
      <c r="V49" s="550"/>
      <c r="W49" s="550"/>
      <c r="X49" s="550"/>
      <c r="Y49" s="550"/>
      <c r="Z49" s="550"/>
      <c r="AA49" s="550"/>
      <c r="AB49" s="550"/>
      <c r="AC49" s="550"/>
      <c r="AD49" s="550"/>
      <c r="AE49" s="550"/>
      <c r="AF49" s="550"/>
    </row>
    <row r="50" spans="1:33" s="12" customFormat="1">
      <c r="A50" s="114"/>
      <c r="B50" t="s">
        <v>1256</v>
      </c>
      <c r="C50" s="107">
        <f>(C49*C32*C46)+(C49*C33*C47)+(C49*C34*C48)</f>
        <v>10312.915361952118</v>
      </c>
      <c r="D50" s="107">
        <f t="shared" ref="D50:N50" si="5">(D49*D32*D46)+(D49*D33*D47)+(D49*D34*D48)</f>
        <v>9846.8721792114611</v>
      </c>
      <c r="E50" s="107">
        <f t="shared" si="5"/>
        <v>7821.0898602416846</v>
      </c>
      <c r="F50" s="107">
        <f t="shared" si="5"/>
        <v>8731.4897692398026</v>
      </c>
      <c r="G50" s="107">
        <f t="shared" si="5"/>
        <v>9431.209013963844</v>
      </c>
      <c r="H50" s="107">
        <f t="shared" si="5"/>
        <v>7932.7656672664079</v>
      </c>
      <c r="I50" s="107">
        <f t="shared" si="5"/>
        <v>6652.9760206756409</v>
      </c>
      <c r="J50" s="107">
        <f t="shared" si="5"/>
        <v>5708.0213320310422</v>
      </c>
      <c r="K50" s="107">
        <f t="shared" si="5"/>
        <v>10954.171568625248</v>
      </c>
      <c r="L50" s="107">
        <f t="shared" si="5"/>
        <v>7231.8497581298325</v>
      </c>
      <c r="M50" s="107">
        <f t="shared" si="5"/>
        <v>19662.278064484592</v>
      </c>
      <c r="N50" s="107">
        <f t="shared" si="5"/>
        <v>7967.313872183714</v>
      </c>
      <c r="U50" s="550"/>
      <c r="V50" s="550"/>
      <c r="W50" s="550"/>
      <c r="X50" s="550"/>
      <c r="Y50" s="550"/>
      <c r="Z50" s="550"/>
      <c r="AA50" s="550"/>
      <c r="AB50" s="550"/>
      <c r="AC50" s="550"/>
      <c r="AD50" s="550"/>
      <c r="AE50" s="550"/>
      <c r="AF50" s="550"/>
    </row>
    <row r="51" spans="1:33" s="12" customFormat="1">
      <c r="A51" s="114"/>
      <c r="B51" t="s">
        <v>1257</v>
      </c>
      <c r="C51" s="235">
        <f>'CILC-1D'!C51</f>
        <v>18326908.866648138</v>
      </c>
      <c r="D51" s="235">
        <f>'CILC-1D'!D51</f>
        <v>17323546.444635008</v>
      </c>
      <c r="E51" s="235">
        <f>'CILC-1D'!E51</f>
        <v>15628797.012931874</v>
      </c>
      <c r="F51" s="235">
        <f>'CILC-1D'!F51</f>
        <v>17683347.570692644</v>
      </c>
      <c r="G51" s="235">
        <f>'CILC-1D'!G51</f>
        <v>18956447.435019393</v>
      </c>
      <c r="H51" s="235">
        <f>'CILC-1D'!H51</f>
        <v>21144935.090302717</v>
      </c>
      <c r="I51" s="235">
        <f>'CILC-1D'!I51</f>
        <v>21282491.390094444</v>
      </c>
      <c r="J51" s="235">
        <f>'CILC-1D'!J51</f>
        <v>21129183.943290014</v>
      </c>
      <c r="K51" s="235">
        <f>'CILC-1D'!K51</f>
        <v>21700658.243980806</v>
      </c>
      <c r="L51" s="235">
        <f>'CILC-1D'!L51</f>
        <v>20119415.446988489</v>
      </c>
      <c r="M51" s="235">
        <f>'CILC-1D'!M51</f>
        <v>18441767.078846145</v>
      </c>
      <c r="N51" s="235">
        <f>'CILC-1D'!N51</f>
        <v>16933203.574179996</v>
      </c>
      <c r="U51" s="550"/>
      <c r="V51" s="550"/>
      <c r="W51" s="550"/>
      <c r="X51" s="550"/>
      <c r="Y51" s="550"/>
      <c r="Z51" s="550"/>
      <c r="AA51" s="550"/>
      <c r="AB51" s="550"/>
      <c r="AC51" s="550"/>
      <c r="AD51" s="550"/>
      <c r="AE51" s="550"/>
      <c r="AF51" s="550"/>
    </row>
    <row r="52" spans="1:33" s="12" customFormat="1">
      <c r="A52" s="114"/>
      <c r="B52" t="s">
        <v>1258</v>
      </c>
      <c r="C52" s="235">
        <f>'2018 CP (FNG)'!B15*1000-'CILC-1D'!C51</f>
        <v>1868220.8265557215</v>
      </c>
      <c r="D52" s="235">
        <f>'2018 CP (FNG)'!C15*1000-'CILC-1D'!D51</f>
        <v>269740.42471032217</v>
      </c>
      <c r="E52" s="235">
        <f>'2018 CP (FNG)'!D15*1000-'CILC-1D'!E51</f>
        <v>1966878.3039472569</v>
      </c>
      <c r="F52" s="235">
        <f>'2018 CP (FNG)'!E15*1000-'CILC-1D'!F51</f>
        <v>1491061.5158939175</v>
      </c>
      <c r="G52" s="235">
        <f>'2018 CP (FNG)'!F15*1000-'CILC-1D'!G51</f>
        <v>1979580.895165287</v>
      </c>
      <c r="H52" s="235">
        <f>'2018 CP (FNG)'!G15*1000-'CILC-1D'!H51</f>
        <v>1194978.112864092</v>
      </c>
      <c r="I52" s="235">
        <f>'2018 CP (FNG)'!H15*1000-'CILC-1D'!I51</f>
        <v>1477810.8934943564</v>
      </c>
      <c r="J52" s="235">
        <f>'2018 CP (FNG)'!I15*1000-'CILC-1D'!J51</f>
        <v>2228876.5875127539</v>
      </c>
      <c r="K52" s="235">
        <f>'2018 CP (FNG)'!J15*1000-'CILC-1D'!K51</f>
        <v>325040.76289971545</v>
      </c>
      <c r="L52" s="235">
        <f>'2018 CP (FNG)'!K15*1000-'CILC-1D'!L51</f>
        <v>513919.19548528641</v>
      </c>
      <c r="M52" s="235">
        <f>'2018 CP (FNG)'!L15*1000-'CILC-1D'!M51</f>
        <v>-295481.96548216045</v>
      </c>
      <c r="N52" s="235">
        <f>'2018 CP (FNG)'!M15*1000-'CILC-1D'!N51</f>
        <v>504527.41315395385</v>
      </c>
    </row>
    <row r="53" spans="1:33" s="12" customFormat="1">
      <c r="A53" s="114"/>
      <c r="B53" t="s">
        <v>1259</v>
      </c>
      <c r="C53" s="235">
        <f>C50*C52/C51</f>
        <v>1051.2849385510774</v>
      </c>
      <c r="D53" s="235">
        <f t="shared" ref="D53:N53" si="6">D50*D52/D51</f>
        <v>153.32307920768338</v>
      </c>
      <c r="E53" s="235">
        <f t="shared" si="6"/>
        <v>984.28125636302343</v>
      </c>
      <c r="F53" s="235">
        <f t="shared" si="6"/>
        <v>736.24003143568711</v>
      </c>
      <c r="G53" s="235">
        <f t="shared" si="6"/>
        <v>984.88080355518207</v>
      </c>
      <c r="H53" s="235">
        <f t="shared" si="6"/>
        <v>448.30978701894708</v>
      </c>
      <c r="I53" s="235">
        <f t="shared" si="6"/>
        <v>461.96849124944322</v>
      </c>
      <c r="J53" s="235">
        <f t="shared" si="6"/>
        <v>602.12808701623453</v>
      </c>
      <c r="K53" s="235">
        <f t="shared" si="6"/>
        <v>164.07577335069672</v>
      </c>
      <c r="L53" s="235">
        <f t="shared" si="6"/>
        <v>184.7263614274068</v>
      </c>
      <c r="M53" s="235">
        <f t="shared" si="6"/>
        <v>-315.0375201850876</v>
      </c>
      <c r="N53" s="235">
        <f t="shared" si="6"/>
        <v>237.38734611611252</v>
      </c>
    </row>
    <row r="54" spans="1:33" s="12" customFormat="1">
      <c r="A54" s="114"/>
      <c r="B54" t="s">
        <v>1260</v>
      </c>
      <c r="C54" s="235">
        <f>((C53*C32)/C46)+((C53*C33)/C47)+((C53*C34)/C48)</f>
        <v>1028.7350659064091</v>
      </c>
      <c r="D54" s="235">
        <f t="shared" ref="D54:N54" si="7">((D53*D32)/D46)+((D53*D33)/D47)+((D53*D34)/D48)</f>
        <v>150.03432676499472</v>
      </c>
      <c r="E54" s="235">
        <f t="shared" si="7"/>
        <v>963.16860063705917</v>
      </c>
      <c r="F54" s="235">
        <f t="shared" si="7"/>
        <v>720.44781532378965</v>
      </c>
      <c r="G54" s="235">
        <f t="shared" si="7"/>
        <v>963.75528764989645</v>
      </c>
      <c r="H54" s="235">
        <f t="shared" si="7"/>
        <v>438.69362280701728</v>
      </c>
      <c r="I54" s="235">
        <f t="shared" si="7"/>
        <v>452.05935029106314</v>
      </c>
      <c r="J54" s="235">
        <f t="shared" si="7"/>
        <v>589.21254796484516</v>
      </c>
      <c r="K54" s="235">
        <f t="shared" si="7"/>
        <v>160.55637755469775</v>
      </c>
      <c r="L54" s="235">
        <f t="shared" si="7"/>
        <v>180.76401423536757</v>
      </c>
      <c r="M54" s="235">
        <f t="shared" si="7"/>
        <v>-308.28002210064153</v>
      </c>
      <c r="N54" s="235">
        <f t="shared" si="7"/>
        <v>232.29543028428111</v>
      </c>
      <c r="U54" s="522"/>
      <c r="V54" s="523"/>
      <c r="W54" s="523"/>
      <c r="X54" s="523"/>
      <c r="Y54" s="523"/>
      <c r="Z54" s="523"/>
      <c r="AA54" s="523"/>
      <c r="AB54" s="523"/>
      <c r="AC54" s="523"/>
      <c r="AD54" s="523"/>
      <c r="AE54" s="523"/>
      <c r="AF54" s="523"/>
      <c r="AG54" s="523"/>
    </row>
    <row r="55" spans="1:33">
      <c r="A55" s="114"/>
      <c r="U55" s="206"/>
      <c r="V55" s="523"/>
      <c r="W55" s="523"/>
      <c r="X55" s="523"/>
      <c r="Y55" s="523"/>
      <c r="Z55" s="523"/>
      <c r="AA55" s="523"/>
      <c r="AB55" s="523"/>
      <c r="AC55" s="523"/>
      <c r="AD55" s="523"/>
      <c r="AE55" s="523"/>
      <c r="AF55" s="523"/>
      <c r="AG55" s="523"/>
    </row>
    <row r="56" spans="1:33" ht="17.399999999999999">
      <c r="A56" s="147" t="s">
        <v>425</v>
      </c>
      <c r="U56" s="206"/>
      <c r="V56" s="523"/>
      <c r="W56" s="523"/>
      <c r="X56" s="523"/>
      <c r="Y56" s="523"/>
      <c r="Z56" s="523"/>
      <c r="AA56" s="523"/>
      <c r="AB56" s="523"/>
      <c r="AC56" s="523"/>
      <c r="AD56" s="523"/>
      <c r="AE56" s="523"/>
      <c r="AF56" s="523"/>
      <c r="AG56" s="523"/>
    </row>
    <row r="57" spans="1:33" ht="15.6">
      <c r="A57" s="113"/>
      <c r="B57" s="146" t="str">
        <f>"PRIOR - "&amp;MANUAL!$B$9</f>
        <v>PRIOR - 2016</v>
      </c>
      <c r="C57" s="5"/>
      <c r="D57" s="5"/>
      <c r="E57" s="5"/>
      <c r="F57" s="5"/>
      <c r="G57" s="5"/>
      <c r="H57" s="5"/>
      <c r="I57" s="5"/>
      <c r="J57" s="5"/>
      <c r="K57" s="5"/>
      <c r="L57" s="5"/>
      <c r="M57" s="5"/>
      <c r="N57" s="5"/>
      <c r="U57" s="206"/>
      <c r="V57" s="523"/>
      <c r="W57" s="523"/>
      <c r="X57" s="523"/>
      <c r="Y57" s="523"/>
      <c r="Z57" s="523"/>
      <c r="AA57" s="523"/>
      <c r="AB57" s="523"/>
      <c r="AC57" s="523"/>
      <c r="AD57" s="523"/>
      <c r="AE57" s="523"/>
      <c r="AF57" s="523"/>
      <c r="AG57" s="523"/>
    </row>
    <row r="58" spans="1:33" s="12" customFormat="1" ht="15.6">
      <c r="A58" s="111"/>
      <c r="B58" s="149" t="s">
        <v>432</v>
      </c>
      <c r="C58" s="107">
        <f>IF(C13="",0,MIN((+C$27/C$18/C13)+C23,C59))</f>
        <v>10091.705184312001</v>
      </c>
      <c r="D58" s="107">
        <f t="shared" ref="D58:N58" si="8">IF(D13="",0,MIN((+D$27/D$18/D13)+D23,D59))</f>
        <v>9303.3944562068737</v>
      </c>
      <c r="E58" s="107">
        <f t="shared" si="8"/>
        <v>7653.328890952017</v>
      </c>
      <c r="F58" s="107">
        <f t="shared" si="8"/>
        <v>8544.2008858225727</v>
      </c>
      <c r="G58" s="107">
        <f t="shared" si="8"/>
        <v>9228.9112787339945</v>
      </c>
      <c r="H58" s="107">
        <f t="shared" si="8"/>
        <v>7762.6092720236502</v>
      </c>
      <c r="I58" s="107">
        <f t="shared" si="8"/>
        <v>6510.270882921991</v>
      </c>
      <c r="J58" s="107">
        <f t="shared" si="8"/>
        <v>5585.5853022066722</v>
      </c>
      <c r="K58" s="107">
        <f t="shared" si="8"/>
        <v>10719.206560812245</v>
      </c>
      <c r="L58" s="107">
        <f t="shared" si="8"/>
        <v>7076.7278829358784</v>
      </c>
      <c r="M58" s="107">
        <f t="shared" si="8"/>
        <v>19240.525740258134</v>
      </c>
      <c r="N58" s="107">
        <f t="shared" si="8"/>
        <v>7796.4164241659955</v>
      </c>
      <c r="P58" s="152">
        <f>AVERAGE(C58:N58)</f>
        <v>9126.0735634460016</v>
      </c>
      <c r="U58" s="206"/>
      <c r="V58" s="523"/>
      <c r="W58" s="523"/>
      <c r="X58" s="523"/>
      <c r="Y58" s="523"/>
      <c r="Z58" s="523"/>
      <c r="AA58" s="523"/>
      <c r="AB58" s="523"/>
      <c r="AC58" s="523"/>
      <c r="AD58" s="523"/>
      <c r="AE58" s="523"/>
      <c r="AF58" s="523"/>
      <c r="AG58" s="523"/>
    </row>
    <row r="59" spans="1:33" s="12" customFormat="1" ht="15.6">
      <c r="A59" s="111"/>
      <c r="B59" s="149" t="s">
        <v>430</v>
      </c>
      <c r="C59" s="107">
        <f t="shared" ref="C59:N59" si="9">MIN(+C$27/C$18/C14,C60)</f>
        <v>27161.062652635701</v>
      </c>
      <c r="D59" s="107">
        <f t="shared" si="9"/>
        <v>34588.950168604053</v>
      </c>
      <c r="E59" s="107">
        <f t="shared" si="9"/>
        <v>51499.060994838059</v>
      </c>
      <c r="F59" s="107">
        <f t="shared" si="9"/>
        <v>38254.510631621291</v>
      </c>
      <c r="G59" s="107">
        <f t="shared" si="9"/>
        <v>51961.080237677292</v>
      </c>
      <c r="H59" s="107">
        <f t="shared" si="9"/>
        <v>42020.066943799786</v>
      </c>
      <c r="I59" s="107">
        <f t="shared" si="9"/>
        <v>27417.529125675708</v>
      </c>
      <c r="J59" s="107">
        <f t="shared" si="9"/>
        <v>33207.601247620143</v>
      </c>
      <c r="K59" s="107">
        <f t="shared" si="9"/>
        <v>25998.538042951037</v>
      </c>
      <c r="L59" s="107">
        <f t="shared" si="9"/>
        <v>35228.26656812647</v>
      </c>
      <c r="M59" s="107">
        <f t="shared" si="9"/>
        <v>57625.579904252947</v>
      </c>
      <c r="N59" s="107">
        <f t="shared" si="9"/>
        <v>29998.785873165416</v>
      </c>
      <c r="P59" s="152">
        <f>AVERAGE(C59:N59)</f>
        <v>37913.419365913993</v>
      </c>
      <c r="U59" s="206"/>
      <c r="V59" s="524"/>
      <c r="W59" s="524"/>
      <c r="X59" s="524"/>
      <c r="Y59" s="524"/>
      <c r="Z59" s="524"/>
      <c r="AA59" s="524"/>
      <c r="AB59" s="524"/>
      <c r="AC59" s="524"/>
      <c r="AD59" s="524"/>
      <c r="AE59" s="524"/>
      <c r="AF59" s="524"/>
      <c r="AG59" s="524"/>
    </row>
    <row r="60" spans="1:33" s="106" customFormat="1">
      <c r="A60" s="109"/>
      <c r="B60" s="149" t="s">
        <v>133</v>
      </c>
      <c r="C60" s="107">
        <f t="shared" ref="C60:N60" si="10">+C$27/C$18/C15</f>
        <v>77165.349050049161</v>
      </c>
      <c r="D60" s="107">
        <f t="shared" si="10"/>
        <v>76603.989689428869</v>
      </c>
      <c r="E60" s="107">
        <f t="shared" si="10"/>
        <v>126194.63538322384</v>
      </c>
      <c r="F60" s="107">
        <f t="shared" si="10"/>
        <v>85236.757496452658</v>
      </c>
      <c r="G60" s="107">
        <f t="shared" si="10"/>
        <v>130358.62287063993</v>
      </c>
      <c r="H60" s="107">
        <f t="shared" si="10"/>
        <v>93864.854941203899</v>
      </c>
      <c r="I60" s="107">
        <f t="shared" si="10"/>
        <v>69829.322856681159</v>
      </c>
      <c r="J60" s="107">
        <f t="shared" si="10"/>
        <v>81030.196231143462</v>
      </c>
      <c r="K60" s="107">
        <f t="shared" si="10"/>
        <v>54470.549108778629</v>
      </c>
      <c r="L60" s="107">
        <f t="shared" si="10"/>
        <v>75766.052788883608</v>
      </c>
      <c r="M60" s="107">
        <f t="shared" si="10"/>
        <v>143697.99467250583</v>
      </c>
      <c r="N60" s="107">
        <f t="shared" si="10"/>
        <v>68168.578564909767</v>
      </c>
      <c r="P60" s="152">
        <f>AVERAGE(C60:N60)</f>
        <v>90198.908637825065</v>
      </c>
      <c r="U60" s="206"/>
      <c r="V60" s="524"/>
      <c r="W60" s="524"/>
      <c r="X60" s="524"/>
      <c r="Y60" s="524"/>
      <c r="Z60" s="524"/>
      <c r="AA60" s="524"/>
      <c r="AB60" s="524"/>
      <c r="AC60" s="524"/>
      <c r="AD60" s="524"/>
      <c r="AE60" s="524"/>
      <c r="AF60" s="524"/>
      <c r="AG60" s="524"/>
    </row>
    <row r="61" spans="1:33" s="106" customFormat="1" ht="16.5" customHeight="1">
      <c r="A61" s="109"/>
      <c r="B61" s="108"/>
      <c r="C61" s="107"/>
      <c r="D61" s="107"/>
      <c r="E61" s="107"/>
      <c r="F61" s="107"/>
      <c r="G61" s="107"/>
      <c r="H61" s="107"/>
      <c r="I61" s="107"/>
      <c r="J61" s="107"/>
      <c r="K61" s="107"/>
      <c r="L61" s="107"/>
      <c r="M61" s="107"/>
      <c r="N61" s="107"/>
      <c r="U61" s="206"/>
      <c r="V61" s="524"/>
      <c r="W61" s="524"/>
      <c r="X61" s="524"/>
      <c r="Y61" s="524"/>
      <c r="Z61" s="524"/>
      <c r="AA61" s="524"/>
      <c r="AB61" s="524"/>
      <c r="AC61" s="524"/>
      <c r="AD61" s="524"/>
      <c r="AE61" s="524"/>
      <c r="AF61" s="524"/>
      <c r="AG61" s="524"/>
    </row>
    <row r="62" spans="1:33" s="106" customFormat="1" ht="16.5" customHeight="1">
      <c r="A62" s="109"/>
      <c r="B62" s="146" t="str">
        <f>"TEST - "&amp;MANUAL!$B$10</f>
        <v>TEST - 2017</v>
      </c>
      <c r="C62" s="107"/>
      <c r="D62" s="107"/>
      <c r="E62" s="107"/>
      <c r="F62" s="107"/>
      <c r="G62" s="107"/>
      <c r="H62" s="107"/>
      <c r="I62" s="107"/>
      <c r="J62" s="107"/>
      <c r="K62" s="107"/>
      <c r="L62" s="107"/>
      <c r="M62" s="107"/>
      <c r="N62" s="107"/>
      <c r="U62" s="206"/>
      <c r="V62" s="523"/>
      <c r="W62" s="523"/>
      <c r="X62" s="523"/>
      <c r="Y62" s="523"/>
      <c r="Z62" s="523"/>
      <c r="AA62" s="523"/>
      <c r="AB62" s="523"/>
      <c r="AC62" s="523"/>
      <c r="AD62" s="523"/>
      <c r="AE62" s="523"/>
      <c r="AF62" s="523"/>
      <c r="AG62" s="523"/>
    </row>
    <row r="63" spans="1:33" s="106" customFormat="1" ht="16.5" customHeight="1">
      <c r="A63" s="109"/>
      <c r="B63" s="149" t="s">
        <v>432</v>
      </c>
      <c r="C63" s="107">
        <f>C39+C44</f>
        <v>11021.075215833998</v>
      </c>
      <c r="D63" s="107">
        <f>D39+D44</f>
        <v>9702.0123146749138</v>
      </c>
      <c r="E63" s="107">
        <f t="shared" ref="E63:N63" si="11">E39+E44</f>
        <v>8563.4327641211858</v>
      </c>
      <c r="F63" s="107">
        <f t="shared" si="11"/>
        <v>9228.2940349624841</v>
      </c>
      <c r="G63" s="107">
        <f t="shared" si="11"/>
        <v>10153.988426159569</v>
      </c>
      <c r="H63" s="107">
        <f t="shared" si="11"/>
        <v>8162.7682530984976</v>
      </c>
      <c r="I63" s="107">
        <f t="shared" si="11"/>
        <v>6926.1773277994444</v>
      </c>
      <c r="J63" s="107">
        <f t="shared" si="11"/>
        <v>6129.1825110428363</v>
      </c>
      <c r="K63" s="107">
        <f t="shared" si="11"/>
        <v>10819.659901942814</v>
      </c>
      <c r="L63" s="107">
        <f t="shared" si="11"/>
        <v>7217.6156372699625</v>
      </c>
      <c r="M63" s="107">
        <f t="shared" si="11"/>
        <v>18841.53959363902</v>
      </c>
      <c r="N63" s="107">
        <f t="shared" si="11"/>
        <v>7999.2362365977997</v>
      </c>
      <c r="P63" s="152">
        <f>AVERAGE(C63:N63)</f>
        <v>9563.7485180952099</v>
      </c>
    </row>
    <row r="64" spans="1:33" s="106" customFormat="1" ht="16.5" customHeight="1">
      <c r="A64" s="109"/>
      <c r="B64" s="149" t="s">
        <v>430</v>
      </c>
      <c r="C64" s="107">
        <f>MAX(+C$28/C$19/C14,C63)</f>
        <v>27161.062652635701</v>
      </c>
      <c r="D64" s="107">
        <f>MAX(+D$28/D$19/D14,D63)</f>
        <v>35824.269817482767</v>
      </c>
      <c r="E64" s="107">
        <f t="shared" ref="D64:N65" si="12">MAX(+E$28/E$19/E14,E63)</f>
        <v>51499.060994838059</v>
      </c>
      <c r="F64" s="107">
        <f t="shared" si="12"/>
        <v>38254.510631621291</v>
      </c>
      <c r="G64" s="107">
        <f t="shared" si="12"/>
        <v>51961.080237677292</v>
      </c>
      <c r="H64" s="107">
        <f t="shared" si="12"/>
        <v>42020.066943799786</v>
      </c>
      <c r="I64" s="107">
        <f t="shared" si="12"/>
        <v>27417.529125675708</v>
      </c>
      <c r="J64" s="107">
        <f t="shared" si="12"/>
        <v>33207.601247620143</v>
      </c>
      <c r="K64" s="107">
        <f t="shared" si="12"/>
        <v>25998.538042951037</v>
      </c>
      <c r="L64" s="107">
        <f t="shared" si="12"/>
        <v>35228.26656812647</v>
      </c>
      <c r="M64" s="107">
        <f t="shared" si="12"/>
        <v>57625.579904252947</v>
      </c>
      <c r="N64" s="107">
        <f t="shared" si="12"/>
        <v>29998.785873165416</v>
      </c>
      <c r="P64" s="152">
        <f>AVERAGE(C64:N64)</f>
        <v>38016.362669987218</v>
      </c>
    </row>
    <row r="65" spans="1:35" s="106" customFormat="1" ht="16.5" customHeight="1">
      <c r="A65" s="109"/>
      <c r="B65" s="149" t="s">
        <v>133</v>
      </c>
      <c r="C65" s="107">
        <f>MAX(+C$28/C$19/C15,C64)</f>
        <v>77165.349050049161</v>
      </c>
      <c r="D65" s="107">
        <f t="shared" si="12"/>
        <v>79339.846464051327</v>
      </c>
      <c r="E65" s="107">
        <f t="shared" si="12"/>
        <v>126194.63538322384</v>
      </c>
      <c r="F65" s="107">
        <f t="shared" si="12"/>
        <v>85236.757496452658</v>
      </c>
      <c r="G65" s="107">
        <f t="shared" si="12"/>
        <v>130358.62287063993</v>
      </c>
      <c r="H65" s="107">
        <f t="shared" si="12"/>
        <v>93864.854941203899</v>
      </c>
      <c r="I65" s="107">
        <f t="shared" si="12"/>
        <v>69829.322856681159</v>
      </c>
      <c r="J65" s="107">
        <f t="shared" si="12"/>
        <v>81030.196231143462</v>
      </c>
      <c r="K65" s="107">
        <f t="shared" si="12"/>
        <v>54470.549108778629</v>
      </c>
      <c r="L65" s="107">
        <f t="shared" si="12"/>
        <v>75766.052788883608</v>
      </c>
      <c r="M65" s="107">
        <f t="shared" si="12"/>
        <v>143697.99467250583</v>
      </c>
      <c r="N65" s="107">
        <f t="shared" si="12"/>
        <v>68168.578564909767</v>
      </c>
      <c r="P65" s="152">
        <f>AVERAGE(C65:N65)</f>
        <v>90426.896702376936</v>
      </c>
    </row>
    <row r="66" spans="1:35" s="106" customFormat="1" ht="16.5" customHeight="1">
      <c r="A66" s="109"/>
      <c r="B66" s="149" t="s">
        <v>158</v>
      </c>
      <c r="C66" s="499">
        <f>IFERROR(C28/C19/C63,0)</f>
        <v>0.70877278478422001</v>
      </c>
      <c r="D66" s="499">
        <f t="shared" ref="D66:N66" si="13">IFERROR(D28/D19/D63,0)</f>
        <v>1.0410432349624075</v>
      </c>
      <c r="E66" s="499">
        <f t="shared" si="13"/>
        <v>1.3055712996139939</v>
      </c>
      <c r="F66" s="499">
        <f t="shared" si="13"/>
        <v>1.1564401181857042</v>
      </c>
      <c r="G66" s="499">
        <f t="shared" si="13"/>
        <v>1.4146589009812158</v>
      </c>
      <c r="H66" s="499">
        <f t="shared" si="13"/>
        <v>1.2618203656967077</v>
      </c>
      <c r="I66" s="499">
        <f t="shared" si="13"/>
        <v>1.3977053890157638</v>
      </c>
      <c r="J66" s="499">
        <f t="shared" si="13"/>
        <v>1.4081624087799709</v>
      </c>
      <c r="K66" s="499">
        <f t="shared" si="13"/>
        <v>0.60856554474876723</v>
      </c>
      <c r="L66" s="499">
        <f t="shared" si="13"/>
        <v>1.8320212565127245</v>
      </c>
      <c r="M66" s="499">
        <f t="shared" si="13"/>
        <v>0.7193402487317696</v>
      </c>
      <c r="N66" s="499">
        <f t="shared" si="13"/>
        <v>0.84059940560854585</v>
      </c>
      <c r="P66" s="152"/>
    </row>
    <row r="67" spans="1:35" s="106" customFormat="1" ht="16.5" customHeight="1">
      <c r="A67" s="109"/>
      <c r="B67" s="149" t="s">
        <v>988</v>
      </c>
      <c r="C67" s="499">
        <f>C28/C19/C64</f>
        <v>0.28759692770286333</v>
      </c>
      <c r="D67" s="499">
        <f t="shared" ref="D67:N67" si="14">D28/D19/D64</f>
        <v>0.28193775720127123</v>
      </c>
      <c r="E67" s="499">
        <f t="shared" si="14"/>
        <v>0.21709467759288625</v>
      </c>
      <c r="F67" s="499">
        <f t="shared" si="14"/>
        <v>0.27897283923488392</v>
      </c>
      <c r="G67" s="499">
        <f t="shared" si="14"/>
        <v>0.276445948425667</v>
      </c>
      <c r="H67" s="499">
        <f t="shared" si="14"/>
        <v>0.24511972424979722</v>
      </c>
      <c r="I67" s="499">
        <f t="shared" si="14"/>
        <v>0.35308635333146576</v>
      </c>
      <c r="J67" s="499">
        <f t="shared" si="14"/>
        <v>0.25990689132418715</v>
      </c>
      <c r="K67" s="499">
        <f t="shared" si="14"/>
        <v>0.25326317238855151</v>
      </c>
      <c r="L67" s="499">
        <f t="shared" si="14"/>
        <v>0.37534703114744911</v>
      </c>
      <c r="M67" s="499">
        <f t="shared" si="14"/>
        <v>0.23519898281800178</v>
      </c>
      <c r="N67" s="499">
        <f t="shared" si="14"/>
        <v>0.22414751231053512</v>
      </c>
      <c r="P67" s="152"/>
    </row>
    <row r="68" spans="1:35" s="106" customFormat="1" ht="16.5" customHeight="1">
      <c r="A68" s="109"/>
      <c r="B68" s="149" t="s">
        <v>150</v>
      </c>
      <c r="C68" s="499">
        <f>C28/C19/C65</f>
        <v>0.10122986895292266</v>
      </c>
      <c r="D68" s="499">
        <f t="shared" ref="D68:N68" si="15">D28/D19/D65</f>
        <v>0.12730317407773994</v>
      </c>
      <c r="E68" s="499">
        <f t="shared" si="15"/>
        <v>8.8594669726325237E-2</v>
      </c>
      <c r="F68" s="499">
        <f t="shared" si="15"/>
        <v>0.12520384113495384</v>
      </c>
      <c r="G68" s="499">
        <f t="shared" si="15"/>
        <v>0.11019163743223399</v>
      </c>
      <c r="H68" s="499">
        <f t="shared" si="15"/>
        <v>0.10973166930981801</v>
      </c>
      <c r="I68" s="499">
        <f t="shared" si="15"/>
        <v>0.13863453031347628</v>
      </c>
      <c r="J68" s="499">
        <f t="shared" si="15"/>
        <v>0.10651442067327641</v>
      </c>
      <c r="K68" s="499">
        <f t="shared" si="15"/>
        <v>0.12088132633054456</v>
      </c>
      <c r="L68" s="499">
        <f t="shared" si="15"/>
        <v>0.17452176511902515</v>
      </c>
      <c r="M68" s="499">
        <f t="shared" si="15"/>
        <v>9.4319185237530717E-2</v>
      </c>
      <c r="N68" s="499">
        <f t="shared" si="15"/>
        <v>9.8640068010274667E-2</v>
      </c>
      <c r="P68" s="152"/>
      <c r="V68" s="553"/>
      <c r="W68" s="553"/>
      <c r="X68" s="553"/>
      <c r="Y68" s="553"/>
      <c r="Z68" s="553"/>
      <c r="AA68" s="553"/>
      <c r="AB68" s="553"/>
      <c r="AC68" s="553"/>
      <c r="AD68" s="553"/>
      <c r="AE68" s="553"/>
      <c r="AF68" s="553"/>
      <c r="AG68" s="553"/>
    </row>
    <row r="69" spans="1:35" s="106" customFormat="1" ht="16.5" customHeight="1">
      <c r="A69" s="109"/>
      <c r="B69" s="149"/>
      <c r="C69" s="107"/>
      <c r="D69" s="107"/>
      <c r="E69" s="107"/>
      <c r="F69" s="107"/>
      <c r="G69" s="107"/>
      <c r="H69" s="107"/>
      <c r="I69" s="107"/>
      <c r="J69" s="107"/>
      <c r="K69" s="107"/>
      <c r="L69" s="107"/>
      <c r="M69" s="107"/>
      <c r="N69" s="107"/>
      <c r="P69" s="152"/>
      <c r="S69" s="522"/>
      <c r="T69" s="523"/>
      <c r="U69" s="523"/>
      <c r="V69" s="553"/>
      <c r="W69" s="553"/>
      <c r="X69" s="553"/>
      <c r="Y69" s="553"/>
      <c r="Z69" s="553"/>
      <c r="AA69" s="553"/>
      <c r="AB69" s="553"/>
      <c r="AC69" s="553"/>
      <c r="AD69" s="553"/>
      <c r="AE69" s="553"/>
      <c r="AF69" s="553"/>
      <c r="AG69" s="553"/>
      <c r="AH69"/>
      <c r="AI69"/>
    </row>
    <row r="70" spans="1:35" s="106" customFormat="1" ht="16.5" customHeight="1">
      <c r="A70" s="109"/>
      <c r="B70" s="146" t="str">
        <f>"SUBSEQUENT - "&amp;MANUAL!$B$11</f>
        <v>SUBSEQUENT - 2018</v>
      </c>
      <c r="C70" s="107"/>
      <c r="D70" s="107"/>
      <c r="E70" s="107"/>
      <c r="F70" s="107"/>
      <c r="G70" s="107"/>
      <c r="H70" s="107"/>
      <c r="I70" s="107"/>
      <c r="J70" s="107"/>
      <c r="K70" s="107"/>
      <c r="L70" s="107"/>
      <c r="M70" s="107"/>
      <c r="N70" s="107"/>
      <c r="S70" s="206"/>
      <c r="T70" s="523"/>
      <c r="U70" s="523"/>
      <c r="V70" s="553"/>
      <c r="W70" s="553"/>
      <c r="X70" s="553"/>
      <c r="Y70" s="553"/>
      <c r="Z70" s="553"/>
      <c r="AA70" s="553"/>
      <c r="AB70" s="553"/>
      <c r="AC70" s="553"/>
      <c r="AD70" s="553"/>
      <c r="AE70" s="553"/>
      <c r="AF70" s="553"/>
      <c r="AG70" s="553"/>
      <c r="AH70"/>
      <c r="AI70"/>
    </row>
    <row r="71" spans="1:35" s="106" customFormat="1" ht="16.5" customHeight="1">
      <c r="A71" s="109"/>
      <c r="B71" s="149" t="s">
        <v>432</v>
      </c>
      <c r="C71" s="107">
        <f>C49+C54</f>
        <v>11120.440250218409</v>
      </c>
      <c r="D71" s="107">
        <f t="shared" ref="D71:N71" si="16">D49+D54</f>
        <v>9785.6928706935432</v>
      </c>
      <c r="E71" s="107">
        <f t="shared" si="16"/>
        <v>8616.4974915890762</v>
      </c>
      <c r="F71" s="107">
        <f t="shared" si="16"/>
        <v>9264.6487011463614</v>
      </c>
      <c r="G71" s="107">
        <f t="shared" si="16"/>
        <v>10192.66656638389</v>
      </c>
      <c r="H71" s="107">
        <f t="shared" si="16"/>
        <v>8201.3028948306674</v>
      </c>
      <c r="I71" s="107">
        <f t="shared" si="16"/>
        <v>6962.3302332130543</v>
      </c>
      <c r="J71" s="107">
        <f t="shared" si="16"/>
        <v>6174.797850171517</v>
      </c>
      <c r="K71" s="107">
        <f t="shared" si="16"/>
        <v>10879.762938366943</v>
      </c>
      <c r="L71" s="107">
        <f t="shared" si="16"/>
        <v>7257.4918971712459</v>
      </c>
      <c r="M71" s="107">
        <f t="shared" si="16"/>
        <v>18932.245718157494</v>
      </c>
      <c r="N71" s="107">
        <f t="shared" si="16"/>
        <v>8028.7118544502764</v>
      </c>
      <c r="O71" s="145"/>
      <c r="P71" s="152">
        <f>AVERAGE(C71:N71)</f>
        <v>9618.0491055327057</v>
      </c>
      <c r="S71" s="206"/>
      <c r="T71" s="523"/>
      <c r="U71" s="523"/>
      <c r="V71" s="523"/>
      <c r="W71" s="523"/>
      <c r="X71" s="523"/>
      <c r="Y71" s="523"/>
      <c r="Z71" s="523"/>
      <c r="AA71" s="523"/>
      <c r="AB71" s="523"/>
      <c r="AC71" s="523"/>
      <c r="AD71" s="523"/>
      <c r="AE71" s="523"/>
      <c r="AF71"/>
      <c r="AG71"/>
      <c r="AH71"/>
      <c r="AI71"/>
    </row>
    <row r="72" spans="1:35" s="106" customFormat="1" ht="16.5" customHeight="1">
      <c r="A72" s="109"/>
      <c r="B72" s="149" t="s">
        <v>430</v>
      </c>
      <c r="C72" s="107">
        <f>MAX(+C$29/C$14/C20,C71)</f>
        <v>27161.062652635697</v>
      </c>
      <c r="D72" s="107">
        <f t="shared" ref="D72:N72" si="17">MAX(+D$29/D$14/D20,D71)</f>
        <v>35824.269817482767</v>
      </c>
      <c r="E72" s="107">
        <f t="shared" si="17"/>
        <v>51499.060994838066</v>
      </c>
      <c r="F72" s="107">
        <f t="shared" si="17"/>
        <v>38254.510631621291</v>
      </c>
      <c r="G72" s="107">
        <f t="shared" si="17"/>
        <v>51961.080237677292</v>
      </c>
      <c r="H72" s="107">
        <f t="shared" si="17"/>
        <v>42020.066943799779</v>
      </c>
      <c r="I72" s="107">
        <f t="shared" si="17"/>
        <v>27417.529125675705</v>
      </c>
      <c r="J72" s="107">
        <f t="shared" si="17"/>
        <v>33207.601247620143</v>
      </c>
      <c r="K72" s="107">
        <f t="shared" si="17"/>
        <v>25998.538042951033</v>
      </c>
      <c r="L72" s="107">
        <f t="shared" si="17"/>
        <v>35228.26656812647</v>
      </c>
      <c r="M72" s="107">
        <f t="shared" si="17"/>
        <v>57625.579904252954</v>
      </c>
      <c r="N72" s="107">
        <f t="shared" si="17"/>
        <v>29998.785873165416</v>
      </c>
      <c r="O72" s="107"/>
      <c r="P72" s="152">
        <f>AVERAGE(C72:N72)</f>
        <v>38016.362669987218</v>
      </c>
      <c r="S72" s="206"/>
      <c r="T72" s="523"/>
      <c r="U72" s="523"/>
      <c r="V72" s="523"/>
      <c r="W72" s="523"/>
      <c r="X72" s="523"/>
      <c r="Y72" s="523"/>
      <c r="Z72" s="523"/>
      <c r="AA72" s="523"/>
      <c r="AB72" s="523"/>
      <c r="AC72" s="523"/>
      <c r="AD72" s="523"/>
      <c r="AE72" s="523"/>
      <c r="AF72"/>
      <c r="AG72"/>
      <c r="AH72"/>
      <c r="AI72"/>
    </row>
    <row r="73" spans="1:35" s="106" customFormat="1" ht="16.5" customHeight="1">
      <c r="A73" s="109"/>
      <c r="B73" s="149" t="s">
        <v>133</v>
      </c>
      <c r="C73" s="107">
        <f>MAX(+C$29/C$15/C20,C72)</f>
        <v>77165.349050049161</v>
      </c>
      <c r="D73" s="107">
        <f t="shared" ref="D73:N73" si="18">MAX(+D$29/D$15/D20,D72)</f>
        <v>79339.846464051327</v>
      </c>
      <c r="E73" s="107">
        <f t="shared" si="18"/>
        <v>126194.63538322384</v>
      </c>
      <c r="F73" s="107">
        <f t="shared" si="18"/>
        <v>85236.757496452658</v>
      </c>
      <c r="G73" s="107">
        <f t="shared" si="18"/>
        <v>130358.62287063993</v>
      </c>
      <c r="H73" s="107">
        <f t="shared" si="18"/>
        <v>93864.854941203899</v>
      </c>
      <c r="I73" s="107">
        <f t="shared" si="18"/>
        <v>69829.322856681159</v>
      </c>
      <c r="J73" s="107">
        <f t="shared" si="18"/>
        <v>81030.196231143462</v>
      </c>
      <c r="K73" s="107">
        <f t="shared" si="18"/>
        <v>54470.549108778621</v>
      </c>
      <c r="L73" s="107">
        <f t="shared" si="18"/>
        <v>75766.052788883608</v>
      </c>
      <c r="M73" s="107">
        <f t="shared" si="18"/>
        <v>143697.9946725058</v>
      </c>
      <c r="N73" s="107">
        <f t="shared" si="18"/>
        <v>68168.578564909767</v>
      </c>
      <c r="O73" s="107"/>
      <c r="P73" s="152">
        <f>AVERAGE(C73:N73)</f>
        <v>90426.896702376936</v>
      </c>
      <c r="S73" s="206"/>
      <c r="T73" s="523"/>
      <c r="U73" s="523"/>
      <c r="V73" s="523"/>
      <c r="W73" s="523"/>
      <c r="X73" s="523"/>
      <c r="Y73" s="523"/>
      <c r="Z73" s="523"/>
      <c r="AA73" s="523"/>
      <c r="AB73" s="523"/>
      <c r="AC73" s="523"/>
      <c r="AD73" s="523"/>
      <c r="AE73" s="523"/>
      <c r="AF73"/>
      <c r="AG73"/>
      <c r="AH73"/>
      <c r="AI73"/>
    </row>
    <row r="74" spans="1:35" s="106" customFormat="1" ht="16.5" customHeight="1">
      <c r="A74" s="109"/>
      <c r="B74" s="149" t="s">
        <v>158</v>
      </c>
      <c r="C74" s="499">
        <f>IFERROR(C29/C20/C71,0)</f>
        <v>0.70243965133391117</v>
      </c>
      <c r="D74" s="499">
        <f t="shared" ref="D74:N74" si="19">IFERROR(D29/D20/D71,0)</f>
        <v>1.0321409448647914</v>
      </c>
      <c r="E74" s="499">
        <f t="shared" si="19"/>
        <v>1.2975309345733792</v>
      </c>
      <c r="F74" s="499">
        <f t="shared" si="19"/>
        <v>1.1519022241095822</v>
      </c>
      <c r="G74" s="499">
        <f t="shared" si="19"/>
        <v>1.4092906909072991</v>
      </c>
      <c r="H74" s="499">
        <f t="shared" si="19"/>
        <v>1.2558915765340584</v>
      </c>
      <c r="I74" s="499">
        <f t="shared" si="19"/>
        <v>1.3904476018909695</v>
      </c>
      <c r="J74" s="499">
        <f t="shared" si="19"/>
        <v>1.3977598324716674</v>
      </c>
      <c r="K74" s="499">
        <f t="shared" si="19"/>
        <v>0.60520364823413653</v>
      </c>
      <c r="L74" s="499">
        <f t="shared" si="19"/>
        <v>1.8219552231220635</v>
      </c>
      <c r="M74" s="499">
        <f t="shared" si="19"/>
        <v>0.71589382366714904</v>
      </c>
      <c r="N74" s="499">
        <f t="shared" si="19"/>
        <v>0.83751333311075127</v>
      </c>
      <c r="O74" s="107"/>
      <c r="P74" s="152"/>
      <c r="S74" s="206"/>
      <c r="T74" s="524"/>
      <c r="U74" s="524"/>
      <c r="V74" s="524"/>
      <c r="W74" s="524"/>
      <c r="X74" s="524"/>
      <c r="Y74" s="524"/>
      <c r="Z74" s="524"/>
      <c r="AA74" s="524"/>
      <c r="AB74" s="524"/>
      <c r="AC74" s="524"/>
      <c r="AD74" s="524"/>
      <c r="AE74" s="524"/>
      <c r="AF74"/>
      <c r="AG74"/>
      <c r="AH74"/>
      <c r="AI74"/>
    </row>
    <row r="75" spans="1:35" s="106" customFormat="1" ht="16.5" customHeight="1">
      <c r="A75" s="109"/>
      <c r="B75" s="149" t="s">
        <v>988</v>
      </c>
      <c r="C75" s="499">
        <f>C29/C20/C72</f>
        <v>0.28759692770286338</v>
      </c>
      <c r="D75" s="499">
        <f t="shared" ref="D75:N75" si="20">D29/D20/D72</f>
        <v>0.28193775720127123</v>
      </c>
      <c r="E75" s="499">
        <f t="shared" si="20"/>
        <v>0.21709467759288623</v>
      </c>
      <c r="F75" s="499">
        <f t="shared" si="20"/>
        <v>0.27897283923488392</v>
      </c>
      <c r="G75" s="499">
        <f t="shared" si="20"/>
        <v>0.276445948425667</v>
      </c>
      <c r="H75" s="499">
        <f t="shared" si="20"/>
        <v>0.24511972424979728</v>
      </c>
      <c r="I75" s="499">
        <f t="shared" si="20"/>
        <v>0.35308635333146582</v>
      </c>
      <c r="J75" s="499">
        <f t="shared" si="20"/>
        <v>0.25990689132418715</v>
      </c>
      <c r="K75" s="499">
        <f t="shared" si="20"/>
        <v>0.25326317238855151</v>
      </c>
      <c r="L75" s="499">
        <f t="shared" si="20"/>
        <v>0.37534703114744911</v>
      </c>
      <c r="M75" s="499">
        <f t="shared" si="20"/>
        <v>0.23519898281800175</v>
      </c>
      <c r="N75" s="499">
        <f t="shared" si="20"/>
        <v>0.22414751231053512</v>
      </c>
      <c r="O75" s="107"/>
      <c r="P75" s="152"/>
      <c r="S75" s="206"/>
      <c r="T75" s="524"/>
      <c r="U75" s="524"/>
      <c r="V75" s="524"/>
      <c r="W75" s="524"/>
      <c r="X75" s="524"/>
      <c r="Y75" s="524"/>
      <c r="Z75" s="524"/>
      <c r="AA75" s="524"/>
      <c r="AB75" s="524"/>
      <c r="AC75" s="524"/>
      <c r="AD75" s="524"/>
      <c r="AE75" s="524"/>
      <c r="AF75"/>
      <c r="AG75"/>
      <c r="AH75"/>
      <c r="AI75"/>
    </row>
    <row r="76" spans="1:35" s="106" customFormat="1" ht="16.5" customHeight="1">
      <c r="A76" s="109"/>
      <c r="B76" s="149" t="s">
        <v>150</v>
      </c>
      <c r="C76" s="499">
        <f>C29/C20/C73</f>
        <v>0.10122986895292266</v>
      </c>
      <c r="D76" s="499">
        <f t="shared" ref="D76:N76" si="21">D29/D20/D73</f>
        <v>0.12730317407773994</v>
      </c>
      <c r="E76" s="499">
        <f t="shared" si="21"/>
        <v>8.8594669726325237E-2</v>
      </c>
      <c r="F76" s="499">
        <f t="shared" si="21"/>
        <v>0.12520384113495384</v>
      </c>
      <c r="G76" s="499">
        <f t="shared" si="21"/>
        <v>0.11019163743223399</v>
      </c>
      <c r="H76" s="499">
        <f t="shared" si="21"/>
        <v>0.10973166930981801</v>
      </c>
      <c r="I76" s="499">
        <f t="shared" si="21"/>
        <v>0.13863453031347628</v>
      </c>
      <c r="J76" s="499">
        <f t="shared" si="21"/>
        <v>0.10651442067327641</v>
      </c>
      <c r="K76" s="499">
        <f t="shared" si="21"/>
        <v>0.12088132633054458</v>
      </c>
      <c r="L76" s="499">
        <f t="shared" si="21"/>
        <v>0.17452176511902515</v>
      </c>
      <c r="M76" s="499">
        <f t="shared" si="21"/>
        <v>9.4319185237530731E-2</v>
      </c>
      <c r="N76" s="499">
        <f t="shared" si="21"/>
        <v>9.8640068010274667E-2</v>
      </c>
      <c r="O76" s="107"/>
      <c r="P76" s="152"/>
      <c r="S76" s="206"/>
      <c r="T76" s="524"/>
      <c r="U76" s="524"/>
      <c r="V76" s="524"/>
      <c r="W76" s="524"/>
      <c r="X76" s="524"/>
      <c r="Y76" s="524"/>
      <c r="Z76" s="524"/>
      <c r="AA76" s="524"/>
      <c r="AB76" s="524"/>
      <c r="AC76" s="524"/>
      <c r="AD76" s="524"/>
      <c r="AE76" s="524"/>
      <c r="AF76"/>
      <c r="AG76"/>
      <c r="AH76"/>
      <c r="AI76"/>
    </row>
    <row r="77" spans="1:35" s="106" customFormat="1" ht="16.5" customHeight="1">
      <c r="A77" s="109"/>
      <c r="B77" s="108"/>
      <c r="C77" s="107"/>
      <c r="D77" s="107"/>
      <c r="E77" s="107"/>
      <c r="F77" s="107"/>
      <c r="G77" s="107"/>
      <c r="H77" s="107"/>
      <c r="I77" s="107"/>
      <c r="J77" s="107"/>
      <c r="K77" s="107"/>
      <c r="L77" s="107"/>
      <c r="M77" s="107"/>
      <c r="N77" s="107"/>
      <c r="S77" s="206"/>
      <c r="T77" s="523"/>
      <c r="U77" s="523"/>
      <c r="V77" s="523"/>
      <c r="W77" s="523"/>
      <c r="X77" s="523"/>
      <c r="Y77" s="523"/>
      <c r="Z77" s="523"/>
      <c r="AA77" s="523"/>
      <c r="AB77" s="523"/>
      <c r="AC77" s="523"/>
      <c r="AD77" s="523"/>
      <c r="AE77" s="523"/>
      <c r="AF77"/>
      <c r="AG77"/>
      <c r="AH77"/>
      <c r="AI77"/>
    </row>
    <row r="78" spans="1:35" ht="13.2">
      <c r="A78" s="42" t="s">
        <v>116</v>
      </c>
      <c r="C78" s="105"/>
      <c r="T78" s="44"/>
      <c r="U78" s="492"/>
      <c r="V78" s="492"/>
      <c r="W78" s="492"/>
      <c r="X78" s="492"/>
      <c r="Y78" s="492"/>
      <c r="Z78" s="492"/>
      <c r="AA78" s="492"/>
      <c r="AB78" s="492"/>
      <c r="AC78" s="492"/>
      <c r="AD78" s="492"/>
      <c r="AE78" s="492"/>
    </row>
    <row r="79" spans="1:35" ht="13.2">
      <c r="A79"/>
      <c r="B79" s="10" t="s">
        <v>338</v>
      </c>
      <c r="C79" s="105"/>
      <c r="D79" s="105"/>
      <c r="E79" s="105"/>
      <c r="F79" s="105"/>
      <c r="G79" s="105"/>
      <c r="H79" s="105"/>
      <c r="I79" s="105"/>
      <c r="J79" s="105"/>
      <c r="K79" s="105"/>
      <c r="L79" s="105"/>
      <c r="M79" s="105"/>
      <c r="N79" s="105"/>
      <c r="T79" s="534"/>
      <c r="U79" s="492"/>
      <c r="V79" s="492"/>
      <c r="W79" s="492"/>
      <c r="X79" s="492"/>
      <c r="Y79" s="492"/>
      <c r="Z79" s="492"/>
      <c r="AA79" s="492"/>
      <c r="AB79" s="492"/>
      <c r="AC79" s="492"/>
      <c r="AD79" s="492"/>
      <c r="AE79" s="492"/>
    </row>
    <row r="80" spans="1:35" ht="13.2">
      <c r="A80"/>
      <c r="B80" s="81" t="s">
        <v>426</v>
      </c>
      <c r="T80" s="534"/>
      <c r="U80" s="492"/>
      <c r="V80" s="492"/>
      <c r="W80" s="492"/>
      <c r="X80" s="492"/>
      <c r="Y80" s="492"/>
      <c r="Z80" s="492"/>
      <c r="AA80" s="492"/>
      <c r="AB80" s="492"/>
      <c r="AC80" s="492"/>
      <c r="AD80" s="492"/>
      <c r="AE80" s="492"/>
    </row>
    <row r="81" spans="1:31" ht="13.2">
      <c r="A81"/>
      <c r="B81" s="125" t="s">
        <v>431</v>
      </c>
      <c r="C81" s="104"/>
      <c r="T81" s="534"/>
      <c r="U81" s="492"/>
      <c r="V81" s="492"/>
      <c r="W81" s="492"/>
      <c r="X81" s="492"/>
      <c r="Y81" s="492"/>
      <c r="Z81" s="492"/>
      <c r="AA81" s="492"/>
      <c r="AB81" s="492"/>
      <c r="AC81" s="492"/>
      <c r="AD81" s="492"/>
      <c r="AE81" s="492"/>
    </row>
    <row r="82" spans="1:31" ht="13.2">
      <c r="A82"/>
      <c r="B82" s="153" t="s">
        <v>435</v>
      </c>
      <c r="E82" s="88"/>
      <c r="T82" s="534"/>
      <c r="U82" s="492"/>
      <c r="V82" s="492"/>
      <c r="W82" s="492"/>
      <c r="X82" s="492"/>
      <c r="Y82" s="492"/>
      <c r="Z82" s="492"/>
      <c r="AA82" s="492"/>
      <c r="AB82" s="492"/>
      <c r="AC82" s="492"/>
      <c r="AD82" s="492"/>
      <c r="AE82" s="492"/>
    </row>
    <row r="83" spans="1:31" ht="13.2">
      <c r="A83"/>
      <c r="B83" t="s">
        <v>433</v>
      </c>
      <c r="C83" s="98"/>
      <c r="D83" s="98"/>
      <c r="E83" s="98"/>
      <c r="F83" s="98"/>
      <c r="G83" s="98"/>
      <c r="H83" s="98"/>
      <c r="I83" s="98"/>
      <c r="J83" s="98"/>
      <c r="K83" s="98"/>
      <c r="L83" s="98"/>
      <c r="M83" s="98"/>
      <c r="N83" s="98"/>
      <c r="T83" s="534"/>
      <c r="U83" s="492"/>
      <c r="V83" s="492"/>
      <c r="W83" s="492"/>
      <c r="X83" s="492"/>
      <c r="Y83" s="492"/>
      <c r="Z83" s="492"/>
      <c r="AA83" s="492"/>
      <c r="AB83" s="492"/>
      <c r="AC83" s="492"/>
      <c r="AD83" s="492"/>
      <c r="AE83" s="492"/>
    </row>
    <row r="84" spans="1:31" ht="409.6">
      <c r="T84" s="534"/>
      <c r="U84" s="492"/>
      <c r="V84" s="492"/>
      <c r="W84" s="492"/>
      <c r="X84" s="492"/>
      <c r="Y84" s="492"/>
      <c r="Z84" s="492"/>
      <c r="AA84" s="492"/>
      <c r="AB84" s="492"/>
      <c r="AC84" s="492"/>
      <c r="AD84" s="492"/>
      <c r="AE84" s="492"/>
    </row>
    <row r="85" spans="1:31" ht="409.6">
      <c r="T85" s="534"/>
    </row>
    <row r="89" spans="1:31">
      <c r="C89" s="499"/>
      <c r="D89" s="499"/>
      <c r="E89" s="499"/>
      <c r="F89" s="499"/>
      <c r="G89" s="499"/>
      <c r="H89" s="499"/>
      <c r="I89" s="499"/>
      <c r="J89" s="499"/>
      <c r="K89" s="499"/>
      <c r="L89" s="499"/>
      <c r="M89" s="499"/>
      <c r="N89" s="499"/>
      <c r="O89" s="499"/>
    </row>
    <row r="90" spans="1:31" ht="409.6">
      <c r="C90" s="499"/>
      <c r="D90" s="499"/>
      <c r="E90" s="499"/>
      <c r="F90" s="499"/>
      <c r="G90" s="499"/>
      <c r="H90" s="499"/>
      <c r="I90" s="499"/>
      <c r="J90" s="499"/>
      <c r="K90" s="499"/>
      <c r="L90" s="499"/>
      <c r="M90" s="499"/>
      <c r="N90" s="499"/>
    </row>
    <row r="91" spans="1:31" ht="409.6">
      <c r="C91" s="499"/>
      <c r="D91" s="499"/>
      <c r="E91" s="499"/>
      <c r="F91" s="499"/>
      <c r="G91" s="499"/>
      <c r="H91" s="499"/>
      <c r="I91" s="499"/>
      <c r="J91" s="499"/>
      <c r="K91" s="499"/>
      <c r="L91" s="499"/>
      <c r="M91" s="499"/>
      <c r="N91" s="499"/>
    </row>
    <row r="92" spans="1:31">
      <c r="G92" s="150"/>
    </row>
  </sheetData>
  <mergeCells count="3">
    <mergeCell ref="C7:E7"/>
    <mergeCell ref="F7:L7"/>
    <mergeCell ref="M7:N7"/>
  </mergeCells>
  <conditionalFormatting sqref="C59:N59">
    <cfRule type="cellIs" dxfId="97" priority="10" operator="greaterThanOrEqual">
      <formula>C60</formula>
    </cfRule>
  </conditionalFormatting>
  <conditionalFormatting sqref="C58:N58">
    <cfRule type="cellIs" dxfId="96" priority="8" operator="greaterThanOrEqual">
      <formula>C59</formula>
    </cfRule>
  </conditionalFormatting>
  <conditionalFormatting sqref="C72:N72">
    <cfRule type="cellIs" dxfId="95" priority="2" operator="greaterThanOrEqual">
      <formula>C73</formula>
    </cfRule>
  </conditionalFormatting>
  <conditionalFormatting sqref="C71:N71">
    <cfRule type="cellIs" dxfId="94" priority="1" operator="greaterThan">
      <formula>C72</formula>
    </cfRule>
  </conditionalFormatting>
  <conditionalFormatting sqref="C64:N64">
    <cfRule type="cellIs" dxfId="93" priority="4" operator="greaterThanOrEqual">
      <formula>C65</formula>
    </cfRule>
  </conditionalFormatting>
  <conditionalFormatting sqref="C63:N63">
    <cfRule type="cellIs" dxfId="92" priority="3" operator="greaterThan">
      <formula>C64</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pageSetUpPr fitToPage="1"/>
  </sheetPr>
  <dimension ref="A1:DO84"/>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 min="108" max="108" width="11.5546875" bestFit="1" customWidth="1"/>
  </cols>
  <sheetData>
    <row r="1" spans="1:16" s="8" customFormat="1" ht="15.6">
      <c r="A1" s="624"/>
      <c r="B1" s="8" t="s">
        <v>1299</v>
      </c>
    </row>
    <row r="2" spans="1:16" s="8" customFormat="1" ht="15.6">
      <c r="A2" s="624"/>
      <c r="B2" s="8" t="s">
        <v>1267</v>
      </c>
    </row>
    <row r="3" spans="1:16" s="8" customFormat="1" ht="15.6">
      <c r="A3" s="624"/>
    </row>
    <row r="4" spans="1:16" ht="21">
      <c r="A4" s="124" t="s">
        <v>603</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s="43" t="s">
        <v>603</v>
      </c>
      <c r="C9" s="320">
        <v>3</v>
      </c>
      <c r="D9" s="320">
        <v>4</v>
      </c>
      <c r="E9" s="320">
        <v>5</v>
      </c>
      <c r="F9" s="320">
        <v>6</v>
      </c>
      <c r="G9" s="320">
        <v>7</v>
      </c>
      <c r="H9" s="320">
        <v>8</v>
      </c>
      <c r="I9" s="320">
        <v>9</v>
      </c>
      <c r="J9" s="320">
        <v>10</v>
      </c>
      <c r="K9" s="320">
        <v>11</v>
      </c>
      <c r="L9" s="320">
        <v>12</v>
      </c>
      <c r="M9" s="320">
        <v>13</v>
      </c>
      <c r="N9" s="320">
        <v>14</v>
      </c>
      <c r="P9" s="331"/>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15" ht="15.6">
      <c r="A17" s="113" t="s">
        <v>427</v>
      </c>
      <c r="C17" s="5"/>
      <c r="D17" s="5"/>
      <c r="E17" s="5"/>
      <c r="F17" s="5"/>
      <c r="G17" s="5"/>
      <c r="H17" s="5"/>
      <c r="I17" s="5"/>
      <c r="J17" s="5"/>
      <c r="K17" s="5"/>
      <c r="L17" s="5"/>
      <c r="M17" s="115"/>
      <c r="N17" s="5"/>
    </row>
    <row r="18" spans="1:15">
      <c r="A18" s="114"/>
      <c r="B18" t="s">
        <v>428</v>
      </c>
      <c r="C18" s="145">
        <v>0</v>
      </c>
      <c r="D18" s="145">
        <v>0</v>
      </c>
      <c r="E18" s="145">
        <v>0</v>
      </c>
      <c r="F18" s="145">
        <v>0</v>
      </c>
      <c r="G18" s="145">
        <v>0</v>
      </c>
      <c r="H18" s="145">
        <v>0</v>
      </c>
      <c r="I18" s="145">
        <v>0</v>
      </c>
      <c r="J18" s="145">
        <v>0</v>
      </c>
      <c r="K18" s="145">
        <v>0</v>
      </c>
      <c r="L18" s="145">
        <v>0</v>
      </c>
      <c r="M18" s="145">
        <v>0</v>
      </c>
      <c r="N18" s="145">
        <v>0</v>
      </c>
    </row>
    <row r="19" spans="1:15">
      <c r="A19" s="114"/>
      <c r="B19" t="s">
        <v>429</v>
      </c>
      <c r="C19" s="145">
        <v>0</v>
      </c>
      <c r="D19" s="145">
        <v>0</v>
      </c>
      <c r="E19" s="145">
        <v>0</v>
      </c>
      <c r="F19" s="145">
        <v>0</v>
      </c>
      <c r="G19" s="145">
        <v>0</v>
      </c>
      <c r="H19" s="145">
        <v>0</v>
      </c>
      <c r="I19" s="145">
        <v>0</v>
      </c>
      <c r="J19" s="145">
        <v>0</v>
      </c>
      <c r="K19" s="145">
        <v>0</v>
      </c>
      <c r="L19" s="145">
        <v>0</v>
      </c>
      <c r="M19" s="145">
        <v>0</v>
      </c>
      <c r="N19" s="145">
        <v>0</v>
      </c>
    </row>
    <row r="20" spans="1:15">
      <c r="A20" s="114"/>
      <c r="C20" s="5"/>
      <c r="D20" s="5"/>
      <c r="E20" s="5"/>
      <c r="F20" s="5"/>
      <c r="G20" s="5"/>
      <c r="H20" s="5"/>
      <c r="I20" s="5"/>
      <c r="J20" s="5"/>
      <c r="K20" s="5"/>
      <c r="L20" s="5"/>
      <c r="M20" s="115"/>
      <c r="N20" s="5"/>
    </row>
    <row r="21" spans="1:15" ht="15.6">
      <c r="A21" s="113" t="s">
        <v>424</v>
      </c>
      <c r="C21" s="5"/>
      <c r="D21" s="5"/>
      <c r="E21" s="5"/>
      <c r="F21" s="5"/>
      <c r="G21" s="5"/>
      <c r="H21" s="5"/>
      <c r="I21" s="5"/>
      <c r="J21" s="5"/>
      <c r="K21" s="5"/>
      <c r="L21" s="5"/>
      <c r="M21" s="115"/>
      <c r="N21" s="5"/>
    </row>
    <row r="22" spans="1:15" s="106" customFormat="1">
      <c r="A22" s="109"/>
      <c r="B22" s="108" t="str">
        <f>"PRIOR - "&amp;MANUAL!$B$9</f>
        <v>PRIOR - 2016</v>
      </c>
      <c r="C22" s="142">
        <f>VLOOKUP($B$9,'KWH FCST'!$A$33:$O$41,C9-1,FALSE)</f>
        <v>2930251.3967729765</v>
      </c>
      <c r="D22" s="142">
        <f>VLOOKUP($B$9,'KWH FCST'!$A$33:$O$41,D9-1,FALSE)</f>
        <v>3226721.7999024643</v>
      </c>
      <c r="E22" s="142">
        <f>VLOOKUP($B$9,'KWH FCST'!$A$33:$O$41,E9-1,FALSE)</f>
        <v>3024364.8122403212</v>
      </c>
      <c r="F22" s="142">
        <f>VLOOKUP($B$9,'KWH FCST'!$A$33:$O$41,F9-1,FALSE)</f>
        <v>2885799.3985291934</v>
      </c>
      <c r="G22" s="142">
        <f>VLOOKUP($B$9,'KWH FCST'!$A$33:$O$41,G9-1,FALSE)</f>
        <v>2338675.6481099017</v>
      </c>
      <c r="H22" s="142">
        <f>VLOOKUP($B$9,'KWH FCST'!$A$33:$O$41,H9-1,FALSE)</f>
        <v>3168991.3787030498</v>
      </c>
      <c r="I22" s="142">
        <f>VLOOKUP($B$9,'KWH FCST'!$A$33:$O$41,I9-1,FALSE)</f>
        <v>3847139.3257777081</v>
      </c>
      <c r="J22" s="142">
        <f>VLOOKUP($B$9,'KWH FCST'!$A$33:$O$41,J9-1,FALSE)</f>
        <v>3995566.5835242625</v>
      </c>
      <c r="K22" s="142">
        <f>VLOOKUP($B$9,'KWH FCST'!$A$33:$O$41,K9-1,FALSE)</f>
        <v>3848245.7528714715</v>
      </c>
      <c r="L22" s="142">
        <f>VLOOKUP($B$9,'KWH FCST'!$A$33:$O$41,L9-1,FALSE)</f>
        <v>3744320.3033932843</v>
      </c>
      <c r="M22" s="142">
        <f>VLOOKUP($B$9,'KWH FCST'!$A$33:$O$41,M9-1,FALSE)</f>
        <v>3154249.5337255239</v>
      </c>
      <c r="N22" s="142">
        <f>VLOOKUP($B$9,'KWH FCST'!$A$33:$O$41,N9-1,FALSE)</f>
        <v>2473687.27017977</v>
      </c>
    </row>
    <row r="23" spans="1:15" s="12" customFormat="1" ht="15.6">
      <c r="A23" s="111"/>
      <c r="B23" s="108" t="str">
        <f>"TEST - "&amp;MANUAL!$B$10</f>
        <v>TEST - 2017</v>
      </c>
      <c r="C23" s="142">
        <f>VLOOKUP($B$9,'KWH FCST'!$A$79:$O$87,C9-1,FALSE)</f>
        <v>2927123.998252566</v>
      </c>
      <c r="D23" s="142">
        <f>VLOOKUP($B$9,'KWH FCST'!$A$79:$O$87,D9-1,FALSE)</f>
        <v>0</v>
      </c>
      <c r="E23" s="142">
        <f>VLOOKUP($B$9,'KWH FCST'!$A$79:$O$87,E9-1,FALSE)</f>
        <v>0</v>
      </c>
      <c r="F23" s="142">
        <f>VLOOKUP($B$9,'KWH FCST'!$A$79:$O$87,F9-1,FALSE)</f>
        <v>0</v>
      </c>
      <c r="G23" s="142">
        <f>VLOOKUP($B$9,'KWH FCST'!$A$79:$O$87,G9-1,FALSE)</f>
        <v>0</v>
      </c>
      <c r="H23" s="142">
        <f>VLOOKUP($B$9,'KWH FCST'!$A$79:$O$87,H9-1,FALSE)</f>
        <v>0</v>
      </c>
      <c r="I23" s="142">
        <f>VLOOKUP($B$9,'KWH FCST'!$A$79:$O$87,I9-1,FALSE)</f>
        <v>0</v>
      </c>
      <c r="J23" s="142">
        <f>VLOOKUP($B$9,'KWH FCST'!$A$79:$O$87,J9-1,FALSE)</f>
        <v>0</v>
      </c>
      <c r="K23" s="142">
        <f>VLOOKUP($B$9,'KWH FCST'!$A$79:$O$87,K9-1,FALSE)</f>
        <v>0</v>
      </c>
      <c r="L23" s="142">
        <f>VLOOKUP($B$9,'KWH FCST'!$A$79:$O$87,L9-1,FALSE)</f>
        <v>0</v>
      </c>
      <c r="M23" s="142">
        <f>VLOOKUP($B$9,'KWH FCST'!$A$79:$O$87,M9-1,FALSE)</f>
        <v>0</v>
      </c>
      <c r="N23" s="142">
        <f>VLOOKUP($B$9,'KWH FCST'!$A$79:$O$87,N9-1,FALSE)</f>
        <v>0</v>
      </c>
    </row>
    <row r="24" spans="1:15">
      <c r="A24" s="114"/>
      <c r="B24" t="s">
        <v>1094</v>
      </c>
      <c r="C24" s="142">
        <f>VLOOKUP($B$9,'KWH FCST'!$A$125:$O$133,C9-1,FALSE)</f>
        <v>0</v>
      </c>
      <c r="D24" s="142">
        <f>VLOOKUP($B$9,'KWH FCST'!$A$125:$O$133,D9-1,FALSE)</f>
        <v>0</v>
      </c>
      <c r="E24" s="142">
        <f>VLOOKUP($B$9,'KWH FCST'!$A$125:$O$133,E9-1,FALSE)</f>
        <v>0</v>
      </c>
      <c r="F24" s="142">
        <f>VLOOKUP($B$9,'KWH FCST'!$A$125:$O$133,F9-1,FALSE)</f>
        <v>0</v>
      </c>
      <c r="G24" s="142">
        <f>VLOOKUP($B$9,'KWH FCST'!$A$125:$O$133,G9-1,FALSE)</f>
        <v>0</v>
      </c>
      <c r="H24" s="142">
        <f>VLOOKUP($B$9,'KWH FCST'!$A$125:$O$133,H9-1,FALSE)</f>
        <v>0</v>
      </c>
      <c r="I24" s="142">
        <f>VLOOKUP($B$9,'KWH FCST'!$A$125:$O$133,I9-1,FALSE)</f>
        <v>0</v>
      </c>
      <c r="J24" s="142">
        <f>VLOOKUP($B$9,'KWH FCST'!$A$125:$O$133,J9-1,FALSE)</f>
        <v>0</v>
      </c>
      <c r="K24" s="142">
        <f>VLOOKUP($B$9,'KWH FCST'!$A$125:$O$133,K9-1,FALSE)</f>
        <v>0</v>
      </c>
      <c r="L24" s="142">
        <f>VLOOKUP($B$9,'KWH FCST'!$A$125:$O$133,L9-1,FALSE)</f>
        <v>0</v>
      </c>
      <c r="M24" s="142">
        <f>VLOOKUP($B$9,'KWH FCST'!$A$125:$O$133,M9-1,FALSE)</f>
        <v>0</v>
      </c>
      <c r="N24" s="142">
        <f>VLOOKUP($B$9,'KWH FCST'!$A$125:$O$133,N9-1,FALSE)</f>
        <v>0</v>
      </c>
      <c r="O24" s="142"/>
    </row>
    <row r="25" spans="1:15">
      <c r="A25" s="114"/>
      <c r="C25" s="142"/>
      <c r="D25" s="142"/>
      <c r="E25" s="142"/>
      <c r="F25" s="142"/>
      <c r="G25" s="142"/>
      <c r="H25" s="142"/>
      <c r="I25" s="142"/>
      <c r="J25" s="142"/>
      <c r="K25" s="142"/>
      <c r="L25" s="142"/>
      <c r="M25" s="142"/>
      <c r="N25" s="142"/>
      <c r="O25" s="142"/>
    </row>
    <row r="26" spans="1:15" ht="15.6">
      <c r="A26" s="113" t="s">
        <v>1248</v>
      </c>
      <c r="C26" s="142"/>
      <c r="D26" s="142"/>
      <c r="E26" s="142"/>
      <c r="F26" s="142"/>
      <c r="G26" s="142"/>
      <c r="H26" s="142"/>
      <c r="I26" s="142"/>
      <c r="J26" s="142"/>
      <c r="K26" s="142"/>
      <c r="L26" s="142"/>
      <c r="M26" s="142"/>
      <c r="N26" s="142"/>
      <c r="O26" s="142"/>
    </row>
    <row r="27" spans="1:15">
      <c r="A27" s="114"/>
      <c r="B27" t="s">
        <v>1254</v>
      </c>
      <c r="C27" s="115">
        <v>1</v>
      </c>
      <c r="D27" s="115">
        <v>1</v>
      </c>
      <c r="E27" s="115">
        <v>1</v>
      </c>
      <c r="F27" s="115">
        <v>1</v>
      </c>
      <c r="G27" s="115">
        <v>1</v>
      </c>
      <c r="H27" s="115">
        <v>1</v>
      </c>
      <c r="I27" s="115">
        <v>1</v>
      </c>
      <c r="J27" s="115">
        <v>1</v>
      </c>
      <c r="K27" s="115">
        <v>1</v>
      </c>
      <c r="L27" s="115">
        <v>1</v>
      </c>
      <c r="M27" s="115">
        <v>1</v>
      </c>
      <c r="N27" s="115">
        <v>1</v>
      </c>
      <c r="O27" s="142"/>
    </row>
    <row r="28" spans="1:15">
      <c r="A28" s="114"/>
      <c r="B28" t="s">
        <v>1253</v>
      </c>
      <c r="C28" s="115">
        <v>0</v>
      </c>
      <c r="D28" s="115">
        <v>0</v>
      </c>
      <c r="E28" s="115">
        <v>0</v>
      </c>
      <c r="F28" s="115">
        <v>0</v>
      </c>
      <c r="G28" s="115">
        <v>0</v>
      </c>
      <c r="H28" s="115">
        <v>0</v>
      </c>
      <c r="I28" s="115">
        <v>0</v>
      </c>
      <c r="J28" s="115">
        <v>0</v>
      </c>
      <c r="K28" s="115">
        <v>0</v>
      </c>
      <c r="L28" s="115">
        <v>0</v>
      </c>
      <c r="M28" s="115">
        <v>0</v>
      </c>
      <c r="N28" s="115">
        <v>0</v>
      </c>
      <c r="O28" s="142"/>
    </row>
    <row r="29" spans="1:15">
      <c r="A29" s="114"/>
      <c r="B29" t="s">
        <v>1252</v>
      </c>
      <c r="C29" s="115">
        <v>0</v>
      </c>
      <c r="D29" s="115">
        <v>0</v>
      </c>
      <c r="E29" s="115">
        <v>0</v>
      </c>
      <c r="F29" s="115">
        <v>0</v>
      </c>
      <c r="G29" s="115">
        <v>0</v>
      </c>
      <c r="H29" s="115">
        <v>0</v>
      </c>
      <c r="I29" s="115">
        <v>0</v>
      </c>
      <c r="J29" s="115">
        <v>0</v>
      </c>
      <c r="K29" s="115">
        <v>0</v>
      </c>
      <c r="L29" s="115">
        <v>0</v>
      </c>
      <c r="M29" s="115">
        <v>0</v>
      </c>
      <c r="N29" s="115">
        <v>0</v>
      </c>
      <c r="O29" s="142"/>
    </row>
    <row r="30" spans="1:15" ht="15.6">
      <c r="A30" s="114"/>
      <c r="B30" s="513">
        <v>2017</v>
      </c>
      <c r="C30" s="115"/>
      <c r="D30" s="115"/>
      <c r="E30" s="115"/>
      <c r="F30" s="115"/>
      <c r="G30" s="115"/>
      <c r="H30" s="115"/>
      <c r="I30" s="115"/>
      <c r="J30" s="115"/>
      <c r="K30" s="115"/>
      <c r="L30" s="115"/>
      <c r="M30" s="115"/>
      <c r="N30" s="115"/>
      <c r="O30" s="142"/>
    </row>
    <row r="31" spans="1:15">
      <c r="A31" s="114"/>
      <c r="B31" t="s">
        <v>1249</v>
      </c>
      <c r="C31" s="504">
        <v>1.0218365993304399</v>
      </c>
      <c r="D31" s="504">
        <v>1.0218365993304399</v>
      </c>
      <c r="E31" s="504">
        <v>1.0218365993304399</v>
      </c>
      <c r="F31" s="504">
        <v>1.0218365993304399</v>
      </c>
      <c r="G31" s="504">
        <v>1.0218365993304399</v>
      </c>
      <c r="H31" s="504">
        <v>1.0218365993304399</v>
      </c>
      <c r="I31" s="504">
        <v>1.0218365993304399</v>
      </c>
      <c r="J31" s="504">
        <v>1.0218365993304399</v>
      </c>
      <c r="K31" s="504">
        <v>1.0218365993304399</v>
      </c>
      <c r="L31" s="504">
        <v>1.0218365993304399</v>
      </c>
      <c r="M31" s="504">
        <v>1.0218365993304399</v>
      </c>
      <c r="N31" s="504">
        <v>1.0218365993304399</v>
      </c>
      <c r="O31" s="142"/>
    </row>
    <row r="32" spans="1:15">
      <c r="A32" s="114"/>
      <c r="B32" t="s">
        <v>1250</v>
      </c>
      <c r="C32" s="504">
        <v>1.03482305056728</v>
      </c>
      <c r="D32" s="504">
        <v>1.03482305056728</v>
      </c>
      <c r="E32" s="504">
        <v>1.03482305056728</v>
      </c>
      <c r="F32" s="504">
        <v>1.03482305056728</v>
      </c>
      <c r="G32" s="504">
        <v>1.03482305056728</v>
      </c>
      <c r="H32" s="504">
        <v>1.03482305056728</v>
      </c>
      <c r="I32" s="504">
        <v>1.03482305056728</v>
      </c>
      <c r="J32" s="504">
        <v>1.03482305056728</v>
      </c>
      <c r="K32" s="504">
        <v>1.03482305056728</v>
      </c>
      <c r="L32" s="504">
        <v>1.03482305056728</v>
      </c>
      <c r="M32" s="504">
        <v>1.03482305056728</v>
      </c>
      <c r="N32" s="504">
        <v>1.03482305056728</v>
      </c>
      <c r="O32" s="142"/>
    </row>
    <row r="33" spans="1:119">
      <c r="A33" s="114"/>
      <c r="B33" t="s">
        <v>1251</v>
      </c>
      <c r="C33" s="504">
        <v>1.0644101229548599</v>
      </c>
      <c r="D33" s="504">
        <v>1.0644101229548599</v>
      </c>
      <c r="E33" s="504">
        <v>1.0644101229548599</v>
      </c>
      <c r="F33" s="504">
        <v>1.0644101229548599</v>
      </c>
      <c r="G33" s="504">
        <v>1.0644101229548599</v>
      </c>
      <c r="H33" s="504">
        <v>1.0644101229548599</v>
      </c>
      <c r="I33" s="504">
        <v>1.0644101229548599</v>
      </c>
      <c r="J33" s="504">
        <v>1.0644101229548599</v>
      </c>
      <c r="K33" s="504">
        <v>1.0644101229548599</v>
      </c>
      <c r="L33" s="504">
        <v>1.0644101229548599</v>
      </c>
      <c r="M33" s="504">
        <v>1.0644101229548599</v>
      </c>
      <c r="N33" s="504">
        <v>1.0644101229548599</v>
      </c>
      <c r="O33" s="142"/>
    </row>
    <row r="34" spans="1:119">
      <c r="A34" s="114"/>
      <c r="B34" t="s">
        <v>1255</v>
      </c>
      <c r="C34" s="107">
        <f>HLOOKUP($B9,Summary_CP!$A$5:$N$161,107+C$9,FALSE)*1000</f>
        <v>0</v>
      </c>
      <c r="D34" s="107">
        <f>HLOOKUP($B9,Summary_CP!$A$5:$N$161,107+D$9,FALSE)*1000</f>
        <v>0</v>
      </c>
      <c r="E34" s="107">
        <f>HLOOKUP($B9,Summary_CP!$A$5:$N$161,107+E$9,FALSE)*1000</f>
        <v>0</v>
      </c>
      <c r="F34" s="107">
        <f>HLOOKUP($B9,Summary_CP!$A$5:$N$161,107+F$9,FALSE)*1000</f>
        <v>0</v>
      </c>
      <c r="G34" s="107">
        <f>HLOOKUP($B9,Summary_CP!$A$5:$N$161,107+G$9,FALSE)*1000</f>
        <v>0</v>
      </c>
      <c r="H34" s="107">
        <f>HLOOKUP($B9,Summary_CP!$A$5:$N$161,107+H$9,FALSE)*1000</f>
        <v>0</v>
      </c>
      <c r="I34" s="107">
        <f>HLOOKUP($B9,Summary_CP!$A$5:$N$161,107+I$9,FALSE)*1000</f>
        <v>0</v>
      </c>
      <c r="J34" s="107">
        <f>HLOOKUP($B9,Summary_CP!$A$5:$N$161,107+J$9,FALSE)*1000</f>
        <v>0</v>
      </c>
      <c r="K34" s="107">
        <f>HLOOKUP($B9,Summary_CP!$A$5:$N$161,107+K$9,FALSE)*1000</f>
        <v>0</v>
      </c>
      <c r="L34" s="107">
        <f>HLOOKUP($B9,Summary_CP!$A$5:$N$161,107+L$9,FALSE)*1000</f>
        <v>0</v>
      </c>
      <c r="M34" s="107">
        <f>HLOOKUP($B9,Summary_CP!$A$5:$N$161,107+M$9,FALSE)*1000</f>
        <v>0</v>
      </c>
      <c r="N34" s="107">
        <f>HLOOKUP($B9,Summary_CP!$A$5:$N$161,107+N$9,FALSE)*1000</f>
        <v>0</v>
      </c>
      <c r="O34" s="142"/>
    </row>
    <row r="35" spans="1:119">
      <c r="A35" s="114"/>
      <c r="B35" t="s">
        <v>1256</v>
      </c>
      <c r="C35" s="107">
        <f>IFERROR((C34*C27*C31)+(C34*C28*C32)+(C34*C29*C33),0)</f>
        <v>0</v>
      </c>
      <c r="D35" s="107">
        <f t="shared" ref="D35:N35" si="0">IFERROR((D34*D27*D31)+(D34*D28*D32)+(D34*D29*D33),0)</f>
        <v>0</v>
      </c>
      <c r="E35" s="107">
        <f t="shared" si="0"/>
        <v>0</v>
      </c>
      <c r="F35" s="107">
        <f t="shared" si="0"/>
        <v>0</v>
      </c>
      <c r="G35" s="107">
        <f t="shared" si="0"/>
        <v>0</v>
      </c>
      <c r="H35" s="107">
        <f t="shared" si="0"/>
        <v>0</v>
      </c>
      <c r="I35" s="107">
        <f t="shared" si="0"/>
        <v>0</v>
      </c>
      <c r="J35" s="107">
        <f t="shared" si="0"/>
        <v>0</v>
      </c>
      <c r="K35" s="107">
        <f t="shared" si="0"/>
        <v>0</v>
      </c>
      <c r="L35" s="107">
        <f t="shared" si="0"/>
        <v>0</v>
      </c>
      <c r="M35" s="107">
        <f t="shared" si="0"/>
        <v>0</v>
      </c>
      <c r="N35" s="107">
        <f t="shared" si="0"/>
        <v>0</v>
      </c>
      <c r="O35" s="142"/>
    </row>
    <row r="36" spans="1:119">
      <c r="A36" s="114"/>
      <c r="B36" t="s">
        <v>1264</v>
      </c>
      <c r="C36" s="235">
        <f>C35+FKEC!C35+HOMESTEAD!C35+LCEC!C36+'NEW SMYRNA'!C35+QUINCY!C35+SEMINOLE!C36+'WINTER PARK'!C35+WAUCHULA!C35</f>
        <v>1228831.3297315862</v>
      </c>
      <c r="D36" s="235">
        <f>D35+FKEC!D35+HOMESTEAD!D35+LCEC!D36+'NEW SMYRNA'!D35+QUINCY!D35+SEMINOLE!D36+'WINTER PARK'!D35+WAUCHULA!D35</f>
        <v>1010133.5524307521</v>
      </c>
      <c r="E36" s="235">
        <f>E35+FKEC!E35+HOMESTEAD!E35+LCEC!E36+'NEW SMYRNA'!E35+QUINCY!E35+SEMINOLE!E36+'WINTER PARK'!E35+WAUCHULA!E35</f>
        <v>950254.07441993814</v>
      </c>
      <c r="F36" s="235">
        <f>F35+FKEC!F35+HOMESTEAD!F35+LCEC!F36+'NEW SMYRNA'!F35+QUINCY!F35+SEMINOLE!F36+'WINTER PARK'!F35+WAUCHULA!F35</f>
        <v>959201.22858601715</v>
      </c>
      <c r="G36" s="235">
        <f>G35+FKEC!G35+HOMESTEAD!G35+LCEC!G36+'NEW SMYRNA'!G35+QUINCY!G35+SEMINOLE!G36+'WINTER PARK'!G35+WAUCHULA!G35</f>
        <v>1065854.2376846557</v>
      </c>
      <c r="H36" s="235">
        <f>H35+FKEC!H35+HOMESTEAD!H35+LCEC!H36+'NEW SMYRNA'!H35+QUINCY!H35+SEMINOLE!H36+'WINTER PARK'!H35+WAUCHULA!H35</f>
        <v>1140353.9142618102</v>
      </c>
      <c r="I36" s="235">
        <f>I35+FKEC!I35+HOMESTEAD!I35+LCEC!I36+'NEW SMYRNA'!I35+QUINCY!I35+SEMINOLE!I36+'WINTER PARK'!I35+WAUCHULA!I35</f>
        <v>1132054.8391980769</v>
      </c>
      <c r="J36" s="235">
        <f>J35+FKEC!J35+HOMESTEAD!J35+LCEC!J36+'NEW SMYRNA'!J35+QUINCY!J35+SEMINOLE!J36+'WINTER PARK'!J35+WAUCHULA!J35</f>
        <v>1312333.3808478254</v>
      </c>
      <c r="K36" s="235">
        <f>K35+FKEC!K35+HOMESTEAD!K35+LCEC!K36+'NEW SMYRNA'!K35+QUINCY!K35+SEMINOLE!K36+'WINTER PARK'!K35+WAUCHULA!K35</f>
        <v>1038758.3890285973</v>
      </c>
      <c r="L36" s="235">
        <f>L35+FKEC!L35+HOMESTEAD!L35+LCEC!L36+'NEW SMYRNA'!L35+QUINCY!L35+SEMINOLE!L36+'WINTER PARK'!L35+WAUCHULA!L35</f>
        <v>1068943.4704556046</v>
      </c>
      <c r="M36" s="235">
        <f>M35+FKEC!M35+HOMESTEAD!M35+LCEC!M36+'NEW SMYRNA'!M35+QUINCY!M35+SEMINOLE!M36+'WINTER PARK'!M35+WAUCHULA!M35</f>
        <v>923783.94692739786</v>
      </c>
      <c r="N36" s="235">
        <f>N35+FKEC!N35+HOMESTEAD!N35+LCEC!N36+'NEW SMYRNA'!N35+QUINCY!N35+SEMINOLE!N36+'WINTER PARK'!N35+WAUCHULA!N35</f>
        <v>882247.02789984096</v>
      </c>
      <c r="O36" s="142"/>
    </row>
    <row r="37" spans="1:119">
      <c r="A37" s="114"/>
      <c r="B37" t="s">
        <v>1265</v>
      </c>
      <c r="C37" s="235">
        <f>'2017 CP (FNG)'!B12*1000-C36</f>
        <v>-26260.067304411205</v>
      </c>
      <c r="D37" s="235">
        <f>'2017 CP (FNG)'!C12*1000-D36</f>
        <v>-21586.506163599784</v>
      </c>
      <c r="E37" s="235">
        <f>'2017 CP (FNG)'!D12*1000-E36</f>
        <v>-20306.884555107215</v>
      </c>
      <c r="F37" s="235">
        <f>'2017 CP (FNG)'!E12*1000-F36</f>
        <v>-20498.084815793671</v>
      </c>
      <c r="G37" s="235">
        <f>'2017 CP (FNG)'!F12*1000-G36</f>
        <v>-22777.254567886703</v>
      </c>
      <c r="H37" s="235">
        <f>'2017 CP (FNG)'!G12*1000-H36</f>
        <v>-24369.30912715639</v>
      </c>
      <c r="I37" s="235">
        <f>'2017 CP (FNG)'!H12*1000-I36</f>
        <v>-24191.95828618668</v>
      </c>
      <c r="J37" s="235">
        <f>'2017 CP (FNG)'!I12*1000-J36</f>
        <v>-28044.502181122778</v>
      </c>
      <c r="K37" s="235">
        <f>'2017 CP (FNG)'!J12*1000-K36</f>
        <v>-22198.217565685627</v>
      </c>
      <c r="L37" s="235">
        <f>'2017 CP (FNG)'!K12*1000-L36</f>
        <v>-22843.271325859241</v>
      </c>
      <c r="M37" s="235">
        <f>'2017 CP (FNG)'!L12*1000-M36</f>
        <v>-19741.219184529502</v>
      </c>
      <c r="N37" s="235">
        <f>'2017 CP (FNG)'!M12*1000-N36</f>
        <v>-18853.577192589175</v>
      </c>
      <c r="O37" s="142"/>
    </row>
    <row r="38" spans="1:119">
      <c r="A38" s="114"/>
      <c r="B38" t="s">
        <v>1259</v>
      </c>
      <c r="C38" s="235">
        <f>IFERROR(C35*C37/C36,0)</f>
        <v>0</v>
      </c>
      <c r="D38" s="235">
        <f t="shared" ref="D38:N38" si="1">IFERROR(D35*D37/D36,0)</f>
        <v>0</v>
      </c>
      <c r="E38" s="235">
        <f t="shared" si="1"/>
        <v>0</v>
      </c>
      <c r="F38" s="235">
        <f t="shared" si="1"/>
        <v>0</v>
      </c>
      <c r="G38" s="235">
        <f t="shared" si="1"/>
        <v>0</v>
      </c>
      <c r="H38" s="235">
        <f t="shared" si="1"/>
        <v>0</v>
      </c>
      <c r="I38" s="235">
        <f t="shared" si="1"/>
        <v>0</v>
      </c>
      <c r="J38" s="235">
        <f t="shared" si="1"/>
        <v>0</v>
      </c>
      <c r="K38" s="235">
        <f t="shared" si="1"/>
        <v>0</v>
      </c>
      <c r="L38" s="235">
        <f t="shared" si="1"/>
        <v>0</v>
      </c>
      <c r="M38" s="235">
        <f t="shared" si="1"/>
        <v>0</v>
      </c>
      <c r="N38" s="235">
        <f t="shared" si="1"/>
        <v>0</v>
      </c>
      <c r="O38" s="142"/>
    </row>
    <row r="39" spans="1:119">
      <c r="A39" s="114"/>
      <c r="B39" t="s">
        <v>1260</v>
      </c>
      <c r="C39" s="235">
        <f>IFERROR(((C38*C27)/C31)+((C38*C28)/C32)+((C38*C29)/C33),0)</f>
        <v>0</v>
      </c>
      <c r="D39" s="235">
        <f t="shared" ref="D39:N39" si="2">IFERROR(((D38*D27)/D31)+((D38*D28)/D32)+((D38*D29)/D33),0)</f>
        <v>0</v>
      </c>
      <c r="E39" s="235">
        <f t="shared" si="2"/>
        <v>0</v>
      </c>
      <c r="F39" s="235">
        <f t="shared" si="2"/>
        <v>0</v>
      </c>
      <c r="G39" s="235">
        <f t="shared" si="2"/>
        <v>0</v>
      </c>
      <c r="H39" s="235">
        <f t="shared" si="2"/>
        <v>0</v>
      </c>
      <c r="I39" s="235">
        <f t="shared" si="2"/>
        <v>0</v>
      </c>
      <c r="J39" s="235">
        <f t="shared" si="2"/>
        <v>0</v>
      </c>
      <c r="K39" s="235">
        <f t="shared" si="2"/>
        <v>0</v>
      </c>
      <c r="L39" s="235">
        <f t="shared" si="2"/>
        <v>0</v>
      </c>
      <c r="M39" s="235">
        <f t="shared" si="2"/>
        <v>0</v>
      </c>
      <c r="N39" s="235">
        <f t="shared" si="2"/>
        <v>0</v>
      </c>
      <c r="O39" s="142"/>
    </row>
    <row r="40" spans="1:119" ht="15.6">
      <c r="A40" s="114"/>
      <c r="B40" s="513">
        <v>2018</v>
      </c>
      <c r="C40" s="235"/>
      <c r="D40" s="235"/>
      <c r="E40" s="235"/>
      <c r="F40" s="235"/>
      <c r="G40" s="235"/>
      <c r="H40" s="235"/>
      <c r="I40" s="235"/>
      <c r="J40" s="235"/>
      <c r="K40" s="235"/>
      <c r="L40" s="235"/>
      <c r="M40" s="235"/>
      <c r="N40" s="235"/>
      <c r="O40" s="142"/>
    </row>
    <row r="41" spans="1:119">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c r="O41" s="142"/>
    </row>
    <row r="42" spans="1:119">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row>
    <row r="43" spans="1:119">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c r="O43" s="142"/>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row>
    <row r="44" spans="1:119">
      <c r="A44" s="114"/>
      <c r="B44" t="s">
        <v>1255</v>
      </c>
      <c r="C44" s="235">
        <f>HLOOKUP($B9,Summary_CP!$A$5:$N$161,119+C$9,FALSE)*1000</f>
        <v>0</v>
      </c>
      <c r="D44" s="235">
        <f>HLOOKUP($B9,Summary_CP!$A$5:$N$161,119+D$9,FALSE)*1000</f>
        <v>0</v>
      </c>
      <c r="E44" s="235">
        <f>HLOOKUP($B9,Summary_CP!$A$5:$N$161,119+E$9,FALSE)*1000</f>
        <v>0</v>
      </c>
      <c r="F44" s="235">
        <f>HLOOKUP($B9,Summary_CP!$A$5:$N$161,119+F$9,FALSE)*1000</f>
        <v>0</v>
      </c>
      <c r="G44" s="235">
        <f>HLOOKUP($B9,Summary_CP!$A$5:$N$161,119+G$9,FALSE)*1000</f>
        <v>0</v>
      </c>
      <c r="H44" s="235">
        <f>HLOOKUP($B9,Summary_CP!$A$5:$N$161,119+H$9,FALSE)*1000</f>
        <v>0</v>
      </c>
      <c r="I44" s="235">
        <f>HLOOKUP($B9,Summary_CP!$A$5:$N$161,119+I$9,FALSE)*1000</f>
        <v>0</v>
      </c>
      <c r="J44" s="235">
        <f>HLOOKUP($B9,Summary_CP!$A$5:$N$161,119+J$9,FALSE)*1000</f>
        <v>0</v>
      </c>
      <c r="K44" s="235">
        <f>HLOOKUP($B9,Summary_CP!$A$5:$N$161,119+K$9,FALSE)*1000</f>
        <v>0</v>
      </c>
      <c r="L44" s="235">
        <f>HLOOKUP($B9,Summary_CP!$A$5:$N$161,119+L$9,FALSE)*1000</f>
        <v>0</v>
      </c>
      <c r="M44" s="235">
        <f>HLOOKUP($B9,Summary_CP!$A$5:$N$161,119+M$9,FALSE)*1000</f>
        <v>0</v>
      </c>
      <c r="N44" s="235">
        <f>HLOOKUP($B9,Summary_CP!$A$5:$N$161,119+N$9,FALSE)*1000</f>
        <v>0</v>
      </c>
      <c r="O44" s="142"/>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row>
    <row r="45" spans="1:119">
      <c r="A45" s="114"/>
      <c r="B45" t="s">
        <v>1256</v>
      </c>
      <c r="C45" s="107">
        <f>(C44*C27*C41)+(C44*C28*C42)+(C44*C29*C43)</f>
        <v>0</v>
      </c>
      <c r="D45" s="107">
        <f t="shared" ref="D45:N45" si="3">(D44*D27*D41)+(D44*D28*D42)+(D44*D29*D43)</f>
        <v>0</v>
      </c>
      <c r="E45" s="107">
        <f t="shared" si="3"/>
        <v>0</v>
      </c>
      <c r="F45" s="107">
        <f t="shared" si="3"/>
        <v>0</v>
      </c>
      <c r="G45" s="107">
        <f t="shared" si="3"/>
        <v>0</v>
      </c>
      <c r="H45" s="107">
        <f t="shared" si="3"/>
        <v>0</v>
      </c>
      <c r="I45" s="107">
        <f t="shared" si="3"/>
        <v>0</v>
      </c>
      <c r="J45" s="107">
        <f t="shared" si="3"/>
        <v>0</v>
      </c>
      <c r="K45" s="107">
        <f t="shared" si="3"/>
        <v>0</v>
      </c>
      <c r="L45" s="107">
        <f t="shared" si="3"/>
        <v>0</v>
      </c>
      <c r="M45" s="107">
        <f t="shared" si="3"/>
        <v>0</v>
      </c>
      <c r="N45" s="107">
        <f t="shared" si="3"/>
        <v>0</v>
      </c>
      <c r="O45" s="142"/>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row>
    <row r="46" spans="1:119">
      <c r="A46" s="114"/>
      <c r="B46" t="s">
        <v>1257</v>
      </c>
      <c r="C46" s="235">
        <f>C45+FKEC!C45+HOMESTEAD!C45+LCEC!C46+'NEW SMYRNA'!C45+QUINCY!C45+SEMINOLE!C46+'WINTER PARK'!C45+WAUCHULA!C45</f>
        <v>1187849.8564563922</v>
      </c>
      <c r="D46" s="235">
        <f>D45+FKEC!D45+HOMESTEAD!D45+LCEC!D46+'NEW SMYRNA'!D45+QUINCY!D45+SEMINOLE!D46+'WINTER PARK'!D45+WAUCHULA!D45</f>
        <v>1012049.3914328514</v>
      </c>
      <c r="E46" s="235">
        <f>E45+FKEC!E45+HOMESTEAD!E45+LCEC!E46+'NEW SMYRNA'!E45+QUINCY!E45+SEMINOLE!E46+'WINTER PARK'!E45+WAUCHULA!E45</f>
        <v>952115.03381284571</v>
      </c>
      <c r="F46" s="235">
        <f>F45+FKEC!F45+HOMESTEAD!F45+LCEC!F46+'NEW SMYRNA'!F45+QUINCY!F45+SEMINOLE!F46+'WINTER PARK'!F45+WAUCHULA!F45</f>
        <v>964452.787497274</v>
      </c>
      <c r="G46" s="235">
        <f>G45+FKEC!G45+HOMESTEAD!G45+LCEC!G46+'NEW SMYRNA'!G45+QUINCY!G45+SEMINOLE!G46+'WINTER PARK'!G45+WAUCHULA!G45</f>
        <v>1071028.6042288018</v>
      </c>
      <c r="H46" s="235">
        <f>H45+FKEC!H45+HOMESTEAD!H45+LCEC!H46+'NEW SMYRNA'!H45+QUINCY!H45+SEMINOLE!H46+'WINTER PARK'!H45+WAUCHULA!H45</f>
        <v>1144619.2235030248</v>
      </c>
      <c r="I46" s="235">
        <f>I45+FKEC!I45+HOMESTEAD!I45+LCEC!I46+'NEW SMYRNA'!I45+QUINCY!I45+SEMINOLE!I46+'WINTER PARK'!I45+WAUCHULA!I45</f>
        <v>1139032.5608989701</v>
      </c>
      <c r="J46" s="235">
        <f>J45+FKEC!J45+HOMESTEAD!J45+LCEC!J46+'NEW SMYRNA'!J45+QUINCY!J45+SEMINOLE!J46+'WINTER PARK'!J45+WAUCHULA!J45</f>
        <v>1275574.8512023324</v>
      </c>
      <c r="K46" s="235">
        <f>K45+FKEC!K45+HOMESTEAD!K45+LCEC!K46+'NEW SMYRNA'!K45+QUINCY!K45+SEMINOLE!K46+'WINTER PARK'!K45+WAUCHULA!K45</f>
        <v>1044148.3639893566</v>
      </c>
      <c r="L46" s="235">
        <f>L45+FKEC!L45+HOMESTEAD!L45+LCEC!L46+'NEW SMYRNA'!L45+QUINCY!L45+SEMINOLE!L46+'WINTER PARK'!L45+WAUCHULA!L45</f>
        <v>1072810.0069048663</v>
      </c>
      <c r="M46" s="235">
        <f>M45+FKEC!M45+HOMESTEAD!M45+LCEC!M46+'NEW SMYRNA'!M45+QUINCY!M45+SEMINOLE!M46+'WINTER PARK'!M45+WAUCHULA!M45</f>
        <v>926247.14475638454</v>
      </c>
      <c r="N46" s="235">
        <f>N45+FKEC!N45+HOMESTEAD!N45+LCEC!N46+'NEW SMYRNA'!N45+QUINCY!N45+SEMINOLE!N46+'WINTER PARK'!N45+WAUCHULA!N45</f>
        <v>884985.90326947428</v>
      </c>
      <c r="O46" s="142"/>
    </row>
    <row r="47" spans="1:119">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c r="O47" s="142"/>
    </row>
    <row r="48" spans="1:119">
      <c r="A48" s="114"/>
      <c r="B48" t="s">
        <v>1259</v>
      </c>
      <c r="C48" s="235">
        <f>C45*C47/C46</f>
        <v>0</v>
      </c>
      <c r="D48" s="235">
        <f t="shared" ref="D48:N48" si="4">D45*D47/D46</f>
        <v>0</v>
      </c>
      <c r="E48" s="235">
        <f t="shared" si="4"/>
        <v>0</v>
      </c>
      <c r="F48" s="235">
        <f t="shared" si="4"/>
        <v>0</v>
      </c>
      <c r="G48" s="235">
        <f t="shared" si="4"/>
        <v>0</v>
      </c>
      <c r="H48" s="235">
        <f t="shared" si="4"/>
        <v>0</v>
      </c>
      <c r="I48" s="235">
        <f t="shared" si="4"/>
        <v>0</v>
      </c>
      <c r="J48" s="235">
        <f t="shared" si="4"/>
        <v>0</v>
      </c>
      <c r="K48" s="235">
        <f t="shared" si="4"/>
        <v>0</v>
      </c>
      <c r="L48" s="235">
        <f t="shared" si="4"/>
        <v>0</v>
      </c>
      <c r="M48" s="235">
        <f t="shared" si="4"/>
        <v>0</v>
      </c>
      <c r="N48" s="235">
        <f t="shared" si="4"/>
        <v>0</v>
      </c>
      <c r="O48" s="142"/>
    </row>
    <row r="49" spans="1:16">
      <c r="A49" s="114"/>
      <c r="B49" t="s">
        <v>1260</v>
      </c>
      <c r="C49" s="235">
        <f>((C48*C27)/C41)+((C48*C28)/C42)+((C48*C29)/C43)</f>
        <v>0</v>
      </c>
      <c r="D49" s="235">
        <f t="shared" ref="D49:N49" si="5">((D48*D27)/D41)+((D48*D28)/D42)+((D48*D29)/D43)</f>
        <v>0</v>
      </c>
      <c r="E49" s="235">
        <f t="shared" si="5"/>
        <v>0</v>
      </c>
      <c r="F49" s="235">
        <f t="shared" si="5"/>
        <v>0</v>
      </c>
      <c r="G49" s="235">
        <f t="shared" si="5"/>
        <v>0</v>
      </c>
      <c r="H49" s="235">
        <f t="shared" si="5"/>
        <v>0</v>
      </c>
      <c r="I49" s="235">
        <f t="shared" si="5"/>
        <v>0</v>
      </c>
      <c r="J49" s="235">
        <f t="shared" si="5"/>
        <v>0</v>
      </c>
      <c r="K49" s="235">
        <f t="shared" si="5"/>
        <v>0</v>
      </c>
      <c r="L49" s="235">
        <f t="shared" si="5"/>
        <v>0</v>
      </c>
      <c r="M49" s="235">
        <f t="shared" si="5"/>
        <v>0</v>
      </c>
      <c r="N49" s="235">
        <f t="shared" si="5"/>
        <v>0</v>
      </c>
      <c r="O49" s="142"/>
    </row>
    <row r="50" spans="1:16">
      <c r="A50" s="114"/>
    </row>
    <row r="51" spans="1:16" ht="17.399999999999999">
      <c r="A51" s="147" t="s">
        <v>425</v>
      </c>
    </row>
    <row r="52" spans="1:16" ht="15.6">
      <c r="A52" s="113"/>
      <c r="B52" s="146" t="str">
        <f>"PRIOR - "&amp;MANUAL!$B$9</f>
        <v>PRIOR - 2016</v>
      </c>
      <c r="C52" s="5"/>
      <c r="D52" s="5"/>
      <c r="E52" s="5"/>
      <c r="F52" s="5"/>
      <c r="G52" s="5"/>
      <c r="H52" s="5"/>
      <c r="I52" s="5"/>
      <c r="J52" s="5"/>
      <c r="K52" s="5"/>
      <c r="L52" s="5"/>
      <c r="M52" s="5"/>
      <c r="N52" s="5"/>
    </row>
    <row r="53" spans="1:16" s="12" customFormat="1" ht="15.6">
      <c r="A53" s="111"/>
      <c r="B53" s="149" t="s">
        <v>432</v>
      </c>
      <c r="C53" s="107">
        <f>HLOOKUP($B9,Summary_CP!$A$5:$N$161,95+C$9,FALSE)*1000</f>
        <v>9000</v>
      </c>
      <c r="D53" s="107">
        <f>HLOOKUP($B9,Summary_CP!$A$5:$N$161,95+D$9,FALSE)*1000</f>
        <v>9000</v>
      </c>
      <c r="E53" s="107">
        <f>HLOOKUP($B9,Summary_CP!$A$5:$N$161,95+E$9,FALSE)*1000</f>
        <v>9000</v>
      </c>
      <c r="F53" s="107">
        <f>HLOOKUP($B9,Summary_CP!$A$5:$N$161,95+F$9,FALSE)*1000</f>
        <v>9000</v>
      </c>
      <c r="G53" s="107">
        <f>HLOOKUP($B9,Summary_CP!$A$5:$N$161,95+G$9,FALSE)*1000</f>
        <v>9000</v>
      </c>
      <c r="H53" s="107">
        <f>HLOOKUP($B9,Summary_CP!$A$5:$N$161,95+H$9,FALSE)*1000</f>
        <v>9000</v>
      </c>
      <c r="I53" s="107">
        <f>HLOOKUP($B9,Summary_CP!$A$5:$N$161,95+I$9,FALSE)*1000</f>
        <v>9000</v>
      </c>
      <c r="J53" s="107">
        <f>HLOOKUP($B9,Summary_CP!$A$5:$N$161,95+J$9,FALSE)*1000</f>
        <v>9000</v>
      </c>
      <c r="K53" s="107">
        <f>HLOOKUP($B9,Summary_CP!$A$5:$N$161,95+K$9,FALSE)*1000</f>
        <v>9000</v>
      </c>
      <c r="L53" s="107">
        <f>HLOOKUP($B9,Summary_CP!$A$5:$N$161,95+L$9,FALSE)*1000</f>
        <v>9000</v>
      </c>
      <c r="M53" s="107">
        <f>HLOOKUP($B9,Summary_CP!$A$5:$N$161,95+M$9,FALSE)*1000</f>
        <v>9000</v>
      </c>
      <c r="N53" s="107">
        <f>HLOOKUP($B9,Summary_CP!$A$5:$N$161,95+N$9,FALSE)*1000</f>
        <v>9000</v>
      </c>
      <c r="P53" s="152">
        <f>AVERAGE(C53:N53)</f>
        <v>9000</v>
      </c>
    </row>
    <row r="54" spans="1:16" s="12" customFormat="1" ht="15.6">
      <c r="A54" s="111"/>
      <c r="B54" s="149" t="s">
        <v>430</v>
      </c>
      <c r="C54" s="107">
        <f>C55</f>
        <v>9000</v>
      </c>
      <c r="D54" s="107">
        <f t="shared" ref="D54:N54" si="6">D55</f>
        <v>9000</v>
      </c>
      <c r="E54" s="107">
        <f t="shared" si="6"/>
        <v>9000</v>
      </c>
      <c r="F54" s="107">
        <f t="shared" si="6"/>
        <v>9000</v>
      </c>
      <c r="G54" s="107">
        <f t="shared" si="6"/>
        <v>9000</v>
      </c>
      <c r="H54" s="107">
        <f t="shared" si="6"/>
        <v>9000</v>
      </c>
      <c r="I54" s="107">
        <f t="shared" si="6"/>
        <v>9000</v>
      </c>
      <c r="J54" s="107">
        <f t="shared" si="6"/>
        <v>9000</v>
      </c>
      <c r="K54" s="107">
        <f t="shared" si="6"/>
        <v>9000</v>
      </c>
      <c r="L54" s="107">
        <f t="shared" si="6"/>
        <v>9000</v>
      </c>
      <c r="M54" s="107">
        <f t="shared" si="6"/>
        <v>9000</v>
      </c>
      <c r="N54" s="107">
        <f t="shared" si="6"/>
        <v>9000</v>
      </c>
      <c r="P54" s="152">
        <f>AVERAGE(C54:N54)</f>
        <v>9000</v>
      </c>
    </row>
    <row r="55" spans="1:16" s="106" customFormat="1">
      <c r="A55" s="109"/>
      <c r="B55" s="149" t="s">
        <v>133</v>
      </c>
      <c r="C55" s="107">
        <f>HLOOKUP($B$9,'Summary_NCP '!$C$5:$M$677,95+C$9,FALSE)*1000</f>
        <v>9000</v>
      </c>
      <c r="D55" s="107">
        <f>HLOOKUP($B$9,'Summary_NCP '!$C$5:$M$677,95+D$9,FALSE)*1000</f>
        <v>9000</v>
      </c>
      <c r="E55" s="107">
        <f>HLOOKUP($B$9,'Summary_NCP '!$C$5:$M$677,95+E$9,FALSE)*1000</f>
        <v>9000</v>
      </c>
      <c r="F55" s="107">
        <f>HLOOKUP($B$9,'Summary_NCP '!$C$5:$M$677,95+F$9,FALSE)*1000</f>
        <v>9000</v>
      </c>
      <c r="G55" s="107">
        <f>HLOOKUP($B$9,'Summary_NCP '!$C$5:$M$677,95+G$9,FALSE)*1000</f>
        <v>9000</v>
      </c>
      <c r="H55" s="107">
        <f>HLOOKUP($B$9,'Summary_NCP '!$C$5:$M$677,95+H$9,FALSE)*1000</f>
        <v>9000</v>
      </c>
      <c r="I55" s="107">
        <f>HLOOKUP($B$9,'Summary_NCP '!$C$5:$M$677,95+I$9,FALSE)*1000</f>
        <v>9000</v>
      </c>
      <c r="J55" s="107">
        <f>HLOOKUP($B$9,'Summary_NCP '!$C$5:$M$677,95+J$9,FALSE)*1000</f>
        <v>9000</v>
      </c>
      <c r="K55" s="107">
        <f>HLOOKUP($B$9,'Summary_NCP '!$C$5:$M$677,95+K$9,FALSE)*1000</f>
        <v>9000</v>
      </c>
      <c r="L55" s="107">
        <f>HLOOKUP($B$9,'Summary_NCP '!$C$5:$M$677,95+L$9,FALSE)*1000</f>
        <v>9000</v>
      </c>
      <c r="M55" s="107">
        <f>HLOOKUP($B$9,'Summary_NCP '!$C$5:$M$677,95+M$9,FALSE)*1000</f>
        <v>9000</v>
      </c>
      <c r="N55" s="107">
        <f>HLOOKUP($B$9,'Summary_NCP '!$C$5:$M$677,95+N$9,FALSE)*1000</f>
        <v>9000</v>
      </c>
      <c r="P55" s="152">
        <f>AVERAGE(C55:N55)</f>
        <v>9000</v>
      </c>
    </row>
    <row r="56" spans="1:16" s="106" customFormat="1" ht="16.5" customHeight="1">
      <c r="A56" s="109"/>
      <c r="B56" s="108"/>
      <c r="C56" s="107"/>
      <c r="D56" s="107"/>
      <c r="E56" s="107"/>
      <c r="F56" s="107"/>
      <c r="G56" s="107"/>
      <c r="H56" s="107"/>
      <c r="I56" s="107"/>
      <c r="J56" s="107"/>
      <c r="K56" s="107"/>
      <c r="L56" s="107"/>
      <c r="M56" s="107"/>
      <c r="N56" s="107"/>
    </row>
    <row r="57" spans="1:16" s="106" customFormat="1" ht="16.5" customHeight="1">
      <c r="A57" s="109"/>
      <c r="B57" s="146" t="str">
        <f>"TEST - "&amp;MANUAL!$B$10</f>
        <v>TEST - 2017</v>
      </c>
      <c r="C57" s="107"/>
      <c r="D57" s="107"/>
      <c r="E57" s="107"/>
      <c r="F57" s="107"/>
      <c r="G57" s="107"/>
      <c r="H57" s="107"/>
      <c r="I57" s="107"/>
      <c r="J57" s="107"/>
      <c r="K57" s="107"/>
      <c r="L57" s="107"/>
      <c r="M57" s="107"/>
      <c r="N57" s="107"/>
    </row>
    <row r="58" spans="1:16" s="106" customFormat="1" ht="16.5" customHeight="1">
      <c r="A58" s="109"/>
      <c r="B58" s="149" t="s">
        <v>432</v>
      </c>
      <c r="C58" s="107">
        <f>C34+C39</f>
        <v>0</v>
      </c>
      <c r="D58" s="107">
        <f>D34+D39</f>
        <v>0</v>
      </c>
      <c r="E58" s="107">
        <f t="shared" ref="E58:N58" si="7">E34+E39</f>
        <v>0</v>
      </c>
      <c r="F58" s="107">
        <f t="shared" si="7"/>
        <v>0</v>
      </c>
      <c r="G58" s="107">
        <f t="shared" si="7"/>
        <v>0</v>
      </c>
      <c r="H58" s="107">
        <f t="shared" si="7"/>
        <v>0</v>
      </c>
      <c r="I58" s="107">
        <f t="shared" si="7"/>
        <v>0</v>
      </c>
      <c r="J58" s="107">
        <f t="shared" si="7"/>
        <v>0</v>
      </c>
      <c r="K58" s="107">
        <f t="shared" si="7"/>
        <v>0</v>
      </c>
      <c r="L58" s="107">
        <f t="shared" si="7"/>
        <v>0</v>
      </c>
      <c r="M58" s="107">
        <f t="shared" si="7"/>
        <v>0</v>
      </c>
      <c r="N58" s="107">
        <f t="shared" si="7"/>
        <v>0</v>
      </c>
      <c r="P58" s="152">
        <f>AVERAGE(C58:N58)</f>
        <v>0</v>
      </c>
    </row>
    <row r="59" spans="1:16" s="106" customFormat="1" ht="16.5" customHeight="1">
      <c r="A59" s="109"/>
      <c r="B59" s="149" t="s">
        <v>430</v>
      </c>
      <c r="C59" s="107">
        <f>C60</f>
        <v>0</v>
      </c>
      <c r="D59" s="107">
        <f t="shared" ref="D59:N59" si="8">D60</f>
        <v>0</v>
      </c>
      <c r="E59" s="107">
        <f t="shared" si="8"/>
        <v>0</v>
      </c>
      <c r="F59" s="107">
        <f t="shared" si="8"/>
        <v>0</v>
      </c>
      <c r="G59" s="107">
        <f t="shared" si="8"/>
        <v>0</v>
      </c>
      <c r="H59" s="107">
        <f t="shared" si="8"/>
        <v>0</v>
      </c>
      <c r="I59" s="107">
        <f t="shared" si="8"/>
        <v>0</v>
      </c>
      <c r="J59" s="107">
        <f t="shared" si="8"/>
        <v>0</v>
      </c>
      <c r="K59" s="107">
        <f t="shared" si="8"/>
        <v>0</v>
      </c>
      <c r="L59" s="107">
        <f t="shared" si="8"/>
        <v>0</v>
      </c>
      <c r="M59" s="107">
        <f t="shared" si="8"/>
        <v>0</v>
      </c>
      <c r="N59" s="107">
        <f t="shared" si="8"/>
        <v>0</v>
      </c>
      <c r="P59" s="152">
        <f>AVERAGE(C59:N59)</f>
        <v>0</v>
      </c>
    </row>
    <row r="60" spans="1:16" s="106" customFormat="1" ht="16.5" customHeight="1">
      <c r="A60" s="109"/>
      <c r="B60" s="149" t="s">
        <v>133</v>
      </c>
      <c r="C60" s="107">
        <f>HLOOKUP($B$9,'Summary_NCP '!$C$5:$M$677,107+C$9,FALSE)*1000</f>
        <v>0</v>
      </c>
      <c r="D60" s="107">
        <f>HLOOKUP($B$9,'Summary_NCP '!$C$5:$M$677,107+D$9,FALSE)*1000</f>
        <v>0</v>
      </c>
      <c r="E60" s="107">
        <f>HLOOKUP($B$9,'Summary_NCP '!$C$5:$M$677,107+E$9,FALSE)*1000</f>
        <v>0</v>
      </c>
      <c r="F60" s="107">
        <f>HLOOKUP($B$9,'Summary_NCP '!$C$5:$M$677,107+F$9,FALSE)*1000</f>
        <v>0</v>
      </c>
      <c r="G60" s="107">
        <f>HLOOKUP($B$9,'Summary_NCP '!$C$5:$M$677,107+G$9,FALSE)*1000</f>
        <v>0</v>
      </c>
      <c r="H60" s="107">
        <f>HLOOKUP($B$9,'Summary_NCP '!$C$5:$M$677,107+H$9,FALSE)*1000</f>
        <v>0</v>
      </c>
      <c r="I60" s="107">
        <f>HLOOKUP($B$9,'Summary_NCP '!$C$5:$M$677,107+I$9,FALSE)*1000</f>
        <v>0</v>
      </c>
      <c r="J60" s="107">
        <f>HLOOKUP($B$9,'Summary_NCP '!$C$5:$M$677,107+J$9,FALSE)*1000</f>
        <v>0</v>
      </c>
      <c r="K60" s="107">
        <f>HLOOKUP($B$9,'Summary_NCP '!$C$5:$M$677,107+K$9,FALSE)*1000</f>
        <v>0</v>
      </c>
      <c r="L60" s="107">
        <f>HLOOKUP($B$9,'Summary_NCP '!$C$5:$M$677,107+L$9,FALSE)*1000</f>
        <v>0</v>
      </c>
      <c r="M60" s="107">
        <f>HLOOKUP($B$9,'Summary_NCP '!$C$5:$M$677,107+M$9,FALSE)*1000</f>
        <v>0</v>
      </c>
      <c r="N60" s="107">
        <f>HLOOKUP($B$9,'Summary_NCP '!$C$5:$M$677,107+N$9,FALSE)*1000</f>
        <v>0</v>
      </c>
      <c r="P60" s="152">
        <f>AVERAGE(C60:N60)</f>
        <v>0</v>
      </c>
    </row>
    <row r="61" spans="1:16" s="106" customFormat="1" ht="16.5" customHeight="1">
      <c r="A61" s="109"/>
      <c r="B61" s="149" t="s">
        <v>158</v>
      </c>
      <c r="C61" s="499"/>
      <c r="D61" s="499"/>
      <c r="E61" s="499"/>
      <c r="F61" s="499"/>
      <c r="G61" s="499"/>
      <c r="H61" s="499"/>
      <c r="I61" s="499"/>
      <c r="J61" s="499"/>
      <c r="K61" s="499"/>
      <c r="L61" s="499"/>
      <c r="M61" s="499"/>
      <c r="N61" s="499"/>
      <c r="P61" s="152"/>
    </row>
    <row r="62" spans="1:16" s="106" customFormat="1" ht="16.5" customHeight="1">
      <c r="A62" s="109"/>
      <c r="B62" s="149" t="s">
        <v>988</v>
      </c>
      <c r="C62" s="499"/>
      <c r="D62" s="499"/>
      <c r="E62" s="499"/>
      <c r="F62" s="499"/>
      <c r="G62" s="499"/>
      <c r="H62" s="499"/>
      <c r="I62" s="499"/>
      <c r="J62" s="499"/>
      <c r="K62" s="499"/>
      <c r="L62" s="499"/>
      <c r="M62" s="499"/>
      <c r="N62" s="499"/>
      <c r="P62" s="152"/>
    </row>
    <row r="63" spans="1:16" s="106" customFormat="1" ht="16.5" customHeight="1">
      <c r="A63" s="109"/>
      <c r="B63" s="149" t="s">
        <v>150</v>
      </c>
      <c r="C63" s="499"/>
      <c r="D63" s="499"/>
      <c r="E63" s="499"/>
      <c r="F63" s="499"/>
      <c r="G63" s="499"/>
      <c r="H63" s="499"/>
      <c r="I63" s="499"/>
      <c r="J63" s="499"/>
      <c r="K63" s="499"/>
      <c r="L63" s="499"/>
      <c r="M63" s="499"/>
      <c r="N63" s="499"/>
      <c r="P63" s="152"/>
    </row>
    <row r="64" spans="1:16" s="106" customFormat="1" ht="16.5" customHeight="1">
      <c r="A64" s="109"/>
      <c r="B64" s="149"/>
      <c r="C64" s="107"/>
      <c r="D64" s="107"/>
      <c r="E64" s="107"/>
      <c r="F64" s="107"/>
      <c r="G64" s="107"/>
      <c r="H64" s="107"/>
      <c r="I64" s="107"/>
      <c r="J64" s="107"/>
      <c r="K64" s="107"/>
      <c r="L64" s="107"/>
      <c r="M64" s="107"/>
      <c r="N64" s="107"/>
      <c r="P64" s="152"/>
    </row>
    <row r="65" spans="1:16" s="106" customFormat="1" ht="16.5" customHeight="1">
      <c r="A65" s="109"/>
      <c r="B65" s="146" t="str">
        <f>"SUBSEQUENT - "&amp;MANUAL!$B$11</f>
        <v>SUBSEQUENT - 2018</v>
      </c>
      <c r="C65" s="107"/>
      <c r="D65" s="107"/>
      <c r="E65" s="107"/>
      <c r="F65" s="107"/>
      <c r="G65" s="107"/>
      <c r="H65" s="107"/>
      <c r="I65" s="107"/>
      <c r="J65" s="107"/>
      <c r="K65" s="107"/>
      <c r="L65" s="107"/>
      <c r="M65" s="107"/>
      <c r="N65" s="107"/>
    </row>
    <row r="66" spans="1:16" s="106" customFormat="1" ht="16.5" customHeight="1">
      <c r="A66" s="109"/>
      <c r="B66" s="149" t="s">
        <v>432</v>
      </c>
      <c r="C66" s="107">
        <f>C44+C49</f>
        <v>0</v>
      </c>
      <c r="D66" s="107">
        <f>D44+D49</f>
        <v>0</v>
      </c>
      <c r="E66" s="107">
        <f t="shared" ref="E66:N66" si="9">E44+E49</f>
        <v>0</v>
      </c>
      <c r="F66" s="107">
        <f t="shared" si="9"/>
        <v>0</v>
      </c>
      <c r="G66" s="107">
        <f t="shared" si="9"/>
        <v>0</v>
      </c>
      <c r="H66" s="107">
        <f t="shared" si="9"/>
        <v>0</v>
      </c>
      <c r="I66" s="107">
        <f t="shared" si="9"/>
        <v>0</v>
      </c>
      <c r="J66" s="107">
        <f t="shared" si="9"/>
        <v>0</v>
      </c>
      <c r="K66" s="107">
        <f t="shared" si="9"/>
        <v>0</v>
      </c>
      <c r="L66" s="107">
        <f t="shared" si="9"/>
        <v>0</v>
      </c>
      <c r="M66" s="107">
        <f t="shared" si="9"/>
        <v>0</v>
      </c>
      <c r="N66" s="107">
        <f t="shared" si="9"/>
        <v>0</v>
      </c>
      <c r="O66" s="145"/>
      <c r="P66" s="152">
        <f>AVERAGE(C66:N66)</f>
        <v>0</v>
      </c>
    </row>
    <row r="67" spans="1:16" s="106" customFormat="1" ht="16.5" customHeight="1">
      <c r="A67" s="109"/>
      <c r="B67" s="149" t="s">
        <v>430</v>
      </c>
      <c r="C67" s="107">
        <f>C68</f>
        <v>0</v>
      </c>
      <c r="D67" s="107">
        <f t="shared" ref="D67:N67" si="10">D68</f>
        <v>0</v>
      </c>
      <c r="E67" s="107">
        <f t="shared" si="10"/>
        <v>0</v>
      </c>
      <c r="F67" s="107">
        <f t="shared" si="10"/>
        <v>0</v>
      </c>
      <c r="G67" s="107">
        <f t="shared" si="10"/>
        <v>0</v>
      </c>
      <c r="H67" s="107">
        <f t="shared" si="10"/>
        <v>0</v>
      </c>
      <c r="I67" s="107">
        <f t="shared" si="10"/>
        <v>0</v>
      </c>
      <c r="J67" s="107">
        <f t="shared" si="10"/>
        <v>0</v>
      </c>
      <c r="K67" s="107">
        <f t="shared" si="10"/>
        <v>0</v>
      </c>
      <c r="L67" s="107">
        <f t="shared" si="10"/>
        <v>0</v>
      </c>
      <c r="M67" s="107">
        <f t="shared" si="10"/>
        <v>0</v>
      </c>
      <c r="N67" s="107">
        <f t="shared" si="10"/>
        <v>0</v>
      </c>
      <c r="O67" s="107"/>
      <c r="P67" s="152">
        <f>AVERAGE(C67:N67)</f>
        <v>0</v>
      </c>
    </row>
    <row r="68" spans="1:16" s="106" customFormat="1" ht="16.5" customHeight="1">
      <c r="A68" s="109"/>
      <c r="B68" s="149" t="s">
        <v>133</v>
      </c>
      <c r="C68" s="107">
        <f>HLOOKUP($B$9,'Summary_NCP '!$C$5:$M$677,119+C$9,FALSE)*1000</f>
        <v>0</v>
      </c>
      <c r="D68" s="107">
        <f>HLOOKUP($B$9,'Summary_NCP '!$C$5:$M$677,119+D$9,FALSE)*1000</f>
        <v>0</v>
      </c>
      <c r="E68" s="107">
        <f>HLOOKUP($B$9,'Summary_NCP '!$C$5:$M$677,119+E$9,FALSE)*1000</f>
        <v>0</v>
      </c>
      <c r="F68" s="107">
        <f>HLOOKUP($B$9,'Summary_NCP '!$C$5:$M$677,119+F$9,FALSE)*1000</f>
        <v>0</v>
      </c>
      <c r="G68" s="107">
        <f>HLOOKUP($B$9,'Summary_NCP '!$C$5:$M$677,119+G$9,FALSE)*1000</f>
        <v>0</v>
      </c>
      <c r="H68" s="107">
        <f>HLOOKUP($B$9,'Summary_NCP '!$C$5:$M$677,119+H$9,FALSE)*1000</f>
        <v>0</v>
      </c>
      <c r="I68" s="107">
        <f>HLOOKUP($B$9,'Summary_NCP '!$C$5:$M$677,119+I$9,FALSE)*1000</f>
        <v>0</v>
      </c>
      <c r="J68" s="107">
        <f>HLOOKUP($B$9,'Summary_NCP '!$C$5:$M$677,119+J$9,FALSE)*1000</f>
        <v>0</v>
      </c>
      <c r="K68" s="107">
        <f>HLOOKUP($B$9,'Summary_NCP '!$C$5:$M$677,119+K$9,FALSE)*1000</f>
        <v>0</v>
      </c>
      <c r="L68" s="107">
        <f>HLOOKUP($B$9,'Summary_NCP '!$C$5:$M$677,119+L$9,FALSE)*1000</f>
        <v>0</v>
      </c>
      <c r="M68" s="107">
        <f>HLOOKUP($B$9,'Summary_NCP '!$C$5:$M$677,119+M$9,FALSE)*1000</f>
        <v>0</v>
      </c>
      <c r="N68" s="107">
        <f>HLOOKUP($B$9,'Summary_NCP '!$C$5:$M$677,119+N$9,FALSE)*1000</f>
        <v>0</v>
      </c>
      <c r="O68" s="107"/>
      <c r="P68" s="152">
        <f>AVERAGE(C68:N68)</f>
        <v>0</v>
      </c>
    </row>
    <row r="69" spans="1:16" s="106" customFormat="1" ht="16.5" customHeight="1">
      <c r="A69" s="109"/>
      <c r="B69" s="149" t="s">
        <v>158</v>
      </c>
      <c r="C69" s="107"/>
      <c r="D69" s="107"/>
      <c r="E69" s="107"/>
      <c r="F69" s="107"/>
      <c r="G69" s="107"/>
      <c r="H69" s="107"/>
      <c r="I69" s="107"/>
      <c r="J69" s="107"/>
      <c r="K69" s="107"/>
      <c r="L69" s="107"/>
      <c r="M69" s="107"/>
      <c r="N69" s="107"/>
      <c r="O69" s="107"/>
      <c r="P69" s="152"/>
    </row>
    <row r="70" spans="1:16" s="106" customFormat="1" ht="16.5" customHeight="1">
      <c r="A70" s="109"/>
      <c r="B70" s="149" t="s">
        <v>988</v>
      </c>
      <c r="C70" s="107"/>
      <c r="D70" s="107"/>
      <c r="E70" s="107"/>
      <c r="F70" s="107"/>
      <c r="G70" s="107"/>
      <c r="H70" s="107"/>
      <c r="I70" s="107"/>
      <c r="J70" s="107"/>
      <c r="K70" s="107"/>
      <c r="L70" s="107"/>
      <c r="M70" s="107"/>
      <c r="N70" s="107"/>
      <c r="O70" s="107"/>
      <c r="P70" s="152"/>
    </row>
    <row r="71" spans="1:16" s="106" customFormat="1" ht="16.5" customHeight="1">
      <c r="A71" s="109"/>
      <c r="B71" s="149" t="s">
        <v>150</v>
      </c>
      <c r="C71" s="107"/>
      <c r="D71" s="107"/>
      <c r="E71" s="107"/>
      <c r="F71" s="107"/>
      <c r="G71" s="107"/>
      <c r="H71" s="107"/>
      <c r="I71" s="107"/>
      <c r="J71" s="107"/>
      <c r="K71" s="107"/>
      <c r="L71" s="107"/>
      <c r="M71" s="107"/>
      <c r="N71" s="107"/>
      <c r="O71" s="107"/>
      <c r="P71" s="152"/>
    </row>
    <row r="72" spans="1:16" s="106" customFormat="1" ht="16.5" customHeight="1">
      <c r="A72" s="109"/>
      <c r="B72" s="108"/>
      <c r="C72" s="107"/>
      <c r="D72" s="107"/>
      <c r="E72" s="107"/>
      <c r="F72" s="107"/>
      <c r="G72" s="107"/>
      <c r="H72" s="107"/>
      <c r="I72" s="107"/>
      <c r="J72" s="107"/>
      <c r="K72" s="107"/>
      <c r="L72" s="107"/>
      <c r="M72" s="107"/>
      <c r="N72" s="107"/>
    </row>
    <row r="73" spans="1:16" ht="12.75">
      <c r="A73" s="42" t="s">
        <v>116</v>
      </c>
      <c r="C73" s="105"/>
    </row>
    <row r="74" spans="1:16" ht="12.75">
      <c r="A74"/>
      <c r="B74" s="10" t="s">
        <v>338</v>
      </c>
      <c r="C74" s="105"/>
      <c r="D74" s="105"/>
      <c r="E74" s="105"/>
      <c r="F74" s="105"/>
      <c r="G74" s="105"/>
      <c r="H74" s="105"/>
      <c r="I74" s="105"/>
      <c r="J74" s="105"/>
      <c r="K74" s="105"/>
      <c r="L74" s="105"/>
      <c r="M74" s="105"/>
      <c r="N74" s="105"/>
    </row>
    <row r="75" spans="1:16" ht="12.75">
      <c r="A75"/>
      <c r="B75" s="81" t="s">
        <v>492</v>
      </c>
    </row>
    <row r="81" spans="2:14">
      <c r="G81" s="145"/>
    </row>
    <row r="82" spans="2:14">
      <c r="B82" s="149" t="s">
        <v>1202</v>
      </c>
      <c r="C82" s="499">
        <f>IFERROR((C$23/C$14)/C58,0)</f>
        <v>0</v>
      </c>
      <c r="D82" s="499">
        <f t="shared" ref="D82:N84" si="11">IFERROR((D$23/D$14)/D58,0)</f>
        <v>0</v>
      </c>
      <c r="E82" s="499">
        <f t="shared" si="11"/>
        <v>0</v>
      </c>
      <c r="F82" s="499">
        <f t="shared" si="11"/>
        <v>0</v>
      </c>
      <c r="G82" s="499">
        <f t="shared" si="11"/>
        <v>0</v>
      </c>
      <c r="H82" s="499">
        <f t="shared" si="11"/>
        <v>0</v>
      </c>
      <c r="I82" s="499">
        <f t="shared" si="11"/>
        <v>0</v>
      </c>
      <c r="J82" s="499">
        <f t="shared" si="11"/>
        <v>0</v>
      </c>
      <c r="K82" s="499">
        <f t="shared" si="11"/>
        <v>0</v>
      </c>
      <c r="L82" s="499">
        <f t="shared" si="11"/>
        <v>0</v>
      </c>
      <c r="M82" s="499">
        <f t="shared" si="11"/>
        <v>0</v>
      </c>
      <c r="N82" s="499">
        <f t="shared" si="11"/>
        <v>0</v>
      </c>
    </row>
    <row r="83" spans="2:14">
      <c r="B83" s="149" t="s">
        <v>1203</v>
      </c>
      <c r="C83" s="499">
        <f>IFERROR((C$23/C$14)/C59,0)</f>
        <v>0</v>
      </c>
      <c r="D83" s="499">
        <f t="shared" si="11"/>
        <v>0</v>
      </c>
      <c r="E83" s="499">
        <f t="shared" si="11"/>
        <v>0</v>
      </c>
      <c r="F83" s="499">
        <f t="shared" si="11"/>
        <v>0</v>
      </c>
      <c r="G83" s="499">
        <f t="shared" si="11"/>
        <v>0</v>
      </c>
      <c r="H83" s="499">
        <f t="shared" si="11"/>
        <v>0</v>
      </c>
      <c r="I83" s="499">
        <f t="shared" si="11"/>
        <v>0</v>
      </c>
      <c r="J83" s="499">
        <f t="shared" si="11"/>
        <v>0</v>
      </c>
      <c r="K83" s="499">
        <f t="shared" si="11"/>
        <v>0</v>
      </c>
      <c r="L83" s="499">
        <f t="shared" si="11"/>
        <v>0</v>
      </c>
      <c r="M83" s="499">
        <f t="shared" si="11"/>
        <v>0</v>
      </c>
      <c r="N83" s="499">
        <f t="shared" si="11"/>
        <v>0</v>
      </c>
    </row>
    <row r="84" spans="2:14">
      <c r="B84" s="149" t="s">
        <v>1204</v>
      </c>
      <c r="C84" s="499">
        <f>IFERROR((C$23/C$14)/C60,0)</f>
        <v>0</v>
      </c>
      <c r="D84" s="499">
        <f t="shared" si="11"/>
        <v>0</v>
      </c>
      <c r="E84" s="499">
        <f t="shared" si="11"/>
        <v>0</v>
      </c>
      <c r="F84" s="499">
        <f t="shared" si="11"/>
        <v>0</v>
      </c>
      <c r="G84" s="499">
        <f t="shared" si="11"/>
        <v>0</v>
      </c>
      <c r="H84" s="499">
        <f t="shared" si="11"/>
        <v>0</v>
      </c>
      <c r="I84" s="499">
        <f t="shared" si="11"/>
        <v>0</v>
      </c>
      <c r="J84" s="499">
        <f t="shared" si="11"/>
        <v>0</v>
      </c>
      <c r="K84" s="499">
        <f t="shared" si="11"/>
        <v>0</v>
      </c>
      <c r="L84" s="499">
        <f t="shared" si="11"/>
        <v>0</v>
      </c>
      <c r="M84" s="499">
        <f t="shared" si="11"/>
        <v>0</v>
      </c>
      <c r="N84" s="499">
        <f t="shared" si="11"/>
        <v>0</v>
      </c>
    </row>
  </sheetData>
  <mergeCells count="3">
    <mergeCell ref="C7:E7"/>
    <mergeCell ref="F7:L7"/>
    <mergeCell ref="M7:N7"/>
  </mergeCells>
  <conditionalFormatting sqref="C58:N58">
    <cfRule type="cellIs" dxfId="91" priority="8" operator="greaterThanOrEqual">
      <formula>C59</formula>
    </cfRule>
  </conditionalFormatting>
  <conditionalFormatting sqref="C66:N66">
    <cfRule type="cellIs" dxfId="90" priority="7" operator="greaterThanOrEqual">
      <formula>C67</formula>
    </cfRule>
  </conditionalFormatting>
  <conditionalFormatting sqref="C71:N71">
    <cfRule type="cellIs" dxfId="89" priority="5" operator="greaterThanOrEqual">
      <formula>C73</formula>
    </cfRule>
  </conditionalFormatting>
  <conditionalFormatting sqref="C53:N53">
    <cfRule type="cellIs" dxfId="88" priority="9" operator="greaterThanOrEqual">
      <formula>C54</formula>
    </cfRule>
  </conditionalFormatting>
  <conditionalFormatting sqref="C55:N55">
    <cfRule type="cellIs" dxfId="87" priority="6" operator="greaterThanOrEqual">
      <formula>C56</formula>
    </cfRule>
  </conditionalFormatting>
  <conditionalFormatting sqref="C54:N54">
    <cfRule type="cellIs" dxfId="86" priority="3" operator="greaterThanOrEqual">
      <formula>C55</formula>
    </cfRule>
  </conditionalFormatting>
  <conditionalFormatting sqref="C59:N59">
    <cfRule type="cellIs" dxfId="85" priority="2" operator="greaterThanOrEqual">
      <formula>C60</formula>
    </cfRule>
  </conditionalFormatting>
  <conditionalFormatting sqref="C67:N67">
    <cfRule type="cellIs" dxfId="84" priority="1" operator="greaterThanOrEqual">
      <formula>C68</formula>
    </cfRule>
  </conditionalFormatting>
  <conditionalFormatting sqref="C70:N70">
    <cfRule type="cellIs" dxfId="83" priority="92" operator="greaterThanOrEqual">
      <formula>C73</formula>
    </cfRule>
  </conditionalFormatting>
  <conditionalFormatting sqref="C60:N60 C68:N69">
    <cfRule type="cellIs" dxfId="82" priority="93" operator="greaterThanOrEqual">
      <formula>C64</formula>
    </cfRule>
  </conditionalFormatting>
  <pageMargins left="0" right="0" top="1" bottom="1" header="0.5" footer="0.5"/>
  <pageSetup scale="11" orientation="landscape" r:id="rId1"/>
  <headerFooter alignWithMargins="0">
    <oddFooter>&amp;LPrinted:  &amp;D&amp;C&amp;F&amp;RPage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50"/>
    <pageSetUpPr fitToPage="1"/>
  </sheetPr>
  <dimension ref="A1:AF95"/>
  <sheetViews>
    <sheetView showGridLines="0" zoomScale="75" zoomScaleNormal="75" workbookViewId="0">
      <selection activeCell="B2" sqref="B2"/>
    </sheetView>
  </sheetViews>
  <sheetFormatPr defaultRowHeight="15"/>
  <cols>
    <col min="1" max="1" width="2.6640625" style="99" customWidth="1"/>
    <col min="2" max="2" width="37"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 min="18" max="18" width="11.5546875" bestFit="1" customWidth="1"/>
    <col min="32" max="32" width="12" bestFit="1" customWidth="1"/>
  </cols>
  <sheetData>
    <row r="1" spans="1:16" s="8" customFormat="1" ht="15.6">
      <c r="A1" s="624"/>
      <c r="B1" s="8" t="s">
        <v>1300</v>
      </c>
    </row>
    <row r="2" spans="1:16" s="8" customFormat="1" ht="15.6">
      <c r="A2" s="624"/>
      <c r="B2" s="8" t="s">
        <v>1267</v>
      </c>
    </row>
    <row r="3" spans="1:16" s="8" customFormat="1" ht="15.6">
      <c r="A3" s="624"/>
    </row>
    <row r="4" spans="1:16" ht="21">
      <c r="A4" s="124" t="s">
        <v>493</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s="43" t="s">
        <v>983</v>
      </c>
      <c r="C9" s="320">
        <v>3</v>
      </c>
      <c r="D9" s="320">
        <v>4</v>
      </c>
      <c r="E9" s="320">
        <v>5</v>
      </c>
      <c r="F9" s="320">
        <v>6</v>
      </c>
      <c r="G9" s="320">
        <v>7</v>
      </c>
      <c r="H9" s="320">
        <v>8</v>
      </c>
      <c r="I9" s="320">
        <v>9</v>
      </c>
      <c r="J9" s="320">
        <v>10</v>
      </c>
      <c r="K9" s="320">
        <v>11</v>
      </c>
      <c r="L9" s="320">
        <v>12</v>
      </c>
      <c r="M9" s="320">
        <v>13</v>
      </c>
      <c r="N9" s="320">
        <v>14</v>
      </c>
      <c r="P9" s="331"/>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32" ht="15.6">
      <c r="A17" s="113" t="s">
        <v>427</v>
      </c>
      <c r="C17" s="5"/>
      <c r="D17" s="5"/>
      <c r="E17" s="5"/>
      <c r="F17" s="5"/>
      <c r="G17" s="5"/>
      <c r="H17" s="5"/>
      <c r="I17" s="5"/>
      <c r="J17" s="5"/>
      <c r="K17" s="5"/>
      <c r="L17" s="5"/>
      <c r="M17" s="115"/>
      <c r="N17" s="5"/>
    </row>
    <row r="18" spans="1:32">
      <c r="A18" s="114"/>
      <c r="B18" t="s">
        <v>428</v>
      </c>
      <c r="C18" s="145">
        <v>0</v>
      </c>
      <c r="D18" s="145">
        <v>0</v>
      </c>
      <c r="E18" s="145">
        <v>0</v>
      </c>
      <c r="F18" s="145">
        <v>0</v>
      </c>
      <c r="G18" s="145">
        <v>0</v>
      </c>
      <c r="H18" s="145">
        <v>0</v>
      </c>
      <c r="I18" s="145">
        <v>0</v>
      </c>
      <c r="J18" s="145">
        <v>0</v>
      </c>
      <c r="K18" s="145">
        <v>0</v>
      </c>
      <c r="L18" s="145">
        <v>0</v>
      </c>
      <c r="M18" s="145">
        <v>0</v>
      </c>
      <c r="N18" s="145">
        <v>0</v>
      </c>
    </row>
    <row r="19" spans="1:32">
      <c r="A19" s="114"/>
      <c r="B19" t="s">
        <v>429</v>
      </c>
      <c r="C19" s="145">
        <v>0</v>
      </c>
      <c r="D19" s="145">
        <v>0</v>
      </c>
      <c r="E19" s="145">
        <v>0</v>
      </c>
      <c r="F19" s="145">
        <v>0</v>
      </c>
      <c r="G19" s="145">
        <v>0</v>
      </c>
      <c r="H19" s="145">
        <v>0</v>
      </c>
      <c r="I19" s="145">
        <v>0</v>
      </c>
      <c r="J19" s="145">
        <v>0</v>
      </c>
      <c r="K19" s="145">
        <v>0</v>
      </c>
      <c r="L19" s="145">
        <v>0</v>
      </c>
      <c r="M19" s="145">
        <v>0</v>
      </c>
      <c r="N19" s="145">
        <v>0</v>
      </c>
    </row>
    <row r="20" spans="1:32">
      <c r="A20" s="114"/>
      <c r="C20" s="5"/>
      <c r="D20" s="5"/>
      <c r="E20" s="5"/>
      <c r="F20" s="5"/>
      <c r="G20" s="5"/>
      <c r="H20" s="5"/>
      <c r="I20" s="5"/>
      <c r="J20" s="5"/>
      <c r="K20" s="5"/>
      <c r="L20" s="5"/>
      <c r="M20" s="115"/>
      <c r="N20" s="5"/>
    </row>
    <row r="21" spans="1:32" ht="15.6">
      <c r="A21" s="113" t="s">
        <v>424</v>
      </c>
      <c r="C21" s="5"/>
      <c r="D21" s="5"/>
      <c r="E21" s="5"/>
      <c r="F21" s="5"/>
      <c r="G21" s="5"/>
      <c r="H21" s="5"/>
      <c r="I21" s="5"/>
      <c r="J21" s="5"/>
      <c r="K21" s="5"/>
      <c r="L21" s="5"/>
      <c r="M21" s="115"/>
      <c r="N21" s="5"/>
    </row>
    <row r="22" spans="1:32" s="106" customFormat="1">
      <c r="A22" s="109"/>
      <c r="B22" s="108" t="str">
        <f>"PRIOR - "&amp;MANUAL!$B$9</f>
        <v>PRIOR - 2016</v>
      </c>
      <c r="C22" s="142">
        <f>VLOOKUP($B$9,'KWH FCST'!$A$33:$O$41,C9-1,FALSE)</f>
        <v>56986291.477158248</v>
      </c>
      <c r="D22" s="142">
        <f>VLOOKUP($B$9,'KWH FCST'!$A$33:$O$41,D9-1,FALSE)</f>
        <v>56207637.395501189</v>
      </c>
      <c r="E22" s="142">
        <f>VLOOKUP($B$9,'KWH FCST'!$A$33:$O$41,E9-1,FALSE)</f>
        <v>53000332.000697315</v>
      </c>
      <c r="F22" s="142">
        <f>VLOOKUP($B$9,'KWH FCST'!$A$33:$O$41,F9-1,FALSE)</f>
        <v>60565663.296123229</v>
      </c>
      <c r="G22" s="142">
        <f>VLOOKUP($B$9,'KWH FCST'!$A$33:$O$41,G9-1,FALSE)</f>
        <v>63590757.468905807</v>
      </c>
      <c r="H22" s="142">
        <f>VLOOKUP($B$9,'KWH FCST'!$A$33:$O$41,H9-1,FALSE)</f>
        <v>71967555.208850399</v>
      </c>
      <c r="I22" s="142">
        <f>VLOOKUP($B$9,'KWH FCST'!$A$33:$O$41,I9-1,FALSE)</f>
        <v>78323079.537609711</v>
      </c>
      <c r="J22" s="142">
        <f>VLOOKUP($B$9,'KWH FCST'!$A$33:$O$41,J9-1,FALSE)</f>
        <v>85649197.920255825</v>
      </c>
      <c r="K22" s="142">
        <f>VLOOKUP($B$9,'KWH FCST'!$A$33:$O$41,K9-1,FALSE)</f>
        <v>84916971.984914213</v>
      </c>
      <c r="L22" s="142">
        <f>VLOOKUP($B$9,'KWH FCST'!$A$33:$O$41,L9-1,FALSE)</f>
        <v>72248715.98786892</v>
      </c>
      <c r="M22" s="142">
        <f>VLOOKUP($B$9,'KWH FCST'!$A$33:$O$41,M9-1,FALSE)</f>
        <v>66802227.60684292</v>
      </c>
      <c r="N22" s="142">
        <f>VLOOKUP($B$9,'KWH FCST'!$A$33:$O$41,N9-1,FALSE)</f>
        <v>54976199.273675971</v>
      </c>
    </row>
    <row r="23" spans="1:32" s="12" customFormat="1" ht="15.6">
      <c r="A23" s="111"/>
      <c r="B23" s="108" t="str">
        <f>"TEST - "&amp;MANUAL!$B$10</f>
        <v>TEST - 2017</v>
      </c>
      <c r="C23" s="142">
        <f>VLOOKUP($B$9,'KWH FCST'!$A$79:$O$87,C9-1,FALSE)</f>
        <v>56726099.68626795</v>
      </c>
      <c r="D23" s="142">
        <f>VLOOKUP($B$9,'KWH FCST'!$A$79:$O$87,D9-1,FALSE)</f>
        <v>56898680.068652593</v>
      </c>
      <c r="E23" s="142">
        <f>VLOOKUP($B$9,'KWH FCST'!$A$79:$O$87,E9-1,FALSE)</f>
        <v>53651942.578917503</v>
      </c>
      <c r="F23" s="142">
        <f>VLOOKUP($B$9,'KWH FCST'!$A$79:$O$87,F9-1,FALSE)</f>
        <v>61310285.553964131</v>
      </c>
      <c r="G23" s="142">
        <f>VLOOKUP($B$9,'KWH FCST'!$A$79:$O$87,G9-1,FALSE)</f>
        <v>64372571.632696867</v>
      </c>
      <c r="H23" s="142">
        <f>VLOOKUP($B$9,'KWH FCST'!$A$79:$O$87,H9-1,FALSE)</f>
        <v>72852357.595788568</v>
      </c>
      <c r="I23" s="142">
        <f>VLOOKUP($B$9,'KWH FCST'!$A$79:$O$87,I9-1,FALSE)</f>
        <v>79286019.678151041</v>
      </c>
      <c r="J23" s="142">
        <f>VLOOKUP($B$9,'KWH FCST'!$A$79:$O$87,J9-1,FALSE)</f>
        <v>86702208.746304601</v>
      </c>
      <c r="K23" s="142">
        <f>VLOOKUP($B$9,'KWH FCST'!$A$79:$O$87,K9-1,FALSE)</f>
        <v>85960980.486881137</v>
      </c>
      <c r="L23" s="142">
        <f>VLOOKUP($B$9,'KWH FCST'!$A$79:$O$87,L9-1,FALSE)</f>
        <v>73136975.095376074</v>
      </c>
      <c r="M23" s="142">
        <f>VLOOKUP($B$9,'KWH FCST'!$A$79:$O$87,M9-1,FALSE)</f>
        <v>67623525.068842202</v>
      </c>
      <c r="N23" s="142">
        <f>VLOOKUP($B$9,'KWH FCST'!$A$79:$O$87,N9-1,FALSE)</f>
        <v>55652102.077390432</v>
      </c>
    </row>
    <row r="24" spans="1:32">
      <c r="A24" s="114"/>
      <c r="B24" t="s">
        <v>1094</v>
      </c>
      <c r="C24" s="142">
        <f>VLOOKUP($B$9,'KWH FCST'!$A$125:$O$133,C9-1,FALSE)</f>
        <v>57423516.574453846</v>
      </c>
      <c r="D24" s="142">
        <f>VLOOKUP($B$9,'KWH FCST'!$A$125:$O$133,D9-1,FALSE)</f>
        <v>57598218.739825688</v>
      </c>
      <c r="E24" s="142">
        <f>VLOOKUP($B$9,'KWH FCST'!$A$125:$O$133,E9-1,FALSE)</f>
        <v>54311564.358758911</v>
      </c>
      <c r="F24" s="142">
        <f>VLOOKUP($B$9,'KWH FCST'!$A$125:$O$133,F9-1,FALSE)</f>
        <v>62064062.542005226</v>
      </c>
      <c r="G24" s="142">
        <f>VLOOKUP($B$9,'KWH FCST'!$A$125:$O$133,G9-1,FALSE)</f>
        <v>65163997.781169876</v>
      </c>
      <c r="H24" s="142">
        <f>VLOOKUP($B$9,'KWH FCST'!$A$125:$O$133,H9-1,FALSE)</f>
        <v>73748038.152224928</v>
      </c>
      <c r="I24" s="142">
        <f>VLOOKUP($B$9,'KWH FCST'!$A$125:$O$133,I9-1,FALSE)</f>
        <v>80260798.649848387</v>
      </c>
      <c r="J24" s="142">
        <f>VLOOKUP($B$9,'KWH FCST'!$A$125:$O$133,J9-1,FALSE)</f>
        <v>87768165.774147451</v>
      </c>
      <c r="K24" s="142">
        <f>VLOOKUP($B$9,'KWH FCST'!$A$125:$O$133,K9-1,FALSE)</f>
        <v>87017824.511909038</v>
      </c>
      <c r="L24" s="142">
        <f>VLOOKUP($B$9,'KWH FCST'!$A$125:$O$133,L9-1,FALSE)</f>
        <v>74036154.870901763</v>
      </c>
      <c r="M24" s="142">
        <f>VLOOKUP($B$9,'KWH FCST'!$A$125:$O$133,M9-1,FALSE)</f>
        <v>68454919.941440672</v>
      </c>
      <c r="N24" s="142">
        <f>VLOOKUP($B$9,'KWH FCST'!$A$125:$O$133,N9-1,FALSE)</f>
        <v>56336314.742574126</v>
      </c>
      <c r="O24" s="142"/>
    </row>
    <row r="25" spans="1:32">
      <c r="A25" s="114"/>
      <c r="C25" s="142"/>
      <c r="D25" s="142"/>
      <c r="E25" s="142"/>
      <c r="F25" s="142"/>
      <c r="G25" s="142"/>
      <c r="H25" s="142"/>
      <c r="I25" s="142"/>
      <c r="J25" s="142"/>
      <c r="K25" s="142"/>
      <c r="L25" s="142"/>
      <c r="M25" s="142"/>
      <c r="N25" s="142"/>
      <c r="O25" s="142"/>
    </row>
    <row r="26" spans="1:32" ht="15.6">
      <c r="A26" s="113" t="s">
        <v>1248</v>
      </c>
      <c r="C26" s="142"/>
      <c r="D26" s="142"/>
      <c r="E26" s="142"/>
      <c r="F26" s="142"/>
      <c r="G26" s="142"/>
      <c r="H26" s="142"/>
      <c r="I26" s="142"/>
      <c r="J26" s="142"/>
      <c r="K26" s="142"/>
      <c r="L26" s="142"/>
      <c r="M26" s="142"/>
      <c r="N26" s="142"/>
      <c r="O26" s="142"/>
    </row>
    <row r="27" spans="1:32">
      <c r="A27" s="114"/>
      <c r="B27" t="s">
        <v>1254</v>
      </c>
      <c r="C27" s="115">
        <v>1</v>
      </c>
      <c r="D27" s="115">
        <v>1</v>
      </c>
      <c r="E27" s="115">
        <v>1</v>
      </c>
      <c r="F27" s="115">
        <v>1</v>
      </c>
      <c r="G27" s="115">
        <v>1</v>
      </c>
      <c r="H27" s="115">
        <v>1</v>
      </c>
      <c r="I27" s="115">
        <v>1</v>
      </c>
      <c r="J27" s="115">
        <v>1</v>
      </c>
      <c r="K27" s="115">
        <v>1</v>
      </c>
      <c r="L27" s="115">
        <v>1</v>
      </c>
      <c r="M27" s="115">
        <v>1</v>
      </c>
      <c r="N27" s="115">
        <v>1</v>
      </c>
      <c r="O27" s="142"/>
    </row>
    <row r="28" spans="1:32">
      <c r="A28" s="114"/>
      <c r="B28" t="s">
        <v>1253</v>
      </c>
      <c r="C28" s="115">
        <v>0</v>
      </c>
      <c r="D28" s="115">
        <v>0</v>
      </c>
      <c r="E28" s="115">
        <v>0</v>
      </c>
      <c r="F28" s="115">
        <v>0</v>
      </c>
      <c r="G28" s="115">
        <v>0</v>
      </c>
      <c r="H28" s="115">
        <v>0</v>
      </c>
      <c r="I28" s="115">
        <v>0</v>
      </c>
      <c r="J28" s="115">
        <v>0</v>
      </c>
      <c r="K28" s="115">
        <v>0</v>
      </c>
      <c r="L28" s="115">
        <v>0</v>
      </c>
      <c r="M28" s="115">
        <v>0</v>
      </c>
      <c r="N28" s="115">
        <v>0</v>
      </c>
      <c r="O28" s="142"/>
    </row>
    <row r="29" spans="1:32">
      <c r="A29" s="114"/>
      <c r="B29" t="s">
        <v>1252</v>
      </c>
      <c r="C29" s="115">
        <v>0</v>
      </c>
      <c r="D29" s="115">
        <v>0</v>
      </c>
      <c r="E29" s="115">
        <v>0</v>
      </c>
      <c r="F29" s="115">
        <v>0</v>
      </c>
      <c r="G29" s="115">
        <v>0</v>
      </c>
      <c r="H29" s="115">
        <v>0</v>
      </c>
      <c r="I29" s="115">
        <v>0</v>
      </c>
      <c r="J29" s="115">
        <v>0</v>
      </c>
      <c r="K29" s="115">
        <v>0</v>
      </c>
      <c r="L29" s="115">
        <v>0</v>
      </c>
      <c r="M29" s="115">
        <v>0</v>
      </c>
      <c r="N29" s="115">
        <v>0</v>
      </c>
      <c r="O29" s="142"/>
    </row>
    <row r="30" spans="1:32" ht="15.6">
      <c r="A30" s="114"/>
      <c r="B30" s="513">
        <v>2017</v>
      </c>
      <c r="C30" s="115"/>
      <c r="D30" s="115"/>
      <c r="E30" s="115"/>
      <c r="F30" s="115"/>
      <c r="G30" s="115"/>
      <c r="H30" s="115"/>
      <c r="I30" s="115"/>
      <c r="J30" s="115"/>
      <c r="K30" s="115"/>
      <c r="L30" s="115"/>
      <c r="M30" s="115"/>
      <c r="N30" s="115"/>
      <c r="O30" s="142"/>
    </row>
    <row r="31" spans="1:32">
      <c r="A31" s="114"/>
      <c r="B31" t="s">
        <v>1249</v>
      </c>
      <c r="C31" s="535">
        <v>1.0218365997299901</v>
      </c>
      <c r="D31" s="535">
        <v>1.0218365997299901</v>
      </c>
      <c r="E31" s="535">
        <v>1.0218365997299901</v>
      </c>
      <c r="F31" s="535">
        <v>1.0218365997299901</v>
      </c>
      <c r="G31" s="535">
        <v>1.0218365997299901</v>
      </c>
      <c r="H31" s="535">
        <v>1.0218365997299901</v>
      </c>
      <c r="I31" s="535">
        <v>1.0218365997299901</v>
      </c>
      <c r="J31" s="535">
        <v>1.0218365997299901</v>
      </c>
      <c r="K31" s="535">
        <v>1.0218365997299901</v>
      </c>
      <c r="L31" s="535">
        <v>1.0218365997299901</v>
      </c>
      <c r="M31" s="535">
        <v>1.0218365997299901</v>
      </c>
      <c r="N31" s="535">
        <v>1.0218365997299901</v>
      </c>
      <c r="O31" s="142"/>
      <c r="R31" s="537">
        <v>1.0218365997299901</v>
      </c>
      <c r="S31" s="537">
        <v>1.0218365997299901</v>
      </c>
      <c r="T31" s="537">
        <v>1.0218365997299901</v>
      </c>
      <c r="U31" s="537">
        <v>1.0218365997299901</v>
      </c>
      <c r="V31" s="537">
        <v>1.0218365997299901</v>
      </c>
      <c r="W31" s="537">
        <v>1.0218365997299901</v>
      </c>
      <c r="X31" s="537">
        <v>1.0218365997299901</v>
      </c>
      <c r="Y31" s="537">
        <v>1.0218365997299901</v>
      </c>
      <c r="Z31" s="537">
        <v>1.0218365997299901</v>
      </c>
      <c r="AA31" s="537">
        <v>1.0218365997299901</v>
      </c>
      <c r="AB31" s="537">
        <v>1.0218365997299901</v>
      </c>
      <c r="AC31" s="537">
        <v>1.0218365997299901</v>
      </c>
      <c r="AD31" s="537"/>
      <c r="AE31" s="537"/>
      <c r="AF31" s="537"/>
    </row>
    <row r="32" spans="1:32">
      <c r="A32" s="114"/>
      <c r="B32" t="s">
        <v>1250</v>
      </c>
      <c r="C32" s="535">
        <v>1.0348230487446399</v>
      </c>
      <c r="D32" s="535">
        <v>1.0348230487446399</v>
      </c>
      <c r="E32" s="535">
        <v>1.0348230487446399</v>
      </c>
      <c r="F32" s="535">
        <v>1.0348230487446399</v>
      </c>
      <c r="G32" s="535">
        <v>1.0348230487446399</v>
      </c>
      <c r="H32" s="535">
        <v>1.0348230487446399</v>
      </c>
      <c r="I32" s="535">
        <v>1.0348230487446399</v>
      </c>
      <c r="J32" s="535">
        <v>1.0348230487446399</v>
      </c>
      <c r="K32" s="535">
        <v>1.0348230487446399</v>
      </c>
      <c r="L32" s="535">
        <v>1.0348230487446399</v>
      </c>
      <c r="M32" s="535">
        <v>1.0348230487446399</v>
      </c>
      <c r="N32" s="535">
        <v>1.0348230487446399</v>
      </c>
      <c r="O32" s="142"/>
      <c r="R32" s="537">
        <v>1.0348230487446399</v>
      </c>
      <c r="S32" s="537">
        <v>1.0348230487446399</v>
      </c>
      <c r="T32" s="537">
        <v>1.0348230487446399</v>
      </c>
      <c r="U32" s="537">
        <v>1.0348230487446399</v>
      </c>
      <c r="V32" s="537">
        <v>1.0348230487446399</v>
      </c>
      <c r="W32" s="537">
        <v>1.0348230487446399</v>
      </c>
      <c r="X32" s="537">
        <v>1.0348230487446399</v>
      </c>
      <c r="Y32" s="537">
        <v>1.0348230487446399</v>
      </c>
      <c r="Z32" s="537">
        <v>1.0348230487446399</v>
      </c>
      <c r="AA32" s="537">
        <v>1.0348230487446399</v>
      </c>
      <c r="AB32" s="537">
        <v>1.0348230487446399</v>
      </c>
      <c r="AC32" s="537">
        <v>1.0348230487446399</v>
      </c>
    </row>
    <row r="33" spans="1:29">
      <c r="A33" s="114"/>
      <c r="B33" t="s">
        <v>1251</v>
      </c>
      <c r="C33" s="535">
        <v>1.0644101070756899</v>
      </c>
      <c r="D33" s="535">
        <v>1.0644101070756899</v>
      </c>
      <c r="E33" s="535">
        <v>1.0644101070756899</v>
      </c>
      <c r="F33" s="535">
        <v>1.0644101070756899</v>
      </c>
      <c r="G33" s="535">
        <v>1.0644101070756899</v>
      </c>
      <c r="H33" s="535">
        <v>1.0644101070756899</v>
      </c>
      <c r="I33" s="535">
        <v>1.0644101070756899</v>
      </c>
      <c r="J33" s="535">
        <v>1.0644101070756899</v>
      </c>
      <c r="K33" s="535">
        <v>1.0644101070756899</v>
      </c>
      <c r="L33" s="535">
        <v>1.0644101070756899</v>
      </c>
      <c r="M33" s="535">
        <v>1.0644101070756899</v>
      </c>
      <c r="N33" s="535">
        <v>1.0644101070756899</v>
      </c>
      <c r="O33" s="142"/>
      <c r="R33" s="537">
        <v>1.0644101070756899</v>
      </c>
      <c r="S33" s="537">
        <v>1.0644101070756899</v>
      </c>
      <c r="T33" s="537">
        <v>1.0644101070756899</v>
      </c>
      <c r="U33" s="537">
        <v>1.0644101070756899</v>
      </c>
      <c r="V33" s="537">
        <v>1.0644101070756899</v>
      </c>
      <c r="W33" s="537">
        <v>1.0644101070756899</v>
      </c>
      <c r="X33" s="537">
        <v>1.0644101070756899</v>
      </c>
      <c r="Y33" s="537">
        <v>1.0644101070756899</v>
      </c>
      <c r="Z33" s="537">
        <v>1.0644101070756899</v>
      </c>
      <c r="AA33" s="537">
        <v>1.0644101070756899</v>
      </c>
      <c r="AB33" s="537">
        <v>1.0644101070756899</v>
      </c>
      <c r="AC33" s="537">
        <v>1.0644101070756899</v>
      </c>
    </row>
    <row r="34" spans="1:29">
      <c r="A34" s="114"/>
      <c r="B34" t="s">
        <v>1255</v>
      </c>
      <c r="C34" s="107">
        <f>HLOOKUP($B9,Summary_CP!$A$5:$N$161,107+C$9,FALSE)*1000</f>
        <v>112403.39279087265</v>
      </c>
      <c r="D34" s="107">
        <f>HLOOKUP($B9,Summary_CP!$A$5:$N$161,107+D$9,FALSE)*1000</f>
        <v>119601.24451529191</v>
      </c>
      <c r="E34" s="107">
        <f>HLOOKUP($B9,Summary_CP!$A$5:$N$161,107+E$9,FALSE)*1000</f>
        <v>113498.05146746674</v>
      </c>
      <c r="F34" s="107">
        <f>HLOOKUP($B9,Summary_CP!$A$5:$N$161,107+F$9,FALSE)*1000</f>
        <v>134784.91434941953</v>
      </c>
      <c r="G34" s="107">
        <f>HLOOKUP($B9,Summary_CP!$A$5:$N$161,107+G$9,FALSE)*1000</f>
        <v>143274.98759038022</v>
      </c>
      <c r="H34" s="107">
        <f>HLOOKUP($B9,Summary_CP!$A$5:$N$161,107+H$9,FALSE)*1000</f>
        <v>147452.19897684464</v>
      </c>
      <c r="I34" s="107">
        <f>HLOOKUP($B9,Summary_CP!$A$5:$N$161,107+I$9,FALSE)*1000</f>
        <v>158738.90960037828</v>
      </c>
      <c r="J34" s="107">
        <f>HLOOKUP($B9,Summary_CP!$A$5:$N$161,107+J$9,FALSE)*1000</f>
        <v>155813.20163560953</v>
      </c>
      <c r="K34" s="107">
        <f>HLOOKUP($B9,Summary_CP!$A$5:$N$161,107+K$9,FALSE)*1000</f>
        <v>143744.2165605397</v>
      </c>
      <c r="L34" s="107">
        <f>HLOOKUP($B9,Summary_CP!$A$5:$N$161,107+L$9,FALSE)*1000</f>
        <v>137431.14077749813</v>
      </c>
      <c r="M34" s="107">
        <f>HLOOKUP($B9,Summary_CP!$A$5:$N$161,107+M$9,FALSE)*1000</f>
        <v>121925.60583477636</v>
      </c>
      <c r="N34" s="107">
        <f>HLOOKUP($B9,Summary_CP!$A$5:$N$161,107+N$9,FALSE)*1000</f>
        <v>116213.28647849413</v>
      </c>
      <c r="O34" s="142"/>
    </row>
    <row r="35" spans="1:29">
      <c r="A35" s="114"/>
      <c r="B35" t="s">
        <v>1256</v>
      </c>
      <c r="C35" s="107">
        <f>IFERROR((C34*C27*C31)+(C34*C28*C32)+(C34*C29*C33),0)</f>
        <v>114857.90068753979</v>
      </c>
      <c r="D35" s="107">
        <f t="shared" ref="D35:N35" si="0">IFERROR((D34*D27*D31)+(D34*D28*D32)+(D34*D29*D33),0)</f>
        <v>122212.92901898101</v>
      </c>
      <c r="E35" s="107">
        <f t="shared" si="0"/>
        <v>115976.46298749562</v>
      </c>
      <c r="F35" s="107">
        <f t="shared" si="0"/>
        <v>137728.15857370879</v>
      </c>
      <c r="G35" s="107">
        <f t="shared" si="0"/>
        <v>146403.62614571064</v>
      </c>
      <c r="H35" s="107">
        <f t="shared" si="0"/>
        <v>150672.05362520885</v>
      </c>
      <c r="I35" s="107">
        <f t="shared" si="0"/>
        <v>162205.22763089681</v>
      </c>
      <c r="J35" s="107">
        <f t="shared" si="0"/>
        <v>159215.63215237457</v>
      </c>
      <c r="K35" s="107">
        <f t="shared" si="0"/>
        <v>146883.10148107322</v>
      </c>
      <c r="L35" s="107">
        <f t="shared" si="0"/>
        <v>140432.16958909229</v>
      </c>
      <c r="M35" s="107">
        <f t="shared" si="0"/>
        <v>124588.04648622691</v>
      </c>
      <c r="N35" s="107">
        <f t="shared" si="0"/>
        <v>118750.98949863168</v>
      </c>
      <c r="O35" s="142"/>
    </row>
    <row r="36" spans="1:29">
      <c r="A36" s="114"/>
      <c r="B36" t="s">
        <v>1264</v>
      </c>
      <c r="C36" s="235">
        <f>BLOUNTSTOWN!C36</f>
        <v>1228831.3297315862</v>
      </c>
      <c r="D36" s="235">
        <f>BLOUNTSTOWN!D36</f>
        <v>1010133.5524307521</v>
      </c>
      <c r="E36" s="235">
        <f>BLOUNTSTOWN!E36</f>
        <v>950254.07441993814</v>
      </c>
      <c r="F36" s="235">
        <f>BLOUNTSTOWN!F36</f>
        <v>959201.22858601715</v>
      </c>
      <c r="G36" s="235">
        <f>BLOUNTSTOWN!G36</f>
        <v>1065854.2376846557</v>
      </c>
      <c r="H36" s="235">
        <f>BLOUNTSTOWN!H36</f>
        <v>1140353.9142618102</v>
      </c>
      <c r="I36" s="235">
        <f>BLOUNTSTOWN!I36</f>
        <v>1132054.8391980769</v>
      </c>
      <c r="J36" s="235">
        <f>BLOUNTSTOWN!J36</f>
        <v>1312333.3808478254</v>
      </c>
      <c r="K36" s="235">
        <f>BLOUNTSTOWN!K36</f>
        <v>1038758.3890285973</v>
      </c>
      <c r="L36" s="235">
        <f>BLOUNTSTOWN!L36</f>
        <v>1068943.4704556046</v>
      </c>
      <c r="M36" s="235">
        <f>BLOUNTSTOWN!M36</f>
        <v>923783.94692739786</v>
      </c>
      <c r="N36" s="235">
        <f>BLOUNTSTOWN!N36</f>
        <v>882247.02789984096</v>
      </c>
      <c r="O36" s="142"/>
    </row>
    <row r="37" spans="1:29">
      <c r="A37" s="114"/>
      <c r="B37" t="s">
        <v>1265</v>
      </c>
      <c r="C37" s="235">
        <f>IFERROR('2017 CP (FNG)'!B12*1000-C36,0)</f>
        <v>-26260.067304411205</v>
      </c>
      <c r="D37" s="235">
        <f>IFERROR('2017 CP (FNG)'!C12*1000-D36,0)</f>
        <v>-21586.506163599784</v>
      </c>
      <c r="E37" s="235">
        <f>IFERROR('2017 CP (FNG)'!D12*1000-E36,0)</f>
        <v>-20306.884555107215</v>
      </c>
      <c r="F37" s="235">
        <f>IFERROR('2017 CP (FNG)'!E12*1000-F36,0)</f>
        <v>-20498.084815793671</v>
      </c>
      <c r="G37" s="235">
        <f>IFERROR('2017 CP (FNG)'!F12*1000-G36,0)</f>
        <v>-22777.254567886703</v>
      </c>
      <c r="H37" s="235">
        <f>IFERROR('2017 CP (FNG)'!G12*1000-H36,0)</f>
        <v>-24369.30912715639</v>
      </c>
      <c r="I37" s="235">
        <f>IFERROR('2017 CP (FNG)'!H12*1000-I36,0)</f>
        <v>-24191.95828618668</v>
      </c>
      <c r="J37" s="235">
        <f>IFERROR('2017 CP (FNG)'!I12*1000-J36,0)</f>
        <v>-28044.502181122778</v>
      </c>
      <c r="K37" s="235">
        <f>IFERROR('2017 CP (FNG)'!J12*1000-K36,0)</f>
        <v>-22198.217565685627</v>
      </c>
      <c r="L37" s="235">
        <f>IFERROR('2017 CP (FNG)'!K12*1000-L36,0)</f>
        <v>-22843.271325859241</v>
      </c>
      <c r="M37" s="235">
        <f>IFERROR('2017 CP (FNG)'!L12*1000-M36,0)</f>
        <v>-19741.219184529502</v>
      </c>
      <c r="N37" s="235">
        <f>IFERROR('2017 CP (FNG)'!M12*1000-N36,0)</f>
        <v>-18853.577192589175</v>
      </c>
      <c r="O37" s="142"/>
    </row>
    <row r="38" spans="1:29">
      <c r="A38" s="114"/>
      <c r="B38" t="s">
        <v>1259</v>
      </c>
      <c r="C38" s="235">
        <f>IFERROR(C35*C37/C36,0)</f>
        <v>-2454.5078966671499</v>
      </c>
      <c r="D38" s="235">
        <f t="shared" ref="D38:N38" si="1">IFERROR(D35*D37/D36,0)</f>
        <v>-2611.6845036891</v>
      </c>
      <c r="E38" s="235">
        <f t="shared" si="1"/>
        <v>-2478.411520028862</v>
      </c>
      <c r="F38" s="235">
        <f t="shared" si="1"/>
        <v>-2943.2442242892657</v>
      </c>
      <c r="G38" s="235">
        <f t="shared" si="1"/>
        <v>-3128.6385553304553</v>
      </c>
      <c r="H38" s="235">
        <f t="shared" si="1"/>
        <v>-3219.854648364199</v>
      </c>
      <c r="I38" s="235">
        <f t="shared" si="1"/>
        <v>-3466.3180305185492</v>
      </c>
      <c r="J38" s="235">
        <f t="shared" si="1"/>
        <v>-3402.4305167650646</v>
      </c>
      <c r="K38" s="235">
        <f t="shared" si="1"/>
        <v>-3138.8849205335086</v>
      </c>
      <c r="L38" s="235">
        <f t="shared" si="1"/>
        <v>-3001.0288115941539</v>
      </c>
      <c r="M38" s="235">
        <f t="shared" si="1"/>
        <v>-2662.4406514505663</v>
      </c>
      <c r="N38" s="235">
        <f t="shared" si="1"/>
        <v>-2537.7030201375446</v>
      </c>
      <c r="O38" s="142"/>
    </row>
    <row r="39" spans="1:29">
      <c r="A39" s="114"/>
      <c r="B39" t="s">
        <v>1260</v>
      </c>
      <c r="C39" s="235">
        <f>IFERROR(((C38*C27)/C31)+((C38*C28)/C32)+((C38*C29)/C33),0)</f>
        <v>-2402.055179189832</v>
      </c>
      <c r="D39" s="235">
        <f t="shared" ref="D39:N39" si="2">IFERROR(((D38*D27)/D31)+((D38*D28)/D32)+((D38*D29)/D33),0)</f>
        <v>-2555.8729295654621</v>
      </c>
      <c r="E39" s="235">
        <f t="shared" si="2"/>
        <v>-2425.4479832526617</v>
      </c>
      <c r="F39" s="235">
        <f t="shared" si="2"/>
        <v>-2880.347234642983</v>
      </c>
      <c r="G39" s="235">
        <f t="shared" si="2"/>
        <v>-3061.7796976122859</v>
      </c>
      <c r="H39" s="235">
        <f t="shared" si="2"/>
        <v>-3151.0465070589689</v>
      </c>
      <c r="I39" s="235">
        <f t="shared" si="2"/>
        <v>-3392.242978412095</v>
      </c>
      <c r="J39" s="235">
        <f t="shared" si="2"/>
        <v>-3329.7207378010557</v>
      </c>
      <c r="K39" s="235">
        <f t="shared" si="2"/>
        <v>-3071.8070984763385</v>
      </c>
      <c r="L39" s="235">
        <f t="shared" si="2"/>
        <v>-2936.8969680545256</v>
      </c>
      <c r="M39" s="235">
        <f t="shared" si="2"/>
        <v>-2605.5444208536755</v>
      </c>
      <c r="N39" s="235">
        <f t="shared" si="2"/>
        <v>-2483.472426812767</v>
      </c>
      <c r="O39" s="142"/>
    </row>
    <row r="40" spans="1:29" ht="15.6">
      <c r="A40" s="114"/>
      <c r="B40" s="513">
        <v>2018</v>
      </c>
      <c r="C40" s="235"/>
      <c r="D40" s="235"/>
      <c r="E40" s="235"/>
      <c r="F40" s="235"/>
      <c r="G40" s="235"/>
      <c r="H40" s="235"/>
      <c r="I40" s="235"/>
      <c r="J40" s="235"/>
      <c r="K40" s="235"/>
      <c r="L40" s="235"/>
      <c r="M40" s="235"/>
      <c r="N40" s="235"/>
      <c r="O40" s="142"/>
    </row>
    <row r="41" spans="1:29">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c r="O41" s="142"/>
    </row>
    <row r="42" spans="1:29">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c r="O42" s="142"/>
    </row>
    <row r="43" spans="1:29">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c r="O43" s="142"/>
    </row>
    <row r="44" spans="1:29">
      <c r="A44" s="114"/>
      <c r="B44" t="s">
        <v>1255</v>
      </c>
      <c r="C44" s="235">
        <f>HLOOKUP($B9,Summary_CP!$A$5:$N$161,119+C$9,FALSE)*1000</f>
        <v>113462.86526026356</v>
      </c>
      <c r="D44" s="235">
        <f>HLOOKUP($B9,Summary_CP!$A$5:$N$161,119+D$9,FALSE)*1000</f>
        <v>120728.56125122526</v>
      </c>
      <c r="E44" s="235">
        <f>HLOOKUP($B9,Summary_CP!$A$5:$N$161,119+E$9,FALSE)*1000</f>
        <v>114567.84178138559</v>
      </c>
      <c r="F44" s="235">
        <f>HLOOKUP($B9,Summary_CP!$A$5:$N$161,119+F$9,FALSE)*1000</f>
        <v>136055.34669578206</v>
      </c>
      <c r="G44" s="235">
        <f>HLOOKUP($B9,Summary_CP!$A$5:$N$161,119+G$9,FALSE)*1000</f>
        <v>144625.44420147865</v>
      </c>
      <c r="H44" s="235">
        <f>HLOOKUP($B9,Summary_CP!$A$5:$N$161,119+H$9,FALSE)*1000</f>
        <v>148842.02842494476</v>
      </c>
      <c r="I44" s="235">
        <f>HLOOKUP($B9,Summary_CP!$A$5:$N$161,119+I$9,FALSE)*1000</f>
        <v>161233.76132012784</v>
      </c>
      <c r="J44" s="235">
        <f>HLOOKUP($B9,Summary_CP!$A$5:$N$161,119+J$9,FALSE)*1000</f>
        <v>157281.83877726336</v>
      </c>
      <c r="K44" s="235">
        <f>HLOOKUP($B9,Summary_CP!$A$5:$N$161,119+K$9,FALSE)*1000</f>
        <v>145099.09594895283</v>
      </c>
      <c r="L44" s="235">
        <f>HLOOKUP($B9,Summary_CP!$A$5:$N$161,119+L$9,FALSE)*1000</f>
        <v>138726.51546749208</v>
      </c>
      <c r="M44" s="235">
        <f>HLOOKUP($B9,Summary_CP!$A$5:$N$161,119+M$9,FALSE)*1000</f>
        <v>123074.83113383905</v>
      </c>
      <c r="N44" s="235">
        <f>HLOOKUP($B9,Summary_CP!$A$5:$N$161,119+N$9,FALSE)*1000</f>
        <v>117308.6695852165</v>
      </c>
      <c r="O44" s="142"/>
    </row>
    <row r="45" spans="1:29">
      <c r="A45" s="114"/>
      <c r="B45" t="s">
        <v>1256</v>
      </c>
      <c r="C45" s="107">
        <f>(C44*C27*C41)+(C44*C28*C42)+(C44*C29*C43)</f>
        <v>115949.56028437485</v>
      </c>
      <c r="D45" s="107">
        <f t="shared" ref="D45:N45" si="3">(D44*D27*D41)+(D44*D28*D42)+(D44*D29*D43)</f>
        <v>123374.49401383351</v>
      </c>
      <c r="E45" s="107">
        <f t="shared" si="3"/>
        <v>117078.75388842117</v>
      </c>
      <c r="F45" s="107">
        <f t="shared" si="3"/>
        <v>139037.18707903058</v>
      </c>
      <c r="G45" s="107">
        <f t="shared" si="3"/>
        <v>147795.11007965609</v>
      </c>
      <c r="H45" s="107">
        <f t="shared" si="3"/>
        <v>152104.10655609315</v>
      </c>
      <c r="I45" s="107">
        <f t="shared" si="3"/>
        <v>164767.42135130923</v>
      </c>
      <c r="J45" s="107">
        <f t="shared" si="3"/>
        <v>160728.88698086157</v>
      </c>
      <c r="K45" s="107">
        <f t="shared" si="3"/>
        <v>148279.14255778524</v>
      </c>
      <c r="L45" s="107">
        <f t="shared" si="3"/>
        <v>141766.89819477478</v>
      </c>
      <c r="M45" s="107">
        <f t="shared" si="3"/>
        <v>125772.18563367327</v>
      </c>
      <c r="N45" s="107">
        <f t="shared" si="3"/>
        <v>119879.65070995314</v>
      </c>
      <c r="O45" s="142"/>
    </row>
    <row r="46" spans="1:29">
      <c r="A46" s="114"/>
      <c r="B46" t="s">
        <v>1257</v>
      </c>
      <c r="C46" s="235">
        <f>BLOUNTSTOWN!C46</f>
        <v>1187849.8564563922</v>
      </c>
      <c r="D46" s="235">
        <f>BLOUNTSTOWN!D46</f>
        <v>1012049.3914328514</v>
      </c>
      <c r="E46" s="235">
        <f>BLOUNTSTOWN!E46</f>
        <v>952115.03381284571</v>
      </c>
      <c r="F46" s="235">
        <f>BLOUNTSTOWN!F46</f>
        <v>964452.787497274</v>
      </c>
      <c r="G46" s="235">
        <f>BLOUNTSTOWN!G46</f>
        <v>1071028.6042288018</v>
      </c>
      <c r="H46" s="235">
        <f>BLOUNTSTOWN!H46</f>
        <v>1144619.2235030248</v>
      </c>
      <c r="I46" s="235">
        <f>BLOUNTSTOWN!I46</f>
        <v>1139032.5608989701</v>
      </c>
      <c r="J46" s="235">
        <f>BLOUNTSTOWN!J46</f>
        <v>1275574.8512023324</v>
      </c>
      <c r="K46" s="235">
        <f>BLOUNTSTOWN!K46</f>
        <v>1044148.3639893566</v>
      </c>
      <c r="L46" s="235">
        <f>BLOUNTSTOWN!L46</f>
        <v>1072810.0069048663</v>
      </c>
      <c r="M46" s="235">
        <f>BLOUNTSTOWN!M46</f>
        <v>926247.14475638454</v>
      </c>
      <c r="N46" s="235">
        <f>BLOUNTSTOWN!N46</f>
        <v>884985.90326947428</v>
      </c>
      <c r="O46" s="142"/>
    </row>
    <row r="47" spans="1:29">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c r="O47" s="142"/>
    </row>
    <row r="48" spans="1:29">
      <c r="A48" s="114"/>
      <c r="B48" t="s">
        <v>1259</v>
      </c>
      <c r="C48" s="235">
        <f>C45*C47/C46</f>
        <v>-2486.6950241112731</v>
      </c>
      <c r="D48" s="235">
        <f t="shared" ref="D48:N48" si="4">D45*D47/D46</f>
        <v>-2645.9327626082459</v>
      </c>
      <c r="E48" s="235">
        <f t="shared" si="4"/>
        <v>-2510.9121070355932</v>
      </c>
      <c r="F48" s="235">
        <f t="shared" si="4"/>
        <v>-2981.8403832485214</v>
      </c>
      <c r="G48" s="235">
        <f t="shared" si="4"/>
        <v>-3169.6658781774804</v>
      </c>
      <c r="H48" s="235">
        <f t="shared" si="4"/>
        <v>-3262.0781311483674</v>
      </c>
      <c r="I48" s="235">
        <f t="shared" si="4"/>
        <v>-3533.6600311813272</v>
      </c>
      <c r="J48" s="235">
        <f t="shared" si="4"/>
        <v>-3447.04820359818</v>
      </c>
      <c r="K48" s="235">
        <f t="shared" si="4"/>
        <v>-3180.0466088324156</v>
      </c>
      <c r="L48" s="235">
        <f t="shared" si="4"/>
        <v>-3040.3827272827116</v>
      </c>
      <c r="M48" s="235">
        <f t="shared" si="4"/>
        <v>-2697.3544998342318</v>
      </c>
      <c r="N48" s="235">
        <f t="shared" si="4"/>
        <v>-2570.9811247366383</v>
      </c>
      <c r="O48" s="142"/>
    </row>
    <row r="49" spans="1:32">
      <c r="A49" s="114"/>
      <c r="B49" t="s">
        <v>1260</v>
      </c>
      <c r="C49" s="235">
        <f>((C48*C27)/C41)+((C48*C28)/C42)+((C48*C29)/C43)</f>
        <v>-2433.3644885941571</v>
      </c>
      <c r="D49" s="235">
        <f t="shared" ref="D49:N49" si="5">((D48*D27)/D41)+((D48*D28)/D42)+((D48*D29)/D43)</f>
        <v>-2589.18715858203</v>
      </c>
      <c r="E49" s="235">
        <f t="shared" si="5"/>
        <v>-2457.062203446199</v>
      </c>
      <c r="F49" s="235">
        <f t="shared" si="5"/>
        <v>-2917.8907863243712</v>
      </c>
      <c r="G49" s="235">
        <f t="shared" si="5"/>
        <v>-3101.6881096716911</v>
      </c>
      <c r="H49" s="235">
        <f t="shared" si="5"/>
        <v>-3192.1184569840657</v>
      </c>
      <c r="I49" s="235">
        <f t="shared" si="5"/>
        <v>-3457.875916132607</v>
      </c>
      <c r="J49" s="235">
        <f t="shared" si="5"/>
        <v>-3373.121596246358</v>
      </c>
      <c r="K49" s="235">
        <f t="shared" si="5"/>
        <v>-3111.8462115283542</v>
      </c>
      <c r="L49" s="235">
        <f t="shared" si="5"/>
        <v>-2975.1776106717889</v>
      </c>
      <c r="M49" s="235">
        <f t="shared" si="5"/>
        <v>-2639.5060871576216</v>
      </c>
      <c r="N49" s="235">
        <f t="shared" si="5"/>
        <v>-2515.8429598804132</v>
      </c>
      <c r="O49" s="142"/>
    </row>
    <row r="50" spans="1:32">
      <c r="A50" s="114"/>
    </row>
    <row r="51" spans="1:32" ht="17.399999999999999">
      <c r="A51" s="147" t="s">
        <v>425</v>
      </c>
    </row>
    <row r="52" spans="1:32" ht="15.6">
      <c r="A52" s="113"/>
      <c r="B52" s="146" t="str">
        <f>"PRIOR - "&amp;MANUAL!$B$9</f>
        <v>PRIOR - 2016</v>
      </c>
      <c r="C52" s="5"/>
      <c r="D52" s="5"/>
      <c r="E52" s="5"/>
      <c r="F52" s="5"/>
      <c r="G52" s="5"/>
      <c r="H52" s="5"/>
      <c r="I52" s="5"/>
      <c r="J52" s="5"/>
      <c r="K52" s="5"/>
      <c r="L52" s="5"/>
      <c r="M52" s="5"/>
      <c r="N52" s="5"/>
      <c r="T52" s="12"/>
      <c r="U52" s="12"/>
      <c r="V52" s="106"/>
      <c r="W52" s="106"/>
      <c r="X52" s="106"/>
      <c r="Y52" s="106"/>
      <c r="Z52" s="106"/>
      <c r="AA52" s="106"/>
      <c r="AB52" s="106"/>
      <c r="AC52" s="106"/>
      <c r="AD52" s="106"/>
    </row>
    <row r="53" spans="1:32" s="12" customFormat="1" ht="15.6">
      <c r="A53" s="111"/>
      <c r="B53" s="149" t="s">
        <v>432</v>
      </c>
      <c r="C53" s="107">
        <f>HLOOKUP($B9,Summary_CP!$A$5:$N$161,95+C$9,FALSE)*1000</f>
        <v>111353.81326672707</v>
      </c>
      <c r="D53" s="107">
        <f>HLOOKUP($B9,Summary_CP!$A$5:$N$161,95+D$9,FALSE)*1000</f>
        <v>118484.45422819506</v>
      </c>
      <c r="E53" s="107">
        <f>HLOOKUP($B9,Summary_CP!$A$5:$N$161,95+E$9,FALSE)*1000</f>
        <v>112438.25044284546</v>
      </c>
      <c r="F53" s="107">
        <f>HLOOKUP($B9,Summary_CP!$A$5:$N$161,95+F$9,FALSE)*1000</f>
        <v>133526.34481025918</v>
      </c>
      <c r="G53" s="107">
        <f>HLOOKUP($B9,Summary_CP!$A$5:$N$161,95+G$9,FALSE)*1000</f>
        <v>141937.14102220008</v>
      </c>
      <c r="H53" s="107">
        <f>HLOOKUP($B9,Summary_CP!$A$5:$N$161,95+H$9,FALSE)*1000</f>
        <v>146075.34722002738</v>
      </c>
      <c r="I53" s="107">
        <f>HLOOKUP($B9,Summary_CP!$A$5:$N$161,95+I$9,FALSE)*1000</f>
        <v>158236.37941839121</v>
      </c>
      <c r="J53" s="107">
        <f>HLOOKUP($B9,Summary_CP!$A$5:$N$161,95+J$9,FALSE)*1000</f>
        <v>154358.27806108212</v>
      </c>
      <c r="K53" s="107">
        <f>HLOOKUP($B9,Summary_CP!$A$5:$N$161,95+K$9,FALSE)*1000</f>
        <v>142401.98851323352</v>
      </c>
      <c r="L53" s="107">
        <f>HLOOKUP($B9,Summary_CP!$A$5:$N$161,95+L$9,FALSE)*1000</f>
        <v>136147.86179669018</v>
      </c>
      <c r="M53" s="107">
        <f>HLOOKUP($B9,Summary_CP!$A$5:$N$161,95+M$9,FALSE)*1000</f>
        <v>120787.11155826182</v>
      </c>
      <c r="N53" s="107">
        <f>HLOOKUP($B9,Summary_CP!$A$5:$N$161,95+N$9,FALSE)*1000</f>
        <v>115128.13163669655</v>
      </c>
      <c r="P53" s="152">
        <f>AVERAGE(C53:N53)</f>
        <v>132572.9251645508</v>
      </c>
      <c r="R53" s="110"/>
      <c r="S53" s="106"/>
      <c r="T53" s="106"/>
      <c r="U53" s="106"/>
      <c r="V53" s="10"/>
      <c r="W53" s="10"/>
      <c r="X53" s="10"/>
      <c r="Y53" s="10"/>
      <c r="Z53" s="10"/>
      <c r="AA53" s="10"/>
      <c r="AB53" s="10"/>
      <c r="AC53" s="10"/>
      <c r="AD53"/>
    </row>
    <row r="54" spans="1:32" s="12" customFormat="1" ht="15.6">
      <c r="A54" s="111"/>
      <c r="B54" s="149" t="s">
        <v>430</v>
      </c>
      <c r="C54" s="107">
        <f>C55</f>
        <v>125878.30577434346</v>
      </c>
      <c r="D54" s="107">
        <f t="shared" ref="D54:N54" si="6">D55</f>
        <v>124505.42302944943</v>
      </c>
      <c r="E54" s="107">
        <f t="shared" si="6"/>
        <v>131765.55744172979</v>
      </c>
      <c r="F54" s="107">
        <f t="shared" si="6"/>
        <v>136962.79530378565</v>
      </c>
      <c r="G54" s="107">
        <f t="shared" si="6"/>
        <v>149960.02471113132</v>
      </c>
      <c r="H54" s="107">
        <f t="shared" si="6"/>
        <v>153382.74370739752</v>
      </c>
      <c r="I54" s="107">
        <f t="shared" si="6"/>
        <v>162070</v>
      </c>
      <c r="J54" s="107">
        <f t="shared" si="6"/>
        <v>160503.3728667628</v>
      </c>
      <c r="K54" s="107">
        <f t="shared" si="6"/>
        <v>151484.74068575026</v>
      </c>
      <c r="L54" s="107">
        <f t="shared" si="6"/>
        <v>136856.12107480227</v>
      </c>
      <c r="M54" s="107">
        <f t="shared" si="6"/>
        <v>122272.97665196148</v>
      </c>
      <c r="N54" s="107">
        <f t="shared" si="6"/>
        <v>126908.89560296378</v>
      </c>
      <c r="P54" s="152">
        <f>AVERAGE(C54:N54)</f>
        <v>140212.57973750649</v>
      </c>
      <c r="R54" s="472"/>
      <c r="S54" s="472"/>
      <c r="T54" s="472"/>
      <c r="U54" s="472"/>
      <c r="V54" s="472"/>
      <c r="W54" s="472"/>
      <c r="X54" s="472"/>
      <c r="Y54" s="472"/>
      <c r="Z54" s="472"/>
      <c r="AA54" s="472"/>
      <c r="AB54" s="472"/>
      <c r="AC54" s="472"/>
    </row>
    <row r="55" spans="1:32" s="106" customFormat="1">
      <c r="A55" s="109"/>
      <c r="B55" s="149" t="s">
        <v>133</v>
      </c>
      <c r="C55" s="107">
        <f>HLOOKUP($B$9,'Summary_NCP '!$C$5:$M$677,95+C$9,FALSE)*1000</f>
        <v>125878.30577434346</v>
      </c>
      <c r="D55" s="107">
        <f>HLOOKUP($B$9,'Summary_NCP '!$C$5:$M$677,95+D$9,FALSE)*1000</f>
        <v>124505.42302944943</v>
      </c>
      <c r="E55" s="107">
        <f>HLOOKUP($B$9,'Summary_NCP '!$C$5:$M$677,95+E$9,FALSE)*1000</f>
        <v>131765.55744172979</v>
      </c>
      <c r="F55" s="107">
        <f>HLOOKUP($B$9,'Summary_NCP '!$C$5:$M$677,95+F$9,FALSE)*1000</f>
        <v>136962.79530378565</v>
      </c>
      <c r="G55" s="107">
        <f>HLOOKUP($B$9,'Summary_NCP '!$C$5:$M$677,95+G$9,FALSE)*1000</f>
        <v>149960.02471113132</v>
      </c>
      <c r="H55" s="107">
        <f>HLOOKUP($B$9,'Summary_NCP '!$C$5:$M$677,95+H$9,FALSE)*1000</f>
        <v>153382.74370739752</v>
      </c>
      <c r="I55" s="107">
        <f>HLOOKUP($B$9,'Summary_NCP '!$C$5:$M$677,95+I$9,FALSE)*1000</f>
        <v>162070</v>
      </c>
      <c r="J55" s="107">
        <f>HLOOKUP($B$9,'Summary_NCP '!$C$5:$M$677,95+J$9,FALSE)*1000</f>
        <v>160503.3728667628</v>
      </c>
      <c r="K55" s="107">
        <f>HLOOKUP($B$9,'Summary_NCP '!$C$5:$M$677,95+K$9,FALSE)*1000</f>
        <v>151484.74068575026</v>
      </c>
      <c r="L55" s="107">
        <f>HLOOKUP($B$9,'Summary_NCP '!$C$5:$M$677,95+L$9,FALSE)*1000</f>
        <v>136856.12107480227</v>
      </c>
      <c r="M55" s="107">
        <f>HLOOKUP($B$9,'Summary_NCP '!$C$5:$M$677,95+M$9,FALSE)*1000</f>
        <v>122272.97665196148</v>
      </c>
      <c r="N55" s="107">
        <f>HLOOKUP($B$9,'Summary_NCP '!$C$5:$M$677,95+N$9,FALSE)*1000</f>
        <v>126908.89560296378</v>
      </c>
      <c r="P55" s="152">
        <f>AVERAGE(C55:N55)</f>
        <v>140212.57973750649</v>
      </c>
    </row>
    <row r="56" spans="1:32" s="106" customFormat="1" ht="16.5" customHeight="1">
      <c r="A56" s="109"/>
      <c r="B56" s="108"/>
      <c r="C56" s="107"/>
      <c r="D56" s="107"/>
      <c r="E56" s="107"/>
      <c r="F56" s="107"/>
      <c r="G56" s="107"/>
      <c r="H56" s="107"/>
      <c r="I56" s="107"/>
      <c r="J56" s="107"/>
      <c r="K56" s="107"/>
      <c r="L56" s="107"/>
      <c r="M56" s="107"/>
      <c r="N56" s="107"/>
    </row>
    <row r="57" spans="1:32" s="106" customFormat="1" ht="16.5" customHeight="1">
      <c r="A57" s="109"/>
      <c r="B57" s="146" t="str">
        <f>"TEST - "&amp;MANUAL!$B$10</f>
        <v>TEST - 2017</v>
      </c>
      <c r="C57" s="107"/>
      <c r="D57" s="107"/>
      <c r="E57" s="107"/>
      <c r="F57" s="107"/>
      <c r="G57" s="107"/>
      <c r="H57" s="107"/>
      <c r="I57" s="107"/>
      <c r="J57" s="107"/>
      <c r="K57" s="107"/>
      <c r="L57" s="107"/>
      <c r="M57" s="107"/>
      <c r="N57" s="107"/>
    </row>
    <row r="58" spans="1:32" s="106" customFormat="1" ht="16.5" customHeight="1">
      <c r="A58" s="109"/>
      <c r="B58" s="149" t="s">
        <v>432</v>
      </c>
      <c r="C58" s="107">
        <f>C34+C39</f>
        <v>110001.33761168281</v>
      </c>
      <c r="D58" s="107">
        <f>D34+D39</f>
        <v>117045.37158572645</v>
      </c>
      <c r="E58" s="107">
        <f t="shared" ref="E58:N58" si="7">E34+E39</f>
        <v>111072.60348421408</v>
      </c>
      <c r="F58" s="107">
        <f t="shared" si="7"/>
        <v>131904.56711477655</v>
      </c>
      <c r="G58" s="107">
        <f t="shared" si="7"/>
        <v>140213.20789276794</v>
      </c>
      <c r="H58" s="107">
        <f t="shared" si="7"/>
        <v>144301.15246978568</v>
      </c>
      <c r="I58" s="107">
        <f t="shared" si="7"/>
        <v>155346.66662196617</v>
      </c>
      <c r="J58" s="107">
        <f t="shared" si="7"/>
        <v>152483.48089780848</v>
      </c>
      <c r="K58" s="107">
        <f t="shared" si="7"/>
        <v>140672.40946206337</v>
      </c>
      <c r="L58" s="107">
        <f t="shared" si="7"/>
        <v>134494.24380944361</v>
      </c>
      <c r="M58" s="107">
        <f t="shared" si="7"/>
        <v>119320.06141392268</v>
      </c>
      <c r="N58" s="107">
        <f t="shared" si="7"/>
        <v>113729.81405168137</v>
      </c>
      <c r="P58" s="152">
        <f>AVERAGE(C58:N58)</f>
        <v>130882.07636798661</v>
      </c>
      <c r="T58" s="522"/>
      <c r="U58" s="523"/>
      <c r="V58" s="523"/>
      <c r="W58" s="523"/>
      <c r="X58" s="523"/>
      <c r="Y58" s="523"/>
      <c r="Z58" s="523"/>
      <c r="AA58" s="523"/>
      <c r="AB58" s="523"/>
      <c r="AC58" s="523"/>
      <c r="AD58" s="523"/>
      <c r="AE58" s="523"/>
      <c r="AF58" s="523"/>
    </row>
    <row r="59" spans="1:32" s="106" customFormat="1" ht="16.5" customHeight="1">
      <c r="A59" s="109"/>
      <c r="B59" s="149" t="s">
        <v>430</v>
      </c>
      <c r="C59" s="107">
        <f>C60</f>
        <v>127064.78774922132</v>
      </c>
      <c r="D59" s="107">
        <f t="shared" ref="D59:N59" si="8">D60</f>
        <v>125678.96472347097</v>
      </c>
      <c r="E59" s="107">
        <f t="shared" si="8"/>
        <v>133007.53045568668</v>
      </c>
      <c r="F59" s="107">
        <f t="shared" si="8"/>
        <v>138253.75554397303</v>
      </c>
      <c r="G59" s="107">
        <f t="shared" si="8"/>
        <v>151373.4919895276</v>
      </c>
      <c r="H59" s="107">
        <f t="shared" si="8"/>
        <v>154828.47225884761</v>
      </c>
      <c r="I59" s="107">
        <f t="shared" si="8"/>
        <v>162584.70506904923</v>
      </c>
      <c r="J59" s="107">
        <f t="shared" si="8"/>
        <v>162016.21781365061</v>
      </c>
      <c r="K59" s="107">
        <f t="shared" si="8"/>
        <v>152912.57936841325</v>
      </c>
      <c r="L59" s="107">
        <f t="shared" si="8"/>
        <v>138146.0758434821</v>
      </c>
      <c r="M59" s="107">
        <f t="shared" si="8"/>
        <v>123425.47613882527</v>
      </c>
      <c r="N59" s="107">
        <f t="shared" si="8"/>
        <v>128105.0915332975</v>
      </c>
      <c r="P59" s="152">
        <f>AVERAGE(C59:N59)</f>
        <v>141449.76237395374</v>
      </c>
      <c r="T59" s="206"/>
      <c r="U59" s="523"/>
      <c r="V59" s="523"/>
      <c r="W59" s="523"/>
      <c r="X59" s="523"/>
      <c r="Y59" s="523"/>
      <c r="Z59" s="523"/>
      <c r="AA59" s="523"/>
      <c r="AB59" s="523"/>
      <c r="AC59" s="523"/>
      <c r="AD59" s="523"/>
      <c r="AE59" s="523"/>
      <c r="AF59" s="523"/>
    </row>
    <row r="60" spans="1:32" s="106" customFormat="1" ht="16.5" customHeight="1">
      <c r="A60" s="109"/>
      <c r="B60" s="149" t="s">
        <v>133</v>
      </c>
      <c r="C60" s="107">
        <f>HLOOKUP($B$9,'Summary_NCP '!$C$5:$M$677,107+C$9,FALSE)*1000</f>
        <v>127064.78774922132</v>
      </c>
      <c r="D60" s="107">
        <f>HLOOKUP($B$9,'Summary_NCP '!$C$5:$M$677,107+D$9,FALSE)*1000</f>
        <v>125678.96472347097</v>
      </c>
      <c r="E60" s="107">
        <f>HLOOKUP($B$9,'Summary_NCP '!$C$5:$M$677,107+E$9,FALSE)*1000</f>
        <v>133007.53045568668</v>
      </c>
      <c r="F60" s="107">
        <f>HLOOKUP($B$9,'Summary_NCP '!$C$5:$M$677,107+F$9,FALSE)*1000</f>
        <v>138253.75554397303</v>
      </c>
      <c r="G60" s="107">
        <f>HLOOKUP($B$9,'Summary_NCP '!$C$5:$M$677,107+G$9,FALSE)*1000</f>
        <v>151373.4919895276</v>
      </c>
      <c r="H60" s="107">
        <f>HLOOKUP($B$9,'Summary_NCP '!$C$5:$M$677,107+H$9,FALSE)*1000</f>
        <v>154828.47225884761</v>
      </c>
      <c r="I60" s="107">
        <f>HLOOKUP($B$9,'Summary_NCP '!$C$5:$M$677,107+I$9,FALSE)*1000</f>
        <v>162584.70506904923</v>
      </c>
      <c r="J60" s="107">
        <f>HLOOKUP($B$9,'Summary_NCP '!$C$5:$M$677,107+J$9,FALSE)*1000</f>
        <v>162016.21781365061</v>
      </c>
      <c r="K60" s="107">
        <f>HLOOKUP($B$9,'Summary_NCP '!$C$5:$M$677,107+K$9,FALSE)*1000</f>
        <v>152912.57936841325</v>
      </c>
      <c r="L60" s="107">
        <f>HLOOKUP($B$9,'Summary_NCP '!$C$5:$M$677,107+L$9,FALSE)*1000</f>
        <v>138146.0758434821</v>
      </c>
      <c r="M60" s="107">
        <f>HLOOKUP($B$9,'Summary_NCP '!$C$5:$M$677,107+M$9,FALSE)*1000</f>
        <v>123425.47613882527</v>
      </c>
      <c r="N60" s="107">
        <f>HLOOKUP($B$9,'Summary_NCP '!$C$5:$M$677,107+N$9,FALSE)*1000</f>
        <v>128105.0915332975</v>
      </c>
      <c r="O60" s="107"/>
      <c r="P60" s="152">
        <f>AVERAGE(C60:N60)</f>
        <v>141449.76237395374</v>
      </c>
      <c r="T60" s="206"/>
      <c r="U60" s="523"/>
      <c r="V60" s="523"/>
      <c r="W60" s="523"/>
      <c r="X60" s="523"/>
      <c r="Y60" s="523"/>
      <c r="Z60" s="523"/>
      <c r="AA60" s="523"/>
      <c r="AB60" s="523"/>
      <c r="AC60" s="523"/>
      <c r="AD60" s="523"/>
      <c r="AE60" s="523"/>
      <c r="AF60" s="523"/>
    </row>
    <row r="61" spans="1:32" s="106" customFormat="1" ht="16.5" customHeight="1">
      <c r="A61" s="109"/>
      <c r="B61" s="149"/>
      <c r="C61" s="107"/>
      <c r="D61" s="107"/>
      <c r="E61" s="107"/>
      <c r="F61" s="107"/>
      <c r="G61" s="107"/>
      <c r="H61" s="107"/>
      <c r="I61" s="107"/>
      <c r="J61" s="107"/>
      <c r="K61" s="107"/>
      <c r="L61" s="107"/>
      <c r="M61" s="107"/>
      <c r="N61" s="107"/>
      <c r="O61" s="107"/>
      <c r="P61" s="152"/>
      <c r="T61" s="206"/>
      <c r="U61" s="523"/>
      <c r="V61" s="523"/>
      <c r="W61" s="523"/>
      <c r="X61" s="523"/>
      <c r="Y61" s="523"/>
      <c r="Z61" s="523"/>
      <c r="AA61" s="523"/>
      <c r="AB61" s="523"/>
      <c r="AC61" s="523"/>
      <c r="AD61" s="523"/>
      <c r="AE61" s="523"/>
      <c r="AF61" s="523"/>
    </row>
    <row r="62" spans="1:32" s="106" customFormat="1" ht="16.5" customHeight="1">
      <c r="A62" s="109"/>
      <c r="B62" s="149"/>
      <c r="C62" s="107"/>
      <c r="D62" s="107"/>
      <c r="E62" s="107"/>
      <c r="F62" s="107"/>
      <c r="G62" s="107"/>
      <c r="H62" s="107"/>
      <c r="I62" s="107"/>
      <c r="J62" s="107"/>
      <c r="K62" s="107"/>
      <c r="L62" s="107"/>
      <c r="M62" s="107"/>
      <c r="N62" s="107"/>
      <c r="O62" s="107"/>
      <c r="P62" s="152"/>
      <c r="T62" s="206"/>
      <c r="U62" s="523"/>
      <c r="V62" s="523"/>
      <c r="W62" s="523"/>
      <c r="X62" s="523"/>
      <c r="Y62" s="523"/>
      <c r="Z62" s="523"/>
      <c r="AA62" s="523"/>
      <c r="AB62" s="523"/>
      <c r="AC62" s="523"/>
      <c r="AD62" s="523"/>
      <c r="AE62" s="523"/>
      <c r="AF62" s="523"/>
    </row>
    <row r="63" spans="1:32" s="106" customFormat="1" ht="16.5" customHeight="1">
      <c r="A63" s="109"/>
      <c r="B63" s="149"/>
      <c r="C63" s="107"/>
      <c r="D63" s="107"/>
      <c r="E63" s="107"/>
      <c r="F63" s="107"/>
      <c r="G63" s="107"/>
      <c r="H63" s="107"/>
      <c r="I63" s="107"/>
      <c r="J63" s="107"/>
      <c r="K63" s="107"/>
      <c r="L63" s="107"/>
      <c r="M63" s="107"/>
      <c r="N63" s="107"/>
      <c r="O63" s="107"/>
      <c r="P63" s="152"/>
      <c r="T63" s="206"/>
      <c r="U63" s="523"/>
      <c r="V63" s="523"/>
      <c r="W63" s="523"/>
      <c r="X63" s="523"/>
      <c r="Y63" s="523"/>
      <c r="Z63" s="523"/>
      <c r="AA63" s="523"/>
      <c r="AB63" s="523"/>
      <c r="AC63" s="523"/>
      <c r="AD63" s="523"/>
      <c r="AE63" s="523"/>
      <c r="AF63" s="523"/>
    </row>
    <row r="64" spans="1:32" s="106" customFormat="1" ht="16.5" customHeight="1">
      <c r="A64" s="109"/>
      <c r="B64" s="149"/>
      <c r="C64" s="107"/>
      <c r="D64" s="107"/>
      <c r="E64" s="107"/>
      <c r="F64" s="107"/>
      <c r="G64" s="107"/>
      <c r="H64" s="107"/>
      <c r="I64" s="107"/>
      <c r="J64" s="107"/>
      <c r="K64" s="107"/>
      <c r="L64" s="107"/>
      <c r="M64" s="107"/>
      <c r="N64" s="107"/>
      <c r="P64" s="152"/>
      <c r="T64" s="206"/>
      <c r="U64" s="523"/>
      <c r="V64" s="523"/>
      <c r="W64" s="523"/>
      <c r="X64" s="523"/>
      <c r="Y64" s="523"/>
      <c r="Z64" s="523"/>
      <c r="AA64" s="523"/>
      <c r="AB64" s="523"/>
      <c r="AC64" s="523"/>
      <c r="AD64" s="523"/>
      <c r="AE64" s="523"/>
      <c r="AF64" s="523"/>
    </row>
    <row r="65" spans="1:32" s="106" customFormat="1" ht="16.5" customHeight="1">
      <c r="A65" s="109"/>
      <c r="B65" s="146" t="str">
        <f>"SUBSEQUENT - "&amp;MANUAL!$B$11</f>
        <v>SUBSEQUENT - 2018</v>
      </c>
      <c r="C65" s="107"/>
      <c r="D65" s="107"/>
      <c r="E65" s="107"/>
      <c r="F65" s="107"/>
      <c r="G65" s="107"/>
      <c r="H65" s="107"/>
      <c r="I65" s="107"/>
      <c r="J65" s="107"/>
      <c r="K65" s="107"/>
      <c r="L65" s="107"/>
      <c r="M65" s="107"/>
      <c r="N65" s="107"/>
      <c r="T65" s="206"/>
      <c r="U65" s="523"/>
      <c r="V65" s="523"/>
      <c r="W65" s="523"/>
      <c r="X65" s="523"/>
      <c r="Y65" s="523"/>
      <c r="Z65" s="523"/>
      <c r="AA65" s="523"/>
      <c r="AB65" s="523"/>
      <c r="AC65" s="523"/>
      <c r="AD65" s="523"/>
      <c r="AE65" s="523"/>
      <c r="AF65" s="523"/>
    </row>
    <row r="66" spans="1:32" s="106" customFormat="1" ht="16.5" customHeight="1">
      <c r="A66" s="109"/>
      <c r="B66" s="149" t="s">
        <v>432</v>
      </c>
      <c r="C66" s="107">
        <f>C44+C49</f>
        <v>111029.50077166939</v>
      </c>
      <c r="D66" s="107">
        <f>D44+D49</f>
        <v>118139.37409264322</v>
      </c>
      <c r="E66" s="107">
        <f t="shared" ref="E66:N66" si="9">E44+E49</f>
        <v>112110.77957793939</v>
      </c>
      <c r="F66" s="107">
        <f t="shared" si="9"/>
        <v>133137.4559094577</v>
      </c>
      <c r="G66" s="107">
        <f t="shared" si="9"/>
        <v>141523.75609180695</v>
      </c>
      <c r="H66" s="107">
        <f t="shared" si="9"/>
        <v>145649.9099679607</v>
      </c>
      <c r="I66" s="107">
        <f t="shared" si="9"/>
        <v>157775.88540399523</v>
      </c>
      <c r="J66" s="107">
        <f t="shared" si="9"/>
        <v>153908.71718101701</v>
      </c>
      <c r="K66" s="107">
        <f t="shared" si="9"/>
        <v>141987.24973742448</v>
      </c>
      <c r="L66" s="107">
        <f t="shared" si="9"/>
        <v>135751.33785682029</v>
      </c>
      <c r="M66" s="107">
        <f t="shared" si="9"/>
        <v>120435.32504668142</v>
      </c>
      <c r="N66" s="107">
        <f t="shared" si="9"/>
        <v>114792.82662533609</v>
      </c>
      <c r="O66" s="107"/>
      <c r="P66" s="152">
        <f>AVERAGE(C66:N66)</f>
        <v>132186.84318856266</v>
      </c>
      <c r="T66" s="206"/>
      <c r="U66" s="524"/>
      <c r="V66" s="524"/>
      <c r="W66" s="524"/>
      <c r="X66" s="524"/>
      <c r="Y66" s="524"/>
      <c r="Z66" s="524"/>
      <c r="AA66" s="524"/>
      <c r="AB66" s="524"/>
      <c r="AC66" s="524"/>
      <c r="AD66" s="524"/>
      <c r="AE66" s="524"/>
      <c r="AF66" s="524"/>
    </row>
    <row r="67" spans="1:32" s="106" customFormat="1" ht="16.5" customHeight="1">
      <c r="A67" s="109"/>
      <c r="B67" s="149" t="s">
        <v>430</v>
      </c>
      <c r="C67" s="107">
        <f>C68</f>
        <v>128262.45306079926</v>
      </c>
      <c r="D67" s="107">
        <f t="shared" ref="D67:N67" si="10">D68</f>
        <v>126863.56778393018</v>
      </c>
      <c r="E67" s="107">
        <f t="shared" si="10"/>
        <v>134261.20984418743</v>
      </c>
      <c r="F67" s="107">
        <f t="shared" si="10"/>
        <v>139556.88389403324</v>
      </c>
      <c r="G67" s="107">
        <f t="shared" si="10"/>
        <v>152800.28208346051</v>
      </c>
      <c r="H67" s="107">
        <f t="shared" si="10"/>
        <v>156287.82770856516</v>
      </c>
      <c r="I67" s="107">
        <f t="shared" si="10"/>
        <v>165140</v>
      </c>
      <c r="J67" s="107">
        <f t="shared" si="10"/>
        <v>163543.32227292401</v>
      </c>
      <c r="K67" s="107">
        <f t="shared" si="10"/>
        <v>154353.87632611097</v>
      </c>
      <c r="L67" s="107">
        <f t="shared" si="10"/>
        <v>139448.18924483523</v>
      </c>
      <c r="M67" s="107">
        <f t="shared" si="10"/>
        <v>124588.83865612792</v>
      </c>
      <c r="N67" s="107">
        <f t="shared" si="10"/>
        <v>129312.56236045343</v>
      </c>
      <c r="O67" s="107"/>
      <c r="P67" s="152">
        <f>AVERAGE(C67:N67)</f>
        <v>142868.25110295226</v>
      </c>
      <c r="T67" s="206"/>
      <c r="U67" s="524"/>
      <c r="V67" s="524"/>
      <c r="W67" s="524"/>
      <c r="X67" s="524"/>
      <c r="Y67" s="524"/>
      <c r="Z67" s="524"/>
      <c r="AA67" s="524"/>
      <c r="AB67" s="524"/>
      <c r="AC67" s="524"/>
      <c r="AD67" s="524"/>
      <c r="AE67" s="524"/>
      <c r="AF67" s="524"/>
    </row>
    <row r="68" spans="1:32" s="106" customFormat="1" ht="16.5" customHeight="1">
      <c r="A68" s="109"/>
      <c r="B68" s="149" t="s">
        <v>133</v>
      </c>
      <c r="C68" s="107">
        <f>HLOOKUP($B$9,'Summary_NCP '!$C$5:$M$677,119+C$9,FALSE)*1000</f>
        <v>128262.45306079926</v>
      </c>
      <c r="D68" s="107">
        <f>HLOOKUP($B$9,'Summary_NCP '!$C$5:$M$677,119+D$9,FALSE)*1000</f>
        <v>126863.56778393018</v>
      </c>
      <c r="E68" s="107">
        <f>HLOOKUP($B$9,'Summary_NCP '!$C$5:$M$677,119+E$9,FALSE)*1000</f>
        <v>134261.20984418743</v>
      </c>
      <c r="F68" s="107">
        <f>HLOOKUP($B$9,'Summary_NCP '!$C$5:$M$677,119+F$9,FALSE)*1000</f>
        <v>139556.88389403324</v>
      </c>
      <c r="G68" s="107">
        <f>HLOOKUP($B$9,'Summary_NCP '!$C$5:$M$677,119+G$9,FALSE)*1000</f>
        <v>152800.28208346051</v>
      </c>
      <c r="H68" s="107">
        <f>HLOOKUP($B$9,'Summary_NCP '!$C$5:$M$677,119+H$9,FALSE)*1000</f>
        <v>156287.82770856516</v>
      </c>
      <c r="I68" s="107">
        <f>HLOOKUP($B$9,'Summary_NCP '!$C$5:$M$677,119+I$9,FALSE)*1000</f>
        <v>165140</v>
      </c>
      <c r="J68" s="107">
        <f>HLOOKUP($B$9,'Summary_NCP '!$C$5:$M$677,119+J$9,FALSE)*1000</f>
        <v>163543.32227292401</v>
      </c>
      <c r="K68" s="107">
        <f>HLOOKUP($B$9,'Summary_NCP '!$C$5:$M$677,119+K$9,FALSE)*1000</f>
        <v>154353.87632611097</v>
      </c>
      <c r="L68" s="107">
        <f>HLOOKUP($B$9,'Summary_NCP '!$C$5:$M$677,119+L$9,FALSE)*1000</f>
        <v>139448.18924483523</v>
      </c>
      <c r="M68" s="107">
        <f>HLOOKUP($B$9,'Summary_NCP '!$C$5:$M$677,119+M$9,FALSE)*1000</f>
        <v>124588.83865612792</v>
      </c>
      <c r="N68" s="107">
        <f>HLOOKUP($B$9,'Summary_NCP '!$C$5:$M$677,119+N$9,FALSE)*1000</f>
        <v>129312.56236045343</v>
      </c>
      <c r="O68" s="107"/>
      <c r="P68" s="152">
        <f>AVERAGE(C68:N68)</f>
        <v>142868.25110295226</v>
      </c>
      <c r="T68" s="206"/>
      <c r="U68" s="524"/>
      <c r="V68" s="524"/>
      <c r="W68" s="524"/>
      <c r="X68" s="524"/>
      <c r="Y68" s="524"/>
      <c r="Z68" s="524"/>
      <c r="AA68" s="524"/>
      <c r="AB68" s="524"/>
      <c r="AC68" s="524"/>
      <c r="AD68" s="524"/>
      <c r="AE68" s="524"/>
      <c r="AF68" s="524"/>
    </row>
    <row r="69" spans="1:32" s="106" customFormat="1" ht="16.5" customHeight="1">
      <c r="A69" s="109"/>
      <c r="B69" s="149"/>
      <c r="C69" s="107"/>
      <c r="D69" s="107"/>
      <c r="E69" s="107"/>
      <c r="F69" s="107"/>
      <c r="G69" s="107"/>
      <c r="H69" s="107"/>
      <c r="I69" s="107"/>
      <c r="J69" s="107"/>
      <c r="K69" s="107"/>
      <c r="L69" s="107"/>
      <c r="M69" s="107"/>
      <c r="N69" s="107"/>
      <c r="O69" s="107"/>
      <c r="P69" s="152"/>
      <c r="T69" s="206"/>
      <c r="U69" s="524"/>
      <c r="V69" s="524"/>
      <c r="W69" s="524"/>
      <c r="X69" s="524"/>
      <c r="Y69" s="524"/>
      <c r="Z69" s="524"/>
      <c r="AA69" s="524"/>
      <c r="AB69" s="524"/>
      <c r="AC69" s="524"/>
      <c r="AD69" s="524"/>
      <c r="AE69" s="524"/>
      <c r="AF69" s="524"/>
    </row>
    <row r="70" spans="1:32" s="106" customFormat="1" ht="16.5" customHeight="1">
      <c r="A70" s="109"/>
      <c r="B70" s="149"/>
      <c r="C70" s="107"/>
      <c r="D70" s="107"/>
      <c r="E70" s="107"/>
      <c r="F70" s="107"/>
      <c r="G70" s="107"/>
      <c r="H70" s="107"/>
      <c r="I70" s="107"/>
      <c r="J70" s="107"/>
      <c r="K70" s="107"/>
      <c r="L70" s="107"/>
      <c r="M70" s="107"/>
      <c r="N70" s="107"/>
      <c r="O70" s="107"/>
      <c r="P70" s="152"/>
      <c r="T70" s="206"/>
      <c r="U70" s="524"/>
      <c r="V70" s="524"/>
      <c r="W70" s="524"/>
      <c r="X70" s="524"/>
      <c r="Y70" s="524"/>
      <c r="Z70" s="524"/>
      <c r="AA70" s="524"/>
      <c r="AB70" s="524"/>
      <c r="AC70" s="524"/>
      <c r="AD70" s="524"/>
      <c r="AE70" s="524"/>
      <c r="AF70" s="524"/>
    </row>
    <row r="71" spans="1:32" s="106" customFormat="1" ht="16.5" customHeight="1">
      <c r="A71" s="109"/>
      <c r="B71" s="149"/>
      <c r="C71" s="107"/>
      <c r="D71" s="107"/>
      <c r="E71" s="107"/>
      <c r="F71" s="107"/>
      <c r="G71" s="107"/>
      <c r="H71" s="107"/>
      <c r="I71" s="107"/>
      <c r="J71" s="107"/>
      <c r="K71" s="107"/>
      <c r="L71" s="107"/>
      <c r="M71" s="107"/>
      <c r="N71" s="107"/>
      <c r="O71" s="107"/>
      <c r="P71" s="152"/>
      <c r="T71" s="206"/>
      <c r="U71" s="524"/>
      <c r="V71" s="524"/>
      <c r="W71" s="524"/>
      <c r="X71" s="524"/>
      <c r="Y71" s="524"/>
      <c r="Z71" s="524"/>
      <c r="AA71" s="524"/>
      <c r="AB71" s="524"/>
      <c r="AC71" s="524"/>
      <c r="AD71" s="524"/>
      <c r="AE71" s="524"/>
      <c r="AF71" s="524"/>
    </row>
    <row r="72" spans="1:32" s="106" customFormat="1" ht="16.5" customHeight="1">
      <c r="A72" s="109"/>
      <c r="B72" s="108"/>
      <c r="C72" s="107"/>
      <c r="D72" s="107"/>
      <c r="E72" s="107"/>
      <c r="F72" s="107"/>
      <c r="G72" s="107"/>
      <c r="H72" s="107"/>
      <c r="I72" s="107"/>
      <c r="J72" s="107"/>
      <c r="K72" s="107"/>
      <c r="L72" s="107"/>
      <c r="M72" s="107"/>
      <c r="N72" s="107"/>
      <c r="T72" s="206"/>
      <c r="U72" s="523"/>
      <c r="V72" s="523"/>
      <c r="W72" s="523"/>
      <c r="X72" s="523"/>
      <c r="Y72" s="523"/>
      <c r="Z72" s="523"/>
      <c r="AA72" s="523"/>
      <c r="AB72" s="523"/>
      <c r="AC72" s="523"/>
      <c r="AD72" s="523"/>
      <c r="AE72" s="523"/>
      <c r="AF72" s="523"/>
    </row>
    <row r="73" spans="1:32" ht="13.2">
      <c r="A73" s="42" t="s">
        <v>116</v>
      </c>
      <c r="C73" s="105"/>
    </row>
    <row r="74" spans="1:32" ht="13.2">
      <c r="A74"/>
      <c r="B74" s="10" t="s">
        <v>338</v>
      </c>
      <c r="C74" s="105"/>
      <c r="D74" s="105"/>
      <c r="E74" s="105"/>
      <c r="F74" s="105"/>
      <c r="G74" s="105"/>
      <c r="H74" s="105"/>
      <c r="I74" s="105"/>
      <c r="J74" s="105"/>
      <c r="K74" s="105"/>
      <c r="L74" s="105"/>
      <c r="M74" s="105"/>
      <c r="N74" s="105"/>
    </row>
    <row r="75" spans="1:32" ht="13.2">
      <c r="A75"/>
      <c r="B75" s="81" t="s">
        <v>426</v>
      </c>
      <c r="U75" s="44"/>
      <c r="V75" s="44"/>
      <c r="W75" s="44"/>
      <c r="X75" s="44"/>
      <c r="Y75" s="44"/>
      <c r="Z75" s="44"/>
      <c r="AA75" s="44"/>
      <c r="AB75" s="44"/>
      <c r="AC75" s="44"/>
      <c r="AD75" s="44"/>
      <c r="AE75" s="44"/>
      <c r="AF75" s="150"/>
    </row>
    <row r="76" spans="1:32" ht="13.2">
      <c r="A76"/>
      <c r="B76" s="125" t="s">
        <v>431</v>
      </c>
      <c r="C76" s="104"/>
    </row>
    <row r="77" spans="1:32" ht="13.2">
      <c r="A77"/>
      <c r="B77" s="153" t="s">
        <v>435</v>
      </c>
      <c r="E77" s="10"/>
    </row>
    <row r="78" spans="1:32" ht="13.2">
      <c r="A78"/>
      <c r="B78" t="s">
        <v>433</v>
      </c>
      <c r="C78" s="98"/>
      <c r="D78" s="98"/>
      <c r="E78" s="98"/>
      <c r="F78" s="98"/>
      <c r="G78" s="98"/>
      <c r="H78" s="98"/>
      <c r="I78" s="98"/>
      <c r="J78" s="98"/>
      <c r="K78" s="98"/>
      <c r="L78" s="98"/>
      <c r="M78" s="98"/>
      <c r="N78" s="98"/>
    </row>
    <row r="79" spans="1:32">
      <c r="T79" s="522"/>
      <c r="U79" s="523"/>
      <c r="V79" s="523"/>
      <c r="W79" s="523"/>
      <c r="X79" s="523"/>
      <c r="Y79" s="523"/>
      <c r="Z79" s="523"/>
      <c r="AA79" s="523"/>
      <c r="AB79" s="523"/>
      <c r="AC79" s="523"/>
      <c r="AD79" s="523"/>
      <c r="AE79" s="523"/>
      <c r="AF79" s="523"/>
    </row>
    <row r="80" spans="1:32">
      <c r="T80" s="206"/>
      <c r="U80" s="523"/>
      <c r="V80" s="523"/>
      <c r="W80" s="523"/>
      <c r="X80" s="523"/>
      <c r="Y80" s="523"/>
      <c r="Z80" s="523"/>
      <c r="AA80" s="523"/>
      <c r="AB80" s="523"/>
      <c r="AC80" s="523"/>
      <c r="AD80" s="523"/>
      <c r="AE80" s="523"/>
      <c r="AF80" s="523"/>
    </row>
    <row r="81" spans="2:32">
      <c r="B81" s="146"/>
      <c r="C81" s="115"/>
      <c r="D81" s="115"/>
      <c r="E81" s="115"/>
      <c r="F81" s="115"/>
      <c r="G81" s="115"/>
      <c r="H81" s="115"/>
      <c r="I81" s="115"/>
      <c r="J81" s="115"/>
      <c r="K81" s="115"/>
      <c r="L81" s="115"/>
      <c r="M81" s="115"/>
      <c r="N81" s="115"/>
      <c r="O81" s="10"/>
      <c r="P81" s="10"/>
      <c r="Q81" s="10"/>
      <c r="R81" s="10"/>
      <c r="T81" s="206"/>
      <c r="U81" s="523"/>
      <c r="V81" s="523"/>
      <c r="W81" s="523"/>
      <c r="X81" s="523"/>
      <c r="Y81" s="523"/>
      <c r="Z81" s="523"/>
      <c r="AA81" s="523"/>
      <c r="AB81" s="523"/>
      <c r="AC81" s="523"/>
      <c r="AD81" s="523"/>
      <c r="AE81" s="523"/>
      <c r="AF81" s="523"/>
    </row>
    <row r="82" spans="2:32">
      <c r="B82" s="149" t="s">
        <v>1202</v>
      </c>
      <c r="C82" s="499">
        <f>IFERROR((C$23/C$14)/C58,0)</f>
        <v>0.69312573190687832</v>
      </c>
      <c r="D82" s="499">
        <f t="shared" ref="D82:N82" si="11">IFERROR((D$23/D$14)/D58,0)</f>
        <v>0.72340028244561394</v>
      </c>
      <c r="E82" s="499">
        <f t="shared" si="11"/>
        <v>0.64924044080033638</v>
      </c>
      <c r="F82" s="499">
        <f t="shared" si="11"/>
        <v>0.6455665352846337</v>
      </c>
      <c r="G82" s="499">
        <f t="shared" si="11"/>
        <v>0.61707648658913616</v>
      </c>
      <c r="H82" s="499">
        <f t="shared" si="11"/>
        <v>0.70119904285128309</v>
      </c>
      <c r="I82" s="499">
        <f t="shared" si="11"/>
        <v>0.68599624998412623</v>
      </c>
      <c r="J82" s="499">
        <f t="shared" si="11"/>
        <v>0.76424820658212067</v>
      </c>
      <c r="K82" s="499">
        <f t="shared" si="11"/>
        <v>0.84871120877773154</v>
      </c>
      <c r="L82" s="499">
        <f t="shared" si="11"/>
        <v>0.73090403794648828</v>
      </c>
      <c r="M82" s="499">
        <f t="shared" si="11"/>
        <v>0.78713974400163256</v>
      </c>
      <c r="N82" s="499">
        <f t="shared" si="11"/>
        <v>0.65770979310332334</v>
      </c>
      <c r="O82" s="110"/>
      <c r="P82" s="488"/>
      <c r="Q82" s="10"/>
      <c r="R82" s="10"/>
      <c r="T82" s="206"/>
      <c r="U82" s="523"/>
      <c r="V82" s="523"/>
      <c r="W82" s="523"/>
      <c r="X82" s="523"/>
      <c r="Y82" s="523"/>
      <c r="Z82" s="523"/>
      <c r="AA82" s="523"/>
      <c r="AB82" s="523"/>
      <c r="AC82" s="523"/>
      <c r="AD82" s="523"/>
      <c r="AE82" s="523"/>
      <c r="AF82" s="523"/>
    </row>
    <row r="83" spans="2:32">
      <c r="B83" s="149" t="s">
        <v>1203</v>
      </c>
      <c r="C83" s="499">
        <f>IFERROR((C$23/C$14)/C59,0)</f>
        <v>0.60004631490285176</v>
      </c>
      <c r="D83" s="499">
        <f t="shared" ref="D83:N83" si="12">IFERROR((D$23/D$14)/D59,0)</f>
        <v>0.6737058588154794</v>
      </c>
      <c r="E83" s="499">
        <f t="shared" si="12"/>
        <v>0.54217100189644918</v>
      </c>
      <c r="F83" s="499">
        <f t="shared" si="12"/>
        <v>0.61591943050995013</v>
      </c>
      <c r="G83" s="499">
        <f t="shared" si="12"/>
        <v>0.57158140809651936</v>
      </c>
      <c r="H83" s="499">
        <f t="shared" si="12"/>
        <v>0.65352211074580746</v>
      </c>
      <c r="I83" s="499">
        <f t="shared" si="12"/>
        <v>0.65545667844305677</v>
      </c>
      <c r="J83" s="499">
        <f t="shared" si="12"/>
        <v>0.71928124469358257</v>
      </c>
      <c r="K83" s="499">
        <f t="shared" si="12"/>
        <v>0.78077455216144198</v>
      </c>
      <c r="L83" s="499">
        <f t="shared" si="12"/>
        <v>0.71158290440516947</v>
      </c>
      <c r="M83" s="499">
        <f t="shared" si="12"/>
        <v>0.76095766882012283</v>
      </c>
      <c r="N83" s="499">
        <f t="shared" si="12"/>
        <v>0.58390507023811944</v>
      </c>
      <c r="O83" s="110"/>
      <c r="P83" s="488"/>
      <c r="Q83" s="10"/>
      <c r="R83" s="10"/>
      <c r="T83" s="206"/>
      <c r="U83" s="523"/>
      <c r="V83" s="523"/>
      <c r="W83" s="523"/>
      <c r="X83" s="523"/>
      <c r="Y83" s="523"/>
      <c r="Z83" s="523"/>
      <c r="AA83" s="523"/>
      <c r="AB83" s="523"/>
      <c r="AC83" s="523"/>
      <c r="AD83" s="523"/>
      <c r="AE83" s="523"/>
      <c r="AF83" s="523"/>
    </row>
    <row r="84" spans="2:32">
      <c r="B84" s="149" t="s">
        <v>1204</v>
      </c>
      <c r="C84" s="499">
        <f>IFERROR((C$23/C$14)/C60,0)</f>
        <v>0.60004631490285176</v>
      </c>
      <c r="D84" s="499">
        <f t="shared" ref="D84:N84" si="13">IFERROR((D$23/D$14)/D60,0)</f>
        <v>0.6737058588154794</v>
      </c>
      <c r="E84" s="499">
        <f t="shared" si="13"/>
        <v>0.54217100189644918</v>
      </c>
      <c r="F84" s="499">
        <f t="shared" si="13"/>
        <v>0.61591943050995013</v>
      </c>
      <c r="G84" s="499">
        <f t="shared" si="13"/>
        <v>0.57158140809651936</v>
      </c>
      <c r="H84" s="499">
        <f t="shared" si="13"/>
        <v>0.65352211074580746</v>
      </c>
      <c r="I84" s="499">
        <f t="shared" si="13"/>
        <v>0.65545667844305677</v>
      </c>
      <c r="J84" s="499">
        <f t="shared" si="13"/>
        <v>0.71928124469358257</v>
      </c>
      <c r="K84" s="499">
        <f t="shared" si="13"/>
        <v>0.78077455216144198</v>
      </c>
      <c r="L84" s="499">
        <f t="shared" si="13"/>
        <v>0.71158290440516947</v>
      </c>
      <c r="M84" s="499">
        <f t="shared" si="13"/>
        <v>0.76095766882012283</v>
      </c>
      <c r="N84" s="499">
        <f t="shared" si="13"/>
        <v>0.58390507023811944</v>
      </c>
      <c r="O84" s="106"/>
      <c r="P84" s="488"/>
      <c r="Q84" s="10"/>
      <c r="R84" s="10"/>
      <c r="T84" s="206"/>
      <c r="U84" s="524"/>
      <c r="V84" s="524"/>
      <c r="W84" s="524"/>
      <c r="X84" s="524"/>
      <c r="Y84" s="524"/>
      <c r="Z84" s="524"/>
      <c r="AA84" s="524"/>
      <c r="AB84" s="524"/>
      <c r="AC84" s="524"/>
      <c r="AD84" s="524"/>
      <c r="AE84" s="524"/>
      <c r="AF84" s="524"/>
    </row>
    <row r="85" spans="2:32">
      <c r="B85" s="108"/>
      <c r="C85" s="499"/>
      <c r="D85" s="499"/>
      <c r="E85" s="499"/>
      <c r="F85" s="499"/>
      <c r="G85" s="499"/>
      <c r="H85" s="499"/>
      <c r="I85" s="499"/>
      <c r="J85" s="499"/>
      <c r="K85" s="499"/>
      <c r="L85" s="499"/>
      <c r="M85" s="499"/>
      <c r="N85" s="499"/>
      <c r="O85" s="106"/>
      <c r="P85" s="106"/>
      <c r="Q85" s="10"/>
      <c r="R85" s="10"/>
      <c r="T85" s="206"/>
      <c r="U85" s="524"/>
      <c r="V85" s="524"/>
      <c r="W85" s="524"/>
      <c r="X85" s="524"/>
      <c r="Y85" s="524"/>
      <c r="Z85" s="524"/>
      <c r="AA85" s="524"/>
      <c r="AB85" s="524"/>
      <c r="AC85" s="524"/>
      <c r="AD85" s="524"/>
      <c r="AE85" s="524"/>
      <c r="AF85" s="524"/>
    </row>
    <row r="86" spans="2:32">
      <c r="B86" s="146"/>
      <c r="C86" s="107"/>
      <c r="D86" s="107"/>
      <c r="E86" s="107"/>
      <c r="F86" s="107"/>
      <c r="G86" s="107"/>
      <c r="H86" s="107"/>
      <c r="I86" s="107"/>
      <c r="J86" s="107"/>
      <c r="K86" s="107"/>
      <c r="L86" s="107"/>
      <c r="M86" s="107"/>
      <c r="N86" s="107"/>
      <c r="O86" s="106"/>
      <c r="P86" s="106"/>
      <c r="Q86" s="10"/>
      <c r="R86" s="10"/>
      <c r="T86" s="206"/>
      <c r="U86" s="524"/>
      <c r="V86" s="524"/>
      <c r="W86" s="524"/>
      <c r="X86" s="524"/>
      <c r="Y86" s="524"/>
      <c r="Z86" s="524"/>
      <c r="AA86" s="524"/>
      <c r="AB86" s="524"/>
      <c r="AC86" s="524"/>
      <c r="AD86" s="524"/>
      <c r="AE86" s="524"/>
      <c r="AF86" s="524"/>
    </row>
    <row r="87" spans="2:32">
      <c r="B87" s="149"/>
      <c r="C87" s="107"/>
      <c r="D87" s="107"/>
      <c r="E87" s="107"/>
      <c r="F87" s="107"/>
      <c r="G87" s="107"/>
      <c r="H87" s="107"/>
      <c r="I87" s="107"/>
      <c r="J87" s="107"/>
      <c r="K87" s="107"/>
      <c r="L87" s="107"/>
      <c r="M87" s="107"/>
      <c r="N87" s="107"/>
      <c r="O87" s="106"/>
      <c r="P87" s="488"/>
      <c r="Q87" s="10"/>
      <c r="R87" s="10"/>
      <c r="T87" s="206"/>
      <c r="U87" s="523"/>
      <c r="V87" s="523"/>
      <c r="W87" s="523"/>
      <c r="X87" s="523"/>
      <c r="Y87" s="523"/>
      <c r="Z87" s="523"/>
      <c r="AA87" s="523"/>
      <c r="AB87" s="523"/>
      <c r="AC87" s="523"/>
      <c r="AD87" s="523"/>
      <c r="AE87" s="523"/>
      <c r="AF87" s="523"/>
    </row>
    <row r="88" spans="2:32">
      <c r="B88" s="149"/>
      <c r="C88" s="107"/>
      <c r="D88" s="107"/>
      <c r="E88" s="107"/>
      <c r="F88" s="107"/>
      <c r="G88" s="107"/>
      <c r="H88" s="107"/>
      <c r="I88" s="107"/>
      <c r="J88" s="107"/>
      <c r="K88" s="107"/>
      <c r="L88" s="107"/>
      <c r="M88" s="107"/>
      <c r="N88" s="107"/>
      <c r="O88" s="106"/>
      <c r="P88" s="488"/>
      <c r="Q88" s="10"/>
      <c r="R88" s="10"/>
    </row>
    <row r="89" spans="2:32">
      <c r="B89" s="149"/>
      <c r="C89" s="107"/>
      <c r="D89" s="107"/>
      <c r="E89" s="107"/>
      <c r="F89" s="107"/>
      <c r="G89" s="107"/>
      <c r="H89" s="107"/>
      <c r="I89" s="107"/>
      <c r="J89" s="107"/>
      <c r="K89" s="107"/>
      <c r="L89" s="107"/>
      <c r="M89" s="107"/>
      <c r="N89" s="107"/>
      <c r="O89" s="106"/>
      <c r="P89" s="488"/>
      <c r="Q89" s="10"/>
      <c r="R89" s="10"/>
      <c r="U89" s="44"/>
      <c r="V89" s="44"/>
      <c r="W89" s="44"/>
      <c r="X89" s="44"/>
      <c r="Y89" s="44"/>
      <c r="Z89" s="44"/>
      <c r="AA89" s="44"/>
      <c r="AB89" s="44"/>
      <c r="AC89" s="44"/>
      <c r="AD89" s="44"/>
      <c r="AE89" s="44"/>
      <c r="AF89" s="44"/>
    </row>
    <row r="90" spans="2:32">
      <c r="B90" s="149"/>
      <c r="C90" s="107"/>
      <c r="D90" s="107"/>
      <c r="E90" s="107"/>
      <c r="F90" s="107"/>
      <c r="G90" s="107"/>
      <c r="H90" s="107"/>
      <c r="I90" s="107"/>
      <c r="J90" s="107"/>
      <c r="K90" s="107"/>
      <c r="L90" s="107"/>
      <c r="M90" s="107"/>
      <c r="N90" s="107"/>
      <c r="O90" s="106"/>
      <c r="P90" s="488"/>
      <c r="Q90" s="10"/>
      <c r="R90" s="10"/>
      <c r="U90" s="534"/>
      <c r="V90" s="534"/>
      <c r="W90" s="534"/>
      <c r="X90" s="534"/>
      <c r="Y90" s="534"/>
      <c r="Z90" s="534"/>
      <c r="AA90" s="534"/>
      <c r="AB90" s="534"/>
      <c r="AC90" s="534"/>
      <c r="AD90" s="534"/>
      <c r="AE90" s="534"/>
      <c r="AF90" s="534"/>
    </row>
    <row r="91" spans="2:32">
      <c r="B91" s="146"/>
      <c r="C91" s="107"/>
      <c r="D91" s="107"/>
      <c r="E91" s="107"/>
      <c r="F91" s="107"/>
      <c r="G91" s="107"/>
      <c r="H91" s="107"/>
      <c r="I91" s="107"/>
      <c r="J91" s="107"/>
      <c r="K91" s="107"/>
      <c r="L91" s="107"/>
      <c r="M91" s="107"/>
      <c r="N91" s="107"/>
      <c r="O91" s="106"/>
      <c r="P91" s="106"/>
      <c r="Q91" s="10"/>
      <c r="R91" s="10"/>
    </row>
    <row r="92" spans="2:32">
      <c r="B92" s="149"/>
      <c r="C92" s="228"/>
      <c r="D92" s="228"/>
      <c r="E92" s="228"/>
      <c r="F92" s="228"/>
      <c r="G92" s="228"/>
      <c r="H92" s="228"/>
      <c r="I92" s="228"/>
      <c r="J92" s="228"/>
      <c r="K92" s="228"/>
      <c r="L92" s="228"/>
      <c r="M92" s="228"/>
      <c r="N92" s="228"/>
      <c r="O92" s="228"/>
      <c r="P92" s="488"/>
      <c r="Q92" s="10"/>
      <c r="R92" s="10"/>
    </row>
    <row r="93" spans="2:32" ht="409.6">
      <c r="B93" s="149"/>
      <c r="C93" s="228"/>
      <c r="D93" s="228"/>
      <c r="E93" s="228"/>
      <c r="F93" s="228"/>
      <c r="G93" s="228"/>
      <c r="H93" s="228"/>
      <c r="I93" s="228"/>
      <c r="J93" s="228"/>
      <c r="K93" s="228"/>
      <c r="L93" s="228"/>
      <c r="M93" s="228"/>
      <c r="N93" s="228"/>
      <c r="O93" s="107"/>
      <c r="P93" s="488"/>
      <c r="Q93" s="10"/>
    </row>
    <row r="94" spans="2:32" ht="409.6">
      <c r="B94" s="149"/>
      <c r="C94" s="228"/>
      <c r="D94" s="228"/>
      <c r="E94" s="228"/>
      <c r="F94" s="228"/>
      <c r="G94" s="228"/>
      <c r="H94" s="228"/>
      <c r="I94" s="228"/>
      <c r="J94" s="228"/>
      <c r="K94" s="228"/>
      <c r="L94" s="228"/>
      <c r="M94" s="228"/>
      <c r="N94" s="228"/>
      <c r="O94" s="107"/>
      <c r="P94" s="488"/>
      <c r="Q94" s="10"/>
    </row>
    <row r="95" spans="2:32">
      <c r="B95" s="10"/>
      <c r="C95" s="10"/>
      <c r="D95" s="10"/>
      <c r="E95" s="10"/>
      <c r="F95" s="10"/>
      <c r="G95" s="10"/>
      <c r="H95" s="10"/>
      <c r="I95" s="10"/>
      <c r="J95" s="10"/>
      <c r="K95" s="10"/>
      <c r="L95" s="10"/>
      <c r="M95" s="10"/>
      <c r="N95" s="10"/>
      <c r="O95" s="10"/>
      <c r="P95" s="10"/>
      <c r="Q95" s="10"/>
    </row>
  </sheetData>
  <mergeCells count="3">
    <mergeCell ref="C7:E7"/>
    <mergeCell ref="F7:L7"/>
    <mergeCell ref="M7:N7"/>
  </mergeCells>
  <conditionalFormatting sqref="C53:N53">
    <cfRule type="cellIs" dxfId="81" priority="18" operator="greaterThanOrEqual">
      <formula>C54</formula>
    </cfRule>
  </conditionalFormatting>
  <conditionalFormatting sqref="C55:N55">
    <cfRule type="cellIs" dxfId="80" priority="10" operator="greaterThanOrEqual">
      <formula>C56</formula>
    </cfRule>
  </conditionalFormatting>
  <conditionalFormatting sqref="C63:N63 C71:N71">
    <cfRule type="cellIs" dxfId="79" priority="9" operator="greaterThanOrEqual">
      <formula>C65</formula>
    </cfRule>
  </conditionalFormatting>
  <conditionalFormatting sqref="C54:N54">
    <cfRule type="cellIs" dxfId="78" priority="5" operator="greaterThanOrEqual">
      <formula>C55</formula>
    </cfRule>
  </conditionalFormatting>
  <conditionalFormatting sqref="C59:N59">
    <cfRule type="cellIs" dxfId="77" priority="4" operator="greaterThanOrEqual">
      <formula>C60</formula>
    </cfRule>
  </conditionalFormatting>
  <conditionalFormatting sqref="C67:N67">
    <cfRule type="cellIs" dxfId="76" priority="3" operator="greaterThanOrEqual">
      <formula>C68</formula>
    </cfRule>
  </conditionalFormatting>
  <conditionalFormatting sqref="C62:N62 C70:N70">
    <cfRule type="cellIs" dxfId="75" priority="96" operator="greaterThanOrEqual">
      <formula>C65</formula>
    </cfRule>
  </conditionalFormatting>
  <conditionalFormatting sqref="C60:N61 C68:N69">
    <cfRule type="cellIs" dxfId="74" priority="97" operator="greaterThanOrEqual">
      <formula>C64</formula>
    </cfRule>
  </conditionalFormatting>
  <conditionalFormatting sqref="C58:N58">
    <cfRule type="cellIs" dxfId="73" priority="2" operator="greaterThanOrEqual">
      <formula>C59</formula>
    </cfRule>
  </conditionalFormatting>
  <conditionalFormatting sqref="C66:N66">
    <cfRule type="cellIs" dxfId="72" priority="1" operator="greaterThanOrEqual">
      <formula>C67</formula>
    </cfRule>
  </conditionalFormatting>
  <pageMargins left="0" right="0" top="1" bottom="1" header="0.5" footer="0.5"/>
  <pageSetup scale="35" orientation="landscape" r:id="rId1"/>
  <headerFooter alignWithMargins="0">
    <oddFooter>&amp;LPrinted:  &amp;D&amp;C&amp;F&amp;RPage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50"/>
    <pageSetUpPr fitToPage="1"/>
  </sheetPr>
  <dimension ref="A1:AD95"/>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1301</v>
      </c>
    </row>
    <row r="2" spans="1:16" s="8" customFormat="1" ht="15.6">
      <c r="A2" s="624"/>
      <c r="B2" s="8" t="s">
        <v>1267</v>
      </c>
    </row>
    <row r="3" spans="1:16" s="8" customFormat="1" ht="15.6">
      <c r="A3" s="624"/>
    </row>
    <row r="4" spans="1:16" ht="21">
      <c r="A4" s="124" t="s">
        <v>493</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hidden="1">
      <c r="B9" s="43" t="s">
        <v>1192</v>
      </c>
      <c r="C9" s="320">
        <v>3</v>
      </c>
      <c r="D9" s="320">
        <v>4</v>
      </c>
      <c r="E9" s="320">
        <v>5</v>
      </c>
      <c r="F9" s="320">
        <v>6</v>
      </c>
      <c r="G9" s="320">
        <v>7</v>
      </c>
      <c r="H9" s="320">
        <v>8</v>
      </c>
      <c r="I9" s="320">
        <v>9</v>
      </c>
      <c r="J9" s="320">
        <v>10</v>
      </c>
      <c r="K9" s="320">
        <v>11</v>
      </c>
      <c r="L9" s="320">
        <v>12</v>
      </c>
      <c r="M9" s="320">
        <v>13</v>
      </c>
      <c r="N9" s="320">
        <v>14</v>
      </c>
      <c r="P9" s="331"/>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15" ht="15.6">
      <c r="A17" s="113" t="s">
        <v>427</v>
      </c>
      <c r="C17" s="5"/>
      <c r="D17" s="5"/>
      <c r="E17" s="5"/>
      <c r="F17" s="5"/>
      <c r="G17" s="5"/>
      <c r="H17" s="5"/>
      <c r="I17" s="5"/>
      <c r="J17" s="5"/>
      <c r="K17" s="5"/>
      <c r="L17" s="5"/>
      <c r="M17" s="115"/>
      <c r="N17" s="5"/>
    </row>
    <row r="18" spans="1:15">
      <c r="A18" s="114"/>
      <c r="B18" t="s">
        <v>428</v>
      </c>
      <c r="C18" s="145">
        <v>0</v>
      </c>
      <c r="D18" s="145">
        <v>0</v>
      </c>
      <c r="E18" s="145">
        <v>0</v>
      </c>
      <c r="F18" s="145">
        <v>0</v>
      </c>
      <c r="G18" s="145">
        <v>0</v>
      </c>
      <c r="H18" s="145">
        <v>0</v>
      </c>
      <c r="I18" s="145">
        <v>0</v>
      </c>
      <c r="J18" s="145">
        <v>0</v>
      </c>
      <c r="K18" s="145">
        <v>0</v>
      </c>
      <c r="L18" s="145">
        <v>0</v>
      </c>
      <c r="M18" s="145">
        <v>0</v>
      </c>
      <c r="N18" s="145">
        <v>0</v>
      </c>
    </row>
    <row r="19" spans="1:15">
      <c r="A19" s="114"/>
      <c r="B19" t="s">
        <v>429</v>
      </c>
      <c r="C19" s="145">
        <v>0</v>
      </c>
      <c r="D19" s="145">
        <v>0</v>
      </c>
      <c r="E19" s="145">
        <v>0</v>
      </c>
      <c r="F19" s="145">
        <v>0</v>
      </c>
      <c r="G19" s="145">
        <v>0</v>
      </c>
      <c r="H19" s="145">
        <v>0</v>
      </c>
      <c r="I19" s="145">
        <v>0</v>
      </c>
      <c r="J19" s="145">
        <v>0</v>
      </c>
      <c r="K19" s="145">
        <v>0</v>
      </c>
      <c r="L19" s="145">
        <v>0</v>
      </c>
      <c r="M19" s="145">
        <v>0</v>
      </c>
      <c r="N19" s="145">
        <v>0</v>
      </c>
    </row>
    <row r="20" spans="1:15">
      <c r="A20" s="114"/>
      <c r="C20" s="5"/>
      <c r="D20" s="5"/>
      <c r="E20" s="5"/>
      <c r="F20" s="5"/>
      <c r="G20" s="5"/>
      <c r="H20" s="5"/>
      <c r="I20" s="5"/>
      <c r="J20" s="5"/>
      <c r="K20" s="5"/>
      <c r="L20" s="5"/>
      <c r="M20" s="115"/>
      <c r="N20" s="5"/>
    </row>
    <row r="21" spans="1:15" ht="15.6">
      <c r="A21" s="113" t="s">
        <v>424</v>
      </c>
      <c r="C21" s="5"/>
      <c r="D21" s="5"/>
      <c r="E21" s="5"/>
      <c r="F21" s="5"/>
      <c r="G21" s="5"/>
      <c r="H21" s="5"/>
      <c r="I21" s="5"/>
      <c r="J21" s="5"/>
      <c r="K21" s="5"/>
      <c r="L21" s="5"/>
      <c r="M21" s="115"/>
      <c r="N21" s="5"/>
    </row>
    <row r="22" spans="1:15" s="106" customFormat="1">
      <c r="A22" s="109"/>
      <c r="B22" s="108" t="str">
        <f>"PRIOR - "&amp;MANUAL!$B$9</f>
        <v>PRIOR - 2016</v>
      </c>
      <c r="C22" s="142">
        <f>VLOOKUP($B$9,'KWH FCST'!$A$33:$O$41,C9-1,FALSE)</f>
        <v>0</v>
      </c>
      <c r="D22" s="142">
        <f>VLOOKUP($B$9,'KWH FCST'!$A$33:$O$41,D9-1,FALSE)</f>
        <v>72000</v>
      </c>
      <c r="E22" s="142">
        <f>VLOOKUP($B$9,'KWH FCST'!$A$33:$O$41,E9-1,FALSE)</f>
        <v>0</v>
      </c>
      <c r="F22" s="142">
        <f>VLOOKUP($B$9,'KWH FCST'!$A$33:$O$41,F9-1,FALSE)</f>
        <v>0</v>
      </c>
      <c r="G22" s="142">
        <f>VLOOKUP($B$9,'KWH FCST'!$A$33:$O$41,G9-1,FALSE)</f>
        <v>0</v>
      </c>
      <c r="H22" s="142">
        <f>VLOOKUP($B$9,'KWH FCST'!$A$33:$O$41,H9-1,FALSE)</f>
        <v>0</v>
      </c>
      <c r="I22" s="142">
        <f>VLOOKUP($B$9,'KWH FCST'!$A$33:$O$41,I9-1,FALSE)</f>
        <v>0</v>
      </c>
      <c r="J22" s="142">
        <f>VLOOKUP($B$9,'KWH FCST'!$A$33:$O$41,J9-1,FALSE)</f>
        <v>0</v>
      </c>
      <c r="K22" s="142">
        <f>VLOOKUP($B$9,'KWH FCST'!$A$33:$O$41,K9-1,FALSE)</f>
        <v>72000</v>
      </c>
      <c r="L22" s="142">
        <f>VLOOKUP($B$9,'KWH FCST'!$A$33:$O$41,L9-1,FALSE)</f>
        <v>0</v>
      </c>
      <c r="M22" s="142">
        <f>VLOOKUP($B$9,'KWH FCST'!$A$33:$O$41,M9-1,FALSE)</f>
        <v>0</v>
      </c>
      <c r="N22" s="142">
        <f>VLOOKUP($B$9,'KWH FCST'!$A$33:$O$41,N9-1,FALSE)</f>
        <v>0</v>
      </c>
    </row>
    <row r="23" spans="1:15" s="12" customFormat="1" ht="15.6">
      <c r="A23" s="111"/>
      <c r="B23" s="108" t="str">
        <f>"TEST - "&amp;MANUAL!$B$10</f>
        <v>TEST - 2017</v>
      </c>
      <c r="C23" s="142">
        <f>VLOOKUP($B$9,'KWH FCST'!$A$79:$O$87,C9-1,FALSE)</f>
        <v>0</v>
      </c>
      <c r="D23" s="142">
        <f>VLOOKUP($B$9,'KWH FCST'!$A$79:$O$87,D9-1,FALSE)</f>
        <v>84000</v>
      </c>
      <c r="E23" s="142">
        <f>VLOOKUP($B$9,'KWH FCST'!$A$79:$O$87,E9-1,FALSE)</f>
        <v>0</v>
      </c>
      <c r="F23" s="142">
        <f>VLOOKUP($B$9,'KWH FCST'!$A$79:$O$87,F9-1,FALSE)</f>
        <v>0</v>
      </c>
      <c r="G23" s="142">
        <f>VLOOKUP($B$9,'KWH FCST'!$A$79:$O$87,G9-1,FALSE)</f>
        <v>0</v>
      </c>
      <c r="H23" s="142">
        <f>VLOOKUP($B$9,'KWH FCST'!$A$79:$O$87,H9-1,FALSE)</f>
        <v>0</v>
      </c>
      <c r="I23" s="142">
        <f>VLOOKUP($B$9,'KWH FCST'!$A$79:$O$87,I9-1,FALSE)</f>
        <v>0</v>
      </c>
      <c r="J23" s="142">
        <f>VLOOKUP($B$9,'KWH FCST'!$A$79:$O$87,J9-1,FALSE)</f>
        <v>0</v>
      </c>
      <c r="K23" s="142">
        <f>VLOOKUP($B$9,'KWH FCST'!$A$79:$O$87,K9-1,FALSE)</f>
        <v>84000</v>
      </c>
      <c r="L23" s="142">
        <f>VLOOKUP($B$9,'KWH FCST'!$A$79:$O$87,L9-1,FALSE)</f>
        <v>0</v>
      </c>
      <c r="M23" s="142">
        <f>VLOOKUP($B$9,'KWH FCST'!$A$79:$O$87,M9-1,FALSE)</f>
        <v>0</v>
      </c>
      <c r="N23" s="142">
        <f>VLOOKUP($B$9,'KWH FCST'!$A$79:$O$87,N9-1,FALSE)</f>
        <v>0</v>
      </c>
    </row>
    <row r="24" spans="1:15">
      <c r="A24" s="114"/>
      <c r="B24" t="s">
        <v>1094</v>
      </c>
      <c r="C24" s="142">
        <f>VLOOKUP($B$9,'KWH FCST'!$A$125:$O$133,C9-1,FALSE)</f>
        <v>0</v>
      </c>
      <c r="D24" s="142">
        <f>VLOOKUP($B$9,'KWH FCST'!$A$125:$O$133,D9-1,FALSE)</f>
        <v>96000</v>
      </c>
      <c r="E24" s="142">
        <f>VLOOKUP($B$9,'KWH FCST'!$A$125:$O$133,E9-1,FALSE)</f>
        <v>0</v>
      </c>
      <c r="F24" s="142">
        <f>VLOOKUP($B$9,'KWH FCST'!$A$125:$O$133,F9-1,FALSE)</f>
        <v>0</v>
      </c>
      <c r="G24" s="142">
        <f>VLOOKUP($B$9,'KWH FCST'!$A$125:$O$133,G9-1,FALSE)</f>
        <v>0</v>
      </c>
      <c r="H24" s="142">
        <f>VLOOKUP($B$9,'KWH FCST'!$A$125:$O$133,H9-1,FALSE)</f>
        <v>0</v>
      </c>
      <c r="I24" s="142">
        <f>VLOOKUP($B$9,'KWH FCST'!$A$125:$O$133,I9-1,FALSE)</f>
        <v>0</v>
      </c>
      <c r="J24" s="142">
        <f>VLOOKUP($B$9,'KWH FCST'!$A$125:$O$133,J9-1,FALSE)</f>
        <v>0</v>
      </c>
      <c r="K24" s="142">
        <f>VLOOKUP($B$9,'KWH FCST'!$A$125:$O$133,K9-1,FALSE)</f>
        <v>96000</v>
      </c>
      <c r="L24" s="142">
        <f>VLOOKUP($B$9,'KWH FCST'!$A$125:$O$133,L9-1,FALSE)</f>
        <v>0</v>
      </c>
      <c r="M24" s="142">
        <f>VLOOKUP($B$9,'KWH FCST'!$A$125:$O$133,M9-1,FALSE)</f>
        <v>0</v>
      </c>
      <c r="N24" s="142">
        <f>VLOOKUP($B$9,'KWH FCST'!$A$125:$O$133,N9-1,FALSE)</f>
        <v>0</v>
      </c>
      <c r="O24" s="142"/>
    </row>
    <row r="25" spans="1:15">
      <c r="A25" s="114"/>
      <c r="C25" s="142"/>
      <c r="D25" s="142"/>
      <c r="E25" s="142"/>
      <c r="F25" s="142"/>
      <c r="G25" s="142"/>
      <c r="H25" s="142"/>
      <c r="I25" s="142"/>
      <c r="J25" s="142"/>
      <c r="K25" s="142"/>
      <c r="L25" s="142"/>
      <c r="M25" s="142"/>
      <c r="N25" s="142"/>
      <c r="O25" s="142"/>
    </row>
    <row r="26" spans="1:15" ht="15.6">
      <c r="A26" s="113" t="s">
        <v>1248</v>
      </c>
      <c r="C26" s="142"/>
      <c r="D26" s="142"/>
      <c r="E26" s="142"/>
      <c r="F26" s="142"/>
      <c r="G26" s="142"/>
      <c r="H26" s="142"/>
      <c r="I26" s="142"/>
      <c r="J26" s="142"/>
      <c r="K26" s="142"/>
      <c r="L26" s="142"/>
      <c r="M26" s="142"/>
      <c r="N26" s="142"/>
      <c r="O26" s="142"/>
    </row>
    <row r="27" spans="1:15">
      <c r="A27" s="114"/>
      <c r="B27" t="s">
        <v>1254</v>
      </c>
      <c r="C27" s="115">
        <v>1</v>
      </c>
      <c r="D27" s="115">
        <v>1</v>
      </c>
      <c r="E27" s="115">
        <v>1</v>
      </c>
      <c r="F27" s="115">
        <v>1</v>
      </c>
      <c r="G27" s="115">
        <v>1</v>
      </c>
      <c r="H27" s="115">
        <v>1</v>
      </c>
      <c r="I27" s="115">
        <v>1</v>
      </c>
      <c r="J27" s="115">
        <v>1</v>
      </c>
      <c r="K27" s="115">
        <v>1</v>
      </c>
      <c r="L27" s="115">
        <v>1</v>
      </c>
      <c r="M27" s="115">
        <v>1</v>
      </c>
      <c r="N27" s="115">
        <v>1</v>
      </c>
      <c r="O27" s="142"/>
    </row>
    <row r="28" spans="1:15">
      <c r="A28" s="114"/>
      <c r="B28" t="s">
        <v>1253</v>
      </c>
      <c r="C28" s="115">
        <v>0</v>
      </c>
      <c r="D28" s="115">
        <v>0</v>
      </c>
      <c r="E28" s="115">
        <v>0</v>
      </c>
      <c r="F28" s="115">
        <v>0</v>
      </c>
      <c r="G28" s="115">
        <v>0</v>
      </c>
      <c r="H28" s="115">
        <v>0</v>
      </c>
      <c r="I28" s="115">
        <v>0</v>
      </c>
      <c r="J28" s="115">
        <v>0</v>
      </c>
      <c r="K28" s="115">
        <v>0</v>
      </c>
      <c r="L28" s="115">
        <v>0</v>
      </c>
      <c r="M28" s="115">
        <v>0</v>
      </c>
      <c r="N28" s="115">
        <v>0</v>
      </c>
      <c r="O28" s="142"/>
    </row>
    <row r="29" spans="1:15">
      <c r="A29" s="114"/>
      <c r="B29" t="s">
        <v>1252</v>
      </c>
      <c r="C29" s="115">
        <v>0</v>
      </c>
      <c r="D29" s="115">
        <v>0</v>
      </c>
      <c r="E29" s="115">
        <v>0</v>
      </c>
      <c r="F29" s="115">
        <v>0</v>
      </c>
      <c r="G29" s="115">
        <v>0</v>
      </c>
      <c r="H29" s="115">
        <v>0</v>
      </c>
      <c r="I29" s="115">
        <v>0</v>
      </c>
      <c r="J29" s="115">
        <v>0</v>
      </c>
      <c r="K29" s="115">
        <v>0</v>
      </c>
      <c r="L29" s="115">
        <v>0</v>
      </c>
      <c r="M29" s="115">
        <v>0</v>
      </c>
      <c r="N29" s="115">
        <v>0</v>
      </c>
      <c r="O29" s="142"/>
    </row>
    <row r="30" spans="1:15" ht="15.6">
      <c r="A30" s="114"/>
      <c r="B30" s="513">
        <v>2017</v>
      </c>
      <c r="C30" s="115"/>
      <c r="D30" s="115"/>
      <c r="E30" s="115"/>
      <c r="F30" s="115"/>
      <c r="G30" s="115"/>
      <c r="H30" s="115"/>
      <c r="I30" s="115"/>
      <c r="J30" s="115"/>
      <c r="K30" s="115"/>
      <c r="L30" s="115"/>
      <c r="M30" s="115"/>
      <c r="N30" s="115"/>
      <c r="O30" s="142"/>
    </row>
    <row r="31" spans="1:15">
      <c r="A31" s="114"/>
      <c r="B31" t="s">
        <v>1249</v>
      </c>
      <c r="C31" s="535">
        <v>1.0218365997299901</v>
      </c>
      <c r="D31" s="535">
        <v>1.0218365997299901</v>
      </c>
      <c r="E31" s="535">
        <v>1.0218365997299901</v>
      </c>
      <c r="F31" s="535">
        <v>1.0218365997299901</v>
      </c>
      <c r="G31" s="535">
        <v>1.0218365997299901</v>
      </c>
      <c r="H31" s="535">
        <v>1.0218365997299901</v>
      </c>
      <c r="I31" s="535">
        <v>1.0218365997299901</v>
      </c>
      <c r="J31" s="535">
        <v>1.0218365997299901</v>
      </c>
      <c r="K31" s="535">
        <v>1.0218365997299901</v>
      </c>
      <c r="L31" s="535">
        <v>1.0218365997299901</v>
      </c>
      <c r="M31" s="535">
        <v>1.0218365997299901</v>
      </c>
      <c r="N31" s="535">
        <v>1.0218365997299901</v>
      </c>
      <c r="O31" s="142"/>
    </row>
    <row r="32" spans="1:15">
      <c r="A32" s="114"/>
      <c r="B32" t="s">
        <v>1250</v>
      </c>
      <c r="C32" s="535">
        <v>1.0348230487446399</v>
      </c>
      <c r="D32" s="535">
        <v>1.0348230487446399</v>
      </c>
      <c r="E32" s="535">
        <v>1.0348230487446399</v>
      </c>
      <c r="F32" s="535">
        <v>1.0348230487446399</v>
      </c>
      <c r="G32" s="535">
        <v>1.0348230487446399</v>
      </c>
      <c r="H32" s="535">
        <v>1.0348230487446399</v>
      </c>
      <c r="I32" s="535">
        <v>1.0348230487446399</v>
      </c>
      <c r="J32" s="535">
        <v>1.0348230487446399</v>
      </c>
      <c r="K32" s="535">
        <v>1.0348230487446399</v>
      </c>
      <c r="L32" s="535">
        <v>1.0348230487446399</v>
      </c>
      <c r="M32" s="535">
        <v>1.0348230487446399</v>
      </c>
      <c r="N32" s="535">
        <v>1.0348230487446399</v>
      </c>
      <c r="O32" s="142"/>
    </row>
    <row r="33" spans="1:15">
      <c r="A33" s="114"/>
      <c r="B33" t="s">
        <v>1251</v>
      </c>
      <c r="C33" s="535">
        <v>1.0644101070756899</v>
      </c>
      <c r="D33" s="535">
        <v>1.0644101070756899</v>
      </c>
      <c r="E33" s="535">
        <v>1.0644101070756899</v>
      </c>
      <c r="F33" s="535">
        <v>1.0644101070756899</v>
      </c>
      <c r="G33" s="535">
        <v>1.0644101070756899</v>
      </c>
      <c r="H33" s="535">
        <v>1.0644101070756899</v>
      </c>
      <c r="I33" s="535">
        <v>1.0644101070756899</v>
      </c>
      <c r="J33" s="535">
        <v>1.0644101070756899</v>
      </c>
      <c r="K33" s="535">
        <v>1.0644101070756899</v>
      </c>
      <c r="L33" s="535">
        <v>1.0644101070756899</v>
      </c>
      <c r="M33" s="535">
        <v>1.0644101070756899</v>
      </c>
      <c r="N33" s="535">
        <v>1.0644101070756899</v>
      </c>
      <c r="O33" s="142"/>
    </row>
    <row r="34" spans="1:15">
      <c r="A34" s="114"/>
      <c r="B34" t="s">
        <v>1255</v>
      </c>
      <c r="C34" s="107">
        <f>HLOOKUP($B9,Summary_CP!$A$5:$N$161,107+C$9,FALSE)*1000</f>
        <v>21000</v>
      </c>
      <c r="D34" s="107">
        <f>HLOOKUP($B9,Summary_CP!$A$5:$N$161,107+D$9,FALSE)*1000</f>
        <v>0</v>
      </c>
      <c r="E34" s="107">
        <f>HLOOKUP($B9,Summary_CP!$A$5:$N$161,107+E$9,FALSE)*1000</f>
        <v>0</v>
      </c>
      <c r="F34" s="107">
        <f>HLOOKUP($B9,Summary_CP!$A$5:$N$161,107+F$9,FALSE)*1000</f>
        <v>0</v>
      </c>
      <c r="G34" s="107">
        <f>HLOOKUP($B9,Summary_CP!$A$5:$N$161,107+G$9,FALSE)*1000</f>
        <v>0</v>
      </c>
      <c r="H34" s="107">
        <f>HLOOKUP($B9,Summary_CP!$A$5:$N$161,107+H$9,FALSE)*1000</f>
        <v>0</v>
      </c>
      <c r="I34" s="107">
        <f>HLOOKUP($B9,Summary_CP!$A$5:$N$161,107+I$9,FALSE)*1000</f>
        <v>0</v>
      </c>
      <c r="J34" s="107">
        <f>HLOOKUP($B9,Summary_CP!$A$5:$N$161,107+J$9,FALSE)*1000</f>
        <v>21000</v>
      </c>
      <c r="K34" s="107">
        <f>HLOOKUP($B9,Summary_CP!$A$5:$N$161,107+K$9,FALSE)*1000</f>
        <v>0</v>
      </c>
      <c r="L34" s="107">
        <f>HLOOKUP($B9,Summary_CP!$A$5:$N$161,107+L$9,FALSE)*1000</f>
        <v>0</v>
      </c>
      <c r="M34" s="107">
        <f>HLOOKUP($B9,Summary_CP!$A$5:$N$161,107+M$9,FALSE)*1000</f>
        <v>0</v>
      </c>
      <c r="N34" s="107">
        <f>HLOOKUP($B9,Summary_CP!$A$5:$N$161,107+N$9,FALSE)*1000</f>
        <v>0</v>
      </c>
      <c r="O34" s="142"/>
    </row>
    <row r="35" spans="1:15">
      <c r="A35" s="114"/>
      <c r="B35" t="s">
        <v>1256</v>
      </c>
      <c r="C35" s="107">
        <f>IFERROR((C34*C27*C31)+(C34*C28*C32)+(C34*C29*C33),0)</f>
        <v>21458.56859432979</v>
      </c>
      <c r="D35" s="107">
        <f t="shared" ref="D35:N35" si="0">IFERROR((D34*D27*D31)+(D34*D28*D32)+(D34*D29*D33),0)</f>
        <v>0</v>
      </c>
      <c r="E35" s="107">
        <f t="shared" si="0"/>
        <v>0</v>
      </c>
      <c r="F35" s="107">
        <f t="shared" si="0"/>
        <v>0</v>
      </c>
      <c r="G35" s="107">
        <f t="shared" si="0"/>
        <v>0</v>
      </c>
      <c r="H35" s="107">
        <f t="shared" si="0"/>
        <v>0</v>
      </c>
      <c r="I35" s="107">
        <f t="shared" si="0"/>
        <v>0</v>
      </c>
      <c r="J35" s="107">
        <f t="shared" si="0"/>
        <v>21458.56859432979</v>
      </c>
      <c r="K35" s="107">
        <f t="shared" si="0"/>
        <v>0</v>
      </c>
      <c r="L35" s="107">
        <f t="shared" si="0"/>
        <v>0</v>
      </c>
      <c r="M35" s="107">
        <f t="shared" si="0"/>
        <v>0</v>
      </c>
      <c r="N35" s="107">
        <f t="shared" si="0"/>
        <v>0</v>
      </c>
      <c r="O35" s="142"/>
    </row>
    <row r="36" spans="1:15">
      <c r="A36" s="114"/>
      <c r="B36" t="s">
        <v>1257</v>
      </c>
      <c r="C36" s="235">
        <f>BLOUNTSTOWN!C36</f>
        <v>1228831.3297315862</v>
      </c>
      <c r="D36" s="235">
        <f>BLOUNTSTOWN!D36</f>
        <v>1010133.5524307521</v>
      </c>
      <c r="E36" s="235">
        <f>BLOUNTSTOWN!E36</f>
        <v>950254.07441993814</v>
      </c>
      <c r="F36" s="235">
        <f>BLOUNTSTOWN!F36</f>
        <v>959201.22858601715</v>
      </c>
      <c r="G36" s="235">
        <f>BLOUNTSTOWN!G36</f>
        <v>1065854.2376846557</v>
      </c>
      <c r="H36" s="235">
        <f>BLOUNTSTOWN!H36</f>
        <v>1140353.9142618102</v>
      </c>
      <c r="I36" s="235">
        <f>BLOUNTSTOWN!I36</f>
        <v>1132054.8391980769</v>
      </c>
      <c r="J36" s="235">
        <f>BLOUNTSTOWN!J36</f>
        <v>1312333.3808478254</v>
      </c>
      <c r="K36" s="235">
        <f>BLOUNTSTOWN!K36</f>
        <v>1038758.3890285973</v>
      </c>
      <c r="L36" s="235">
        <f>BLOUNTSTOWN!L36</f>
        <v>1068943.4704556046</v>
      </c>
      <c r="M36" s="235">
        <f>BLOUNTSTOWN!M36</f>
        <v>923783.94692739786</v>
      </c>
      <c r="N36" s="235">
        <f>BLOUNTSTOWN!N36</f>
        <v>882247.02789984096</v>
      </c>
      <c r="O36" s="142"/>
    </row>
    <row r="37" spans="1:15">
      <c r="A37" s="114"/>
      <c r="B37" t="s">
        <v>1258</v>
      </c>
      <c r="C37" s="235">
        <f>IFERROR('2017 CP (FNG)'!B12*1000-C36,0)</f>
        <v>-26260.067304411205</v>
      </c>
      <c r="D37" s="235">
        <f>IFERROR('2017 CP (FNG)'!C12*1000-D36,0)</f>
        <v>-21586.506163599784</v>
      </c>
      <c r="E37" s="235">
        <f>IFERROR('2017 CP (FNG)'!D12*1000-E36,0)</f>
        <v>-20306.884555107215</v>
      </c>
      <c r="F37" s="235">
        <f>IFERROR('2017 CP (FNG)'!E12*1000-F36,0)</f>
        <v>-20498.084815793671</v>
      </c>
      <c r="G37" s="235">
        <f>IFERROR('2017 CP (FNG)'!F12*1000-G36,0)</f>
        <v>-22777.254567886703</v>
      </c>
      <c r="H37" s="235">
        <f>IFERROR('2017 CP (FNG)'!G12*1000-H36,0)</f>
        <v>-24369.30912715639</v>
      </c>
      <c r="I37" s="235">
        <f>IFERROR('2017 CP (FNG)'!H12*1000-I36,0)</f>
        <v>-24191.95828618668</v>
      </c>
      <c r="J37" s="235">
        <f>IFERROR('2017 CP (FNG)'!I12*1000-J36,0)</f>
        <v>-28044.502181122778</v>
      </c>
      <c r="K37" s="235">
        <f>IFERROR('2017 CP (FNG)'!J12*1000-K36,0)</f>
        <v>-22198.217565685627</v>
      </c>
      <c r="L37" s="235">
        <f>IFERROR('2017 CP (FNG)'!K12*1000-L36,0)</f>
        <v>-22843.271325859241</v>
      </c>
      <c r="M37" s="235">
        <f>IFERROR('2017 CP (FNG)'!L12*1000-M36,0)</f>
        <v>-19741.219184529502</v>
      </c>
      <c r="N37" s="235">
        <f>IFERROR('2017 CP (FNG)'!M12*1000-N36,0)</f>
        <v>-18853.577192589175</v>
      </c>
      <c r="O37" s="142"/>
    </row>
    <row r="38" spans="1:15">
      <c r="A38" s="114"/>
      <c r="B38" t="s">
        <v>1259</v>
      </c>
      <c r="C38" s="235">
        <f>IFERROR(C35*C37/C36,0)</f>
        <v>-458.56859432979383</v>
      </c>
      <c r="D38" s="235">
        <f t="shared" ref="D38:N38" si="1">IFERROR(D35*D37/D36,0)</f>
        <v>0</v>
      </c>
      <c r="E38" s="235">
        <f t="shared" si="1"/>
        <v>0</v>
      </c>
      <c r="F38" s="235">
        <f t="shared" si="1"/>
        <v>0</v>
      </c>
      <c r="G38" s="235">
        <f t="shared" si="1"/>
        <v>0</v>
      </c>
      <c r="H38" s="235">
        <f t="shared" si="1"/>
        <v>0</v>
      </c>
      <c r="I38" s="235">
        <f t="shared" si="1"/>
        <v>0</v>
      </c>
      <c r="J38" s="235">
        <f t="shared" si="1"/>
        <v>-458.56859432979479</v>
      </c>
      <c r="K38" s="235">
        <f t="shared" si="1"/>
        <v>0</v>
      </c>
      <c r="L38" s="235">
        <f t="shared" si="1"/>
        <v>0</v>
      </c>
      <c r="M38" s="235">
        <f t="shared" si="1"/>
        <v>0</v>
      </c>
      <c r="N38" s="235">
        <f t="shared" si="1"/>
        <v>0</v>
      </c>
      <c r="O38" s="142"/>
    </row>
    <row r="39" spans="1:15">
      <c r="A39" s="114"/>
      <c r="B39" t="s">
        <v>1260</v>
      </c>
      <c r="C39" s="235">
        <f>IFERROR(((C38*C27)/C31)+((C38*C28)/C32)+((C38*C29)/C33),0)</f>
        <v>-448.76900519218623</v>
      </c>
      <c r="D39" s="235">
        <f t="shared" ref="D39:N39" si="2">IFERROR(((D38*D27)/D31)+((D38*D28)/D32)+((D38*D29)/D33),0)</f>
        <v>0</v>
      </c>
      <c r="E39" s="235">
        <f t="shared" si="2"/>
        <v>0</v>
      </c>
      <c r="F39" s="235">
        <f t="shared" si="2"/>
        <v>0</v>
      </c>
      <c r="G39" s="235">
        <f t="shared" si="2"/>
        <v>0</v>
      </c>
      <c r="H39" s="235">
        <f t="shared" si="2"/>
        <v>0</v>
      </c>
      <c r="I39" s="235">
        <f t="shared" si="2"/>
        <v>0</v>
      </c>
      <c r="J39" s="235">
        <f t="shared" si="2"/>
        <v>-448.76900519218714</v>
      </c>
      <c r="K39" s="235">
        <f t="shared" si="2"/>
        <v>0</v>
      </c>
      <c r="L39" s="235">
        <f t="shared" si="2"/>
        <v>0</v>
      </c>
      <c r="M39" s="235">
        <f t="shared" si="2"/>
        <v>0</v>
      </c>
      <c r="N39" s="235">
        <f t="shared" si="2"/>
        <v>0</v>
      </c>
      <c r="O39" s="142"/>
    </row>
    <row r="40" spans="1:15" ht="15.6">
      <c r="A40" s="114"/>
      <c r="B40" s="513">
        <v>2018</v>
      </c>
      <c r="C40" s="235"/>
      <c r="D40" s="235"/>
      <c r="E40" s="235"/>
      <c r="F40" s="235"/>
      <c r="G40" s="235"/>
      <c r="H40" s="235"/>
      <c r="I40" s="235"/>
      <c r="J40" s="235"/>
      <c r="K40" s="235"/>
      <c r="L40" s="235"/>
      <c r="M40" s="235"/>
      <c r="N40" s="235"/>
      <c r="O40" s="142"/>
    </row>
    <row r="41" spans="1:15">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c r="O41" s="142"/>
    </row>
    <row r="42" spans="1:15">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c r="O42" s="142"/>
    </row>
    <row r="43" spans="1:15">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c r="O43" s="142"/>
    </row>
    <row r="44" spans="1:15">
      <c r="A44" s="114"/>
      <c r="B44" t="s">
        <v>1255</v>
      </c>
      <c r="C44" s="235">
        <f>HLOOKUP($B9,Summary_CP!$A$5:$N$161,119+C$9,FALSE)*1000</f>
        <v>24000</v>
      </c>
      <c r="D44" s="235">
        <f>HLOOKUP($B9,Summary_CP!$A$5:$N$161,119+D$9,FALSE)*1000</f>
        <v>0</v>
      </c>
      <c r="E44" s="235">
        <f>HLOOKUP($B9,Summary_CP!$A$5:$N$161,119+E$9,FALSE)*1000</f>
        <v>0</v>
      </c>
      <c r="F44" s="235">
        <f>HLOOKUP($B9,Summary_CP!$A$5:$N$161,119+F$9,FALSE)*1000</f>
        <v>0</v>
      </c>
      <c r="G44" s="235">
        <f>HLOOKUP($B9,Summary_CP!$A$5:$N$161,119+G$9,FALSE)*1000</f>
        <v>0</v>
      </c>
      <c r="H44" s="235">
        <f>HLOOKUP($B9,Summary_CP!$A$5:$N$161,119+H$9,FALSE)*1000</f>
        <v>0</v>
      </c>
      <c r="I44" s="235">
        <f>HLOOKUP($B9,Summary_CP!$A$5:$N$161,119+I$9,FALSE)*1000</f>
        <v>0</v>
      </c>
      <c r="J44" s="235">
        <f>HLOOKUP($B9,Summary_CP!$A$5:$N$161,119+J$9,FALSE)*1000</f>
        <v>24000</v>
      </c>
      <c r="K44" s="235">
        <f>HLOOKUP($B9,Summary_CP!$A$5:$N$161,119+K$9,FALSE)*1000</f>
        <v>0</v>
      </c>
      <c r="L44" s="235">
        <f>HLOOKUP($B9,Summary_CP!$A$5:$N$161,119+L$9,FALSE)*1000</f>
        <v>0</v>
      </c>
      <c r="M44" s="235">
        <f>HLOOKUP($B9,Summary_CP!$A$5:$N$161,119+M$9,FALSE)*1000</f>
        <v>0</v>
      </c>
      <c r="N44" s="235">
        <f>HLOOKUP($B9,Summary_CP!$A$5:$N$161,119+N$9,FALSE)*1000</f>
        <v>0</v>
      </c>
      <c r="O44" s="142"/>
    </row>
    <row r="45" spans="1:15">
      <c r="A45" s="114"/>
      <c r="B45" t="s">
        <v>1256</v>
      </c>
      <c r="C45" s="107">
        <f>(C44*C27*C41)+(C44*C28*C42)+(C44*C29*C43)</f>
        <v>24525.993067791602</v>
      </c>
      <c r="D45" s="107">
        <f>(D44*D27*D41)+(D44*D28*D42)+(D44*D29*D43)</f>
        <v>0</v>
      </c>
      <c r="E45" s="107">
        <f t="shared" ref="E45:N45" si="3">(E44*E27*E41)+(E44*E28*E42)+(E44*E29*E43)</f>
        <v>0</v>
      </c>
      <c r="F45" s="107">
        <f t="shared" si="3"/>
        <v>0</v>
      </c>
      <c r="G45" s="107">
        <f t="shared" si="3"/>
        <v>0</v>
      </c>
      <c r="H45" s="107">
        <f t="shared" si="3"/>
        <v>0</v>
      </c>
      <c r="I45" s="107">
        <f t="shared" si="3"/>
        <v>0</v>
      </c>
      <c r="J45" s="107">
        <f t="shared" si="3"/>
        <v>24525.993067791602</v>
      </c>
      <c r="K45" s="107">
        <f t="shared" si="3"/>
        <v>0</v>
      </c>
      <c r="L45" s="107">
        <f t="shared" si="3"/>
        <v>0</v>
      </c>
      <c r="M45" s="107">
        <f t="shared" si="3"/>
        <v>0</v>
      </c>
      <c r="N45" s="107">
        <f t="shared" si="3"/>
        <v>0</v>
      </c>
      <c r="O45" s="142"/>
    </row>
    <row r="46" spans="1:15">
      <c r="A46" s="114"/>
      <c r="B46" t="s">
        <v>1257</v>
      </c>
      <c r="C46" s="235">
        <f>BLOUNTSTOWN!C46</f>
        <v>1187849.8564563922</v>
      </c>
      <c r="D46" s="235">
        <f>BLOUNTSTOWN!D46</f>
        <v>1012049.3914328514</v>
      </c>
      <c r="E46" s="235">
        <f>BLOUNTSTOWN!E46</f>
        <v>952115.03381284571</v>
      </c>
      <c r="F46" s="235">
        <f>BLOUNTSTOWN!F46</f>
        <v>964452.787497274</v>
      </c>
      <c r="G46" s="235">
        <f>BLOUNTSTOWN!G46</f>
        <v>1071028.6042288018</v>
      </c>
      <c r="H46" s="235">
        <f>BLOUNTSTOWN!H46</f>
        <v>1144619.2235030248</v>
      </c>
      <c r="I46" s="235">
        <f>BLOUNTSTOWN!I46</f>
        <v>1139032.5608989701</v>
      </c>
      <c r="J46" s="235">
        <f>BLOUNTSTOWN!J46</f>
        <v>1275574.8512023324</v>
      </c>
      <c r="K46" s="235">
        <f>BLOUNTSTOWN!K46</f>
        <v>1044148.3639893566</v>
      </c>
      <c r="L46" s="235">
        <f>BLOUNTSTOWN!L46</f>
        <v>1072810.0069048663</v>
      </c>
      <c r="M46" s="235">
        <f>BLOUNTSTOWN!M46</f>
        <v>926247.14475638454</v>
      </c>
      <c r="N46" s="235">
        <f>BLOUNTSTOWN!N46</f>
        <v>884985.90326947428</v>
      </c>
      <c r="O46" s="142"/>
    </row>
    <row r="47" spans="1:15">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c r="O47" s="142"/>
    </row>
    <row r="48" spans="1:15">
      <c r="A48" s="114"/>
      <c r="B48" t="s">
        <v>1259</v>
      </c>
      <c r="C48" s="235">
        <f>C45*C47/C46</f>
        <v>-525.99306779159622</v>
      </c>
      <c r="D48" s="235">
        <f t="shared" ref="D48:N48" si="4">D45*D47/D46</f>
        <v>0</v>
      </c>
      <c r="E48" s="235">
        <f t="shared" si="4"/>
        <v>0</v>
      </c>
      <c r="F48" s="235">
        <f t="shared" si="4"/>
        <v>0</v>
      </c>
      <c r="G48" s="235">
        <f t="shared" si="4"/>
        <v>0</v>
      </c>
      <c r="H48" s="235">
        <f t="shared" si="4"/>
        <v>0</v>
      </c>
      <c r="I48" s="235">
        <f t="shared" si="4"/>
        <v>0</v>
      </c>
      <c r="J48" s="235">
        <f t="shared" si="4"/>
        <v>-525.99306779159826</v>
      </c>
      <c r="K48" s="235">
        <f t="shared" si="4"/>
        <v>0</v>
      </c>
      <c r="L48" s="235">
        <f t="shared" si="4"/>
        <v>0</v>
      </c>
      <c r="M48" s="235">
        <f t="shared" si="4"/>
        <v>0</v>
      </c>
      <c r="N48" s="235">
        <f t="shared" si="4"/>
        <v>0</v>
      </c>
      <c r="O48" s="142"/>
    </row>
    <row r="49" spans="1:30">
      <c r="A49" s="114"/>
      <c r="B49" t="s">
        <v>1260</v>
      </c>
      <c r="C49" s="235">
        <f>((C48*C27)/C41)+((C48*C28)/C42)+((C48*C29)/C43)</f>
        <v>-514.71243558232811</v>
      </c>
      <c r="D49" s="235">
        <f t="shared" ref="D49:N49" si="5">((D48*D27)/D41)+((D48*D28)/D42)+((D48*D29)/D43)</f>
        <v>0</v>
      </c>
      <c r="E49" s="235">
        <f t="shared" si="5"/>
        <v>0</v>
      </c>
      <c r="F49" s="235">
        <f t="shared" si="5"/>
        <v>0</v>
      </c>
      <c r="G49" s="235">
        <f t="shared" si="5"/>
        <v>0</v>
      </c>
      <c r="H49" s="235">
        <f t="shared" si="5"/>
        <v>0</v>
      </c>
      <c r="I49" s="235">
        <f t="shared" si="5"/>
        <v>0</v>
      </c>
      <c r="J49" s="235">
        <f t="shared" si="5"/>
        <v>-514.71243558233004</v>
      </c>
      <c r="K49" s="235">
        <f t="shared" si="5"/>
        <v>0</v>
      </c>
      <c r="L49" s="235">
        <f t="shared" si="5"/>
        <v>0</v>
      </c>
      <c r="M49" s="235">
        <f t="shared" si="5"/>
        <v>0</v>
      </c>
      <c r="N49" s="235">
        <f t="shared" si="5"/>
        <v>0</v>
      </c>
      <c r="O49" s="142"/>
    </row>
    <row r="50" spans="1:30">
      <c r="A50" s="114"/>
      <c r="C50" s="235"/>
      <c r="D50" s="235"/>
      <c r="E50" s="235"/>
      <c r="F50" s="235"/>
      <c r="G50" s="235"/>
      <c r="H50" s="235"/>
      <c r="I50" s="235"/>
      <c r="J50" s="235"/>
      <c r="K50" s="235"/>
      <c r="L50" s="235"/>
      <c r="M50" s="235"/>
      <c r="N50" s="235"/>
      <c r="O50" s="142"/>
    </row>
    <row r="51" spans="1:30" ht="17.399999999999999">
      <c r="A51" s="147" t="s">
        <v>425</v>
      </c>
    </row>
    <row r="52" spans="1:30" ht="15.6">
      <c r="A52" s="113"/>
      <c r="B52" s="146" t="str">
        <f>"PRIOR - "&amp;MANUAL!$B$9</f>
        <v>PRIOR - 2016</v>
      </c>
      <c r="C52" s="5"/>
      <c r="D52" s="5"/>
      <c r="E52" s="5"/>
      <c r="F52" s="5"/>
      <c r="G52" s="5"/>
      <c r="H52" s="5"/>
      <c r="I52" s="5"/>
      <c r="J52" s="5"/>
      <c r="K52" s="5"/>
      <c r="L52" s="5"/>
      <c r="M52" s="5"/>
      <c r="N52" s="5"/>
      <c r="T52" s="12"/>
      <c r="U52" s="12"/>
      <c r="V52" s="106"/>
      <c r="W52" s="106"/>
      <c r="X52" s="106"/>
      <c r="Y52" s="106"/>
      <c r="Z52" s="106"/>
      <c r="AA52" s="106"/>
      <c r="AB52" s="106"/>
      <c r="AC52" s="106"/>
      <c r="AD52" s="106"/>
    </row>
    <row r="53" spans="1:30" s="12" customFormat="1" ht="15.6">
      <c r="A53" s="111"/>
      <c r="B53" s="149" t="s">
        <v>432</v>
      </c>
      <c r="C53" s="107">
        <f>HLOOKUP($B9,Summary_CP!$A$5:$N$161,95+C$9,FALSE)*1000</f>
        <v>18000</v>
      </c>
      <c r="D53" s="107">
        <f>HLOOKUP($B9,Summary_CP!$A$5:$N$161,95+D$9,FALSE)*1000</f>
        <v>0</v>
      </c>
      <c r="E53" s="107">
        <f>HLOOKUP($B9,Summary_CP!$A$5:$N$161,95+E$9,FALSE)*1000</f>
        <v>0</v>
      </c>
      <c r="F53" s="107">
        <f>HLOOKUP($B9,Summary_CP!$A$5:$N$161,95+F$9,FALSE)*1000</f>
        <v>0</v>
      </c>
      <c r="G53" s="107">
        <f>HLOOKUP($B9,Summary_CP!$A$5:$N$161,95+G$9,FALSE)*1000</f>
        <v>0</v>
      </c>
      <c r="H53" s="107">
        <f>HLOOKUP($B9,Summary_CP!$A$5:$N$161,95+H$9,FALSE)*1000</f>
        <v>0</v>
      </c>
      <c r="I53" s="107">
        <f>HLOOKUP($B9,Summary_CP!$A$5:$N$161,95+I$9,FALSE)*1000</f>
        <v>0</v>
      </c>
      <c r="J53" s="107">
        <f>HLOOKUP($B9,Summary_CP!$A$5:$N$161,95+J$9,FALSE)*1000</f>
        <v>18000</v>
      </c>
      <c r="K53" s="107">
        <f>HLOOKUP($B9,Summary_CP!$A$5:$N$161,95+K$9,FALSE)*1000</f>
        <v>0</v>
      </c>
      <c r="L53" s="107">
        <f>HLOOKUP($B9,Summary_CP!$A$5:$N$161,95+L$9,FALSE)*1000</f>
        <v>0</v>
      </c>
      <c r="M53" s="107">
        <f>HLOOKUP($B9,Summary_CP!$A$5:$N$161,95+M$9,FALSE)*1000</f>
        <v>0</v>
      </c>
      <c r="N53" s="107">
        <f>HLOOKUP($B9,Summary_CP!$A$5:$N$161,95+N$9,FALSE)*1000</f>
        <v>0</v>
      </c>
      <c r="P53" s="152">
        <f>AVERAGE(C53:N53)</f>
        <v>3000</v>
      </c>
      <c r="R53" s="110"/>
      <c r="S53" s="106"/>
      <c r="T53" s="106"/>
      <c r="U53" s="106"/>
      <c r="V53" s="10"/>
      <c r="W53" s="10"/>
      <c r="X53" s="10"/>
      <c r="Y53" s="10"/>
      <c r="Z53" s="10"/>
      <c r="AA53" s="10"/>
      <c r="AB53" s="10"/>
      <c r="AC53" s="10"/>
      <c r="AD53"/>
    </row>
    <row r="54" spans="1:30" s="12" customFormat="1" ht="15.6">
      <c r="A54" s="111"/>
      <c r="B54" s="149" t="s">
        <v>430</v>
      </c>
      <c r="C54" s="107">
        <f>C55</f>
        <v>18000</v>
      </c>
      <c r="D54" s="107">
        <f t="shared" ref="D54:N54" si="6">D55</f>
        <v>0</v>
      </c>
      <c r="E54" s="107">
        <f t="shared" si="6"/>
        <v>0</v>
      </c>
      <c r="F54" s="107">
        <f t="shared" si="6"/>
        <v>0</v>
      </c>
      <c r="G54" s="107">
        <f t="shared" si="6"/>
        <v>0</v>
      </c>
      <c r="H54" s="107">
        <f t="shared" si="6"/>
        <v>0</v>
      </c>
      <c r="I54" s="107">
        <f t="shared" si="6"/>
        <v>0</v>
      </c>
      <c r="J54" s="107">
        <f t="shared" si="6"/>
        <v>18000</v>
      </c>
      <c r="K54" s="107">
        <f t="shared" si="6"/>
        <v>0</v>
      </c>
      <c r="L54" s="107">
        <f t="shared" si="6"/>
        <v>0</v>
      </c>
      <c r="M54" s="107">
        <f t="shared" si="6"/>
        <v>0</v>
      </c>
      <c r="N54" s="107">
        <f t="shared" si="6"/>
        <v>0</v>
      </c>
      <c r="P54" s="152">
        <f>AVERAGE(C54:N54)</f>
        <v>3000</v>
      </c>
      <c r="R54" s="472"/>
      <c r="S54" s="472"/>
      <c r="T54" s="472"/>
      <c r="U54" s="472"/>
      <c r="V54" s="472"/>
      <c r="W54" s="472"/>
      <c r="X54" s="472"/>
      <c r="Y54" s="472"/>
      <c r="Z54" s="472"/>
      <c r="AA54" s="472"/>
      <c r="AB54" s="472"/>
      <c r="AC54" s="472"/>
    </row>
    <row r="55" spans="1:30" s="106" customFormat="1">
      <c r="A55" s="109"/>
      <c r="B55" s="149" t="s">
        <v>133</v>
      </c>
      <c r="C55" s="107">
        <f>HLOOKUP($B$9,'Summary_NCP '!$C$5:$M$677,95+C$9,FALSE)*1000</f>
        <v>18000</v>
      </c>
      <c r="D55" s="107">
        <f>HLOOKUP($B$9,'Summary_NCP '!$C$5:$M$677,95+D$9,FALSE)*1000</f>
        <v>0</v>
      </c>
      <c r="E55" s="107">
        <f>HLOOKUP($B$9,'Summary_NCP '!$C$5:$M$677,95+E$9,FALSE)*1000</f>
        <v>0</v>
      </c>
      <c r="F55" s="107">
        <f>HLOOKUP($B$9,'Summary_NCP '!$C$5:$M$677,95+F$9,FALSE)*1000</f>
        <v>0</v>
      </c>
      <c r="G55" s="107">
        <f>HLOOKUP($B$9,'Summary_NCP '!$C$5:$M$677,95+G$9,FALSE)*1000</f>
        <v>0</v>
      </c>
      <c r="H55" s="107">
        <f>HLOOKUP($B$9,'Summary_NCP '!$C$5:$M$677,95+H$9,FALSE)*1000</f>
        <v>0</v>
      </c>
      <c r="I55" s="107">
        <f>HLOOKUP($B$9,'Summary_NCP '!$C$5:$M$677,95+I$9,FALSE)*1000</f>
        <v>0</v>
      </c>
      <c r="J55" s="107">
        <f>HLOOKUP($B$9,'Summary_NCP '!$C$5:$M$677,95+J$9,FALSE)*1000</f>
        <v>18000</v>
      </c>
      <c r="K55" s="107">
        <f>HLOOKUP($B$9,'Summary_NCP '!$C$5:$M$677,95+K$9,FALSE)*1000</f>
        <v>0</v>
      </c>
      <c r="L55" s="107">
        <f>HLOOKUP($B$9,'Summary_NCP '!$C$5:$M$677,95+L$9,FALSE)*1000</f>
        <v>0</v>
      </c>
      <c r="M55" s="107">
        <f>HLOOKUP($B$9,'Summary_NCP '!$C$5:$M$677,95+M$9,FALSE)*1000</f>
        <v>0</v>
      </c>
      <c r="N55" s="107">
        <f>HLOOKUP($B$9,'Summary_NCP '!$C$5:$M$677,95+N$9,FALSE)*1000</f>
        <v>0</v>
      </c>
      <c r="P55" s="152">
        <f>AVERAGE(C55:N55)</f>
        <v>3000</v>
      </c>
      <c r="T55" s="522"/>
      <c r="U55" s="523"/>
      <c r="V55" s="523"/>
      <c r="W55" s="523"/>
      <c r="X55" s="523"/>
      <c r="Y55" s="523"/>
      <c r="Z55" s="523"/>
      <c r="AA55" s="523"/>
      <c r="AB55" s="523"/>
      <c r="AC55" s="523"/>
      <c r="AD55" s="523"/>
    </row>
    <row r="56" spans="1:30" s="106" customFormat="1" ht="16.5" customHeight="1">
      <c r="A56" s="109"/>
      <c r="B56" s="108"/>
      <c r="C56" s="107"/>
      <c r="D56" s="107"/>
      <c r="E56" s="107"/>
      <c r="F56" s="107"/>
      <c r="G56" s="107"/>
      <c r="H56" s="107"/>
      <c r="I56" s="107"/>
      <c r="J56" s="107"/>
      <c r="K56" s="107"/>
      <c r="L56" s="107"/>
      <c r="M56" s="107"/>
      <c r="N56" s="107"/>
      <c r="T56" s="206"/>
      <c r="U56" s="523"/>
      <c r="V56" s="523"/>
      <c r="W56" s="523"/>
      <c r="X56" s="523"/>
      <c r="Y56" s="523"/>
      <c r="Z56" s="523"/>
      <c r="AA56" s="523"/>
      <c r="AB56" s="523"/>
      <c r="AC56" s="523"/>
      <c r="AD56" s="523"/>
    </row>
    <row r="57" spans="1:30" s="106" customFormat="1" ht="16.5" customHeight="1">
      <c r="A57" s="109"/>
      <c r="B57" s="146" t="str">
        <f>"TEST - "&amp;MANUAL!$B$10</f>
        <v>TEST - 2017</v>
      </c>
      <c r="C57" s="107"/>
      <c r="D57" s="107"/>
      <c r="E57" s="107"/>
      <c r="F57" s="107"/>
      <c r="G57" s="107"/>
      <c r="H57" s="107"/>
      <c r="I57" s="107"/>
      <c r="J57" s="107"/>
      <c r="K57" s="107"/>
      <c r="L57" s="107"/>
      <c r="M57" s="107"/>
      <c r="N57" s="107"/>
      <c r="T57" s="206"/>
      <c r="U57" s="523"/>
      <c r="V57" s="523"/>
      <c r="W57" s="523"/>
      <c r="X57" s="523"/>
      <c r="Y57" s="523"/>
      <c r="Z57" s="523"/>
      <c r="AA57" s="523"/>
      <c r="AB57" s="523"/>
      <c r="AC57" s="523"/>
      <c r="AD57" s="523"/>
    </row>
    <row r="58" spans="1:30" s="106" customFormat="1" ht="16.5" customHeight="1">
      <c r="A58" s="109"/>
      <c r="B58" s="149" t="s">
        <v>432</v>
      </c>
      <c r="C58" s="107">
        <f>C34+C39</f>
        <v>20551.230994807815</v>
      </c>
      <c r="D58" s="107">
        <f>D34+D39</f>
        <v>0</v>
      </c>
      <c r="E58" s="107">
        <f t="shared" ref="E58:N58" si="7">E34+E39</f>
        <v>0</v>
      </c>
      <c r="F58" s="107">
        <f t="shared" si="7"/>
        <v>0</v>
      </c>
      <c r="G58" s="107">
        <f t="shared" si="7"/>
        <v>0</v>
      </c>
      <c r="H58" s="107">
        <f t="shared" si="7"/>
        <v>0</v>
      </c>
      <c r="I58" s="107">
        <f t="shared" si="7"/>
        <v>0</v>
      </c>
      <c r="J58" s="107">
        <f t="shared" si="7"/>
        <v>20551.230994807815</v>
      </c>
      <c r="K58" s="107">
        <f t="shared" si="7"/>
        <v>0</v>
      </c>
      <c r="L58" s="107">
        <f t="shared" si="7"/>
        <v>0</v>
      </c>
      <c r="M58" s="107">
        <f t="shared" si="7"/>
        <v>0</v>
      </c>
      <c r="N58" s="107">
        <f t="shared" si="7"/>
        <v>0</v>
      </c>
      <c r="P58" s="152">
        <f>AVERAGE(C58:N58)</f>
        <v>3425.2051658013024</v>
      </c>
      <c r="T58"/>
      <c r="U58"/>
      <c r="V58"/>
      <c r="W58"/>
      <c r="X58"/>
      <c r="Y58"/>
      <c r="Z58"/>
      <c r="AA58"/>
      <c r="AB58"/>
      <c r="AC58"/>
      <c r="AD58"/>
    </row>
    <row r="59" spans="1:30" s="106" customFormat="1" ht="16.5" customHeight="1">
      <c r="A59" s="109"/>
      <c r="B59" s="149" t="s">
        <v>430</v>
      </c>
      <c r="C59" s="107">
        <f>C60</f>
        <v>21000</v>
      </c>
      <c r="D59" s="107">
        <f t="shared" ref="D59:N59" si="8">D60</f>
        <v>0</v>
      </c>
      <c r="E59" s="107">
        <f t="shared" si="8"/>
        <v>0</v>
      </c>
      <c r="F59" s="107">
        <f t="shared" si="8"/>
        <v>0</v>
      </c>
      <c r="G59" s="107">
        <f t="shared" si="8"/>
        <v>0</v>
      </c>
      <c r="H59" s="107">
        <f t="shared" si="8"/>
        <v>0</v>
      </c>
      <c r="I59" s="107">
        <f t="shared" si="8"/>
        <v>0</v>
      </c>
      <c r="J59" s="107">
        <f t="shared" si="8"/>
        <v>21000</v>
      </c>
      <c r="K59" s="107">
        <f t="shared" si="8"/>
        <v>0</v>
      </c>
      <c r="L59" s="107">
        <f t="shared" si="8"/>
        <v>0</v>
      </c>
      <c r="M59" s="107">
        <f t="shared" si="8"/>
        <v>0</v>
      </c>
      <c r="N59" s="107">
        <f t="shared" si="8"/>
        <v>0</v>
      </c>
      <c r="P59" s="152">
        <f>AVERAGE(C59:N59)</f>
        <v>3500</v>
      </c>
    </row>
    <row r="60" spans="1:30" s="106" customFormat="1" ht="16.5" customHeight="1">
      <c r="A60" s="109"/>
      <c r="B60" s="149" t="s">
        <v>133</v>
      </c>
      <c r="C60" s="107">
        <f>HLOOKUP($B$9,'Summary_NCP '!$C$5:$M$677,107+C$9,FALSE)*1000</f>
        <v>21000</v>
      </c>
      <c r="D60" s="107">
        <f>HLOOKUP($B$9,'Summary_NCP '!$C$5:$M$677,107+D$9,FALSE)*1000</f>
        <v>0</v>
      </c>
      <c r="E60" s="107">
        <f>HLOOKUP($B$9,'Summary_NCP '!$C$5:$M$677,107+E$9,FALSE)*1000</f>
        <v>0</v>
      </c>
      <c r="F60" s="107">
        <f>HLOOKUP($B$9,'Summary_NCP '!$C$5:$M$677,107+F$9,FALSE)*1000</f>
        <v>0</v>
      </c>
      <c r="G60" s="107">
        <f>HLOOKUP($B$9,'Summary_NCP '!$C$5:$M$677,107+G$9,FALSE)*1000</f>
        <v>0</v>
      </c>
      <c r="H60" s="107">
        <f>HLOOKUP($B$9,'Summary_NCP '!$C$5:$M$677,107+H$9,FALSE)*1000</f>
        <v>0</v>
      </c>
      <c r="I60" s="107">
        <f>HLOOKUP($B$9,'Summary_NCP '!$C$5:$M$677,107+I$9,FALSE)*1000</f>
        <v>0</v>
      </c>
      <c r="J60" s="107">
        <f>HLOOKUP($B$9,'Summary_NCP '!$C$5:$M$677,107+J$9,FALSE)*1000</f>
        <v>21000</v>
      </c>
      <c r="K60" s="107">
        <f>HLOOKUP($B$9,'Summary_NCP '!$C$5:$M$677,107+K$9,FALSE)*1000</f>
        <v>0</v>
      </c>
      <c r="L60" s="107">
        <f>HLOOKUP($B$9,'Summary_NCP '!$C$5:$M$677,107+L$9,FALSE)*1000</f>
        <v>0</v>
      </c>
      <c r="M60" s="107">
        <f>HLOOKUP($B$9,'Summary_NCP '!$C$5:$M$677,107+M$9,FALSE)*1000</f>
        <v>0</v>
      </c>
      <c r="N60" s="107">
        <f>HLOOKUP($B$9,'Summary_NCP '!$C$5:$M$677,107+N$9,FALSE)*1000</f>
        <v>0</v>
      </c>
      <c r="O60" s="107"/>
      <c r="P60" s="152">
        <f>AVERAGE(C60:N60)</f>
        <v>3500</v>
      </c>
    </row>
    <row r="61" spans="1:30" s="106" customFormat="1" ht="16.5" customHeight="1">
      <c r="A61" s="109"/>
      <c r="B61" s="149"/>
      <c r="C61" s="107"/>
      <c r="D61" s="107"/>
      <c r="E61" s="107"/>
      <c r="F61" s="107"/>
      <c r="G61" s="107"/>
      <c r="H61" s="107"/>
      <c r="I61" s="107"/>
      <c r="J61" s="107"/>
      <c r="K61" s="107"/>
      <c r="L61" s="107"/>
      <c r="M61" s="107"/>
      <c r="N61" s="107"/>
      <c r="O61" s="107"/>
      <c r="P61" s="152"/>
    </row>
    <row r="62" spans="1:30" s="106" customFormat="1" ht="16.5" customHeight="1">
      <c r="A62" s="109"/>
      <c r="B62" s="149"/>
      <c r="C62" s="107"/>
      <c r="D62" s="107"/>
      <c r="E62" s="107"/>
      <c r="F62" s="107"/>
      <c r="G62" s="107"/>
      <c r="H62" s="107"/>
      <c r="I62" s="107"/>
      <c r="J62" s="107"/>
      <c r="K62" s="107"/>
      <c r="L62" s="107"/>
      <c r="M62" s="107"/>
      <c r="N62" s="107"/>
      <c r="O62" s="107"/>
      <c r="P62" s="152"/>
    </row>
    <row r="63" spans="1:30" s="106" customFormat="1" ht="16.5" customHeight="1">
      <c r="A63" s="109"/>
      <c r="B63" s="149"/>
      <c r="C63" s="107"/>
      <c r="D63" s="107"/>
      <c r="E63" s="107"/>
      <c r="F63" s="107"/>
      <c r="G63" s="107"/>
      <c r="H63" s="107"/>
      <c r="I63" s="107"/>
      <c r="J63" s="107"/>
      <c r="K63" s="107"/>
      <c r="L63" s="107"/>
      <c r="M63" s="107"/>
      <c r="N63" s="107"/>
      <c r="O63" s="107"/>
      <c r="P63" s="152"/>
    </row>
    <row r="64" spans="1:30" s="106" customFormat="1" ht="16.5" customHeight="1">
      <c r="A64" s="109"/>
      <c r="B64" s="149"/>
      <c r="C64" s="107"/>
      <c r="D64" s="107"/>
      <c r="E64" s="107"/>
      <c r="F64" s="107"/>
      <c r="G64" s="107"/>
      <c r="H64" s="107"/>
      <c r="I64" s="107"/>
      <c r="J64" s="107"/>
      <c r="K64" s="107"/>
      <c r="L64" s="107"/>
      <c r="M64" s="107"/>
      <c r="N64" s="107"/>
      <c r="P64" s="152"/>
    </row>
    <row r="65" spans="1:16" s="106" customFormat="1" ht="16.5" customHeight="1">
      <c r="A65" s="109"/>
      <c r="B65" s="146" t="str">
        <f>"SUBSEQUENT - "&amp;MANUAL!$B$11</f>
        <v>SUBSEQUENT - 2018</v>
      </c>
      <c r="C65" s="107"/>
      <c r="D65" s="107"/>
      <c r="E65" s="107"/>
      <c r="F65" s="107"/>
      <c r="G65" s="107"/>
      <c r="H65" s="107"/>
      <c r="I65" s="107"/>
      <c r="J65" s="107"/>
      <c r="K65" s="107"/>
      <c r="L65" s="107"/>
      <c r="M65" s="107"/>
      <c r="N65" s="107"/>
    </row>
    <row r="66" spans="1:16" s="106" customFormat="1" ht="16.5" customHeight="1">
      <c r="A66" s="109"/>
      <c r="B66" s="149" t="s">
        <v>432</v>
      </c>
      <c r="C66" s="107">
        <f>C44+C49</f>
        <v>23485.287564417671</v>
      </c>
      <c r="D66" s="107">
        <f>D44+D49</f>
        <v>0</v>
      </c>
      <c r="E66" s="107">
        <f t="shared" ref="E66:N66" si="9">E44+E49</f>
        <v>0</v>
      </c>
      <c r="F66" s="107">
        <f t="shared" si="9"/>
        <v>0</v>
      </c>
      <c r="G66" s="107">
        <f t="shared" si="9"/>
        <v>0</v>
      </c>
      <c r="H66" s="107">
        <f t="shared" si="9"/>
        <v>0</v>
      </c>
      <c r="I66" s="107">
        <f t="shared" si="9"/>
        <v>0</v>
      </c>
      <c r="J66" s="107">
        <f t="shared" si="9"/>
        <v>23485.287564417671</v>
      </c>
      <c r="K66" s="107">
        <f t="shared" si="9"/>
        <v>0</v>
      </c>
      <c r="L66" s="107">
        <f t="shared" si="9"/>
        <v>0</v>
      </c>
      <c r="M66" s="107">
        <f t="shared" si="9"/>
        <v>0</v>
      </c>
      <c r="N66" s="107">
        <f t="shared" si="9"/>
        <v>0</v>
      </c>
      <c r="O66" s="107"/>
      <c r="P66" s="152">
        <f>AVERAGE(C66:N66)</f>
        <v>3914.2145940696118</v>
      </c>
    </row>
    <row r="67" spans="1:16" s="106" customFormat="1" ht="16.5" customHeight="1">
      <c r="A67" s="109"/>
      <c r="B67" s="149" t="s">
        <v>430</v>
      </c>
      <c r="C67" s="107">
        <f>C68</f>
        <v>24000</v>
      </c>
      <c r="D67" s="107">
        <f t="shared" ref="D67:N67" si="10">D68</f>
        <v>0</v>
      </c>
      <c r="E67" s="107">
        <f t="shared" si="10"/>
        <v>0</v>
      </c>
      <c r="F67" s="107">
        <f t="shared" si="10"/>
        <v>0</v>
      </c>
      <c r="G67" s="107">
        <f t="shared" si="10"/>
        <v>0</v>
      </c>
      <c r="H67" s="107">
        <f t="shared" si="10"/>
        <v>0</v>
      </c>
      <c r="I67" s="107">
        <f t="shared" si="10"/>
        <v>0</v>
      </c>
      <c r="J67" s="107">
        <f t="shared" si="10"/>
        <v>24000</v>
      </c>
      <c r="K67" s="107">
        <f t="shared" si="10"/>
        <v>0</v>
      </c>
      <c r="L67" s="107">
        <f t="shared" si="10"/>
        <v>0</v>
      </c>
      <c r="M67" s="107">
        <f t="shared" si="10"/>
        <v>0</v>
      </c>
      <c r="N67" s="107">
        <f t="shared" si="10"/>
        <v>0</v>
      </c>
      <c r="O67" s="107"/>
      <c r="P67" s="152">
        <f>AVERAGE(C67:N67)</f>
        <v>4000</v>
      </c>
    </row>
    <row r="68" spans="1:16" s="106" customFormat="1" ht="16.5" customHeight="1">
      <c r="A68" s="109"/>
      <c r="B68" s="149" t="s">
        <v>133</v>
      </c>
      <c r="C68" s="107">
        <f>HLOOKUP($B$9,'Summary_NCP '!$C$5:$M$677,119+C$9,FALSE)*1000</f>
        <v>24000</v>
      </c>
      <c r="D68" s="107">
        <f>HLOOKUP($B$9,'Summary_NCP '!$C$5:$M$677,119+D$9,FALSE)*1000</f>
        <v>0</v>
      </c>
      <c r="E68" s="107">
        <f>HLOOKUP($B$9,'Summary_NCP '!$C$5:$M$677,119+E$9,FALSE)*1000</f>
        <v>0</v>
      </c>
      <c r="F68" s="107">
        <f>HLOOKUP($B$9,'Summary_NCP '!$C$5:$M$677,119+F$9,FALSE)*1000</f>
        <v>0</v>
      </c>
      <c r="G68" s="107">
        <f>HLOOKUP($B$9,'Summary_NCP '!$C$5:$M$677,119+G$9,FALSE)*1000</f>
        <v>0</v>
      </c>
      <c r="H68" s="107">
        <f>HLOOKUP($B$9,'Summary_NCP '!$C$5:$M$677,119+H$9,FALSE)*1000</f>
        <v>0</v>
      </c>
      <c r="I68" s="107">
        <f>HLOOKUP($B$9,'Summary_NCP '!$C$5:$M$677,119+I$9,FALSE)*1000</f>
        <v>0</v>
      </c>
      <c r="J68" s="107">
        <f>HLOOKUP($B$9,'Summary_NCP '!$C$5:$M$677,119+J$9,FALSE)*1000</f>
        <v>24000</v>
      </c>
      <c r="K68" s="107">
        <f>HLOOKUP($B$9,'Summary_NCP '!$C$5:$M$677,119+K$9,FALSE)*1000</f>
        <v>0</v>
      </c>
      <c r="L68" s="107">
        <f>HLOOKUP($B$9,'Summary_NCP '!$C$5:$M$677,119+L$9,FALSE)*1000</f>
        <v>0</v>
      </c>
      <c r="M68" s="107">
        <f>HLOOKUP($B$9,'Summary_NCP '!$C$5:$M$677,119+M$9,FALSE)*1000</f>
        <v>0</v>
      </c>
      <c r="N68" s="107">
        <f>HLOOKUP($B$9,'Summary_NCP '!$C$5:$M$677,119+N$9,FALSE)*1000</f>
        <v>0</v>
      </c>
      <c r="O68" s="107"/>
      <c r="P68" s="152">
        <f>AVERAGE(C68:N68)</f>
        <v>4000</v>
      </c>
    </row>
    <row r="69" spans="1:16" s="106" customFormat="1" ht="16.5" customHeight="1">
      <c r="A69" s="109"/>
      <c r="B69" s="149"/>
      <c r="C69" s="107"/>
      <c r="D69" s="107"/>
      <c r="E69" s="107"/>
      <c r="F69" s="107"/>
      <c r="G69" s="107"/>
      <c r="H69" s="107"/>
      <c r="I69" s="107"/>
      <c r="J69" s="107"/>
      <c r="K69" s="107"/>
      <c r="L69" s="107"/>
      <c r="M69" s="107"/>
      <c r="N69" s="107"/>
      <c r="O69" s="107"/>
      <c r="P69" s="152"/>
    </row>
    <row r="70" spans="1:16" s="106" customFormat="1" ht="16.5" customHeight="1">
      <c r="A70" s="109"/>
      <c r="B70" s="149"/>
      <c r="C70" s="107"/>
      <c r="D70" s="107"/>
      <c r="E70" s="107"/>
      <c r="F70" s="107"/>
      <c r="G70" s="107"/>
      <c r="H70" s="107"/>
      <c r="I70" s="107"/>
      <c r="J70" s="107"/>
      <c r="K70" s="107"/>
      <c r="L70" s="107"/>
      <c r="M70" s="107"/>
      <c r="N70" s="107"/>
      <c r="O70" s="107"/>
      <c r="P70" s="152"/>
    </row>
    <row r="71" spans="1:16" s="106" customFormat="1" ht="16.5" customHeight="1">
      <c r="A71" s="109"/>
      <c r="B71" s="149"/>
      <c r="C71" s="107"/>
      <c r="D71" s="107"/>
      <c r="E71" s="107"/>
      <c r="F71" s="107"/>
      <c r="G71" s="107"/>
      <c r="H71" s="107"/>
      <c r="I71" s="107"/>
      <c r="J71" s="107"/>
      <c r="K71" s="107"/>
      <c r="L71" s="107"/>
      <c r="M71" s="107"/>
      <c r="N71" s="107"/>
      <c r="O71" s="107"/>
      <c r="P71" s="152"/>
    </row>
    <row r="72" spans="1:16" s="106" customFormat="1" ht="16.5" customHeight="1">
      <c r="A72" s="109"/>
      <c r="B72" s="108"/>
      <c r="C72" s="107"/>
      <c r="D72" s="107"/>
      <c r="E72" s="107"/>
      <c r="F72" s="107"/>
      <c r="G72" s="107"/>
      <c r="H72" s="107"/>
      <c r="I72" s="107"/>
      <c r="J72" s="107"/>
      <c r="K72" s="107"/>
      <c r="L72" s="107"/>
      <c r="M72" s="107"/>
      <c r="N72" s="107"/>
    </row>
    <row r="73" spans="1:16" ht="13.2">
      <c r="A73" s="42" t="s">
        <v>116</v>
      </c>
      <c r="C73" s="105"/>
    </row>
    <row r="74" spans="1:16" ht="13.2">
      <c r="A74"/>
      <c r="B74" s="10" t="s">
        <v>338</v>
      </c>
      <c r="C74" s="105"/>
      <c r="D74" s="105"/>
      <c r="E74" s="105"/>
      <c r="F74" s="105"/>
      <c r="G74" s="105"/>
      <c r="H74" s="105"/>
      <c r="I74" s="105"/>
      <c r="J74" s="105"/>
      <c r="K74" s="105"/>
      <c r="L74" s="105"/>
      <c r="M74" s="105"/>
      <c r="N74" s="105"/>
    </row>
    <row r="75" spans="1:16" ht="13.2">
      <c r="A75"/>
      <c r="B75" s="81" t="s">
        <v>426</v>
      </c>
    </row>
    <row r="76" spans="1:16" ht="12.75">
      <c r="A76"/>
      <c r="B76" s="125" t="s">
        <v>431</v>
      </c>
      <c r="C76" s="104"/>
    </row>
    <row r="77" spans="1:16" ht="12.75">
      <c r="A77"/>
      <c r="B77" s="153" t="s">
        <v>435</v>
      </c>
      <c r="E77" s="10"/>
    </row>
    <row r="78" spans="1:16" ht="13.2">
      <c r="A78"/>
      <c r="B78" t="s">
        <v>433</v>
      </c>
      <c r="C78" s="98"/>
      <c r="D78" s="98"/>
      <c r="E78" s="98"/>
      <c r="F78" s="98"/>
      <c r="G78" s="98"/>
      <c r="H78" s="98"/>
      <c r="I78" s="98"/>
      <c r="J78" s="98"/>
      <c r="K78" s="98"/>
      <c r="L78" s="98"/>
      <c r="M78" s="98"/>
      <c r="N78" s="98"/>
    </row>
    <row r="81" spans="2:18">
      <c r="B81" s="146"/>
      <c r="C81" s="115"/>
      <c r="D81" s="115"/>
      <c r="E81" s="115"/>
      <c r="F81" s="115"/>
      <c r="G81" s="115"/>
      <c r="H81" s="115"/>
      <c r="I81" s="115"/>
      <c r="J81" s="115"/>
      <c r="K81" s="115"/>
      <c r="L81" s="115"/>
      <c r="M81" s="115"/>
      <c r="N81" s="115"/>
      <c r="O81" s="10"/>
      <c r="P81" s="10"/>
      <c r="Q81" s="10"/>
      <c r="R81" s="10"/>
    </row>
    <row r="82" spans="2:18">
      <c r="B82" s="149" t="s">
        <v>1202</v>
      </c>
      <c r="C82" s="499">
        <f>IFERROR((C$23/C$14)/C58,0)</f>
        <v>0</v>
      </c>
      <c r="D82" s="499">
        <f t="shared" ref="D82:N82" si="11">IFERROR((D$23/D$14)/D58,0)</f>
        <v>0</v>
      </c>
      <c r="E82" s="499">
        <f t="shared" si="11"/>
        <v>0</v>
      </c>
      <c r="F82" s="499">
        <f t="shared" si="11"/>
        <v>0</v>
      </c>
      <c r="G82" s="499">
        <f t="shared" si="11"/>
        <v>0</v>
      </c>
      <c r="H82" s="499">
        <f t="shared" si="11"/>
        <v>0</v>
      </c>
      <c r="I82" s="499">
        <f t="shared" si="11"/>
        <v>0</v>
      </c>
      <c r="J82" s="499">
        <f t="shared" si="11"/>
        <v>0</v>
      </c>
      <c r="K82" s="499">
        <f t="shared" si="11"/>
        <v>0</v>
      </c>
      <c r="L82" s="499">
        <f t="shared" si="11"/>
        <v>0</v>
      </c>
      <c r="M82" s="499">
        <f t="shared" si="11"/>
        <v>0</v>
      </c>
      <c r="N82" s="499">
        <f t="shared" si="11"/>
        <v>0</v>
      </c>
      <c r="O82" s="110"/>
      <c r="P82" s="488"/>
      <c r="Q82" s="10"/>
      <c r="R82" s="10"/>
    </row>
    <row r="83" spans="2:18">
      <c r="B83" s="149" t="s">
        <v>1203</v>
      </c>
      <c r="C83" s="499">
        <f>IFERROR((C$23/C$14)/C59,0)</f>
        <v>0</v>
      </c>
      <c r="D83" s="499">
        <f t="shared" ref="D83:N83" si="12">IFERROR((D$23/D$14)/D59,0)</f>
        <v>0</v>
      </c>
      <c r="E83" s="499">
        <f t="shared" si="12"/>
        <v>0</v>
      </c>
      <c r="F83" s="499">
        <f t="shared" si="12"/>
        <v>0</v>
      </c>
      <c r="G83" s="499">
        <f t="shared" si="12"/>
        <v>0</v>
      </c>
      <c r="H83" s="499">
        <f t="shared" si="12"/>
        <v>0</v>
      </c>
      <c r="I83" s="499">
        <f t="shared" si="12"/>
        <v>0</v>
      </c>
      <c r="J83" s="499">
        <f t="shared" si="12"/>
        <v>0</v>
      </c>
      <c r="K83" s="499">
        <f t="shared" si="12"/>
        <v>0</v>
      </c>
      <c r="L83" s="499">
        <f t="shared" si="12"/>
        <v>0</v>
      </c>
      <c r="M83" s="499">
        <f t="shared" si="12"/>
        <v>0</v>
      </c>
      <c r="N83" s="499">
        <f t="shared" si="12"/>
        <v>0</v>
      </c>
      <c r="O83" s="110"/>
      <c r="P83" s="488"/>
      <c r="Q83" s="10"/>
      <c r="R83" s="10"/>
    </row>
    <row r="84" spans="2:18">
      <c r="B84" s="149" t="s">
        <v>1204</v>
      </c>
      <c r="C84" s="499">
        <f>IFERROR((C$23/C$14)/C60,0)</f>
        <v>0</v>
      </c>
      <c r="D84" s="499">
        <f t="shared" ref="D84:N84" si="13">IFERROR((D$23/D$14)/D60,0)</f>
        <v>0</v>
      </c>
      <c r="E84" s="499">
        <f t="shared" si="13"/>
        <v>0</v>
      </c>
      <c r="F84" s="499">
        <f t="shared" si="13"/>
        <v>0</v>
      </c>
      <c r="G84" s="499">
        <f t="shared" si="13"/>
        <v>0</v>
      </c>
      <c r="H84" s="499">
        <f t="shared" si="13"/>
        <v>0</v>
      </c>
      <c r="I84" s="499">
        <f t="shared" si="13"/>
        <v>0</v>
      </c>
      <c r="J84" s="499">
        <f t="shared" si="13"/>
        <v>0</v>
      </c>
      <c r="K84" s="499">
        <f t="shared" si="13"/>
        <v>0</v>
      </c>
      <c r="L84" s="499">
        <f t="shared" si="13"/>
        <v>0</v>
      </c>
      <c r="M84" s="499">
        <f t="shared" si="13"/>
        <v>0</v>
      </c>
      <c r="N84" s="499">
        <f t="shared" si="13"/>
        <v>0</v>
      </c>
      <c r="O84" s="106"/>
      <c r="P84" s="488"/>
      <c r="Q84" s="10"/>
      <c r="R84" s="10"/>
    </row>
    <row r="85" spans="2:18">
      <c r="B85" s="108"/>
      <c r="C85" s="107"/>
      <c r="D85" s="107"/>
      <c r="E85" s="107"/>
      <c r="F85" s="107"/>
      <c r="G85" s="107"/>
      <c r="H85" s="107"/>
      <c r="I85" s="107"/>
      <c r="J85" s="107"/>
      <c r="K85" s="107"/>
      <c r="L85" s="107"/>
      <c r="M85" s="107"/>
      <c r="N85" s="107"/>
      <c r="O85" s="106"/>
      <c r="P85" s="106"/>
      <c r="Q85" s="10"/>
      <c r="R85" s="10"/>
    </row>
    <row r="86" spans="2:18">
      <c r="B86" s="146"/>
      <c r="C86" s="107"/>
      <c r="D86" s="107"/>
      <c r="E86" s="107"/>
      <c r="F86" s="107"/>
      <c r="G86" s="107"/>
      <c r="H86" s="107"/>
      <c r="I86" s="107"/>
      <c r="J86" s="107"/>
      <c r="K86" s="107"/>
      <c r="L86" s="107"/>
      <c r="M86" s="107"/>
      <c r="N86" s="107"/>
      <c r="O86" s="106"/>
      <c r="P86" s="106"/>
      <c r="Q86" s="10"/>
      <c r="R86" s="10"/>
    </row>
    <row r="87" spans="2:18">
      <c r="B87" s="149"/>
      <c r="C87" s="107"/>
      <c r="D87" s="107"/>
      <c r="E87" s="107"/>
      <c r="F87" s="107"/>
      <c r="G87" s="107"/>
      <c r="H87" s="107"/>
      <c r="I87" s="107"/>
      <c r="J87" s="107"/>
      <c r="K87" s="107"/>
      <c r="L87" s="107"/>
      <c r="M87" s="107"/>
      <c r="N87" s="107"/>
      <c r="O87" s="106"/>
      <c r="P87" s="488"/>
      <c r="Q87" s="10"/>
      <c r="R87" s="10"/>
    </row>
    <row r="88" spans="2:18">
      <c r="B88" s="149"/>
      <c r="C88" s="107"/>
      <c r="D88" s="107"/>
      <c r="E88" s="107"/>
      <c r="F88" s="107"/>
      <c r="G88" s="107"/>
      <c r="H88" s="107"/>
      <c r="I88" s="107"/>
      <c r="J88" s="107"/>
      <c r="K88" s="107"/>
      <c r="L88" s="107"/>
      <c r="M88" s="107"/>
      <c r="N88" s="107"/>
      <c r="O88" s="106"/>
      <c r="P88" s="488"/>
      <c r="Q88" s="10"/>
      <c r="R88" s="10"/>
    </row>
    <row r="89" spans="2:18">
      <c r="B89" s="149"/>
      <c r="C89" s="107"/>
      <c r="D89" s="107"/>
      <c r="E89" s="107"/>
      <c r="F89" s="107"/>
      <c r="G89" s="107"/>
      <c r="H89" s="107"/>
      <c r="I89" s="107"/>
      <c r="J89" s="107"/>
      <c r="K89" s="107"/>
      <c r="L89" s="107"/>
      <c r="M89" s="107"/>
      <c r="N89" s="107"/>
      <c r="O89" s="106"/>
      <c r="P89" s="488"/>
      <c r="Q89" s="10"/>
      <c r="R89" s="10"/>
    </row>
    <row r="90" spans="2:18">
      <c r="B90" s="149"/>
      <c r="C90" s="107"/>
      <c r="D90" s="107"/>
      <c r="E90" s="107"/>
      <c r="F90" s="107"/>
      <c r="G90" s="107"/>
      <c r="H90" s="107"/>
      <c r="I90" s="107"/>
      <c r="J90" s="107"/>
      <c r="K90" s="107"/>
      <c r="L90" s="107"/>
      <c r="M90" s="107"/>
      <c r="N90" s="107"/>
      <c r="O90" s="106"/>
      <c r="P90" s="488"/>
      <c r="Q90" s="10"/>
      <c r="R90" s="10"/>
    </row>
    <row r="91" spans="2:18">
      <c r="B91" s="146"/>
      <c r="C91" s="107"/>
      <c r="D91" s="107"/>
      <c r="E91" s="107"/>
      <c r="F91" s="107"/>
      <c r="G91" s="107"/>
      <c r="H91" s="107"/>
      <c r="I91" s="107"/>
      <c r="J91" s="107"/>
      <c r="K91" s="107"/>
      <c r="L91" s="107"/>
      <c r="M91" s="107"/>
      <c r="N91" s="107"/>
      <c r="O91" s="106"/>
      <c r="P91" s="106"/>
      <c r="Q91" s="10"/>
      <c r="R91" s="10"/>
    </row>
    <row r="92" spans="2:18">
      <c r="B92" s="149"/>
      <c r="C92" s="228"/>
      <c r="D92" s="228"/>
      <c r="E92" s="228"/>
      <c r="F92" s="228"/>
      <c r="G92" s="228"/>
      <c r="H92" s="228"/>
      <c r="I92" s="228"/>
      <c r="J92" s="228"/>
      <c r="K92" s="228"/>
      <c r="L92" s="228"/>
      <c r="M92" s="228"/>
      <c r="N92" s="228"/>
      <c r="O92" s="228"/>
      <c r="P92" s="488"/>
      <c r="Q92" s="10"/>
      <c r="R92" s="10"/>
    </row>
    <row r="93" spans="2:18" ht="409.6">
      <c r="B93" s="149"/>
      <c r="C93" s="228"/>
      <c r="D93" s="228"/>
      <c r="E93" s="228"/>
      <c r="F93" s="228"/>
      <c r="G93" s="228"/>
      <c r="H93" s="228"/>
      <c r="I93" s="228"/>
      <c r="J93" s="228"/>
      <c r="K93" s="228"/>
      <c r="L93" s="228"/>
      <c r="M93" s="228"/>
      <c r="N93" s="228"/>
      <c r="O93" s="107"/>
      <c r="P93" s="488"/>
      <c r="Q93" s="10"/>
    </row>
    <row r="94" spans="2:18" ht="409.6">
      <c r="B94" s="149"/>
      <c r="C94" s="228"/>
      <c r="D94" s="228"/>
      <c r="E94" s="228"/>
      <c r="F94" s="228"/>
      <c r="G94" s="228"/>
      <c r="H94" s="228"/>
      <c r="I94" s="228"/>
      <c r="J94" s="228"/>
      <c r="K94" s="228"/>
      <c r="L94" s="228"/>
      <c r="M94" s="228"/>
      <c r="N94" s="228"/>
      <c r="O94" s="107"/>
      <c r="P94" s="488"/>
      <c r="Q94" s="10"/>
    </row>
    <row r="95" spans="2:18">
      <c r="B95" s="10"/>
      <c r="C95" s="10"/>
      <c r="D95" s="10"/>
      <c r="E95" s="10"/>
      <c r="F95" s="10"/>
      <c r="G95" s="10"/>
      <c r="H95" s="10"/>
      <c r="I95" s="10"/>
      <c r="J95" s="10"/>
      <c r="K95" s="10"/>
      <c r="L95" s="10"/>
      <c r="M95" s="10"/>
      <c r="N95" s="10"/>
      <c r="O95" s="10"/>
      <c r="P95" s="10"/>
      <c r="Q95" s="10"/>
    </row>
  </sheetData>
  <mergeCells count="3">
    <mergeCell ref="C7:E7"/>
    <mergeCell ref="F7:L7"/>
    <mergeCell ref="M7:N7"/>
  </mergeCells>
  <conditionalFormatting sqref="C54:N54">
    <cfRule type="cellIs" dxfId="71" priority="12" operator="greaterThanOrEqual">
      <formula>C55</formula>
    </cfRule>
  </conditionalFormatting>
  <conditionalFormatting sqref="C53:N53">
    <cfRule type="cellIs" dxfId="70" priority="10" operator="greaterThanOrEqual">
      <formula>C54</formula>
    </cfRule>
  </conditionalFormatting>
  <conditionalFormatting sqref="C55:N55">
    <cfRule type="cellIs" dxfId="69" priority="7" operator="greaterThanOrEqual">
      <formula>C56</formula>
    </cfRule>
  </conditionalFormatting>
  <conditionalFormatting sqref="C63:N63 C71:N71">
    <cfRule type="cellIs" dxfId="68" priority="6" operator="greaterThanOrEqual">
      <formula>C65</formula>
    </cfRule>
  </conditionalFormatting>
  <conditionalFormatting sqref="C59:N59">
    <cfRule type="cellIs" dxfId="67" priority="4" operator="greaterThanOrEqual">
      <formula>C60</formula>
    </cfRule>
  </conditionalFormatting>
  <conditionalFormatting sqref="C67:N67">
    <cfRule type="cellIs" dxfId="66" priority="3" operator="greaterThanOrEqual">
      <formula>C68</formula>
    </cfRule>
  </conditionalFormatting>
  <conditionalFormatting sqref="C62:N62 C70:N70">
    <cfRule type="cellIs" dxfId="65" priority="98" operator="greaterThanOrEqual">
      <formula>C65</formula>
    </cfRule>
  </conditionalFormatting>
  <conditionalFormatting sqref="C60:N61 C68:N69">
    <cfRule type="cellIs" dxfId="64" priority="99" operator="greaterThanOrEqual">
      <formula>C64</formula>
    </cfRule>
  </conditionalFormatting>
  <conditionalFormatting sqref="C58:N58">
    <cfRule type="cellIs" dxfId="63" priority="2" operator="greaterThanOrEqual">
      <formula>C59</formula>
    </cfRule>
  </conditionalFormatting>
  <conditionalFormatting sqref="C66:N66">
    <cfRule type="cellIs" dxfId="62" priority="1" operator="greaterThanOrEqual">
      <formula>C67</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pageSetUpPr fitToPage="1"/>
  </sheetPr>
  <dimension ref="A1:AH88"/>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1302</v>
      </c>
    </row>
    <row r="2" spans="1:16" s="8" customFormat="1" ht="15.6">
      <c r="A2" s="624"/>
      <c r="B2" s="8" t="s">
        <v>1267</v>
      </c>
    </row>
    <row r="3" spans="1:16" s="8" customFormat="1" ht="15.6">
      <c r="A3" s="624"/>
    </row>
    <row r="4" spans="1:16" ht="21">
      <c r="A4" s="124" t="s">
        <v>984</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487</v>
      </c>
      <c r="C9" s="320">
        <v>3</v>
      </c>
      <c r="D9" s="320">
        <v>4</v>
      </c>
      <c r="E9" s="320">
        <v>5</v>
      </c>
      <c r="F9" s="320">
        <v>6</v>
      </c>
      <c r="G9" s="320">
        <v>7</v>
      </c>
      <c r="H9" s="320">
        <v>8</v>
      </c>
      <c r="I9" s="320">
        <v>9</v>
      </c>
      <c r="J9" s="320">
        <v>10</v>
      </c>
      <c r="K9" s="320">
        <v>11</v>
      </c>
      <c r="L9" s="320">
        <v>12</v>
      </c>
      <c r="M9" s="320">
        <v>13</v>
      </c>
      <c r="N9" s="320">
        <v>14</v>
      </c>
    </row>
    <row r="10" spans="1:16" s="10" customFormat="1" hidden="1">
      <c r="A10" s="123"/>
      <c r="B10" s="163" t="s">
        <v>487</v>
      </c>
      <c r="C10" s="320"/>
      <c r="D10" s="320"/>
      <c r="E10" s="320"/>
      <c r="F10" s="320"/>
      <c r="G10" s="320"/>
      <c r="H10" s="320"/>
      <c r="I10" s="320"/>
      <c r="J10" s="320"/>
      <c r="K10" s="320"/>
      <c r="L10" s="320"/>
      <c r="M10" s="320"/>
      <c r="N10" s="320"/>
    </row>
    <row r="11" spans="1:16" s="10" customFormat="1">
      <c r="A11" s="123"/>
      <c r="B11" s="163"/>
      <c r="C11" s="320"/>
      <c r="D11" s="320"/>
      <c r="E11" s="320"/>
      <c r="F11" s="320"/>
      <c r="G11" s="320"/>
      <c r="H11" s="320"/>
      <c r="I11" s="320"/>
      <c r="J11" s="320"/>
      <c r="K11" s="320"/>
      <c r="L11" s="320"/>
      <c r="M11" s="320"/>
      <c r="N11" s="320"/>
    </row>
    <row r="12" spans="1:16" s="110" customFormat="1" ht="15.6">
      <c r="A12" s="120"/>
    </row>
    <row r="13" spans="1:16" ht="15.6">
      <c r="A13" s="113" t="s">
        <v>421</v>
      </c>
      <c r="C13" s="5"/>
      <c r="D13" s="5"/>
      <c r="E13" s="5"/>
      <c r="F13" s="5"/>
      <c r="G13" s="5"/>
      <c r="H13" s="5"/>
      <c r="I13" s="5"/>
      <c r="J13" s="5"/>
      <c r="K13" s="5"/>
      <c r="L13" s="5"/>
      <c r="M13" s="115"/>
      <c r="N13" s="5"/>
    </row>
    <row r="14" spans="1:16">
      <c r="A14" s="114"/>
      <c r="B14" s="108" t="str">
        <f>"PRIOR - "&amp;MANUAL!$B$9</f>
        <v>PRIOR - 2016</v>
      </c>
      <c r="C14" s="145">
        <f>+HOURS!$B$18</f>
        <v>744</v>
      </c>
      <c r="D14" s="145">
        <f>+HOURS!$C$18</f>
        <v>696</v>
      </c>
      <c r="E14" s="145">
        <f>+HOURS!$D$18</f>
        <v>744</v>
      </c>
      <c r="F14" s="145">
        <f>+HOURS!$E$18</f>
        <v>720</v>
      </c>
      <c r="G14" s="145">
        <f>+HOURS!$F$18</f>
        <v>744</v>
      </c>
      <c r="H14" s="145">
        <f>+HOURS!$G$18</f>
        <v>720</v>
      </c>
      <c r="I14" s="145">
        <f>+HOURS!$H$18</f>
        <v>744</v>
      </c>
      <c r="J14" s="145">
        <f>+HOURS!$I$18</f>
        <v>744</v>
      </c>
      <c r="K14" s="145">
        <f>+HOURS!$J$18</f>
        <v>720</v>
      </c>
      <c r="L14" s="145">
        <f>+HOURS!$K$18</f>
        <v>744</v>
      </c>
      <c r="M14" s="145">
        <f>+HOURS!$L$18</f>
        <v>720</v>
      </c>
      <c r="N14" s="145">
        <f>+HOURS!$M$18</f>
        <v>744</v>
      </c>
    </row>
    <row r="15" spans="1:16">
      <c r="A15" s="114"/>
      <c r="B15" s="108" t="str">
        <f>"TEST - "&amp;MANUAL!$B$10</f>
        <v>TEST - 2017</v>
      </c>
      <c r="C15" s="145">
        <f>+HOURS!$B$19</f>
        <v>744</v>
      </c>
      <c r="D15" s="145">
        <f>+HOURS!$C$19</f>
        <v>672</v>
      </c>
      <c r="E15" s="145">
        <f>+HOURS!$D$19</f>
        <v>744</v>
      </c>
      <c r="F15" s="145">
        <f>+HOURS!$E$19</f>
        <v>720</v>
      </c>
      <c r="G15" s="145">
        <f>+HOURS!$F$19</f>
        <v>744</v>
      </c>
      <c r="H15" s="145">
        <f>+HOURS!$G$19</f>
        <v>720</v>
      </c>
      <c r="I15" s="145">
        <f>+HOURS!$H$19</f>
        <v>744</v>
      </c>
      <c r="J15" s="145">
        <f>+HOURS!$I$19</f>
        <v>744</v>
      </c>
      <c r="K15" s="145">
        <f>+HOURS!$J$19</f>
        <v>720</v>
      </c>
      <c r="L15" s="145">
        <f>+HOURS!$K$19</f>
        <v>744</v>
      </c>
      <c r="M15" s="145">
        <f>+HOURS!$L$19</f>
        <v>720</v>
      </c>
      <c r="N15" s="145">
        <f>+HOURS!$M$19</f>
        <v>744</v>
      </c>
    </row>
    <row r="16" spans="1:16">
      <c r="A16" s="114"/>
      <c r="B16" s="108" t="s">
        <v>1096</v>
      </c>
      <c r="C16" s="145">
        <f>+HOURS!B$20</f>
        <v>744</v>
      </c>
      <c r="D16" s="145">
        <f>+HOURS!C$20</f>
        <v>672</v>
      </c>
      <c r="E16" s="145">
        <f>+HOURS!D$20</f>
        <v>744</v>
      </c>
      <c r="F16" s="145">
        <f>+HOURS!E$20</f>
        <v>720</v>
      </c>
      <c r="G16" s="145">
        <f>+HOURS!F$20</f>
        <v>744</v>
      </c>
      <c r="H16" s="145">
        <f>+HOURS!G$20</f>
        <v>720</v>
      </c>
      <c r="I16" s="145">
        <f>+HOURS!H$20</f>
        <v>744</v>
      </c>
      <c r="J16" s="145">
        <f>+HOURS!I$20</f>
        <v>744</v>
      </c>
      <c r="K16" s="145">
        <f>+HOURS!J$20</f>
        <v>720</v>
      </c>
      <c r="L16" s="145">
        <f>+HOURS!K$20</f>
        <v>744</v>
      </c>
      <c r="M16" s="145">
        <f>+HOURS!L$20</f>
        <v>720</v>
      </c>
      <c r="N16" s="145">
        <f>+HOURS!M$20</f>
        <v>744</v>
      </c>
    </row>
    <row r="17" spans="1:15">
      <c r="A17" s="114"/>
      <c r="C17" s="5"/>
      <c r="D17" s="5"/>
      <c r="E17" s="5"/>
      <c r="F17" s="5"/>
      <c r="G17" s="5"/>
      <c r="H17" s="5"/>
      <c r="I17" s="5"/>
      <c r="J17" s="5"/>
      <c r="K17" s="5"/>
      <c r="L17" s="5"/>
      <c r="M17" s="115"/>
      <c r="N17" s="5"/>
    </row>
    <row r="18" spans="1:15" ht="15.6">
      <c r="A18" s="113" t="s">
        <v>427</v>
      </c>
      <c r="C18" s="5"/>
      <c r="D18" s="5"/>
      <c r="E18" s="5"/>
      <c r="F18" s="5"/>
      <c r="G18" s="5"/>
      <c r="H18" s="5"/>
      <c r="I18" s="5"/>
      <c r="J18" s="5"/>
      <c r="K18" s="5"/>
      <c r="L18" s="5"/>
      <c r="M18" s="115"/>
      <c r="N18" s="5"/>
    </row>
    <row r="19" spans="1:15">
      <c r="A19" s="114"/>
      <c r="B19" t="s">
        <v>428</v>
      </c>
      <c r="C19" s="145">
        <v>0</v>
      </c>
      <c r="D19" s="145">
        <v>0</v>
      </c>
      <c r="E19" s="145">
        <v>0</v>
      </c>
      <c r="F19" s="145">
        <v>0</v>
      </c>
      <c r="G19" s="145">
        <v>0</v>
      </c>
      <c r="H19" s="145">
        <v>0</v>
      </c>
      <c r="I19" s="145">
        <v>0</v>
      </c>
      <c r="J19" s="145">
        <v>0</v>
      </c>
      <c r="K19" s="145">
        <v>0</v>
      </c>
      <c r="L19" s="145">
        <v>0</v>
      </c>
      <c r="M19" s="145">
        <v>0</v>
      </c>
      <c r="N19" s="145">
        <v>0</v>
      </c>
    </row>
    <row r="20" spans="1:15">
      <c r="A20" s="114"/>
      <c r="B20" t="s">
        <v>429</v>
      </c>
      <c r="C20" s="145">
        <v>0</v>
      </c>
      <c r="D20" s="145">
        <v>0</v>
      </c>
      <c r="E20" s="145">
        <v>0</v>
      </c>
      <c r="F20" s="145">
        <v>0</v>
      </c>
      <c r="G20" s="145">
        <v>0</v>
      </c>
      <c r="H20" s="145">
        <v>0</v>
      </c>
      <c r="I20" s="145">
        <v>0</v>
      </c>
      <c r="J20" s="145">
        <v>0</v>
      </c>
      <c r="K20" s="145">
        <v>0</v>
      </c>
      <c r="L20" s="145">
        <v>0</v>
      </c>
      <c r="M20" s="145">
        <v>0</v>
      </c>
      <c r="N20" s="145">
        <v>0</v>
      </c>
    </row>
    <row r="21" spans="1:15">
      <c r="A21" s="114"/>
      <c r="C21" s="5"/>
      <c r="D21" s="5"/>
      <c r="E21" s="5"/>
      <c r="F21" s="5"/>
      <c r="G21" s="5"/>
      <c r="H21" s="5"/>
      <c r="I21" s="5"/>
      <c r="J21" s="5"/>
      <c r="K21" s="5"/>
      <c r="L21" s="5"/>
      <c r="M21" s="115"/>
      <c r="N21" s="5"/>
    </row>
    <row r="22" spans="1:15" ht="15.6">
      <c r="A22" s="113" t="s">
        <v>424</v>
      </c>
      <c r="C22" s="5"/>
      <c r="D22" s="5"/>
      <c r="E22" s="5"/>
      <c r="F22" s="5"/>
      <c r="G22" s="5"/>
      <c r="H22" s="5"/>
      <c r="I22" s="5"/>
      <c r="J22" s="5"/>
      <c r="K22" s="5"/>
      <c r="L22" s="5"/>
      <c r="M22" s="115"/>
      <c r="N22" s="5"/>
    </row>
    <row r="23" spans="1:15" s="106" customFormat="1">
      <c r="A23" s="109"/>
      <c r="B23" s="108" t="str">
        <f>"PRIOR - "&amp;MANUAL!$B$9</f>
        <v>PRIOR - 2016</v>
      </c>
      <c r="C23" s="142">
        <f>VLOOKUP($B$9,'KWH FCST'!$A$33:$O$41,C9-1,FALSE)</f>
        <v>278690861.05160964</v>
      </c>
      <c r="D23" s="142">
        <f>VLOOKUP($B$9,'KWH FCST'!$A$33:$O$41,D9-1,FALSE)</f>
        <v>279779942</v>
      </c>
      <c r="E23" s="142">
        <f>VLOOKUP($B$9,'KWH FCST'!$A$33:$O$41,E9-1,FALSE)</f>
        <v>271689087</v>
      </c>
      <c r="F23" s="142">
        <f>VLOOKUP($B$9,'KWH FCST'!$A$33:$O$41,F9-1,FALSE)</f>
        <v>322430747</v>
      </c>
      <c r="G23" s="142">
        <f>VLOOKUP($B$9,'KWH FCST'!$A$33:$O$41,G9-1,FALSE)</f>
        <v>352644260</v>
      </c>
      <c r="H23" s="142">
        <f>VLOOKUP($B$9,'KWH FCST'!$A$33:$O$41,H9-1,FALSE)</f>
        <v>357421431</v>
      </c>
      <c r="I23" s="142">
        <f>VLOOKUP($B$9,'KWH FCST'!$A$33:$O$41,I9-1,FALSE)</f>
        <v>369136080</v>
      </c>
      <c r="J23" s="142">
        <f>VLOOKUP($B$9,'KWH FCST'!$A$33:$O$41,J9-1,FALSE)</f>
        <v>347333561</v>
      </c>
      <c r="K23" s="142">
        <f>VLOOKUP($B$9,'KWH FCST'!$A$33:$O$41,K9-1,FALSE)</f>
        <v>372588691</v>
      </c>
      <c r="L23" s="142">
        <f>VLOOKUP($B$9,'KWH FCST'!$A$33:$O$41,L9-1,FALSE)</f>
        <v>367780053</v>
      </c>
      <c r="M23" s="142">
        <f>VLOOKUP($B$9,'KWH FCST'!$A$33:$O$41,M9-1,FALSE)</f>
        <v>336292253</v>
      </c>
      <c r="N23" s="142">
        <f>VLOOKUP($B$9,'KWH FCST'!$A$33:$O$41,N9-1,FALSE)</f>
        <v>306122189</v>
      </c>
      <c r="O23" s="142"/>
    </row>
    <row r="24" spans="1:15" s="12" customFormat="1" ht="15.6">
      <c r="A24" s="111"/>
      <c r="B24" s="108" t="str">
        <f>"TEST - "&amp;MANUAL!$B$10</f>
        <v>TEST - 2017</v>
      </c>
      <c r="C24" s="142">
        <f>VLOOKUP($B$9,'KWH FCST'!$A$79:$O$87,C9-1,FALSE)</f>
        <v>286734034</v>
      </c>
      <c r="D24" s="142">
        <f>VLOOKUP($B$9,'KWH FCST'!$A$79:$O$87,D9-1,FALSE)</f>
        <v>283976641</v>
      </c>
      <c r="E24" s="142">
        <f>VLOOKUP($B$9,'KWH FCST'!$A$79:$O$87,E9-1,FALSE)</f>
        <v>275764422</v>
      </c>
      <c r="F24" s="142">
        <f>VLOOKUP($B$9,'KWH FCST'!$A$79:$O$87,F9-1,FALSE)</f>
        <v>327267208</v>
      </c>
      <c r="G24" s="142">
        <f>VLOOKUP($B$9,'KWH FCST'!$A$79:$O$87,G9-1,FALSE)</f>
        <v>357933924</v>
      </c>
      <c r="H24" s="142">
        <f>VLOOKUP($B$9,'KWH FCST'!$A$79:$O$87,H9-1,FALSE)</f>
        <v>362782752</v>
      </c>
      <c r="I24" s="142">
        <f>VLOOKUP($B$9,'KWH FCST'!$A$79:$O$87,I9-1,FALSE)</f>
        <v>374673121</v>
      </c>
      <c r="J24" s="142">
        <f>VLOOKUP($B$9,'KWH FCST'!$A$79:$O$87,J9-1,FALSE)</f>
        <v>352543565</v>
      </c>
      <c r="K24" s="142">
        <f>VLOOKUP($B$9,'KWH FCST'!$A$79:$O$87,K9-1,FALSE)</f>
        <v>378177521</v>
      </c>
      <c r="L24" s="142">
        <f>VLOOKUP($B$9,'KWH FCST'!$A$79:$O$87,L9-1,FALSE)</f>
        <v>373296754</v>
      </c>
      <c r="M24" s="142">
        <f>VLOOKUP($B$9,'KWH FCST'!$A$79:$O$87,M9-1,FALSE)</f>
        <v>341336638</v>
      </c>
      <c r="N24" s="142">
        <f>VLOOKUP($B$9,'KWH FCST'!$A$79:$O$87,N9-1,FALSE)</f>
        <v>310714022</v>
      </c>
      <c r="O24" s="142"/>
    </row>
    <row r="25" spans="1:15">
      <c r="A25" s="114"/>
      <c r="B25" t="s">
        <v>1094</v>
      </c>
      <c r="C25" s="142">
        <f>VLOOKUP($B$9,'KWH FCST'!$A$125:$O$133,C9-1,FALSE)</f>
        <v>291035044</v>
      </c>
      <c r="D25" s="142">
        <f>VLOOKUP($B$9,'KWH FCST'!$A$125:$O$133,D9-1,FALSE)</f>
        <v>288236292</v>
      </c>
      <c r="E25" s="142">
        <f>VLOOKUP($B$9,'KWH FCST'!$A$125:$O$133,E9-1,FALSE)</f>
        <v>279900889</v>
      </c>
      <c r="F25" s="142">
        <f>VLOOKUP($B$9,'KWH FCST'!$A$125:$O$133,F9-1,FALSE)</f>
        <v>332176215</v>
      </c>
      <c r="G25" s="142">
        <f>VLOOKUP($B$9,'KWH FCST'!$A$125:$O$133,G9-1,FALSE)</f>
        <v>363302933</v>
      </c>
      <c r="H25" s="142">
        <f>VLOOKUP($B$9,'KWH FCST'!$A$125:$O$133,H9-1,FALSE)</f>
        <v>368224494</v>
      </c>
      <c r="I25" s="142">
        <f>VLOOKUP($B$9,'KWH FCST'!$A$125:$O$133,I9-1,FALSE)</f>
        <v>380293219</v>
      </c>
      <c r="J25" s="142">
        <f>VLOOKUP($B$9,'KWH FCST'!$A$125:$O$133,J9-1,FALSE)</f>
        <v>357831718</v>
      </c>
      <c r="K25" s="142">
        <f>VLOOKUP($B$9,'KWH FCST'!$A$125:$O$133,K9-1,FALSE)</f>
        <v>383850184</v>
      </c>
      <c r="L25" s="142">
        <f>VLOOKUP($B$9,'KWH FCST'!$A$125:$O$133,L9-1,FALSE)</f>
        <v>378896205</v>
      </c>
      <c r="M25" s="142">
        <f>VLOOKUP($B$9,'KWH FCST'!$A$125:$O$133,M9-1,FALSE)</f>
        <v>346456688</v>
      </c>
      <c r="N25" s="142">
        <f>VLOOKUP($B$9,'KWH FCST'!$A$125:$O$133,N9-1,FALSE)</f>
        <v>315374732</v>
      </c>
    </row>
    <row r="26" spans="1:15">
      <c r="A26" s="114"/>
      <c r="C26" s="142"/>
      <c r="D26" s="142"/>
      <c r="E26" s="142"/>
      <c r="F26" s="142"/>
      <c r="G26" s="142"/>
      <c r="H26" s="142"/>
      <c r="I26" s="142"/>
      <c r="J26" s="142"/>
      <c r="K26" s="142"/>
      <c r="L26" s="142"/>
      <c r="M26" s="142"/>
      <c r="N26" s="142"/>
    </row>
    <row r="27" spans="1:15" ht="15.6">
      <c r="A27" s="113" t="s">
        <v>1248</v>
      </c>
      <c r="C27" s="142"/>
      <c r="D27" s="142"/>
      <c r="E27" s="142"/>
      <c r="F27" s="142"/>
      <c r="G27" s="142"/>
      <c r="H27" s="142"/>
      <c r="I27" s="142"/>
      <c r="J27" s="142"/>
      <c r="K27" s="142"/>
      <c r="L27" s="142"/>
      <c r="M27" s="142"/>
      <c r="N27" s="142"/>
    </row>
    <row r="28" spans="1:15">
      <c r="A28" s="114"/>
      <c r="B28" t="s">
        <v>1254</v>
      </c>
      <c r="C28" s="115">
        <v>1</v>
      </c>
      <c r="D28" s="115">
        <v>1</v>
      </c>
      <c r="E28" s="115">
        <v>1</v>
      </c>
      <c r="F28" s="115">
        <v>1</v>
      </c>
      <c r="G28" s="115">
        <v>1</v>
      </c>
      <c r="H28" s="115">
        <v>1</v>
      </c>
      <c r="I28" s="115">
        <v>1</v>
      </c>
      <c r="J28" s="115">
        <v>1</v>
      </c>
      <c r="K28" s="115">
        <v>1</v>
      </c>
      <c r="L28" s="115">
        <v>1</v>
      </c>
      <c r="M28" s="115">
        <v>1</v>
      </c>
      <c r="N28" s="115">
        <v>1</v>
      </c>
    </row>
    <row r="29" spans="1:15">
      <c r="A29" s="114"/>
      <c r="B29" t="s">
        <v>1253</v>
      </c>
      <c r="C29" s="115">
        <v>0</v>
      </c>
      <c r="D29" s="115">
        <v>0</v>
      </c>
      <c r="E29" s="115">
        <v>0</v>
      </c>
      <c r="F29" s="115">
        <v>0</v>
      </c>
      <c r="G29" s="115">
        <v>0</v>
      </c>
      <c r="H29" s="115">
        <v>0</v>
      </c>
      <c r="I29" s="115">
        <v>0</v>
      </c>
      <c r="J29" s="115">
        <v>0</v>
      </c>
      <c r="K29" s="115">
        <v>0</v>
      </c>
      <c r="L29" s="115">
        <v>0</v>
      </c>
      <c r="M29" s="115">
        <v>0</v>
      </c>
      <c r="N29" s="115">
        <v>0</v>
      </c>
    </row>
    <row r="30" spans="1:15">
      <c r="A30" s="114"/>
      <c r="B30" t="s">
        <v>1252</v>
      </c>
      <c r="C30" s="115">
        <v>0</v>
      </c>
      <c r="D30" s="115">
        <v>0</v>
      </c>
      <c r="E30" s="115">
        <v>0</v>
      </c>
      <c r="F30" s="115">
        <v>0</v>
      </c>
      <c r="G30" s="115">
        <v>0</v>
      </c>
      <c r="H30" s="115">
        <v>0</v>
      </c>
      <c r="I30" s="115">
        <v>0</v>
      </c>
      <c r="J30" s="115">
        <v>0</v>
      </c>
      <c r="K30" s="115">
        <v>0</v>
      </c>
      <c r="L30" s="115">
        <v>0</v>
      </c>
      <c r="M30" s="115">
        <v>0</v>
      </c>
      <c r="N30" s="115">
        <v>0</v>
      </c>
    </row>
    <row r="31" spans="1:15" ht="15.6">
      <c r="A31" s="114"/>
      <c r="B31" s="513">
        <v>2017</v>
      </c>
      <c r="C31" s="115"/>
      <c r="D31" s="115"/>
      <c r="E31" s="115"/>
      <c r="F31" s="115"/>
      <c r="G31" s="115"/>
      <c r="H31" s="115"/>
      <c r="I31" s="115"/>
      <c r="J31" s="115"/>
      <c r="K31" s="115"/>
      <c r="L31" s="115"/>
      <c r="M31" s="115"/>
      <c r="N31" s="115"/>
    </row>
    <row r="32" spans="1:15">
      <c r="A32" s="114"/>
      <c r="B32" t="s">
        <v>1249</v>
      </c>
      <c r="C32" s="535">
        <v>1.0218365997299901</v>
      </c>
      <c r="D32" s="535">
        <v>1.0218365997299901</v>
      </c>
      <c r="E32" s="535">
        <v>1.0218365997299901</v>
      </c>
      <c r="F32" s="535">
        <v>1.0218365997299901</v>
      </c>
      <c r="G32" s="535">
        <v>1.0218365997299901</v>
      </c>
      <c r="H32" s="535">
        <v>1.0218365997299901</v>
      </c>
      <c r="I32" s="535">
        <v>1.0218365997299901</v>
      </c>
      <c r="J32" s="535">
        <v>1.0218365997299901</v>
      </c>
      <c r="K32" s="535">
        <v>1.0218365997299901</v>
      </c>
      <c r="L32" s="535">
        <v>1.0218365997299901</v>
      </c>
      <c r="M32" s="535">
        <v>1.0218365997299901</v>
      </c>
      <c r="N32" s="535">
        <v>1.0218365997299901</v>
      </c>
    </row>
    <row r="33" spans="1:14">
      <c r="A33" s="114"/>
      <c r="B33" t="s">
        <v>1250</v>
      </c>
      <c r="C33" s="535">
        <v>1.0348230487446399</v>
      </c>
      <c r="D33" s="535">
        <v>1.0348230487446399</v>
      </c>
      <c r="E33" s="535">
        <v>1.0348230487446399</v>
      </c>
      <c r="F33" s="535">
        <v>1.0348230487446399</v>
      </c>
      <c r="G33" s="535">
        <v>1.0348230487446399</v>
      </c>
      <c r="H33" s="535">
        <v>1.0348230487446399</v>
      </c>
      <c r="I33" s="535">
        <v>1.0348230487446399</v>
      </c>
      <c r="J33" s="535">
        <v>1.0348230487446399</v>
      </c>
      <c r="K33" s="535">
        <v>1.0348230487446399</v>
      </c>
      <c r="L33" s="535">
        <v>1.0348230487446399</v>
      </c>
      <c r="M33" s="535">
        <v>1.0348230487446399</v>
      </c>
      <c r="N33" s="535">
        <v>1.0348230487446399</v>
      </c>
    </row>
    <row r="34" spans="1:14">
      <c r="A34" s="114"/>
      <c r="B34" t="s">
        <v>1251</v>
      </c>
      <c r="C34" s="535">
        <v>1.0644101070756899</v>
      </c>
      <c r="D34" s="535">
        <v>1.0644101070756899</v>
      </c>
      <c r="E34" s="535">
        <v>1.0644101070756899</v>
      </c>
      <c r="F34" s="535">
        <v>1.0644101070756899</v>
      </c>
      <c r="G34" s="535">
        <v>1.0644101070756899</v>
      </c>
      <c r="H34" s="535">
        <v>1.0644101070756899</v>
      </c>
      <c r="I34" s="535">
        <v>1.0644101070756899</v>
      </c>
      <c r="J34" s="535">
        <v>1.0644101070756899</v>
      </c>
      <c r="K34" s="535">
        <v>1.0644101070756899</v>
      </c>
      <c r="L34" s="535">
        <v>1.0644101070756899</v>
      </c>
      <c r="M34" s="535">
        <v>1.0644101070756899</v>
      </c>
      <c r="N34" s="535">
        <v>1.0644101070756899</v>
      </c>
    </row>
    <row r="35" spans="1:14">
      <c r="A35" s="114"/>
      <c r="B35" t="s">
        <v>1255</v>
      </c>
      <c r="C35" s="107">
        <f>HLOOKUP($B9,Summary_CP!$A$5:$N$161,107+C$9,FALSE)*1000</f>
        <v>745167.86963630246</v>
      </c>
      <c r="D35" s="107">
        <f>HLOOKUP($B9,Summary_CP!$A$5:$N$161,107+D$9,FALSE)*1000</f>
        <v>668945.8017518603</v>
      </c>
      <c r="E35" s="107">
        <f>HLOOKUP($B9,Summary_CP!$A$5:$N$161,107+E$9,FALSE)*1000</f>
        <v>616449.13839736406</v>
      </c>
      <c r="F35" s="107">
        <f>HLOOKUP($B9,Summary_CP!$A$5:$N$161,107+F$9,FALSE)*1000</f>
        <v>603918.22942080395</v>
      </c>
      <c r="G35" s="107">
        <f>HLOOKUP($B9,Summary_CP!$A$5:$N$161,107+G$9,FALSE)*1000</f>
        <v>699801.99552638899</v>
      </c>
      <c r="H35" s="107">
        <f>HLOOKUP($B9,Summary_CP!$A$5:$N$161,107+H$9,FALSE)*1000</f>
        <v>768532.40615780908</v>
      </c>
      <c r="I35" s="107">
        <f>HLOOKUP($B9,Summary_CP!$A$5:$N$161,107+I$9,FALSE)*1000</f>
        <v>749123.97131151194</v>
      </c>
      <c r="J35" s="107">
        <f>HLOOKUP($B9,Summary_CP!$A$5:$N$161,107+J$9,FALSE)*1000</f>
        <v>783475.67703109328</v>
      </c>
      <c r="K35" s="107">
        <f>HLOOKUP($B9,Summary_CP!$A$5:$N$161,107+K$9,FALSE)*1000</f>
        <v>672815.95490237186</v>
      </c>
      <c r="L35" s="107">
        <f>HLOOKUP($B9,Summary_CP!$A$5:$N$161,107+L$9,FALSE)*1000</f>
        <v>708669.05835224723</v>
      </c>
      <c r="M35" s="107">
        <f>HLOOKUP($B9,Summary_CP!$A$5:$N$161,107+M$9,FALSE)*1000</f>
        <v>582117.12190809206</v>
      </c>
      <c r="N35" s="107">
        <f>HLOOKUP($B9,Summary_CP!$A$5:$N$161,107+N$9,FALSE)*1000</f>
        <v>547180.16422875761</v>
      </c>
    </row>
    <row r="36" spans="1:14">
      <c r="A36" s="114"/>
      <c r="B36" t="s">
        <v>1256</v>
      </c>
      <c r="C36" s="107">
        <f>IFERROR((C35*C28*C32)+(C35*C29*C33)+(C35*C30*C34),0)</f>
        <v>761439.80213719979</v>
      </c>
      <c r="D36" s="107">
        <f>IFERROR((D35*D28*D32)+(D35*D29*D33)+(D35*D30*D34),0)</f>
        <v>683553.303465773</v>
      </c>
      <c r="E36" s="107">
        <f t="shared" ref="E36:N36" si="0">IFERROR((E35*E28*E32)+(E35*E29*E33)+(E35*E30*E34),0)</f>
        <v>629910.29148644453</v>
      </c>
      <c r="F36" s="107">
        <f t="shared" si="0"/>
        <v>617105.7500663104</v>
      </c>
      <c r="G36" s="107">
        <f t="shared" si="0"/>
        <v>715083.29159294709</v>
      </c>
      <c r="H36" s="107">
        <f t="shared" si="0"/>
        <v>785314.54069060332</v>
      </c>
      <c r="I36" s="107">
        <f t="shared" si="0"/>
        <v>765482.291621182</v>
      </c>
      <c r="J36" s="107">
        <f t="shared" si="0"/>
        <v>800584.1217886043</v>
      </c>
      <c r="K36" s="107">
        <f t="shared" si="0"/>
        <v>687507.96760152606</v>
      </c>
      <c r="L36" s="107">
        <f t="shared" si="0"/>
        <v>724143.98092051421</v>
      </c>
      <c r="M36" s="107">
        <f t="shared" si="0"/>
        <v>594828.58049517288</v>
      </c>
      <c r="N36" s="107">
        <f t="shared" si="0"/>
        <v>559128.71845521126</v>
      </c>
    </row>
    <row r="37" spans="1:14">
      <c r="A37" s="114"/>
      <c r="B37" t="s">
        <v>1257</v>
      </c>
      <c r="C37" s="235">
        <f>BLOUNTSTOWN!C36</f>
        <v>1228831.3297315862</v>
      </c>
      <c r="D37" s="235">
        <f>BLOUNTSTOWN!D36</f>
        <v>1010133.5524307521</v>
      </c>
      <c r="E37" s="235">
        <f>BLOUNTSTOWN!E36</f>
        <v>950254.07441993814</v>
      </c>
      <c r="F37" s="235">
        <f>BLOUNTSTOWN!F36</f>
        <v>959201.22858601715</v>
      </c>
      <c r="G37" s="235">
        <f>BLOUNTSTOWN!G36</f>
        <v>1065854.2376846557</v>
      </c>
      <c r="H37" s="235">
        <f>BLOUNTSTOWN!H36</f>
        <v>1140353.9142618102</v>
      </c>
      <c r="I37" s="235">
        <f>BLOUNTSTOWN!I36</f>
        <v>1132054.8391980769</v>
      </c>
      <c r="J37" s="235">
        <f>BLOUNTSTOWN!J36</f>
        <v>1312333.3808478254</v>
      </c>
      <c r="K37" s="235">
        <f>BLOUNTSTOWN!K36</f>
        <v>1038758.3890285973</v>
      </c>
      <c r="L37" s="235">
        <f>BLOUNTSTOWN!L36</f>
        <v>1068943.4704556046</v>
      </c>
      <c r="M37" s="235">
        <f>BLOUNTSTOWN!M36</f>
        <v>923783.94692739786</v>
      </c>
      <c r="N37" s="235">
        <f>BLOUNTSTOWN!N36</f>
        <v>882247.02789984096</v>
      </c>
    </row>
    <row r="38" spans="1:14">
      <c r="A38" s="114"/>
      <c r="B38" t="s">
        <v>1258</v>
      </c>
      <c r="C38" s="235">
        <f>IFERROR('2017 CP (FNG)'!B12*1000-C37,0)</f>
        <v>-26260.067304411205</v>
      </c>
      <c r="D38" s="235">
        <f>IFERROR('2017 CP (FNG)'!C12*1000-D37,0)</f>
        <v>-21586.506163599784</v>
      </c>
      <c r="E38" s="235">
        <f>IFERROR('2017 CP (FNG)'!D12*1000-E37,0)</f>
        <v>-20306.884555107215</v>
      </c>
      <c r="F38" s="235">
        <f>IFERROR('2017 CP (FNG)'!E12*1000-F37,0)</f>
        <v>-20498.084815793671</v>
      </c>
      <c r="G38" s="235">
        <f>IFERROR('2017 CP (FNG)'!F12*1000-G37,0)</f>
        <v>-22777.254567886703</v>
      </c>
      <c r="H38" s="235">
        <f>IFERROR('2017 CP (FNG)'!G12*1000-H37,0)</f>
        <v>-24369.30912715639</v>
      </c>
      <c r="I38" s="235">
        <f>IFERROR('2017 CP (FNG)'!H12*1000-I37,0)</f>
        <v>-24191.95828618668</v>
      </c>
      <c r="J38" s="235">
        <f>IFERROR('2017 CP (FNG)'!I12*1000-J37,0)</f>
        <v>-28044.502181122778</v>
      </c>
      <c r="K38" s="235">
        <f>IFERROR('2017 CP (FNG)'!J12*1000-K37,0)</f>
        <v>-22198.217565685627</v>
      </c>
      <c r="L38" s="235">
        <f>IFERROR('2017 CP (FNG)'!K12*1000-L37,0)</f>
        <v>-22843.271325859241</v>
      </c>
      <c r="M38" s="235">
        <f>IFERROR('2017 CP (FNG)'!L12*1000-M37,0)</f>
        <v>-19741.219184529502</v>
      </c>
      <c r="N38" s="235">
        <f>IFERROR('2017 CP (FNG)'!M12*1000-N37,0)</f>
        <v>-18853.577192589175</v>
      </c>
    </row>
    <row r="39" spans="1:14">
      <c r="A39" s="114"/>
      <c r="B39" t="s">
        <v>1259</v>
      </c>
      <c r="C39" s="235">
        <f>IFERROR(C36*C38/C37,0)</f>
        <v>-16271.932500897441</v>
      </c>
      <c r="D39" s="235">
        <f t="shared" ref="D39:N39" si="1">IFERROR(D36*D38/D37,0)</f>
        <v>-14607.501713912668</v>
      </c>
      <c r="E39" s="235">
        <f t="shared" si="1"/>
        <v>-13461.153089080377</v>
      </c>
      <c r="F39" s="235">
        <f t="shared" si="1"/>
        <v>-13187.520645506396</v>
      </c>
      <c r="G39" s="235">
        <f t="shared" si="1"/>
        <v>-15281.296066558196</v>
      </c>
      <c r="H39" s="235">
        <f t="shared" si="1"/>
        <v>-16782.134532794189</v>
      </c>
      <c r="I39" s="235">
        <f t="shared" si="1"/>
        <v>-16358.320309670102</v>
      </c>
      <c r="J39" s="235">
        <f t="shared" si="1"/>
        <v>-17108.444757511083</v>
      </c>
      <c r="K39" s="235">
        <f t="shared" si="1"/>
        <v>-14692.012699154115</v>
      </c>
      <c r="L39" s="235">
        <f t="shared" si="1"/>
        <v>-15474.922568267055</v>
      </c>
      <c r="M39" s="235">
        <f t="shared" si="1"/>
        <v>-12711.458587080901</v>
      </c>
      <c r="N39" s="235">
        <f t="shared" si="1"/>
        <v>-11948.554226453614</v>
      </c>
    </row>
    <row r="40" spans="1:14">
      <c r="A40" s="114"/>
      <c r="B40" t="s">
        <v>1260</v>
      </c>
      <c r="C40" s="235">
        <f>IFERROR(((C39*C28)/C32)+((C39*C29)/C33)+((C39*C30)/C34),0)</f>
        <v>-15924.202074184008</v>
      </c>
      <c r="D40" s="235">
        <f t="shared" ref="D40:N40" si="2">IFERROR(((D39*D28)/D32)+((D39*D29)/D33)+((D39*D30)/D34),0)</f>
        <v>-14295.340094270015</v>
      </c>
      <c r="E40" s="235">
        <f t="shared" si="2"/>
        <v>-13173.488885245792</v>
      </c>
      <c r="F40" s="235">
        <f t="shared" si="2"/>
        <v>-12905.703954028526</v>
      </c>
      <c r="G40" s="235">
        <f t="shared" si="2"/>
        <v>-14954.735493518359</v>
      </c>
      <c r="H40" s="235">
        <f t="shared" si="2"/>
        <v>-16423.501112828311</v>
      </c>
      <c r="I40" s="235">
        <f t="shared" si="2"/>
        <v>-16008.743779575541</v>
      </c>
      <c r="J40" s="235">
        <f t="shared" si="2"/>
        <v>-16742.838103500908</v>
      </c>
      <c r="K40" s="235">
        <f t="shared" si="2"/>
        <v>-14378.045083760289</v>
      </c>
      <c r="L40" s="235">
        <f t="shared" si="2"/>
        <v>-15144.224206058136</v>
      </c>
      <c r="M40" s="235">
        <f t="shared" si="2"/>
        <v>-12439.815319239666</v>
      </c>
      <c r="N40" s="235">
        <f t="shared" si="2"/>
        <v>-11693.214188658831</v>
      </c>
    </row>
    <row r="41" spans="1:14" ht="15.6">
      <c r="A41" s="114"/>
      <c r="B41" s="513">
        <v>2018</v>
      </c>
      <c r="C41" s="235"/>
      <c r="D41" s="235"/>
      <c r="E41" s="235"/>
      <c r="F41" s="235"/>
      <c r="G41" s="235"/>
      <c r="H41" s="235"/>
      <c r="I41" s="235"/>
      <c r="J41" s="235"/>
      <c r="K41" s="235"/>
      <c r="L41" s="235"/>
      <c r="M41" s="235"/>
      <c r="N41" s="235"/>
    </row>
    <row r="42" spans="1:14">
      <c r="A42" s="114"/>
      <c r="B42" t="s">
        <v>1249</v>
      </c>
      <c r="C42" s="532">
        <v>1.0219163778246501</v>
      </c>
      <c r="D42" s="532">
        <v>1.0219163778246501</v>
      </c>
      <c r="E42" s="532">
        <v>1.0219163778246501</v>
      </c>
      <c r="F42" s="532">
        <v>1.0219163778246501</v>
      </c>
      <c r="G42" s="532">
        <v>1.0219163778246501</v>
      </c>
      <c r="H42" s="532">
        <v>1.0219163778246501</v>
      </c>
      <c r="I42" s="532">
        <v>1.0219163778246501</v>
      </c>
      <c r="J42" s="532">
        <v>1.0219163778246501</v>
      </c>
      <c r="K42" s="532">
        <v>1.0219163778246501</v>
      </c>
      <c r="L42" s="532">
        <v>1.0219163778246501</v>
      </c>
      <c r="M42" s="532">
        <v>1.0219163778246501</v>
      </c>
      <c r="N42" s="532">
        <v>1.0219163778246501</v>
      </c>
    </row>
    <row r="43" spans="1:14">
      <c r="A43" s="114"/>
      <c r="B43" t="s">
        <v>1250</v>
      </c>
      <c r="C43" s="532">
        <v>1.0348593998317299</v>
      </c>
      <c r="D43" s="532">
        <v>1.0348593998317299</v>
      </c>
      <c r="E43" s="532">
        <v>1.0348593998317299</v>
      </c>
      <c r="F43" s="532">
        <v>1.0348593998317299</v>
      </c>
      <c r="G43" s="532">
        <v>1.0348593998317299</v>
      </c>
      <c r="H43" s="532">
        <v>1.0348593998317299</v>
      </c>
      <c r="I43" s="532">
        <v>1.0348593998317299</v>
      </c>
      <c r="J43" s="532">
        <v>1.0348593998317299</v>
      </c>
      <c r="K43" s="532">
        <v>1.0348593998317299</v>
      </c>
      <c r="L43" s="532">
        <v>1.0348593998317299</v>
      </c>
      <c r="M43" s="532">
        <v>1.0348593998317299</v>
      </c>
      <c r="N43" s="532">
        <v>1.0348593998317299</v>
      </c>
    </row>
    <row r="44" spans="1:14">
      <c r="A44" s="114"/>
      <c r="B44" t="s">
        <v>1251</v>
      </c>
      <c r="C44" s="532">
        <v>1.0646691706740199</v>
      </c>
      <c r="D44" s="532">
        <v>1.0646691706740199</v>
      </c>
      <c r="E44" s="532">
        <v>1.0646691706740199</v>
      </c>
      <c r="F44" s="532">
        <v>1.0646691706740199</v>
      </c>
      <c r="G44" s="532">
        <v>1.0646691706740199</v>
      </c>
      <c r="H44" s="532">
        <v>1.0646691706740199</v>
      </c>
      <c r="I44" s="532">
        <v>1.0646691706740199</v>
      </c>
      <c r="J44" s="532">
        <v>1.0646691706740199</v>
      </c>
      <c r="K44" s="532">
        <v>1.0646691706740199</v>
      </c>
      <c r="L44" s="532">
        <v>1.0646691706740199</v>
      </c>
      <c r="M44" s="532">
        <v>1.0646691706740199</v>
      </c>
      <c r="N44" s="532">
        <v>1.0646691706740199</v>
      </c>
    </row>
    <row r="45" spans="1:14">
      <c r="A45" s="114"/>
      <c r="B45" t="s">
        <v>1255</v>
      </c>
      <c r="C45" s="235">
        <f>HLOOKUP($B9,Summary_CP!$A$5:$N$161,119+C$9,FALSE)*1000</f>
        <v>745911.94566601235</v>
      </c>
      <c r="D45" s="235">
        <f>HLOOKUP($B9,Summary_CP!$A$5:$N$161,119+D$9,FALSE)*1000</f>
        <v>669616.06321520871</v>
      </c>
      <c r="E45" s="235">
        <f>HLOOKUP($B9,Summary_CP!$A$5:$N$161,119+E$9,FALSE)*1000</f>
        <v>617127.79836444475</v>
      </c>
      <c r="F45" s="235">
        <f>HLOOKUP($B9,Summary_CP!$A$5:$N$161,119+F$9,FALSE)*1000</f>
        <v>607713.44733245473</v>
      </c>
      <c r="G45" s="235">
        <f>HLOOKUP($B9,Summary_CP!$A$5:$N$161,119+G$9,FALSE)*1000</f>
        <v>703433.50413311669</v>
      </c>
      <c r="H45" s="235">
        <f>HLOOKUP($B9,Summary_CP!$A$5:$N$161,119+H$9,FALSE)*1000</f>
        <v>771229.28889709665</v>
      </c>
      <c r="I45" s="235">
        <f>HLOOKUP($B9,Summary_CP!$A$5:$N$161,119+I$9,FALSE)*1000</f>
        <v>753370.70692768029</v>
      </c>
      <c r="J45" s="235">
        <f>HLOOKUP($B9,Summary_CP!$A$5:$N$161,119+J$9,FALSE)*1000</f>
        <v>787936.58582382218</v>
      </c>
      <c r="K45" s="235">
        <f>HLOOKUP($B9,Summary_CP!$A$5:$N$161,119+K$9,FALSE)*1000</f>
        <v>676656.09522630903</v>
      </c>
      <c r="L45" s="235">
        <f>HLOOKUP($B9,Summary_CP!$A$5:$N$161,119+L$9,FALSE)*1000</f>
        <v>711075.630955245</v>
      </c>
      <c r="M45" s="235">
        <f>HLOOKUP($B9,Summary_CP!$A$5:$N$161,119+M$9,FALSE)*1000</f>
        <v>583307.69179634785</v>
      </c>
      <c r="N45" s="235">
        <f>HLOOKUP($B9,Summary_CP!$A$5:$N$161,119+N$9,FALSE)*1000</f>
        <v>548697.51494559681</v>
      </c>
    </row>
    <row r="46" spans="1:14">
      <c r="A46" s="114"/>
      <c r="B46" t="s">
        <v>1256</v>
      </c>
      <c r="C46" s="107">
        <f>(C45*C28*C42)+(C45*C29*C43)+(C45*C30*C44)</f>
        <v>762259.63369114848</v>
      </c>
      <c r="D46" s="107">
        <f t="shared" ref="D46:N46" si="3">(D45*D28*D42)+(D45*D29*D43)+(D45*D30*D44)</f>
        <v>684291.62185408792</v>
      </c>
      <c r="E46" s="107">
        <f t="shared" si="3"/>
        <v>630653.00435949443</v>
      </c>
      <c r="F46" s="107">
        <f t="shared" si="3"/>
        <v>621032.32485331339</v>
      </c>
      <c r="G46" s="107">
        <f t="shared" si="3"/>
        <v>718850.21858421562</v>
      </c>
      <c r="H46" s="107">
        <f t="shared" si="3"/>
        <v>788131.84138200164</v>
      </c>
      <c r="I46" s="107">
        <f t="shared" si="3"/>
        <v>769881.86398273101</v>
      </c>
      <c r="J46" s="107">
        <f t="shared" si="3"/>
        <v>805205.30174060189</v>
      </c>
      <c r="K46" s="107">
        <f t="shared" si="3"/>
        <v>691485.94586664124</v>
      </c>
      <c r="L46" s="107">
        <f t="shared" si="3"/>
        <v>726659.83314516162</v>
      </c>
      <c r="M46" s="107">
        <f t="shared" si="3"/>
        <v>596091.68355778116</v>
      </c>
      <c r="N46" s="107">
        <f t="shared" si="3"/>
        <v>560722.97699459107</v>
      </c>
    </row>
    <row r="47" spans="1:14">
      <c r="A47" s="114"/>
      <c r="B47" t="s">
        <v>1257</v>
      </c>
      <c r="C47" s="235">
        <f>BLOUNTSTOWN!C46</f>
        <v>1187849.8564563922</v>
      </c>
      <c r="D47" s="235">
        <f>BLOUNTSTOWN!D46</f>
        <v>1012049.3914328514</v>
      </c>
      <c r="E47" s="235">
        <f>BLOUNTSTOWN!E46</f>
        <v>952115.03381284571</v>
      </c>
      <c r="F47" s="235">
        <f>BLOUNTSTOWN!F46</f>
        <v>964452.787497274</v>
      </c>
      <c r="G47" s="235">
        <f>BLOUNTSTOWN!G46</f>
        <v>1071028.6042288018</v>
      </c>
      <c r="H47" s="235">
        <f>BLOUNTSTOWN!H46</f>
        <v>1144619.2235030248</v>
      </c>
      <c r="I47" s="235">
        <f>BLOUNTSTOWN!I46</f>
        <v>1139032.5608989701</v>
      </c>
      <c r="J47" s="235">
        <f>BLOUNTSTOWN!J46</f>
        <v>1275574.8512023324</v>
      </c>
      <c r="K47" s="235">
        <f>BLOUNTSTOWN!K46</f>
        <v>1044148.3639893566</v>
      </c>
      <c r="L47" s="235">
        <f>BLOUNTSTOWN!L46</f>
        <v>1072810.0069048663</v>
      </c>
      <c r="M47" s="235">
        <f>BLOUNTSTOWN!M46</f>
        <v>926247.14475638454</v>
      </c>
      <c r="N47" s="235">
        <f>BLOUNTSTOWN!N46</f>
        <v>884985.90326947428</v>
      </c>
    </row>
    <row r="48" spans="1:14">
      <c r="A48" s="114"/>
      <c r="B48" t="s">
        <v>1258</v>
      </c>
      <c r="C48" s="235">
        <f>'2018 CP (FNG)'!B12*1000-C47</f>
        <v>-25475.045530116186</v>
      </c>
      <c r="D48" s="235">
        <f>'2018 CP (FNG)'!C12*1000-D47</f>
        <v>-21704.766966417432</v>
      </c>
      <c r="E48" s="235">
        <f>'2018 CP (FNG)'!D12*1000-E47</f>
        <v>-20419.393667015363</v>
      </c>
      <c r="F48" s="235">
        <f>'2018 CP (FNG)'!E12*1000-F47</f>
        <v>-20683.993469037232</v>
      </c>
      <c r="G48" s="235">
        <f>'2018 CP (FNG)'!F12*1000-G47</f>
        <v>-22969.655894206604</v>
      </c>
      <c r="H48" s="235">
        <f>'2018 CP (FNG)'!G12*1000-H47</f>
        <v>-24547.906180983176</v>
      </c>
      <c r="I48" s="235">
        <f>'2018 CP (FNG)'!H12*1000-I47</f>
        <v>-24428.092651161831</v>
      </c>
      <c r="J48" s="235">
        <f>'2018 CP (FNG)'!I12*1000-J47</f>
        <v>-27356.426601246698</v>
      </c>
      <c r="K48" s="235">
        <f>'2018 CP (FNG)'!J12*1000-K47</f>
        <v>-22393.172814094694</v>
      </c>
      <c r="L48" s="235">
        <f>'2018 CP (FNG)'!K12*1000-L47</f>
        <v>-23007.860482129268</v>
      </c>
      <c r="M48" s="235">
        <f>'2018 CP (FNG)'!L12*1000-M47</f>
        <v>-19864.621826197603</v>
      </c>
      <c r="N48" s="235">
        <f>'2018 CP (FNG)'!M12*1000-N47</f>
        <v>-18979.718738660915</v>
      </c>
    </row>
    <row r="49" spans="1:34">
      <c r="A49" s="114"/>
      <c r="B49" t="s">
        <v>1259</v>
      </c>
      <c r="C49" s="235">
        <f>C46*C48/C47</f>
        <v>-16347.688025136011</v>
      </c>
      <c r="D49" s="235">
        <f t="shared" ref="D49:N49" si="4">D46*D48/D47</f>
        <v>-14675.558638879196</v>
      </c>
      <c r="E49" s="235">
        <f t="shared" si="4"/>
        <v>-13525.205995049726</v>
      </c>
      <c r="F49" s="235">
        <f t="shared" si="4"/>
        <v>-13318.877520858687</v>
      </c>
      <c r="G49" s="235">
        <f t="shared" si="4"/>
        <v>-15416.714451099067</v>
      </c>
      <c r="H49" s="235">
        <f t="shared" si="4"/>
        <v>-16902.552484904831</v>
      </c>
      <c r="I49" s="235">
        <f t="shared" si="4"/>
        <v>-16511.157055050549</v>
      </c>
      <c r="J49" s="235">
        <f t="shared" si="4"/>
        <v>-17268.715916779591</v>
      </c>
      <c r="K49" s="235">
        <f t="shared" si="4"/>
        <v>-14829.850640332244</v>
      </c>
      <c r="L49" s="235">
        <f t="shared" si="4"/>
        <v>-15584.202189916556</v>
      </c>
      <c r="M49" s="235">
        <f t="shared" si="4"/>
        <v>-12783.991761433339</v>
      </c>
      <c r="N49" s="235">
        <f t="shared" si="4"/>
        <v>-12025.462048994266</v>
      </c>
    </row>
    <row r="50" spans="1:34">
      <c r="A50" s="114"/>
      <c r="B50" t="s">
        <v>1260</v>
      </c>
      <c r="C50" s="235">
        <f>((C49*C28)/C42)+((C49*C29)/C43)+((C49*C30)/C44)</f>
        <v>-15997.089761821098</v>
      </c>
      <c r="D50" s="235">
        <f t="shared" ref="D50:N50" si="5">((D49*D28)/D42)+((D49*D29)/D43)+((D49*D30)/D44)</f>
        <v>-14360.821450106327</v>
      </c>
      <c r="E50" s="235">
        <f t="shared" si="5"/>
        <v>-13235.139673405358</v>
      </c>
      <c r="F50" s="235">
        <f t="shared" si="5"/>
        <v>-13033.236192192688</v>
      </c>
      <c r="G50" s="235">
        <f t="shared" si="5"/>
        <v>-15086.082174273961</v>
      </c>
      <c r="H50" s="235">
        <f t="shared" si="5"/>
        <v>-16540.054403360515</v>
      </c>
      <c r="I50" s="235">
        <f t="shared" si="5"/>
        <v>-16157.052977463571</v>
      </c>
      <c r="J50" s="235">
        <f t="shared" si="5"/>
        <v>-16898.364965575216</v>
      </c>
      <c r="K50" s="235">
        <f t="shared" si="5"/>
        <v>-14511.80445106526</v>
      </c>
      <c r="L50" s="235">
        <f t="shared" si="5"/>
        <v>-15249.977912175744</v>
      </c>
      <c r="M50" s="235">
        <f t="shared" si="5"/>
        <v>-12509.821780767012</v>
      </c>
      <c r="N50" s="235">
        <f t="shared" si="5"/>
        <v>-11767.559763150901</v>
      </c>
    </row>
    <row r="51" spans="1:34">
      <c r="A51" s="114"/>
    </row>
    <row r="52" spans="1:34" ht="17.399999999999999">
      <c r="A52" s="147" t="s">
        <v>425</v>
      </c>
    </row>
    <row r="53" spans="1:34" ht="15.6">
      <c r="A53" s="113"/>
      <c r="B53" s="146" t="str">
        <f>"PRIOR - "&amp;MANUAL!$B$9</f>
        <v>PRIOR - 2016</v>
      </c>
      <c r="C53" s="5"/>
      <c r="D53" s="5"/>
      <c r="E53" s="5"/>
      <c r="F53" s="5"/>
      <c r="G53" s="5"/>
      <c r="H53" s="5"/>
      <c r="I53" s="5"/>
      <c r="J53" s="5"/>
      <c r="K53" s="5"/>
      <c r="L53" s="5"/>
      <c r="M53" s="5"/>
      <c r="N53" s="5"/>
    </row>
    <row r="54" spans="1:34" s="12" customFormat="1" ht="15.6">
      <c r="A54" s="111"/>
      <c r="B54" s="149" t="s">
        <v>432</v>
      </c>
      <c r="C54" s="107">
        <f>HLOOKUP($B9,Summary_CP!$A$5:$N$161,95+C$9,FALSE)*1000</f>
        <v>744423.79360659269</v>
      </c>
      <c r="D54" s="107">
        <f>HLOOKUP($B9,Summary_CP!$A$5:$N$161,95+D$9,FALSE)*1000</f>
        <v>668279.51810135087</v>
      </c>
      <c r="E54" s="107">
        <f>HLOOKUP($B9,Summary_CP!$A$5:$N$161,95+E$9,FALSE)*1000</f>
        <v>615771.4735328746</v>
      </c>
      <c r="F54" s="107">
        <f>HLOOKUP($B9,Summary_CP!$A$5:$N$161,95+F$9,FALSE)*1000</f>
        <v>600154.53483940358</v>
      </c>
      <c r="G54" s="107">
        <f>HLOOKUP($B9,Summary_CP!$A$5:$N$161,95+G$9,FALSE)*1000</f>
        <v>696314.11686990049</v>
      </c>
      <c r="H54" s="107">
        <f>HLOOKUP($B9,Summary_CP!$A$5:$N$161,95+H$9,FALSE)*1000</f>
        <v>765847.39959939185</v>
      </c>
      <c r="I54" s="107">
        <f>HLOOKUP($B9,Summary_CP!$A$5:$N$161,95+I$9,FALSE)*1000</f>
        <v>744904.02897998795</v>
      </c>
      <c r="J54" s="107">
        <f>HLOOKUP($B9,Summary_CP!$A$5:$N$161,95+J$9,FALSE)*1000</f>
        <v>779042.35336340778</v>
      </c>
      <c r="K54" s="107">
        <f>HLOOKUP($B9,Summary_CP!$A$5:$N$161,95+K$9,FALSE)*1000</f>
        <v>668999.71586675802</v>
      </c>
      <c r="L54" s="107">
        <f>HLOOKUP($B9,Summary_CP!$A$5:$N$161,95+L$9,FALSE)*1000</f>
        <v>706270.43479170382</v>
      </c>
      <c r="M54" s="107">
        <f>HLOOKUP($B9,Summary_CP!$A$5:$N$161,95+M$9,FALSE)*1000</f>
        <v>580934.50240306312</v>
      </c>
      <c r="N54" s="107">
        <f>HLOOKUP($B9,Summary_CP!$A$5:$N$161,95+N$9,FALSE)*1000</f>
        <v>545672.68567012821</v>
      </c>
      <c r="P54" s="152">
        <f>AVERAGE(C54:N54)</f>
        <v>676384.54646871344</v>
      </c>
    </row>
    <row r="55" spans="1:34" s="12" customFormat="1" ht="15.6">
      <c r="A55" s="111"/>
      <c r="B55" s="149" t="s">
        <v>430</v>
      </c>
      <c r="C55" s="107">
        <f>C56</f>
        <v>751351</v>
      </c>
      <c r="D55" s="107">
        <f t="shared" ref="D55:N55" si="6">D56</f>
        <v>672007</v>
      </c>
      <c r="E55" s="107">
        <f t="shared" si="6"/>
        <v>618802</v>
      </c>
      <c r="F55" s="107">
        <f t="shared" si="6"/>
        <v>628268</v>
      </c>
      <c r="G55" s="107">
        <f t="shared" si="6"/>
        <v>717500</v>
      </c>
      <c r="H55" s="107">
        <f t="shared" si="6"/>
        <v>773832</v>
      </c>
      <c r="I55" s="107">
        <f t="shared" si="6"/>
        <v>778453</v>
      </c>
      <c r="J55" s="107">
        <f t="shared" si="6"/>
        <v>790759</v>
      </c>
      <c r="K55" s="107">
        <f t="shared" si="6"/>
        <v>755733</v>
      </c>
      <c r="L55" s="107">
        <f t="shared" si="6"/>
        <v>710798</v>
      </c>
      <c r="M55" s="107">
        <f t="shared" si="6"/>
        <v>584560</v>
      </c>
      <c r="N55" s="107">
        <f t="shared" si="6"/>
        <v>552739</v>
      </c>
      <c r="P55" s="152">
        <f>AVERAGE(C55:N55)</f>
        <v>694566.83333333337</v>
      </c>
    </row>
    <row r="56" spans="1:34" s="106" customFormat="1">
      <c r="A56" s="109"/>
      <c r="B56" s="149" t="s">
        <v>133</v>
      </c>
      <c r="C56" s="107">
        <f>HLOOKUP($B$9,'Summary_NCP '!$C$5:$M$677,95+C$9,FALSE)*1000</f>
        <v>751351</v>
      </c>
      <c r="D56" s="107">
        <f>HLOOKUP($B$9,'Summary_NCP '!$C$5:$M$677,95+D$9,FALSE)*1000</f>
        <v>672007</v>
      </c>
      <c r="E56" s="107">
        <f>HLOOKUP($B$9,'Summary_NCP '!$C$5:$M$677,95+E$9,FALSE)*1000</f>
        <v>618802</v>
      </c>
      <c r="F56" s="107">
        <f>HLOOKUP($B$9,'Summary_NCP '!$C$5:$M$677,95+F$9,FALSE)*1000</f>
        <v>628268</v>
      </c>
      <c r="G56" s="107">
        <f>HLOOKUP($B$9,'Summary_NCP '!$C$5:$M$677,95+G$9,FALSE)*1000</f>
        <v>717500</v>
      </c>
      <c r="H56" s="107">
        <f>HLOOKUP($B$9,'Summary_NCP '!$C$5:$M$677,95+H$9,FALSE)*1000</f>
        <v>773832</v>
      </c>
      <c r="I56" s="107">
        <f>HLOOKUP($B$9,'Summary_NCP '!$C$5:$M$677,95+I$9,FALSE)*1000</f>
        <v>778453</v>
      </c>
      <c r="J56" s="107">
        <f>HLOOKUP($B$9,'Summary_NCP '!$C$5:$M$677,95+J$9,FALSE)*1000</f>
        <v>790759</v>
      </c>
      <c r="K56" s="107">
        <f>HLOOKUP($B$9,'Summary_NCP '!$C$5:$M$677,95+K$9,FALSE)*1000</f>
        <v>755733</v>
      </c>
      <c r="L56" s="107">
        <f>HLOOKUP($B$9,'Summary_NCP '!$C$5:$M$677,95+L$9,FALSE)*1000</f>
        <v>710798</v>
      </c>
      <c r="M56" s="107">
        <f>HLOOKUP($B$9,'Summary_NCP '!$C$5:$M$677,95+M$9,FALSE)*1000</f>
        <v>584560</v>
      </c>
      <c r="N56" s="107">
        <f>HLOOKUP($B$9,'Summary_NCP '!$C$5:$M$677,95+N$9,FALSE)*1000</f>
        <v>552739</v>
      </c>
      <c r="P56" s="152">
        <f>AVERAGE(C56:N56)</f>
        <v>694566.83333333337</v>
      </c>
    </row>
    <row r="57" spans="1:34" s="106" customFormat="1" ht="16.5" customHeight="1">
      <c r="A57" s="109"/>
      <c r="B57" s="108"/>
      <c r="C57" s="107"/>
      <c r="D57" s="107"/>
      <c r="E57" s="107"/>
      <c r="F57" s="107"/>
      <c r="G57" s="107"/>
      <c r="H57" s="107"/>
      <c r="I57" s="107"/>
      <c r="J57" s="107"/>
      <c r="K57" s="107"/>
      <c r="L57" s="107"/>
      <c r="M57" s="107"/>
      <c r="N57" s="107"/>
    </row>
    <row r="58" spans="1:34" s="106" customFormat="1" ht="16.5" customHeight="1">
      <c r="A58" s="109"/>
      <c r="B58" s="146" t="str">
        <f>"TEST - "&amp;MANUAL!$B$10</f>
        <v>TEST - 2017</v>
      </c>
      <c r="C58" s="107"/>
      <c r="D58" s="107"/>
      <c r="E58" s="107"/>
      <c r="F58" s="107"/>
      <c r="G58" s="107"/>
      <c r="H58" s="107"/>
      <c r="I58" s="107"/>
      <c r="J58" s="107"/>
      <c r="K58" s="107"/>
      <c r="L58" s="107"/>
      <c r="M58" s="107"/>
      <c r="N58" s="107"/>
    </row>
    <row r="59" spans="1:34" s="106" customFormat="1" ht="16.5" customHeight="1">
      <c r="A59" s="109"/>
      <c r="B59" s="149" t="s">
        <v>432</v>
      </c>
      <c r="C59" s="107">
        <f>C35+C40</f>
        <v>729243.6675621185</v>
      </c>
      <c r="D59" s="107">
        <f>D35+D40</f>
        <v>654650.46165759023</v>
      </c>
      <c r="E59" s="107">
        <f t="shared" ref="E59:N59" si="7">E35+E40</f>
        <v>603275.64951211831</v>
      </c>
      <c r="F59" s="107">
        <f t="shared" si="7"/>
        <v>591012.52546677541</v>
      </c>
      <c r="G59" s="107">
        <f t="shared" si="7"/>
        <v>684847.26003287057</v>
      </c>
      <c r="H59" s="107">
        <f t="shared" si="7"/>
        <v>752108.90504498081</v>
      </c>
      <c r="I59" s="107">
        <f t="shared" si="7"/>
        <v>733115.22753193637</v>
      </c>
      <c r="J59" s="107">
        <f t="shared" si="7"/>
        <v>766732.83892759238</v>
      </c>
      <c r="K59" s="107">
        <f t="shared" si="7"/>
        <v>658437.90981861157</v>
      </c>
      <c r="L59" s="107">
        <f t="shared" si="7"/>
        <v>693524.83414618904</v>
      </c>
      <c r="M59" s="107">
        <f t="shared" si="7"/>
        <v>569677.30658885243</v>
      </c>
      <c r="N59" s="107">
        <f t="shared" si="7"/>
        <v>535486.95004009875</v>
      </c>
      <c r="P59" s="152">
        <f>AVERAGE(C59:N59)</f>
        <v>664342.7946941444</v>
      </c>
    </row>
    <row r="60" spans="1:34" s="106" customFormat="1" ht="16.5" customHeight="1">
      <c r="A60" s="109"/>
      <c r="B60" s="149" t="s">
        <v>430</v>
      </c>
      <c r="C60" s="107">
        <f>C61</f>
        <v>752102</v>
      </c>
      <c r="D60" s="107">
        <f t="shared" ref="D60:N60" si="8">D61</f>
        <v>672677</v>
      </c>
      <c r="E60" s="107">
        <f t="shared" si="8"/>
        <v>619483</v>
      </c>
      <c r="F60" s="107">
        <f t="shared" si="8"/>
        <v>632208</v>
      </c>
      <c r="G60" s="107">
        <f t="shared" si="8"/>
        <v>721094</v>
      </c>
      <c r="H60" s="107">
        <f t="shared" si="8"/>
        <v>776545</v>
      </c>
      <c r="I60" s="107">
        <f t="shared" si="8"/>
        <v>782863</v>
      </c>
      <c r="J60" s="107">
        <f t="shared" si="8"/>
        <v>795259</v>
      </c>
      <c r="K60" s="107">
        <f t="shared" si="8"/>
        <v>760044</v>
      </c>
      <c r="L60" s="107">
        <f t="shared" si="8"/>
        <v>713212</v>
      </c>
      <c r="M60" s="107">
        <f t="shared" si="8"/>
        <v>585750</v>
      </c>
      <c r="N60" s="107">
        <f t="shared" si="8"/>
        <v>554266</v>
      </c>
      <c r="P60" s="152">
        <f>AVERAGE(C60:N60)</f>
        <v>697125.25</v>
      </c>
      <c r="U60" s="522"/>
      <c r="V60" s="523"/>
      <c r="W60" s="523"/>
      <c r="X60" s="523"/>
      <c r="Y60" s="523"/>
      <c r="Z60" s="523"/>
      <c r="AA60" s="523"/>
      <c r="AB60" s="523"/>
      <c r="AC60" s="523"/>
      <c r="AD60" s="523"/>
      <c r="AE60" s="523"/>
      <c r="AF60" s="523"/>
      <c r="AG60" s="523"/>
      <c r="AH60"/>
    </row>
    <row r="61" spans="1:34" s="106" customFormat="1" ht="16.5" customHeight="1">
      <c r="A61" s="109"/>
      <c r="B61" s="149" t="s">
        <v>133</v>
      </c>
      <c r="C61" s="107">
        <f>HLOOKUP($B$9,'Summary_NCP '!$C$5:$M$677,107+C$9,FALSE)*1000</f>
        <v>752102</v>
      </c>
      <c r="D61" s="107">
        <f>HLOOKUP($B$9,'Summary_NCP '!$C$5:$M$677,107+D$9,FALSE)*1000</f>
        <v>672677</v>
      </c>
      <c r="E61" s="107">
        <f>HLOOKUP($B$9,'Summary_NCP '!$C$5:$M$677,107+E$9,FALSE)*1000</f>
        <v>619483</v>
      </c>
      <c r="F61" s="107">
        <f>HLOOKUP($B$9,'Summary_NCP '!$C$5:$M$677,107+F$9,FALSE)*1000</f>
        <v>632208</v>
      </c>
      <c r="G61" s="107">
        <f>HLOOKUP($B$9,'Summary_NCP '!$C$5:$M$677,107+G$9,FALSE)*1000</f>
        <v>721094</v>
      </c>
      <c r="H61" s="107">
        <f>HLOOKUP($B$9,'Summary_NCP '!$C$5:$M$677,107+H$9,FALSE)*1000</f>
        <v>776545</v>
      </c>
      <c r="I61" s="107">
        <f>HLOOKUP($B$9,'Summary_NCP '!$C$5:$M$677,107+I$9,FALSE)*1000</f>
        <v>782863</v>
      </c>
      <c r="J61" s="107">
        <f>HLOOKUP($B$9,'Summary_NCP '!$C$5:$M$677,107+J$9,FALSE)*1000</f>
        <v>795259</v>
      </c>
      <c r="K61" s="107">
        <f>HLOOKUP($B$9,'Summary_NCP '!$C$5:$M$677,107+K$9,FALSE)*1000</f>
        <v>760044</v>
      </c>
      <c r="L61" s="107">
        <f>HLOOKUP($B$9,'Summary_NCP '!$C$5:$M$677,107+L$9,FALSE)*1000</f>
        <v>713212</v>
      </c>
      <c r="M61" s="107">
        <f>HLOOKUP($B$9,'Summary_NCP '!$C$5:$M$677,107+M$9,FALSE)*1000</f>
        <v>585750</v>
      </c>
      <c r="N61" s="107">
        <f>HLOOKUP($B$9,'Summary_NCP '!$C$5:$M$677,107+N$9,FALSE)*1000</f>
        <v>554266</v>
      </c>
      <c r="P61" s="152">
        <f>AVERAGE(C61:N61)</f>
        <v>697125.25</v>
      </c>
      <c r="U61" s="206"/>
      <c r="V61" s="523"/>
      <c r="W61" s="523"/>
      <c r="X61" s="523"/>
      <c r="Y61" s="523"/>
      <c r="Z61" s="523"/>
      <c r="AA61" s="523"/>
      <c r="AB61" s="523"/>
      <c r="AC61" s="523"/>
      <c r="AD61" s="523"/>
      <c r="AE61" s="523"/>
      <c r="AF61" s="523"/>
      <c r="AG61" s="523"/>
      <c r="AH61"/>
    </row>
    <row r="62" spans="1:34" s="106" customFormat="1" ht="16.5" customHeight="1">
      <c r="A62" s="109"/>
      <c r="B62" s="149"/>
      <c r="C62" s="107"/>
      <c r="D62" s="107"/>
      <c r="E62" s="107"/>
      <c r="F62" s="107"/>
      <c r="G62" s="107"/>
      <c r="H62" s="107"/>
      <c r="I62" s="107"/>
      <c r="J62" s="107"/>
      <c r="K62" s="107"/>
      <c r="L62" s="107"/>
      <c r="M62" s="107"/>
      <c r="N62" s="107"/>
      <c r="P62" s="152"/>
      <c r="U62" s="206"/>
      <c r="V62" s="523"/>
      <c r="W62" s="523"/>
      <c r="X62" s="523"/>
      <c r="Y62" s="523"/>
      <c r="Z62" s="523"/>
      <c r="AA62" s="523"/>
      <c r="AB62" s="523"/>
      <c r="AC62" s="523"/>
      <c r="AD62" s="523"/>
      <c r="AE62" s="523"/>
      <c r="AF62" s="523"/>
      <c r="AG62" s="523"/>
      <c r="AH62"/>
    </row>
    <row r="63" spans="1:34" s="106" customFormat="1" ht="16.5" customHeight="1">
      <c r="A63" s="109"/>
      <c r="B63" s="149"/>
      <c r="C63" s="107"/>
      <c r="D63" s="107"/>
      <c r="E63" s="107"/>
      <c r="F63" s="107"/>
      <c r="G63" s="107"/>
      <c r="H63" s="107"/>
      <c r="I63" s="107"/>
      <c r="J63" s="107"/>
      <c r="K63" s="107"/>
      <c r="L63" s="107"/>
      <c r="M63" s="107"/>
      <c r="N63" s="107"/>
      <c r="P63" s="152"/>
      <c r="U63" s="206"/>
      <c r="V63" s="523"/>
      <c r="W63" s="523"/>
      <c r="X63" s="523"/>
      <c r="Y63" s="523"/>
      <c r="Z63" s="523"/>
      <c r="AA63" s="523"/>
      <c r="AB63" s="523"/>
      <c r="AC63" s="523"/>
      <c r="AD63" s="523"/>
      <c r="AE63" s="523"/>
      <c r="AF63" s="523"/>
      <c r="AG63" s="523"/>
      <c r="AH63"/>
    </row>
    <row r="64" spans="1:34" s="106" customFormat="1" ht="16.5" customHeight="1">
      <c r="A64" s="109"/>
      <c r="B64" s="149"/>
      <c r="C64" s="107"/>
      <c r="D64" s="107"/>
      <c r="E64" s="107"/>
      <c r="F64" s="107"/>
      <c r="G64" s="107"/>
      <c r="H64" s="107"/>
      <c r="I64" s="107"/>
      <c r="J64" s="107"/>
      <c r="K64" s="107"/>
      <c r="L64" s="107"/>
      <c r="M64" s="107"/>
      <c r="N64" s="107"/>
      <c r="P64" s="152"/>
      <c r="U64" s="206"/>
      <c r="V64" s="523"/>
      <c r="W64" s="523"/>
      <c r="X64" s="523"/>
      <c r="Y64" s="523"/>
      <c r="Z64" s="523"/>
      <c r="AA64" s="523"/>
      <c r="AB64" s="523"/>
      <c r="AC64" s="523"/>
      <c r="AD64" s="523"/>
      <c r="AE64" s="523"/>
      <c r="AF64" s="523"/>
      <c r="AG64" s="523"/>
      <c r="AH64"/>
    </row>
    <row r="65" spans="1:34" s="106" customFormat="1" ht="16.5" customHeight="1">
      <c r="A65" s="109"/>
      <c r="B65" s="149"/>
      <c r="C65" s="107"/>
      <c r="D65" s="107"/>
      <c r="E65" s="107"/>
      <c r="F65" s="107"/>
      <c r="G65" s="107"/>
      <c r="H65" s="107"/>
      <c r="I65" s="107"/>
      <c r="J65" s="107"/>
      <c r="K65" s="107"/>
      <c r="L65" s="107"/>
      <c r="M65" s="107"/>
      <c r="N65" s="107"/>
      <c r="P65" s="152"/>
      <c r="U65" s="206"/>
      <c r="V65" s="524"/>
      <c r="W65" s="524"/>
      <c r="X65" s="524"/>
      <c r="Y65" s="524"/>
      <c r="Z65" s="524"/>
      <c r="AA65" s="524"/>
      <c r="AB65" s="524"/>
      <c r="AC65" s="524"/>
      <c r="AD65" s="524"/>
      <c r="AE65" s="524"/>
      <c r="AF65" s="524"/>
      <c r="AG65" s="524"/>
      <c r="AH65"/>
    </row>
    <row r="66" spans="1:34" s="106" customFormat="1" ht="16.5" customHeight="1">
      <c r="A66" s="109"/>
      <c r="B66" s="146" t="str">
        <f>"SUBSEQUENT - "&amp;MANUAL!$B$11</f>
        <v>SUBSEQUENT - 2018</v>
      </c>
      <c r="C66" s="107"/>
      <c r="D66" s="107"/>
      <c r="E66" s="107"/>
      <c r="F66" s="107"/>
      <c r="G66" s="107"/>
      <c r="H66" s="107"/>
      <c r="I66" s="107"/>
      <c r="J66" s="107"/>
      <c r="K66" s="107"/>
      <c r="L66" s="107"/>
      <c r="M66" s="107"/>
      <c r="N66" s="107"/>
      <c r="U66" s="206"/>
      <c r="V66" s="524"/>
      <c r="W66" s="524"/>
      <c r="X66" s="524"/>
      <c r="Y66" s="524"/>
      <c r="Z66" s="524"/>
      <c r="AA66" s="524"/>
      <c r="AB66" s="524"/>
      <c r="AC66" s="524"/>
      <c r="AD66" s="524"/>
      <c r="AE66" s="524"/>
      <c r="AF66" s="524"/>
      <c r="AG66" s="524"/>
      <c r="AH66"/>
    </row>
    <row r="67" spans="1:34" s="106" customFormat="1" ht="16.5" customHeight="1">
      <c r="A67" s="109"/>
      <c r="B67" s="149" t="s">
        <v>432</v>
      </c>
      <c r="C67" s="107">
        <f>C45+C50</f>
        <v>729914.85590419127</v>
      </c>
      <c r="D67" s="107">
        <f>D45+D50</f>
        <v>655255.24176510237</v>
      </c>
      <c r="E67" s="107">
        <f t="shared" ref="E67:N67" si="9">E45+E50</f>
        <v>603892.65869103943</v>
      </c>
      <c r="F67" s="107">
        <f t="shared" si="9"/>
        <v>594680.21114026208</v>
      </c>
      <c r="G67" s="107">
        <f t="shared" si="9"/>
        <v>688347.42195884278</v>
      </c>
      <c r="H67" s="107">
        <f t="shared" si="9"/>
        <v>754689.23449373618</v>
      </c>
      <c r="I67" s="107">
        <f t="shared" si="9"/>
        <v>737213.65395021671</v>
      </c>
      <c r="J67" s="107">
        <f t="shared" si="9"/>
        <v>771038.22085824702</v>
      </c>
      <c r="K67" s="107">
        <f t="shared" si="9"/>
        <v>662144.29077524377</v>
      </c>
      <c r="L67" s="107">
        <f t="shared" si="9"/>
        <v>695825.65304306929</v>
      </c>
      <c r="M67" s="107">
        <f t="shared" si="9"/>
        <v>570797.87001558079</v>
      </c>
      <c r="N67" s="107">
        <f t="shared" si="9"/>
        <v>536929.95518244593</v>
      </c>
      <c r="O67" s="145"/>
      <c r="P67" s="152">
        <f>AVERAGE(C67:N67)</f>
        <v>666727.43898149824</v>
      </c>
      <c r="U67" s="206"/>
      <c r="V67" s="524"/>
      <c r="W67" s="524"/>
      <c r="X67" s="524"/>
      <c r="Y67" s="524"/>
      <c r="Z67" s="524"/>
      <c r="AA67" s="524"/>
      <c r="AB67" s="524"/>
      <c r="AC67" s="524"/>
      <c r="AD67" s="524"/>
      <c r="AE67" s="524"/>
      <c r="AF67" s="524"/>
      <c r="AG67" s="524"/>
      <c r="AH67"/>
    </row>
    <row r="68" spans="1:34" s="106" customFormat="1" ht="16.5" customHeight="1">
      <c r="A68" s="109"/>
      <c r="B68" s="149" t="s">
        <v>430</v>
      </c>
      <c r="C68" s="107">
        <f>C69</f>
        <v>752853</v>
      </c>
      <c r="D68" s="107">
        <f t="shared" ref="D68:N68" si="10">D69</f>
        <v>673351</v>
      </c>
      <c r="E68" s="107">
        <f t="shared" si="10"/>
        <v>620165</v>
      </c>
      <c r="F68" s="107">
        <f t="shared" si="10"/>
        <v>636181</v>
      </c>
      <c r="G68" s="107">
        <f t="shared" si="10"/>
        <v>724836</v>
      </c>
      <c r="H68" s="107">
        <f t="shared" si="10"/>
        <v>779270</v>
      </c>
      <c r="I68" s="107">
        <f t="shared" si="10"/>
        <v>787301</v>
      </c>
      <c r="J68" s="107">
        <f t="shared" si="10"/>
        <v>799787</v>
      </c>
      <c r="K68" s="107">
        <f t="shared" si="10"/>
        <v>764382</v>
      </c>
      <c r="L68" s="107">
        <f t="shared" si="10"/>
        <v>715634</v>
      </c>
      <c r="M68" s="107">
        <f t="shared" si="10"/>
        <v>586948</v>
      </c>
      <c r="N68" s="107">
        <f t="shared" si="10"/>
        <v>555803</v>
      </c>
      <c r="O68" s="107"/>
      <c r="P68" s="152">
        <f>AVERAGE(C68:N68)</f>
        <v>699709.25</v>
      </c>
      <c r="U68" s="206"/>
      <c r="V68" s="523"/>
      <c r="W68" s="523"/>
      <c r="X68" s="523"/>
      <c r="Y68" s="523"/>
      <c r="Z68" s="523"/>
      <c r="AA68" s="523"/>
      <c r="AB68" s="523"/>
      <c r="AC68" s="523"/>
      <c r="AD68" s="523"/>
      <c r="AE68" s="523"/>
      <c r="AF68" s="523"/>
      <c r="AG68" s="523"/>
      <c r="AH68"/>
    </row>
    <row r="69" spans="1:34" s="106" customFormat="1" ht="16.5" customHeight="1">
      <c r="A69" s="109"/>
      <c r="B69" s="149" t="s">
        <v>133</v>
      </c>
      <c r="C69" s="107">
        <f>HLOOKUP($B$9,'Summary_NCP '!$C$5:$M$677,119+C$9,FALSE)*1000</f>
        <v>752853</v>
      </c>
      <c r="D69" s="107">
        <f>HLOOKUP($B$9,'Summary_NCP '!$C$5:$M$677,119+D$9,FALSE)*1000</f>
        <v>673351</v>
      </c>
      <c r="E69" s="107">
        <f>HLOOKUP($B$9,'Summary_NCP '!$C$5:$M$677,119+E$9,FALSE)*1000</f>
        <v>620165</v>
      </c>
      <c r="F69" s="107">
        <f>HLOOKUP($B$9,'Summary_NCP '!$C$5:$M$677,119+F$9,FALSE)*1000</f>
        <v>636181</v>
      </c>
      <c r="G69" s="107">
        <f>HLOOKUP($B$9,'Summary_NCP '!$C$5:$M$677,119+G$9,FALSE)*1000</f>
        <v>724836</v>
      </c>
      <c r="H69" s="107">
        <f>HLOOKUP($B$9,'Summary_NCP '!$C$5:$M$677,119+H$9,FALSE)*1000</f>
        <v>779270</v>
      </c>
      <c r="I69" s="107">
        <f>HLOOKUP($B$9,'Summary_NCP '!$C$5:$M$677,119+I$9,FALSE)*1000</f>
        <v>787301</v>
      </c>
      <c r="J69" s="107">
        <f>HLOOKUP($B$9,'Summary_NCP '!$C$5:$M$677,119+J$9,FALSE)*1000</f>
        <v>799787</v>
      </c>
      <c r="K69" s="107">
        <f>HLOOKUP($B$9,'Summary_NCP '!$C$5:$M$677,119+K$9,FALSE)*1000</f>
        <v>764382</v>
      </c>
      <c r="L69" s="107">
        <f>HLOOKUP($B$9,'Summary_NCP '!$C$5:$M$677,119+L$9,FALSE)*1000</f>
        <v>715634</v>
      </c>
      <c r="M69" s="107">
        <f>HLOOKUP($B$9,'Summary_NCP '!$C$5:$M$677,119+M$9,FALSE)*1000</f>
        <v>586948</v>
      </c>
      <c r="N69" s="107">
        <f>HLOOKUP($B$9,'Summary_NCP '!$C$5:$M$677,119+N$9,FALSE)*1000</f>
        <v>555803</v>
      </c>
      <c r="O69" s="107"/>
      <c r="P69" s="152">
        <f>AVERAGE(C69:N69)</f>
        <v>699709.25</v>
      </c>
      <c r="U69"/>
      <c r="V69"/>
      <c r="W69"/>
      <c r="X69"/>
      <c r="Y69"/>
      <c r="Z69"/>
      <c r="AA69"/>
      <c r="AB69"/>
      <c r="AC69"/>
      <c r="AD69"/>
      <c r="AE69"/>
      <c r="AF69"/>
      <c r="AG69"/>
      <c r="AH69"/>
    </row>
    <row r="70" spans="1:34" s="106" customFormat="1" ht="16.5" customHeight="1">
      <c r="A70" s="109"/>
      <c r="B70" s="149"/>
      <c r="C70" s="107"/>
      <c r="D70" s="107"/>
      <c r="E70" s="107"/>
      <c r="F70" s="107"/>
      <c r="G70" s="107"/>
      <c r="H70" s="107"/>
      <c r="I70" s="107"/>
      <c r="J70" s="107"/>
      <c r="K70" s="107"/>
      <c r="L70" s="107"/>
      <c r="M70" s="107"/>
      <c r="N70" s="107"/>
      <c r="O70" s="107"/>
      <c r="P70" s="152"/>
    </row>
    <row r="71" spans="1:34" s="106" customFormat="1" ht="16.5" customHeight="1">
      <c r="A71" s="109"/>
      <c r="B71" s="149"/>
      <c r="C71" s="107"/>
      <c r="D71" s="107"/>
      <c r="E71" s="107"/>
      <c r="F71" s="107"/>
      <c r="G71" s="107"/>
      <c r="H71" s="107"/>
      <c r="I71" s="107"/>
      <c r="J71" s="107"/>
      <c r="K71" s="107"/>
      <c r="L71" s="107"/>
      <c r="M71" s="107"/>
      <c r="N71" s="107"/>
      <c r="O71" s="107"/>
      <c r="P71" s="152"/>
    </row>
    <row r="72" spans="1:34" s="106" customFormat="1" ht="16.5" customHeight="1">
      <c r="A72" s="109"/>
      <c r="B72" s="149"/>
      <c r="C72" s="107"/>
      <c r="D72" s="107"/>
      <c r="E72" s="107"/>
      <c r="F72" s="107"/>
      <c r="G72" s="107"/>
      <c r="H72" s="107"/>
      <c r="I72" s="107"/>
      <c r="J72" s="107"/>
      <c r="K72" s="107"/>
      <c r="L72" s="107"/>
      <c r="M72" s="107"/>
      <c r="N72" s="107"/>
      <c r="O72" s="107"/>
      <c r="P72" s="152"/>
    </row>
    <row r="73" spans="1:34" s="106" customFormat="1" ht="16.5" customHeight="1">
      <c r="A73" s="109"/>
      <c r="B73" s="108"/>
      <c r="C73" s="107"/>
      <c r="D73" s="107"/>
      <c r="E73" s="107"/>
      <c r="F73" s="107"/>
      <c r="G73" s="107"/>
      <c r="H73" s="107"/>
      <c r="I73" s="107"/>
      <c r="J73" s="107"/>
      <c r="K73" s="107"/>
      <c r="L73" s="107"/>
      <c r="M73" s="107"/>
      <c r="N73" s="107"/>
    </row>
    <row r="74" spans="1:34" ht="13.2">
      <c r="A74" s="42" t="s">
        <v>116</v>
      </c>
      <c r="C74" s="105"/>
      <c r="V74" s="106"/>
      <c r="W74" s="106"/>
      <c r="X74" s="106"/>
      <c r="Y74" s="106"/>
      <c r="Z74" s="106"/>
      <c r="AA74" s="106"/>
      <c r="AB74" s="106"/>
      <c r="AC74" s="106"/>
      <c r="AD74" s="106"/>
      <c r="AE74" s="106"/>
      <c r="AF74" s="106"/>
      <c r="AG74" s="106"/>
    </row>
    <row r="75" spans="1:34" ht="13.2">
      <c r="A75"/>
      <c r="B75" s="10" t="s">
        <v>338</v>
      </c>
      <c r="C75" s="105"/>
      <c r="D75" s="105"/>
      <c r="E75" s="105"/>
      <c r="F75" s="105"/>
      <c r="G75" s="105"/>
      <c r="H75" s="105"/>
      <c r="I75" s="105"/>
      <c r="J75" s="105"/>
      <c r="K75" s="105"/>
      <c r="L75" s="105"/>
      <c r="M75" s="105"/>
      <c r="N75" s="105"/>
    </row>
    <row r="76" spans="1:34" ht="13.2">
      <c r="A76"/>
      <c r="B76" s="81" t="s">
        <v>426</v>
      </c>
    </row>
    <row r="77" spans="1:34" ht="12.75">
      <c r="A77"/>
      <c r="B77" s="125" t="s">
        <v>431</v>
      </c>
      <c r="C77" s="104"/>
    </row>
    <row r="78" spans="1:34" ht="12.75">
      <c r="A78"/>
      <c r="B78" s="153" t="s">
        <v>435</v>
      </c>
      <c r="E78" s="88"/>
    </row>
    <row r="79" spans="1:34" ht="12.75">
      <c r="A79"/>
      <c r="B79" t="s">
        <v>433</v>
      </c>
      <c r="C79" s="98"/>
      <c r="D79" s="98"/>
      <c r="E79" s="98"/>
      <c r="F79" s="98"/>
      <c r="G79" s="98"/>
      <c r="H79" s="98"/>
      <c r="I79" s="98"/>
      <c r="J79" s="98"/>
      <c r="K79" s="98"/>
      <c r="L79" s="98"/>
      <c r="M79" s="98"/>
      <c r="N79" s="98"/>
    </row>
    <row r="83" spans="2:14">
      <c r="B83" s="149" t="s">
        <v>1202</v>
      </c>
      <c r="C83" s="499">
        <f>(C$24/C$15)/C59</f>
        <v>0.52848618936607838</v>
      </c>
      <c r="D83" s="499">
        <f t="shared" ref="D83:N83" si="11">(D$24/D$15)/D59</f>
        <v>0.6455113254367647</v>
      </c>
      <c r="E83" s="499">
        <f t="shared" si="11"/>
        <v>0.61439758945759382</v>
      </c>
      <c r="F83" s="499">
        <f t="shared" si="11"/>
        <v>0.76908317388011327</v>
      </c>
      <c r="G83" s="499">
        <f t="shared" si="11"/>
        <v>0.70248362218442217</v>
      </c>
      <c r="H83" s="499">
        <f t="shared" si="11"/>
        <v>0.66993613551643705</v>
      </c>
      <c r="I83" s="499">
        <f t="shared" si="11"/>
        <v>0.6869218993926226</v>
      </c>
      <c r="J83" s="499">
        <f t="shared" si="11"/>
        <v>0.61801041201121776</v>
      </c>
      <c r="K83" s="499">
        <f t="shared" si="11"/>
        <v>0.79771615381189231</v>
      </c>
      <c r="L83" s="499">
        <f t="shared" si="11"/>
        <v>0.72346789072439777</v>
      </c>
      <c r="M83" s="499">
        <f t="shared" si="11"/>
        <v>0.83218807982295318</v>
      </c>
      <c r="N83" s="499">
        <f t="shared" si="11"/>
        <v>0.7799001892102897</v>
      </c>
    </row>
    <row r="84" spans="2:14" ht="409.6">
      <c r="B84" s="149" t="s">
        <v>1203</v>
      </c>
      <c r="C84" s="499">
        <f>(C$24/C$15)/C60</f>
        <v>0.51242412197979437</v>
      </c>
      <c r="D84" s="499">
        <f t="shared" ref="D84:N84" si="12">(D$24/D$15)/D60</f>
        <v>0.62821277849901358</v>
      </c>
      <c r="E84" s="499">
        <f t="shared" si="12"/>
        <v>0.59832328706148463</v>
      </c>
      <c r="F84" s="499">
        <f t="shared" si="12"/>
        <v>0.71896873954282281</v>
      </c>
      <c r="G84" s="499">
        <f t="shared" si="12"/>
        <v>0.66717235737777292</v>
      </c>
      <c r="H84" s="499">
        <f t="shared" si="12"/>
        <v>0.64885477767976529</v>
      </c>
      <c r="I84" s="499">
        <f t="shared" si="12"/>
        <v>0.64327079523478881</v>
      </c>
      <c r="J84" s="499">
        <f t="shared" si="12"/>
        <v>0.59584220698938595</v>
      </c>
      <c r="K84" s="499">
        <f t="shared" si="12"/>
        <v>0.69107388117588509</v>
      </c>
      <c r="L84" s="499">
        <f t="shared" si="12"/>
        <v>0.70349762612621658</v>
      </c>
      <c r="M84" s="499">
        <f t="shared" si="12"/>
        <v>0.8093532460757813</v>
      </c>
      <c r="N84" s="499">
        <f t="shared" si="12"/>
        <v>0.7534764420980431</v>
      </c>
    </row>
    <row r="85" spans="2:14">
      <c r="B85" s="149" t="s">
        <v>1204</v>
      </c>
      <c r="C85" s="499">
        <f>(C$24/C$15)/C61</f>
        <v>0.51242412197979437</v>
      </c>
      <c r="D85" s="499">
        <f t="shared" ref="D85:N85" si="13">(D$24/D$15)/D61</f>
        <v>0.62821277849901358</v>
      </c>
      <c r="E85" s="499">
        <f t="shared" si="13"/>
        <v>0.59832328706148463</v>
      </c>
      <c r="F85" s="499">
        <f t="shared" si="13"/>
        <v>0.71896873954282281</v>
      </c>
      <c r="G85" s="499">
        <f t="shared" si="13"/>
        <v>0.66717235737777292</v>
      </c>
      <c r="H85" s="499">
        <f t="shared" si="13"/>
        <v>0.64885477767976529</v>
      </c>
      <c r="I85" s="499">
        <f t="shared" si="13"/>
        <v>0.64327079523478881</v>
      </c>
      <c r="J85" s="499">
        <f t="shared" si="13"/>
        <v>0.59584220698938595</v>
      </c>
      <c r="K85" s="499">
        <f t="shared" si="13"/>
        <v>0.69107388117588509</v>
      </c>
      <c r="L85" s="499">
        <f t="shared" si="13"/>
        <v>0.70349762612621658</v>
      </c>
      <c r="M85" s="499">
        <f t="shared" si="13"/>
        <v>0.8093532460757813</v>
      </c>
      <c r="N85" s="499">
        <f t="shared" si="13"/>
        <v>0.7534764420980431</v>
      </c>
    </row>
    <row r="86" spans="2:14" ht="409.6">
      <c r="G86" s="44"/>
    </row>
    <row r="88" spans="2:14">
      <c r="G88" s="150"/>
    </row>
  </sheetData>
  <mergeCells count="3">
    <mergeCell ref="C7:E7"/>
    <mergeCell ref="M7:N7"/>
    <mergeCell ref="F7:L7"/>
  </mergeCells>
  <conditionalFormatting sqref="C56:N56">
    <cfRule type="cellIs" dxfId="61" priority="8" operator="greaterThanOrEqual">
      <formula>C57</formula>
    </cfRule>
  </conditionalFormatting>
  <conditionalFormatting sqref="C64:N64 C72:N72">
    <cfRule type="cellIs" dxfId="60" priority="7" operator="greaterThanOrEqual">
      <formula>C66</formula>
    </cfRule>
  </conditionalFormatting>
  <conditionalFormatting sqref="C54:N54">
    <cfRule type="cellIs" dxfId="59" priority="11" operator="greaterThanOrEqual">
      <formula>C55</formula>
    </cfRule>
  </conditionalFormatting>
  <conditionalFormatting sqref="C55:N55">
    <cfRule type="cellIs" dxfId="58" priority="5" operator="greaterThanOrEqual">
      <formula>C56</formula>
    </cfRule>
  </conditionalFormatting>
  <conditionalFormatting sqref="C60:N60">
    <cfRule type="cellIs" dxfId="57" priority="4" operator="greaterThanOrEqual">
      <formula>C61</formula>
    </cfRule>
  </conditionalFormatting>
  <conditionalFormatting sqref="C68:N68">
    <cfRule type="cellIs" dxfId="56" priority="3" operator="greaterThanOrEqual">
      <formula>C69</formula>
    </cfRule>
  </conditionalFormatting>
  <conditionalFormatting sqref="C63:N63 C71:N71">
    <cfRule type="cellIs" dxfId="55" priority="100" operator="greaterThanOrEqual">
      <formula>C66</formula>
    </cfRule>
  </conditionalFormatting>
  <conditionalFormatting sqref="C61:N62 C69:N70">
    <cfRule type="cellIs" dxfId="54" priority="101" operator="greaterThanOrEqual">
      <formula>C65</formula>
    </cfRule>
  </conditionalFormatting>
  <conditionalFormatting sqref="C59:N59">
    <cfRule type="cellIs" dxfId="53" priority="2" operator="greaterThanOrEqual">
      <formula>C60</formula>
    </cfRule>
  </conditionalFormatting>
  <conditionalFormatting sqref="C67:N67">
    <cfRule type="cellIs" dxfId="52" priority="1" operator="greaterThanOrEqual">
      <formula>C68</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50"/>
    <pageSetUpPr fitToPage="1"/>
  </sheetPr>
  <dimension ref="A1:AI87"/>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1303</v>
      </c>
    </row>
    <row r="2" spans="1:16" s="8" customFormat="1" ht="15.6">
      <c r="A2" s="624"/>
      <c r="B2" s="8" t="s">
        <v>1267</v>
      </c>
    </row>
    <row r="3" spans="1:16" s="8" customFormat="1" ht="15.6">
      <c r="A3" s="624"/>
    </row>
    <row r="4" spans="1:16" ht="21">
      <c r="A4" s="124" t="s">
        <v>1053</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1053</v>
      </c>
      <c r="C9" s="320">
        <v>3</v>
      </c>
      <c r="D9" s="320">
        <v>4</v>
      </c>
      <c r="E9" s="320">
        <v>5</v>
      </c>
      <c r="F9" s="320">
        <v>6</v>
      </c>
      <c r="G9" s="320">
        <v>7</v>
      </c>
      <c r="H9" s="320">
        <v>8</v>
      </c>
      <c r="I9" s="320">
        <v>9</v>
      </c>
      <c r="J9" s="320">
        <v>10</v>
      </c>
      <c r="K9" s="320">
        <v>11</v>
      </c>
      <c r="L9" s="320">
        <v>12</v>
      </c>
      <c r="M9" s="320">
        <v>13</v>
      </c>
      <c r="N9" s="320">
        <v>14</v>
      </c>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15" ht="15.6">
      <c r="A17" s="113" t="s">
        <v>427</v>
      </c>
      <c r="C17" s="5"/>
      <c r="D17" s="5"/>
      <c r="E17" s="5"/>
      <c r="F17" s="5"/>
      <c r="G17" s="5"/>
      <c r="H17" s="5"/>
      <c r="I17" s="5"/>
      <c r="J17" s="5"/>
      <c r="K17" s="5"/>
      <c r="L17" s="5"/>
      <c r="M17" s="115"/>
      <c r="N17" s="5"/>
    </row>
    <row r="18" spans="1:15">
      <c r="A18" s="114"/>
      <c r="B18" t="s">
        <v>428</v>
      </c>
      <c r="C18" s="145">
        <v>0</v>
      </c>
      <c r="D18" s="145">
        <v>0</v>
      </c>
      <c r="E18" s="145">
        <v>0</v>
      </c>
      <c r="F18" s="145">
        <v>0</v>
      </c>
      <c r="G18" s="145">
        <v>0</v>
      </c>
      <c r="H18" s="145">
        <v>0</v>
      </c>
      <c r="I18" s="145">
        <v>0</v>
      </c>
      <c r="J18" s="145">
        <v>0</v>
      </c>
      <c r="K18" s="145">
        <v>0</v>
      </c>
      <c r="L18" s="145">
        <v>0</v>
      </c>
      <c r="M18" s="145">
        <v>0</v>
      </c>
      <c r="N18" s="145">
        <v>0</v>
      </c>
    </row>
    <row r="19" spans="1:15">
      <c r="A19" s="114"/>
      <c r="B19" t="s">
        <v>429</v>
      </c>
      <c r="C19" s="145">
        <v>0</v>
      </c>
      <c r="D19" s="145">
        <v>0</v>
      </c>
      <c r="E19" s="145">
        <v>0</v>
      </c>
      <c r="F19" s="145">
        <v>0</v>
      </c>
      <c r="G19" s="145">
        <v>0</v>
      </c>
      <c r="H19" s="145">
        <v>0</v>
      </c>
      <c r="I19" s="145">
        <v>0</v>
      </c>
      <c r="J19" s="145">
        <v>0</v>
      </c>
      <c r="K19" s="145">
        <v>0</v>
      </c>
      <c r="L19" s="145">
        <v>0</v>
      </c>
      <c r="M19" s="145">
        <v>0</v>
      </c>
      <c r="N19" s="145">
        <v>0</v>
      </c>
    </row>
    <row r="20" spans="1:15">
      <c r="A20" s="114"/>
      <c r="C20" s="5"/>
      <c r="D20" s="5"/>
      <c r="E20" s="5"/>
      <c r="F20" s="5"/>
      <c r="G20" s="5"/>
      <c r="H20" s="5"/>
      <c r="I20" s="5"/>
      <c r="J20" s="5"/>
      <c r="K20" s="5"/>
      <c r="L20" s="5"/>
      <c r="M20" s="115"/>
      <c r="N20" s="5"/>
    </row>
    <row r="21" spans="1:15" ht="15.6">
      <c r="A21" s="113" t="s">
        <v>424</v>
      </c>
      <c r="C21" s="5"/>
      <c r="D21" s="5"/>
      <c r="E21" s="5"/>
      <c r="F21" s="5"/>
      <c r="G21" s="5"/>
      <c r="H21" s="5"/>
      <c r="I21" s="5"/>
      <c r="J21" s="5"/>
      <c r="K21" s="5"/>
      <c r="L21" s="5"/>
      <c r="M21" s="115"/>
      <c r="N21" s="5"/>
    </row>
    <row r="22" spans="1:15" s="106" customFormat="1">
      <c r="A22" s="109"/>
      <c r="B22" s="108" t="str">
        <f>"PRIOR - "&amp;MANUAL!$B$9</f>
        <v>PRIOR - 2016</v>
      </c>
      <c r="C22" s="142">
        <f>VLOOKUP($B$9,'KWH FCST'!$A$33:$O$41,C9-1,FALSE)</f>
        <v>14880000</v>
      </c>
      <c r="D22" s="142">
        <f>VLOOKUP($B$9,'KWH FCST'!$A$33:$O$41,D9-1,FALSE)</f>
        <v>29760000</v>
      </c>
      <c r="E22" s="142">
        <f>VLOOKUP($B$9,'KWH FCST'!$A$33:$O$41,E9-1,FALSE)</f>
        <v>27840000</v>
      </c>
      <c r="F22" s="142">
        <f>VLOOKUP($B$9,'KWH FCST'!$A$33:$O$41,F9-1,FALSE)</f>
        <v>18600000</v>
      </c>
      <c r="G22" s="142">
        <f>VLOOKUP($B$9,'KWH FCST'!$A$33:$O$41,G9-1,FALSE)</f>
        <v>14400000</v>
      </c>
      <c r="H22" s="142">
        <f>VLOOKUP($B$9,'KWH FCST'!$A$33:$O$41,H9-1,FALSE)</f>
        <v>22320000</v>
      </c>
      <c r="I22" s="142">
        <f>VLOOKUP($B$9,'KWH FCST'!$A$33:$O$41,I9-1,FALSE)</f>
        <v>28800000</v>
      </c>
      <c r="J22" s="142">
        <f>VLOOKUP($B$9,'KWH FCST'!$A$33:$O$41,J9-1,FALSE)</f>
        <v>33480000</v>
      </c>
      <c r="K22" s="142">
        <f>VLOOKUP($B$9,'KWH FCST'!$A$33:$O$41,K9-1,FALSE)</f>
        <v>33480000</v>
      </c>
      <c r="L22" s="142">
        <f>VLOOKUP($B$9,'KWH FCST'!$A$33:$O$41,L9-1,FALSE)</f>
        <v>25200000</v>
      </c>
      <c r="M22" s="142">
        <f>VLOOKUP($B$9,'KWH FCST'!$A$33:$O$41,M9-1,FALSE)</f>
        <v>18600000</v>
      </c>
      <c r="N22" s="142">
        <f>VLOOKUP($B$9,'KWH FCST'!$A$33:$O$41,N9-1,FALSE)</f>
        <v>14400000</v>
      </c>
    </row>
    <row r="23" spans="1:15" s="12" customFormat="1" ht="15.6">
      <c r="A23" s="111"/>
      <c r="B23" s="108" t="str">
        <f>"TEST - "&amp;MANUAL!$B$10</f>
        <v>TEST - 2017</v>
      </c>
      <c r="C23" s="142">
        <f>VLOOKUP($B$9,'KWH FCST'!$A$79:$O$87,C9-1,FALSE)</f>
        <v>18600000</v>
      </c>
      <c r="D23" s="142">
        <f>VLOOKUP($B$9,'KWH FCST'!$A$79:$O$87,D9-1,FALSE)</f>
        <v>180000</v>
      </c>
      <c r="E23" s="142">
        <f>VLOOKUP($B$9,'KWH FCST'!$A$79:$O$87,E9-1,FALSE)</f>
        <v>0</v>
      </c>
      <c r="F23" s="142">
        <f>VLOOKUP($B$9,'KWH FCST'!$A$79:$O$87,F9-1,FALSE)</f>
        <v>0</v>
      </c>
      <c r="G23" s="142">
        <f>VLOOKUP($B$9,'KWH FCST'!$A$79:$O$87,G9-1,FALSE)</f>
        <v>0</v>
      </c>
      <c r="H23" s="142">
        <f>VLOOKUP($B$9,'KWH FCST'!$A$79:$O$87,H9-1,FALSE)</f>
        <v>0</v>
      </c>
      <c r="I23" s="142">
        <f>VLOOKUP($B$9,'KWH FCST'!$A$79:$O$87,I9-1,FALSE)</f>
        <v>0</v>
      </c>
      <c r="J23" s="142">
        <f>VLOOKUP($B$9,'KWH FCST'!$A$79:$O$87,J9-1,FALSE)</f>
        <v>0</v>
      </c>
      <c r="K23" s="142">
        <f>VLOOKUP($B$9,'KWH FCST'!$A$79:$O$87,K9-1,FALSE)</f>
        <v>180000</v>
      </c>
      <c r="L23" s="142">
        <f>VLOOKUP($B$9,'KWH FCST'!$A$79:$O$87,L9-1,FALSE)</f>
        <v>0</v>
      </c>
      <c r="M23" s="142">
        <f>VLOOKUP($B$9,'KWH FCST'!$A$79:$O$87,M9-1,FALSE)</f>
        <v>0</v>
      </c>
      <c r="N23" s="142">
        <f>VLOOKUP($B$9,'KWH FCST'!$A$79:$O$87,N9-1,FALSE)</f>
        <v>0</v>
      </c>
    </row>
    <row r="24" spans="1:15">
      <c r="A24" s="114"/>
      <c r="B24" t="s">
        <v>1094</v>
      </c>
      <c r="C24" s="142">
        <f>VLOOKUP($B$9,'KWH FCST'!$A$125:$O$133,C9-1,FALSE)</f>
        <v>0</v>
      </c>
      <c r="D24" s="142">
        <f>VLOOKUP($B$9,'KWH FCST'!$A$125:$O$133,D9-1,FALSE)</f>
        <v>0</v>
      </c>
      <c r="E24" s="142">
        <f>VLOOKUP($B$9,'KWH FCST'!$A$125:$O$133,E9-1,FALSE)</f>
        <v>0</v>
      </c>
      <c r="F24" s="142">
        <f>VLOOKUP($B$9,'KWH FCST'!$A$125:$O$133,F9-1,FALSE)</f>
        <v>0</v>
      </c>
      <c r="G24" s="142">
        <f>VLOOKUP($B$9,'KWH FCST'!$A$125:$O$133,G9-1,FALSE)</f>
        <v>0</v>
      </c>
      <c r="H24" s="142">
        <f>VLOOKUP($B$9,'KWH FCST'!$A$125:$O$133,H9-1,FALSE)</f>
        <v>0</v>
      </c>
      <c r="I24" s="142">
        <f>VLOOKUP($B$9,'KWH FCST'!$A$125:$O$133,I9-1,FALSE)</f>
        <v>0</v>
      </c>
      <c r="J24" s="142">
        <f>VLOOKUP($B$9,'KWH FCST'!$A$125:$O$133,J9-1,FALSE)</f>
        <v>0</v>
      </c>
      <c r="K24" s="142">
        <f>VLOOKUP($B$9,'KWH FCST'!$A$125:$O$133,K9-1,FALSE)</f>
        <v>0</v>
      </c>
      <c r="L24" s="142">
        <f>VLOOKUP($B$9,'KWH FCST'!$A$125:$O$133,L9-1,FALSE)</f>
        <v>0</v>
      </c>
      <c r="M24" s="142">
        <f>VLOOKUP($B$9,'KWH FCST'!$A$125:$O$133,M9-1,FALSE)</f>
        <v>0</v>
      </c>
      <c r="N24" s="142">
        <f>VLOOKUP($B$9,'KWH FCST'!$A$125:$O$133,N9-1,FALSE)</f>
        <v>0</v>
      </c>
      <c r="O24" s="142"/>
    </row>
    <row r="25" spans="1:15">
      <c r="A25" s="114"/>
      <c r="C25" s="142"/>
      <c r="D25" s="142"/>
      <c r="E25" s="142"/>
      <c r="F25" s="142"/>
      <c r="G25" s="142"/>
      <c r="H25" s="142"/>
      <c r="I25" s="142"/>
      <c r="J25" s="142"/>
      <c r="K25" s="142"/>
      <c r="L25" s="142"/>
      <c r="M25" s="142"/>
      <c r="N25" s="142"/>
      <c r="O25" s="142"/>
    </row>
    <row r="26" spans="1:15" ht="15.6">
      <c r="A26" s="113" t="s">
        <v>1248</v>
      </c>
      <c r="C26" s="142"/>
      <c r="D26" s="142"/>
      <c r="E26" s="142"/>
      <c r="F26" s="142"/>
      <c r="G26" s="142"/>
      <c r="H26" s="142"/>
      <c r="I26" s="142"/>
      <c r="J26" s="142"/>
      <c r="K26" s="142"/>
      <c r="L26" s="142"/>
      <c r="M26" s="142"/>
      <c r="N26" s="142"/>
      <c r="O26" s="142"/>
    </row>
    <row r="27" spans="1:15">
      <c r="A27" s="114"/>
      <c r="B27" t="s">
        <v>1254</v>
      </c>
      <c r="C27" s="115">
        <v>1</v>
      </c>
      <c r="D27" s="115">
        <v>1</v>
      </c>
      <c r="E27" s="115">
        <v>1</v>
      </c>
      <c r="F27" s="115">
        <v>1</v>
      </c>
      <c r="G27" s="115">
        <v>1</v>
      </c>
      <c r="H27" s="115">
        <v>1</v>
      </c>
      <c r="I27" s="115">
        <v>1</v>
      </c>
      <c r="J27" s="115">
        <v>1</v>
      </c>
      <c r="K27" s="115">
        <v>1</v>
      </c>
      <c r="L27" s="115">
        <v>1</v>
      </c>
      <c r="M27" s="115">
        <v>1</v>
      </c>
      <c r="N27" s="115">
        <v>1</v>
      </c>
      <c r="O27" s="142"/>
    </row>
    <row r="28" spans="1:15">
      <c r="A28" s="114"/>
      <c r="B28" t="s">
        <v>1253</v>
      </c>
      <c r="C28" s="115">
        <v>0</v>
      </c>
      <c r="D28" s="115">
        <v>0</v>
      </c>
      <c r="E28" s="115">
        <v>0</v>
      </c>
      <c r="F28" s="115">
        <v>0</v>
      </c>
      <c r="G28" s="115">
        <v>0</v>
      </c>
      <c r="H28" s="115">
        <v>0</v>
      </c>
      <c r="I28" s="115">
        <v>0</v>
      </c>
      <c r="J28" s="115">
        <v>0</v>
      </c>
      <c r="K28" s="115">
        <v>0</v>
      </c>
      <c r="L28" s="115">
        <v>0</v>
      </c>
      <c r="M28" s="115">
        <v>0</v>
      </c>
      <c r="N28" s="115">
        <v>0</v>
      </c>
      <c r="O28" s="142"/>
    </row>
    <row r="29" spans="1:15">
      <c r="A29" s="114"/>
      <c r="B29" t="s">
        <v>1252</v>
      </c>
      <c r="C29" s="115">
        <v>0</v>
      </c>
      <c r="D29" s="115">
        <v>0</v>
      </c>
      <c r="E29" s="115">
        <v>0</v>
      </c>
      <c r="F29" s="115">
        <v>0</v>
      </c>
      <c r="G29" s="115">
        <v>0</v>
      </c>
      <c r="H29" s="115">
        <v>0</v>
      </c>
      <c r="I29" s="115">
        <v>0</v>
      </c>
      <c r="J29" s="115">
        <v>0</v>
      </c>
      <c r="K29" s="115">
        <v>0</v>
      </c>
      <c r="L29" s="115">
        <v>0</v>
      </c>
      <c r="M29" s="115">
        <v>0</v>
      </c>
      <c r="N29" s="115">
        <v>0</v>
      </c>
      <c r="O29" s="142"/>
    </row>
    <row r="30" spans="1:15" ht="15.6">
      <c r="A30" s="114"/>
      <c r="B30" s="513">
        <v>2017</v>
      </c>
      <c r="C30" s="115"/>
      <c r="D30" s="115"/>
      <c r="E30" s="115"/>
      <c r="F30" s="115"/>
      <c r="G30" s="115"/>
      <c r="H30" s="115"/>
      <c r="I30" s="115"/>
      <c r="J30" s="115"/>
      <c r="K30" s="115"/>
      <c r="L30" s="115"/>
      <c r="M30" s="115"/>
      <c r="N30" s="115"/>
      <c r="O30" s="142"/>
    </row>
    <row r="31" spans="1:15">
      <c r="A31" s="114"/>
      <c r="B31" t="s">
        <v>1249</v>
      </c>
      <c r="C31" s="535">
        <v>1.0218365997299901</v>
      </c>
      <c r="D31" s="535">
        <v>1.0218365997299901</v>
      </c>
      <c r="E31" s="535">
        <v>1.0218365997299901</v>
      </c>
      <c r="F31" s="535">
        <v>1.0218365997299901</v>
      </c>
      <c r="G31" s="535">
        <v>1.0218365997299901</v>
      </c>
      <c r="H31" s="535">
        <v>1.0218365997299901</v>
      </c>
      <c r="I31" s="535">
        <v>1.0218365997299901</v>
      </c>
      <c r="J31" s="535">
        <v>1.0218365997299901</v>
      </c>
      <c r="K31" s="535">
        <v>1.0218365997299901</v>
      </c>
      <c r="L31" s="535">
        <v>1.0218365997299901</v>
      </c>
      <c r="M31" s="535">
        <v>1.0218365997299901</v>
      </c>
      <c r="N31" s="535">
        <v>1.0218365997299901</v>
      </c>
      <c r="O31" s="142"/>
    </row>
    <row r="32" spans="1:15">
      <c r="A32" s="114"/>
      <c r="B32" t="s">
        <v>1250</v>
      </c>
      <c r="C32" s="535">
        <v>1.0348230487446399</v>
      </c>
      <c r="D32" s="535">
        <v>1.0348230487446399</v>
      </c>
      <c r="E32" s="535">
        <v>1.0348230487446399</v>
      </c>
      <c r="F32" s="535">
        <v>1.0348230487446399</v>
      </c>
      <c r="G32" s="535">
        <v>1.0348230487446399</v>
      </c>
      <c r="H32" s="535">
        <v>1.0348230487446399</v>
      </c>
      <c r="I32" s="535">
        <v>1.0348230487446399</v>
      </c>
      <c r="J32" s="535">
        <v>1.0348230487446399</v>
      </c>
      <c r="K32" s="535">
        <v>1.0348230487446399</v>
      </c>
      <c r="L32" s="535">
        <v>1.0348230487446399</v>
      </c>
      <c r="M32" s="535">
        <v>1.0348230487446399</v>
      </c>
      <c r="N32" s="535">
        <v>1.0348230487446399</v>
      </c>
      <c r="O32" s="142"/>
    </row>
    <row r="33" spans="1:15">
      <c r="A33" s="114"/>
      <c r="B33" t="s">
        <v>1251</v>
      </c>
      <c r="C33" s="535">
        <v>1.0644101070756899</v>
      </c>
      <c r="D33" s="535">
        <v>1.0644101070756899</v>
      </c>
      <c r="E33" s="535">
        <v>1.0644101070756899</v>
      </c>
      <c r="F33" s="535">
        <v>1.0644101070756899</v>
      </c>
      <c r="G33" s="535">
        <v>1.0644101070756899</v>
      </c>
      <c r="H33" s="535">
        <v>1.0644101070756899</v>
      </c>
      <c r="I33" s="535">
        <v>1.0644101070756899</v>
      </c>
      <c r="J33" s="535">
        <v>1.0644101070756899</v>
      </c>
      <c r="K33" s="535">
        <v>1.0644101070756899</v>
      </c>
      <c r="L33" s="535">
        <v>1.0644101070756899</v>
      </c>
      <c r="M33" s="535">
        <v>1.0644101070756899</v>
      </c>
      <c r="N33" s="535">
        <v>1.0644101070756899</v>
      </c>
      <c r="O33" s="142"/>
    </row>
    <row r="34" spans="1:15">
      <c r="A34" s="114"/>
      <c r="B34" t="s">
        <v>1255</v>
      </c>
      <c r="C34" s="107">
        <f>HLOOKUP($B9,Summary_CP!$A$5:$N$161,107+C$9,FALSE)*1000</f>
        <v>45000</v>
      </c>
      <c r="D34" s="107">
        <f>HLOOKUP($B9,Summary_CP!$A$5:$N$161,107+D$9,FALSE)*1000</f>
        <v>0</v>
      </c>
      <c r="E34" s="107">
        <f>HLOOKUP($B9,Summary_CP!$A$5:$N$161,107+E$9,FALSE)*1000</f>
        <v>0</v>
      </c>
      <c r="F34" s="107">
        <f>HLOOKUP($B9,Summary_CP!$A$5:$N$161,107+F$9,FALSE)*1000</f>
        <v>0</v>
      </c>
      <c r="G34" s="107">
        <f>HLOOKUP($B9,Summary_CP!$A$5:$N$161,107+G$9,FALSE)*1000</f>
        <v>0</v>
      </c>
      <c r="H34" s="107">
        <f>HLOOKUP($B9,Summary_CP!$A$5:$N$161,107+H$9,FALSE)*1000</f>
        <v>0</v>
      </c>
      <c r="I34" s="107">
        <f>HLOOKUP($B9,Summary_CP!$A$5:$N$161,107+I$9,FALSE)*1000</f>
        <v>0</v>
      </c>
      <c r="J34" s="107">
        <f>HLOOKUP($B9,Summary_CP!$A$5:$N$161,107+J$9,FALSE)*1000</f>
        <v>45000</v>
      </c>
      <c r="K34" s="107">
        <f>HLOOKUP($B9,Summary_CP!$A$5:$N$161,107+K$9,FALSE)*1000</f>
        <v>0</v>
      </c>
      <c r="L34" s="107">
        <f>HLOOKUP($B9,Summary_CP!$A$5:$N$161,107+L$9,FALSE)*1000</f>
        <v>0</v>
      </c>
      <c r="M34" s="107">
        <f>HLOOKUP($B9,Summary_CP!$A$5:$N$161,107+M$9,FALSE)*1000</f>
        <v>0</v>
      </c>
      <c r="N34" s="107">
        <f>HLOOKUP($B9,Summary_CP!$A$5:$N$161,107+N$9,FALSE)*1000</f>
        <v>0</v>
      </c>
      <c r="O34" s="142"/>
    </row>
    <row r="35" spans="1:15">
      <c r="A35" s="114"/>
      <c r="B35" t="s">
        <v>1256</v>
      </c>
      <c r="C35" s="107">
        <f>IFERROR((C34*C27*C31)+(C34*C28*C32)+(C34*C29*C33),0)</f>
        <v>45982.646987849555</v>
      </c>
      <c r="D35" s="107">
        <f t="shared" ref="D35:N35" si="0">IFERROR((D34*D27*D31)+(D34*D28*D32)+(D34*D29*D33),0)</f>
        <v>0</v>
      </c>
      <c r="E35" s="107">
        <f t="shared" si="0"/>
        <v>0</v>
      </c>
      <c r="F35" s="107">
        <f t="shared" si="0"/>
        <v>0</v>
      </c>
      <c r="G35" s="107">
        <f t="shared" si="0"/>
        <v>0</v>
      </c>
      <c r="H35" s="107">
        <f t="shared" si="0"/>
        <v>0</v>
      </c>
      <c r="I35" s="107">
        <f t="shared" si="0"/>
        <v>0</v>
      </c>
      <c r="J35" s="107">
        <f t="shared" si="0"/>
        <v>45982.646987849555</v>
      </c>
      <c r="K35" s="107">
        <f t="shared" si="0"/>
        <v>0</v>
      </c>
      <c r="L35" s="107">
        <f t="shared" si="0"/>
        <v>0</v>
      </c>
      <c r="M35" s="107">
        <f t="shared" si="0"/>
        <v>0</v>
      </c>
      <c r="N35" s="107">
        <f t="shared" si="0"/>
        <v>0</v>
      </c>
      <c r="O35" s="142"/>
    </row>
    <row r="36" spans="1:15">
      <c r="A36" s="114"/>
      <c r="B36" t="s">
        <v>1257</v>
      </c>
      <c r="C36" s="235">
        <f>BLOUNTSTOWN!C36</f>
        <v>1228831.3297315862</v>
      </c>
      <c r="D36" s="235">
        <f>BLOUNTSTOWN!D36</f>
        <v>1010133.5524307521</v>
      </c>
      <c r="E36" s="235">
        <f>BLOUNTSTOWN!E36</f>
        <v>950254.07441993814</v>
      </c>
      <c r="F36" s="235">
        <f>BLOUNTSTOWN!F36</f>
        <v>959201.22858601715</v>
      </c>
      <c r="G36" s="235">
        <f>BLOUNTSTOWN!G36</f>
        <v>1065854.2376846557</v>
      </c>
      <c r="H36" s="235">
        <f>BLOUNTSTOWN!H36</f>
        <v>1140353.9142618102</v>
      </c>
      <c r="I36" s="235">
        <f>BLOUNTSTOWN!I36</f>
        <v>1132054.8391980769</v>
      </c>
      <c r="J36" s="235">
        <f>BLOUNTSTOWN!J36</f>
        <v>1312333.3808478254</v>
      </c>
      <c r="K36" s="235">
        <f>BLOUNTSTOWN!K36</f>
        <v>1038758.3890285973</v>
      </c>
      <c r="L36" s="235">
        <f>BLOUNTSTOWN!L36</f>
        <v>1068943.4704556046</v>
      </c>
      <c r="M36" s="235">
        <f>BLOUNTSTOWN!M36</f>
        <v>923783.94692739786</v>
      </c>
      <c r="N36" s="235">
        <f>BLOUNTSTOWN!N36</f>
        <v>882247.02789984096</v>
      </c>
      <c r="O36" s="142"/>
    </row>
    <row r="37" spans="1:15">
      <c r="A37" s="114"/>
      <c r="B37" t="s">
        <v>1258</v>
      </c>
      <c r="C37" s="235">
        <f>IFERROR('2017 CP (FNG)'!B12*1000-C36,0)</f>
        <v>-26260.067304411205</v>
      </c>
      <c r="D37" s="235">
        <f>IFERROR('2017 CP (FNG)'!C12*1000-D36,0)</f>
        <v>-21586.506163599784</v>
      </c>
      <c r="E37" s="235">
        <f>IFERROR('2017 CP (FNG)'!D12*1000-E36,0)</f>
        <v>-20306.884555107215</v>
      </c>
      <c r="F37" s="235">
        <f>IFERROR('2017 CP (FNG)'!E12*1000-F36,0)</f>
        <v>-20498.084815793671</v>
      </c>
      <c r="G37" s="235">
        <f>IFERROR('2017 CP (FNG)'!F12*1000-G36,0)</f>
        <v>-22777.254567886703</v>
      </c>
      <c r="H37" s="235">
        <f>IFERROR('2017 CP (FNG)'!G12*1000-H36,0)</f>
        <v>-24369.30912715639</v>
      </c>
      <c r="I37" s="235">
        <f>IFERROR('2017 CP (FNG)'!H12*1000-I36,0)</f>
        <v>-24191.95828618668</v>
      </c>
      <c r="J37" s="235">
        <f>IFERROR('2017 CP (FNG)'!I12*1000-J36,0)</f>
        <v>-28044.502181122778</v>
      </c>
      <c r="K37" s="235">
        <f>IFERROR('2017 CP (FNG)'!J12*1000-K36,0)</f>
        <v>-22198.217565685627</v>
      </c>
      <c r="L37" s="235">
        <f>IFERROR('2017 CP (FNG)'!K12*1000-L36,0)</f>
        <v>-22843.271325859241</v>
      </c>
      <c r="M37" s="235">
        <f>IFERROR('2017 CP (FNG)'!L12*1000-M36,0)</f>
        <v>-19741.219184529502</v>
      </c>
      <c r="N37" s="235">
        <f>IFERROR('2017 CP (FNG)'!M12*1000-N36,0)</f>
        <v>-18853.577192589175</v>
      </c>
      <c r="O37" s="142"/>
    </row>
    <row r="38" spans="1:15">
      <c r="A38" s="114"/>
      <c r="B38" t="s">
        <v>1259</v>
      </c>
      <c r="C38" s="235">
        <f>IFERROR(C35*C37/C36,0)</f>
        <v>-982.64698784955817</v>
      </c>
      <c r="D38" s="235">
        <f t="shared" ref="D38:N38" si="1">IFERROR(D35*D37/D36,0)</f>
        <v>0</v>
      </c>
      <c r="E38" s="235">
        <f t="shared" si="1"/>
        <v>0</v>
      </c>
      <c r="F38" s="235">
        <f t="shared" si="1"/>
        <v>0</v>
      </c>
      <c r="G38" s="235">
        <f t="shared" si="1"/>
        <v>0</v>
      </c>
      <c r="H38" s="235">
        <f t="shared" si="1"/>
        <v>0</v>
      </c>
      <c r="I38" s="235">
        <f t="shared" si="1"/>
        <v>0</v>
      </c>
      <c r="J38" s="235">
        <f t="shared" si="1"/>
        <v>-982.64698784956045</v>
      </c>
      <c r="K38" s="235">
        <f t="shared" si="1"/>
        <v>0</v>
      </c>
      <c r="L38" s="235">
        <f t="shared" si="1"/>
        <v>0</v>
      </c>
      <c r="M38" s="235">
        <f t="shared" si="1"/>
        <v>0</v>
      </c>
      <c r="N38" s="235">
        <f t="shared" si="1"/>
        <v>0</v>
      </c>
      <c r="O38" s="142"/>
    </row>
    <row r="39" spans="1:15">
      <c r="A39" s="114"/>
      <c r="B39" t="s">
        <v>1260</v>
      </c>
      <c r="C39" s="235">
        <f>IFERROR(((C38*C27)/C31)+((C38*C28)/C32)+((C38*C29)/C33),0)</f>
        <v>-961.64786826897046</v>
      </c>
      <c r="D39" s="235">
        <f t="shared" ref="D39:N39" si="2">IFERROR(((D38*D27)/D31)+((D38*D28)/D32)+((D38*D29)/D33),0)</f>
        <v>0</v>
      </c>
      <c r="E39" s="235">
        <f t="shared" si="2"/>
        <v>0</v>
      </c>
      <c r="F39" s="235">
        <f t="shared" si="2"/>
        <v>0</v>
      </c>
      <c r="G39" s="235">
        <f t="shared" si="2"/>
        <v>0</v>
      </c>
      <c r="H39" s="235">
        <f t="shared" si="2"/>
        <v>0</v>
      </c>
      <c r="I39" s="235">
        <f t="shared" si="2"/>
        <v>0</v>
      </c>
      <c r="J39" s="235">
        <f t="shared" si="2"/>
        <v>-961.64786826897262</v>
      </c>
      <c r="K39" s="235">
        <f t="shared" si="2"/>
        <v>0</v>
      </c>
      <c r="L39" s="235">
        <f t="shared" si="2"/>
        <v>0</v>
      </c>
      <c r="M39" s="235">
        <f t="shared" si="2"/>
        <v>0</v>
      </c>
      <c r="N39" s="235">
        <f t="shared" si="2"/>
        <v>0</v>
      </c>
      <c r="O39" s="142"/>
    </row>
    <row r="40" spans="1:15" ht="15.6">
      <c r="A40" s="114"/>
      <c r="B40" s="513">
        <v>2018</v>
      </c>
      <c r="C40" s="235"/>
      <c r="D40" s="235"/>
      <c r="E40" s="235"/>
      <c r="F40" s="235"/>
      <c r="G40" s="235"/>
      <c r="H40" s="235"/>
      <c r="I40" s="235"/>
      <c r="J40" s="235"/>
      <c r="K40" s="235"/>
      <c r="L40" s="235"/>
      <c r="M40" s="235"/>
      <c r="N40" s="235"/>
      <c r="O40" s="142"/>
    </row>
    <row r="41" spans="1:15">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c r="O41" s="142"/>
    </row>
    <row r="42" spans="1:15">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c r="O42" s="142"/>
    </row>
    <row r="43" spans="1:15">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c r="O43" s="142"/>
    </row>
    <row r="44" spans="1:15">
      <c r="A44" s="114"/>
      <c r="B44" t="s">
        <v>1255</v>
      </c>
      <c r="C44" s="235">
        <f>HLOOKUP($B9,Summary_CP!$A$5:$N$161,119+C$9,FALSE)*1000</f>
        <v>0</v>
      </c>
      <c r="D44" s="235">
        <f>HLOOKUP($B9,Summary_CP!$A$5:$N$161,119+D$9,FALSE)*1000</f>
        <v>0</v>
      </c>
      <c r="E44" s="235">
        <f>HLOOKUP($B9,Summary_CP!$A$5:$N$161,119+E$9,FALSE)*1000</f>
        <v>0</v>
      </c>
      <c r="F44" s="235">
        <f>HLOOKUP($B9,Summary_CP!$A$5:$N$161,119+F$9,FALSE)*1000</f>
        <v>0</v>
      </c>
      <c r="G44" s="235">
        <f>HLOOKUP($B9,Summary_CP!$A$5:$N$161,119+G$9,FALSE)*1000</f>
        <v>0</v>
      </c>
      <c r="H44" s="235">
        <f>HLOOKUP($B9,Summary_CP!$A$5:$N$161,119+H$9,FALSE)*1000</f>
        <v>0</v>
      </c>
      <c r="I44" s="235">
        <f>HLOOKUP($B9,Summary_CP!$A$5:$N$161,119+I$9,FALSE)*1000</f>
        <v>0</v>
      </c>
      <c r="J44" s="235">
        <f>HLOOKUP($B9,Summary_CP!$A$5:$N$161,119+J$9,FALSE)*1000</f>
        <v>0</v>
      </c>
      <c r="K44" s="235">
        <f>HLOOKUP($B9,Summary_CP!$A$5:$N$161,119+K$9,FALSE)*1000</f>
        <v>0</v>
      </c>
      <c r="L44" s="235">
        <f>HLOOKUP($B9,Summary_CP!$A$5:$N$161,119+L$9,FALSE)*1000</f>
        <v>0</v>
      </c>
      <c r="M44" s="235">
        <f>HLOOKUP($B9,Summary_CP!$A$5:$N$161,119+M$9,FALSE)*1000</f>
        <v>0</v>
      </c>
      <c r="N44" s="235">
        <f>HLOOKUP($B9,Summary_CP!$A$5:$N$161,119+N$9,FALSE)*1000</f>
        <v>0</v>
      </c>
      <c r="O44" s="142"/>
    </row>
    <row r="45" spans="1:15">
      <c r="A45" s="114"/>
      <c r="B45" t="s">
        <v>1256</v>
      </c>
      <c r="C45" s="107">
        <f>(C44*C27*C41)+(C44*C28*C42)+(C44*C29*C43)</f>
        <v>0</v>
      </c>
      <c r="D45" s="107">
        <f t="shared" ref="D45:N45" si="3">(D44*D27*D41)+(D44*D28*D42)+(D44*D29*D43)</f>
        <v>0</v>
      </c>
      <c r="E45" s="107">
        <f t="shared" si="3"/>
        <v>0</v>
      </c>
      <c r="F45" s="107">
        <f t="shared" si="3"/>
        <v>0</v>
      </c>
      <c r="G45" s="107">
        <f t="shared" si="3"/>
        <v>0</v>
      </c>
      <c r="H45" s="107">
        <f t="shared" si="3"/>
        <v>0</v>
      </c>
      <c r="I45" s="107">
        <f t="shared" si="3"/>
        <v>0</v>
      </c>
      <c r="J45" s="107">
        <f t="shared" si="3"/>
        <v>0</v>
      </c>
      <c r="K45" s="107">
        <f t="shared" si="3"/>
        <v>0</v>
      </c>
      <c r="L45" s="107">
        <f t="shared" si="3"/>
        <v>0</v>
      </c>
      <c r="M45" s="107">
        <f t="shared" si="3"/>
        <v>0</v>
      </c>
      <c r="N45" s="107">
        <f t="shared" si="3"/>
        <v>0</v>
      </c>
      <c r="O45" s="142"/>
    </row>
    <row r="46" spans="1:15">
      <c r="A46" s="114"/>
      <c r="B46" t="s">
        <v>1257</v>
      </c>
      <c r="C46" s="235">
        <f>BLOUNTSTOWN!C46</f>
        <v>1187849.8564563922</v>
      </c>
      <c r="D46" s="235">
        <f>BLOUNTSTOWN!D46</f>
        <v>1012049.3914328514</v>
      </c>
      <c r="E46" s="235">
        <f>BLOUNTSTOWN!E46</f>
        <v>952115.03381284571</v>
      </c>
      <c r="F46" s="235">
        <f>BLOUNTSTOWN!F46</f>
        <v>964452.787497274</v>
      </c>
      <c r="G46" s="235">
        <f>BLOUNTSTOWN!G46</f>
        <v>1071028.6042288018</v>
      </c>
      <c r="H46" s="235">
        <f>BLOUNTSTOWN!H46</f>
        <v>1144619.2235030248</v>
      </c>
      <c r="I46" s="235">
        <f>BLOUNTSTOWN!I46</f>
        <v>1139032.5608989701</v>
      </c>
      <c r="J46" s="235">
        <f>BLOUNTSTOWN!J46</f>
        <v>1275574.8512023324</v>
      </c>
      <c r="K46" s="235">
        <f>BLOUNTSTOWN!K46</f>
        <v>1044148.3639893566</v>
      </c>
      <c r="L46" s="235">
        <f>BLOUNTSTOWN!L46</f>
        <v>1072810.0069048663</v>
      </c>
      <c r="M46" s="235">
        <f>BLOUNTSTOWN!M46</f>
        <v>926247.14475638454</v>
      </c>
      <c r="N46" s="235">
        <f>BLOUNTSTOWN!N46</f>
        <v>884985.90326947428</v>
      </c>
      <c r="O46" s="142"/>
    </row>
    <row r="47" spans="1:15">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c r="O47" s="235"/>
    </row>
    <row r="48" spans="1:15">
      <c r="A48" s="114"/>
      <c r="B48" t="s">
        <v>1259</v>
      </c>
      <c r="C48" s="235">
        <f>C45*C47/C46</f>
        <v>0</v>
      </c>
      <c r="D48" s="235">
        <f t="shared" ref="D48:N48" si="4">D45*D47/D46</f>
        <v>0</v>
      </c>
      <c r="E48" s="235">
        <f t="shared" si="4"/>
        <v>0</v>
      </c>
      <c r="F48" s="235">
        <f t="shared" si="4"/>
        <v>0</v>
      </c>
      <c r="G48" s="235">
        <f t="shared" si="4"/>
        <v>0</v>
      </c>
      <c r="H48" s="235">
        <f t="shared" si="4"/>
        <v>0</v>
      </c>
      <c r="I48" s="235">
        <f t="shared" si="4"/>
        <v>0</v>
      </c>
      <c r="J48" s="235">
        <f t="shared" si="4"/>
        <v>0</v>
      </c>
      <c r="K48" s="235">
        <f t="shared" si="4"/>
        <v>0</v>
      </c>
      <c r="L48" s="235">
        <f t="shared" si="4"/>
        <v>0</v>
      </c>
      <c r="M48" s="235">
        <f t="shared" si="4"/>
        <v>0</v>
      </c>
      <c r="N48" s="235">
        <f t="shared" si="4"/>
        <v>0</v>
      </c>
      <c r="O48" s="142"/>
    </row>
    <row r="49" spans="1:33">
      <c r="A49" s="114"/>
      <c r="B49" t="s">
        <v>1260</v>
      </c>
      <c r="C49" s="235">
        <f>((C48*C27)/C41)+((C48*C28)/C42)+((C48*C29)/C43)</f>
        <v>0</v>
      </c>
      <c r="D49" s="235">
        <f t="shared" ref="D49:N49" si="5">((D48*D27)/D41)+((D48*D28)/D42)+((D48*D29)/D43)</f>
        <v>0</v>
      </c>
      <c r="E49" s="235">
        <f t="shared" si="5"/>
        <v>0</v>
      </c>
      <c r="F49" s="235">
        <f t="shared" si="5"/>
        <v>0</v>
      </c>
      <c r="G49" s="235">
        <f t="shared" si="5"/>
        <v>0</v>
      </c>
      <c r="H49" s="235">
        <f t="shared" si="5"/>
        <v>0</v>
      </c>
      <c r="I49" s="235">
        <f t="shared" si="5"/>
        <v>0</v>
      </c>
      <c r="J49" s="235">
        <f t="shared" si="5"/>
        <v>0</v>
      </c>
      <c r="K49" s="235">
        <f t="shared" si="5"/>
        <v>0</v>
      </c>
      <c r="L49" s="235">
        <f t="shared" si="5"/>
        <v>0</v>
      </c>
      <c r="M49" s="235">
        <f t="shared" si="5"/>
        <v>0</v>
      </c>
      <c r="N49" s="235">
        <f t="shared" si="5"/>
        <v>0</v>
      </c>
      <c r="O49" s="142"/>
    </row>
    <row r="50" spans="1:33">
      <c r="A50" s="114"/>
    </row>
    <row r="51" spans="1:33" ht="17.399999999999999">
      <c r="A51" s="147" t="s">
        <v>425</v>
      </c>
    </row>
    <row r="52" spans="1:33" ht="15.6">
      <c r="A52" s="113"/>
      <c r="B52" s="146" t="str">
        <f>"PRIOR - "&amp;MANUAL!$B$9</f>
        <v>PRIOR - 2016</v>
      </c>
      <c r="C52" s="5"/>
      <c r="D52" s="5"/>
      <c r="E52" s="5"/>
      <c r="F52" s="5"/>
      <c r="G52" s="5"/>
      <c r="H52" s="5"/>
      <c r="I52" s="5"/>
      <c r="J52" s="5"/>
      <c r="K52" s="5"/>
      <c r="L52" s="5"/>
      <c r="M52" s="5"/>
      <c r="N52" s="5"/>
    </row>
    <row r="53" spans="1:33" s="12" customFormat="1" ht="15.6">
      <c r="A53" s="111"/>
      <c r="B53" s="149" t="s">
        <v>432</v>
      </c>
      <c r="C53" s="107">
        <f>HLOOKUP($B9,Summary_CP!$A$5:$N$161,95+C$9,FALSE)*1000</f>
        <v>40000</v>
      </c>
      <c r="D53" s="107">
        <f>HLOOKUP($B9,Summary_CP!$A$5:$N$161,95+D$9,FALSE)*1000</f>
        <v>40000</v>
      </c>
      <c r="E53" s="107">
        <f>HLOOKUP($B9,Summary_CP!$A$5:$N$161,95+E$9,FALSE)*1000</f>
        <v>25000</v>
      </c>
      <c r="F53" s="107">
        <f>HLOOKUP($B9,Summary_CP!$A$5:$N$161,95+F$9,FALSE)*1000</f>
        <v>20000</v>
      </c>
      <c r="G53" s="107">
        <f>HLOOKUP($B9,Summary_CP!$A$5:$N$161,95+G$9,FALSE)*1000</f>
        <v>30000</v>
      </c>
      <c r="H53" s="107">
        <f>HLOOKUP($B9,Summary_CP!$A$5:$N$161,95+H$9,FALSE)*1000</f>
        <v>40000</v>
      </c>
      <c r="I53" s="107">
        <f>HLOOKUP($B9,Summary_CP!$A$5:$N$161,95+I$9,FALSE)*1000</f>
        <v>45000</v>
      </c>
      <c r="J53" s="107">
        <f>HLOOKUP($B9,Summary_CP!$A$5:$N$161,95+J$9,FALSE)*1000</f>
        <v>45000</v>
      </c>
      <c r="K53" s="107">
        <f>HLOOKUP($B9,Summary_CP!$A$5:$N$161,95+K$9,FALSE)*1000</f>
        <v>35000</v>
      </c>
      <c r="L53" s="107">
        <f>HLOOKUP($B9,Summary_CP!$A$5:$N$161,95+L$9,FALSE)*1000</f>
        <v>25000</v>
      </c>
      <c r="M53" s="107">
        <f>HLOOKUP($B9,Summary_CP!$A$5:$N$161,95+M$9,FALSE)*1000</f>
        <v>20000</v>
      </c>
      <c r="N53" s="107">
        <f>HLOOKUP($B9,Summary_CP!$A$5:$N$161,95+N$9,FALSE)*1000</f>
        <v>25000</v>
      </c>
      <c r="P53" s="152">
        <f>AVERAGE(C53:N53)</f>
        <v>32500</v>
      </c>
    </row>
    <row r="54" spans="1:33" s="12" customFormat="1" ht="15.6">
      <c r="A54" s="111"/>
      <c r="B54" s="149" t="s">
        <v>430</v>
      </c>
      <c r="C54" s="107">
        <f>C55</f>
        <v>40000</v>
      </c>
      <c r="D54" s="107">
        <f t="shared" ref="D54:N54" si="6">D55</f>
        <v>40000</v>
      </c>
      <c r="E54" s="107">
        <f t="shared" si="6"/>
        <v>25000</v>
      </c>
      <c r="F54" s="107">
        <f t="shared" si="6"/>
        <v>20000</v>
      </c>
      <c r="G54" s="107">
        <f t="shared" si="6"/>
        <v>30000</v>
      </c>
      <c r="H54" s="107">
        <f t="shared" si="6"/>
        <v>40000</v>
      </c>
      <c r="I54" s="107">
        <f t="shared" si="6"/>
        <v>45000</v>
      </c>
      <c r="J54" s="107">
        <f t="shared" si="6"/>
        <v>45000</v>
      </c>
      <c r="K54" s="107">
        <f t="shared" si="6"/>
        <v>35000</v>
      </c>
      <c r="L54" s="107">
        <f t="shared" si="6"/>
        <v>25000</v>
      </c>
      <c r="M54" s="107">
        <f t="shared" si="6"/>
        <v>20000</v>
      </c>
      <c r="N54" s="107">
        <f t="shared" si="6"/>
        <v>25000</v>
      </c>
      <c r="P54" s="152">
        <f>AVERAGE(C54:N54)</f>
        <v>32500</v>
      </c>
    </row>
    <row r="55" spans="1:33" s="106" customFormat="1">
      <c r="A55" s="109"/>
      <c r="B55" s="149" t="s">
        <v>133</v>
      </c>
      <c r="C55" s="107">
        <f>HLOOKUP($B$9,'Summary_NCP '!$C$5:$M$677,95+C$9,FALSE)*1000</f>
        <v>40000</v>
      </c>
      <c r="D55" s="107">
        <f>HLOOKUP($B$9,'Summary_NCP '!$C$5:$M$677,95+D$9,FALSE)*1000</f>
        <v>40000</v>
      </c>
      <c r="E55" s="107">
        <f>HLOOKUP($B$9,'Summary_NCP '!$C$5:$M$677,95+E$9,FALSE)*1000</f>
        <v>25000</v>
      </c>
      <c r="F55" s="107">
        <f>HLOOKUP($B$9,'Summary_NCP '!$C$5:$M$677,95+F$9,FALSE)*1000</f>
        <v>20000</v>
      </c>
      <c r="G55" s="107">
        <f>HLOOKUP($B$9,'Summary_NCP '!$C$5:$M$677,95+G$9,FALSE)*1000</f>
        <v>30000</v>
      </c>
      <c r="H55" s="107">
        <f>HLOOKUP($B$9,'Summary_NCP '!$C$5:$M$677,95+H$9,FALSE)*1000</f>
        <v>40000</v>
      </c>
      <c r="I55" s="107">
        <f>HLOOKUP($B$9,'Summary_NCP '!$C$5:$M$677,95+I$9,FALSE)*1000</f>
        <v>45000</v>
      </c>
      <c r="J55" s="107">
        <f>HLOOKUP($B$9,'Summary_NCP '!$C$5:$M$677,95+J$9,FALSE)*1000</f>
        <v>45000</v>
      </c>
      <c r="K55" s="107">
        <f>HLOOKUP($B$9,'Summary_NCP '!$C$5:$M$677,95+K$9,FALSE)*1000</f>
        <v>35000</v>
      </c>
      <c r="L55" s="107">
        <f>HLOOKUP($B$9,'Summary_NCP '!$C$5:$M$677,95+L$9,FALSE)*1000</f>
        <v>25000</v>
      </c>
      <c r="M55" s="107">
        <f>HLOOKUP($B$9,'Summary_NCP '!$C$5:$M$677,95+M$9,FALSE)*1000</f>
        <v>20000</v>
      </c>
      <c r="N55" s="107">
        <f>HLOOKUP($B$9,'Summary_NCP '!$C$5:$M$677,95+N$9,FALSE)*1000</f>
        <v>25000</v>
      </c>
      <c r="P55" s="152">
        <f>AVERAGE(C55:N55)</f>
        <v>32500</v>
      </c>
      <c r="U55" s="522"/>
      <c r="V55" s="523"/>
      <c r="W55" s="523"/>
      <c r="X55" s="523"/>
      <c r="Y55" s="523"/>
      <c r="Z55" s="523"/>
      <c r="AA55" s="523"/>
      <c r="AB55" s="523"/>
      <c r="AC55" s="523"/>
      <c r="AD55" s="523"/>
      <c r="AE55" s="523"/>
      <c r="AF55" s="523"/>
      <c r="AG55" s="523"/>
    </row>
    <row r="56" spans="1:33" s="106" customFormat="1" ht="16.5" customHeight="1">
      <c r="A56" s="109"/>
      <c r="B56" s="108"/>
      <c r="C56" s="107"/>
      <c r="D56" s="107"/>
      <c r="E56" s="107"/>
      <c r="F56" s="107"/>
      <c r="G56" s="107"/>
      <c r="H56" s="107"/>
      <c r="I56" s="107"/>
      <c r="J56" s="107"/>
      <c r="K56" s="107"/>
      <c r="L56" s="107"/>
      <c r="M56" s="107"/>
      <c r="N56" s="107"/>
      <c r="U56" s="206"/>
      <c r="V56" s="523"/>
      <c r="W56" s="523"/>
      <c r="X56" s="523"/>
      <c r="Y56" s="523"/>
      <c r="Z56" s="523"/>
      <c r="AA56" s="523"/>
      <c r="AB56" s="523"/>
      <c r="AC56" s="523"/>
      <c r="AD56" s="523"/>
      <c r="AE56" s="523"/>
      <c r="AF56" s="523"/>
      <c r="AG56" s="523"/>
    </row>
    <row r="57" spans="1:33" s="106" customFormat="1" ht="16.5" customHeight="1">
      <c r="A57" s="109"/>
      <c r="B57" s="146" t="str">
        <f>"TEST - "&amp;MANUAL!$B$10</f>
        <v>TEST - 2017</v>
      </c>
      <c r="C57" s="107"/>
      <c r="D57" s="107"/>
      <c r="E57" s="107"/>
      <c r="F57" s="107"/>
      <c r="G57" s="107"/>
      <c r="H57" s="107"/>
      <c r="I57" s="107"/>
      <c r="J57" s="107"/>
      <c r="K57" s="107"/>
      <c r="L57" s="107"/>
      <c r="M57" s="107"/>
      <c r="N57" s="107"/>
      <c r="U57" s="206"/>
      <c r="V57" s="523"/>
      <c r="W57" s="523"/>
      <c r="X57" s="523"/>
      <c r="Y57" s="523"/>
      <c r="Z57" s="523"/>
      <c r="AA57" s="523"/>
      <c r="AB57" s="523"/>
      <c r="AC57" s="523"/>
      <c r="AD57" s="523"/>
      <c r="AE57" s="523"/>
      <c r="AF57" s="523"/>
      <c r="AG57" s="523"/>
    </row>
    <row r="58" spans="1:33" s="106" customFormat="1" ht="16.5" customHeight="1">
      <c r="A58" s="109"/>
      <c r="B58" s="149" t="s">
        <v>432</v>
      </c>
      <c r="C58" s="107">
        <f>C34+C39</f>
        <v>44038.35213173103</v>
      </c>
      <c r="D58" s="107">
        <f t="shared" ref="D58:N58" si="7">D34+D39</f>
        <v>0</v>
      </c>
      <c r="E58" s="107">
        <f t="shared" si="7"/>
        <v>0</v>
      </c>
      <c r="F58" s="107">
        <f t="shared" si="7"/>
        <v>0</v>
      </c>
      <c r="G58" s="107">
        <f t="shared" si="7"/>
        <v>0</v>
      </c>
      <c r="H58" s="107">
        <f t="shared" si="7"/>
        <v>0</v>
      </c>
      <c r="I58" s="107">
        <f t="shared" si="7"/>
        <v>0</v>
      </c>
      <c r="J58" s="107">
        <f t="shared" si="7"/>
        <v>44038.35213173103</v>
      </c>
      <c r="K58" s="107">
        <f t="shared" si="7"/>
        <v>0</v>
      </c>
      <c r="L58" s="107">
        <f t="shared" si="7"/>
        <v>0</v>
      </c>
      <c r="M58" s="107">
        <f t="shared" si="7"/>
        <v>0</v>
      </c>
      <c r="N58" s="107">
        <f t="shared" si="7"/>
        <v>0</v>
      </c>
      <c r="P58" s="152">
        <f>AVERAGE(C58:N58)</f>
        <v>7339.7253552885049</v>
      </c>
      <c r="U58" s="206"/>
      <c r="V58" s="523"/>
      <c r="W58" s="523"/>
      <c r="X58" s="523"/>
      <c r="Y58" s="523"/>
      <c r="Z58" s="523"/>
      <c r="AA58" s="523"/>
      <c r="AB58" s="523"/>
      <c r="AC58" s="523"/>
      <c r="AD58" s="523"/>
      <c r="AE58" s="523"/>
      <c r="AF58" s="523"/>
      <c r="AG58" s="523"/>
    </row>
    <row r="59" spans="1:33" s="106" customFormat="1" ht="16.5" customHeight="1">
      <c r="A59" s="109"/>
      <c r="B59" s="149" t="s">
        <v>430</v>
      </c>
      <c r="C59" s="107">
        <f>C60</f>
        <v>45000</v>
      </c>
      <c r="D59" s="107">
        <f t="shared" ref="D59:N59" si="8">D60</f>
        <v>0</v>
      </c>
      <c r="E59" s="107">
        <f t="shared" si="8"/>
        <v>0</v>
      </c>
      <c r="F59" s="107">
        <f t="shared" si="8"/>
        <v>0</v>
      </c>
      <c r="G59" s="107">
        <f t="shared" si="8"/>
        <v>0</v>
      </c>
      <c r="H59" s="107">
        <f t="shared" si="8"/>
        <v>0</v>
      </c>
      <c r="I59" s="107">
        <f t="shared" si="8"/>
        <v>0</v>
      </c>
      <c r="J59" s="107">
        <f t="shared" si="8"/>
        <v>45000</v>
      </c>
      <c r="K59" s="107">
        <f t="shared" si="8"/>
        <v>0</v>
      </c>
      <c r="L59" s="107">
        <f t="shared" si="8"/>
        <v>0</v>
      </c>
      <c r="M59" s="107">
        <f t="shared" si="8"/>
        <v>0</v>
      </c>
      <c r="N59" s="107">
        <f t="shared" si="8"/>
        <v>0</v>
      </c>
      <c r="P59" s="152">
        <f>AVERAGE(C59:N59)</f>
        <v>7500</v>
      </c>
      <c r="U59" s="206"/>
      <c r="V59" s="523"/>
      <c r="W59" s="523"/>
      <c r="X59" s="523"/>
      <c r="Y59" s="523"/>
      <c r="Z59" s="523"/>
      <c r="AA59" s="523"/>
      <c r="AB59" s="523"/>
      <c r="AC59" s="523"/>
      <c r="AD59" s="523"/>
      <c r="AE59" s="523"/>
      <c r="AF59" s="523"/>
      <c r="AG59" s="523"/>
    </row>
    <row r="60" spans="1:33" s="106" customFormat="1" ht="16.5" customHeight="1">
      <c r="A60" s="109"/>
      <c r="B60" s="149" t="s">
        <v>133</v>
      </c>
      <c r="C60" s="107">
        <f>HLOOKUP($B$9,'Summary_NCP '!$C$5:$M$677,107+C$9,FALSE)*1000</f>
        <v>45000</v>
      </c>
      <c r="D60" s="107">
        <f>HLOOKUP($B$9,'Summary_NCP '!$C$5:$M$677,107+D$9,FALSE)*1000</f>
        <v>0</v>
      </c>
      <c r="E60" s="107">
        <f>HLOOKUP($B$9,'Summary_NCP '!$C$5:$M$677,107+E$9,FALSE)*1000</f>
        <v>0</v>
      </c>
      <c r="F60" s="107">
        <f>HLOOKUP($B$9,'Summary_NCP '!$C$5:$M$677,107+F$9,FALSE)*1000</f>
        <v>0</v>
      </c>
      <c r="G60" s="107">
        <f>HLOOKUP($B$9,'Summary_NCP '!$C$5:$M$677,107+G$9,FALSE)*1000</f>
        <v>0</v>
      </c>
      <c r="H60" s="107">
        <f>HLOOKUP($B$9,'Summary_NCP '!$C$5:$M$677,107+H$9,FALSE)*1000</f>
        <v>0</v>
      </c>
      <c r="I60" s="107">
        <f>HLOOKUP($B$9,'Summary_NCP '!$C$5:$M$677,107+I$9,FALSE)*1000</f>
        <v>0</v>
      </c>
      <c r="J60" s="107">
        <f>HLOOKUP($B$9,'Summary_NCP '!$C$5:$M$677,107+J$9,FALSE)*1000</f>
        <v>45000</v>
      </c>
      <c r="K60" s="107">
        <f>HLOOKUP($B$9,'Summary_NCP '!$C$5:$M$677,107+K$9,FALSE)*1000</f>
        <v>0</v>
      </c>
      <c r="L60" s="107">
        <f>HLOOKUP($B$9,'Summary_NCP '!$C$5:$M$677,107+L$9,FALSE)*1000</f>
        <v>0</v>
      </c>
      <c r="M60" s="107">
        <f>HLOOKUP($B$9,'Summary_NCP '!$C$5:$M$677,107+M$9,FALSE)*1000</f>
        <v>0</v>
      </c>
      <c r="N60" s="107">
        <f>HLOOKUP($B$9,'Summary_NCP '!$C$5:$M$677,107+N$9,FALSE)*1000</f>
        <v>0</v>
      </c>
      <c r="P60" s="152">
        <f>AVERAGE(C60:N60)</f>
        <v>7500</v>
      </c>
      <c r="U60" s="206"/>
      <c r="V60" s="524"/>
      <c r="W60" s="524"/>
      <c r="X60" s="524"/>
      <c r="Y60" s="524"/>
      <c r="Z60" s="524"/>
      <c r="AA60" s="524"/>
      <c r="AB60" s="524"/>
      <c r="AC60" s="524"/>
      <c r="AD60" s="524"/>
      <c r="AE60" s="524"/>
      <c r="AF60" s="524"/>
      <c r="AG60" s="524"/>
    </row>
    <row r="61" spans="1:33" s="106" customFormat="1" ht="16.5" customHeight="1">
      <c r="A61" s="109"/>
      <c r="B61" s="149"/>
      <c r="C61" s="107"/>
      <c r="D61" s="107"/>
      <c r="E61" s="107"/>
      <c r="F61" s="107"/>
      <c r="G61" s="107"/>
      <c r="H61" s="107"/>
      <c r="I61" s="107"/>
      <c r="J61" s="107"/>
      <c r="K61" s="107"/>
      <c r="L61" s="107"/>
      <c r="M61" s="107"/>
      <c r="N61" s="107"/>
      <c r="P61" s="152"/>
      <c r="U61" s="206"/>
      <c r="V61" s="524"/>
      <c r="W61" s="524"/>
      <c r="X61" s="524"/>
      <c r="Y61" s="524"/>
      <c r="Z61" s="524"/>
      <c r="AA61" s="524"/>
      <c r="AB61" s="524"/>
      <c r="AC61" s="524"/>
      <c r="AD61" s="524"/>
      <c r="AE61" s="524"/>
      <c r="AF61" s="524"/>
      <c r="AG61" s="524"/>
    </row>
    <row r="62" spans="1:33" s="106" customFormat="1" ht="16.5" customHeight="1">
      <c r="A62" s="109"/>
      <c r="B62" s="149"/>
      <c r="C62" s="107"/>
      <c r="D62" s="107"/>
      <c r="E62" s="107"/>
      <c r="F62" s="107"/>
      <c r="G62" s="107"/>
      <c r="H62" s="107"/>
      <c r="I62" s="107"/>
      <c r="J62" s="107"/>
      <c r="K62" s="107"/>
      <c r="L62" s="107"/>
      <c r="M62" s="107"/>
      <c r="N62" s="107"/>
      <c r="P62" s="152"/>
      <c r="U62" s="206"/>
      <c r="V62" s="524"/>
      <c r="W62" s="524"/>
      <c r="X62" s="524"/>
      <c r="Y62" s="524"/>
      <c r="Z62" s="524"/>
      <c r="AA62" s="524"/>
      <c r="AB62" s="524"/>
      <c r="AC62" s="524"/>
      <c r="AD62" s="524"/>
      <c r="AE62" s="524"/>
      <c r="AF62" s="524"/>
      <c r="AG62" s="524"/>
    </row>
    <row r="63" spans="1:33" s="106" customFormat="1" ht="16.5" customHeight="1">
      <c r="A63" s="109"/>
      <c r="B63" s="149"/>
      <c r="C63" s="107"/>
      <c r="D63" s="107"/>
      <c r="E63" s="107"/>
      <c r="F63" s="107"/>
      <c r="G63" s="107"/>
      <c r="H63" s="107"/>
      <c r="I63" s="107"/>
      <c r="J63" s="107"/>
      <c r="K63" s="107"/>
      <c r="L63" s="107"/>
      <c r="M63" s="107"/>
      <c r="N63" s="107"/>
      <c r="P63" s="152"/>
      <c r="U63" s="206"/>
      <c r="V63" s="523"/>
      <c r="W63" s="523"/>
      <c r="X63" s="523"/>
      <c r="Y63" s="523"/>
      <c r="Z63" s="523"/>
      <c r="AA63" s="523"/>
      <c r="AB63" s="523"/>
      <c r="AC63" s="523"/>
      <c r="AD63" s="523"/>
      <c r="AE63" s="523"/>
      <c r="AF63" s="523"/>
      <c r="AG63" s="523"/>
    </row>
    <row r="64" spans="1:33" s="106" customFormat="1" ht="16.5" customHeight="1">
      <c r="A64" s="109"/>
      <c r="B64" s="149"/>
      <c r="C64" s="107"/>
      <c r="D64" s="107"/>
      <c r="E64" s="107"/>
      <c r="F64" s="107"/>
      <c r="G64" s="107"/>
      <c r="H64" s="107"/>
      <c r="I64" s="107"/>
      <c r="J64" s="107"/>
      <c r="K64" s="107"/>
      <c r="L64" s="107"/>
      <c r="M64" s="107"/>
      <c r="N64" s="107"/>
      <c r="P64" s="152"/>
      <c r="U64"/>
      <c r="V64"/>
      <c r="W64"/>
      <c r="X64"/>
      <c r="Y64"/>
      <c r="Z64"/>
      <c r="AA64"/>
      <c r="AB64"/>
      <c r="AC64"/>
      <c r="AD64"/>
      <c r="AE64"/>
      <c r="AF64"/>
      <c r="AG64"/>
    </row>
    <row r="65" spans="1:35" s="106" customFormat="1" ht="16.5" customHeight="1">
      <c r="A65" s="109"/>
      <c r="B65" s="146" t="str">
        <f>"SUBSEQUENT - "&amp;MANUAL!$B$11</f>
        <v>SUBSEQUENT - 2018</v>
      </c>
      <c r="C65" s="107"/>
      <c r="D65" s="107"/>
      <c r="E65" s="107"/>
      <c r="F65" s="107"/>
      <c r="G65" s="107"/>
      <c r="H65" s="107"/>
      <c r="I65" s="107"/>
      <c r="J65" s="107"/>
      <c r="K65" s="107"/>
      <c r="L65" s="107"/>
      <c r="M65" s="107"/>
      <c r="N65" s="107"/>
    </row>
    <row r="66" spans="1:35" s="106" customFormat="1" ht="16.5" customHeight="1">
      <c r="A66" s="109"/>
      <c r="B66" s="149" t="s">
        <v>432</v>
      </c>
      <c r="C66" s="107">
        <f>C44+C49</f>
        <v>0</v>
      </c>
      <c r="D66" s="107">
        <f>D44+D49</f>
        <v>0</v>
      </c>
      <c r="E66" s="107">
        <f t="shared" ref="E66:N66" si="9">E44+E49</f>
        <v>0</v>
      </c>
      <c r="F66" s="107">
        <f t="shared" si="9"/>
        <v>0</v>
      </c>
      <c r="G66" s="107">
        <f t="shared" si="9"/>
        <v>0</v>
      </c>
      <c r="H66" s="107">
        <f t="shared" si="9"/>
        <v>0</v>
      </c>
      <c r="I66" s="107">
        <f t="shared" si="9"/>
        <v>0</v>
      </c>
      <c r="J66" s="107">
        <f t="shared" si="9"/>
        <v>0</v>
      </c>
      <c r="K66" s="107">
        <f t="shared" si="9"/>
        <v>0</v>
      </c>
      <c r="L66" s="107">
        <f t="shared" si="9"/>
        <v>0</v>
      </c>
      <c r="M66" s="107">
        <f t="shared" si="9"/>
        <v>0</v>
      </c>
      <c r="N66" s="107">
        <f t="shared" si="9"/>
        <v>0</v>
      </c>
      <c r="O66" s="145"/>
      <c r="P66" s="152">
        <f>AVERAGE(C66:N66)</f>
        <v>0</v>
      </c>
    </row>
    <row r="67" spans="1:35" s="106" customFormat="1" ht="16.5" customHeight="1">
      <c r="A67" s="109"/>
      <c r="B67" s="149" t="s">
        <v>430</v>
      </c>
      <c r="C67" s="107">
        <f>C68</f>
        <v>0</v>
      </c>
      <c r="D67" s="107">
        <f t="shared" ref="D67:N67" si="10">D68</f>
        <v>0</v>
      </c>
      <c r="E67" s="107">
        <f t="shared" si="10"/>
        <v>0</v>
      </c>
      <c r="F67" s="107">
        <f t="shared" si="10"/>
        <v>0</v>
      </c>
      <c r="G67" s="107">
        <f t="shared" si="10"/>
        <v>0</v>
      </c>
      <c r="H67" s="107">
        <f t="shared" si="10"/>
        <v>0</v>
      </c>
      <c r="I67" s="107">
        <f t="shared" si="10"/>
        <v>0</v>
      </c>
      <c r="J67" s="107">
        <f t="shared" si="10"/>
        <v>0</v>
      </c>
      <c r="K67" s="107">
        <f t="shared" si="10"/>
        <v>0</v>
      </c>
      <c r="L67" s="107">
        <f t="shared" si="10"/>
        <v>0</v>
      </c>
      <c r="M67" s="107">
        <f t="shared" si="10"/>
        <v>0</v>
      </c>
      <c r="N67" s="107">
        <f t="shared" si="10"/>
        <v>0</v>
      </c>
      <c r="O67" s="107"/>
      <c r="P67" s="152">
        <f>AVERAGE(C67:N67)</f>
        <v>0</v>
      </c>
    </row>
    <row r="68" spans="1:35" s="106" customFormat="1" ht="16.5" customHeight="1">
      <c r="A68" s="109"/>
      <c r="B68" s="149" t="s">
        <v>133</v>
      </c>
      <c r="C68" s="107">
        <f>HLOOKUP($B$9,'Summary_NCP '!$C$5:$M$677,119+C$9,FALSE)*1000</f>
        <v>0</v>
      </c>
      <c r="D68" s="107">
        <f>HLOOKUP($B$9,'Summary_NCP '!$C$5:$M$677,119+D$9,FALSE)*1000</f>
        <v>0</v>
      </c>
      <c r="E68" s="107">
        <f>HLOOKUP($B$9,'Summary_NCP '!$C$5:$M$677,119+E$9,FALSE)*1000</f>
        <v>0</v>
      </c>
      <c r="F68" s="107">
        <f>HLOOKUP($B$9,'Summary_NCP '!$C$5:$M$677,119+F$9,FALSE)*1000</f>
        <v>0</v>
      </c>
      <c r="G68" s="107">
        <f>HLOOKUP($B$9,'Summary_NCP '!$C$5:$M$677,119+G$9,FALSE)*1000</f>
        <v>0</v>
      </c>
      <c r="H68" s="107">
        <f>HLOOKUP($B$9,'Summary_NCP '!$C$5:$M$677,119+H$9,FALSE)*1000</f>
        <v>0</v>
      </c>
      <c r="I68" s="107">
        <f>HLOOKUP($B$9,'Summary_NCP '!$C$5:$M$677,119+I$9,FALSE)*1000</f>
        <v>0</v>
      </c>
      <c r="J68" s="107">
        <f>HLOOKUP($B$9,'Summary_NCP '!$C$5:$M$677,119+J$9,FALSE)*1000</f>
        <v>0</v>
      </c>
      <c r="K68" s="107">
        <f>HLOOKUP($B$9,'Summary_NCP '!$C$5:$M$677,119+K$9,FALSE)*1000</f>
        <v>0</v>
      </c>
      <c r="L68" s="107">
        <f>HLOOKUP($B$9,'Summary_NCP '!$C$5:$M$677,119+L$9,FALSE)*1000</f>
        <v>0</v>
      </c>
      <c r="M68" s="107">
        <f>HLOOKUP($B$9,'Summary_NCP '!$C$5:$M$677,119+M$9,FALSE)*1000</f>
        <v>0</v>
      </c>
      <c r="N68" s="107">
        <f>HLOOKUP($B$9,'Summary_NCP '!$C$5:$M$677,119+N$9,FALSE)*1000</f>
        <v>0</v>
      </c>
      <c r="O68" s="107"/>
      <c r="P68" s="152">
        <f>AVERAGE(C68:N68)</f>
        <v>0</v>
      </c>
    </row>
    <row r="69" spans="1:35" s="106" customFormat="1" ht="16.5" customHeight="1">
      <c r="A69" s="109"/>
      <c r="B69" s="149"/>
      <c r="C69" s="107"/>
      <c r="D69" s="107"/>
      <c r="E69" s="107"/>
      <c r="F69" s="107"/>
      <c r="G69" s="107"/>
      <c r="H69" s="107"/>
      <c r="I69" s="107"/>
      <c r="J69" s="107"/>
      <c r="K69" s="107"/>
      <c r="L69" s="107"/>
      <c r="M69" s="107"/>
      <c r="N69" s="107"/>
      <c r="O69" s="107"/>
      <c r="P69" s="152"/>
    </row>
    <row r="70" spans="1:35" s="106" customFormat="1" ht="16.5" customHeight="1">
      <c r="A70" s="109"/>
      <c r="B70" s="149"/>
      <c r="C70" s="107"/>
      <c r="D70" s="107"/>
      <c r="E70" s="107"/>
      <c r="F70" s="107"/>
      <c r="G70" s="107"/>
      <c r="H70" s="107"/>
      <c r="I70" s="107"/>
      <c r="J70" s="107"/>
      <c r="K70" s="107"/>
      <c r="L70" s="107"/>
      <c r="M70" s="107"/>
      <c r="N70" s="107"/>
      <c r="O70" s="107"/>
      <c r="P70" s="152"/>
    </row>
    <row r="71" spans="1:35" s="106" customFormat="1" ht="16.5" customHeight="1">
      <c r="A71" s="109"/>
      <c r="B71" s="149"/>
      <c r="C71" s="107"/>
      <c r="D71" s="107"/>
      <c r="E71" s="107"/>
      <c r="F71" s="107"/>
      <c r="G71" s="107"/>
      <c r="H71" s="107"/>
      <c r="I71" s="107"/>
      <c r="J71" s="107"/>
      <c r="K71" s="107"/>
      <c r="L71" s="107"/>
      <c r="M71" s="107"/>
      <c r="N71" s="107"/>
      <c r="O71" s="107"/>
      <c r="P71" s="152"/>
    </row>
    <row r="72" spans="1:35" s="106" customFormat="1" ht="16.5" customHeight="1">
      <c r="A72" s="109"/>
      <c r="B72" s="108"/>
      <c r="C72" s="107"/>
      <c r="D72" s="107"/>
      <c r="E72" s="107"/>
      <c r="F72" s="107"/>
      <c r="G72" s="107"/>
      <c r="H72" s="107"/>
      <c r="I72" s="107"/>
      <c r="J72" s="107"/>
      <c r="K72" s="107"/>
      <c r="L72" s="107"/>
      <c r="M72" s="107"/>
      <c r="N72" s="107"/>
    </row>
    <row r="73" spans="1:35" ht="13.2">
      <c r="A73" s="42" t="s">
        <v>116</v>
      </c>
      <c r="C73" s="105"/>
      <c r="V73" s="106"/>
      <c r="W73" s="106"/>
      <c r="X73" s="106"/>
      <c r="Y73" s="106"/>
      <c r="Z73" s="106"/>
      <c r="AA73" s="106"/>
      <c r="AB73" s="106"/>
      <c r="AC73" s="106"/>
      <c r="AD73" s="106"/>
      <c r="AE73" s="106"/>
      <c r="AF73" s="106"/>
      <c r="AG73" s="106"/>
      <c r="AH73" s="106"/>
      <c r="AI73" s="106"/>
    </row>
    <row r="74" spans="1:35" ht="13.2">
      <c r="A74"/>
      <c r="B74" s="10" t="s">
        <v>338</v>
      </c>
      <c r="C74" s="105"/>
      <c r="D74" s="105"/>
      <c r="E74" s="105"/>
      <c r="F74" s="105"/>
      <c r="G74" s="105"/>
      <c r="H74" s="105"/>
      <c r="I74" s="105"/>
      <c r="J74" s="105"/>
      <c r="K74" s="105"/>
      <c r="L74" s="105"/>
      <c r="M74" s="105"/>
      <c r="N74" s="105"/>
    </row>
    <row r="75" spans="1:35" ht="13.2">
      <c r="A75"/>
      <c r="B75" s="81" t="s">
        <v>426</v>
      </c>
    </row>
    <row r="76" spans="1:35" ht="12.75">
      <c r="A76"/>
      <c r="B76" s="125" t="s">
        <v>431</v>
      </c>
      <c r="C76" s="104"/>
    </row>
    <row r="77" spans="1:35" ht="12.75">
      <c r="A77"/>
      <c r="B77" s="153" t="s">
        <v>435</v>
      </c>
      <c r="E77" s="88"/>
    </row>
    <row r="78" spans="1:35" ht="12.75">
      <c r="A78"/>
      <c r="B78" t="s">
        <v>433</v>
      </c>
      <c r="C78" s="98"/>
      <c r="D78" s="98"/>
      <c r="E78" s="98"/>
      <c r="F78" s="98"/>
      <c r="G78" s="98"/>
      <c r="H78" s="98"/>
      <c r="I78" s="98"/>
      <c r="J78" s="98"/>
      <c r="K78" s="98"/>
      <c r="L78" s="98"/>
      <c r="M78" s="98"/>
      <c r="N78" s="98"/>
    </row>
    <row r="82" spans="2:14">
      <c r="B82" s="149" t="s">
        <v>1202</v>
      </c>
      <c r="C82" s="499">
        <f>IFERROR((C$23/C$14)/C58,0)</f>
        <v>0.5676869998499946</v>
      </c>
      <c r="D82" s="499">
        <f t="shared" ref="D82:N82" si="11">IFERROR((D$23/D$14)/D58,0)</f>
        <v>0</v>
      </c>
      <c r="E82" s="499">
        <f t="shared" si="11"/>
        <v>0</v>
      </c>
      <c r="F82" s="499">
        <f t="shared" si="11"/>
        <v>0</v>
      </c>
      <c r="G82" s="499">
        <f t="shared" si="11"/>
        <v>0</v>
      </c>
      <c r="H82" s="499">
        <f t="shared" si="11"/>
        <v>0</v>
      </c>
      <c r="I82" s="499">
        <f t="shared" si="11"/>
        <v>0</v>
      </c>
      <c r="J82" s="499">
        <f t="shared" si="11"/>
        <v>0</v>
      </c>
      <c r="K82" s="499">
        <f t="shared" si="11"/>
        <v>0</v>
      </c>
      <c r="L82" s="499">
        <f t="shared" si="11"/>
        <v>0</v>
      </c>
      <c r="M82" s="499">
        <f t="shared" si="11"/>
        <v>0</v>
      </c>
      <c r="N82" s="499">
        <f t="shared" si="11"/>
        <v>0</v>
      </c>
    </row>
    <row r="83" spans="2:14">
      <c r="B83" s="149" t="s">
        <v>1203</v>
      </c>
      <c r="C83" s="499">
        <f>IFERROR((C$23/C$14)/C59,0)</f>
        <v>0.55555555555555558</v>
      </c>
      <c r="D83" s="499">
        <f t="shared" ref="D83:N83" si="12">IFERROR((D$23/D$14)/D59,0)</f>
        <v>0</v>
      </c>
      <c r="E83" s="499">
        <f t="shared" si="12"/>
        <v>0</v>
      </c>
      <c r="F83" s="499">
        <f t="shared" si="12"/>
        <v>0</v>
      </c>
      <c r="G83" s="499">
        <f t="shared" si="12"/>
        <v>0</v>
      </c>
      <c r="H83" s="499">
        <f t="shared" si="12"/>
        <v>0</v>
      </c>
      <c r="I83" s="499">
        <f t="shared" si="12"/>
        <v>0</v>
      </c>
      <c r="J83" s="499">
        <f t="shared" si="12"/>
        <v>0</v>
      </c>
      <c r="K83" s="499">
        <f t="shared" si="12"/>
        <v>0</v>
      </c>
      <c r="L83" s="499">
        <f t="shared" si="12"/>
        <v>0</v>
      </c>
      <c r="M83" s="499">
        <f t="shared" si="12"/>
        <v>0</v>
      </c>
      <c r="N83" s="499">
        <f t="shared" si="12"/>
        <v>0</v>
      </c>
    </row>
    <row r="84" spans="2:14">
      <c r="B84" s="149" t="s">
        <v>1204</v>
      </c>
      <c r="C84" s="499">
        <f>IFERROR((C$23/C$14)/C60,0)</f>
        <v>0.55555555555555558</v>
      </c>
      <c r="D84" s="499">
        <f t="shared" ref="D84:N84" si="13">IFERROR((D$23/D$14)/D60,0)</f>
        <v>0</v>
      </c>
      <c r="E84" s="499">
        <f t="shared" si="13"/>
        <v>0</v>
      </c>
      <c r="F84" s="499">
        <f t="shared" si="13"/>
        <v>0</v>
      </c>
      <c r="G84" s="499">
        <f t="shared" si="13"/>
        <v>0</v>
      </c>
      <c r="H84" s="499">
        <f t="shared" si="13"/>
        <v>0</v>
      </c>
      <c r="I84" s="499">
        <f t="shared" si="13"/>
        <v>0</v>
      </c>
      <c r="J84" s="499">
        <f t="shared" si="13"/>
        <v>0</v>
      </c>
      <c r="K84" s="499">
        <f t="shared" si="13"/>
        <v>0</v>
      </c>
      <c r="L84" s="499">
        <f t="shared" si="13"/>
        <v>0</v>
      </c>
      <c r="M84" s="499">
        <f t="shared" si="13"/>
        <v>0</v>
      </c>
      <c r="N84" s="499">
        <f t="shared" si="13"/>
        <v>0</v>
      </c>
    </row>
    <row r="85" spans="2:14" ht="409.6">
      <c r="G85" s="44"/>
    </row>
    <row r="87" spans="2:14">
      <c r="G87" s="150"/>
    </row>
  </sheetData>
  <mergeCells count="3">
    <mergeCell ref="C7:E7"/>
    <mergeCell ref="F7:L7"/>
    <mergeCell ref="M7:N7"/>
  </mergeCells>
  <conditionalFormatting sqref="C71:N71">
    <cfRule type="cellIs" dxfId="51" priority="6" operator="greaterThanOrEqual">
      <formula>C73</formula>
    </cfRule>
  </conditionalFormatting>
  <conditionalFormatting sqref="C55:N55">
    <cfRule type="cellIs" dxfId="50" priority="8" operator="greaterThanOrEqual">
      <formula>C56</formula>
    </cfRule>
  </conditionalFormatting>
  <conditionalFormatting sqref="C63:N63">
    <cfRule type="cellIs" dxfId="49" priority="7" operator="greaterThanOrEqual">
      <formula>C65</formula>
    </cfRule>
  </conditionalFormatting>
  <conditionalFormatting sqref="C53:N53">
    <cfRule type="cellIs" dxfId="48" priority="11" operator="greaterThanOrEqual">
      <formula>C54</formula>
    </cfRule>
  </conditionalFormatting>
  <conditionalFormatting sqref="C54:N54">
    <cfRule type="cellIs" dxfId="47" priority="5" operator="greaterThanOrEqual">
      <formula>C55</formula>
    </cfRule>
  </conditionalFormatting>
  <conditionalFormatting sqref="C59:N59">
    <cfRule type="cellIs" dxfId="46" priority="4" operator="greaterThanOrEqual">
      <formula>C60</formula>
    </cfRule>
  </conditionalFormatting>
  <conditionalFormatting sqref="C67:N67">
    <cfRule type="cellIs" dxfId="45" priority="3" operator="greaterThanOrEqual">
      <formula>C68</formula>
    </cfRule>
  </conditionalFormatting>
  <conditionalFormatting sqref="C62:N62 C70:N70">
    <cfRule type="cellIs" dxfId="44" priority="102" operator="greaterThanOrEqual">
      <formula>C65</formula>
    </cfRule>
  </conditionalFormatting>
  <conditionalFormatting sqref="C68:N69 C60:N61">
    <cfRule type="cellIs" dxfId="43" priority="103" operator="greaterThanOrEqual">
      <formula>C64</formula>
    </cfRule>
  </conditionalFormatting>
  <conditionalFormatting sqref="C58:N58">
    <cfRule type="cellIs" dxfId="42" priority="2" operator="greaterThanOrEqual">
      <formula>C59</formula>
    </cfRule>
  </conditionalFormatting>
  <conditionalFormatting sqref="C66:N66">
    <cfRule type="cellIs" dxfId="41" priority="1" operator="greaterThanOrEqual">
      <formula>C67</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50"/>
    <pageSetUpPr fitToPage="1"/>
  </sheetPr>
  <dimension ref="A1:P87"/>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1304</v>
      </c>
    </row>
    <row r="2" spans="1:16" s="8" customFormat="1" ht="15.6">
      <c r="A2" s="624"/>
      <c r="B2" s="8" t="s">
        <v>1267</v>
      </c>
    </row>
    <row r="3" spans="1:16" s="8" customFormat="1" ht="15.6">
      <c r="A3" s="624"/>
    </row>
    <row r="4" spans="1:16" ht="21">
      <c r="A4" s="124" t="s">
        <v>1053</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1058</v>
      </c>
      <c r="C9" s="320">
        <v>3</v>
      </c>
      <c r="D9" s="320">
        <v>4</v>
      </c>
      <c r="E9" s="320">
        <v>5</v>
      </c>
      <c r="F9" s="320">
        <v>6</v>
      </c>
      <c r="G9" s="320">
        <v>7</v>
      </c>
      <c r="H9" s="320">
        <v>8</v>
      </c>
      <c r="I9" s="320">
        <v>9</v>
      </c>
      <c r="J9" s="320">
        <v>10</v>
      </c>
      <c r="K9" s="320">
        <v>11</v>
      </c>
      <c r="L9" s="320">
        <v>12</v>
      </c>
      <c r="M9" s="320">
        <v>13</v>
      </c>
      <c r="N9" s="320">
        <v>14</v>
      </c>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15" ht="15.6">
      <c r="A17" s="113" t="s">
        <v>427</v>
      </c>
      <c r="C17" s="5"/>
      <c r="D17" s="5"/>
      <c r="E17" s="5"/>
      <c r="F17" s="5"/>
      <c r="G17" s="5"/>
      <c r="H17" s="5"/>
      <c r="I17" s="5"/>
      <c r="J17" s="5"/>
      <c r="K17" s="5"/>
      <c r="L17" s="5"/>
      <c r="M17" s="115"/>
      <c r="N17" s="5"/>
    </row>
    <row r="18" spans="1:15">
      <c r="A18" s="114"/>
      <c r="B18" t="s">
        <v>428</v>
      </c>
      <c r="C18" s="145">
        <v>0</v>
      </c>
      <c r="D18" s="145">
        <v>0</v>
      </c>
      <c r="E18" s="145">
        <v>0</v>
      </c>
      <c r="F18" s="145">
        <v>0</v>
      </c>
      <c r="G18" s="145">
        <v>0</v>
      </c>
      <c r="H18" s="145">
        <v>0</v>
      </c>
      <c r="I18" s="145">
        <v>0</v>
      </c>
      <c r="J18" s="145">
        <v>0</v>
      </c>
      <c r="K18" s="145">
        <v>0</v>
      </c>
      <c r="L18" s="145">
        <v>0</v>
      </c>
      <c r="M18" s="145">
        <v>0</v>
      </c>
      <c r="N18" s="145">
        <v>0</v>
      </c>
    </row>
    <row r="19" spans="1:15">
      <c r="A19" s="114"/>
      <c r="B19" t="s">
        <v>429</v>
      </c>
      <c r="C19" s="145">
        <v>0</v>
      </c>
      <c r="D19" s="145">
        <v>0</v>
      </c>
      <c r="E19" s="145">
        <v>0</v>
      </c>
      <c r="F19" s="145">
        <v>0</v>
      </c>
      <c r="G19" s="145">
        <v>0</v>
      </c>
      <c r="H19" s="145">
        <v>0</v>
      </c>
      <c r="I19" s="145">
        <v>0</v>
      </c>
      <c r="J19" s="145">
        <v>0</v>
      </c>
      <c r="K19" s="145">
        <v>0</v>
      </c>
      <c r="L19" s="145">
        <v>0</v>
      </c>
      <c r="M19" s="145">
        <v>0</v>
      </c>
      <c r="N19" s="145">
        <v>0</v>
      </c>
    </row>
    <row r="20" spans="1:15">
      <c r="A20" s="114"/>
      <c r="C20" s="5"/>
      <c r="D20" s="5"/>
      <c r="E20" s="5"/>
      <c r="F20" s="5"/>
      <c r="G20" s="5"/>
      <c r="H20" s="5"/>
      <c r="I20" s="5"/>
      <c r="J20" s="5"/>
      <c r="K20" s="5"/>
      <c r="L20" s="5"/>
      <c r="M20" s="115"/>
      <c r="N20" s="5"/>
    </row>
    <row r="21" spans="1:15" ht="15.6">
      <c r="A21" s="113" t="s">
        <v>424</v>
      </c>
      <c r="C21" s="5"/>
      <c r="D21" s="5"/>
      <c r="E21" s="5"/>
      <c r="F21" s="5"/>
      <c r="G21" s="5"/>
      <c r="H21" s="5"/>
      <c r="I21" s="5"/>
      <c r="J21" s="5"/>
      <c r="K21" s="5"/>
      <c r="L21" s="5"/>
      <c r="M21" s="115"/>
      <c r="N21" s="5"/>
    </row>
    <row r="22" spans="1:15" s="106" customFormat="1">
      <c r="A22" s="109"/>
      <c r="B22" s="108" t="str">
        <f>"PRIOR - "&amp;MANUAL!$B$9</f>
        <v>PRIOR - 2016</v>
      </c>
      <c r="C22" s="142">
        <f>VLOOKUP($B$9,'KWH FCST'!$A$33:$O$41,C9-1,FALSE)</f>
        <v>0</v>
      </c>
      <c r="D22" s="142">
        <f>VLOOKUP($B$9,'KWH FCST'!$A$33:$O$41,D9-1,FALSE)</f>
        <v>76000</v>
      </c>
      <c r="E22" s="142">
        <f>VLOOKUP($B$9,'KWH FCST'!$A$33:$O$41,E9-1,FALSE)</f>
        <v>0</v>
      </c>
      <c r="F22" s="142">
        <f>VLOOKUP($B$9,'KWH FCST'!$A$33:$O$41,F9-1,FALSE)</f>
        <v>0</v>
      </c>
      <c r="G22" s="142">
        <f>VLOOKUP($B$9,'KWH FCST'!$A$33:$O$41,G9-1,FALSE)</f>
        <v>0</v>
      </c>
      <c r="H22" s="142">
        <f>VLOOKUP($B$9,'KWH FCST'!$A$33:$O$41,H9-1,FALSE)</f>
        <v>0</v>
      </c>
      <c r="I22" s="142">
        <f>VLOOKUP($B$9,'KWH FCST'!$A$33:$O$41,I9-1,FALSE)</f>
        <v>0</v>
      </c>
      <c r="J22" s="142">
        <f>VLOOKUP($B$9,'KWH FCST'!$A$33:$O$41,J9-1,FALSE)</f>
        <v>0</v>
      </c>
      <c r="K22" s="142">
        <f>VLOOKUP($B$9,'KWH FCST'!$A$33:$O$41,K9-1,FALSE)</f>
        <v>76000</v>
      </c>
      <c r="L22" s="142">
        <f>VLOOKUP($B$9,'KWH FCST'!$A$33:$O$41,L9-1,FALSE)</f>
        <v>0</v>
      </c>
      <c r="M22" s="142">
        <f>VLOOKUP($B$9,'KWH FCST'!$A$33:$O$41,M9-1,FALSE)</f>
        <v>0</v>
      </c>
      <c r="N22" s="142">
        <f>VLOOKUP($B$9,'KWH FCST'!$A$33:$O$41,N9-1,FALSE)</f>
        <v>0</v>
      </c>
    </row>
    <row r="23" spans="1:15" s="12" customFormat="1" ht="15.6">
      <c r="A23" s="111"/>
      <c r="B23" s="108" t="str">
        <f>"TEST - "&amp;MANUAL!$B$10</f>
        <v>TEST - 2017</v>
      </c>
      <c r="C23" s="142">
        <f>VLOOKUP($B$9,'KWH FCST'!$A$79:$O$87,C9-1,FALSE)</f>
        <v>0</v>
      </c>
      <c r="D23" s="142">
        <f>VLOOKUP($B$9,'KWH FCST'!$A$79:$O$87,D9-1,FALSE)</f>
        <v>76000</v>
      </c>
      <c r="E23" s="142">
        <f>VLOOKUP($B$9,'KWH FCST'!$A$79:$O$87,E9-1,FALSE)</f>
        <v>0</v>
      </c>
      <c r="F23" s="142">
        <f>VLOOKUP($B$9,'KWH FCST'!$A$79:$O$87,F9-1,FALSE)</f>
        <v>0</v>
      </c>
      <c r="G23" s="142">
        <f>VLOOKUP($B$9,'KWH FCST'!$A$79:$O$87,G9-1,FALSE)</f>
        <v>0</v>
      </c>
      <c r="H23" s="142">
        <f>VLOOKUP($B$9,'KWH FCST'!$A$79:$O$87,H9-1,FALSE)</f>
        <v>0</v>
      </c>
      <c r="I23" s="142">
        <f>VLOOKUP($B$9,'KWH FCST'!$A$79:$O$87,I9-1,FALSE)</f>
        <v>0</v>
      </c>
      <c r="J23" s="142">
        <f>VLOOKUP($B$9,'KWH FCST'!$A$79:$O$87,J9-1,FALSE)</f>
        <v>0</v>
      </c>
      <c r="K23" s="142">
        <f>VLOOKUP($B$9,'KWH FCST'!$A$79:$O$87,K9-1,FALSE)</f>
        <v>76000</v>
      </c>
      <c r="L23" s="142">
        <f>VLOOKUP($B$9,'KWH FCST'!$A$79:$O$87,L9-1,FALSE)</f>
        <v>0</v>
      </c>
      <c r="M23" s="142">
        <f>VLOOKUP($B$9,'KWH FCST'!$A$79:$O$87,M9-1,FALSE)</f>
        <v>0</v>
      </c>
      <c r="N23" s="142">
        <f>VLOOKUP($B$9,'KWH FCST'!$A$79:$O$87,N9-1,FALSE)</f>
        <v>0</v>
      </c>
    </row>
    <row r="24" spans="1:15">
      <c r="A24" s="114"/>
      <c r="B24" t="s">
        <v>1094</v>
      </c>
      <c r="C24" s="142">
        <f>VLOOKUP($B$9,'KWH FCST'!$A$125:$O$133,C9-1,FALSE)</f>
        <v>0</v>
      </c>
      <c r="D24" s="142">
        <f>VLOOKUP($B$9,'KWH FCST'!$A$125:$O$133,D9-1,FALSE)</f>
        <v>76000</v>
      </c>
      <c r="E24" s="142">
        <f>VLOOKUP($B$9,'KWH FCST'!$A$125:$O$133,E9-1,FALSE)</f>
        <v>0</v>
      </c>
      <c r="F24" s="142">
        <f>VLOOKUP($B$9,'KWH FCST'!$A$125:$O$133,F9-1,FALSE)</f>
        <v>0</v>
      </c>
      <c r="G24" s="142">
        <f>VLOOKUP($B$9,'KWH FCST'!$A$125:$O$133,G9-1,FALSE)</f>
        <v>0</v>
      </c>
      <c r="H24" s="142">
        <f>VLOOKUP($B$9,'KWH FCST'!$A$125:$O$133,H9-1,FALSE)</f>
        <v>0</v>
      </c>
      <c r="I24" s="142">
        <f>VLOOKUP($B$9,'KWH FCST'!$A$125:$O$133,I9-1,FALSE)</f>
        <v>0</v>
      </c>
      <c r="J24" s="142">
        <f>VLOOKUP($B$9,'KWH FCST'!$A$125:$O$133,J9-1,FALSE)</f>
        <v>0</v>
      </c>
      <c r="K24" s="142">
        <f>VLOOKUP($B$9,'KWH FCST'!$A$125:$O$133,K9-1,FALSE)</f>
        <v>76000</v>
      </c>
      <c r="L24" s="142">
        <f>VLOOKUP($B$9,'KWH FCST'!$A$125:$O$133,L9-1,FALSE)</f>
        <v>0</v>
      </c>
      <c r="M24" s="142">
        <f>VLOOKUP($B$9,'KWH FCST'!$A$125:$O$133,M9-1,FALSE)</f>
        <v>0</v>
      </c>
      <c r="N24" s="142">
        <f>VLOOKUP($B$9,'KWH FCST'!$A$125:$O$133,N9-1,FALSE)</f>
        <v>0</v>
      </c>
      <c r="O24" s="142"/>
    </row>
    <row r="25" spans="1:15">
      <c r="A25" s="114"/>
      <c r="C25" s="142"/>
      <c r="D25" s="142"/>
      <c r="E25" s="142"/>
      <c r="F25" s="142"/>
      <c r="G25" s="142"/>
      <c r="H25" s="142"/>
      <c r="I25" s="142"/>
      <c r="J25" s="142"/>
      <c r="K25" s="142"/>
      <c r="L25" s="142"/>
      <c r="M25" s="142"/>
      <c r="N25" s="142"/>
      <c r="O25" s="142"/>
    </row>
    <row r="26" spans="1:15" ht="15.6">
      <c r="A26" s="113" t="s">
        <v>1248</v>
      </c>
      <c r="C26" s="142"/>
      <c r="D26" s="142"/>
      <c r="E26" s="142"/>
      <c r="F26" s="142"/>
      <c r="G26" s="142"/>
      <c r="H26" s="142"/>
      <c r="I26" s="142"/>
      <c r="J26" s="142"/>
      <c r="K26" s="142"/>
      <c r="L26" s="142"/>
      <c r="M26" s="142"/>
      <c r="N26" s="142"/>
      <c r="O26" s="142"/>
    </row>
    <row r="27" spans="1:15">
      <c r="A27" s="114"/>
      <c r="B27" t="s">
        <v>1254</v>
      </c>
      <c r="C27" s="115">
        <v>1</v>
      </c>
      <c r="D27" s="115">
        <v>1</v>
      </c>
      <c r="E27" s="115">
        <v>1</v>
      </c>
      <c r="F27" s="115">
        <v>1</v>
      </c>
      <c r="G27" s="115">
        <v>1</v>
      </c>
      <c r="H27" s="115">
        <v>1</v>
      </c>
      <c r="I27" s="115">
        <v>1</v>
      </c>
      <c r="J27" s="115">
        <v>1</v>
      </c>
      <c r="K27" s="115">
        <v>1</v>
      </c>
      <c r="L27" s="115">
        <v>1</v>
      </c>
      <c r="M27" s="115">
        <v>1</v>
      </c>
      <c r="N27" s="115">
        <v>1</v>
      </c>
      <c r="O27" s="142"/>
    </row>
    <row r="28" spans="1:15">
      <c r="A28" s="114"/>
      <c r="B28" t="s">
        <v>1253</v>
      </c>
      <c r="C28" s="115">
        <v>0</v>
      </c>
      <c r="D28" s="115">
        <v>0</v>
      </c>
      <c r="E28" s="115">
        <v>0</v>
      </c>
      <c r="F28" s="115">
        <v>0</v>
      </c>
      <c r="G28" s="115">
        <v>0</v>
      </c>
      <c r="H28" s="115">
        <v>0</v>
      </c>
      <c r="I28" s="115">
        <v>0</v>
      </c>
      <c r="J28" s="115">
        <v>0</v>
      </c>
      <c r="K28" s="115">
        <v>0</v>
      </c>
      <c r="L28" s="115">
        <v>0</v>
      </c>
      <c r="M28" s="115">
        <v>0</v>
      </c>
      <c r="N28" s="115">
        <v>0</v>
      </c>
      <c r="O28" s="142"/>
    </row>
    <row r="29" spans="1:15">
      <c r="A29" s="114"/>
      <c r="B29" t="s">
        <v>1252</v>
      </c>
      <c r="C29" s="115">
        <v>0</v>
      </c>
      <c r="D29" s="115">
        <v>0</v>
      </c>
      <c r="E29" s="115">
        <v>0</v>
      </c>
      <c r="F29" s="115">
        <v>0</v>
      </c>
      <c r="G29" s="115">
        <v>0</v>
      </c>
      <c r="H29" s="115">
        <v>0</v>
      </c>
      <c r="I29" s="115">
        <v>0</v>
      </c>
      <c r="J29" s="115">
        <v>0</v>
      </c>
      <c r="K29" s="115">
        <v>0</v>
      </c>
      <c r="L29" s="115">
        <v>0</v>
      </c>
      <c r="M29" s="115">
        <v>0</v>
      </c>
      <c r="N29" s="115">
        <v>0</v>
      </c>
      <c r="O29" s="142"/>
    </row>
    <row r="30" spans="1:15" ht="15.6">
      <c r="A30" s="114"/>
      <c r="B30" s="513">
        <v>2017</v>
      </c>
      <c r="C30" s="115"/>
      <c r="D30" s="115"/>
      <c r="E30" s="115"/>
      <c r="F30" s="115"/>
      <c r="G30" s="115"/>
      <c r="H30" s="115"/>
      <c r="I30" s="115"/>
      <c r="J30" s="115"/>
      <c r="K30" s="115"/>
      <c r="L30" s="115"/>
      <c r="M30" s="115"/>
      <c r="N30" s="115"/>
      <c r="O30" s="142"/>
    </row>
    <row r="31" spans="1:15">
      <c r="A31" s="114"/>
      <c r="B31" t="s">
        <v>1249</v>
      </c>
      <c r="C31" s="535">
        <v>1.0218365997299901</v>
      </c>
      <c r="D31" s="535">
        <v>1.0218365997299901</v>
      </c>
      <c r="E31" s="535">
        <v>1.0218365997299901</v>
      </c>
      <c r="F31" s="535">
        <v>1.0218365997299901</v>
      </c>
      <c r="G31" s="535">
        <v>1.0218365997299901</v>
      </c>
      <c r="H31" s="535">
        <v>1.0218365997299901</v>
      </c>
      <c r="I31" s="535">
        <v>1.0218365997299901</v>
      </c>
      <c r="J31" s="535">
        <v>1.0218365997299901</v>
      </c>
      <c r="K31" s="535">
        <v>1.0218365997299901</v>
      </c>
      <c r="L31" s="535">
        <v>1.0218365997299901</v>
      </c>
      <c r="M31" s="535">
        <v>1.0218365997299901</v>
      </c>
      <c r="N31" s="535">
        <v>1.0218365997299901</v>
      </c>
      <c r="O31" s="142"/>
    </row>
    <row r="32" spans="1:15">
      <c r="A32" s="114"/>
      <c r="B32" t="s">
        <v>1250</v>
      </c>
      <c r="C32" s="535">
        <v>1.0348230487446399</v>
      </c>
      <c r="D32" s="535">
        <v>1.0348230487446399</v>
      </c>
      <c r="E32" s="535">
        <v>1.0348230487446399</v>
      </c>
      <c r="F32" s="535">
        <v>1.0348230487446399</v>
      </c>
      <c r="G32" s="535">
        <v>1.0348230487446399</v>
      </c>
      <c r="H32" s="535">
        <v>1.0348230487446399</v>
      </c>
      <c r="I32" s="535">
        <v>1.0348230487446399</v>
      </c>
      <c r="J32" s="535">
        <v>1.0348230487446399</v>
      </c>
      <c r="K32" s="535">
        <v>1.0348230487446399</v>
      </c>
      <c r="L32" s="535">
        <v>1.0348230487446399</v>
      </c>
      <c r="M32" s="535">
        <v>1.0348230487446399</v>
      </c>
      <c r="N32" s="535">
        <v>1.0348230487446399</v>
      </c>
      <c r="O32" s="142"/>
    </row>
    <row r="33" spans="1:15">
      <c r="A33" s="114"/>
      <c r="B33" t="s">
        <v>1251</v>
      </c>
      <c r="C33" s="535">
        <v>1.0644101070756899</v>
      </c>
      <c r="D33" s="535">
        <v>1.0644101070756899</v>
      </c>
      <c r="E33" s="535">
        <v>1.0644101070756899</v>
      </c>
      <c r="F33" s="535">
        <v>1.0644101070756899</v>
      </c>
      <c r="G33" s="535">
        <v>1.0644101070756899</v>
      </c>
      <c r="H33" s="535">
        <v>1.0644101070756899</v>
      </c>
      <c r="I33" s="535">
        <v>1.0644101070756899</v>
      </c>
      <c r="J33" s="535">
        <v>1.0644101070756899</v>
      </c>
      <c r="K33" s="535">
        <v>1.0644101070756899</v>
      </c>
      <c r="L33" s="535">
        <v>1.0644101070756899</v>
      </c>
      <c r="M33" s="535">
        <v>1.0644101070756899</v>
      </c>
      <c r="N33" s="535">
        <v>1.0644101070756899</v>
      </c>
      <c r="O33" s="142"/>
    </row>
    <row r="34" spans="1:15">
      <c r="A34" s="114"/>
      <c r="B34" t="s">
        <v>1255</v>
      </c>
      <c r="C34" s="107">
        <f>HLOOKUP($B9,Summary_CP!$A$5:$N$161,107+C$9,FALSE)*1000</f>
        <v>19000</v>
      </c>
      <c r="D34" s="107">
        <f>HLOOKUP($B9,Summary_CP!$A$5:$N$161,107+D$9,FALSE)*1000</f>
        <v>0</v>
      </c>
      <c r="E34" s="107">
        <f>HLOOKUP($B9,Summary_CP!$A$5:$N$161,107+E$9,FALSE)*1000</f>
        <v>0</v>
      </c>
      <c r="F34" s="107">
        <f>HLOOKUP($B9,Summary_CP!$A$5:$N$161,107+F$9,FALSE)*1000</f>
        <v>0</v>
      </c>
      <c r="G34" s="107">
        <f>HLOOKUP($B9,Summary_CP!$A$5:$N$161,107+G$9,FALSE)*1000</f>
        <v>0</v>
      </c>
      <c r="H34" s="107">
        <f>HLOOKUP($B9,Summary_CP!$A$5:$N$161,107+H$9,FALSE)*1000</f>
        <v>0</v>
      </c>
      <c r="I34" s="107">
        <f>HLOOKUP($B9,Summary_CP!$A$5:$N$161,107+I$9,FALSE)*1000</f>
        <v>0</v>
      </c>
      <c r="J34" s="107">
        <f>HLOOKUP($B9,Summary_CP!$A$5:$N$161,107+J$9,FALSE)*1000</f>
        <v>19000</v>
      </c>
      <c r="K34" s="107">
        <f>HLOOKUP($B9,Summary_CP!$A$5:$N$161,107+K$9,FALSE)*1000</f>
        <v>0</v>
      </c>
      <c r="L34" s="107">
        <f>HLOOKUP($B9,Summary_CP!$A$5:$N$161,107+L$9,FALSE)*1000</f>
        <v>0</v>
      </c>
      <c r="M34" s="107">
        <f>HLOOKUP($B9,Summary_CP!$A$5:$N$161,107+M$9,FALSE)*1000</f>
        <v>0</v>
      </c>
      <c r="N34" s="107">
        <f>HLOOKUP($B9,Summary_CP!$A$5:$N$161,107+N$9,FALSE)*1000</f>
        <v>0</v>
      </c>
      <c r="O34" s="142"/>
    </row>
    <row r="35" spans="1:15">
      <c r="A35" s="114"/>
      <c r="B35" t="s">
        <v>1256</v>
      </c>
      <c r="C35" s="107">
        <f>IFERROR((C34*C27*C31)+(C34*C28*C32)+(C34*C29*C33),0)</f>
        <v>19414.895394869811</v>
      </c>
      <c r="D35" s="107">
        <f t="shared" ref="D35:N35" si="0">IFERROR((D34*D27*D31)+(D34*D28*D32)+(D34*D29*D33),0)</f>
        <v>0</v>
      </c>
      <c r="E35" s="107">
        <f t="shared" si="0"/>
        <v>0</v>
      </c>
      <c r="F35" s="107">
        <f t="shared" si="0"/>
        <v>0</v>
      </c>
      <c r="G35" s="107">
        <f t="shared" si="0"/>
        <v>0</v>
      </c>
      <c r="H35" s="107">
        <f t="shared" si="0"/>
        <v>0</v>
      </c>
      <c r="I35" s="107">
        <f t="shared" si="0"/>
        <v>0</v>
      </c>
      <c r="J35" s="107">
        <f t="shared" si="0"/>
        <v>19414.895394869811</v>
      </c>
      <c r="K35" s="107">
        <f t="shared" si="0"/>
        <v>0</v>
      </c>
      <c r="L35" s="107">
        <f t="shared" si="0"/>
        <v>0</v>
      </c>
      <c r="M35" s="107">
        <f t="shared" si="0"/>
        <v>0</v>
      </c>
      <c r="N35" s="107">
        <f t="shared" si="0"/>
        <v>0</v>
      </c>
      <c r="O35" s="142"/>
    </row>
    <row r="36" spans="1:15">
      <c r="A36" s="114"/>
      <c r="B36" t="s">
        <v>1257</v>
      </c>
      <c r="C36" s="235">
        <f>BLOUNTSTOWN!C36</f>
        <v>1228831.3297315862</v>
      </c>
      <c r="D36" s="235">
        <f>BLOUNTSTOWN!D36</f>
        <v>1010133.5524307521</v>
      </c>
      <c r="E36" s="235">
        <f>BLOUNTSTOWN!E36</f>
        <v>950254.07441993814</v>
      </c>
      <c r="F36" s="235">
        <f>BLOUNTSTOWN!F36</f>
        <v>959201.22858601715</v>
      </c>
      <c r="G36" s="235">
        <f>BLOUNTSTOWN!G36</f>
        <v>1065854.2376846557</v>
      </c>
      <c r="H36" s="235">
        <f>BLOUNTSTOWN!H36</f>
        <v>1140353.9142618102</v>
      </c>
      <c r="I36" s="235">
        <f>BLOUNTSTOWN!I36</f>
        <v>1132054.8391980769</v>
      </c>
      <c r="J36" s="235">
        <f>BLOUNTSTOWN!J36</f>
        <v>1312333.3808478254</v>
      </c>
      <c r="K36" s="235">
        <f>BLOUNTSTOWN!K36</f>
        <v>1038758.3890285973</v>
      </c>
      <c r="L36" s="235">
        <f>BLOUNTSTOWN!L36</f>
        <v>1068943.4704556046</v>
      </c>
      <c r="M36" s="235">
        <f>BLOUNTSTOWN!M36</f>
        <v>923783.94692739786</v>
      </c>
      <c r="N36" s="235">
        <f>BLOUNTSTOWN!N36</f>
        <v>882247.02789984096</v>
      </c>
      <c r="O36" s="142"/>
    </row>
    <row r="37" spans="1:15">
      <c r="A37" s="114"/>
      <c r="B37" t="s">
        <v>1258</v>
      </c>
      <c r="C37" s="235">
        <f>IFERROR('2017 CP (FNG)'!B12*1000-C36,0)</f>
        <v>-26260.067304411205</v>
      </c>
      <c r="D37" s="235">
        <f>IFERROR('2017 CP (FNG)'!C12*1000-D36,0)</f>
        <v>-21586.506163599784</v>
      </c>
      <c r="E37" s="235">
        <f>IFERROR('2017 CP (FNG)'!D12*1000-E36,0)</f>
        <v>-20306.884555107215</v>
      </c>
      <c r="F37" s="235">
        <f>IFERROR('2017 CP (FNG)'!E12*1000-F36,0)</f>
        <v>-20498.084815793671</v>
      </c>
      <c r="G37" s="235">
        <f>IFERROR('2017 CP (FNG)'!F12*1000-G36,0)</f>
        <v>-22777.254567886703</v>
      </c>
      <c r="H37" s="235">
        <f>IFERROR('2017 CP (FNG)'!G12*1000-H36,0)</f>
        <v>-24369.30912715639</v>
      </c>
      <c r="I37" s="235">
        <f>IFERROR('2017 CP (FNG)'!H12*1000-I36,0)</f>
        <v>-24191.95828618668</v>
      </c>
      <c r="J37" s="235">
        <f>IFERROR('2017 CP (FNG)'!I12*1000-J36,0)</f>
        <v>-28044.502181122778</v>
      </c>
      <c r="K37" s="235">
        <f>IFERROR('2017 CP (FNG)'!J12*1000-K36,0)</f>
        <v>-22198.217565685627</v>
      </c>
      <c r="L37" s="235">
        <f>IFERROR('2017 CP (FNG)'!K12*1000-L36,0)</f>
        <v>-22843.271325859241</v>
      </c>
      <c r="M37" s="235">
        <f>IFERROR('2017 CP (FNG)'!L12*1000-M36,0)</f>
        <v>-19741.219184529502</v>
      </c>
      <c r="N37" s="235">
        <f>IFERROR('2017 CP (FNG)'!M12*1000-N36,0)</f>
        <v>-18853.577192589175</v>
      </c>
      <c r="O37" s="142"/>
    </row>
    <row r="38" spans="1:15">
      <c r="A38" s="114"/>
      <c r="B38" t="s">
        <v>1259</v>
      </c>
      <c r="C38" s="235">
        <f>IFERROR(C35*C37/C36,0)</f>
        <v>-414.89539486981346</v>
      </c>
      <c r="D38" s="235">
        <f t="shared" ref="D38:N38" si="1">IFERROR(D35*D37/D36,0)</f>
        <v>0</v>
      </c>
      <c r="E38" s="235">
        <f t="shared" si="1"/>
        <v>0</v>
      </c>
      <c r="F38" s="235">
        <f t="shared" si="1"/>
        <v>0</v>
      </c>
      <c r="G38" s="235">
        <f t="shared" si="1"/>
        <v>0</v>
      </c>
      <c r="H38" s="235">
        <f t="shared" si="1"/>
        <v>0</v>
      </c>
      <c r="I38" s="235">
        <f t="shared" si="1"/>
        <v>0</v>
      </c>
      <c r="J38" s="235">
        <f t="shared" si="1"/>
        <v>-414.89539486981437</v>
      </c>
      <c r="K38" s="235">
        <f t="shared" si="1"/>
        <v>0</v>
      </c>
      <c r="L38" s="235">
        <f t="shared" si="1"/>
        <v>0</v>
      </c>
      <c r="M38" s="235">
        <f t="shared" si="1"/>
        <v>0</v>
      </c>
      <c r="N38" s="235">
        <f t="shared" si="1"/>
        <v>0</v>
      </c>
      <c r="O38" s="142"/>
    </row>
    <row r="39" spans="1:15">
      <c r="A39" s="114"/>
      <c r="B39" t="s">
        <v>1260</v>
      </c>
      <c r="C39" s="235">
        <f>IFERROR(((C38*C27)/C31)+((C38*C28)/C32)+((C38*C29)/C33),0)</f>
        <v>-406.02909993578754</v>
      </c>
      <c r="D39" s="235">
        <f t="shared" ref="D39:N39" si="2">IFERROR(((D38*D27)/D31)+((D38*D28)/D32)+((D38*D29)/D33),0)</f>
        <v>0</v>
      </c>
      <c r="E39" s="235">
        <f t="shared" si="2"/>
        <v>0</v>
      </c>
      <c r="F39" s="235">
        <f t="shared" si="2"/>
        <v>0</v>
      </c>
      <c r="G39" s="235">
        <f t="shared" si="2"/>
        <v>0</v>
      </c>
      <c r="H39" s="235">
        <f t="shared" si="2"/>
        <v>0</v>
      </c>
      <c r="I39" s="235">
        <f t="shared" si="2"/>
        <v>0</v>
      </c>
      <c r="J39" s="235">
        <f t="shared" si="2"/>
        <v>-406.02909993578839</v>
      </c>
      <c r="K39" s="235">
        <f t="shared" si="2"/>
        <v>0</v>
      </c>
      <c r="L39" s="235">
        <f t="shared" si="2"/>
        <v>0</v>
      </c>
      <c r="M39" s="235">
        <f t="shared" si="2"/>
        <v>0</v>
      </c>
      <c r="N39" s="235">
        <f t="shared" si="2"/>
        <v>0</v>
      </c>
      <c r="O39" s="142"/>
    </row>
    <row r="40" spans="1:15" ht="15.6">
      <c r="A40" s="114"/>
      <c r="B40" s="513">
        <v>2018</v>
      </c>
      <c r="C40" s="235"/>
      <c r="D40" s="235"/>
      <c r="E40" s="235"/>
      <c r="F40" s="235"/>
      <c r="G40" s="235"/>
      <c r="H40" s="235"/>
      <c r="I40" s="235"/>
      <c r="J40" s="235"/>
      <c r="K40" s="235"/>
      <c r="L40" s="235"/>
      <c r="M40" s="235"/>
      <c r="N40" s="235"/>
      <c r="O40" s="142"/>
    </row>
    <row r="41" spans="1:15">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c r="O41" s="142"/>
    </row>
    <row r="42" spans="1:15">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c r="O42" s="142"/>
    </row>
    <row r="43" spans="1:15">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c r="O43" s="142"/>
    </row>
    <row r="44" spans="1:15">
      <c r="A44" s="114"/>
      <c r="B44" t="s">
        <v>1255</v>
      </c>
      <c r="C44" s="235">
        <f>HLOOKUP($B9,Summary_CP!$A$5:$N$161,119+C$9,FALSE)*1000</f>
        <v>19000</v>
      </c>
      <c r="D44" s="235">
        <f>HLOOKUP($B9,Summary_CP!$A$5:$N$161,119+D$9,FALSE)*1000</f>
        <v>0</v>
      </c>
      <c r="E44" s="235">
        <f>HLOOKUP($B9,Summary_CP!$A$5:$N$161,119+E$9,FALSE)*1000</f>
        <v>0</v>
      </c>
      <c r="F44" s="235">
        <f>HLOOKUP($B9,Summary_CP!$A$5:$N$161,119+F$9,FALSE)*1000</f>
        <v>0</v>
      </c>
      <c r="G44" s="235">
        <f>HLOOKUP($B9,Summary_CP!$A$5:$N$161,119+G$9,FALSE)*1000</f>
        <v>0</v>
      </c>
      <c r="H44" s="235">
        <f>HLOOKUP($B9,Summary_CP!$A$5:$N$161,119+H$9,FALSE)*1000</f>
        <v>0</v>
      </c>
      <c r="I44" s="235">
        <f>HLOOKUP($B9,Summary_CP!$A$5:$N$161,119+I$9,FALSE)*1000</f>
        <v>0</v>
      </c>
      <c r="J44" s="235">
        <f>HLOOKUP($B9,Summary_CP!$A$5:$N$161,119+J$9,FALSE)*1000</f>
        <v>19000</v>
      </c>
      <c r="K44" s="235">
        <f>HLOOKUP($B9,Summary_CP!$A$5:$N$161,119+K$9,FALSE)*1000</f>
        <v>0</v>
      </c>
      <c r="L44" s="235">
        <f>HLOOKUP($B9,Summary_CP!$A$5:$N$161,119+L$9,FALSE)*1000</f>
        <v>0</v>
      </c>
      <c r="M44" s="235">
        <f>HLOOKUP($B9,Summary_CP!$A$5:$N$161,119+M$9,FALSE)*1000</f>
        <v>0</v>
      </c>
      <c r="N44" s="235">
        <f>HLOOKUP($B9,Summary_CP!$A$5:$N$161,119+N$9,FALSE)*1000</f>
        <v>0</v>
      </c>
      <c r="O44" s="142"/>
    </row>
    <row r="45" spans="1:15">
      <c r="A45" s="114"/>
      <c r="B45" t="s">
        <v>1256</v>
      </c>
      <c r="C45" s="107">
        <f>(C44*C27*C41)+(C44*C28*C42)+(C44*C29*C43)</f>
        <v>19416.41117866835</v>
      </c>
      <c r="D45" s="107">
        <f t="shared" ref="D45:N45" si="3">(D44*D27*D41)+(D44*D28*D42)+(D44*D29*D43)</f>
        <v>0</v>
      </c>
      <c r="E45" s="107">
        <f t="shared" si="3"/>
        <v>0</v>
      </c>
      <c r="F45" s="107">
        <f t="shared" si="3"/>
        <v>0</v>
      </c>
      <c r="G45" s="107">
        <f t="shared" si="3"/>
        <v>0</v>
      </c>
      <c r="H45" s="107">
        <f t="shared" si="3"/>
        <v>0</v>
      </c>
      <c r="I45" s="107">
        <f t="shared" si="3"/>
        <v>0</v>
      </c>
      <c r="J45" s="107">
        <f t="shared" si="3"/>
        <v>19416.41117866835</v>
      </c>
      <c r="K45" s="107">
        <f t="shared" si="3"/>
        <v>0</v>
      </c>
      <c r="L45" s="107">
        <f t="shared" si="3"/>
        <v>0</v>
      </c>
      <c r="M45" s="107">
        <f t="shared" si="3"/>
        <v>0</v>
      </c>
      <c r="N45" s="107">
        <f t="shared" si="3"/>
        <v>0</v>
      </c>
      <c r="O45" s="142"/>
    </row>
    <row r="46" spans="1:15">
      <c r="A46" s="114"/>
      <c r="B46" t="s">
        <v>1257</v>
      </c>
      <c r="C46" s="235">
        <f>BLOUNTSTOWN!C46</f>
        <v>1187849.8564563922</v>
      </c>
      <c r="D46" s="235">
        <f>BLOUNTSTOWN!D46</f>
        <v>1012049.3914328514</v>
      </c>
      <c r="E46" s="235">
        <f>BLOUNTSTOWN!E46</f>
        <v>952115.03381284571</v>
      </c>
      <c r="F46" s="235">
        <f>BLOUNTSTOWN!F46</f>
        <v>964452.787497274</v>
      </c>
      <c r="G46" s="235">
        <f>BLOUNTSTOWN!G46</f>
        <v>1071028.6042288018</v>
      </c>
      <c r="H46" s="235">
        <f>BLOUNTSTOWN!H46</f>
        <v>1144619.2235030248</v>
      </c>
      <c r="I46" s="235">
        <f>BLOUNTSTOWN!I46</f>
        <v>1139032.5608989701</v>
      </c>
      <c r="J46" s="235">
        <f>BLOUNTSTOWN!J46</f>
        <v>1275574.8512023324</v>
      </c>
      <c r="K46" s="235">
        <f>BLOUNTSTOWN!K46</f>
        <v>1044148.3639893566</v>
      </c>
      <c r="L46" s="235">
        <f>BLOUNTSTOWN!L46</f>
        <v>1072810.0069048663</v>
      </c>
      <c r="M46" s="235">
        <f>BLOUNTSTOWN!M46</f>
        <v>926247.14475638454</v>
      </c>
      <c r="N46" s="235">
        <f>BLOUNTSTOWN!N46</f>
        <v>884985.90326947428</v>
      </c>
      <c r="O46" s="142"/>
    </row>
    <row r="47" spans="1:15">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c r="O47" s="142"/>
    </row>
    <row r="48" spans="1:15">
      <c r="A48" s="114"/>
      <c r="B48" t="s">
        <v>1259</v>
      </c>
      <c r="C48" s="235">
        <f>C45*C47/C46</f>
        <v>-416.41117866834702</v>
      </c>
      <c r="D48" s="235">
        <f t="shared" ref="D48:N48" si="4">D45*D47/D46</f>
        <v>0</v>
      </c>
      <c r="E48" s="235">
        <f t="shared" si="4"/>
        <v>0</v>
      </c>
      <c r="F48" s="235">
        <f t="shared" si="4"/>
        <v>0</v>
      </c>
      <c r="G48" s="235">
        <f t="shared" si="4"/>
        <v>0</v>
      </c>
      <c r="H48" s="235">
        <f t="shared" si="4"/>
        <v>0</v>
      </c>
      <c r="I48" s="235">
        <f t="shared" si="4"/>
        <v>0</v>
      </c>
      <c r="J48" s="235">
        <f t="shared" si="4"/>
        <v>-416.41117866834855</v>
      </c>
      <c r="K48" s="235">
        <f t="shared" si="4"/>
        <v>0</v>
      </c>
      <c r="L48" s="235">
        <f t="shared" si="4"/>
        <v>0</v>
      </c>
      <c r="M48" s="235">
        <f t="shared" si="4"/>
        <v>0</v>
      </c>
      <c r="N48" s="235">
        <f t="shared" si="4"/>
        <v>0</v>
      </c>
      <c r="O48" s="142"/>
    </row>
    <row r="49" spans="1:16">
      <c r="A49" s="114"/>
      <c r="B49" t="s">
        <v>1260</v>
      </c>
      <c r="C49" s="235">
        <f>((C48*C27)/C41)+((C48*C28)/C42)+((C48*C29)/C43)</f>
        <v>-407.48067816934304</v>
      </c>
      <c r="D49" s="235">
        <f t="shared" ref="D49:N49" si="5">((D48*D27)/D41)+((D48*D28)/D42)+((D48*D29)/D43)</f>
        <v>0</v>
      </c>
      <c r="E49" s="235">
        <f t="shared" si="5"/>
        <v>0</v>
      </c>
      <c r="F49" s="235">
        <f t="shared" si="5"/>
        <v>0</v>
      </c>
      <c r="G49" s="235">
        <f t="shared" si="5"/>
        <v>0</v>
      </c>
      <c r="H49" s="235">
        <f t="shared" si="5"/>
        <v>0</v>
      </c>
      <c r="I49" s="235">
        <f t="shared" si="5"/>
        <v>0</v>
      </c>
      <c r="J49" s="235">
        <f t="shared" si="5"/>
        <v>-407.48067816934457</v>
      </c>
      <c r="K49" s="235">
        <f t="shared" si="5"/>
        <v>0</v>
      </c>
      <c r="L49" s="235">
        <f t="shared" si="5"/>
        <v>0</v>
      </c>
      <c r="M49" s="235">
        <f t="shared" si="5"/>
        <v>0</v>
      </c>
      <c r="N49" s="235">
        <f t="shared" si="5"/>
        <v>0</v>
      </c>
      <c r="O49" s="142"/>
    </row>
    <row r="50" spans="1:16">
      <c r="A50" s="114"/>
    </row>
    <row r="51" spans="1:16" ht="17.399999999999999">
      <c r="A51" s="147" t="s">
        <v>425</v>
      </c>
    </row>
    <row r="52" spans="1:16" ht="15.6">
      <c r="A52" s="113"/>
      <c r="B52" s="146" t="str">
        <f>"PRIOR - "&amp;MANUAL!$B$9</f>
        <v>PRIOR - 2016</v>
      </c>
      <c r="C52" s="5"/>
      <c r="D52" s="5"/>
      <c r="E52" s="5"/>
      <c r="F52" s="5"/>
      <c r="G52" s="5"/>
      <c r="H52" s="5"/>
      <c r="I52" s="5"/>
      <c r="J52" s="5"/>
      <c r="K52" s="5"/>
      <c r="L52" s="5"/>
      <c r="M52" s="5"/>
      <c r="N52" s="5"/>
    </row>
    <row r="53" spans="1:16" s="12" customFormat="1" ht="15.6">
      <c r="A53" s="111"/>
      <c r="B53" s="149" t="s">
        <v>432</v>
      </c>
      <c r="C53" s="107">
        <f>HLOOKUP($B9,Summary_CP!$A$5:$N$161,95+C$9,FALSE)*1000</f>
        <v>19000</v>
      </c>
      <c r="D53" s="107">
        <f>HLOOKUP($B9,Summary_CP!$A$5:$N$161,95+D$9,FALSE)*1000</f>
        <v>0</v>
      </c>
      <c r="E53" s="107">
        <f>HLOOKUP($B9,Summary_CP!$A$5:$N$161,95+E$9,FALSE)*1000</f>
        <v>0</v>
      </c>
      <c r="F53" s="107">
        <f>HLOOKUP($B9,Summary_CP!$A$5:$N$161,95+F$9,FALSE)*1000</f>
        <v>0</v>
      </c>
      <c r="G53" s="107">
        <f>HLOOKUP($B9,Summary_CP!$A$5:$N$161,95+G$9,FALSE)*1000</f>
        <v>0</v>
      </c>
      <c r="H53" s="107">
        <f>HLOOKUP($B9,Summary_CP!$A$5:$N$161,95+H$9,FALSE)*1000</f>
        <v>0</v>
      </c>
      <c r="I53" s="107">
        <f>HLOOKUP($B9,Summary_CP!$A$5:$N$161,95+I$9,FALSE)*1000</f>
        <v>0</v>
      </c>
      <c r="J53" s="107">
        <f>HLOOKUP($B9,Summary_CP!$A$5:$N$161,95+J$9,FALSE)*1000</f>
        <v>19000</v>
      </c>
      <c r="K53" s="107">
        <f>HLOOKUP($B9,Summary_CP!$A$5:$N$161,95+K$9,FALSE)*1000</f>
        <v>0</v>
      </c>
      <c r="L53" s="107">
        <f>HLOOKUP($B9,Summary_CP!$A$5:$N$161,95+L$9,FALSE)*1000</f>
        <v>0</v>
      </c>
      <c r="M53" s="107">
        <f>HLOOKUP($B9,Summary_CP!$A$5:$N$161,95+M$9,FALSE)*1000</f>
        <v>0</v>
      </c>
      <c r="N53" s="107">
        <f>HLOOKUP($B9,Summary_CP!$A$5:$N$161,95+N$9,FALSE)*1000</f>
        <v>0</v>
      </c>
      <c r="P53" s="152">
        <f>AVERAGE(C53:N53)</f>
        <v>3166.6666666666665</v>
      </c>
    </row>
    <row r="54" spans="1:16" s="12" customFormat="1" ht="15.6">
      <c r="A54" s="111"/>
      <c r="B54" s="149" t="s">
        <v>430</v>
      </c>
      <c r="C54" s="107">
        <f>C55</f>
        <v>19000</v>
      </c>
      <c r="D54" s="107">
        <f t="shared" ref="D54:N54" si="6">D55</f>
        <v>0</v>
      </c>
      <c r="E54" s="107">
        <f t="shared" si="6"/>
        <v>0</v>
      </c>
      <c r="F54" s="107">
        <f t="shared" si="6"/>
        <v>0</v>
      </c>
      <c r="G54" s="107">
        <f t="shared" si="6"/>
        <v>0</v>
      </c>
      <c r="H54" s="107">
        <f t="shared" si="6"/>
        <v>0</v>
      </c>
      <c r="I54" s="107">
        <f t="shared" si="6"/>
        <v>0</v>
      </c>
      <c r="J54" s="107">
        <f t="shared" si="6"/>
        <v>19000</v>
      </c>
      <c r="K54" s="107">
        <f t="shared" si="6"/>
        <v>0</v>
      </c>
      <c r="L54" s="107">
        <f t="shared" si="6"/>
        <v>0</v>
      </c>
      <c r="M54" s="107">
        <f t="shared" si="6"/>
        <v>0</v>
      </c>
      <c r="N54" s="107">
        <f t="shared" si="6"/>
        <v>0</v>
      </c>
      <c r="P54" s="152">
        <f>AVERAGE(C54:N54)</f>
        <v>3166.6666666666665</v>
      </c>
    </row>
    <row r="55" spans="1:16" s="106" customFormat="1">
      <c r="A55" s="109"/>
      <c r="B55" s="149" t="s">
        <v>133</v>
      </c>
      <c r="C55" s="107">
        <f>HLOOKUP($B$9,'Summary_NCP '!$C$5:$M$677,95+C$9,FALSE)*1000</f>
        <v>19000</v>
      </c>
      <c r="D55" s="107">
        <f>HLOOKUP($B$9,'Summary_NCP '!$C$5:$M$677,95+D$9,FALSE)*1000</f>
        <v>0</v>
      </c>
      <c r="E55" s="107">
        <f>HLOOKUP($B$9,'Summary_NCP '!$C$5:$M$677,95+E$9,FALSE)*1000</f>
        <v>0</v>
      </c>
      <c r="F55" s="107">
        <f>HLOOKUP($B$9,'Summary_NCP '!$C$5:$M$677,95+F$9,FALSE)*1000</f>
        <v>0</v>
      </c>
      <c r="G55" s="107">
        <f>HLOOKUP($B$9,'Summary_NCP '!$C$5:$M$677,95+G$9,FALSE)*1000</f>
        <v>0</v>
      </c>
      <c r="H55" s="107">
        <f>HLOOKUP($B$9,'Summary_NCP '!$C$5:$M$677,95+H$9,FALSE)*1000</f>
        <v>0</v>
      </c>
      <c r="I55" s="107">
        <f>HLOOKUP($B$9,'Summary_NCP '!$C$5:$M$677,95+I$9,FALSE)*1000</f>
        <v>0</v>
      </c>
      <c r="J55" s="107">
        <f>HLOOKUP($B$9,'Summary_NCP '!$C$5:$M$677,95+J$9,FALSE)*1000</f>
        <v>19000</v>
      </c>
      <c r="K55" s="107">
        <f>HLOOKUP($B$9,'Summary_NCP '!$C$5:$M$677,95+K$9,FALSE)*1000</f>
        <v>0</v>
      </c>
      <c r="L55" s="107">
        <f>HLOOKUP($B$9,'Summary_NCP '!$C$5:$M$677,95+L$9,FALSE)*1000</f>
        <v>0</v>
      </c>
      <c r="M55" s="107">
        <f>HLOOKUP($B$9,'Summary_NCP '!$C$5:$M$677,95+M$9,FALSE)*1000</f>
        <v>0</v>
      </c>
      <c r="N55" s="107">
        <f>HLOOKUP($B$9,'Summary_NCP '!$C$5:$M$677,95+N$9,FALSE)*1000</f>
        <v>0</v>
      </c>
      <c r="P55" s="152">
        <f>AVERAGE(C55:N55)</f>
        <v>3166.6666666666665</v>
      </c>
    </row>
    <row r="56" spans="1:16" s="106" customFormat="1" ht="16.5" customHeight="1">
      <c r="A56" s="109"/>
      <c r="B56" s="108"/>
      <c r="C56" s="107"/>
      <c r="D56" s="107"/>
      <c r="E56" s="107"/>
      <c r="F56" s="107"/>
      <c r="G56" s="107"/>
      <c r="H56" s="107"/>
      <c r="I56" s="107"/>
      <c r="J56" s="107"/>
      <c r="K56" s="107"/>
      <c r="L56" s="107"/>
      <c r="M56" s="107"/>
      <c r="N56" s="107"/>
    </row>
    <row r="57" spans="1:16" s="106" customFormat="1" ht="16.5" customHeight="1">
      <c r="A57" s="109"/>
      <c r="B57" s="146" t="str">
        <f>"TEST - "&amp;MANUAL!$B$10</f>
        <v>TEST - 2017</v>
      </c>
      <c r="C57" s="107"/>
      <c r="D57" s="107"/>
      <c r="E57" s="107"/>
      <c r="F57" s="107"/>
      <c r="G57" s="107"/>
      <c r="H57" s="107"/>
      <c r="I57" s="107"/>
      <c r="J57" s="107"/>
      <c r="K57" s="107"/>
      <c r="L57" s="107"/>
      <c r="M57" s="107"/>
      <c r="N57" s="107"/>
    </row>
    <row r="58" spans="1:16" s="106" customFormat="1" ht="16.5" customHeight="1">
      <c r="A58" s="109"/>
      <c r="B58" s="149" t="s">
        <v>432</v>
      </c>
      <c r="C58" s="107">
        <f>C34+C39</f>
        <v>18593.970900064214</v>
      </c>
      <c r="D58" s="107">
        <f>D34+D39</f>
        <v>0</v>
      </c>
      <c r="E58" s="107">
        <f t="shared" ref="E58:N58" si="7">E34+E39</f>
        <v>0</v>
      </c>
      <c r="F58" s="107">
        <f t="shared" si="7"/>
        <v>0</v>
      </c>
      <c r="G58" s="107">
        <f t="shared" si="7"/>
        <v>0</v>
      </c>
      <c r="H58" s="107">
        <f t="shared" si="7"/>
        <v>0</v>
      </c>
      <c r="I58" s="107">
        <f t="shared" si="7"/>
        <v>0</v>
      </c>
      <c r="J58" s="107">
        <f t="shared" si="7"/>
        <v>18593.970900064211</v>
      </c>
      <c r="K58" s="107">
        <f t="shared" si="7"/>
        <v>0</v>
      </c>
      <c r="L58" s="107">
        <f t="shared" si="7"/>
        <v>0</v>
      </c>
      <c r="M58" s="107">
        <f t="shared" si="7"/>
        <v>0</v>
      </c>
      <c r="N58" s="107">
        <f t="shared" si="7"/>
        <v>0</v>
      </c>
      <c r="P58" s="152">
        <f>AVERAGE(C58:N58)</f>
        <v>3098.9951500107018</v>
      </c>
    </row>
    <row r="59" spans="1:16" s="106" customFormat="1" ht="16.5" customHeight="1">
      <c r="A59" s="109"/>
      <c r="B59" s="149" t="s">
        <v>430</v>
      </c>
      <c r="C59" s="107">
        <f>C60</f>
        <v>19000</v>
      </c>
      <c r="D59" s="107">
        <f t="shared" ref="D59:N59" si="8">D60</f>
        <v>0</v>
      </c>
      <c r="E59" s="107">
        <f t="shared" si="8"/>
        <v>0</v>
      </c>
      <c r="F59" s="107">
        <f t="shared" si="8"/>
        <v>0</v>
      </c>
      <c r="G59" s="107">
        <f t="shared" si="8"/>
        <v>0</v>
      </c>
      <c r="H59" s="107">
        <f t="shared" si="8"/>
        <v>0</v>
      </c>
      <c r="I59" s="107">
        <f t="shared" si="8"/>
        <v>0</v>
      </c>
      <c r="J59" s="107">
        <f t="shared" si="8"/>
        <v>19000</v>
      </c>
      <c r="K59" s="107">
        <f t="shared" si="8"/>
        <v>0</v>
      </c>
      <c r="L59" s="107">
        <f t="shared" si="8"/>
        <v>0</v>
      </c>
      <c r="M59" s="107">
        <f t="shared" si="8"/>
        <v>0</v>
      </c>
      <c r="N59" s="107">
        <f t="shared" si="8"/>
        <v>0</v>
      </c>
      <c r="P59" s="152">
        <f>AVERAGE(C59:N59)</f>
        <v>3166.6666666666665</v>
      </c>
    </row>
    <row r="60" spans="1:16" s="106" customFormat="1" ht="16.5" customHeight="1">
      <c r="A60" s="109"/>
      <c r="B60" s="149" t="s">
        <v>133</v>
      </c>
      <c r="C60" s="107">
        <f>HLOOKUP($B$9,'Summary_NCP '!$C$5:$M$677,107+C$9,FALSE)*1000</f>
        <v>19000</v>
      </c>
      <c r="D60" s="107">
        <f>HLOOKUP($B$9,'Summary_NCP '!$C$5:$M$677,107+D$9,FALSE)*1000</f>
        <v>0</v>
      </c>
      <c r="E60" s="107">
        <f>HLOOKUP($B$9,'Summary_NCP '!$C$5:$M$677,107+E$9,FALSE)*1000</f>
        <v>0</v>
      </c>
      <c r="F60" s="107">
        <f>HLOOKUP($B$9,'Summary_NCP '!$C$5:$M$677,107+F$9,FALSE)*1000</f>
        <v>0</v>
      </c>
      <c r="G60" s="107">
        <f>HLOOKUP($B$9,'Summary_NCP '!$C$5:$M$677,107+G$9,FALSE)*1000</f>
        <v>0</v>
      </c>
      <c r="H60" s="107">
        <f>HLOOKUP($B$9,'Summary_NCP '!$C$5:$M$677,107+H$9,FALSE)*1000</f>
        <v>0</v>
      </c>
      <c r="I60" s="107">
        <f>HLOOKUP($B$9,'Summary_NCP '!$C$5:$M$677,107+I$9,FALSE)*1000</f>
        <v>0</v>
      </c>
      <c r="J60" s="107">
        <f>HLOOKUP($B$9,'Summary_NCP '!$C$5:$M$677,107+J$9,FALSE)*1000</f>
        <v>19000</v>
      </c>
      <c r="K60" s="107">
        <f>HLOOKUP($B$9,'Summary_NCP '!$C$5:$M$677,107+K$9,FALSE)*1000</f>
        <v>0</v>
      </c>
      <c r="L60" s="107">
        <f>HLOOKUP($B$9,'Summary_NCP '!$C$5:$M$677,107+L$9,FALSE)*1000</f>
        <v>0</v>
      </c>
      <c r="M60" s="107">
        <f>HLOOKUP($B$9,'Summary_NCP '!$C$5:$M$677,107+M$9,FALSE)*1000</f>
        <v>0</v>
      </c>
      <c r="N60" s="107">
        <f>HLOOKUP($B$9,'Summary_NCP '!$C$5:$M$677,107+N$9,FALSE)*1000</f>
        <v>0</v>
      </c>
      <c r="P60" s="152">
        <f>AVERAGE(C60:N60)</f>
        <v>3166.6666666666665</v>
      </c>
    </row>
    <row r="61" spans="1:16" s="106" customFormat="1" ht="16.5" customHeight="1">
      <c r="A61" s="109"/>
      <c r="B61" s="149"/>
      <c r="C61" s="107"/>
      <c r="D61" s="107"/>
      <c r="E61" s="107"/>
      <c r="F61" s="107"/>
      <c r="G61" s="107"/>
      <c r="H61" s="107"/>
      <c r="I61" s="107"/>
      <c r="J61" s="107"/>
      <c r="K61" s="107"/>
      <c r="L61" s="107"/>
      <c r="M61" s="107"/>
      <c r="N61" s="107"/>
      <c r="P61" s="152"/>
    </row>
    <row r="62" spans="1:16" s="106" customFormat="1" ht="16.5" customHeight="1">
      <c r="A62" s="109"/>
      <c r="B62" s="149"/>
      <c r="C62" s="107"/>
      <c r="D62" s="107"/>
      <c r="E62" s="107"/>
      <c r="F62" s="107"/>
      <c r="G62" s="107"/>
      <c r="H62" s="107"/>
      <c r="I62" s="107"/>
      <c r="J62" s="107"/>
      <c r="K62" s="107"/>
      <c r="L62" s="107"/>
      <c r="M62" s="107"/>
      <c r="N62" s="107"/>
      <c r="P62" s="152"/>
    </row>
    <row r="63" spans="1:16" s="106" customFormat="1" ht="16.5" customHeight="1">
      <c r="A63" s="109"/>
      <c r="B63" s="149"/>
      <c r="C63" s="107"/>
      <c r="D63" s="107"/>
      <c r="E63" s="107"/>
      <c r="F63" s="107"/>
      <c r="G63" s="107"/>
      <c r="H63" s="107"/>
      <c r="I63" s="107"/>
      <c r="J63" s="107"/>
      <c r="K63" s="107"/>
      <c r="L63" s="107"/>
      <c r="M63" s="107"/>
      <c r="N63" s="107"/>
      <c r="P63" s="152"/>
    </row>
    <row r="64" spans="1:16" s="106" customFormat="1" ht="16.5" customHeight="1">
      <c r="A64" s="109"/>
      <c r="B64" s="149"/>
      <c r="C64" s="107"/>
      <c r="D64" s="107"/>
      <c r="E64" s="107"/>
      <c r="F64" s="107"/>
      <c r="G64" s="107"/>
      <c r="H64" s="107"/>
      <c r="I64" s="107"/>
      <c r="J64" s="107"/>
      <c r="K64" s="107"/>
      <c r="L64" s="107"/>
      <c r="M64" s="107"/>
      <c r="N64" s="107"/>
      <c r="P64" s="152"/>
    </row>
    <row r="65" spans="1:16" s="106" customFormat="1" ht="16.5" customHeight="1">
      <c r="A65" s="109"/>
      <c r="B65" s="146" t="str">
        <f>"SUBSEQUENT - "&amp;MANUAL!$B$11</f>
        <v>SUBSEQUENT - 2018</v>
      </c>
      <c r="C65" s="107"/>
      <c r="D65" s="107"/>
      <c r="E65" s="107"/>
      <c r="F65" s="107"/>
      <c r="G65" s="107"/>
      <c r="H65" s="107"/>
      <c r="I65" s="107"/>
      <c r="J65" s="107"/>
      <c r="K65" s="107"/>
      <c r="L65" s="107"/>
      <c r="M65" s="107"/>
      <c r="N65" s="107"/>
    </row>
    <row r="66" spans="1:16" s="106" customFormat="1" ht="16.5" customHeight="1">
      <c r="A66" s="109"/>
      <c r="B66" s="149" t="s">
        <v>432</v>
      </c>
      <c r="C66" s="107">
        <f>C44+C49</f>
        <v>18592.519321830656</v>
      </c>
      <c r="D66" s="107">
        <f>D44+D49</f>
        <v>0</v>
      </c>
      <c r="E66" s="107">
        <f t="shared" ref="E66:N66" si="9">E44+E49</f>
        <v>0</v>
      </c>
      <c r="F66" s="107">
        <f t="shared" si="9"/>
        <v>0</v>
      </c>
      <c r="G66" s="107">
        <f t="shared" si="9"/>
        <v>0</v>
      </c>
      <c r="H66" s="107">
        <f t="shared" si="9"/>
        <v>0</v>
      </c>
      <c r="I66" s="107">
        <f t="shared" si="9"/>
        <v>0</v>
      </c>
      <c r="J66" s="107">
        <f t="shared" si="9"/>
        <v>18592.519321830656</v>
      </c>
      <c r="K66" s="107">
        <f t="shared" si="9"/>
        <v>0</v>
      </c>
      <c r="L66" s="107">
        <f t="shared" si="9"/>
        <v>0</v>
      </c>
      <c r="M66" s="107">
        <f t="shared" si="9"/>
        <v>0</v>
      </c>
      <c r="N66" s="107">
        <f t="shared" si="9"/>
        <v>0</v>
      </c>
      <c r="O66" s="145"/>
      <c r="P66" s="152">
        <f>AVERAGE(C66:N66)</f>
        <v>3098.7532203051092</v>
      </c>
    </row>
    <row r="67" spans="1:16" s="106" customFormat="1" ht="16.5" customHeight="1">
      <c r="A67" s="109"/>
      <c r="B67" s="149" t="s">
        <v>430</v>
      </c>
      <c r="C67" s="107">
        <f>C68</f>
        <v>19000</v>
      </c>
      <c r="D67" s="107">
        <f t="shared" ref="D67:N67" si="10">D68</f>
        <v>0</v>
      </c>
      <c r="E67" s="107">
        <f t="shared" si="10"/>
        <v>0</v>
      </c>
      <c r="F67" s="107">
        <f t="shared" si="10"/>
        <v>0</v>
      </c>
      <c r="G67" s="107">
        <f t="shared" si="10"/>
        <v>0</v>
      </c>
      <c r="H67" s="107">
        <f t="shared" si="10"/>
        <v>0</v>
      </c>
      <c r="I67" s="107">
        <f t="shared" si="10"/>
        <v>0</v>
      </c>
      <c r="J67" s="107">
        <f t="shared" si="10"/>
        <v>19000</v>
      </c>
      <c r="K67" s="107">
        <f t="shared" si="10"/>
        <v>0</v>
      </c>
      <c r="L67" s="107">
        <f t="shared" si="10"/>
        <v>0</v>
      </c>
      <c r="M67" s="107">
        <f t="shared" si="10"/>
        <v>0</v>
      </c>
      <c r="N67" s="107">
        <f t="shared" si="10"/>
        <v>0</v>
      </c>
      <c r="O67" s="107"/>
      <c r="P67" s="152">
        <f>AVERAGE(C67:N67)</f>
        <v>3166.6666666666665</v>
      </c>
    </row>
    <row r="68" spans="1:16" s="106" customFormat="1" ht="16.5" customHeight="1">
      <c r="A68" s="109"/>
      <c r="B68" s="149" t="s">
        <v>133</v>
      </c>
      <c r="C68" s="107">
        <f>HLOOKUP($B$9,'Summary_NCP '!$C$5:$M$677,119+C$9,FALSE)*1000</f>
        <v>19000</v>
      </c>
      <c r="D68" s="107">
        <f>HLOOKUP($B$9,'Summary_NCP '!$C$5:$M$677,119+D$9,FALSE)*1000</f>
        <v>0</v>
      </c>
      <c r="E68" s="107">
        <f>HLOOKUP($B$9,'Summary_NCP '!$C$5:$M$677,119+E$9,FALSE)*1000</f>
        <v>0</v>
      </c>
      <c r="F68" s="107">
        <f>HLOOKUP($B$9,'Summary_NCP '!$C$5:$M$677,119+F$9,FALSE)*1000</f>
        <v>0</v>
      </c>
      <c r="G68" s="107">
        <f>HLOOKUP($B$9,'Summary_NCP '!$C$5:$M$677,119+G$9,FALSE)*1000</f>
        <v>0</v>
      </c>
      <c r="H68" s="107">
        <f>HLOOKUP($B$9,'Summary_NCP '!$C$5:$M$677,119+H$9,FALSE)*1000</f>
        <v>0</v>
      </c>
      <c r="I68" s="107">
        <f>HLOOKUP($B$9,'Summary_NCP '!$C$5:$M$677,119+I$9,FALSE)*1000</f>
        <v>0</v>
      </c>
      <c r="J68" s="107">
        <f>HLOOKUP($B$9,'Summary_NCP '!$C$5:$M$677,119+J$9,FALSE)*1000</f>
        <v>19000</v>
      </c>
      <c r="K68" s="107">
        <f>HLOOKUP($B$9,'Summary_NCP '!$C$5:$M$677,119+K$9,FALSE)*1000</f>
        <v>0</v>
      </c>
      <c r="L68" s="107">
        <f>HLOOKUP($B$9,'Summary_NCP '!$C$5:$M$677,119+L$9,FALSE)*1000</f>
        <v>0</v>
      </c>
      <c r="M68" s="107">
        <f>HLOOKUP($B$9,'Summary_NCP '!$C$5:$M$677,119+M$9,FALSE)*1000</f>
        <v>0</v>
      </c>
      <c r="N68" s="107">
        <f>HLOOKUP($B$9,'Summary_NCP '!$C$5:$M$677,119+N$9,FALSE)*1000</f>
        <v>0</v>
      </c>
      <c r="O68" s="107"/>
      <c r="P68" s="152">
        <f>AVERAGE(C68:N68)</f>
        <v>3166.6666666666665</v>
      </c>
    </row>
    <row r="69" spans="1:16" s="106" customFormat="1" ht="16.5" customHeight="1">
      <c r="A69" s="109"/>
      <c r="B69" s="149"/>
      <c r="C69" s="107"/>
      <c r="D69" s="107"/>
      <c r="E69" s="107"/>
      <c r="F69" s="107"/>
      <c r="G69" s="107"/>
      <c r="H69" s="107"/>
      <c r="I69" s="107"/>
      <c r="J69" s="107"/>
      <c r="K69" s="107"/>
      <c r="L69" s="107"/>
      <c r="M69" s="107"/>
      <c r="N69" s="107"/>
      <c r="O69" s="107"/>
      <c r="P69" s="152"/>
    </row>
    <row r="70" spans="1:16" s="106" customFormat="1" ht="16.5" customHeight="1">
      <c r="A70" s="109"/>
      <c r="B70" s="149"/>
      <c r="C70" s="107"/>
      <c r="D70" s="107"/>
      <c r="E70" s="107"/>
      <c r="F70" s="107"/>
      <c r="G70" s="107"/>
      <c r="H70" s="107"/>
      <c r="I70" s="107"/>
      <c r="J70" s="107"/>
      <c r="K70" s="107"/>
      <c r="L70" s="107"/>
      <c r="M70" s="107"/>
      <c r="N70" s="107"/>
      <c r="O70" s="107"/>
      <c r="P70" s="152"/>
    </row>
    <row r="71" spans="1:16" s="106" customFormat="1" ht="16.5" customHeight="1">
      <c r="A71" s="109"/>
      <c r="B71" s="149"/>
      <c r="C71" s="107"/>
      <c r="D71" s="107"/>
      <c r="E71" s="107"/>
      <c r="F71" s="107"/>
      <c r="G71" s="107"/>
      <c r="H71" s="107"/>
      <c r="I71" s="107"/>
      <c r="J71" s="107"/>
      <c r="K71" s="107"/>
      <c r="L71" s="107"/>
      <c r="M71" s="107"/>
      <c r="N71" s="107"/>
      <c r="O71" s="107"/>
      <c r="P71" s="152"/>
    </row>
    <row r="72" spans="1:16" s="106" customFormat="1" ht="16.5" customHeight="1">
      <c r="A72" s="109"/>
      <c r="B72" s="108"/>
      <c r="C72" s="107"/>
      <c r="D72" s="107"/>
      <c r="E72" s="107"/>
      <c r="F72" s="107"/>
      <c r="G72" s="107"/>
      <c r="H72" s="107"/>
      <c r="I72" s="107"/>
      <c r="J72" s="107"/>
      <c r="K72" s="107"/>
      <c r="L72" s="107"/>
      <c r="M72" s="107"/>
      <c r="N72" s="107"/>
    </row>
    <row r="73" spans="1:16" ht="13.2">
      <c r="A73" s="42" t="s">
        <v>116</v>
      </c>
      <c r="C73" s="105"/>
    </row>
    <row r="74" spans="1:16" ht="13.2">
      <c r="A74"/>
      <c r="B74" s="10" t="s">
        <v>338</v>
      </c>
      <c r="C74" s="105"/>
      <c r="D74" s="105"/>
      <c r="E74" s="105"/>
      <c r="F74" s="105"/>
      <c r="G74" s="105"/>
      <c r="H74" s="105"/>
      <c r="I74" s="105"/>
      <c r="J74" s="105"/>
      <c r="K74" s="105"/>
      <c r="L74" s="105"/>
      <c r="M74" s="105"/>
      <c r="N74" s="105"/>
    </row>
    <row r="75" spans="1:16" ht="13.2">
      <c r="A75"/>
      <c r="B75" s="81" t="s">
        <v>426</v>
      </c>
    </row>
    <row r="76" spans="1:16" ht="12.75">
      <c r="A76"/>
      <c r="B76" s="125" t="s">
        <v>431</v>
      </c>
      <c r="C76" s="104"/>
    </row>
    <row r="77" spans="1:16" ht="12.75">
      <c r="A77"/>
      <c r="B77" s="153" t="s">
        <v>435</v>
      </c>
      <c r="E77" s="88"/>
    </row>
    <row r="78" spans="1:16" ht="12.75">
      <c r="A78"/>
      <c r="B78" t="s">
        <v>433</v>
      </c>
      <c r="C78" s="98"/>
      <c r="D78" s="98"/>
      <c r="E78" s="98"/>
      <c r="F78" s="98"/>
      <c r="G78" s="98"/>
      <c r="H78" s="98"/>
      <c r="I78" s="98"/>
      <c r="J78" s="98"/>
      <c r="K78" s="98"/>
      <c r="L78" s="98"/>
      <c r="M78" s="98"/>
      <c r="N78" s="98"/>
    </row>
    <row r="82" spans="2:15">
      <c r="B82" s="149" t="s">
        <v>1202</v>
      </c>
      <c r="C82" s="499">
        <f>IFERROR((C$23/C$14)/C58,0)</f>
        <v>0</v>
      </c>
      <c r="D82" s="499">
        <f t="shared" ref="D82:N82" si="11">IFERROR((D$23/D$14)/D58,0)</f>
        <v>0</v>
      </c>
      <c r="E82" s="499">
        <f t="shared" si="11"/>
        <v>0</v>
      </c>
      <c r="F82" s="499">
        <f t="shared" si="11"/>
        <v>0</v>
      </c>
      <c r="G82" s="499">
        <f t="shared" si="11"/>
        <v>0</v>
      </c>
      <c r="H82" s="499">
        <f t="shared" si="11"/>
        <v>0</v>
      </c>
      <c r="I82" s="499">
        <f t="shared" si="11"/>
        <v>0</v>
      </c>
      <c r="J82" s="499">
        <f t="shared" si="11"/>
        <v>0</v>
      </c>
      <c r="K82" s="499">
        <f t="shared" si="11"/>
        <v>0</v>
      </c>
      <c r="L82" s="499">
        <f t="shared" si="11"/>
        <v>0</v>
      </c>
      <c r="M82" s="499">
        <f t="shared" si="11"/>
        <v>0</v>
      </c>
      <c r="N82" s="499">
        <f t="shared" si="11"/>
        <v>0</v>
      </c>
      <c r="O82" s="499"/>
    </row>
    <row r="83" spans="2:15">
      <c r="B83" s="149" t="s">
        <v>1203</v>
      </c>
      <c r="C83" s="499">
        <f>IFERROR((C$23/C$14)/C59,0)</f>
        <v>0</v>
      </c>
      <c r="D83" s="499">
        <f t="shared" ref="D83:N83" si="12">IFERROR((D$23/D$14)/D59,0)</f>
        <v>0</v>
      </c>
      <c r="E83" s="499">
        <f t="shared" si="12"/>
        <v>0</v>
      </c>
      <c r="F83" s="499">
        <f t="shared" si="12"/>
        <v>0</v>
      </c>
      <c r="G83" s="499">
        <f t="shared" si="12"/>
        <v>0</v>
      </c>
      <c r="H83" s="499">
        <f t="shared" si="12"/>
        <v>0</v>
      </c>
      <c r="I83" s="499">
        <f t="shared" si="12"/>
        <v>0</v>
      </c>
      <c r="J83" s="499">
        <f t="shared" si="12"/>
        <v>0</v>
      </c>
      <c r="K83" s="499">
        <f t="shared" si="12"/>
        <v>0</v>
      </c>
      <c r="L83" s="499">
        <f t="shared" si="12"/>
        <v>0</v>
      </c>
      <c r="M83" s="499">
        <f t="shared" si="12"/>
        <v>0</v>
      </c>
      <c r="N83" s="499">
        <f t="shared" si="12"/>
        <v>0</v>
      </c>
      <c r="O83" s="499"/>
    </row>
    <row r="84" spans="2:15">
      <c r="B84" s="149" t="s">
        <v>1204</v>
      </c>
      <c r="C84" s="499">
        <f>IFERROR((C$23/C$14)/C60,0)</f>
        <v>0</v>
      </c>
      <c r="D84" s="499">
        <f t="shared" ref="D84:N84" si="13">IFERROR((D$23/D$14)/D60,0)</f>
        <v>0</v>
      </c>
      <c r="E84" s="499">
        <f t="shared" si="13"/>
        <v>0</v>
      </c>
      <c r="F84" s="499">
        <f t="shared" si="13"/>
        <v>0</v>
      </c>
      <c r="G84" s="499">
        <f t="shared" si="13"/>
        <v>0</v>
      </c>
      <c r="H84" s="499">
        <f t="shared" si="13"/>
        <v>0</v>
      </c>
      <c r="I84" s="499">
        <f t="shared" si="13"/>
        <v>0</v>
      </c>
      <c r="J84" s="499">
        <f t="shared" si="13"/>
        <v>0</v>
      </c>
      <c r="K84" s="499">
        <f t="shared" si="13"/>
        <v>0</v>
      </c>
      <c r="L84" s="499">
        <f t="shared" si="13"/>
        <v>0</v>
      </c>
      <c r="M84" s="499">
        <f t="shared" si="13"/>
        <v>0</v>
      </c>
      <c r="N84" s="499">
        <f t="shared" si="13"/>
        <v>0</v>
      </c>
      <c r="O84" s="499"/>
    </row>
    <row r="85" spans="2:15" ht="409.6">
      <c r="G85" s="44"/>
    </row>
    <row r="87" spans="2:15">
      <c r="G87" s="150"/>
    </row>
  </sheetData>
  <mergeCells count="3">
    <mergeCell ref="C7:E7"/>
    <mergeCell ref="F7:L7"/>
    <mergeCell ref="M7:N7"/>
  </mergeCells>
  <conditionalFormatting sqref="C71:N71">
    <cfRule type="cellIs" dxfId="40" priority="6" operator="greaterThanOrEqual">
      <formula>C73</formula>
    </cfRule>
  </conditionalFormatting>
  <conditionalFormatting sqref="C55:N55">
    <cfRule type="cellIs" dxfId="39" priority="8" operator="greaterThanOrEqual">
      <formula>C56</formula>
    </cfRule>
  </conditionalFormatting>
  <conditionalFormatting sqref="C63:N63">
    <cfRule type="cellIs" dxfId="38" priority="7" operator="greaterThanOrEqual">
      <formula>C65</formula>
    </cfRule>
  </conditionalFormatting>
  <conditionalFormatting sqref="C53:N53">
    <cfRule type="cellIs" dxfId="37" priority="11" operator="greaterThanOrEqual">
      <formula>C54</formula>
    </cfRule>
  </conditionalFormatting>
  <conditionalFormatting sqref="C54:N54">
    <cfRule type="cellIs" dxfId="36" priority="5" operator="greaterThanOrEqual">
      <formula>C55</formula>
    </cfRule>
  </conditionalFormatting>
  <conditionalFormatting sqref="C59:N59">
    <cfRule type="cellIs" dxfId="35" priority="4" operator="greaterThanOrEqual">
      <formula>C60</formula>
    </cfRule>
  </conditionalFormatting>
  <conditionalFormatting sqref="C67:N67">
    <cfRule type="cellIs" dxfId="34" priority="3" operator="greaterThanOrEqual">
      <formula>C68</formula>
    </cfRule>
  </conditionalFormatting>
  <conditionalFormatting sqref="C62:N62 C70:N70">
    <cfRule type="cellIs" dxfId="33" priority="104" operator="greaterThanOrEqual">
      <formula>C65</formula>
    </cfRule>
  </conditionalFormatting>
  <conditionalFormatting sqref="C60:N61 C68:N69">
    <cfRule type="cellIs" dxfId="32" priority="105" operator="greaterThanOrEqual">
      <formula>C64</formula>
    </cfRule>
  </conditionalFormatting>
  <conditionalFormatting sqref="C58:N58">
    <cfRule type="cellIs" dxfId="31" priority="2" operator="greaterThanOrEqual">
      <formula>C59</formula>
    </cfRule>
  </conditionalFormatting>
  <conditionalFormatting sqref="C66:N66">
    <cfRule type="cellIs" dxfId="30" priority="1" operator="greaterThanOrEqual">
      <formula>C67</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50"/>
    <pageSetUpPr fitToPage="1"/>
  </sheetPr>
  <dimension ref="A1:AF88"/>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1305</v>
      </c>
    </row>
    <row r="2" spans="1:16" s="8" customFormat="1" ht="15.6">
      <c r="A2" s="624"/>
      <c r="B2" s="8" t="s">
        <v>1267</v>
      </c>
    </row>
    <row r="3" spans="1:16" s="8" customFormat="1" ht="15.6">
      <c r="A3" s="624"/>
    </row>
    <row r="4" spans="1:16" ht="21">
      <c r="A4" s="124" t="s">
        <v>691</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494</v>
      </c>
      <c r="C9" s="320">
        <v>3</v>
      </c>
      <c r="D9" s="320">
        <v>4</v>
      </c>
      <c r="E9" s="320">
        <v>5</v>
      </c>
      <c r="F9" s="320">
        <v>6</v>
      </c>
      <c r="G9" s="320">
        <v>7</v>
      </c>
      <c r="H9" s="320">
        <v>8</v>
      </c>
      <c r="I9" s="320">
        <v>9</v>
      </c>
      <c r="J9" s="320">
        <v>10</v>
      </c>
      <c r="K9" s="320">
        <v>11</v>
      </c>
      <c r="L9" s="320">
        <v>12</v>
      </c>
      <c r="M9" s="320">
        <v>13</v>
      </c>
      <c r="N9" s="320">
        <v>14</v>
      </c>
    </row>
    <row r="10" spans="1:16" s="10" customFormat="1" hidden="1">
      <c r="A10" s="123"/>
      <c r="B10" s="43" t="s">
        <v>489</v>
      </c>
      <c r="C10" s="320"/>
      <c r="D10" s="320"/>
      <c r="E10" s="320"/>
      <c r="F10" s="320"/>
      <c r="G10" s="320"/>
      <c r="H10" s="320"/>
      <c r="I10" s="320"/>
      <c r="J10" s="320"/>
      <c r="K10" s="320"/>
      <c r="L10" s="320"/>
      <c r="M10" s="320"/>
      <c r="N10" s="320"/>
    </row>
    <row r="11" spans="1:16" s="10" customFormat="1">
      <c r="A11" s="123"/>
      <c r="B11" s="43"/>
      <c r="C11" s="320"/>
      <c r="D11" s="320"/>
      <c r="E11" s="320"/>
      <c r="F11" s="320"/>
      <c r="G11" s="320"/>
      <c r="H11" s="320"/>
      <c r="I11" s="320"/>
      <c r="J11" s="320"/>
      <c r="K11" s="320"/>
      <c r="L11" s="320"/>
      <c r="M11" s="320"/>
      <c r="N11" s="320"/>
    </row>
    <row r="12" spans="1:16" s="110" customFormat="1" ht="15.6">
      <c r="A12" s="120"/>
    </row>
    <row r="13" spans="1:16" ht="15.6">
      <c r="A13" s="113" t="s">
        <v>421</v>
      </c>
      <c r="C13" s="5"/>
      <c r="D13" s="5"/>
      <c r="E13" s="5"/>
      <c r="F13" s="5"/>
      <c r="G13" s="5"/>
      <c r="H13" s="5"/>
      <c r="I13" s="5"/>
      <c r="J13" s="5"/>
      <c r="K13" s="5"/>
      <c r="L13" s="5"/>
      <c r="M13" s="115"/>
      <c r="N13" s="5"/>
    </row>
    <row r="14" spans="1:16">
      <c r="A14" s="114"/>
      <c r="B14" s="108" t="str">
        <f>"PRIOR - "&amp;MANUAL!$B$9</f>
        <v>PRIOR - 2016</v>
      </c>
      <c r="C14" s="145">
        <f>+HOURS!$B$18</f>
        <v>744</v>
      </c>
      <c r="D14" s="145">
        <f>+HOURS!$C$18</f>
        <v>696</v>
      </c>
      <c r="E14" s="145">
        <f>+HOURS!$D$18</f>
        <v>744</v>
      </c>
      <c r="F14" s="145">
        <f>+HOURS!$E$18</f>
        <v>720</v>
      </c>
      <c r="G14" s="145">
        <f>+HOURS!$F$18</f>
        <v>744</v>
      </c>
      <c r="H14" s="145">
        <f>+HOURS!$G$18</f>
        <v>720</v>
      </c>
      <c r="I14" s="145">
        <f>+HOURS!$H$18</f>
        <v>744</v>
      </c>
      <c r="J14" s="145">
        <f>+HOURS!$I$18</f>
        <v>744</v>
      </c>
      <c r="K14" s="145">
        <f>+HOURS!$J$18</f>
        <v>720</v>
      </c>
      <c r="L14" s="145">
        <f>+HOURS!$K$18</f>
        <v>744</v>
      </c>
      <c r="M14" s="145">
        <f>+HOURS!$L$18</f>
        <v>720</v>
      </c>
      <c r="N14" s="145">
        <f>+HOURS!$M$18</f>
        <v>744</v>
      </c>
    </row>
    <row r="15" spans="1:16">
      <c r="A15" s="114"/>
      <c r="B15" s="108" t="str">
        <f>"TEST - "&amp;MANUAL!$B$10</f>
        <v>TEST - 2017</v>
      </c>
      <c r="C15" s="145">
        <f>+HOURS!$B$19</f>
        <v>744</v>
      </c>
      <c r="D15" s="145">
        <f>+HOURS!$C$19</f>
        <v>672</v>
      </c>
      <c r="E15" s="145">
        <f>+HOURS!$D$19</f>
        <v>744</v>
      </c>
      <c r="F15" s="145">
        <f>+HOURS!$E$19</f>
        <v>720</v>
      </c>
      <c r="G15" s="145">
        <f>+HOURS!$F$19</f>
        <v>744</v>
      </c>
      <c r="H15" s="145">
        <f>+HOURS!$G$19</f>
        <v>720</v>
      </c>
      <c r="I15" s="145">
        <f>+HOURS!$H$19</f>
        <v>744</v>
      </c>
      <c r="J15" s="145">
        <f>+HOURS!$I$19</f>
        <v>744</v>
      </c>
      <c r="K15" s="145">
        <f>+HOURS!$J$19</f>
        <v>720</v>
      </c>
      <c r="L15" s="145">
        <f>+HOURS!$K$19</f>
        <v>744</v>
      </c>
      <c r="M15" s="145">
        <f>+HOURS!$L$19</f>
        <v>720</v>
      </c>
      <c r="N15" s="145">
        <f>+HOURS!$M$19</f>
        <v>744</v>
      </c>
    </row>
    <row r="16" spans="1:16">
      <c r="A16" s="114"/>
      <c r="B16" s="108" t="s">
        <v>1096</v>
      </c>
      <c r="C16" s="145">
        <f>+HOURS!B$20</f>
        <v>744</v>
      </c>
      <c r="D16" s="145">
        <f>+HOURS!C$20</f>
        <v>672</v>
      </c>
      <c r="E16" s="145">
        <f>+HOURS!D$20</f>
        <v>744</v>
      </c>
      <c r="F16" s="145">
        <f>+HOURS!E$20</f>
        <v>720</v>
      </c>
      <c r="G16" s="145">
        <f>+HOURS!F$20</f>
        <v>744</v>
      </c>
      <c r="H16" s="145">
        <f>+HOURS!G$20</f>
        <v>720</v>
      </c>
      <c r="I16" s="145">
        <f>+HOURS!H$20</f>
        <v>744</v>
      </c>
      <c r="J16" s="145">
        <f>+HOURS!I$20</f>
        <v>744</v>
      </c>
      <c r="K16" s="145">
        <f>+HOURS!J$20</f>
        <v>720</v>
      </c>
      <c r="L16" s="145">
        <f>+HOURS!K$20</f>
        <v>744</v>
      </c>
      <c r="M16" s="145">
        <f>+HOURS!L$20</f>
        <v>720</v>
      </c>
      <c r="N16" s="145">
        <f>+HOURS!M$20</f>
        <v>744</v>
      </c>
    </row>
    <row r="17" spans="1:15">
      <c r="A17" s="114"/>
      <c r="C17" s="5"/>
      <c r="D17" s="5"/>
      <c r="E17" s="5"/>
      <c r="F17" s="5"/>
      <c r="G17" s="5"/>
      <c r="H17" s="5"/>
      <c r="I17" s="5"/>
      <c r="J17" s="5"/>
      <c r="K17" s="5"/>
      <c r="L17" s="5"/>
      <c r="M17" s="115"/>
      <c r="N17" s="5"/>
    </row>
    <row r="18" spans="1:15" ht="15.6">
      <c r="A18" s="113" t="s">
        <v>427</v>
      </c>
      <c r="C18" s="5"/>
      <c r="D18" s="5"/>
      <c r="E18" s="5"/>
      <c r="F18" s="5"/>
      <c r="G18" s="5"/>
      <c r="H18" s="5"/>
      <c r="I18" s="5"/>
      <c r="J18" s="5"/>
      <c r="K18" s="5"/>
      <c r="L18" s="5"/>
      <c r="M18" s="115"/>
      <c r="N18" s="5"/>
    </row>
    <row r="19" spans="1:15">
      <c r="A19" s="114"/>
      <c r="B19" t="s">
        <v>428</v>
      </c>
      <c r="C19" s="145">
        <v>0</v>
      </c>
      <c r="D19" s="145">
        <v>0</v>
      </c>
      <c r="E19" s="145">
        <v>0</v>
      </c>
      <c r="F19" s="145">
        <v>0</v>
      </c>
      <c r="G19" s="145">
        <v>0</v>
      </c>
      <c r="H19" s="145">
        <v>0</v>
      </c>
      <c r="I19" s="145">
        <v>0</v>
      </c>
      <c r="J19" s="145">
        <v>0</v>
      </c>
      <c r="K19" s="145">
        <v>0</v>
      </c>
      <c r="L19" s="145">
        <v>0</v>
      </c>
      <c r="M19" s="145">
        <v>0</v>
      </c>
      <c r="N19" s="145">
        <v>0</v>
      </c>
    </row>
    <row r="20" spans="1:15">
      <c r="A20" s="114"/>
      <c r="B20" t="s">
        <v>429</v>
      </c>
      <c r="C20" s="145">
        <v>0</v>
      </c>
      <c r="D20" s="145">
        <v>0</v>
      </c>
      <c r="E20" s="145">
        <v>0</v>
      </c>
      <c r="F20" s="145">
        <v>0</v>
      </c>
      <c r="G20" s="145">
        <v>0</v>
      </c>
      <c r="H20" s="145">
        <v>0</v>
      </c>
      <c r="I20" s="145">
        <v>0</v>
      </c>
      <c r="J20" s="145">
        <v>0</v>
      </c>
      <c r="K20" s="145">
        <v>0</v>
      </c>
      <c r="L20" s="145">
        <v>0</v>
      </c>
      <c r="M20" s="145">
        <v>0</v>
      </c>
      <c r="N20" s="145">
        <v>0</v>
      </c>
    </row>
    <row r="21" spans="1:15">
      <c r="A21" s="114"/>
      <c r="C21" s="5"/>
      <c r="D21" s="5"/>
      <c r="E21" s="5"/>
      <c r="F21" s="5"/>
      <c r="G21" s="5"/>
      <c r="H21" s="5"/>
      <c r="I21" s="5"/>
      <c r="J21" s="5"/>
      <c r="K21" s="5"/>
      <c r="L21" s="5"/>
      <c r="M21" s="115"/>
      <c r="N21" s="5"/>
    </row>
    <row r="22" spans="1:15" ht="15.6">
      <c r="A22" s="113" t="s">
        <v>424</v>
      </c>
      <c r="C22" s="5"/>
      <c r="D22" s="5"/>
      <c r="E22" s="5"/>
      <c r="F22" s="5"/>
      <c r="G22" s="5"/>
      <c r="H22" s="5"/>
      <c r="I22" s="5"/>
      <c r="J22" s="5"/>
      <c r="K22" s="5"/>
      <c r="L22" s="5"/>
      <c r="M22" s="115"/>
      <c r="N22" s="5"/>
    </row>
    <row r="23" spans="1:15" s="106" customFormat="1">
      <c r="A23" s="109"/>
      <c r="B23" s="108" t="str">
        <f>"PRIOR - "&amp;MANUAL!$B$9</f>
        <v>PRIOR - 2016</v>
      </c>
      <c r="C23" s="142">
        <f>VLOOKUP($B$10,'KWH FCST'!$A$33:$O$41,C9-1,FALSE)</f>
        <v>13575000</v>
      </c>
      <c r="D23" s="142">
        <f>VLOOKUP($B$10,'KWH FCST'!$A$33:$O$41,D9-1,FALSE)</f>
        <v>73250000</v>
      </c>
      <c r="E23" s="142">
        <f>VLOOKUP($B$10,'KWH FCST'!$A$33:$O$41,E9-1,FALSE)</f>
        <v>85800000</v>
      </c>
      <c r="F23" s="142">
        <f>VLOOKUP($B$10,'KWH FCST'!$A$33:$O$41,F9-1,FALSE)</f>
        <v>111860000</v>
      </c>
      <c r="G23" s="142">
        <f>VLOOKUP($B$10,'KWH FCST'!$A$33:$O$41,G9-1,FALSE)</f>
        <v>125830000</v>
      </c>
      <c r="H23" s="142">
        <f>VLOOKUP($B$10,'KWH FCST'!$A$33:$O$41,H9-1,FALSE)</f>
        <v>113525000</v>
      </c>
      <c r="I23" s="142">
        <f>VLOOKUP($B$10,'KWH FCST'!$A$33:$O$41,I9-1,FALSE)</f>
        <v>115975000</v>
      </c>
      <c r="J23" s="142">
        <f>VLOOKUP($B$10,'KWH FCST'!$A$33:$O$41,J9-1,FALSE)</f>
        <v>144250000</v>
      </c>
      <c r="K23" s="142">
        <f>VLOOKUP($B$10,'KWH FCST'!$A$33:$O$41,K9-1,FALSE)</f>
        <v>96050000</v>
      </c>
      <c r="L23" s="142">
        <f>VLOOKUP($B$10,'KWH FCST'!$A$33:$O$41,L9-1,FALSE)</f>
        <v>91130000</v>
      </c>
      <c r="M23" s="142">
        <f>VLOOKUP($B$10,'KWH FCST'!$A$33:$O$41,M9-1,FALSE)</f>
        <v>87075000</v>
      </c>
      <c r="N23" s="142">
        <f>VLOOKUP($B$10,'KWH FCST'!$A$33:$O$41,N9-1,FALSE)</f>
        <v>44020000</v>
      </c>
      <c r="O23" s="142"/>
    </row>
    <row r="24" spans="1:15" s="12" customFormat="1" ht="15.6">
      <c r="A24" s="111"/>
      <c r="B24" s="108" t="str">
        <f>"TEST - "&amp;MANUAL!$B$10</f>
        <v>TEST - 2017</v>
      </c>
      <c r="C24" s="142">
        <f>VLOOKUP($B$10,'KWH FCST'!$A$79:$O$87,C9-1,FALSE)</f>
        <v>13575000</v>
      </c>
      <c r="D24" s="142">
        <f>VLOOKUP($B$10,'KWH FCST'!$A$79:$O$87,D9-1,FALSE)</f>
        <v>73250000</v>
      </c>
      <c r="E24" s="142">
        <f>VLOOKUP($B$10,'KWH FCST'!$A$79:$O$87,E9-1,FALSE)</f>
        <v>85800000</v>
      </c>
      <c r="F24" s="142">
        <f>VLOOKUP($B$10,'KWH FCST'!$A$79:$O$87,F9-1,FALSE)</f>
        <v>111860000</v>
      </c>
      <c r="G24" s="142">
        <f>VLOOKUP($B$10,'KWH FCST'!$A$79:$O$87,G9-1,FALSE)</f>
        <v>125830000</v>
      </c>
      <c r="H24" s="142">
        <f>VLOOKUP($B$10,'KWH FCST'!$A$79:$O$87,H9-1,FALSE)</f>
        <v>113525000</v>
      </c>
      <c r="I24" s="142">
        <f>VLOOKUP($B$10,'KWH FCST'!$A$79:$O$87,I9-1,FALSE)</f>
        <v>115975000</v>
      </c>
      <c r="J24" s="142">
        <f>VLOOKUP($B$10,'KWH FCST'!$A$79:$O$87,J9-1,FALSE)</f>
        <v>144250000</v>
      </c>
      <c r="K24" s="142">
        <f>VLOOKUP($B$10,'KWH FCST'!$A$79:$O$87,K9-1,FALSE)</f>
        <v>96050000</v>
      </c>
      <c r="L24" s="142">
        <f>VLOOKUP($B$10,'KWH FCST'!$A$79:$O$87,L9-1,FALSE)</f>
        <v>91130000</v>
      </c>
      <c r="M24" s="142">
        <f>VLOOKUP($B$10,'KWH FCST'!$A$79:$O$87,M9-1,FALSE)</f>
        <v>87075000</v>
      </c>
      <c r="N24" s="142">
        <f>VLOOKUP($B$10,'KWH FCST'!$A$79:$O$87,N9-1,FALSE)</f>
        <v>44020000</v>
      </c>
    </row>
    <row r="25" spans="1:15">
      <c r="A25" s="114"/>
      <c r="B25" t="s">
        <v>1094</v>
      </c>
      <c r="C25" s="142">
        <f>VLOOKUP($B$10,'KWH FCST'!$A$125:$O$133,C9-1,FALSE)</f>
        <v>13575000</v>
      </c>
      <c r="D25" s="142">
        <f>VLOOKUP($B$10,'KWH FCST'!$A$125:$O$133,D9-1,FALSE)</f>
        <v>73250000</v>
      </c>
      <c r="E25" s="142">
        <f>VLOOKUP($B$10,'KWH FCST'!$A$125:$O$133,E9-1,FALSE)</f>
        <v>85800000</v>
      </c>
      <c r="F25" s="142">
        <f>VLOOKUP($B$10,'KWH FCST'!$A$125:$O$133,F9-1,FALSE)</f>
        <v>111860000</v>
      </c>
      <c r="G25" s="142">
        <f>VLOOKUP($B$10,'KWH FCST'!$A$125:$O$133,G9-1,FALSE)</f>
        <v>125830000</v>
      </c>
      <c r="H25" s="142">
        <f>VLOOKUP($B$10,'KWH FCST'!$A$125:$O$133,H9-1,FALSE)</f>
        <v>113525000</v>
      </c>
      <c r="I25" s="142">
        <f>VLOOKUP($B$10,'KWH FCST'!$A$125:$O$133,I9-1,FALSE)</f>
        <v>115975000</v>
      </c>
      <c r="J25" s="142">
        <f>VLOOKUP($B$10,'KWH FCST'!$A$125:$O$133,J9-1,FALSE)</f>
        <v>144250000</v>
      </c>
      <c r="K25" s="142">
        <f>VLOOKUP($B$10,'KWH FCST'!$A$125:$O$133,K9-1,FALSE)</f>
        <v>96050000</v>
      </c>
      <c r="L25" s="142">
        <f>VLOOKUP($B$10,'KWH FCST'!$A$125:$O$133,L9-1,FALSE)</f>
        <v>91130000</v>
      </c>
      <c r="M25" s="142">
        <f>VLOOKUP($B$10,'KWH FCST'!$A$125:$O$133,M9-1,FALSE)</f>
        <v>87075000</v>
      </c>
      <c r="N25" s="142">
        <f>VLOOKUP($B$10,'KWH FCST'!$A$125:$O$133,N9-1,FALSE)</f>
        <v>44020000</v>
      </c>
    </row>
    <row r="26" spans="1:15">
      <c r="A26" s="114"/>
      <c r="C26" s="142"/>
      <c r="D26" s="142"/>
      <c r="E26" s="142"/>
      <c r="F26" s="142"/>
      <c r="G26" s="142"/>
      <c r="H26" s="142"/>
      <c r="I26" s="142"/>
      <c r="J26" s="142"/>
      <c r="K26" s="142"/>
      <c r="L26" s="142"/>
      <c r="M26" s="142"/>
      <c r="N26" s="142"/>
    </row>
    <row r="27" spans="1:15" ht="15.6">
      <c r="A27" s="113" t="s">
        <v>1248</v>
      </c>
      <c r="C27" s="142"/>
      <c r="D27" s="142"/>
      <c r="E27" s="142"/>
      <c r="F27" s="142"/>
      <c r="G27" s="142"/>
      <c r="H27" s="142"/>
      <c r="I27" s="142"/>
      <c r="J27" s="142"/>
      <c r="K27" s="142"/>
      <c r="L27" s="142"/>
      <c r="M27" s="142"/>
      <c r="N27" s="142"/>
    </row>
    <row r="28" spans="1:15">
      <c r="A28" s="114"/>
      <c r="B28" t="s">
        <v>1254</v>
      </c>
      <c r="C28" s="115">
        <v>1</v>
      </c>
      <c r="D28" s="115">
        <v>1</v>
      </c>
      <c r="E28" s="115">
        <v>1</v>
      </c>
      <c r="F28" s="115">
        <v>1</v>
      </c>
      <c r="G28" s="115">
        <v>1</v>
      </c>
      <c r="H28" s="115">
        <v>1</v>
      </c>
      <c r="I28" s="115">
        <v>1</v>
      </c>
      <c r="J28" s="115">
        <v>1</v>
      </c>
      <c r="K28" s="115">
        <v>1</v>
      </c>
      <c r="L28" s="115">
        <v>1</v>
      </c>
      <c r="M28" s="115">
        <v>1</v>
      </c>
      <c r="N28" s="115">
        <v>1</v>
      </c>
    </row>
    <row r="29" spans="1:15">
      <c r="A29" s="114"/>
      <c r="B29" t="s">
        <v>1253</v>
      </c>
      <c r="C29" s="115">
        <v>0</v>
      </c>
      <c r="D29" s="115">
        <v>0</v>
      </c>
      <c r="E29" s="115">
        <v>0</v>
      </c>
      <c r="F29" s="115">
        <v>0</v>
      </c>
      <c r="G29" s="115">
        <v>0</v>
      </c>
      <c r="H29" s="115">
        <v>0</v>
      </c>
      <c r="I29" s="115">
        <v>0</v>
      </c>
      <c r="J29" s="115">
        <v>0</v>
      </c>
      <c r="K29" s="115">
        <v>0</v>
      </c>
      <c r="L29" s="115">
        <v>0</v>
      </c>
      <c r="M29" s="115">
        <v>0</v>
      </c>
      <c r="N29" s="115">
        <v>0</v>
      </c>
    </row>
    <row r="30" spans="1:15">
      <c r="A30" s="114"/>
      <c r="B30" t="s">
        <v>1252</v>
      </c>
      <c r="C30" s="115">
        <v>0</v>
      </c>
      <c r="D30" s="115">
        <v>0</v>
      </c>
      <c r="E30" s="115">
        <v>0</v>
      </c>
      <c r="F30" s="115">
        <v>0</v>
      </c>
      <c r="G30" s="115">
        <v>0</v>
      </c>
      <c r="H30" s="115">
        <v>0</v>
      </c>
      <c r="I30" s="115">
        <v>0</v>
      </c>
      <c r="J30" s="115">
        <v>0</v>
      </c>
      <c r="K30" s="115">
        <v>0</v>
      </c>
      <c r="L30" s="115">
        <v>0</v>
      </c>
      <c r="M30" s="115">
        <v>0</v>
      </c>
      <c r="N30" s="115">
        <v>0</v>
      </c>
    </row>
    <row r="31" spans="1:15" ht="15.6">
      <c r="A31" s="114"/>
      <c r="B31" s="513">
        <v>2017</v>
      </c>
      <c r="C31" s="115"/>
      <c r="D31" s="115"/>
      <c r="E31" s="115"/>
      <c r="F31" s="115"/>
      <c r="G31" s="115"/>
      <c r="H31" s="115"/>
      <c r="I31" s="115"/>
      <c r="J31" s="115"/>
      <c r="K31" s="115"/>
      <c r="L31" s="115"/>
      <c r="M31" s="115"/>
      <c r="N31" s="115"/>
    </row>
    <row r="32" spans="1:15">
      <c r="A32" s="114"/>
      <c r="B32" t="s">
        <v>1249</v>
      </c>
      <c r="C32" s="535">
        <v>1.0218365997299901</v>
      </c>
      <c r="D32" s="535">
        <v>1.0218365997299901</v>
      </c>
      <c r="E32" s="535">
        <v>1.0218365997299901</v>
      </c>
      <c r="F32" s="535">
        <v>1.0218365997299901</v>
      </c>
      <c r="G32" s="535">
        <v>1.0218365997299901</v>
      </c>
      <c r="H32" s="535">
        <v>1.0218365997299901</v>
      </c>
      <c r="I32" s="535">
        <v>1.0218365997299901</v>
      </c>
      <c r="J32" s="535">
        <v>1.0218365997299901</v>
      </c>
      <c r="K32" s="535">
        <v>1.0218365997299901</v>
      </c>
      <c r="L32" s="535">
        <v>1.0218365997299901</v>
      </c>
      <c r="M32" s="535">
        <v>1.0218365997299901</v>
      </c>
      <c r="N32" s="535">
        <v>1.0218365997299901</v>
      </c>
    </row>
    <row r="33" spans="1:14">
      <c r="A33" s="114"/>
      <c r="B33" t="s">
        <v>1250</v>
      </c>
      <c r="C33" s="535">
        <v>1.0348230487446399</v>
      </c>
      <c r="D33" s="535">
        <v>1.0348230487446399</v>
      </c>
      <c r="E33" s="535">
        <v>1.0348230487446399</v>
      </c>
      <c r="F33" s="535">
        <v>1.0348230487446399</v>
      </c>
      <c r="G33" s="535">
        <v>1.0348230487446399</v>
      </c>
      <c r="H33" s="535">
        <v>1.0348230487446399</v>
      </c>
      <c r="I33" s="535">
        <v>1.0348230487446399</v>
      </c>
      <c r="J33" s="535">
        <v>1.0348230487446399</v>
      </c>
      <c r="K33" s="535">
        <v>1.0348230487446399</v>
      </c>
      <c r="L33" s="535">
        <v>1.0348230487446399</v>
      </c>
      <c r="M33" s="535">
        <v>1.0348230487446399</v>
      </c>
      <c r="N33" s="535">
        <v>1.0348230487446399</v>
      </c>
    </row>
    <row r="34" spans="1:14">
      <c r="A34" s="114"/>
      <c r="B34" t="s">
        <v>1251</v>
      </c>
      <c r="C34" s="535">
        <v>1.0644101070756899</v>
      </c>
      <c r="D34" s="535">
        <v>1.0644101070756899</v>
      </c>
      <c r="E34" s="535">
        <v>1.0644101070756899</v>
      </c>
      <c r="F34" s="535">
        <v>1.0644101070756899</v>
      </c>
      <c r="G34" s="535">
        <v>1.0644101070756899</v>
      </c>
      <c r="H34" s="535">
        <v>1.0644101070756899</v>
      </c>
      <c r="I34" s="535">
        <v>1.0644101070756899</v>
      </c>
      <c r="J34" s="535">
        <v>1.0644101070756899</v>
      </c>
      <c r="K34" s="535">
        <v>1.0644101070756899</v>
      </c>
      <c r="L34" s="535">
        <v>1.0644101070756899</v>
      </c>
      <c r="M34" s="535">
        <v>1.0644101070756899</v>
      </c>
      <c r="N34" s="535">
        <v>1.0644101070756899</v>
      </c>
    </row>
    <row r="35" spans="1:14">
      <c r="A35" s="114"/>
      <c r="B35" t="s">
        <v>1255</v>
      </c>
      <c r="C35" s="107">
        <f>HLOOKUP($B10,Summary_CP!$A$5:$N$161,107+C$9,FALSE)*1000</f>
        <v>200000</v>
      </c>
      <c r="D35" s="107">
        <f>HLOOKUP($B10,Summary_CP!$A$5:$N$161,107+D$9,FALSE)*1000</f>
        <v>200000</v>
      </c>
      <c r="E35" s="107">
        <f>HLOOKUP($B10,Summary_CP!$A$5:$N$161,107+E$9,FALSE)*1000</f>
        <v>200000</v>
      </c>
      <c r="F35" s="107">
        <f>HLOOKUP($B10,Summary_CP!$A$5:$N$161,107+F$9,FALSE)*1000</f>
        <v>200000</v>
      </c>
      <c r="G35" s="107">
        <f>HLOOKUP($B10,Summary_CP!$A$5:$N$161,107+G$9,FALSE)*1000</f>
        <v>200000</v>
      </c>
      <c r="H35" s="107">
        <f>HLOOKUP($B10,Summary_CP!$A$5:$N$161,107+H$9,FALSE)*1000</f>
        <v>200000</v>
      </c>
      <c r="I35" s="107">
        <f>HLOOKUP($B10,Summary_CP!$A$5:$N$161,107+I$9,FALSE)*1000</f>
        <v>200000</v>
      </c>
      <c r="J35" s="107">
        <f>HLOOKUP($B10,Summary_CP!$A$5:$N$161,107+J$9,FALSE)*1000</f>
        <v>200000</v>
      </c>
      <c r="K35" s="107">
        <f>HLOOKUP($B10,Summary_CP!$A$5:$N$161,107+K$9,FALSE)*1000</f>
        <v>200000</v>
      </c>
      <c r="L35" s="107">
        <f>HLOOKUP($B10,Summary_CP!$A$5:$N$161,107+L$9,FALSE)*1000</f>
        <v>200000</v>
      </c>
      <c r="M35" s="107">
        <f>HLOOKUP($B10,Summary_CP!$A$5:$N$161,107+M$9,FALSE)*1000</f>
        <v>200000</v>
      </c>
      <c r="N35" s="107">
        <f>HLOOKUP($B10,Summary_CP!$A$5:$N$161,107+N$9,FALSE)*1000</f>
        <v>200000</v>
      </c>
    </row>
    <row r="36" spans="1:14">
      <c r="A36" s="114"/>
      <c r="B36" t="s">
        <v>1256</v>
      </c>
      <c r="C36" s="107">
        <f>IFERROR((C35*C28*C32)+(C35*C29*C33)+(C35*C30*C34),0)</f>
        <v>204367.31994599802</v>
      </c>
      <c r="D36" s="107">
        <f t="shared" ref="D36:N36" si="0">IFERROR((D35*D28*D32)+(D35*D29*D33)+(D35*D30*D34),0)</f>
        <v>204367.31994599802</v>
      </c>
      <c r="E36" s="107">
        <f t="shared" si="0"/>
        <v>204367.31994599802</v>
      </c>
      <c r="F36" s="107">
        <f t="shared" si="0"/>
        <v>204367.31994599802</v>
      </c>
      <c r="G36" s="107">
        <f t="shared" si="0"/>
        <v>204367.31994599802</v>
      </c>
      <c r="H36" s="107">
        <f t="shared" si="0"/>
        <v>204367.31994599802</v>
      </c>
      <c r="I36" s="107">
        <f t="shared" si="0"/>
        <v>204367.31994599802</v>
      </c>
      <c r="J36" s="107">
        <f t="shared" si="0"/>
        <v>204367.31994599802</v>
      </c>
      <c r="K36" s="107">
        <f t="shared" si="0"/>
        <v>204367.31994599802</v>
      </c>
      <c r="L36" s="107">
        <f t="shared" si="0"/>
        <v>204367.31994599802</v>
      </c>
      <c r="M36" s="107">
        <f t="shared" si="0"/>
        <v>204367.31994599802</v>
      </c>
      <c r="N36" s="107">
        <f t="shared" si="0"/>
        <v>204367.31994599802</v>
      </c>
    </row>
    <row r="37" spans="1:14">
      <c r="A37" s="114"/>
      <c r="B37" t="s">
        <v>1257</v>
      </c>
      <c r="C37" s="235">
        <f>BLOUNTSTOWN!C36</f>
        <v>1228831.3297315862</v>
      </c>
      <c r="D37" s="235">
        <f>BLOUNTSTOWN!D36</f>
        <v>1010133.5524307521</v>
      </c>
      <c r="E37" s="235">
        <f>BLOUNTSTOWN!E36</f>
        <v>950254.07441993814</v>
      </c>
      <c r="F37" s="235">
        <f>BLOUNTSTOWN!F36</f>
        <v>959201.22858601715</v>
      </c>
      <c r="G37" s="235">
        <f>BLOUNTSTOWN!G36</f>
        <v>1065854.2376846557</v>
      </c>
      <c r="H37" s="235">
        <f>BLOUNTSTOWN!H36</f>
        <v>1140353.9142618102</v>
      </c>
      <c r="I37" s="235">
        <f>BLOUNTSTOWN!I36</f>
        <v>1132054.8391980769</v>
      </c>
      <c r="J37" s="235">
        <f>BLOUNTSTOWN!J36</f>
        <v>1312333.3808478254</v>
      </c>
      <c r="K37" s="235">
        <f>BLOUNTSTOWN!K36</f>
        <v>1038758.3890285973</v>
      </c>
      <c r="L37" s="235">
        <f>BLOUNTSTOWN!L36</f>
        <v>1068943.4704556046</v>
      </c>
      <c r="M37" s="235">
        <f>BLOUNTSTOWN!M36</f>
        <v>923783.94692739786</v>
      </c>
      <c r="N37" s="235">
        <f>BLOUNTSTOWN!N36</f>
        <v>882247.02789984096</v>
      </c>
    </row>
    <row r="38" spans="1:14">
      <c r="A38" s="114"/>
      <c r="B38" t="s">
        <v>1258</v>
      </c>
      <c r="C38" s="235">
        <f>IFERROR('2017 CP (FNG)'!B12*1000-C37,0)</f>
        <v>-26260.067304411205</v>
      </c>
      <c r="D38" s="235">
        <f>IFERROR('2017 CP (FNG)'!C12*1000-D37,0)</f>
        <v>-21586.506163599784</v>
      </c>
      <c r="E38" s="235">
        <f>IFERROR('2017 CP (FNG)'!D12*1000-E37,0)</f>
        <v>-20306.884555107215</v>
      </c>
      <c r="F38" s="235">
        <f>IFERROR('2017 CP (FNG)'!E12*1000-F37,0)</f>
        <v>-20498.084815793671</v>
      </c>
      <c r="G38" s="235">
        <f>IFERROR('2017 CP (FNG)'!F12*1000-G37,0)</f>
        <v>-22777.254567886703</v>
      </c>
      <c r="H38" s="235">
        <f>IFERROR('2017 CP (FNG)'!G12*1000-H37,0)</f>
        <v>-24369.30912715639</v>
      </c>
      <c r="I38" s="235">
        <f>IFERROR('2017 CP (FNG)'!H12*1000-I37,0)</f>
        <v>-24191.95828618668</v>
      </c>
      <c r="J38" s="235">
        <f>IFERROR('2017 CP (FNG)'!I12*1000-J37,0)</f>
        <v>-28044.502181122778</v>
      </c>
      <c r="K38" s="235">
        <f>IFERROR('2017 CP (FNG)'!J12*1000-K37,0)</f>
        <v>-22198.217565685627</v>
      </c>
      <c r="L38" s="235">
        <f>IFERROR('2017 CP (FNG)'!K12*1000-L37,0)</f>
        <v>-22843.271325859241</v>
      </c>
      <c r="M38" s="235">
        <f>IFERROR('2017 CP (FNG)'!L12*1000-M37,0)</f>
        <v>-19741.219184529502</v>
      </c>
      <c r="N38" s="235">
        <f>IFERROR('2017 CP (FNG)'!M12*1000-N37,0)</f>
        <v>-18853.577192589175</v>
      </c>
    </row>
    <row r="39" spans="1:14">
      <c r="A39" s="114"/>
      <c r="B39" t="s">
        <v>1259</v>
      </c>
      <c r="C39" s="235">
        <f>IFERROR(C36*C38/C37,0)</f>
        <v>-4367.3199459980369</v>
      </c>
      <c r="D39" s="235">
        <f t="shared" ref="D39:N39" si="1">IFERROR(D36*D38/D37,0)</f>
        <v>-4367.3199459980151</v>
      </c>
      <c r="E39" s="235">
        <f t="shared" si="1"/>
        <v>-4367.3199459979769</v>
      </c>
      <c r="F39" s="235">
        <f t="shared" si="1"/>
        <v>-4367.3199459980096</v>
      </c>
      <c r="G39" s="235">
        <f t="shared" si="1"/>
        <v>-4367.3199459980533</v>
      </c>
      <c r="H39" s="235">
        <f t="shared" si="1"/>
        <v>-4367.3199459980024</v>
      </c>
      <c r="I39" s="235">
        <f t="shared" si="1"/>
        <v>-4367.3199459980287</v>
      </c>
      <c r="J39" s="235">
        <f t="shared" si="1"/>
        <v>-4367.319945998046</v>
      </c>
      <c r="K39" s="235">
        <f t="shared" si="1"/>
        <v>-4367.3199459980051</v>
      </c>
      <c r="L39" s="235">
        <f t="shared" si="1"/>
        <v>-4367.3199459980306</v>
      </c>
      <c r="M39" s="235">
        <f t="shared" si="1"/>
        <v>-4367.3199459980351</v>
      </c>
      <c r="N39" s="235">
        <f t="shared" si="1"/>
        <v>-4367.3199459980151</v>
      </c>
    </row>
    <row r="40" spans="1:14">
      <c r="A40" s="114"/>
      <c r="B40" t="s">
        <v>1260</v>
      </c>
      <c r="C40" s="235">
        <f>IFERROR(((C39*C28)/C32)+((C39*C29)/C33)+((C39*C30)/C34),0)</f>
        <v>-4273.9905256398688</v>
      </c>
      <c r="D40" s="235">
        <f t="shared" ref="D40:N40" si="2">IFERROR(((D39*D28)/D32)+((D39*D29)/D33)+((D39*D30)/D34),0)</f>
        <v>-4273.9905256398479</v>
      </c>
      <c r="E40" s="235">
        <f t="shared" si="2"/>
        <v>-4273.9905256398106</v>
      </c>
      <c r="F40" s="235">
        <f t="shared" si="2"/>
        <v>-4273.9905256398424</v>
      </c>
      <c r="G40" s="235">
        <f t="shared" si="2"/>
        <v>-4273.9905256398852</v>
      </c>
      <c r="H40" s="235">
        <f t="shared" si="2"/>
        <v>-4273.9905256398351</v>
      </c>
      <c r="I40" s="235">
        <f t="shared" si="2"/>
        <v>-4273.9905256398615</v>
      </c>
      <c r="J40" s="235">
        <f t="shared" si="2"/>
        <v>-4273.9905256398779</v>
      </c>
      <c r="K40" s="235">
        <f t="shared" si="2"/>
        <v>-4273.9905256398379</v>
      </c>
      <c r="L40" s="235">
        <f t="shared" si="2"/>
        <v>-4273.9905256398633</v>
      </c>
      <c r="M40" s="235">
        <f t="shared" si="2"/>
        <v>-4273.990525639867</v>
      </c>
      <c r="N40" s="235">
        <f t="shared" si="2"/>
        <v>-4273.9905256398479</v>
      </c>
    </row>
    <row r="41" spans="1:14" ht="15.6">
      <c r="A41" s="114"/>
      <c r="B41" s="513">
        <v>2018</v>
      </c>
      <c r="C41" s="235"/>
      <c r="D41" s="235"/>
      <c r="E41" s="235"/>
      <c r="F41" s="235"/>
      <c r="G41" s="235"/>
      <c r="H41" s="235"/>
      <c r="I41" s="235"/>
      <c r="J41" s="235"/>
      <c r="K41" s="235"/>
      <c r="L41" s="235"/>
      <c r="M41" s="235"/>
      <c r="N41" s="235"/>
    </row>
    <row r="42" spans="1:14">
      <c r="A42" s="114"/>
      <c r="B42" t="s">
        <v>1249</v>
      </c>
      <c r="C42" s="532">
        <v>1.0219163778246501</v>
      </c>
      <c r="D42" s="532">
        <v>1.0219163778246501</v>
      </c>
      <c r="E42" s="532">
        <v>1.0219163778246501</v>
      </c>
      <c r="F42" s="532">
        <v>1.0219163778246501</v>
      </c>
      <c r="G42" s="532">
        <v>1.0219163778246501</v>
      </c>
      <c r="H42" s="532">
        <v>1.0219163778246501</v>
      </c>
      <c r="I42" s="532">
        <v>1.0219163778246501</v>
      </c>
      <c r="J42" s="532">
        <v>1.0219163778246501</v>
      </c>
      <c r="K42" s="532">
        <v>1.0219163778246501</v>
      </c>
      <c r="L42" s="532">
        <v>1.0219163778246501</v>
      </c>
      <c r="M42" s="532">
        <v>1.0219163778246501</v>
      </c>
      <c r="N42" s="532">
        <v>1.0219163778246501</v>
      </c>
    </row>
    <row r="43" spans="1:14">
      <c r="A43" s="114"/>
      <c r="B43" t="s">
        <v>1250</v>
      </c>
      <c r="C43" s="532">
        <v>1.0348593998317299</v>
      </c>
      <c r="D43" s="532">
        <v>1.0348593998317299</v>
      </c>
      <c r="E43" s="532">
        <v>1.0348593998317299</v>
      </c>
      <c r="F43" s="532">
        <v>1.0348593998317299</v>
      </c>
      <c r="G43" s="532">
        <v>1.0348593998317299</v>
      </c>
      <c r="H43" s="532">
        <v>1.0348593998317299</v>
      </c>
      <c r="I43" s="532">
        <v>1.0348593998317299</v>
      </c>
      <c r="J43" s="532">
        <v>1.0348593998317299</v>
      </c>
      <c r="K43" s="532">
        <v>1.0348593998317299</v>
      </c>
      <c r="L43" s="532">
        <v>1.0348593998317299</v>
      </c>
      <c r="M43" s="532">
        <v>1.0348593998317299</v>
      </c>
      <c r="N43" s="532">
        <v>1.0348593998317299</v>
      </c>
    </row>
    <row r="44" spans="1:14">
      <c r="A44" s="114"/>
      <c r="B44" t="s">
        <v>1251</v>
      </c>
      <c r="C44" s="532">
        <v>1.0646691706740199</v>
      </c>
      <c r="D44" s="532">
        <v>1.0646691706740199</v>
      </c>
      <c r="E44" s="532">
        <v>1.0646691706740199</v>
      </c>
      <c r="F44" s="532">
        <v>1.0646691706740199</v>
      </c>
      <c r="G44" s="532">
        <v>1.0646691706740199</v>
      </c>
      <c r="H44" s="532">
        <v>1.0646691706740199</v>
      </c>
      <c r="I44" s="532">
        <v>1.0646691706740199</v>
      </c>
      <c r="J44" s="532">
        <v>1.0646691706740199</v>
      </c>
      <c r="K44" s="532">
        <v>1.0646691706740199</v>
      </c>
      <c r="L44" s="532">
        <v>1.0646691706740199</v>
      </c>
      <c r="M44" s="532">
        <v>1.0646691706740199</v>
      </c>
      <c r="N44" s="532">
        <v>1.0646691706740199</v>
      </c>
    </row>
    <row r="45" spans="1:14">
      <c r="A45" s="114"/>
      <c r="B45" t="s">
        <v>1255</v>
      </c>
      <c r="C45" s="235">
        <f>HLOOKUP($B10,Summary_CP!$A$5:$N$161,119+C$9,FALSE)*1000</f>
        <v>200000</v>
      </c>
      <c r="D45" s="235">
        <f>HLOOKUP($B10,Summary_CP!$A$5:$N$161,119+D$9,FALSE)*1000</f>
        <v>200000</v>
      </c>
      <c r="E45" s="235">
        <f>HLOOKUP($B10,Summary_CP!$A$5:$N$161,119+E$9,FALSE)*1000</f>
        <v>200000</v>
      </c>
      <c r="F45" s="235">
        <f>HLOOKUP($B10,Summary_CP!$A$5:$N$161,119+F$9,FALSE)*1000</f>
        <v>200000</v>
      </c>
      <c r="G45" s="235">
        <f>HLOOKUP($B10,Summary_CP!$A$5:$N$161,119+G$9,FALSE)*1000</f>
        <v>200000</v>
      </c>
      <c r="H45" s="235">
        <f>HLOOKUP($B10,Summary_CP!$A$5:$N$161,119+H$9,FALSE)*1000</f>
        <v>200000</v>
      </c>
      <c r="I45" s="235">
        <f>HLOOKUP($B10,Summary_CP!$A$5:$N$161,119+I$9,FALSE)*1000</f>
        <v>200000</v>
      </c>
      <c r="J45" s="235">
        <f>HLOOKUP($B10,Summary_CP!$A$5:$N$161,119+J$9,FALSE)*1000</f>
        <v>200000</v>
      </c>
      <c r="K45" s="235">
        <f>HLOOKUP($B10,Summary_CP!$A$5:$N$161,119+K$9,FALSE)*1000</f>
        <v>200000</v>
      </c>
      <c r="L45" s="235">
        <f>HLOOKUP($B10,Summary_CP!$A$5:$N$161,119+L$9,FALSE)*1000</f>
        <v>200000</v>
      </c>
      <c r="M45" s="235">
        <f>HLOOKUP($B10,Summary_CP!$A$5:$N$161,119+M$9,FALSE)*1000</f>
        <v>200000</v>
      </c>
      <c r="N45" s="235">
        <f>HLOOKUP($B10,Summary_CP!$A$5:$N$161,119+N$9,FALSE)*1000</f>
        <v>200000</v>
      </c>
    </row>
    <row r="46" spans="1:14">
      <c r="A46" s="114"/>
      <c r="B46" t="s">
        <v>1256</v>
      </c>
      <c r="C46" s="107">
        <f>(C45*C28*C42)+(C45*C29*C43)+(C45*C30*C44)</f>
        <v>204383.27556493002</v>
      </c>
      <c r="D46" s="107">
        <f t="shared" ref="D46:N46" si="3">(D45*D28*D42)+(D45*D29*D43)+(D45*D30*D44)</f>
        <v>204383.27556493002</v>
      </c>
      <c r="E46" s="107">
        <f t="shared" si="3"/>
        <v>204383.27556493002</v>
      </c>
      <c r="F46" s="107">
        <f t="shared" si="3"/>
        <v>204383.27556493002</v>
      </c>
      <c r="G46" s="107">
        <f t="shared" si="3"/>
        <v>204383.27556493002</v>
      </c>
      <c r="H46" s="107">
        <f t="shared" si="3"/>
        <v>204383.27556493002</v>
      </c>
      <c r="I46" s="107">
        <f t="shared" si="3"/>
        <v>204383.27556493002</v>
      </c>
      <c r="J46" s="107">
        <f t="shared" si="3"/>
        <v>204383.27556493002</v>
      </c>
      <c r="K46" s="107">
        <f t="shared" si="3"/>
        <v>204383.27556493002</v>
      </c>
      <c r="L46" s="107">
        <f t="shared" si="3"/>
        <v>204383.27556493002</v>
      </c>
      <c r="M46" s="107">
        <f t="shared" si="3"/>
        <v>204383.27556493002</v>
      </c>
      <c r="N46" s="107">
        <f t="shared" si="3"/>
        <v>204383.27556493002</v>
      </c>
    </row>
    <row r="47" spans="1:14">
      <c r="A47" s="114"/>
      <c r="B47" t="s">
        <v>1257</v>
      </c>
      <c r="C47" s="235">
        <f>BLOUNTSTOWN!C46</f>
        <v>1187849.8564563922</v>
      </c>
      <c r="D47" s="235">
        <f>BLOUNTSTOWN!D46</f>
        <v>1012049.3914328514</v>
      </c>
      <c r="E47" s="235">
        <f>BLOUNTSTOWN!E46</f>
        <v>952115.03381284571</v>
      </c>
      <c r="F47" s="235">
        <f>BLOUNTSTOWN!F46</f>
        <v>964452.787497274</v>
      </c>
      <c r="G47" s="235">
        <f>BLOUNTSTOWN!G46</f>
        <v>1071028.6042288018</v>
      </c>
      <c r="H47" s="235">
        <f>BLOUNTSTOWN!H46</f>
        <v>1144619.2235030248</v>
      </c>
      <c r="I47" s="235">
        <f>BLOUNTSTOWN!I46</f>
        <v>1139032.5608989701</v>
      </c>
      <c r="J47" s="235">
        <f>BLOUNTSTOWN!J46</f>
        <v>1275574.8512023324</v>
      </c>
      <c r="K47" s="235">
        <f>BLOUNTSTOWN!K46</f>
        <v>1044148.3639893566</v>
      </c>
      <c r="L47" s="235">
        <f>BLOUNTSTOWN!L46</f>
        <v>1072810.0069048663</v>
      </c>
      <c r="M47" s="235">
        <f>BLOUNTSTOWN!M46</f>
        <v>926247.14475638454</v>
      </c>
      <c r="N47" s="235">
        <f>BLOUNTSTOWN!N46</f>
        <v>884985.90326947428</v>
      </c>
    </row>
    <row r="48" spans="1:14">
      <c r="A48" s="114"/>
      <c r="B48" t="s">
        <v>1258</v>
      </c>
      <c r="C48" s="235">
        <f>'2018 CP (FNG)'!B12*1000-C47</f>
        <v>-25475.045530116186</v>
      </c>
      <c r="D48" s="235">
        <f>'2018 CP (FNG)'!C12*1000-D47</f>
        <v>-21704.766966417432</v>
      </c>
      <c r="E48" s="235">
        <f>'2018 CP (FNG)'!D12*1000-E47</f>
        <v>-20419.393667015363</v>
      </c>
      <c r="F48" s="235">
        <f>'2018 CP (FNG)'!E12*1000-F47</f>
        <v>-20683.993469037232</v>
      </c>
      <c r="G48" s="235">
        <f>'2018 CP (FNG)'!F12*1000-G47</f>
        <v>-22969.655894206604</v>
      </c>
      <c r="H48" s="235">
        <f>'2018 CP (FNG)'!G12*1000-H47</f>
        <v>-24547.906180983176</v>
      </c>
      <c r="I48" s="235">
        <f>'2018 CP (FNG)'!H12*1000-I47</f>
        <v>-24428.092651161831</v>
      </c>
      <c r="J48" s="235">
        <f>'2018 CP (FNG)'!I12*1000-J47</f>
        <v>-27356.426601246698</v>
      </c>
      <c r="K48" s="235">
        <f>'2018 CP (FNG)'!J12*1000-K47</f>
        <v>-22393.172814094694</v>
      </c>
      <c r="L48" s="235">
        <f>'2018 CP (FNG)'!K12*1000-L47</f>
        <v>-23007.860482129268</v>
      </c>
      <c r="M48" s="235">
        <f>'2018 CP (FNG)'!L12*1000-M47</f>
        <v>-19864.621826197603</v>
      </c>
      <c r="N48" s="235">
        <f>'2018 CP (FNG)'!M12*1000-N47</f>
        <v>-18979.718738660915</v>
      </c>
    </row>
    <row r="49" spans="1:32">
      <c r="A49" s="114"/>
      <c r="B49" t="s">
        <v>1259</v>
      </c>
      <c r="C49" s="235">
        <f>C46*C48/C47</f>
        <v>-4383.2755649299688</v>
      </c>
      <c r="D49" s="235">
        <f t="shared" ref="D49:N49" si="4">D46*D48/D47</f>
        <v>-4383.2755649299897</v>
      </c>
      <c r="E49" s="235">
        <f t="shared" si="4"/>
        <v>-4383.2755649300425</v>
      </c>
      <c r="F49" s="235">
        <f t="shared" si="4"/>
        <v>-4383.2755649300234</v>
      </c>
      <c r="G49" s="235">
        <f t="shared" si="4"/>
        <v>-4383.2755649300534</v>
      </c>
      <c r="H49" s="235">
        <f t="shared" si="4"/>
        <v>-4383.2755649299779</v>
      </c>
      <c r="I49" s="235">
        <f t="shared" si="4"/>
        <v>-4383.2755649299579</v>
      </c>
      <c r="J49" s="235">
        <f t="shared" si="4"/>
        <v>-4383.2755649299861</v>
      </c>
      <c r="K49" s="235">
        <f t="shared" si="4"/>
        <v>-4383.2755649300325</v>
      </c>
      <c r="L49" s="235">
        <f t="shared" si="4"/>
        <v>-4383.2755649300052</v>
      </c>
      <c r="M49" s="235">
        <f t="shared" si="4"/>
        <v>-4383.2755649300288</v>
      </c>
      <c r="N49" s="235">
        <f t="shared" si="4"/>
        <v>-4383.2755649300098</v>
      </c>
    </row>
    <row r="50" spans="1:32">
      <c r="A50" s="114"/>
      <c r="B50" t="s">
        <v>1260</v>
      </c>
      <c r="C50" s="235">
        <f>((C49*C28)/C42)+((C49*C29)/C43)+((C49*C30)/C44)</f>
        <v>-4289.2702965194012</v>
      </c>
      <c r="D50" s="235">
        <f t="shared" ref="D50:N50" si="5">((D49*D28)/D42)+((D49*D29)/D43)+((D49*D30)/D44)</f>
        <v>-4289.2702965194212</v>
      </c>
      <c r="E50" s="235">
        <f t="shared" si="5"/>
        <v>-4289.270296519473</v>
      </c>
      <c r="F50" s="235">
        <f t="shared" si="5"/>
        <v>-4289.270296519454</v>
      </c>
      <c r="G50" s="235">
        <f t="shared" si="5"/>
        <v>-4289.270296519484</v>
      </c>
      <c r="H50" s="235">
        <f t="shared" si="5"/>
        <v>-4289.2702965194094</v>
      </c>
      <c r="I50" s="235">
        <f t="shared" si="5"/>
        <v>-4289.2702965193903</v>
      </c>
      <c r="J50" s="235">
        <f t="shared" si="5"/>
        <v>-4289.2702965194176</v>
      </c>
      <c r="K50" s="235">
        <f t="shared" si="5"/>
        <v>-4289.270296519463</v>
      </c>
      <c r="L50" s="235">
        <f t="shared" si="5"/>
        <v>-4289.2702965194367</v>
      </c>
      <c r="M50" s="235">
        <f t="shared" si="5"/>
        <v>-4289.2702965194594</v>
      </c>
      <c r="N50" s="235">
        <f t="shared" si="5"/>
        <v>-4289.2702965194412</v>
      </c>
    </row>
    <row r="51" spans="1:32">
      <c r="A51" s="114"/>
    </row>
    <row r="52" spans="1:32" ht="17.399999999999999">
      <c r="A52" s="147" t="s">
        <v>425</v>
      </c>
    </row>
    <row r="53" spans="1:32" ht="15.6">
      <c r="A53" s="113"/>
      <c r="B53" s="146" t="str">
        <f>"PRIOR - "&amp;MANUAL!$B$9</f>
        <v>PRIOR - 2016</v>
      </c>
      <c r="C53" s="5"/>
      <c r="D53" s="5"/>
      <c r="E53" s="5"/>
      <c r="F53" s="5"/>
      <c r="G53" s="5"/>
      <c r="H53" s="5"/>
      <c r="I53" s="5"/>
      <c r="J53" s="5"/>
      <c r="K53" s="5"/>
      <c r="L53" s="5"/>
      <c r="M53" s="5"/>
      <c r="N53" s="5"/>
    </row>
    <row r="54" spans="1:32" s="12" customFormat="1" ht="15.6">
      <c r="A54" s="111"/>
      <c r="B54" s="149" t="s">
        <v>432</v>
      </c>
      <c r="C54" s="107">
        <f>HLOOKUP($B10,Summary_CP!$A$5:$N$161,95+C$9,FALSE)*1000</f>
        <v>200000</v>
      </c>
      <c r="D54" s="107">
        <f>HLOOKUP($B10,Summary_CP!$A$5:$N$161,95+D$9,FALSE)*1000</f>
        <v>200000</v>
      </c>
      <c r="E54" s="107">
        <f>HLOOKUP($B10,Summary_CP!$A$5:$N$161,95+E$9,FALSE)*1000</f>
        <v>200000</v>
      </c>
      <c r="F54" s="107">
        <f>HLOOKUP($B10,Summary_CP!$A$5:$N$161,95+F$9,FALSE)*1000</f>
        <v>200000</v>
      </c>
      <c r="G54" s="107">
        <f>HLOOKUP($B10,Summary_CP!$A$5:$N$161,95+G$9,FALSE)*1000</f>
        <v>200000</v>
      </c>
      <c r="H54" s="107">
        <f>HLOOKUP($B10,Summary_CP!$A$5:$N$161,95+H$9,FALSE)*1000</f>
        <v>200000</v>
      </c>
      <c r="I54" s="107">
        <f>HLOOKUP($B10,Summary_CP!$A$5:$N$161,95+I$9,FALSE)*1000</f>
        <v>200000</v>
      </c>
      <c r="J54" s="107">
        <f>HLOOKUP($B10,Summary_CP!$A$5:$N$161,95+J$9,FALSE)*1000</f>
        <v>200000</v>
      </c>
      <c r="K54" s="107">
        <f>HLOOKUP($B10,Summary_CP!$A$5:$N$161,95+K$9,FALSE)*1000</f>
        <v>200000</v>
      </c>
      <c r="L54" s="107">
        <f>HLOOKUP($B10,Summary_CP!$A$5:$N$161,95+L$9,FALSE)*1000</f>
        <v>200000</v>
      </c>
      <c r="M54" s="107">
        <f>HLOOKUP($B10,Summary_CP!$A$5:$N$161,95+M$9,FALSE)*1000</f>
        <v>200000</v>
      </c>
      <c r="N54" s="107">
        <f>HLOOKUP($B10,Summary_CP!$A$5:$N$161,95+N$9,FALSE)*1000</f>
        <v>200000</v>
      </c>
      <c r="O54" s="107"/>
      <c r="P54" s="152">
        <f>AVERAGE(C54:N54)</f>
        <v>200000</v>
      </c>
    </row>
    <row r="55" spans="1:32" s="12" customFormat="1" ht="15.6">
      <c r="A55" s="111"/>
      <c r="B55" s="149" t="s">
        <v>430</v>
      </c>
      <c r="C55" s="107">
        <f>C56</f>
        <v>200000</v>
      </c>
      <c r="D55" s="107">
        <f t="shared" ref="D55:N55" si="6">D56</f>
        <v>200000</v>
      </c>
      <c r="E55" s="107">
        <f t="shared" si="6"/>
        <v>200000</v>
      </c>
      <c r="F55" s="107">
        <f t="shared" si="6"/>
        <v>200000</v>
      </c>
      <c r="G55" s="107">
        <f t="shared" si="6"/>
        <v>200000</v>
      </c>
      <c r="H55" s="107">
        <f t="shared" si="6"/>
        <v>200000</v>
      </c>
      <c r="I55" s="107">
        <f t="shared" si="6"/>
        <v>200000</v>
      </c>
      <c r="J55" s="107">
        <f t="shared" si="6"/>
        <v>200000</v>
      </c>
      <c r="K55" s="107">
        <f t="shared" si="6"/>
        <v>200000</v>
      </c>
      <c r="L55" s="107">
        <f t="shared" si="6"/>
        <v>200000</v>
      </c>
      <c r="M55" s="107">
        <f t="shared" si="6"/>
        <v>200000</v>
      </c>
      <c r="N55" s="107">
        <f t="shared" si="6"/>
        <v>200000</v>
      </c>
      <c r="O55" s="107"/>
      <c r="P55" s="152">
        <f>AVERAGE(C55:N55)</f>
        <v>200000</v>
      </c>
    </row>
    <row r="56" spans="1:32" s="106" customFormat="1">
      <c r="A56" s="109"/>
      <c r="B56" s="149" t="s">
        <v>133</v>
      </c>
      <c r="C56" s="107">
        <f>HLOOKUP($B$10,'Summary_NCP '!$C$5:$M$677,95+C$9,FALSE)*1000</f>
        <v>200000</v>
      </c>
      <c r="D56" s="107">
        <f>HLOOKUP($B$10,'Summary_NCP '!$C$5:$M$677,95+D$9,FALSE)*1000</f>
        <v>200000</v>
      </c>
      <c r="E56" s="107">
        <f>HLOOKUP($B$10,'Summary_NCP '!$C$5:$M$677,95+E$9,FALSE)*1000</f>
        <v>200000</v>
      </c>
      <c r="F56" s="107">
        <f>HLOOKUP($B$10,'Summary_NCP '!$C$5:$M$677,95+F$9,FALSE)*1000</f>
        <v>200000</v>
      </c>
      <c r="G56" s="107">
        <f>HLOOKUP($B$10,'Summary_NCP '!$C$5:$M$677,95+G$9,FALSE)*1000</f>
        <v>200000</v>
      </c>
      <c r="H56" s="107">
        <f>HLOOKUP($B$10,'Summary_NCP '!$C$5:$M$677,95+H$9,FALSE)*1000</f>
        <v>200000</v>
      </c>
      <c r="I56" s="107">
        <f>HLOOKUP($B$10,'Summary_NCP '!$C$5:$M$677,95+I$9,FALSE)*1000</f>
        <v>200000</v>
      </c>
      <c r="J56" s="107">
        <f>HLOOKUP($B$10,'Summary_NCP '!$C$5:$M$677,95+J$9,FALSE)*1000</f>
        <v>200000</v>
      </c>
      <c r="K56" s="107">
        <f>HLOOKUP($B$10,'Summary_NCP '!$C$5:$M$677,95+K$9,FALSE)*1000</f>
        <v>200000</v>
      </c>
      <c r="L56" s="107">
        <f>HLOOKUP($B$10,'Summary_NCP '!$C$5:$M$677,95+L$9,FALSE)*1000</f>
        <v>200000</v>
      </c>
      <c r="M56" s="107">
        <f>HLOOKUP($B$10,'Summary_NCP '!$C$5:$M$677,95+M$9,FALSE)*1000</f>
        <v>200000</v>
      </c>
      <c r="N56" s="107">
        <f>HLOOKUP($B$10,'Summary_NCP '!$C$5:$M$677,95+N$9,FALSE)*1000</f>
        <v>200000</v>
      </c>
      <c r="O56" s="142"/>
      <c r="P56" s="152">
        <f>AVERAGE(C56:N56)</f>
        <v>200000</v>
      </c>
    </row>
    <row r="57" spans="1:32" s="106" customFormat="1" ht="16.5" customHeight="1">
      <c r="A57" s="109"/>
      <c r="B57" s="108"/>
      <c r="C57" s="107"/>
      <c r="D57" s="107"/>
      <c r="E57" s="107"/>
      <c r="F57" s="107"/>
      <c r="G57" s="107"/>
      <c r="H57" s="107"/>
      <c r="I57" s="107"/>
      <c r="J57" s="107"/>
      <c r="K57" s="107"/>
      <c r="L57" s="107"/>
      <c r="M57" s="107"/>
      <c r="N57" s="107"/>
      <c r="T57" s="522"/>
      <c r="U57" s="523"/>
      <c r="V57" s="523"/>
      <c r="W57" s="523"/>
      <c r="X57" s="523"/>
      <c r="Y57" s="523"/>
      <c r="Z57" s="523"/>
      <c r="AA57" s="523"/>
      <c r="AB57" s="523"/>
      <c r="AC57" s="523"/>
      <c r="AD57" s="523"/>
      <c r="AE57" s="523"/>
      <c r="AF57" s="523"/>
    </row>
    <row r="58" spans="1:32" s="106" customFormat="1" ht="16.5" customHeight="1">
      <c r="A58" s="109"/>
      <c r="B58" s="146" t="str">
        <f>"TEST - "&amp;MANUAL!$B$10</f>
        <v>TEST - 2017</v>
      </c>
      <c r="C58" s="107"/>
      <c r="D58" s="107"/>
      <c r="E58" s="107"/>
      <c r="F58" s="107"/>
      <c r="G58" s="107"/>
      <c r="H58" s="107"/>
      <c r="I58" s="107"/>
      <c r="J58" s="107"/>
      <c r="K58" s="107"/>
      <c r="L58" s="107"/>
      <c r="M58" s="107"/>
      <c r="N58" s="107"/>
      <c r="T58" s="206"/>
      <c r="U58" s="523"/>
      <c r="V58" s="523"/>
      <c r="W58" s="523"/>
      <c r="X58" s="523"/>
      <c r="Y58" s="523"/>
      <c r="Z58" s="523"/>
      <c r="AA58" s="523"/>
      <c r="AB58" s="523"/>
      <c r="AC58" s="523"/>
      <c r="AD58" s="523"/>
      <c r="AE58" s="523"/>
      <c r="AF58" s="523"/>
    </row>
    <row r="59" spans="1:32" s="106" customFormat="1" ht="16.5" customHeight="1">
      <c r="A59" s="109"/>
      <c r="B59" s="149" t="s">
        <v>432</v>
      </c>
      <c r="C59" s="107">
        <f>C35+C40</f>
        <v>195726.00947436012</v>
      </c>
      <c r="D59" s="107">
        <f>D35+D40</f>
        <v>195726.00947436015</v>
      </c>
      <c r="E59" s="107">
        <f t="shared" ref="E59:N59" si="7">E35+E40</f>
        <v>195726.00947436018</v>
      </c>
      <c r="F59" s="107">
        <f t="shared" si="7"/>
        <v>195726.00947436015</v>
      </c>
      <c r="G59" s="107">
        <f t="shared" si="7"/>
        <v>195726.00947436012</v>
      </c>
      <c r="H59" s="107">
        <f t="shared" si="7"/>
        <v>195726.00947436015</v>
      </c>
      <c r="I59" s="107">
        <f t="shared" si="7"/>
        <v>195726.00947436015</v>
      </c>
      <c r="J59" s="107">
        <f t="shared" si="7"/>
        <v>195726.00947436012</v>
      </c>
      <c r="K59" s="107">
        <f t="shared" si="7"/>
        <v>195726.00947436015</v>
      </c>
      <c r="L59" s="107">
        <f t="shared" si="7"/>
        <v>195726.00947436015</v>
      </c>
      <c r="M59" s="107">
        <f t="shared" si="7"/>
        <v>195726.00947436012</v>
      </c>
      <c r="N59" s="107">
        <f t="shared" si="7"/>
        <v>195726.00947436015</v>
      </c>
      <c r="P59" s="152">
        <f>AVERAGE(C59:N59)</f>
        <v>195726.00947436015</v>
      </c>
      <c r="T59" s="206"/>
      <c r="U59" s="523"/>
      <c r="V59" s="523"/>
      <c r="W59" s="523"/>
      <c r="X59" s="523"/>
      <c r="Y59" s="523"/>
      <c r="Z59" s="523"/>
      <c r="AA59" s="523"/>
      <c r="AB59" s="523"/>
      <c r="AC59" s="523"/>
      <c r="AD59" s="523"/>
      <c r="AE59" s="523"/>
      <c r="AF59" s="523"/>
    </row>
    <row r="60" spans="1:32" s="106" customFormat="1" ht="16.5" customHeight="1">
      <c r="A60" s="109"/>
      <c r="B60" s="149" t="s">
        <v>430</v>
      </c>
      <c r="C60" s="107">
        <f>C61</f>
        <v>200000</v>
      </c>
      <c r="D60" s="107">
        <f t="shared" ref="D60:N60" si="8">D61</f>
        <v>200000</v>
      </c>
      <c r="E60" s="107">
        <f t="shared" si="8"/>
        <v>200000</v>
      </c>
      <c r="F60" s="107">
        <f t="shared" si="8"/>
        <v>200000</v>
      </c>
      <c r="G60" s="107">
        <f t="shared" si="8"/>
        <v>200000</v>
      </c>
      <c r="H60" s="107">
        <f t="shared" si="8"/>
        <v>200000</v>
      </c>
      <c r="I60" s="107">
        <f t="shared" si="8"/>
        <v>200000</v>
      </c>
      <c r="J60" s="107">
        <f t="shared" si="8"/>
        <v>200000</v>
      </c>
      <c r="K60" s="107">
        <f t="shared" si="8"/>
        <v>200000</v>
      </c>
      <c r="L60" s="107">
        <f t="shared" si="8"/>
        <v>200000</v>
      </c>
      <c r="M60" s="107">
        <f t="shared" si="8"/>
        <v>200000</v>
      </c>
      <c r="N60" s="107">
        <f t="shared" si="8"/>
        <v>200000</v>
      </c>
      <c r="P60" s="152">
        <f>AVERAGE(C60:N60)</f>
        <v>200000</v>
      </c>
      <c r="T60" s="206"/>
      <c r="U60" s="523"/>
      <c r="V60" s="523"/>
      <c r="W60" s="523"/>
      <c r="X60" s="523"/>
      <c r="Y60" s="523"/>
      <c r="Z60" s="523"/>
      <c r="AA60" s="523"/>
      <c r="AB60" s="523"/>
      <c r="AC60" s="523"/>
      <c r="AD60" s="523"/>
      <c r="AE60" s="523"/>
      <c r="AF60" s="523"/>
    </row>
    <row r="61" spans="1:32" s="106" customFormat="1" ht="16.5" customHeight="1">
      <c r="A61" s="109"/>
      <c r="B61" s="149" t="s">
        <v>133</v>
      </c>
      <c r="C61" s="107">
        <f>HLOOKUP($B$10,'Summary_NCP '!$C$5:$M$677,107+C$9,FALSE)*1000</f>
        <v>200000</v>
      </c>
      <c r="D61" s="107">
        <f>HLOOKUP($B$10,'Summary_NCP '!$C$5:$M$677,107+D$9,FALSE)*1000</f>
        <v>200000</v>
      </c>
      <c r="E61" s="107">
        <f>HLOOKUP($B$10,'Summary_NCP '!$C$5:$M$677,107+E$9,FALSE)*1000</f>
        <v>200000</v>
      </c>
      <c r="F61" s="107">
        <f>HLOOKUP($B$10,'Summary_NCP '!$C$5:$M$677,107+F$9,FALSE)*1000</f>
        <v>200000</v>
      </c>
      <c r="G61" s="107">
        <f>HLOOKUP($B$10,'Summary_NCP '!$C$5:$M$677,107+G$9,FALSE)*1000</f>
        <v>200000</v>
      </c>
      <c r="H61" s="107">
        <f>HLOOKUP($B$10,'Summary_NCP '!$C$5:$M$677,107+H$9,FALSE)*1000</f>
        <v>200000</v>
      </c>
      <c r="I61" s="107">
        <f>HLOOKUP($B$10,'Summary_NCP '!$C$5:$M$677,107+I$9,FALSE)*1000</f>
        <v>200000</v>
      </c>
      <c r="J61" s="107">
        <f>HLOOKUP($B$10,'Summary_NCP '!$C$5:$M$677,107+J$9,FALSE)*1000</f>
        <v>200000</v>
      </c>
      <c r="K61" s="107">
        <f>HLOOKUP($B$10,'Summary_NCP '!$C$5:$M$677,107+K$9,FALSE)*1000</f>
        <v>200000</v>
      </c>
      <c r="L61" s="107">
        <f>HLOOKUP($B$10,'Summary_NCP '!$C$5:$M$677,107+L$9,FALSE)*1000</f>
        <v>200000</v>
      </c>
      <c r="M61" s="107">
        <f>HLOOKUP($B$10,'Summary_NCP '!$C$5:$M$677,107+M$9,FALSE)*1000</f>
        <v>200000</v>
      </c>
      <c r="N61" s="107">
        <f>HLOOKUP($B$10,'Summary_NCP '!$C$5:$M$677,107+N$9,FALSE)*1000</f>
        <v>200000</v>
      </c>
      <c r="P61" s="152">
        <f>AVERAGE(C61:N61)</f>
        <v>200000</v>
      </c>
      <c r="T61" s="206"/>
      <c r="U61" s="523"/>
      <c r="V61" s="523"/>
      <c r="W61" s="523"/>
      <c r="X61" s="523"/>
      <c r="Y61" s="523"/>
      <c r="Z61" s="523"/>
      <c r="AA61" s="523"/>
      <c r="AB61" s="523"/>
      <c r="AC61" s="523"/>
      <c r="AD61" s="523"/>
      <c r="AE61" s="523"/>
      <c r="AF61" s="523"/>
    </row>
    <row r="62" spans="1:32" s="106" customFormat="1" ht="16.5" customHeight="1">
      <c r="A62" s="109"/>
      <c r="B62" s="149"/>
      <c r="C62" s="107"/>
      <c r="D62" s="107"/>
      <c r="E62" s="107"/>
      <c r="F62" s="107"/>
      <c r="G62" s="107"/>
      <c r="H62" s="107"/>
      <c r="I62" s="107"/>
      <c r="J62" s="107"/>
      <c r="K62" s="107"/>
      <c r="L62" s="107"/>
      <c r="M62" s="107"/>
      <c r="N62" s="107"/>
      <c r="P62" s="152"/>
      <c r="T62" s="206"/>
      <c r="U62" s="524"/>
      <c r="V62" s="524"/>
      <c r="W62" s="524"/>
      <c r="X62" s="524"/>
      <c r="Y62" s="524"/>
      <c r="Z62" s="524"/>
      <c r="AA62" s="524"/>
      <c r="AB62" s="524"/>
      <c r="AC62" s="524"/>
      <c r="AD62" s="524"/>
      <c r="AE62" s="524"/>
      <c r="AF62" s="524"/>
    </row>
    <row r="63" spans="1:32" s="106" customFormat="1" ht="16.5" customHeight="1">
      <c r="A63" s="109"/>
      <c r="B63" s="149"/>
      <c r="C63" s="107"/>
      <c r="D63" s="107"/>
      <c r="E63" s="107"/>
      <c r="F63" s="107"/>
      <c r="G63" s="107"/>
      <c r="H63" s="107"/>
      <c r="I63" s="107"/>
      <c r="J63" s="107"/>
      <c r="K63" s="107"/>
      <c r="L63" s="107"/>
      <c r="M63" s="107"/>
      <c r="N63" s="107"/>
      <c r="P63" s="152"/>
      <c r="T63" s="206"/>
      <c r="U63" s="524"/>
      <c r="V63" s="524"/>
      <c r="W63" s="524"/>
      <c r="X63" s="524"/>
      <c r="Y63" s="524"/>
      <c r="Z63" s="524"/>
      <c r="AA63" s="524"/>
      <c r="AB63" s="524"/>
      <c r="AC63" s="524"/>
      <c r="AD63" s="524"/>
      <c r="AE63" s="524"/>
      <c r="AF63" s="524"/>
    </row>
    <row r="64" spans="1:32" s="106" customFormat="1" ht="16.5" customHeight="1">
      <c r="A64" s="109"/>
      <c r="B64" s="149"/>
      <c r="C64" s="107"/>
      <c r="D64" s="107"/>
      <c r="E64" s="107"/>
      <c r="F64" s="107"/>
      <c r="G64" s="107"/>
      <c r="H64" s="107"/>
      <c r="I64" s="107"/>
      <c r="J64" s="107"/>
      <c r="K64" s="107"/>
      <c r="L64" s="107"/>
      <c r="M64" s="107"/>
      <c r="N64" s="107"/>
      <c r="P64" s="152"/>
      <c r="T64" s="206"/>
      <c r="U64" s="524"/>
      <c r="V64" s="524"/>
      <c r="W64" s="524"/>
      <c r="X64" s="524"/>
      <c r="Y64" s="524"/>
      <c r="Z64" s="524"/>
      <c r="AA64" s="524"/>
      <c r="AB64" s="524"/>
      <c r="AC64" s="524"/>
      <c r="AD64" s="524"/>
      <c r="AE64" s="524"/>
      <c r="AF64" s="524"/>
    </row>
    <row r="65" spans="1:32" s="106" customFormat="1" ht="16.5" customHeight="1">
      <c r="A65" s="109"/>
      <c r="B65" s="149"/>
      <c r="C65" s="107"/>
      <c r="D65" s="107"/>
      <c r="E65" s="107"/>
      <c r="F65" s="107"/>
      <c r="G65" s="107"/>
      <c r="H65" s="107"/>
      <c r="I65" s="107"/>
      <c r="J65" s="107"/>
      <c r="K65" s="107"/>
      <c r="L65" s="107"/>
      <c r="M65" s="107"/>
      <c r="N65" s="107"/>
      <c r="P65" s="152"/>
      <c r="T65" s="206"/>
      <c r="U65" s="523"/>
      <c r="V65" s="523"/>
      <c r="W65" s="523"/>
      <c r="X65" s="523"/>
      <c r="Y65" s="523"/>
      <c r="Z65" s="523"/>
      <c r="AA65" s="523"/>
      <c r="AB65" s="523"/>
      <c r="AC65" s="523"/>
      <c r="AD65" s="523"/>
      <c r="AE65" s="523"/>
      <c r="AF65" s="523"/>
    </row>
    <row r="66" spans="1:32" s="106" customFormat="1" ht="16.5" customHeight="1">
      <c r="A66" s="109"/>
      <c r="B66" s="146" t="str">
        <f>"SUBSEQUENT - "&amp;MANUAL!$B$11</f>
        <v>SUBSEQUENT - 2018</v>
      </c>
      <c r="C66" s="107"/>
      <c r="D66" s="107"/>
      <c r="E66" s="107"/>
      <c r="F66" s="107"/>
      <c r="G66" s="107"/>
      <c r="H66" s="107"/>
      <c r="I66" s="107"/>
      <c r="J66" s="107"/>
      <c r="K66" s="107"/>
      <c r="L66" s="107"/>
      <c r="M66" s="107"/>
      <c r="N66" s="107"/>
      <c r="T66" s="206"/>
      <c r="U66" s="523"/>
      <c r="V66" s="523"/>
      <c r="W66" s="523"/>
      <c r="X66" s="523"/>
      <c r="Y66" s="523"/>
      <c r="Z66" s="523"/>
      <c r="AA66" s="523"/>
      <c r="AB66" s="523"/>
      <c r="AC66" s="523"/>
      <c r="AD66" s="523"/>
      <c r="AE66" s="523"/>
      <c r="AF66" s="523"/>
    </row>
    <row r="67" spans="1:32" s="106" customFormat="1" ht="16.5" customHeight="1">
      <c r="A67" s="109"/>
      <c r="B67" s="149" t="s">
        <v>432</v>
      </c>
      <c r="C67" s="107">
        <f>C45+C50</f>
        <v>195710.72970348061</v>
      </c>
      <c r="D67" s="107">
        <f>D45+D50</f>
        <v>195710.72970348058</v>
      </c>
      <c r="E67" s="107">
        <f t="shared" ref="E67:N67" si="9">E45+E50</f>
        <v>195710.72970348052</v>
      </c>
      <c r="F67" s="107">
        <f t="shared" si="9"/>
        <v>195710.72970348055</v>
      </c>
      <c r="G67" s="107">
        <f t="shared" si="9"/>
        <v>195710.72970348052</v>
      </c>
      <c r="H67" s="107">
        <f t="shared" si="9"/>
        <v>195710.72970348058</v>
      </c>
      <c r="I67" s="107">
        <f t="shared" si="9"/>
        <v>195710.72970348061</v>
      </c>
      <c r="J67" s="107">
        <f t="shared" si="9"/>
        <v>195710.72970348058</v>
      </c>
      <c r="K67" s="107">
        <f t="shared" si="9"/>
        <v>195710.72970348052</v>
      </c>
      <c r="L67" s="107">
        <f t="shared" si="9"/>
        <v>195710.72970348055</v>
      </c>
      <c r="M67" s="107">
        <f t="shared" si="9"/>
        <v>195710.72970348055</v>
      </c>
      <c r="N67" s="107">
        <f t="shared" si="9"/>
        <v>195710.72970348055</v>
      </c>
      <c r="O67" s="145"/>
      <c r="P67" s="152">
        <f>AVERAGE(C67:N67)</f>
        <v>195710.72970348052</v>
      </c>
    </row>
    <row r="68" spans="1:32" s="106" customFormat="1" ht="16.5" customHeight="1">
      <c r="A68" s="109"/>
      <c r="B68" s="149" t="s">
        <v>430</v>
      </c>
      <c r="C68" s="107">
        <f>C69</f>
        <v>200000</v>
      </c>
      <c r="D68" s="107">
        <f t="shared" ref="D68:N68" si="10">D69</f>
        <v>200000</v>
      </c>
      <c r="E68" s="107">
        <f t="shared" si="10"/>
        <v>200000</v>
      </c>
      <c r="F68" s="107">
        <f t="shared" si="10"/>
        <v>200000</v>
      </c>
      <c r="G68" s="107">
        <f t="shared" si="10"/>
        <v>200000</v>
      </c>
      <c r="H68" s="107">
        <f t="shared" si="10"/>
        <v>200000</v>
      </c>
      <c r="I68" s="107">
        <f t="shared" si="10"/>
        <v>200000</v>
      </c>
      <c r="J68" s="107">
        <f t="shared" si="10"/>
        <v>200000</v>
      </c>
      <c r="K68" s="107">
        <f t="shared" si="10"/>
        <v>200000</v>
      </c>
      <c r="L68" s="107">
        <f t="shared" si="10"/>
        <v>200000</v>
      </c>
      <c r="M68" s="107">
        <f t="shared" si="10"/>
        <v>200000</v>
      </c>
      <c r="N68" s="107">
        <f t="shared" si="10"/>
        <v>200000</v>
      </c>
      <c r="O68" s="107"/>
      <c r="P68" s="152">
        <f>AVERAGE(C68:N68)</f>
        <v>200000</v>
      </c>
    </row>
    <row r="69" spans="1:32" s="106" customFormat="1" ht="16.5" customHeight="1">
      <c r="A69" s="109"/>
      <c r="B69" s="149" t="s">
        <v>133</v>
      </c>
      <c r="C69" s="107">
        <f>HLOOKUP($B$10,'Summary_NCP '!$C$5:$M$677,119+C$9,FALSE)*1000</f>
        <v>200000</v>
      </c>
      <c r="D69" s="107">
        <f>HLOOKUP($B$10,'Summary_NCP '!$C$5:$M$677,119+D$9,FALSE)*1000</f>
        <v>200000</v>
      </c>
      <c r="E69" s="107">
        <f>HLOOKUP($B$10,'Summary_NCP '!$C$5:$M$677,119+E$9,FALSE)*1000</f>
        <v>200000</v>
      </c>
      <c r="F69" s="107">
        <f>HLOOKUP($B$10,'Summary_NCP '!$C$5:$M$677,119+F$9,FALSE)*1000</f>
        <v>200000</v>
      </c>
      <c r="G69" s="107">
        <f>HLOOKUP($B$10,'Summary_NCP '!$C$5:$M$677,119+G$9,FALSE)*1000</f>
        <v>200000</v>
      </c>
      <c r="H69" s="107">
        <f>HLOOKUP($B$10,'Summary_NCP '!$C$5:$M$677,119+H$9,FALSE)*1000</f>
        <v>200000</v>
      </c>
      <c r="I69" s="107">
        <f>HLOOKUP($B$10,'Summary_NCP '!$C$5:$M$677,119+I$9,FALSE)*1000</f>
        <v>200000</v>
      </c>
      <c r="J69" s="107">
        <f>HLOOKUP($B$10,'Summary_NCP '!$C$5:$M$677,119+J$9,FALSE)*1000</f>
        <v>200000</v>
      </c>
      <c r="K69" s="107">
        <f>HLOOKUP($B$10,'Summary_NCP '!$C$5:$M$677,119+K$9,FALSE)*1000</f>
        <v>200000</v>
      </c>
      <c r="L69" s="107">
        <f>HLOOKUP($B$10,'Summary_NCP '!$C$5:$M$677,119+L$9,FALSE)*1000</f>
        <v>200000</v>
      </c>
      <c r="M69" s="107">
        <f>HLOOKUP($B$10,'Summary_NCP '!$C$5:$M$677,119+M$9,FALSE)*1000</f>
        <v>200000</v>
      </c>
      <c r="N69" s="107">
        <f>HLOOKUP($B$10,'Summary_NCP '!$C$5:$M$677,119+N$9,FALSE)*1000</f>
        <v>200000</v>
      </c>
      <c r="O69" s="107"/>
      <c r="P69" s="152">
        <f>AVERAGE(C69:N69)</f>
        <v>200000</v>
      </c>
    </row>
    <row r="70" spans="1:32" s="106" customFormat="1" ht="16.5" customHeight="1">
      <c r="A70" s="109"/>
      <c r="B70" s="149"/>
      <c r="C70" s="107"/>
      <c r="D70" s="107"/>
      <c r="E70" s="107"/>
      <c r="F70" s="107"/>
      <c r="G70" s="107"/>
      <c r="H70" s="107"/>
      <c r="I70" s="107"/>
      <c r="J70" s="107"/>
      <c r="K70" s="107"/>
      <c r="L70" s="107"/>
      <c r="M70" s="107"/>
      <c r="N70" s="107"/>
      <c r="O70" s="107"/>
      <c r="P70" s="152"/>
    </row>
    <row r="71" spans="1:32" s="106" customFormat="1" ht="16.5" customHeight="1">
      <c r="A71" s="109"/>
      <c r="B71" s="149"/>
      <c r="C71" s="107"/>
      <c r="D71" s="107"/>
      <c r="E71" s="107"/>
      <c r="F71" s="107"/>
      <c r="G71" s="107"/>
      <c r="H71" s="107"/>
      <c r="I71" s="107"/>
      <c r="J71" s="107"/>
      <c r="K71" s="107"/>
      <c r="L71" s="107"/>
      <c r="M71" s="107"/>
      <c r="N71" s="107"/>
      <c r="O71" s="107"/>
      <c r="P71" s="152"/>
    </row>
    <row r="72" spans="1:32" s="106" customFormat="1" ht="16.5" customHeight="1">
      <c r="A72" s="109"/>
      <c r="B72" s="149"/>
      <c r="C72" s="107"/>
      <c r="D72" s="107"/>
      <c r="E72" s="107"/>
      <c r="F72" s="107"/>
      <c r="G72" s="107"/>
      <c r="H72" s="107"/>
      <c r="I72" s="107"/>
      <c r="J72" s="107"/>
      <c r="K72" s="107"/>
      <c r="L72" s="107"/>
      <c r="M72" s="107"/>
      <c r="N72" s="107"/>
      <c r="O72" s="107"/>
      <c r="P72" s="152"/>
    </row>
    <row r="73" spans="1:32" s="106" customFormat="1" ht="16.5" customHeight="1">
      <c r="A73" s="109"/>
      <c r="B73" s="108"/>
      <c r="C73" s="107"/>
      <c r="D73" s="107"/>
      <c r="E73" s="107"/>
      <c r="F73" s="107"/>
      <c r="G73" s="107"/>
      <c r="H73" s="107"/>
      <c r="I73" s="107"/>
      <c r="J73" s="107"/>
      <c r="K73" s="107"/>
      <c r="L73" s="107"/>
      <c r="M73" s="107"/>
      <c r="N73" s="107"/>
    </row>
    <row r="74" spans="1:32" ht="13.2">
      <c r="A74" s="42" t="s">
        <v>116</v>
      </c>
      <c r="C74" s="105"/>
    </row>
    <row r="75" spans="1:32" ht="13.2">
      <c r="A75"/>
      <c r="B75" s="10" t="s">
        <v>338</v>
      </c>
      <c r="C75" s="105"/>
      <c r="D75" s="105"/>
      <c r="E75" s="105"/>
      <c r="F75" s="105"/>
      <c r="G75" s="105"/>
      <c r="H75" s="105"/>
      <c r="I75" s="105"/>
      <c r="J75" s="105"/>
      <c r="K75" s="105"/>
      <c r="L75" s="105"/>
      <c r="M75" s="105"/>
      <c r="N75" s="105"/>
    </row>
    <row r="76" spans="1:32" ht="13.2">
      <c r="A76"/>
      <c r="B76" s="81" t="s">
        <v>426</v>
      </c>
    </row>
    <row r="77" spans="1:32" ht="12.75">
      <c r="A77"/>
      <c r="B77" s="125" t="s">
        <v>431</v>
      </c>
      <c r="C77" s="104"/>
    </row>
    <row r="78" spans="1:32" ht="12.75">
      <c r="A78"/>
      <c r="B78" s="153" t="s">
        <v>435</v>
      </c>
      <c r="E78" s="88"/>
    </row>
    <row r="79" spans="1:32" ht="13.2">
      <c r="A79"/>
      <c r="B79" t="s">
        <v>433</v>
      </c>
      <c r="C79" s="98"/>
      <c r="D79" s="98"/>
      <c r="E79" s="98"/>
      <c r="F79" s="98"/>
      <c r="G79" s="98"/>
      <c r="H79" s="98"/>
      <c r="I79" s="98"/>
      <c r="J79" s="98"/>
      <c r="K79" s="98"/>
      <c r="L79" s="98"/>
      <c r="M79" s="98"/>
      <c r="N79" s="98"/>
    </row>
    <row r="82" spans="2:14">
      <c r="B82" s="149" t="s">
        <v>1202</v>
      </c>
      <c r="C82" s="499">
        <f>(C$24/C$15)/C59</f>
        <v>9.3221988181012225E-2</v>
      </c>
      <c r="D82" s="499">
        <f t="shared" ref="D82:N82" si="11">(D$24/D$15)/D59</f>
        <v>0.55691615275462625</v>
      </c>
      <c r="E82" s="499">
        <f t="shared" si="11"/>
        <v>0.58920416839269585</v>
      </c>
      <c r="F82" s="499">
        <f t="shared" si="11"/>
        <v>0.79376834754025483</v>
      </c>
      <c r="G82" s="499">
        <f t="shared" si="11"/>
        <v>0.86409744182812276</v>
      </c>
      <c r="H82" s="499">
        <f t="shared" si="11"/>
        <v>0.80558333322463282</v>
      </c>
      <c r="I82" s="499">
        <f t="shared" si="11"/>
        <v>0.79642136864036017</v>
      </c>
      <c r="J82" s="499">
        <f t="shared" si="11"/>
        <v>0.99059092413340788</v>
      </c>
      <c r="K82" s="499">
        <f t="shared" si="11"/>
        <v>0.6815792041948997</v>
      </c>
      <c r="L82" s="499">
        <f t="shared" si="11"/>
        <v>0.62580624552012099</v>
      </c>
      <c r="M82" s="499">
        <f t="shared" si="11"/>
        <v>0.61789181889922851</v>
      </c>
      <c r="N82" s="499">
        <f t="shared" si="11"/>
        <v>0.30229332742012205</v>
      </c>
    </row>
    <row r="83" spans="2:14">
      <c r="B83" s="149" t="s">
        <v>1203</v>
      </c>
      <c r="C83" s="499">
        <f>(C$24/C$15)/C60</f>
        <v>9.1229838709677422E-2</v>
      </c>
      <c r="D83" s="499">
        <f t="shared" ref="D83:N84" si="12">(D$24/D$15)/D60</f>
        <v>0.54501488095238093</v>
      </c>
      <c r="E83" s="499">
        <f t="shared" si="12"/>
        <v>0.57661290322580649</v>
      </c>
      <c r="F83" s="499">
        <f t="shared" si="12"/>
        <v>0.77680555555555564</v>
      </c>
      <c r="G83" s="499">
        <f t="shared" si="12"/>
        <v>0.84563172043010748</v>
      </c>
      <c r="H83" s="499">
        <f t="shared" si="12"/>
        <v>0.78836805555555567</v>
      </c>
      <c r="I83" s="499">
        <f t="shared" si="12"/>
        <v>0.77940188172043012</v>
      </c>
      <c r="J83" s="499">
        <f t="shared" si="12"/>
        <v>0.96942204301075263</v>
      </c>
      <c r="K83" s="499">
        <f t="shared" si="12"/>
        <v>0.66701388888888891</v>
      </c>
      <c r="L83" s="499">
        <f t="shared" si="12"/>
        <v>0.61243279569892473</v>
      </c>
      <c r="M83" s="499">
        <f t="shared" si="12"/>
        <v>0.60468750000000004</v>
      </c>
      <c r="N83" s="499">
        <f t="shared" si="12"/>
        <v>0.29583333333333334</v>
      </c>
    </row>
    <row r="84" spans="2:14" ht="409.6">
      <c r="B84" s="149" t="s">
        <v>1204</v>
      </c>
      <c r="C84" s="499">
        <f>(C$24/C$15)/C61</f>
        <v>9.1229838709677422E-2</v>
      </c>
      <c r="D84" s="499">
        <f t="shared" si="12"/>
        <v>0.54501488095238093</v>
      </c>
      <c r="E84" s="499">
        <f t="shared" si="12"/>
        <v>0.57661290322580649</v>
      </c>
      <c r="F84" s="499">
        <f t="shared" si="12"/>
        <v>0.77680555555555564</v>
      </c>
      <c r="G84" s="499">
        <f t="shared" si="12"/>
        <v>0.84563172043010748</v>
      </c>
      <c r="H84" s="499">
        <f t="shared" si="12"/>
        <v>0.78836805555555567</v>
      </c>
      <c r="I84" s="499">
        <f t="shared" si="12"/>
        <v>0.77940188172043012</v>
      </c>
      <c r="J84" s="499">
        <f t="shared" si="12"/>
        <v>0.96942204301075263</v>
      </c>
      <c r="K84" s="499">
        <f t="shared" si="12"/>
        <v>0.66701388888888891</v>
      </c>
      <c r="L84" s="499">
        <f t="shared" si="12"/>
        <v>0.61243279569892473</v>
      </c>
      <c r="M84" s="499">
        <f t="shared" si="12"/>
        <v>0.60468750000000004</v>
      </c>
      <c r="N84" s="499">
        <f t="shared" si="12"/>
        <v>0.29583333333333334</v>
      </c>
    </row>
    <row r="85" spans="2:14">
      <c r="G85" s="145"/>
    </row>
    <row r="86" spans="2:14" ht="409.6">
      <c r="G86" s="44"/>
    </row>
    <row r="88" spans="2:14">
      <c r="G88" s="150"/>
    </row>
  </sheetData>
  <mergeCells count="3">
    <mergeCell ref="C7:E7"/>
    <mergeCell ref="F7:L7"/>
    <mergeCell ref="M7:N7"/>
  </mergeCells>
  <conditionalFormatting sqref="C56:N56">
    <cfRule type="cellIs" dxfId="29" priority="8" operator="greaterThanOrEqual">
      <formula>C57</formula>
    </cfRule>
  </conditionalFormatting>
  <conditionalFormatting sqref="C72:N72">
    <cfRule type="cellIs" dxfId="28" priority="6" operator="greaterThanOrEqual">
      <formula>C74</formula>
    </cfRule>
  </conditionalFormatting>
  <conditionalFormatting sqref="C54:N54">
    <cfRule type="cellIs" dxfId="27" priority="11" operator="greaterThanOrEqual">
      <formula>C55</formula>
    </cfRule>
  </conditionalFormatting>
  <conditionalFormatting sqref="C64:N64">
    <cfRule type="cellIs" dxfId="26" priority="7" operator="greaterThanOrEqual">
      <formula>C66</formula>
    </cfRule>
  </conditionalFormatting>
  <conditionalFormatting sqref="C55:N55">
    <cfRule type="cellIs" dxfId="25" priority="5" operator="greaterThanOrEqual">
      <formula>C56</formula>
    </cfRule>
  </conditionalFormatting>
  <conditionalFormatting sqref="C60:N60">
    <cfRule type="cellIs" dxfId="24" priority="4" operator="greaterThanOrEqual">
      <formula>C61</formula>
    </cfRule>
  </conditionalFormatting>
  <conditionalFormatting sqref="C68:N68">
    <cfRule type="cellIs" dxfId="23" priority="3" operator="greaterThanOrEqual">
      <formula>C69</formula>
    </cfRule>
  </conditionalFormatting>
  <conditionalFormatting sqref="C63:N63 C71:N71">
    <cfRule type="cellIs" dxfId="22" priority="106" operator="greaterThanOrEqual">
      <formula>C66</formula>
    </cfRule>
  </conditionalFormatting>
  <conditionalFormatting sqref="C61:N62 C69:N70">
    <cfRule type="cellIs" dxfId="21" priority="107" operator="greaterThanOrEqual">
      <formula>C65</formula>
    </cfRule>
  </conditionalFormatting>
  <conditionalFormatting sqref="C59:N59">
    <cfRule type="cellIs" dxfId="20" priority="2" operator="greaterThanOrEqual">
      <formula>C60</formula>
    </cfRule>
  </conditionalFormatting>
  <conditionalFormatting sqref="C67:N67">
    <cfRule type="cellIs" dxfId="19" priority="1" operator="greaterThanOrEqual">
      <formula>C68</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8"/>
  </sheetPr>
  <dimension ref="A1:AA384"/>
  <sheetViews>
    <sheetView showGridLines="0" zoomScale="75" zoomScaleNormal="75" workbookViewId="0">
      <selection activeCell="A2" sqref="A1:A2"/>
    </sheetView>
  </sheetViews>
  <sheetFormatPr defaultRowHeight="13.2"/>
  <cols>
    <col min="1" max="1" width="15.6640625" style="253" customWidth="1"/>
    <col min="2" max="6" width="16.33203125" style="253" bestFit="1" customWidth="1"/>
    <col min="7" max="7" width="16.33203125" style="253" customWidth="1"/>
    <col min="8" max="8" width="2.6640625" style="253" customWidth="1"/>
    <col min="9" max="11" width="8.33203125" style="253" bestFit="1" customWidth="1"/>
    <col min="12" max="13" width="9.109375" style="253" bestFit="1" customWidth="1"/>
    <col min="14" max="14" width="9.109375" style="253" customWidth="1"/>
    <col min="15" max="15" width="2.6640625" style="253" customWidth="1"/>
    <col min="16" max="16" width="12" style="253" bestFit="1" customWidth="1"/>
    <col min="17" max="17" width="9.109375" style="253"/>
    <col min="18" max="21" width="12.6640625" style="253" customWidth="1"/>
    <col min="22" max="23" width="12.5546875" style="253" bestFit="1" customWidth="1"/>
    <col min="24" max="254" width="9.109375" style="253"/>
    <col min="255" max="255" width="15.6640625" style="253" customWidth="1"/>
    <col min="256" max="261" width="16.33203125" style="253" bestFit="1" customWidth="1"/>
    <col min="262" max="262" width="2.6640625" style="253" customWidth="1"/>
    <col min="263" max="268" width="8.33203125" style="253" bestFit="1" customWidth="1"/>
    <col min="269" max="269" width="2.6640625" style="253" customWidth="1"/>
    <col min="270" max="270" width="8.33203125" style="253" bestFit="1" customWidth="1"/>
    <col min="271" max="510" width="9.109375" style="253"/>
    <col min="511" max="511" width="15.6640625" style="253" customWidth="1"/>
    <col min="512" max="517" width="16.33203125" style="253" bestFit="1" customWidth="1"/>
    <col min="518" max="518" width="2.6640625" style="253" customWidth="1"/>
    <col min="519" max="524" width="8.33203125" style="253" bestFit="1" customWidth="1"/>
    <col min="525" max="525" width="2.6640625" style="253" customWidth="1"/>
    <col min="526" max="526" width="8.33203125" style="253" bestFit="1" customWidth="1"/>
    <col min="527" max="766" width="9.109375" style="253"/>
    <col min="767" max="767" width="15.6640625" style="253" customWidth="1"/>
    <col min="768" max="773" width="16.33203125" style="253" bestFit="1" customWidth="1"/>
    <col min="774" max="774" width="2.6640625" style="253" customWidth="1"/>
    <col min="775" max="780" width="8.33203125" style="253" bestFit="1" customWidth="1"/>
    <col min="781" max="781" width="2.6640625" style="253" customWidth="1"/>
    <col min="782" max="782" width="8.33203125" style="253" bestFit="1" customWidth="1"/>
    <col min="783" max="1022" width="9.109375" style="253"/>
    <col min="1023" max="1023" width="15.6640625" style="253" customWidth="1"/>
    <col min="1024" max="1029" width="16.33203125" style="253" bestFit="1" customWidth="1"/>
    <col min="1030" max="1030" width="2.6640625" style="253" customWidth="1"/>
    <col min="1031" max="1036" width="8.33203125" style="253" bestFit="1" customWidth="1"/>
    <col min="1037" max="1037" width="2.6640625" style="253" customWidth="1"/>
    <col min="1038" max="1038" width="8.33203125" style="253" bestFit="1" customWidth="1"/>
    <col min="1039" max="1278" width="9.109375" style="253"/>
    <col min="1279" max="1279" width="15.6640625" style="253" customWidth="1"/>
    <col min="1280" max="1285" width="16.33203125" style="253" bestFit="1" customWidth="1"/>
    <col min="1286" max="1286" width="2.6640625" style="253" customWidth="1"/>
    <col min="1287" max="1292" width="8.33203125" style="253" bestFit="1" customWidth="1"/>
    <col min="1293" max="1293" width="2.6640625" style="253" customWidth="1"/>
    <col min="1294" max="1294" width="8.33203125" style="253" bestFit="1" customWidth="1"/>
    <col min="1295" max="1534" width="9.109375" style="253"/>
    <col min="1535" max="1535" width="15.6640625" style="253" customWidth="1"/>
    <col min="1536" max="1541" width="16.33203125" style="253" bestFit="1" customWidth="1"/>
    <col min="1542" max="1542" width="2.6640625" style="253" customWidth="1"/>
    <col min="1543" max="1548" width="8.33203125" style="253" bestFit="1" customWidth="1"/>
    <col min="1549" max="1549" width="2.6640625" style="253" customWidth="1"/>
    <col min="1550" max="1550" width="8.33203125" style="253" bestFit="1" customWidth="1"/>
    <col min="1551" max="1790" width="9.109375" style="253"/>
    <col min="1791" max="1791" width="15.6640625" style="253" customWidth="1"/>
    <col min="1792" max="1797" width="16.33203125" style="253" bestFit="1" customWidth="1"/>
    <col min="1798" max="1798" width="2.6640625" style="253" customWidth="1"/>
    <col min="1799" max="1804" width="8.33203125" style="253" bestFit="1" customWidth="1"/>
    <col min="1805" max="1805" width="2.6640625" style="253" customWidth="1"/>
    <col min="1806" max="1806" width="8.33203125" style="253" bestFit="1" customWidth="1"/>
    <col min="1807" max="2046" width="9.109375" style="253"/>
    <col min="2047" max="2047" width="15.6640625" style="253" customWidth="1"/>
    <col min="2048" max="2053" width="16.33203125" style="253" bestFit="1" customWidth="1"/>
    <col min="2054" max="2054" width="2.6640625" style="253" customWidth="1"/>
    <col min="2055" max="2060" width="8.33203125" style="253" bestFit="1" customWidth="1"/>
    <col min="2061" max="2061" width="2.6640625" style="253" customWidth="1"/>
    <col min="2062" max="2062" width="8.33203125" style="253" bestFit="1" customWidth="1"/>
    <col min="2063" max="2302" width="9.109375" style="253"/>
    <col min="2303" max="2303" width="15.6640625" style="253" customWidth="1"/>
    <col min="2304" max="2309" width="16.33203125" style="253" bestFit="1" customWidth="1"/>
    <col min="2310" max="2310" width="2.6640625" style="253" customWidth="1"/>
    <col min="2311" max="2316" width="8.33203125" style="253" bestFit="1" customWidth="1"/>
    <col min="2317" max="2317" width="2.6640625" style="253" customWidth="1"/>
    <col min="2318" max="2318" width="8.33203125" style="253" bestFit="1" customWidth="1"/>
    <col min="2319" max="2558" width="9.109375" style="253"/>
    <col min="2559" max="2559" width="15.6640625" style="253" customWidth="1"/>
    <col min="2560" max="2565" width="16.33203125" style="253" bestFit="1" customWidth="1"/>
    <col min="2566" max="2566" width="2.6640625" style="253" customWidth="1"/>
    <col min="2567" max="2572" width="8.33203125" style="253" bestFit="1" customWidth="1"/>
    <col min="2573" max="2573" width="2.6640625" style="253" customWidth="1"/>
    <col min="2574" max="2574" width="8.33203125" style="253" bestFit="1" customWidth="1"/>
    <col min="2575" max="2814" width="9.109375" style="253"/>
    <col min="2815" max="2815" width="15.6640625" style="253" customWidth="1"/>
    <col min="2816" max="2821" width="16.33203125" style="253" bestFit="1" customWidth="1"/>
    <col min="2822" max="2822" width="2.6640625" style="253" customWidth="1"/>
    <col min="2823" max="2828" width="8.33203125" style="253" bestFit="1" customWidth="1"/>
    <col min="2829" max="2829" width="2.6640625" style="253" customWidth="1"/>
    <col min="2830" max="2830" width="8.33203125" style="253" bestFit="1" customWidth="1"/>
    <col min="2831" max="3070" width="9.109375" style="253"/>
    <col min="3071" max="3071" width="15.6640625" style="253" customWidth="1"/>
    <col min="3072" max="3077" width="16.33203125" style="253" bestFit="1" customWidth="1"/>
    <col min="3078" max="3078" width="2.6640625" style="253" customWidth="1"/>
    <col min="3079" max="3084" width="8.33203125" style="253" bestFit="1" customWidth="1"/>
    <col min="3085" max="3085" width="2.6640625" style="253" customWidth="1"/>
    <col min="3086" max="3086" width="8.33203125" style="253" bestFit="1" customWidth="1"/>
    <col min="3087" max="3326" width="9.109375" style="253"/>
    <col min="3327" max="3327" width="15.6640625" style="253" customWidth="1"/>
    <col min="3328" max="3333" width="16.33203125" style="253" bestFit="1" customWidth="1"/>
    <col min="3334" max="3334" width="2.6640625" style="253" customWidth="1"/>
    <col min="3335" max="3340" width="8.33203125" style="253" bestFit="1" customWidth="1"/>
    <col min="3341" max="3341" width="2.6640625" style="253" customWidth="1"/>
    <col min="3342" max="3342" width="8.33203125" style="253" bestFit="1" customWidth="1"/>
    <col min="3343" max="3582" width="9.109375" style="253"/>
    <col min="3583" max="3583" width="15.6640625" style="253" customWidth="1"/>
    <col min="3584" max="3589" width="16.33203125" style="253" bestFit="1" customWidth="1"/>
    <col min="3590" max="3590" width="2.6640625" style="253" customWidth="1"/>
    <col min="3591" max="3596" width="8.33203125" style="253" bestFit="1" customWidth="1"/>
    <col min="3597" max="3597" width="2.6640625" style="253" customWidth="1"/>
    <col min="3598" max="3598" width="8.33203125" style="253" bestFit="1" customWidth="1"/>
    <col min="3599" max="3838" width="9.109375" style="253"/>
    <col min="3839" max="3839" width="15.6640625" style="253" customWidth="1"/>
    <col min="3840" max="3845" width="16.33203125" style="253" bestFit="1" customWidth="1"/>
    <col min="3846" max="3846" width="2.6640625" style="253" customWidth="1"/>
    <col min="3847" max="3852" width="8.33203125" style="253" bestFit="1" customWidth="1"/>
    <col min="3853" max="3853" width="2.6640625" style="253" customWidth="1"/>
    <col min="3854" max="3854" width="8.33203125" style="253" bestFit="1" customWidth="1"/>
    <col min="3855" max="4094" width="9.109375" style="253"/>
    <col min="4095" max="4095" width="15.6640625" style="253" customWidth="1"/>
    <col min="4096" max="4101" width="16.33203125" style="253" bestFit="1" customWidth="1"/>
    <col min="4102" max="4102" width="2.6640625" style="253" customWidth="1"/>
    <col min="4103" max="4108" width="8.33203125" style="253" bestFit="1" customWidth="1"/>
    <col min="4109" max="4109" width="2.6640625" style="253" customWidth="1"/>
    <col min="4110" max="4110" width="8.33203125" style="253" bestFit="1" customWidth="1"/>
    <col min="4111" max="4350" width="9.109375" style="253"/>
    <col min="4351" max="4351" width="15.6640625" style="253" customWidth="1"/>
    <col min="4352" max="4357" width="16.33203125" style="253" bestFit="1" customWidth="1"/>
    <col min="4358" max="4358" width="2.6640625" style="253" customWidth="1"/>
    <col min="4359" max="4364" width="8.33203125" style="253" bestFit="1" customWidth="1"/>
    <col min="4365" max="4365" width="2.6640625" style="253" customWidth="1"/>
    <col min="4366" max="4366" width="8.33203125" style="253" bestFit="1" customWidth="1"/>
    <col min="4367" max="4606" width="9.109375" style="253"/>
    <col min="4607" max="4607" width="15.6640625" style="253" customWidth="1"/>
    <col min="4608" max="4613" width="16.33203125" style="253" bestFit="1" customWidth="1"/>
    <col min="4614" max="4614" width="2.6640625" style="253" customWidth="1"/>
    <col min="4615" max="4620" width="8.33203125" style="253" bestFit="1" customWidth="1"/>
    <col min="4621" max="4621" width="2.6640625" style="253" customWidth="1"/>
    <col min="4622" max="4622" width="8.33203125" style="253" bestFit="1" customWidth="1"/>
    <col min="4623" max="4862" width="9.109375" style="253"/>
    <col min="4863" max="4863" width="15.6640625" style="253" customWidth="1"/>
    <col min="4864" max="4869" width="16.33203125" style="253" bestFit="1" customWidth="1"/>
    <col min="4870" max="4870" width="2.6640625" style="253" customWidth="1"/>
    <col min="4871" max="4876" width="8.33203125" style="253" bestFit="1" customWidth="1"/>
    <col min="4877" max="4877" width="2.6640625" style="253" customWidth="1"/>
    <col min="4878" max="4878" width="8.33203125" style="253" bestFit="1" customWidth="1"/>
    <col min="4879" max="5118" width="9.109375" style="253"/>
    <col min="5119" max="5119" width="15.6640625" style="253" customWidth="1"/>
    <col min="5120" max="5125" width="16.33203125" style="253" bestFit="1" customWidth="1"/>
    <col min="5126" max="5126" width="2.6640625" style="253" customWidth="1"/>
    <col min="5127" max="5132" width="8.33203125" style="253" bestFit="1" customWidth="1"/>
    <col min="5133" max="5133" width="2.6640625" style="253" customWidth="1"/>
    <col min="5134" max="5134" width="8.33203125" style="253" bestFit="1" customWidth="1"/>
    <col min="5135" max="5374" width="9.109375" style="253"/>
    <col min="5375" max="5375" width="15.6640625" style="253" customWidth="1"/>
    <col min="5376" max="5381" width="16.33203125" style="253" bestFit="1" customWidth="1"/>
    <col min="5382" max="5382" width="2.6640625" style="253" customWidth="1"/>
    <col min="5383" max="5388" width="8.33203125" style="253" bestFit="1" customWidth="1"/>
    <col min="5389" max="5389" width="2.6640625" style="253" customWidth="1"/>
    <col min="5390" max="5390" width="8.33203125" style="253" bestFit="1" customWidth="1"/>
    <col min="5391" max="5630" width="9.109375" style="253"/>
    <col min="5631" max="5631" width="15.6640625" style="253" customWidth="1"/>
    <col min="5632" max="5637" width="16.33203125" style="253" bestFit="1" customWidth="1"/>
    <col min="5638" max="5638" width="2.6640625" style="253" customWidth="1"/>
    <col min="5639" max="5644" width="8.33203125" style="253" bestFit="1" customWidth="1"/>
    <col min="5645" max="5645" width="2.6640625" style="253" customWidth="1"/>
    <col min="5646" max="5646" width="8.33203125" style="253" bestFit="1" customWidth="1"/>
    <col min="5647" max="5886" width="9.109375" style="253"/>
    <col min="5887" max="5887" width="15.6640625" style="253" customWidth="1"/>
    <col min="5888" max="5893" width="16.33203125" style="253" bestFit="1" customWidth="1"/>
    <col min="5894" max="5894" width="2.6640625" style="253" customWidth="1"/>
    <col min="5895" max="5900" width="8.33203125" style="253" bestFit="1" customWidth="1"/>
    <col min="5901" max="5901" width="2.6640625" style="253" customWidth="1"/>
    <col min="5902" max="5902" width="8.33203125" style="253" bestFit="1" customWidth="1"/>
    <col min="5903" max="6142" width="9.109375" style="253"/>
    <col min="6143" max="6143" width="15.6640625" style="253" customWidth="1"/>
    <col min="6144" max="6149" width="16.33203125" style="253" bestFit="1" customWidth="1"/>
    <col min="6150" max="6150" width="2.6640625" style="253" customWidth="1"/>
    <col min="6151" max="6156" width="8.33203125" style="253" bestFit="1" customWidth="1"/>
    <col min="6157" max="6157" width="2.6640625" style="253" customWidth="1"/>
    <col min="6158" max="6158" width="8.33203125" style="253" bestFit="1" customWidth="1"/>
    <col min="6159" max="6398" width="9.109375" style="253"/>
    <col min="6399" max="6399" width="15.6640625" style="253" customWidth="1"/>
    <col min="6400" max="6405" width="16.33203125" style="253" bestFit="1" customWidth="1"/>
    <col min="6406" max="6406" width="2.6640625" style="253" customWidth="1"/>
    <col min="6407" max="6412" width="8.33203125" style="253" bestFit="1" customWidth="1"/>
    <col min="6413" max="6413" width="2.6640625" style="253" customWidth="1"/>
    <col min="6414" max="6414" width="8.33203125" style="253" bestFit="1" customWidth="1"/>
    <col min="6415" max="6654" width="9.109375" style="253"/>
    <col min="6655" max="6655" width="15.6640625" style="253" customWidth="1"/>
    <col min="6656" max="6661" width="16.33203125" style="253" bestFit="1" customWidth="1"/>
    <col min="6662" max="6662" width="2.6640625" style="253" customWidth="1"/>
    <col min="6663" max="6668" width="8.33203125" style="253" bestFit="1" customWidth="1"/>
    <col min="6669" max="6669" width="2.6640625" style="253" customWidth="1"/>
    <col min="6670" max="6670" width="8.33203125" style="253" bestFit="1" customWidth="1"/>
    <col min="6671" max="6910" width="9.109375" style="253"/>
    <col min="6911" max="6911" width="15.6640625" style="253" customWidth="1"/>
    <col min="6912" max="6917" width="16.33203125" style="253" bestFit="1" customWidth="1"/>
    <col min="6918" max="6918" width="2.6640625" style="253" customWidth="1"/>
    <col min="6919" max="6924" width="8.33203125" style="253" bestFit="1" customWidth="1"/>
    <col min="6925" max="6925" width="2.6640625" style="253" customWidth="1"/>
    <col min="6926" max="6926" width="8.33203125" style="253" bestFit="1" customWidth="1"/>
    <col min="6927" max="7166" width="9.109375" style="253"/>
    <col min="7167" max="7167" width="15.6640625" style="253" customWidth="1"/>
    <col min="7168" max="7173" width="16.33203125" style="253" bestFit="1" customWidth="1"/>
    <col min="7174" max="7174" width="2.6640625" style="253" customWidth="1"/>
    <col min="7175" max="7180" width="8.33203125" style="253" bestFit="1" customWidth="1"/>
    <col min="7181" max="7181" width="2.6640625" style="253" customWidth="1"/>
    <col min="7182" max="7182" width="8.33203125" style="253" bestFit="1" customWidth="1"/>
    <col min="7183" max="7422" width="9.109375" style="253"/>
    <col min="7423" max="7423" width="15.6640625" style="253" customWidth="1"/>
    <col min="7424" max="7429" width="16.33203125" style="253" bestFit="1" customWidth="1"/>
    <col min="7430" max="7430" width="2.6640625" style="253" customWidth="1"/>
    <col min="7431" max="7436" width="8.33203125" style="253" bestFit="1" customWidth="1"/>
    <col min="7437" max="7437" width="2.6640625" style="253" customWidth="1"/>
    <col min="7438" max="7438" width="8.33203125" style="253" bestFit="1" customWidth="1"/>
    <col min="7439" max="7678" width="9.109375" style="253"/>
    <col min="7679" max="7679" width="15.6640625" style="253" customWidth="1"/>
    <col min="7680" max="7685" width="16.33203125" style="253" bestFit="1" customWidth="1"/>
    <col min="7686" max="7686" width="2.6640625" style="253" customWidth="1"/>
    <col min="7687" max="7692" width="8.33203125" style="253" bestFit="1" customWidth="1"/>
    <col min="7693" max="7693" width="2.6640625" style="253" customWidth="1"/>
    <col min="7694" max="7694" width="8.33203125" style="253" bestFit="1" customWidth="1"/>
    <col min="7695" max="7934" width="9.109375" style="253"/>
    <col min="7935" max="7935" width="15.6640625" style="253" customWidth="1"/>
    <col min="7936" max="7941" width="16.33203125" style="253" bestFit="1" customWidth="1"/>
    <col min="7942" max="7942" width="2.6640625" style="253" customWidth="1"/>
    <col min="7943" max="7948" width="8.33203125" style="253" bestFit="1" customWidth="1"/>
    <col min="7949" max="7949" width="2.6640625" style="253" customWidth="1"/>
    <col min="7950" max="7950" width="8.33203125" style="253" bestFit="1" customWidth="1"/>
    <col min="7951" max="8190" width="9.109375" style="253"/>
    <col min="8191" max="8191" width="15.6640625" style="253" customWidth="1"/>
    <col min="8192" max="8197" width="16.33203125" style="253" bestFit="1" customWidth="1"/>
    <col min="8198" max="8198" width="2.6640625" style="253" customWidth="1"/>
    <col min="8199" max="8204" width="8.33203125" style="253" bestFit="1" customWidth="1"/>
    <col min="8205" max="8205" width="2.6640625" style="253" customWidth="1"/>
    <col min="8206" max="8206" width="8.33203125" style="253" bestFit="1" customWidth="1"/>
    <col min="8207" max="8446" width="9.109375" style="253"/>
    <col min="8447" max="8447" width="15.6640625" style="253" customWidth="1"/>
    <col min="8448" max="8453" width="16.33203125" style="253" bestFit="1" customWidth="1"/>
    <col min="8454" max="8454" width="2.6640625" style="253" customWidth="1"/>
    <col min="8455" max="8460" width="8.33203125" style="253" bestFit="1" customWidth="1"/>
    <col min="8461" max="8461" width="2.6640625" style="253" customWidth="1"/>
    <col min="8462" max="8462" width="8.33203125" style="253" bestFit="1" customWidth="1"/>
    <col min="8463" max="8702" width="9.109375" style="253"/>
    <col min="8703" max="8703" width="15.6640625" style="253" customWidth="1"/>
    <col min="8704" max="8709" width="16.33203125" style="253" bestFit="1" customWidth="1"/>
    <col min="8710" max="8710" width="2.6640625" style="253" customWidth="1"/>
    <col min="8711" max="8716" width="8.33203125" style="253" bestFit="1" customWidth="1"/>
    <col min="8717" max="8717" width="2.6640625" style="253" customWidth="1"/>
    <col min="8718" max="8718" width="8.33203125" style="253" bestFit="1" customWidth="1"/>
    <col min="8719" max="8958" width="9.109375" style="253"/>
    <col min="8959" max="8959" width="15.6640625" style="253" customWidth="1"/>
    <col min="8960" max="8965" width="16.33203125" style="253" bestFit="1" customWidth="1"/>
    <col min="8966" max="8966" width="2.6640625" style="253" customWidth="1"/>
    <col min="8967" max="8972" width="8.33203125" style="253" bestFit="1" customWidth="1"/>
    <col min="8973" max="8973" width="2.6640625" style="253" customWidth="1"/>
    <col min="8974" max="8974" width="8.33203125" style="253" bestFit="1" customWidth="1"/>
    <col min="8975" max="9214" width="9.109375" style="253"/>
    <col min="9215" max="9215" width="15.6640625" style="253" customWidth="1"/>
    <col min="9216" max="9221" width="16.33203125" style="253" bestFit="1" customWidth="1"/>
    <col min="9222" max="9222" width="2.6640625" style="253" customWidth="1"/>
    <col min="9223" max="9228" width="8.33203125" style="253" bestFit="1" customWidth="1"/>
    <col min="9229" max="9229" width="2.6640625" style="253" customWidth="1"/>
    <col min="9230" max="9230" width="8.33203125" style="253" bestFit="1" customWidth="1"/>
    <col min="9231" max="9470" width="9.109375" style="253"/>
    <col min="9471" max="9471" width="15.6640625" style="253" customWidth="1"/>
    <col min="9472" max="9477" width="16.33203125" style="253" bestFit="1" customWidth="1"/>
    <col min="9478" max="9478" width="2.6640625" style="253" customWidth="1"/>
    <col min="9479" max="9484" width="8.33203125" style="253" bestFit="1" customWidth="1"/>
    <col min="9485" max="9485" width="2.6640625" style="253" customWidth="1"/>
    <col min="9486" max="9486" width="8.33203125" style="253" bestFit="1" customWidth="1"/>
    <col min="9487" max="9726" width="9.109375" style="253"/>
    <col min="9727" max="9727" width="15.6640625" style="253" customWidth="1"/>
    <col min="9728" max="9733" width="16.33203125" style="253" bestFit="1" customWidth="1"/>
    <col min="9734" max="9734" width="2.6640625" style="253" customWidth="1"/>
    <col min="9735" max="9740" width="8.33203125" style="253" bestFit="1" customWidth="1"/>
    <col min="9741" max="9741" width="2.6640625" style="253" customWidth="1"/>
    <col min="9742" max="9742" width="8.33203125" style="253" bestFit="1" customWidth="1"/>
    <col min="9743" max="9982" width="9.109375" style="253"/>
    <col min="9983" max="9983" width="15.6640625" style="253" customWidth="1"/>
    <col min="9984" max="9989" width="16.33203125" style="253" bestFit="1" customWidth="1"/>
    <col min="9990" max="9990" width="2.6640625" style="253" customWidth="1"/>
    <col min="9991" max="9996" width="8.33203125" style="253" bestFit="1" customWidth="1"/>
    <col min="9997" max="9997" width="2.6640625" style="253" customWidth="1"/>
    <col min="9998" max="9998" width="8.33203125" style="253" bestFit="1" customWidth="1"/>
    <col min="9999" max="10238" width="9.109375" style="253"/>
    <col min="10239" max="10239" width="15.6640625" style="253" customWidth="1"/>
    <col min="10240" max="10245" width="16.33203125" style="253" bestFit="1" customWidth="1"/>
    <col min="10246" max="10246" width="2.6640625" style="253" customWidth="1"/>
    <col min="10247" max="10252" width="8.33203125" style="253" bestFit="1" customWidth="1"/>
    <col min="10253" max="10253" width="2.6640625" style="253" customWidth="1"/>
    <col min="10254" max="10254" width="8.33203125" style="253" bestFit="1" customWidth="1"/>
    <col min="10255" max="10494" width="9.109375" style="253"/>
    <col min="10495" max="10495" width="15.6640625" style="253" customWidth="1"/>
    <col min="10496" max="10501" width="16.33203125" style="253" bestFit="1" customWidth="1"/>
    <col min="10502" max="10502" width="2.6640625" style="253" customWidth="1"/>
    <col min="10503" max="10508" width="8.33203125" style="253" bestFit="1" customWidth="1"/>
    <col min="10509" max="10509" width="2.6640625" style="253" customWidth="1"/>
    <col min="10510" max="10510" width="8.33203125" style="253" bestFit="1" customWidth="1"/>
    <col min="10511" max="10750" width="9.109375" style="253"/>
    <col min="10751" max="10751" width="15.6640625" style="253" customWidth="1"/>
    <col min="10752" max="10757" width="16.33203125" style="253" bestFit="1" customWidth="1"/>
    <col min="10758" max="10758" width="2.6640625" style="253" customWidth="1"/>
    <col min="10759" max="10764" width="8.33203125" style="253" bestFit="1" customWidth="1"/>
    <col min="10765" max="10765" width="2.6640625" style="253" customWidth="1"/>
    <col min="10766" max="10766" width="8.33203125" style="253" bestFit="1" customWidth="1"/>
    <col min="10767" max="11006" width="9.109375" style="253"/>
    <col min="11007" max="11007" width="15.6640625" style="253" customWidth="1"/>
    <col min="11008" max="11013" width="16.33203125" style="253" bestFit="1" customWidth="1"/>
    <col min="11014" max="11014" width="2.6640625" style="253" customWidth="1"/>
    <col min="11015" max="11020" width="8.33203125" style="253" bestFit="1" customWidth="1"/>
    <col min="11021" max="11021" width="2.6640625" style="253" customWidth="1"/>
    <col min="11022" max="11022" width="8.33203125" style="253" bestFit="1" customWidth="1"/>
    <col min="11023" max="11262" width="9.109375" style="253"/>
    <col min="11263" max="11263" width="15.6640625" style="253" customWidth="1"/>
    <col min="11264" max="11269" width="16.33203125" style="253" bestFit="1" customWidth="1"/>
    <col min="11270" max="11270" width="2.6640625" style="253" customWidth="1"/>
    <col min="11271" max="11276" width="8.33203125" style="253" bestFit="1" customWidth="1"/>
    <col min="11277" max="11277" width="2.6640625" style="253" customWidth="1"/>
    <col min="11278" max="11278" width="8.33203125" style="253" bestFit="1" customWidth="1"/>
    <col min="11279" max="11518" width="9.109375" style="253"/>
    <col min="11519" max="11519" width="15.6640625" style="253" customWidth="1"/>
    <col min="11520" max="11525" width="16.33203125" style="253" bestFit="1" customWidth="1"/>
    <col min="11526" max="11526" width="2.6640625" style="253" customWidth="1"/>
    <col min="11527" max="11532" width="8.33203125" style="253" bestFit="1" customWidth="1"/>
    <col min="11533" max="11533" width="2.6640625" style="253" customWidth="1"/>
    <col min="11534" max="11534" width="8.33203125" style="253" bestFit="1" customWidth="1"/>
    <col min="11535" max="11774" width="9.109375" style="253"/>
    <col min="11775" max="11775" width="15.6640625" style="253" customWidth="1"/>
    <col min="11776" max="11781" width="16.33203125" style="253" bestFit="1" customWidth="1"/>
    <col min="11782" max="11782" width="2.6640625" style="253" customWidth="1"/>
    <col min="11783" max="11788" width="8.33203125" style="253" bestFit="1" customWidth="1"/>
    <col min="11789" max="11789" width="2.6640625" style="253" customWidth="1"/>
    <col min="11790" max="11790" width="8.33203125" style="253" bestFit="1" customWidth="1"/>
    <col min="11791" max="12030" width="9.109375" style="253"/>
    <col min="12031" max="12031" width="15.6640625" style="253" customWidth="1"/>
    <col min="12032" max="12037" width="16.33203125" style="253" bestFit="1" customWidth="1"/>
    <col min="12038" max="12038" width="2.6640625" style="253" customWidth="1"/>
    <col min="12039" max="12044" width="8.33203125" style="253" bestFit="1" customWidth="1"/>
    <col min="12045" max="12045" width="2.6640625" style="253" customWidth="1"/>
    <col min="12046" max="12046" width="8.33203125" style="253" bestFit="1" customWidth="1"/>
    <col min="12047" max="12286" width="9.109375" style="253"/>
    <col min="12287" max="12287" width="15.6640625" style="253" customWidth="1"/>
    <col min="12288" max="12293" width="16.33203125" style="253" bestFit="1" customWidth="1"/>
    <col min="12294" max="12294" width="2.6640625" style="253" customWidth="1"/>
    <col min="12295" max="12300" width="8.33203125" style="253" bestFit="1" customWidth="1"/>
    <col min="12301" max="12301" width="2.6640625" style="253" customWidth="1"/>
    <col min="12302" max="12302" width="8.33203125" style="253" bestFit="1" customWidth="1"/>
    <col min="12303" max="12542" width="9.109375" style="253"/>
    <col min="12543" max="12543" width="15.6640625" style="253" customWidth="1"/>
    <col min="12544" max="12549" width="16.33203125" style="253" bestFit="1" customWidth="1"/>
    <col min="12550" max="12550" width="2.6640625" style="253" customWidth="1"/>
    <col min="12551" max="12556" width="8.33203125" style="253" bestFit="1" customWidth="1"/>
    <col min="12557" max="12557" width="2.6640625" style="253" customWidth="1"/>
    <col min="12558" max="12558" width="8.33203125" style="253" bestFit="1" customWidth="1"/>
    <col min="12559" max="12798" width="9.109375" style="253"/>
    <col min="12799" max="12799" width="15.6640625" style="253" customWidth="1"/>
    <col min="12800" max="12805" width="16.33203125" style="253" bestFit="1" customWidth="1"/>
    <col min="12806" max="12806" width="2.6640625" style="253" customWidth="1"/>
    <col min="12807" max="12812" width="8.33203125" style="253" bestFit="1" customWidth="1"/>
    <col min="12813" max="12813" width="2.6640625" style="253" customWidth="1"/>
    <col min="12814" max="12814" width="8.33203125" style="253" bestFit="1" customWidth="1"/>
    <col min="12815" max="13054" width="9.109375" style="253"/>
    <col min="13055" max="13055" width="15.6640625" style="253" customWidth="1"/>
    <col min="13056" max="13061" width="16.33203125" style="253" bestFit="1" customWidth="1"/>
    <col min="13062" max="13062" width="2.6640625" style="253" customWidth="1"/>
    <col min="13063" max="13068" width="8.33203125" style="253" bestFit="1" customWidth="1"/>
    <col min="13069" max="13069" width="2.6640625" style="253" customWidth="1"/>
    <col min="13070" max="13070" width="8.33203125" style="253" bestFit="1" customWidth="1"/>
    <col min="13071" max="13310" width="9.109375" style="253"/>
    <col min="13311" max="13311" width="15.6640625" style="253" customWidth="1"/>
    <col min="13312" max="13317" width="16.33203125" style="253" bestFit="1" customWidth="1"/>
    <col min="13318" max="13318" width="2.6640625" style="253" customWidth="1"/>
    <col min="13319" max="13324" width="8.33203125" style="253" bestFit="1" customWidth="1"/>
    <col min="13325" max="13325" width="2.6640625" style="253" customWidth="1"/>
    <col min="13326" max="13326" width="8.33203125" style="253" bestFit="1" customWidth="1"/>
    <col min="13327" max="13566" width="9.109375" style="253"/>
    <col min="13567" max="13567" width="15.6640625" style="253" customWidth="1"/>
    <col min="13568" max="13573" width="16.33203125" style="253" bestFit="1" customWidth="1"/>
    <col min="13574" max="13574" width="2.6640625" style="253" customWidth="1"/>
    <col min="13575" max="13580" width="8.33203125" style="253" bestFit="1" customWidth="1"/>
    <col min="13581" max="13581" width="2.6640625" style="253" customWidth="1"/>
    <col min="13582" max="13582" width="8.33203125" style="253" bestFit="1" customWidth="1"/>
    <col min="13583" max="13822" width="9.109375" style="253"/>
    <col min="13823" max="13823" width="15.6640625" style="253" customWidth="1"/>
    <col min="13824" max="13829" width="16.33203125" style="253" bestFit="1" customWidth="1"/>
    <col min="13830" max="13830" width="2.6640625" style="253" customWidth="1"/>
    <col min="13831" max="13836" width="8.33203125" style="253" bestFit="1" customWidth="1"/>
    <col min="13837" max="13837" width="2.6640625" style="253" customWidth="1"/>
    <col min="13838" max="13838" width="8.33203125" style="253" bestFit="1" customWidth="1"/>
    <col min="13839" max="14078" width="9.109375" style="253"/>
    <col min="14079" max="14079" width="15.6640625" style="253" customWidth="1"/>
    <col min="14080" max="14085" width="16.33203125" style="253" bestFit="1" customWidth="1"/>
    <col min="14086" max="14086" width="2.6640625" style="253" customWidth="1"/>
    <col min="14087" max="14092" width="8.33203125" style="253" bestFit="1" customWidth="1"/>
    <col min="14093" max="14093" width="2.6640625" style="253" customWidth="1"/>
    <col min="14094" max="14094" width="8.33203125" style="253" bestFit="1" customWidth="1"/>
    <col min="14095" max="14334" width="9.109375" style="253"/>
    <col min="14335" max="14335" width="15.6640625" style="253" customWidth="1"/>
    <col min="14336" max="14341" width="16.33203125" style="253" bestFit="1" customWidth="1"/>
    <col min="14342" max="14342" width="2.6640625" style="253" customWidth="1"/>
    <col min="14343" max="14348" width="8.33203125" style="253" bestFit="1" customWidth="1"/>
    <col min="14349" max="14349" width="2.6640625" style="253" customWidth="1"/>
    <col min="14350" max="14350" width="8.33203125" style="253" bestFit="1" customWidth="1"/>
    <col min="14351" max="14590" width="9.109375" style="253"/>
    <col min="14591" max="14591" width="15.6640625" style="253" customWidth="1"/>
    <col min="14592" max="14597" width="16.33203125" style="253" bestFit="1" customWidth="1"/>
    <col min="14598" max="14598" width="2.6640625" style="253" customWidth="1"/>
    <col min="14599" max="14604" width="8.33203125" style="253" bestFit="1" customWidth="1"/>
    <col min="14605" max="14605" width="2.6640625" style="253" customWidth="1"/>
    <col min="14606" max="14606" width="8.33203125" style="253" bestFit="1" customWidth="1"/>
    <col min="14607" max="14846" width="9.109375" style="253"/>
    <col min="14847" max="14847" width="15.6640625" style="253" customWidth="1"/>
    <col min="14848" max="14853" width="16.33203125" style="253" bestFit="1" customWidth="1"/>
    <col min="14854" max="14854" width="2.6640625" style="253" customWidth="1"/>
    <col min="14855" max="14860" width="8.33203125" style="253" bestFit="1" customWidth="1"/>
    <col min="14861" max="14861" width="2.6640625" style="253" customWidth="1"/>
    <col min="14862" max="14862" width="8.33203125" style="253" bestFit="1" customWidth="1"/>
    <col min="14863" max="15102" width="9.109375" style="253"/>
    <col min="15103" max="15103" width="15.6640625" style="253" customWidth="1"/>
    <col min="15104" max="15109" width="16.33203125" style="253" bestFit="1" customWidth="1"/>
    <col min="15110" max="15110" width="2.6640625" style="253" customWidth="1"/>
    <col min="15111" max="15116" width="8.33203125" style="253" bestFit="1" customWidth="1"/>
    <col min="15117" max="15117" width="2.6640625" style="253" customWidth="1"/>
    <col min="15118" max="15118" width="8.33203125" style="253" bestFit="1" customWidth="1"/>
    <col min="15119" max="15358" width="9.109375" style="253"/>
    <col min="15359" max="15359" width="15.6640625" style="253" customWidth="1"/>
    <col min="15360" max="15365" width="16.33203125" style="253" bestFit="1" customWidth="1"/>
    <col min="15366" max="15366" width="2.6640625" style="253" customWidth="1"/>
    <col min="15367" max="15372" width="8.33203125" style="253" bestFit="1" customWidth="1"/>
    <col min="15373" max="15373" width="2.6640625" style="253" customWidth="1"/>
    <col min="15374" max="15374" width="8.33203125" style="253" bestFit="1" customWidth="1"/>
    <col min="15375" max="15614" width="9.109375" style="253"/>
    <col min="15615" max="15615" width="15.6640625" style="253" customWidth="1"/>
    <col min="15616" max="15621" width="16.33203125" style="253" bestFit="1" customWidth="1"/>
    <col min="15622" max="15622" width="2.6640625" style="253" customWidth="1"/>
    <col min="15623" max="15628" width="8.33203125" style="253" bestFit="1" customWidth="1"/>
    <col min="15629" max="15629" width="2.6640625" style="253" customWidth="1"/>
    <col min="15630" max="15630" width="8.33203125" style="253" bestFit="1" customWidth="1"/>
    <col min="15631" max="15870" width="9.109375" style="253"/>
    <col min="15871" max="15871" width="15.6640625" style="253" customWidth="1"/>
    <col min="15872" max="15877" width="16.33203125" style="253" bestFit="1" customWidth="1"/>
    <col min="15878" max="15878" width="2.6640625" style="253" customWidth="1"/>
    <col min="15879" max="15884" width="8.33203125" style="253" bestFit="1" customWidth="1"/>
    <col min="15885" max="15885" width="2.6640625" style="253" customWidth="1"/>
    <col min="15886" max="15886" width="8.33203125" style="253" bestFit="1" customWidth="1"/>
    <col min="15887" max="16126" width="9.109375" style="253"/>
    <col min="16127" max="16127" width="15.6640625" style="253" customWidth="1"/>
    <col min="16128" max="16133" width="16.33203125" style="253" bestFit="1" customWidth="1"/>
    <col min="16134" max="16134" width="2.6640625" style="253" customWidth="1"/>
    <col min="16135" max="16140" width="8.33203125" style="253" bestFit="1" customWidth="1"/>
    <col min="16141" max="16141" width="2.6640625" style="253" customWidth="1"/>
    <col min="16142" max="16142" width="8.33203125" style="253" bestFit="1" customWidth="1"/>
    <col min="16143" max="16384" width="9.109375" style="253"/>
  </cols>
  <sheetData>
    <row r="1" spans="1:17" s="164" customFormat="1">
      <c r="A1" s="164" t="s">
        <v>1270</v>
      </c>
    </row>
    <row r="2" spans="1:17" s="164" customFormat="1">
      <c r="A2" s="164" t="s">
        <v>1267</v>
      </c>
    </row>
    <row r="3" spans="1:17" s="164" customFormat="1"/>
    <row r="4" spans="1:17" s="244" customFormat="1" ht="21">
      <c r="A4" s="124" t="s">
        <v>560</v>
      </c>
    </row>
    <row r="5" spans="1:17" s="244" customFormat="1" ht="21">
      <c r="A5" s="124" t="s">
        <v>575</v>
      </c>
    </row>
    <row r="6" spans="1:17" s="164" customFormat="1" ht="13.8" thickBot="1">
      <c r="A6" s="245"/>
    </row>
    <row r="7" spans="1:17" s="164" customFormat="1" ht="13.8" thickBot="1">
      <c r="A7" s="245"/>
      <c r="I7" s="569" t="s">
        <v>561</v>
      </c>
      <c r="J7" s="570"/>
      <c r="K7" s="570"/>
      <c r="L7" s="570"/>
      <c r="M7" s="570"/>
      <c r="N7" s="571"/>
      <c r="P7" s="291" t="s">
        <v>573</v>
      </c>
    </row>
    <row r="8" spans="1:17" s="164" customFormat="1" ht="13.8" thickBot="1">
      <c r="A8" s="246"/>
      <c r="B8" s="560" t="s">
        <v>562</v>
      </c>
      <c r="C8" s="560"/>
      <c r="D8" s="560"/>
      <c r="E8" s="563" t="s">
        <v>572</v>
      </c>
      <c r="F8" s="564"/>
      <c r="G8" s="565"/>
      <c r="I8" s="561" t="s">
        <v>562</v>
      </c>
      <c r="J8" s="560"/>
      <c r="K8" s="562"/>
      <c r="L8" s="566" t="s">
        <v>572</v>
      </c>
      <c r="M8" s="567"/>
      <c r="N8" s="568"/>
      <c r="P8" s="292" t="s">
        <v>572</v>
      </c>
    </row>
    <row r="9" spans="1:17" s="165" customFormat="1" ht="13.8" thickBot="1">
      <c r="A9" s="393" t="s">
        <v>454</v>
      </c>
      <c r="B9" s="248">
        <f>+MANUAL!$B$5</f>
        <v>2012</v>
      </c>
      <c r="C9" s="247">
        <f>+MANUAL!$B$6</f>
        <v>2013</v>
      </c>
      <c r="D9" s="247">
        <f>+MANUAL!$B$7</f>
        <v>2014</v>
      </c>
      <c r="E9" s="248">
        <f>+MANUAL!$B$9</f>
        <v>2016</v>
      </c>
      <c r="F9" s="247">
        <f>+MANUAL!$B$10</f>
        <v>2017</v>
      </c>
      <c r="G9" s="249">
        <v>2018</v>
      </c>
      <c r="I9" s="248">
        <f>+MANUAL!$B$5</f>
        <v>2012</v>
      </c>
      <c r="J9" s="247">
        <f>+MANUAL!$B$6</f>
        <v>2013</v>
      </c>
      <c r="K9" s="247">
        <f>+MANUAL!$B$7</f>
        <v>2014</v>
      </c>
      <c r="L9" s="248">
        <f>+MANUAL!$B$9</f>
        <v>2016</v>
      </c>
      <c r="M9" s="247">
        <f>+MANUAL!$B$10</f>
        <v>2017</v>
      </c>
      <c r="N9" s="249">
        <v>2018</v>
      </c>
      <c r="P9" s="293">
        <f>+MANUAL!$B$10</f>
        <v>2017</v>
      </c>
    </row>
    <row r="10" spans="1:17" s="164" customFormat="1">
      <c r="A10" s="245"/>
    </row>
    <row r="11" spans="1:17" s="251" customFormat="1" ht="15.6">
      <c r="A11" s="250" t="s">
        <v>83</v>
      </c>
    </row>
    <row r="12" spans="1:17">
      <c r="A12" s="252" t="s">
        <v>84</v>
      </c>
    </row>
    <row r="13" spans="1:17">
      <c r="A13" s="254" t="s">
        <v>563</v>
      </c>
      <c r="B13" s="298">
        <f>VLOOKUP(A12,'Avg KWH'!$B$48:$P$73,14,FALSE)</f>
        <v>2883599601</v>
      </c>
      <c r="C13" s="298">
        <f>VLOOKUP(A12,'Avg KWH'!$B$83:$P$108,14,FALSE)</f>
        <v>2849709850</v>
      </c>
      <c r="D13" s="298">
        <f>VLOOKUP(A12,'Avg KWH'!$B$118:$P$144,14,FALSE)</f>
        <v>2756755103</v>
      </c>
      <c r="E13" s="255">
        <f>+'2016 PRIOR'!O13</f>
        <v>2694512980</v>
      </c>
      <c r="F13" s="255">
        <f>+'2017 TEST'!O13</f>
        <v>2687420391</v>
      </c>
      <c r="G13" s="255">
        <f>+'2018 SUBSEQUENT'!O13</f>
        <v>2686957625</v>
      </c>
      <c r="I13" s="256">
        <f t="shared" ref="I13:N13" si="0">+B13/B$172</f>
        <v>2.765274002767671E-2</v>
      </c>
      <c r="J13" s="256">
        <f t="shared" si="0"/>
        <v>2.7108132183138338E-2</v>
      </c>
      <c r="K13" s="256">
        <f t="shared" si="0"/>
        <v>2.4992720214981459E-2</v>
      </c>
      <c r="L13" s="256">
        <f t="shared" si="0"/>
        <v>2.3657202029830373E-2</v>
      </c>
      <c r="M13" s="256">
        <f t="shared" si="0"/>
        <v>2.3733336660857866E-2</v>
      </c>
      <c r="N13" s="256">
        <f t="shared" si="0"/>
        <v>2.3596338770469693E-2</v>
      </c>
      <c r="P13" s="257">
        <f>(+M13-L13)/L13</f>
        <v>3.2182432618824189E-3</v>
      </c>
      <c r="Q13" s="258"/>
    </row>
    <row r="14" spans="1:17">
      <c r="A14" s="254" t="s">
        <v>133</v>
      </c>
      <c r="B14" s="299">
        <f>VLOOKUP(A12,'Avg NCP'!$B$48:$P$73,15,FALSE)</f>
        <v>489022</v>
      </c>
      <c r="C14" s="299">
        <f>VLOOKUP(A12,'Avg NCP'!$B$83:$P$108,15,FALSE)</f>
        <v>504734</v>
      </c>
      <c r="D14" s="299">
        <f>VLOOKUP(A12,'Avg NCP'!$B$118:$P$144,15,FALSE)</f>
        <v>463776</v>
      </c>
      <c r="E14" s="255">
        <f>+'2016 PRIOR'!P14</f>
        <v>448936.18122906407</v>
      </c>
      <c r="F14" s="255">
        <f>+'2017 TEST'!P14</f>
        <v>446830.92124796787</v>
      </c>
      <c r="G14" s="255">
        <f>+'2018 SUBSEQUENT'!P14</f>
        <v>446181.21917275118</v>
      </c>
      <c r="I14" s="256">
        <f t="shared" ref="I14:N14" si="1">+B14/B$173</f>
        <v>1.1224990543543074E-2</v>
      </c>
      <c r="J14" s="256">
        <f t="shared" si="1"/>
        <v>1.2323553651763545E-2</v>
      </c>
      <c r="K14" s="256">
        <f t="shared" si="1"/>
        <v>1.0184568736626709E-2</v>
      </c>
      <c r="L14" s="256">
        <f t="shared" si="1"/>
        <v>9.6601296250036096E-3</v>
      </c>
      <c r="M14" s="256">
        <f t="shared" si="1"/>
        <v>9.5468897332129862E-3</v>
      </c>
      <c r="N14" s="256">
        <f t="shared" si="1"/>
        <v>9.498252297173387E-3</v>
      </c>
      <c r="P14" s="257">
        <f>(+M14-L14)/L14</f>
        <v>-1.1722398786194448E-2</v>
      </c>
    </row>
    <row r="15" spans="1:17">
      <c r="A15" s="254" t="s">
        <v>342</v>
      </c>
      <c r="B15" s="299">
        <f>VLOOKUP(A12,'Avg GNCP'!$B$47:$P$72,15,FALSE)</f>
        <v>403040</v>
      </c>
      <c r="C15" s="299">
        <f>VLOOKUP(A12,'Avg GNCP'!$B$82:$P$107,15,FALSE)</f>
        <v>416826</v>
      </c>
      <c r="D15" s="299">
        <f>VLOOKUP(A12,'Avg GNCP'!$B$124:$P$150,15,FALSE)</f>
        <v>387428</v>
      </c>
      <c r="E15" s="255">
        <f>+'2016 PRIOR'!Q15</f>
        <v>373655.37537047628</v>
      </c>
      <c r="F15" s="255">
        <f>+'2017 TEST'!Q15</f>
        <v>375555.65660119057</v>
      </c>
      <c r="G15" s="255">
        <f>+'2018 SUBSEQUENT'!Q15</f>
        <v>378101.7542149417</v>
      </c>
      <c r="I15" s="256">
        <f t="shared" ref="I15:N15" si="2">+B15/B$174</f>
        <v>1.8522023073301055E-2</v>
      </c>
      <c r="J15" s="256">
        <f t="shared" si="2"/>
        <v>1.8293076300629887E-2</v>
      </c>
      <c r="K15" s="256">
        <f t="shared" si="2"/>
        <v>1.5617276829159258E-2</v>
      </c>
      <c r="L15" s="256">
        <f t="shared" si="2"/>
        <v>1.5742903058336977E-2</v>
      </c>
      <c r="M15" s="256">
        <f t="shared" si="2"/>
        <v>1.5723691439008234E-2</v>
      </c>
      <c r="N15" s="256">
        <f t="shared" si="2"/>
        <v>1.5880838126719098E-2</v>
      </c>
      <c r="P15" s="257">
        <f>(+M15-L15)/L15</f>
        <v>-1.2203352366175423E-3</v>
      </c>
    </row>
    <row r="16" spans="1:17">
      <c r="A16" s="254" t="s">
        <v>148</v>
      </c>
      <c r="B16" s="299">
        <f>VLOOKUP(A12,'Avg CP'!$B$48:$P$73,15,FALSE)</f>
        <v>354832.83333333331</v>
      </c>
      <c r="C16" s="299">
        <f>VLOOKUP(A12,'Avg CP'!$B$83:$P$108,15,FALSE)</f>
        <v>358630.25</v>
      </c>
      <c r="D16" s="299">
        <f>VLOOKUP(A12,'Avg CP'!$B$125:$P$151,15,FALSE)</f>
        <v>343302.33333333331</v>
      </c>
      <c r="E16" s="255">
        <f>+'2016 PRIOR'!R16</f>
        <v>334641.46907280642</v>
      </c>
      <c r="F16" s="255">
        <f>+'2017 TEST'!R16</f>
        <v>352331.36673529999</v>
      </c>
      <c r="G16" s="255">
        <f>+'2018 SUBSEQUENT'!R16</f>
        <v>354292.40269902255</v>
      </c>
      <c r="I16" s="256">
        <f t="shared" ref="I16:N16" si="3">+B16/B$175</f>
        <v>2.0724423789754365E-2</v>
      </c>
      <c r="J16" s="256">
        <f t="shared" si="3"/>
        <v>2.0854415198132217E-2</v>
      </c>
      <c r="K16" s="256">
        <f t="shared" si="3"/>
        <v>1.8359353359590203E-2</v>
      </c>
      <c r="L16" s="256">
        <f t="shared" si="3"/>
        <v>1.7684298174321777E-2</v>
      </c>
      <c r="M16" s="256">
        <f t="shared" si="3"/>
        <v>1.7817871581171089E-2</v>
      </c>
      <c r="N16" s="256">
        <f t="shared" si="3"/>
        <v>1.7726013418516186E-2</v>
      </c>
      <c r="P16" s="257">
        <f>(+M16-L16)/L16</f>
        <v>7.5532206894852001E-3</v>
      </c>
    </row>
    <row r="17" spans="1:16">
      <c r="A17" s="259"/>
      <c r="D17" s="255"/>
    </row>
    <row r="18" spans="1:16">
      <c r="A18" s="252" t="s">
        <v>85</v>
      </c>
      <c r="D18" s="255"/>
    </row>
    <row r="19" spans="1:16">
      <c r="A19" s="254" t="s">
        <v>563</v>
      </c>
      <c r="B19" s="298">
        <f>VLOOKUP(A18,'Avg KWH'!$B$48:$P$73,14,FALSE)</f>
        <v>187854893</v>
      </c>
      <c r="C19" s="298">
        <f>VLOOKUP(A18,'Avg KWH'!$B$83:$P$108,14,FALSE)</f>
        <v>190319705</v>
      </c>
      <c r="D19" s="298">
        <f>VLOOKUP(A18,'Avg KWH'!$B$118:$P$144,14,FALSE)</f>
        <v>146960875</v>
      </c>
      <c r="E19" s="255">
        <f>+'2016 PRIOR'!O20</f>
        <v>102026741</v>
      </c>
      <c r="F19" s="255">
        <f>+'2017 TEST'!O23</f>
        <v>101623502</v>
      </c>
      <c r="G19" s="255">
        <f>+'2018 SUBSEQUENT'!O20</f>
        <v>101508535</v>
      </c>
      <c r="I19" s="256">
        <f t="shared" ref="I19:N19" si="4">+B19/B$172</f>
        <v>1.8014645713137708E-3</v>
      </c>
      <c r="J19" s="256">
        <f t="shared" si="4"/>
        <v>1.8104340412747263E-3</v>
      </c>
      <c r="K19" s="256">
        <f t="shared" si="4"/>
        <v>1.3323461439961877E-3</v>
      </c>
      <c r="L19" s="256">
        <f t="shared" si="4"/>
        <v>8.9577123665671773E-4</v>
      </c>
      <c r="M19" s="256">
        <f t="shared" si="4"/>
        <v>8.9746464442204291E-4</v>
      </c>
      <c r="N19" s="256">
        <f t="shared" si="4"/>
        <v>8.9142819286332426E-4</v>
      </c>
      <c r="P19" s="257">
        <f>(+M19-L19)/L19</f>
        <v>1.8904466855237246E-3</v>
      </c>
    </row>
    <row r="20" spans="1:16">
      <c r="A20" s="254" t="s">
        <v>133</v>
      </c>
      <c r="B20" s="299">
        <f>VLOOKUP(A18,'Avg NCP'!$B$48:$P$73,15,FALSE)</f>
        <v>33086</v>
      </c>
      <c r="C20" s="299">
        <f>VLOOKUP(A18,'Avg NCP'!$B$83:$P$108,15,FALSE)</f>
        <v>33959</v>
      </c>
      <c r="D20" s="299">
        <f>VLOOKUP(A18,'Avg NCP'!$B$118:$P$144,15,FALSE)</f>
        <v>32547</v>
      </c>
      <c r="E20" s="255">
        <f>+'2016 PRIOR'!P21</f>
        <v>17837.940203103299</v>
      </c>
      <c r="F20" s="255">
        <f>+'2017 TEST'!P24</f>
        <v>17734.266855229602</v>
      </c>
      <c r="G20" s="255">
        <f>+'2018 SUBSEQUENT'!P21</f>
        <v>17694.411938536574</v>
      </c>
      <c r="I20" s="256">
        <f t="shared" ref="I20:N20" si="5">+B20/B$173</f>
        <v>7.5945466077940484E-4</v>
      </c>
      <c r="J20" s="256">
        <f t="shared" si="5"/>
        <v>8.2914081171515735E-4</v>
      </c>
      <c r="K20" s="256">
        <f t="shared" si="5"/>
        <v>7.1473547288128207E-4</v>
      </c>
      <c r="L20" s="256">
        <f t="shared" si="5"/>
        <v>3.8383365344554082E-4</v>
      </c>
      <c r="M20" s="256">
        <f t="shared" si="5"/>
        <v>3.7890638743932008E-4</v>
      </c>
      <c r="N20" s="256">
        <f t="shared" si="5"/>
        <v>3.766765198094676E-4</v>
      </c>
      <c r="P20" s="257">
        <f>(+M20-L20)/L20</f>
        <v>-1.2836982797079916E-2</v>
      </c>
    </row>
    <row r="21" spans="1:16">
      <c r="A21" s="254" t="s">
        <v>342</v>
      </c>
      <c r="B21" s="299">
        <f>VLOOKUP(A18,'Avg GNCP'!$B$47:$P$72,15,FALSE)</f>
        <v>27088</v>
      </c>
      <c r="C21" s="299">
        <f>VLOOKUP(A18,'Avg GNCP'!$B$82:$P$107,15,FALSE)</f>
        <v>28011</v>
      </c>
      <c r="D21" s="299">
        <f>VLOOKUP(A18,'Avg GNCP'!$B$124:$P$150,15,FALSE)</f>
        <v>26507</v>
      </c>
      <c r="E21" s="255">
        <f>+'2016 PRIOR'!Q22</f>
        <v>14481.35019877888</v>
      </c>
      <c r="F21" s="255">
        <f>+'2017 TEST'!Q25</f>
        <v>14517.481215724356</v>
      </c>
      <c r="G21" s="255">
        <f>+'2018 SUBSEQUENT'!Q22</f>
        <v>14605.193285210538</v>
      </c>
      <c r="I21" s="256">
        <f t="shared" ref="I21:N21" si="6">+B21/B$174</f>
        <v>1.2448505384318651E-3</v>
      </c>
      <c r="J21" s="256">
        <f t="shared" si="6"/>
        <v>1.2293075773990676E-3</v>
      </c>
      <c r="K21" s="256">
        <f t="shared" si="6"/>
        <v>1.068500874770343E-3</v>
      </c>
      <c r="L21" s="256">
        <f t="shared" si="6"/>
        <v>6.1013036974823655E-4</v>
      </c>
      <c r="M21" s="256">
        <f t="shared" si="6"/>
        <v>6.0781508970866155E-4</v>
      </c>
      <c r="N21" s="256">
        <f t="shared" si="6"/>
        <v>6.1343992136047968E-4</v>
      </c>
      <c r="P21" s="257">
        <f>(+M21-L21)/L21</f>
        <v>-3.7947300353699267E-3</v>
      </c>
    </row>
    <row r="22" spans="1:16">
      <c r="A22" s="254" t="s">
        <v>148</v>
      </c>
      <c r="B22" s="299">
        <f>VLOOKUP(A18,'Avg CP'!$B$48:$P$73,15,FALSE)</f>
        <v>23809.333333333332</v>
      </c>
      <c r="C22" s="299">
        <f>VLOOKUP(A18,'Avg CP'!$B$83:$P$108,15,FALSE)</f>
        <v>24272.166666666668</v>
      </c>
      <c r="D22" s="299">
        <f>VLOOKUP(A18,'Avg CP'!$B$125:$P$151,15,FALSE)</f>
        <v>18769.583333333332</v>
      </c>
      <c r="E22" s="255">
        <f>+'2016 PRIOR'!R23</f>
        <v>12958.399831780809</v>
      </c>
      <c r="F22" s="255">
        <f>+'2017 TEST'!R26</f>
        <v>13628.663544147676</v>
      </c>
      <c r="G22" s="255">
        <f>+'2018 SUBSEQUENT'!R23</f>
        <v>13691.361925900606</v>
      </c>
      <c r="I22" s="256">
        <f t="shared" ref="I22:N22" si="7">+B22/B$175</f>
        <v>1.3906117692552642E-3</v>
      </c>
      <c r="J22" s="256">
        <f t="shared" si="7"/>
        <v>1.4114309694314173E-3</v>
      </c>
      <c r="K22" s="256">
        <f t="shared" si="7"/>
        <v>1.0037724168170765E-3</v>
      </c>
      <c r="L22" s="256">
        <f t="shared" si="7"/>
        <v>6.8479321203743476E-4</v>
      </c>
      <c r="M22" s="256">
        <f t="shared" si="7"/>
        <v>6.892198645346493E-4</v>
      </c>
      <c r="N22" s="256">
        <f t="shared" si="7"/>
        <v>6.8500838112085577E-4</v>
      </c>
      <c r="P22" s="257">
        <f>(+M22-L22)/L22</f>
        <v>6.4642178389066138E-3</v>
      </c>
    </row>
    <row r="23" spans="1:16">
      <c r="A23" s="259"/>
    </row>
    <row r="24" spans="1:16">
      <c r="A24" s="252" t="s">
        <v>50</v>
      </c>
    </row>
    <row r="25" spans="1:16">
      <c r="A25" s="254" t="s">
        <v>563</v>
      </c>
      <c r="B25" s="298">
        <f>VLOOKUP(A24,'Avg KWH'!$B$48:$P$73,14,FALSE)</f>
        <v>1346172820</v>
      </c>
      <c r="C25" s="298">
        <f>VLOOKUP(A24,'Avg KWH'!$B$83:$P$108,14,FALSE)</f>
        <v>1314362240</v>
      </c>
      <c r="D25" s="298">
        <f>VLOOKUP(A24,'Avg KWH'!$B$118:$P$144,14,FALSE)</f>
        <v>1373661697</v>
      </c>
      <c r="E25" s="255">
        <f>+'2016 PRIOR'!O27</f>
        <v>1478278060</v>
      </c>
      <c r="F25" s="255">
        <f>+'2017 TEST'!O33</f>
        <v>1508335314</v>
      </c>
      <c r="G25" s="255">
        <f>+'2018 SUBSEQUENT'!O27</f>
        <v>1532421391</v>
      </c>
      <c r="I25" s="256">
        <f t="shared" ref="I25:N25" si="8">+B25/B$172</f>
        <v>1.2909339774799211E-2</v>
      </c>
      <c r="J25" s="256">
        <f t="shared" si="8"/>
        <v>1.2502994063920506E-2</v>
      </c>
      <c r="K25" s="256">
        <f t="shared" si="8"/>
        <v>1.2453606207456301E-2</v>
      </c>
      <c r="L25" s="256">
        <f t="shared" si="8"/>
        <v>1.2978940157744465E-2</v>
      </c>
      <c r="M25" s="256">
        <f t="shared" si="8"/>
        <v>1.3320517297743001E-2</v>
      </c>
      <c r="N25" s="256">
        <f t="shared" si="8"/>
        <v>1.3457426326606247E-2</v>
      </c>
      <c r="P25" s="257">
        <f>(+M25-L25)/L25</f>
        <v>2.6317799130518293E-2</v>
      </c>
    </row>
    <row r="26" spans="1:16">
      <c r="A26" s="254" t="s">
        <v>133</v>
      </c>
      <c r="B26" s="299">
        <f>VLOOKUP(A24,'Avg NCP'!$B$48:$P$73,15,FALSE)</f>
        <v>221144</v>
      </c>
      <c r="C26" s="299">
        <f>VLOOKUP(A24,'Avg NCP'!$B$83:$P$108,15,FALSE)</f>
        <v>212712</v>
      </c>
      <c r="D26" s="299">
        <f>VLOOKUP(A24,'Avg NCP'!$B$118:$P$144,15,FALSE)</f>
        <v>223592</v>
      </c>
      <c r="E26" s="255">
        <f>+'2016 PRIOR'!P28</f>
        <v>244815.19348573271</v>
      </c>
      <c r="F26" s="255">
        <f>+'2017 TEST'!P34</f>
        <v>249350.39315840468</v>
      </c>
      <c r="G26" s="255">
        <f>+'2018 SUBSEQUENT'!P28</f>
        <v>252981.3465033937</v>
      </c>
      <c r="I26" s="256">
        <f t="shared" ref="I26:N26" si="9">+B26/B$173</f>
        <v>5.0761301306716045E-3</v>
      </c>
      <c r="J26" s="256">
        <f t="shared" si="9"/>
        <v>5.1935628358183265E-3</v>
      </c>
      <c r="K26" s="256">
        <f t="shared" si="9"/>
        <v>4.9101033536876407E-3</v>
      </c>
      <c r="L26" s="256">
        <f t="shared" si="9"/>
        <v>5.2678901860125039E-3</v>
      </c>
      <c r="M26" s="256">
        <f t="shared" si="9"/>
        <v>5.3275648466045399E-3</v>
      </c>
      <c r="N26" s="256">
        <f t="shared" si="9"/>
        <v>5.3854365722138002E-3</v>
      </c>
      <c r="P26" s="257">
        <f>(+M26-L26)/L26</f>
        <v>1.1328000107231982E-2</v>
      </c>
    </row>
    <row r="27" spans="1:16">
      <c r="A27" s="254" t="s">
        <v>342</v>
      </c>
      <c r="B27" s="299">
        <f>VLOOKUP(A24,'Avg GNCP'!$B$47:$P$72,15,FALSE)</f>
        <v>196118</v>
      </c>
      <c r="C27" s="299">
        <f>VLOOKUP(A24,'Avg GNCP'!$B$82:$P$107,15,FALSE)</f>
        <v>190332</v>
      </c>
      <c r="D27" s="299">
        <f>VLOOKUP(A24,'Avg GNCP'!$B$124:$P$150,15,FALSE)</f>
        <v>193326</v>
      </c>
      <c r="E27" s="255">
        <f>+'2016 PRIOR'!Q29</f>
        <v>211943.35946898794</v>
      </c>
      <c r="F27" s="255">
        <f>+'2017 TEST'!Q35</f>
        <v>215869.608656397</v>
      </c>
      <c r="G27" s="255">
        <f>+'2018 SUBSEQUENT'!Q29</f>
        <v>219013.02650990119</v>
      </c>
      <c r="I27" s="256">
        <f t="shared" ref="I27:N27" si="10">+B27/B$174</f>
        <v>9.0127583393451172E-3</v>
      </c>
      <c r="J27" s="256">
        <f t="shared" si="10"/>
        <v>8.3530245197072344E-3</v>
      </c>
      <c r="K27" s="256">
        <f t="shared" si="10"/>
        <v>7.7929980803505237E-3</v>
      </c>
      <c r="L27" s="256">
        <f t="shared" si="10"/>
        <v>8.9296286950785279E-3</v>
      </c>
      <c r="M27" s="256">
        <f t="shared" si="10"/>
        <v>9.0379869345892511E-3</v>
      </c>
      <c r="N27" s="256">
        <f t="shared" si="10"/>
        <v>9.1988740672950108E-3</v>
      </c>
      <c r="P27" s="257">
        <f>(+M27-L27)/L27</f>
        <v>1.2134685910338427E-2</v>
      </c>
    </row>
    <row r="28" spans="1:16">
      <c r="A28" s="254" t="s">
        <v>148</v>
      </c>
      <c r="B28" s="299">
        <f>VLOOKUP(A24,'Avg CP'!$B$48:$P$73,15,FALSE)</f>
        <v>158914.16666666666</v>
      </c>
      <c r="C28" s="299">
        <f>VLOOKUP(A24,'Avg CP'!$B$83:$P$108,15,FALSE)</f>
        <v>157642.83333333334</v>
      </c>
      <c r="D28" s="299">
        <f>VLOOKUP(A24,'Avg CP'!$B$125:$P$151,15,FALSE)</f>
        <v>163745.08333333334</v>
      </c>
      <c r="E28" s="255">
        <f>+'2016 PRIOR'!R30</f>
        <v>175846.81829448801</v>
      </c>
      <c r="F28" s="255">
        <f>+'2017 TEST'!R36</f>
        <v>189373.11748519144</v>
      </c>
      <c r="G28" s="255">
        <f>+'2018 SUBSEQUENT'!R30</f>
        <v>193499.36758234107</v>
      </c>
      <c r="I28" s="256">
        <f t="shared" ref="I28:N28" si="11">+B28/B$175</f>
        <v>9.2815664921904271E-3</v>
      </c>
      <c r="J28" s="256">
        <f t="shared" si="11"/>
        <v>9.1669598405134285E-3</v>
      </c>
      <c r="K28" s="256">
        <f t="shared" si="11"/>
        <v>8.7568698313892756E-3</v>
      </c>
      <c r="L28" s="256">
        <f t="shared" si="11"/>
        <v>9.2927143080672372E-3</v>
      </c>
      <c r="M28" s="256">
        <f t="shared" si="11"/>
        <v>9.5768535158896571E-3</v>
      </c>
      <c r="N28" s="256">
        <f t="shared" si="11"/>
        <v>9.6811909036412323E-3</v>
      </c>
      <c r="P28" s="257">
        <f>(+M28-L28)/L28</f>
        <v>3.0576556902836411E-2</v>
      </c>
    </row>
    <row r="29" spans="1:16">
      <c r="A29" s="259"/>
    </row>
    <row r="30" spans="1:16">
      <c r="A30" s="252" t="s">
        <v>49</v>
      </c>
    </row>
    <row r="31" spans="1:16">
      <c r="A31" s="254" t="s">
        <v>563</v>
      </c>
      <c r="B31" s="298">
        <f>VLOOKUP(A30,'Avg KWH'!$B$48:$P$73,14,FALSE)</f>
        <v>5794879490</v>
      </c>
      <c r="C31" s="298">
        <f>VLOOKUP(A30,'Avg KWH'!$B$83:$P$108,14,FALSE)</f>
        <v>5838211171</v>
      </c>
      <c r="D31" s="298">
        <f>VLOOKUP(A30,'Avg KWH'!$B$118:$P$144,14,FALSE)</f>
        <v>6688998793</v>
      </c>
      <c r="E31" s="255">
        <f>+'2016 PRIOR'!O34</f>
        <v>5959892266</v>
      </c>
      <c r="F31" s="255">
        <f>+'2017 TEST'!O43</f>
        <v>5968792122</v>
      </c>
      <c r="G31" s="255">
        <f>+'2018 SUBSEQUENT'!O34</f>
        <v>6001791085</v>
      </c>
      <c r="I31" s="256">
        <f t="shared" ref="I31:N31" si="12">+B31/B$172</f>
        <v>5.5570924608643615E-2</v>
      </c>
      <c r="J31" s="256">
        <f t="shared" si="12"/>
        <v>5.5536531249503474E-2</v>
      </c>
      <c r="K31" s="256">
        <f t="shared" si="12"/>
        <v>6.0642410771225355E-2</v>
      </c>
      <c r="L31" s="256">
        <f t="shared" si="12"/>
        <v>5.2326478461716501E-2</v>
      </c>
      <c r="M31" s="256">
        <f t="shared" si="12"/>
        <v>5.2712018322295377E-2</v>
      </c>
      <c r="N31" s="256">
        <f t="shared" si="12"/>
        <v>5.2706560890123773E-2</v>
      </c>
      <c r="P31" s="257">
        <f>(+M31-L31)/L31</f>
        <v>7.3679687973068524E-3</v>
      </c>
    </row>
    <row r="32" spans="1:16">
      <c r="A32" s="254" t="s">
        <v>133</v>
      </c>
      <c r="B32" s="299">
        <f>VLOOKUP(A30,'Avg NCP'!$B$48:$P$73,15,FALSE)</f>
        <v>2127107</v>
      </c>
      <c r="C32" s="299">
        <f>VLOOKUP(A30,'Avg NCP'!$B$83:$P$108,15,FALSE)</f>
        <v>2199307</v>
      </c>
      <c r="D32" s="299">
        <f>VLOOKUP(A30,'Avg NCP'!$B$118:$P$144,15,FALSE)</f>
        <v>2591468</v>
      </c>
      <c r="E32" s="255">
        <f>+'2016 PRIOR'!P35</f>
        <v>2146053.5755057577</v>
      </c>
      <c r="F32" s="255">
        <f>+'2017 TEST'!P44</f>
        <v>2146000.5103850211</v>
      </c>
      <c r="G32" s="255">
        <f>+'2018 SUBSEQUENT'!P35</f>
        <v>2155409.6075348491</v>
      </c>
      <c r="I32" s="256">
        <f t="shared" ref="I32:N32" si="13">+B32/B$173</f>
        <v>4.8825525150410977E-2</v>
      </c>
      <c r="J32" s="256">
        <f t="shared" si="13"/>
        <v>5.3698141617563165E-2</v>
      </c>
      <c r="K32" s="256">
        <f t="shared" si="13"/>
        <v>5.690890424422252E-2</v>
      </c>
      <c r="L32" s="256">
        <f t="shared" si="13"/>
        <v>4.61784026068736E-2</v>
      </c>
      <c r="M32" s="256">
        <f t="shared" si="13"/>
        <v>4.5850967929533727E-2</v>
      </c>
      <c r="N32" s="256">
        <f t="shared" si="13"/>
        <v>4.5884101294256706E-2</v>
      </c>
      <c r="P32" s="257">
        <f>(+M32-L32)/L32</f>
        <v>-7.0906453851899776E-3</v>
      </c>
    </row>
    <row r="33" spans="1:16">
      <c r="A33" s="254" t="s">
        <v>342</v>
      </c>
      <c r="B33" s="299">
        <f>VLOOKUP(A30,'Avg GNCP'!$B$47:$P$72,15,FALSE)</f>
        <v>1199798</v>
      </c>
      <c r="C33" s="299">
        <f>VLOOKUP(A30,'Avg GNCP'!$B$82:$P$107,15,FALSE)</f>
        <v>1363722</v>
      </c>
      <c r="D33" s="299">
        <f>VLOOKUP(A30,'Avg GNCP'!$B$124:$P$150,15,FALSE)</f>
        <v>1605649</v>
      </c>
      <c r="E33" s="255">
        <f>+'2016 PRIOR'!Q36</f>
        <v>1300804.557592486</v>
      </c>
      <c r="F33" s="255">
        <f>+'2017 TEST'!Q45</f>
        <v>1302483.2359596684</v>
      </c>
      <c r="G33" s="255">
        <f>+'2018 SUBSEQUENT'!Q36</f>
        <v>1319438.5177063679</v>
      </c>
      <c r="I33" s="256">
        <f t="shared" ref="I33:N33" si="14">+B33/B$174</f>
        <v>5.5137669311483867E-2</v>
      </c>
      <c r="J33" s="256">
        <f t="shared" si="14"/>
        <v>5.9849123132548331E-2</v>
      </c>
      <c r="K33" s="256">
        <f t="shared" si="14"/>
        <v>6.472393560471297E-2</v>
      </c>
      <c r="L33" s="256">
        <f t="shared" si="14"/>
        <v>5.4805688337059837E-2</v>
      </c>
      <c r="M33" s="256">
        <f t="shared" si="14"/>
        <v>5.4532115671096663E-2</v>
      </c>
      <c r="N33" s="256">
        <f t="shared" si="14"/>
        <v>5.5418387469160738E-2</v>
      </c>
      <c r="P33" s="257">
        <f>(+M33-L33)/L33</f>
        <v>-4.9916837880162566E-3</v>
      </c>
    </row>
    <row r="34" spans="1:16">
      <c r="A34" s="254" t="s">
        <v>148</v>
      </c>
      <c r="B34" s="299">
        <f>VLOOKUP(A30,'Avg CP'!$B$48:$P$73,15,FALSE)</f>
        <v>912113.66666666663</v>
      </c>
      <c r="C34" s="299">
        <f>VLOOKUP(A30,'Avg CP'!$B$83:$P$108,15,FALSE)</f>
        <v>1016465</v>
      </c>
      <c r="D34" s="299">
        <f>VLOOKUP(A30,'Avg CP'!$B$125:$P$151,15,FALSE)</f>
        <v>1143540.6666666667</v>
      </c>
      <c r="E34" s="255">
        <f>+'2016 PRIOR'!R37</f>
        <v>996548.9536621006</v>
      </c>
      <c r="F34" s="255">
        <f>+'2017 TEST'!R46</f>
        <v>1051581.5785069151</v>
      </c>
      <c r="G34" s="255">
        <f>+'2018 SUBSEQUENT'!R37</f>
        <v>1063437.3404485546</v>
      </c>
      <c r="I34" s="256">
        <f t="shared" ref="I34:N34" si="15">+B34/B$175</f>
        <v>5.327305817460546E-2</v>
      </c>
      <c r="J34" s="256">
        <f t="shared" si="15"/>
        <v>5.9107627268947513E-2</v>
      </c>
      <c r="K34" s="256">
        <f t="shared" si="15"/>
        <v>6.1155037824953191E-2</v>
      </c>
      <c r="L34" s="256">
        <f t="shared" si="15"/>
        <v>5.266313493870884E-2</v>
      </c>
      <c r="M34" s="256">
        <f t="shared" si="15"/>
        <v>5.3179896233985079E-2</v>
      </c>
      <c r="N34" s="256">
        <f t="shared" si="15"/>
        <v>5.3206064885777608E-2</v>
      </c>
      <c r="P34" s="257">
        <f>(+M34-L34)/L34</f>
        <v>9.8125813413436746E-3</v>
      </c>
    </row>
    <row r="35" spans="1:16">
      <c r="A35" s="259"/>
    </row>
    <row r="36" spans="1:16">
      <c r="A36" s="252" t="s">
        <v>325</v>
      </c>
    </row>
    <row r="37" spans="1:16">
      <c r="A37" s="254" t="s">
        <v>563</v>
      </c>
      <c r="B37" s="298">
        <f>VLOOKUP(A36,'Avg KWH'!$B$48:$P$73,14,FALSE)</f>
        <v>28095764</v>
      </c>
      <c r="C37" s="298">
        <f>VLOOKUP(A36,'Avg KWH'!$B$83:$P$108,14,FALSE)</f>
        <v>31496960</v>
      </c>
      <c r="D37" s="298">
        <f>VLOOKUP(A36,'Avg KWH'!$B$118:$P$144,14,FALSE)</f>
        <v>87222395</v>
      </c>
      <c r="E37" s="255">
        <f>+'2016 PRIOR'!O41</f>
        <v>69362726</v>
      </c>
      <c r="F37" s="255">
        <f>+'2017 TEST'!O53</f>
        <v>70241818</v>
      </c>
      <c r="G37" s="255">
        <f>+'2018 SUBSEQUENT'!O41</f>
        <v>71082174</v>
      </c>
      <c r="I37" s="256">
        <f t="shared" ref="I37:N37" si="16">+B37/B$172</f>
        <v>2.6942882690839933E-4</v>
      </c>
      <c r="J37" s="256">
        <f t="shared" si="16"/>
        <v>2.9961778566580066E-4</v>
      </c>
      <c r="K37" s="256">
        <f t="shared" si="16"/>
        <v>7.9075755127589137E-4</v>
      </c>
      <c r="L37" s="256">
        <f t="shared" si="16"/>
        <v>6.0898872430808181E-4</v>
      </c>
      <c r="M37" s="256">
        <f t="shared" si="16"/>
        <v>6.2032450146156011E-4</v>
      </c>
      <c r="N37" s="256">
        <f t="shared" si="16"/>
        <v>6.2422981391285347E-4</v>
      </c>
      <c r="P37" s="257">
        <f>(+M37-L37)/L37</f>
        <v>1.8614100230439794E-2</v>
      </c>
    </row>
    <row r="38" spans="1:16">
      <c r="A38" s="254" t="s">
        <v>133</v>
      </c>
      <c r="B38" s="299">
        <f>VLOOKUP(A36,'Avg NCP'!$B$48:$P$73,15,FALSE)</f>
        <v>3859</v>
      </c>
      <c r="C38" s="299">
        <f>VLOOKUP(A36,'Avg NCP'!$B$83:$P$108,15,FALSE)</f>
        <v>7163</v>
      </c>
      <c r="D38" s="299">
        <f>VLOOKUP(A36,'Avg NCP'!$B$118:$P$144,15,FALSE)</f>
        <v>12264</v>
      </c>
      <c r="E38" s="255">
        <f>+'2016 PRIOR'!P42</f>
        <v>8846.0962659761117</v>
      </c>
      <c r="F38" s="255">
        <f>+'2017 TEST'!P54</f>
        <v>9279.4352414971563</v>
      </c>
      <c r="G38" s="255">
        <f>+'2018 SUBSEQUENT'!P42</f>
        <v>9393.4142669052762</v>
      </c>
      <c r="I38" s="256">
        <f t="shared" ref="I38:N38" si="17">+B38/B$173</f>
        <v>8.857932466746428E-5</v>
      </c>
      <c r="J38" s="256">
        <f t="shared" si="17"/>
        <v>1.7489135823539186E-4</v>
      </c>
      <c r="K38" s="256">
        <f t="shared" si="17"/>
        <v>2.6931870339558315E-4</v>
      </c>
      <c r="L38" s="256">
        <f t="shared" si="17"/>
        <v>1.9034874037249315E-4</v>
      </c>
      <c r="M38" s="256">
        <f t="shared" si="17"/>
        <v>1.9826234225160365E-4</v>
      </c>
      <c r="N38" s="256">
        <f t="shared" si="17"/>
        <v>1.9996587665513092E-4</v>
      </c>
      <c r="P38" s="257">
        <f>(+M38-L38)/L38</f>
        <v>4.1574227723411204E-2</v>
      </c>
    </row>
    <row r="39" spans="1:16">
      <c r="A39" s="254" t="s">
        <v>342</v>
      </c>
      <c r="B39" s="299">
        <f>VLOOKUP(A36,'Avg GNCP'!$B$47:$P$72,15,FALSE)</f>
        <v>3707</v>
      </c>
      <c r="C39" s="299">
        <f>VLOOKUP(A36,'Avg GNCP'!$B$82:$P$107,15,FALSE)</f>
        <v>6841</v>
      </c>
      <c r="D39" s="299">
        <f>VLOOKUP(A36,'Avg GNCP'!$B$124:$P$150,15,FALSE)</f>
        <v>11473</v>
      </c>
      <c r="E39" s="255">
        <f>+'2016 PRIOR'!Q43</f>
        <v>8454.8637887149507</v>
      </c>
      <c r="F39" s="255">
        <f>+'2017 TEST'!Q55</f>
        <v>8881.3220129599667</v>
      </c>
      <c r="G39" s="255">
        <f>+'2018 SUBSEQUENT'!Q43</f>
        <v>9067.9539690662405</v>
      </c>
      <c r="I39" s="256">
        <f t="shared" ref="I39:N39" si="18">+B39/B$174</f>
        <v>1.7035812706611505E-4</v>
      </c>
      <c r="J39" s="256">
        <f t="shared" si="18"/>
        <v>3.0022823665656429E-4</v>
      </c>
      <c r="K39" s="256">
        <f t="shared" si="18"/>
        <v>4.6247823353227999E-4</v>
      </c>
      <c r="L39" s="256">
        <f t="shared" si="18"/>
        <v>3.5622156075022744E-4</v>
      </c>
      <c r="M39" s="256">
        <f t="shared" si="18"/>
        <v>3.7184146862830481E-4</v>
      </c>
      <c r="N39" s="256">
        <f t="shared" si="18"/>
        <v>3.8086760380756283E-4</v>
      </c>
      <c r="P39" s="257">
        <f>(+M39-L39)/L39</f>
        <v>4.3848855878293166E-2</v>
      </c>
    </row>
    <row r="40" spans="1:16">
      <c r="A40" s="254" t="s">
        <v>148</v>
      </c>
      <c r="B40" s="299">
        <f>VLOOKUP(A36,'Avg CP'!$B$48:$P$73,15,FALSE)</f>
        <v>3205.1666666666665</v>
      </c>
      <c r="C40" s="299">
        <f>VLOOKUP(A36,'Avg CP'!$B$83:$P$108,15,FALSE)</f>
        <v>3612.5833333333335</v>
      </c>
      <c r="D40" s="299">
        <f>VLOOKUP(A36,'Avg CP'!$B$125:$P$151,15,FALSE)</f>
        <v>9951</v>
      </c>
      <c r="E40" s="255">
        <f>+'2016 PRIOR'!R44</f>
        <v>7908.4431065598064</v>
      </c>
      <c r="F40" s="255">
        <f>+'2017 TEST'!R56</f>
        <v>8458.0176483227133</v>
      </c>
      <c r="G40" s="255">
        <f>+'2018 SUBSEQUENT'!R44</f>
        <v>8608.3152008232955</v>
      </c>
      <c r="I40" s="256">
        <f t="shared" ref="I40:N40" si="19">+B40/B$175</f>
        <v>1.8720148215369312E-4</v>
      </c>
      <c r="J40" s="256">
        <f t="shared" si="19"/>
        <v>2.1007238728798202E-4</v>
      </c>
      <c r="K40" s="256">
        <f t="shared" si="19"/>
        <v>5.3216627893959976E-4</v>
      </c>
      <c r="L40" s="256">
        <f t="shared" si="19"/>
        <v>4.1792568738883816E-4</v>
      </c>
      <c r="M40" s="256">
        <f t="shared" si="19"/>
        <v>4.2773334002451675E-4</v>
      </c>
      <c r="N40" s="256">
        <f t="shared" si="19"/>
        <v>4.3069258498957809E-4</v>
      </c>
      <c r="P40" s="257">
        <f>(+M40-L40)/L40</f>
        <v>2.3467455893788011E-2</v>
      </c>
    </row>
    <row r="41" spans="1:16">
      <c r="A41" s="259"/>
    </row>
    <row r="42" spans="1:16">
      <c r="A42" s="252" t="s">
        <v>67</v>
      </c>
    </row>
    <row r="43" spans="1:16">
      <c r="A43" s="254" t="s">
        <v>563</v>
      </c>
      <c r="B43" s="298">
        <f>VLOOKUP(A42,'Avg KWH'!$B$48:$P$73,14,FALSE)</f>
        <v>24574301339</v>
      </c>
      <c r="C43" s="298">
        <f>VLOOKUP(A42,'Avg KWH'!$B$83:$P$108,14,FALSE)</f>
        <v>25010455920</v>
      </c>
      <c r="D43" s="298">
        <f>VLOOKUP(A42,'Avg KWH'!$B$118:$P$144,14,FALSE)</f>
        <v>25143214654</v>
      </c>
      <c r="E43" s="255">
        <f>+'2016 PRIOR'!O48</f>
        <v>25815937344</v>
      </c>
      <c r="F43" s="255">
        <f>+'2017 TEST'!O63</f>
        <v>25825428784</v>
      </c>
      <c r="G43" s="255">
        <f>+'2018 SUBSEQUENT'!O48</f>
        <v>25949742256</v>
      </c>
      <c r="I43" s="256">
        <f t="shared" ref="I43:N43" si="20">+B43/B$172</f>
        <v>0.23565919694727919</v>
      </c>
      <c r="J43" s="256">
        <f t="shared" si="20"/>
        <v>0.23791430732497723</v>
      </c>
      <c r="K43" s="256">
        <f t="shared" si="20"/>
        <v>0.22794818751538692</v>
      </c>
      <c r="L43" s="256">
        <f t="shared" si="20"/>
        <v>0.22665797116941352</v>
      </c>
      <c r="M43" s="256">
        <f t="shared" si="20"/>
        <v>0.22807134968325882</v>
      </c>
      <c r="N43" s="256">
        <f t="shared" si="20"/>
        <v>0.22788558464108583</v>
      </c>
      <c r="P43" s="257">
        <f>(+M43-L43)/L43</f>
        <v>6.2357326616537794E-3</v>
      </c>
    </row>
    <row r="44" spans="1:16">
      <c r="A44" s="254" t="s">
        <v>133</v>
      </c>
      <c r="B44" s="299">
        <f>VLOOKUP(A42,'Avg NCP'!$B$48:$P$73,15,FALSE)</f>
        <v>5914223</v>
      </c>
      <c r="C44" s="299">
        <f>VLOOKUP(A42,'Avg NCP'!$B$83:$P$108,15,FALSE)</f>
        <v>6302910</v>
      </c>
      <c r="D44" s="299">
        <f>VLOOKUP(A42,'Avg NCP'!$B$118:$P$144,15,FALSE)</f>
        <v>6484783</v>
      </c>
      <c r="E44" s="255">
        <f>+'2016 PRIOR'!P49</f>
        <v>6252158.274678397</v>
      </c>
      <c r="F44" s="255">
        <f>+'2017 TEST'!P64</f>
        <v>6244346.132533839</v>
      </c>
      <c r="G44" s="255">
        <f>+'2018 SUBSEQUENT'!P49</f>
        <v>6267740.1214928403</v>
      </c>
      <c r="I44" s="256">
        <f t="shared" ref="I44:N44" si="21">+B44/B$173</f>
        <v>0.13575482748711704</v>
      </c>
      <c r="J44" s="256">
        <f t="shared" si="21"/>
        <v>0.15389145480042352</v>
      </c>
      <c r="K44" s="256">
        <f t="shared" si="21"/>
        <v>0.14240650272029678</v>
      </c>
      <c r="L44" s="256">
        <f t="shared" si="21"/>
        <v>0.13453283984392339</v>
      </c>
      <c r="M44" s="256">
        <f t="shared" si="21"/>
        <v>0.1334153057644657</v>
      </c>
      <c r="N44" s="256">
        <f t="shared" si="21"/>
        <v>0.13342690021205378</v>
      </c>
      <c r="P44" s="257">
        <f>(+M44-L44)/L44</f>
        <v>-8.3067753624630775E-3</v>
      </c>
    </row>
    <row r="45" spans="1:16">
      <c r="A45" s="254" t="s">
        <v>342</v>
      </c>
      <c r="B45" s="299">
        <f>VLOOKUP(A42,'Avg GNCP'!$B$47:$P$72,15,FALSE)</f>
        <v>4503487</v>
      </c>
      <c r="C45" s="299">
        <f>VLOOKUP(A42,'Avg GNCP'!$B$82:$P$107,15,FALSE)</f>
        <v>4754302</v>
      </c>
      <c r="D45" s="299">
        <f>VLOOKUP(A42,'Avg GNCP'!$B$124:$P$150,15,FALSE)</f>
        <v>4772110</v>
      </c>
      <c r="E45" s="255">
        <f>+'2016 PRIOR'!Q50</f>
        <v>4690276.0725559974</v>
      </c>
      <c r="F45" s="255">
        <f>+'2017 TEST'!Q65</f>
        <v>4684415.5198050505</v>
      </c>
      <c r="G45" s="255">
        <f>+'2018 SUBSEQUENT'!Q50</f>
        <v>4701965.3420960875</v>
      </c>
      <c r="I45" s="256">
        <f t="shared" ref="I45:N45" si="22">+B45/B$174</f>
        <v>0.20696131928421829</v>
      </c>
      <c r="J45" s="256">
        <f t="shared" si="22"/>
        <v>0.2086501543623413</v>
      </c>
      <c r="K45" s="256">
        <f t="shared" si="22"/>
        <v>0.19236442107746263</v>
      </c>
      <c r="L45" s="256">
        <f t="shared" si="22"/>
        <v>0.19761139915055745</v>
      </c>
      <c r="M45" s="256">
        <f t="shared" si="22"/>
        <v>0.19612620103265535</v>
      </c>
      <c r="N45" s="256">
        <f t="shared" si="22"/>
        <v>0.19748956370306234</v>
      </c>
      <c r="P45" s="257">
        <f>(+M45-L45)/L45</f>
        <v>-7.5157512384725613E-3</v>
      </c>
    </row>
    <row r="46" spans="1:16">
      <c r="A46" s="254" t="s">
        <v>148</v>
      </c>
      <c r="B46" s="299">
        <f>VLOOKUP(A42,'Avg CP'!$B$48:$P$73,15,FALSE)</f>
        <v>3635027.4166666665</v>
      </c>
      <c r="C46" s="299">
        <f>VLOOKUP(A42,'Avg CP'!$B$83:$P$108,15,FALSE)</f>
        <v>3730835.75</v>
      </c>
      <c r="D46" s="299">
        <f>VLOOKUP(A42,'Avg CP'!$B$125:$P$151,15,FALSE)</f>
        <v>3826224.25</v>
      </c>
      <c r="E46" s="255">
        <f>+'2016 PRIOR'!R51</f>
        <v>3854714.8457039162</v>
      </c>
      <c r="F46" s="255">
        <f>+'2017 TEST'!R66</f>
        <v>4065939.516058357</v>
      </c>
      <c r="G46" s="255">
        <f>+'2018 SUBSEQUENT'!R51</f>
        <v>4108842.3995126314</v>
      </c>
      <c r="I46" s="256">
        <f t="shared" ref="I46:N46" si="23">+B46/B$175</f>
        <v>0.212307998565642</v>
      </c>
      <c r="J46" s="256">
        <f t="shared" si="23"/>
        <v>0.21694878713252719</v>
      </c>
      <c r="K46" s="256">
        <f t="shared" si="23"/>
        <v>0.20462139699637832</v>
      </c>
      <c r="L46" s="256">
        <f t="shared" si="23"/>
        <v>0.20370436125948824</v>
      </c>
      <c r="M46" s="256">
        <f t="shared" si="23"/>
        <v>0.2056200355512609</v>
      </c>
      <c r="N46" s="256">
        <f t="shared" si="23"/>
        <v>0.20557425153201031</v>
      </c>
      <c r="P46" s="257">
        <f>(+M46-L46)/L46</f>
        <v>9.4041888937880479E-3</v>
      </c>
    </row>
    <row r="47" spans="1:16">
      <c r="A47" s="259"/>
    </row>
    <row r="48" spans="1:16">
      <c r="A48" s="252" t="s">
        <v>68</v>
      </c>
    </row>
    <row r="49" spans="1:16">
      <c r="A49" s="254" t="s">
        <v>563</v>
      </c>
      <c r="B49" s="298">
        <f>VLOOKUP(A48,'Avg KWH'!$B$48:$P$73,14,FALSE)</f>
        <v>10604645909</v>
      </c>
      <c r="C49" s="298">
        <f>VLOOKUP(A48,'Avg KWH'!$B$83:$P$108,14,FALSE)</f>
        <v>10408339889</v>
      </c>
      <c r="D49" s="298">
        <f>VLOOKUP(A48,'Avg KWH'!$B$118:$P$144,14,FALSE)</f>
        <v>10372088152</v>
      </c>
      <c r="E49" s="255">
        <f>+'2016 PRIOR'!O55</f>
        <v>10499290919</v>
      </c>
      <c r="F49" s="255">
        <f>+'2017 TEST'!O73</f>
        <v>10507497706</v>
      </c>
      <c r="G49" s="255">
        <f>+'2018 SUBSEQUENT'!O55</f>
        <v>10561627481</v>
      </c>
      <c r="I49" s="256">
        <f t="shared" ref="I49:N49" si="24">+B49/B$172</f>
        <v>0.10169494970988602</v>
      </c>
      <c r="J49" s="256">
        <f t="shared" si="24"/>
        <v>9.9010309248867362E-2</v>
      </c>
      <c r="K49" s="256">
        <f t="shared" si="24"/>
        <v>9.4033270110195952E-2</v>
      </c>
      <c r="L49" s="256">
        <f t="shared" si="24"/>
        <v>9.2181350872819479E-2</v>
      </c>
      <c r="M49" s="256">
        <f t="shared" si="24"/>
        <v>9.2794555461006664E-2</v>
      </c>
      <c r="N49" s="256">
        <f t="shared" si="24"/>
        <v>9.2750156418703655E-2</v>
      </c>
      <c r="P49" s="257">
        <f>(+M49-L49)/L49</f>
        <v>6.6521545017626188E-3</v>
      </c>
    </row>
    <row r="50" spans="1:16">
      <c r="A50" s="254" t="s">
        <v>133</v>
      </c>
      <c r="B50" s="299">
        <f>VLOOKUP(A48,'Avg NCP'!$B$48:$P$73,15,FALSE)</f>
        <v>2438934</v>
      </c>
      <c r="C50" s="299">
        <f>VLOOKUP(A48,'Avg NCP'!$B$83:$P$108,15,FALSE)</f>
        <v>2436863</v>
      </c>
      <c r="D50" s="299">
        <f>VLOOKUP(A48,'Avg NCP'!$B$118:$P$144,15,FALSE)</f>
        <v>2198142</v>
      </c>
      <c r="E50" s="255">
        <f>+'2016 PRIOR'!P56</f>
        <v>2271007.4470676472</v>
      </c>
      <c r="F50" s="255">
        <f>+'2017 TEST'!P74</f>
        <v>2269087.3066900261</v>
      </c>
      <c r="G50" s="255">
        <f>+'2018 SUBSEQUENT'!P56</f>
        <v>2278363.6315221656</v>
      </c>
      <c r="I50" s="256">
        <f t="shared" ref="I50:N50" si="25">+B50/B$173</f>
        <v>5.5983189071914317E-2</v>
      </c>
      <c r="J50" s="256">
        <f t="shared" si="25"/>
        <v>5.9498293997427294E-2</v>
      </c>
      <c r="K50" s="256">
        <f t="shared" si="25"/>
        <v>4.8271424765115284E-2</v>
      </c>
      <c r="L50" s="256">
        <f t="shared" si="25"/>
        <v>4.8867137992667807E-2</v>
      </c>
      <c r="M50" s="256">
        <f t="shared" si="25"/>
        <v>4.8480812947099584E-2</v>
      </c>
      <c r="N50" s="256">
        <f t="shared" si="25"/>
        <v>4.8501531814863351E-2</v>
      </c>
      <c r="P50" s="257">
        <f>(+M50-L50)/L50</f>
        <v>-7.9056204524641533E-3</v>
      </c>
    </row>
    <row r="51" spans="1:16">
      <c r="A51" s="254" t="s">
        <v>342</v>
      </c>
      <c r="B51" s="299">
        <f>VLOOKUP(A48,'Avg GNCP'!$B$47:$P$72,15,FALSE)</f>
        <v>2072336</v>
      </c>
      <c r="C51" s="299">
        <f>VLOOKUP(A48,'Avg GNCP'!$B$82:$P$107,15,FALSE)</f>
        <v>2065260</v>
      </c>
      <c r="D51" s="299">
        <f>VLOOKUP(A48,'Avg GNCP'!$B$124:$P$150,15,FALSE)</f>
        <v>1892928</v>
      </c>
      <c r="E51" s="255">
        <f>+'2016 PRIOR'!Q57</f>
        <v>1928839.8797213477</v>
      </c>
      <c r="F51" s="255">
        <f>+'2017 TEST'!Q75</f>
        <v>1927209.0425614775</v>
      </c>
      <c r="G51" s="255">
        <f>+'2018 SUBSEQUENT'!Q57</f>
        <v>1935087.724463901</v>
      </c>
      <c r="I51" s="256">
        <f t="shared" ref="I51:N51" si="26">+B51/B$174</f>
        <v>9.5235845592577445E-2</v>
      </c>
      <c r="J51" s="256">
        <f t="shared" si="26"/>
        <v>9.0637241344443203E-2</v>
      </c>
      <c r="K51" s="256">
        <f t="shared" si="26"/>
        <v>7.6304192246473612E-2</v>
      </c>
      <c r="L51" s="256">
        <f t="shared" si="26"/>
        <v>8.1266164607963542E-2</v>
      </c>
      <c r="M51" s="256">
        <f t="shared" si="26"/>
        <v>8.0688014655261348E-2</v>
      </c>
      <c r="N51" s="256">
        <f t="shared" si="26"/>
        <v>8.1276573225689652E-2</v>
      </c>
      <c r="P51" s="257">
        <f>(+M51-L51)/L51</f>
        <v>-7.114276347250429E-3</v>
      </c>
    </row>
    <row r="52" spans="1:16">
      <c r="A52" s="254" t="s">
        <v>148</v>
      </c>
      <c r="B52" s="299">
        <f>VLOOKUP(A48,'Avg CP'!$B$48:$P$73,15,FALSE)</f>
        <v>1578955.6666666667</v>
      </c>
      <c r="C52" s="299">
        <f>VLOOKUP(A48,'Avg CP'!$B$83:$P$108,15,FALSE)</f>
        <v>1581575.3333333333</v>
      </c>
      <c r="D52" s="299">
        <f>VLOOKUP(A48,'Avg CP'!$B$125:$P$151,15,FALSE)</f>
        <v>1505284.5</v>
      </c>
      <c r="E52" s="255">
        <f>+'2016 PRIOR'!R58</f>
        <v>1556454.1201070268</v>
      </c>
      <c r="F52" s="255">
        <f>+'2017 TEST'!R76</f>
        <v>1643143.689210058</v>
      </c>
      <c r="G52" s="255">
        <f>+'2018 SUBSEQUENT'!R58</f>
        <v>1661041.8578581288</v>
      </c>
      <c r="I52" s="256">
        <f t="shared" ref="I52:N52" si="27">+B52/B$175</f>
        <v>9.2220739760274353E-2</v>
      </c>
      <c r="J52" s="256">
        <f t="shared" si="27"/>
        <v>9.1968897404660341E-2</v>
      </c>
      <c r="K52" s="256">
        <f t="shared" si="27"/>
        <v>8.0500618139931257E-2</v>
      </c>
      <c r="L52" s="256">
        <f t="shared" si="27"/>
        <v>8.225160746182314E-2</v>
      </c>
      <c r="M52" s="256">
        <f t="shared" si="27"/>
        <v>8.3095988628659398E-2</v>
      </c>
      <c r="N52" s="256">
        <f t="shared" si="27"/>
        <v>8.3105508435423983E-2</v>
      </c>
      <c r="P52" s="257">
        <f>(+M52-L52)/L52</f>
        <v>1.0265831792140665E-2</v>
      </c>
    </row>
    <row r="53" spans="1:16">
      <c r="A53" s="259"/>
    </row>
    <row r="54" spans="1:16">
      <c r="A54" s="252" t="s">
        <v>69</v>
      </c>
    </row>
    <row r="55" spans="1:16">
      <c r="A55" s="254" t="s">
        <v>563</v>
      </c>
      <c r="B55" s="298">
        <f>VLOOKUP(A54,'Avg KWH'!$B$48:$P$73,14,FALSE)</f>
        <v>2456721485</v>
      </c>
      <c r="C55" s="298">
        <f>VLOOKUP(A54,'Avg KWH'!$B$83:$P$108,14,FALSE)</f>
        <v>2516349787</v>
      </c>
      <c r="D55" s="298">
        <f>VLOOKUP(A54,'Avg KWH'!$B$118:$P$144,14,FALSE)</f>
        <v>2481065710</v>
      </c>
      <c r="E55" s="255">
        <f>+'2016 PRIOR'!O62</f>
        <v>2500803425</v>
      </c>
      <c r="F55" s="255">
        <f>+'2017 TEST'!O83</f>
        <v>2515470925</v>
      </c>
      <c r="G55" s="255">
        <f>+'2018 SUBSEQUENT'!O62</f>
        <v>2511431587</v>
      </c>
      <c r="I55" s="256">
        <f t="shared" ref="I55:N55" si="28">+B55/B$172</f>
        <v>2.3559123992649238E-2</v>
      </c>
      <c r="J55" s="256">
        <f t="shared" si="28"/>
        <v>2.3937013322604755E-2</v>
      </c>
      <c r="K55" s="256">
        <f t="shared" si="28"/>
        <v>2.2493322333033628E-2</v>
      </c>
      <c r="L55" s="256">
        <f t="shared" si="28"/>
        <v>2.1956476848041293E-2</v>
      </c>
      <c r="M55" s="256">
        <f t="shared" si="28"/>
        <v>2.2214804398879233E-2</v>
      </c>
      <c r="N55" s="256">
        <f t="shared" si="28"/>
        <v>2.2054903275860308E-2</v>
      </c>
      <c r="P55" s="257">
        <f>(+M55-L55)/L55</f>
        <v>1.1765437261442309E-2</v>
      </c>
    </row>
    <row r="56" spans="1:16">
      <c r="A56" s="254" t="s">
        <v>133</v>
      </c>
      <c r="B56" s="299">
        <f>VLOOKUP(A54,'Avg NCP'!$B$48:$P$73,15,FALSE)</f>
        <v>461794</v>
      </c>
      <c r="C56" s="299">
        <f>VLOOKUP(A54,'Avg NCP'!$B$83:$P$108,15,FALSE)</f>
        <v>467940</v>
      </c>
      <c r="D56" s="299">
        <f>VLOOKUP(A54,'Avg NCP'!$B$118:$P$144,15,FALSE)</f>
        <v>480660</v>
      </c>
      <c r="E56" s="255">
        <f>+'2016 PRIOR'!P63</f>
        <v>458553.90741364477</v>
      </c>
      <c r="F56" s="255">
        <f>+'2017 TEST'!P84</f>
        <v>460738.40953069774</v>
      </c>
      <c r="G56" s="255">
        <f>+'2018 SUBSEQUENT'!P63</f>
        <v>457843.27157036646</v>
      </c>
      <c r="I56" s="256">
        <f t="shared" ref="I56:N56" si="29">+B56/B$173</f>
        <v>1.060000016985929E-2</v>
      </c>
      <c r="J56" s="256">
        <f t="shared" si="29"/>
        <v>1.1425193658057973E-2</v>
      </c>
      <c r="K56" s="256">
        <f t="shared" si="29"/>
        <v>1.0555343115958984E-2</v>
      </c>
      <c r="L56" s="256">
        <f t="shared" si="29"/>
        <v>9.867082161968849E-3</v>
      </c>
      <c r="M56" s="256">
        <f t="shared" si="29"/>
        <v>9.8440340237879245E-3</v>
      </c>
      <c r="N56" s="256">
        <f t="shared" si="29"/>
        <v>9.7465126703481664E-3</v>
      </c>
      <c r="P56" s="257">
        <f>(+M56-L56)/L56</f>
        <v>-2.335861585277967E-3</v>
      </c>
    </row>
    <row r="57" spans="1:16">
      <c r="A57" s="254" t="s">
        <v>342</v>
      </c>
      <c r="B57" s="299">
        <f>VLOOKUP(A54,'Avg GNCP'!$B$47:$P$72,15,FALSE)</f>
        <v>365498</v>
      </c>
      <c r="C57" s="299">
        <f>VLOOKUP(A54,'Avg GNCP'!$B$82:$P$107,15,FALSE)</f>
        <v>377895</v>
      </c>
      <c r="D57" s="299">
        <f>VLOOKUP(A54,'Avg GNCP'!$B$124:$P$150,15,FALSE)</f>
        <v>384908</v>
      </c>
      <c r="E57" s="255">
        <f>+'2016 PRIOR'!Q64</f>
        <v>367267.64958958019</v>
      </c>
      <c r="F57" s="255">
        <f>+'2017 TEST'!Q85</f>
        <v>369017.27366884856</v>
      </c>
      <c r="G57" s="255">
        <f>+'2018 SUBSEQUENT'!Q64</f>
        <v>366698.48301689303</v>
      </c>
      <c r="I57" s="256">
        <f t="shared" ref="I57:N57" si="30">+B57/B$174</f>
        <v>1.6796750668036393E-2</v>
      </c>
      <c r="J57" s="256">
        <f t="shared" si="30"/>
        <v>1.658452704156298E-2</v>
      </c>
      <c r="K57" s="256">
        <f t="shared" si="30"/>
        <v>1.5515695276949605E-2</v>
      </c>
      <c r="L57" s="256">
        <f t="shared" si="30"/>
        <v>1.5473774459204203E-2</v>
      </c>
      <c r="M57" s="256">
        <f t="shared" si="30"/>
        <v>1.5449943689690224E-2</v>
      </c>
      <c r="N57" s="256">
        <f t="shared" si="30"/>
        <v>1.5401883713012935E-2</v>
      </c>
      <c r="P57" s="257">
        <f>(+M57-L57)/L57</f>
        <v>-1.5400747617724351E-3</v>
      </c>
    </row>
    <row r="58" spans="1:16">
      <c r="A58" s="254" t="s">
        <v>148</v>
      </c>
      <c r="B58" s="299">
        <f>VLOOKUP(A54,'Avg CP'!$B$48:$P$73,15,FALSE)</f>
        <v>304778.08333333331</v>
      </c>
      <c r="C58" s="299">
        <f>VLOOKUP(A54,'Avg CP'!$B$83:$P$108,15,FALSE)</f>
        <v>312239.75</v>
      </c>
      <c r="D58" s="299">
        <f>VLOOKUP(A54,'Avg CP'!$B$125:$P$151,15,FALSE)</f>
        <v>308552.16666666669</v>
      </c>
      <c r="E58" s="255">
        <f>+'2016 PRIOR'!R65</f>
        <v>309910.94776200294</v>
      </c>
      <c r="F58" s="255">
        <f>+'2017 TEST'!R86</f>
        <v>328755.13083442108</v>
      </c>
      <c r="G58" s="255">
        <f>+'2018 SUBSEQUENT'!R65</f>
        <v>330132.31920390588</v>
      </c>
      <c r="I58" s="256">
        <f t="shared" ref="I58:N58" si="31">+B58/B$175</f>
        <v>1.7800917974508387E-2</v>
      </c>
      <c r="J58" s="256">
        <f t="shared" si="31"/>
        <v>1.8156799064945033E-2</v>
      </c>
      <c r="K58" s="256">
        <f t="shared" si="31"/>
        <v>1.6500960546050769E-2</v>
      </c>
      <c r="L58" s="256">
        <f t="shared" si="31"/>
        <v>1.6377401231517846E-2</v>
      </c>
      <c r="M58" s="256">
        <f t="shared" si="31"/>
        <v>1.6625589589528679E-2</v>
      </c>
      <c r="N58" s="256">
        <f t="shared" si="31"/>
        <v>1.6517232307308657E-2</v>
      </c>
      <c r="P58" s="257">
        <f>(+M58-L58)/L58</f>
        <v>1.5154318716525133E-2</v>
      </c>
    </row>
    <row r="59" spans="1:16">
      <c r="A59" s="259"/>
    </row>
    <row r="60" spans="1:16">
      <c r="A60" s="252" t="s">
        <v>52</v>
      </c>
    </row>
    <row r="61" spans="1:16">
      <c r="A61" s="254" t="s">
        <v>563</v>
      </c>
      <c r="B61" s="298">
        <f>VLOOKUP(A60,'Avg KWH'!$B$48:$P$73,14,FALSE)</f>
        <v>168033890</v>
      </c>
      <c r="C61" s="298">
        <f>VLOOKUP(A60,'Avg KWH'!$B$83:$P$108,14,FALSE)</f>
        <v>155836374</v>
      </c>
      <c r="D61" s="298">
        <f>VLOOKUP(A60,'Avg KWH'!$B$118:$P$144,14,FALSE)</f>
        <v>162359082</v>
      </c>
      <c r="E61" s="255">
        <f>+'2016 PRIOR'!O69</f>
        <v>169850435</v>
      </c>
      <c r="F61" s="255">
        <f>+'2017 TEST'!O93</f>
        <v>172992260</v>
      </c>
      <c r="G61" s="255">
        <f>+'2018 SUBSEQUENT'!O69</f>
        <v>175782528</v>
      </c>
      <c r="I61" s="256">
        <f t="shared" ref="I61:N61" si="32">+B61/B$172</f>
        <v>1.6113878897742382E-3</v>
      </c>
      <c r="J61" s="256">
        <f t="shared" si="32"/>
        <v>1.4824081214208466E-3</v>
      </c>
      <c r="K61" s="256">
        <f t="shared" si="32"/>
        <v>1.4719461682945263E-3</v>
      </c>
      <c r="L61" s="256">
        <f t="shared" si="32"/>
        <v>1.4912476152367884E-3</v>
      </c>
      <c r="M61" s="256">
        <f t="shared" si="32"/>
        <v>1.5277414579618167E-3</v>
      </c>
      <c r="N61" s="256">
        <f t="shared" si="32"/>
        <v>1.543687939856355E-3</v>
      </c>
      <c r="P61" s="257">
        <f>(+M61-L61)/L61</f>
        <v>2.4472020844930973E-2</v>
      </c>
    </row>
    <row r="62" spans="1:16">
      <c r="A62" s="254" t="s">
        <v>133</v>
      </c>
      <c r="B62" s="299">
        <f>VLOOKUP(A60,'Avg NCP'!$B$48:$P$73,15,FALSE)</f>
        <v>37716</v>
      </c>
      <c r="C62" s="299">
        <f>VLOOKUP(A60,'Avg NCP'!$B$83:$P$108,15,FALSE)</f>
        <v>38875</v>
      </c>
      <c r="D62" s="299">
        <f>VLOOKUP(A60,'Avg NCP'!$B$118:$P$144,15,FALSE)</f>
        <v>37663</v>
      </c>
      <c r="E62" s="255">
        <f>+'2016 PRIOR'!P70</f>
        <v>40798.709962277142</v>
      </c>
      <c r="F62" s="255">
        <f>+'2017 TEST'!P94</f>
        <v>42817.111829887137</v>
      </c>
      <c r="G62" s="255">
        <f>+'2018 SUBSEQUENT'!P70</f>
        <v>43612.119502022644</v>
      </c>
      <c r="I62" s="256">
        <f t="shared" ref="I62:N62" si="33">+B62/B$173</f>
        <v>8.657314872138075E-4</v>
      </c>
      <c r="J62" s="256">
        <f t="shared" si="33"/>
        <v>9.4916955903962842E-4</v>
      </c>
      <c r="K62" s="256">
        <f t="shared" si="33"/>
        <v>8.2708335991420808E-4</v>
      </c>
      <c r="L62" s="256">
        <f t="shared" si="33"/>
        <v>8.7789945040635546E-4</v>
      </c>
      <c r="M62" s="256">
        <f t="shared" si="33"/>
        <v>9.1482085481666038E-4</v>
      </c>
      <c r="N62" s="256">
        <f t="shared" si="33"/>
        <v>9.2840957091988889E-4</v>
      </c>
      <c r="P62" s="257">
        <f>(+M62-L62)/L62</f>
        <v>4.2056529814678688E-2</v>
      </c>
    </row>
    <row r="63" spans="1:16">
      <c r="A63" s="254" t="s">
        <v>342</v>
      </c>
      <c r="B63" s="299">
        <f>VLOOKUP(A60,'Avg GNCP'!$B$47:$P$72,15,FALSE)</f>
        <v>31692</v>
      </c>
      <c r="C63" s="299">
        <f>VLOOKUP(A60,'Avg GNCP'!$B$82:$P$107,15,FALSE)</f>
        <v>31544</v>
      </c>
      <c r="D63" s="299">
        <f>VLOOKUP(A60,'Avg GNCP'!$B$124:$P$150,15,FALSE)</f>
        <v>33464</v>
      </c>
      <c r="E63" s="255">
        <f>+'2016 PRIOR'!Q71</f>
        <v>34175.611078731978</v>
      </c>
      <c r="F63" s="255">
        <f>+'2017 TEST'!Q95</f>
        <v>36183.576392223775</v>
      </c>
      <c r="G63" s="255">
        <f>+'2018 SUBSEQUENT'!Q71</f>
        <v>36855.415748213207</v>
      </c>
      <c r="I63" s="256">
        <f t="shared" ref="I63:N63" si="34">+B63/B$174</f>
        <v>1.4564310124033767E-3</v>
      </c>
      <c r="J63" s="256">
        <f t="shared" si="34"/>
        <v>1.3843589383269498E-3</v>
      </c>
      <c r="K63" s="256">
        <f t="shared" si="34"/>
        <v>1.3489385171205628E-3</v>
      </c>
      <c r="L63" s="256">
        <f t="shared" si="34"/>
        <v>1.4398918566030502E-3</v>
      </c>
      <c r="M63" s="256">
        <f t="shared" si="34"/>
        <v>1.5149269631565599E-3</v>
      </c>
      <c r="N63" s="256">
        <f t="shared" si="34"/>
        <v>1.5479824810798993E-3</v>
      </c>
      <c r="P63" s="257">
        <f>(+M63-L63)/L63</f>
        <v>5.2111626445704252E-2</v>
      </c>
    </row>
    <row r="64" spans="1:16">
      <c r="A64" s="254" t="s">
        <v>148</v>
      </c>
      <c r="B64" s="299">
        <f>VLOOKUP(A60,'Avg CP'!$B$48:$P$73,15,FALSE)</f>
        <v>21080.583333333332</v>
      </c>
      <c r="C64" s="299">
        <f>VLOOKUP(A60,'Avg CP'!$B$83:$P$108,15,FALSE)</f>
        <v>18883.083333333332</v>
      </c>
      <c r="D64" s="299">
        <f>VLOOKUP(A60,'Avg CP'!$B$125:$P$151,15,FALSE)</f>
        <v>21023.5</v>
      </c>
      <c r="E64" s="255">
        <f>+'2016 PRIOR'!R72</f>
        <v>21327.428784222317</v>
      </c>
      <c r="F64" s="255">
        <f>+'2017 TEST'!R96</f>
        <v>23019.327789926869</v>
      </c>
      <c r="G64" s="255">
        <f>+'2018 SUBSEQUENT'!R72</f>
        <v>23525.308710289799</v>
      </c>
      <c r="I64" s="256">
        <f t="shared" ref="I64:N64" si="35">+B64/B$175</f>
        <v>1.2312359559038346E-3</v>
      </c>
      <c r="J64" s="256">
        <f t="shared" si="35"/>
        <v>1.098054779412121E-3</v>
      </c>
      <c r="K64" s="256">
        <f t="shared" si="35"/>
        <v>1.1243088900901091E-3</v>
      </c>
      <c r="L64" s="256">
        <f t="shared" si="35"/>
        <v>1.1270587920761948E-3</v>
      </c>
      <c r="M64" s="256">
        <f t="shared" si="35"/>
        <v>1.1641183986719581E-3</v>
      </c>
      <c r="N64" s="256">
        <f t="shared" si="35"/>
        <v>1.1770219589709626E-3</v>
      </c>
      <c r="P64" s="257">
        <f>(+M64-L64)/L64</f>
        <v>3.2881697792796136E-2</v>
      </c>
    </row>
    <row r="65" spans="1:16">
      <c r="A65" s="259"/>
    </row>
    <row r="66" spans="1:16">
      <c r="A66" s="252" t="s">
        <v>15</v>
      </c>
    </row>
    <row r="67" spans="1:16">
      <c r="A67" s="254" t="s">
        <v>563</v>
      </c>
      <c r="B67" s="298">
        <f>VLOOKUP(A66,'Avg KWH'!$B$48:$P$73,14,FALSE)</f>
        <v>80110813</v>
      </c>
      <c r="C67" s="298">
        <f>VLOOKUP(A66,'Avg KWH'!$B$83:$P$108,14,FALSE)</f>
        <v>88345481</v>
      </c>
      <c r="D67" s="298">
        <f>VLOOKUP(A66,'Avg KWH'!$B$118:$P$144,14,FALSE)</f>
        <v>91380625</v>
      </c>
      <c r="E67" s="255">
        <f>+'2016 PRIOR'!O76</f>
        <v>91273991</v>
      </c>
      <c r="F67" s="255">
        <f>+'2017 TEST'!O103</f>
        <v>91208296</v>
      </c>
      <c r="G67" s="255">
        <f>+'2018 SUBSEQUENT'!O76</f>
        <v>91241144</v>
      </c>
      <c r="I67" s="256">
        <f t="shared" ref="I67:N67" si="36">+B67/B$172</f>
        <v>7.6823546671548584E-4</v>
      </c>
      <c r="J67" s="256">
        <f t="shared" si="36"/>
        <v>8.4039467271762299E-4</v>
      </c>
      <c r="K67" s="256">
        <f t="shared" si="36"/>
        <v>8.2845603195212073E-4</v>
      </c>
      <c r="L67" s="256">
        <f t="shared" si="36"/>
        <v>8.0136457355492832E-4</v>
      </c>
      <c r="M67" s="256">
        <f t="shared" si="36"/>
        <v>8.0548514198989563E-4</v>
      </c>
      <c r="N67" s="256">
        <f t="shared" si="36"/>
        <v>8.0126196393931156E-4</v>
      </c>
      <c r="P67" s="257">
        <f>(+M67-L67)/L67</f>
        <v>5.1419398497840867E-3</v>
      </c>
    </row>
    <row r="68" spans="1:16">
      <c r="A68" s="254" t="s">
        <v>133</v>
      </c>
      <c r="B68" s="299">
        <f>VLOOKUP(A66,'Avg NCP'!$B$48:$P$73,15,FALSE)</f>
        <v>17746</v>
      </c>
      <c r="C68" s="299">
        <f>VLOOKUP(A66,'Avg NCP'!$B$83:$P$108,15,FALSE)</f>
        <v>21020</v>
      </c>
      <c r="D68" s="299">
        <f>VLOOKUP(A66,'Avg NCP'!$B$118:$P$144,15,FALSE)</f>
        <v>20749</v>
      </c>
      <c r="E68" s="255">
        <f>+'2016 PRIOR'!P77</f>
        <v>21066.861040148448</v>
      </c>
      <c r="F68" s="255">
        <f>+'2017 TEST'!P104</f>
        <v>21161.182968861365</v>
      </c>
      <c r="G68" s="255">
        <f>+'2018 SUBSEQUENT'!P77</f>
        <v>21114.022004504906</v>
      </c>
      <c r="I68" s="256">
        <f t="shared" ref="I68:N68" si="37">+B68/B$173</f>
        <v>4.0734094209609256E-4</v>
      </c>
      <c r="J68" s="256">
        <f t="shared" si="37"/>
        <v>5.1322300015467493E-4</v>
      </c>
      <c r="K68" s="256">
        <f t="shared" si="37"/>
        <v>4.5565017749143463E-4</v>
      </c>
      <c r="L68" s="256">
        <f t="shared" si="37"/>
        <v>4.5331300293645669E-4</v>
      </c>
      <c r="M68" s="256">
        <f t="shared" si="37"/>
        <v>4.5212511225460058E-4</v>
      </c>
      <c r="N68" s="256">
        <f t="shared" si="37"/>
        <v>4.4947276888678543E-4</v>
      </c>
      <c r="P68" s="257">
        <f>(+M68-L68)/L68</f>
        <v>-2.620464610900701E-3</v>
      </c>
    </row>
    <row r="69" spans="1:16">
      <c r="A69" s="254" t="s">
        <v>342</v>
      </c>
      <c r="B69" s="299">
        <f>VLOOKUP(A66,'Avg GNCP'!$B$47:$P$72,15,FALSE)</f>
        <v>14513</v>
      </c>
      <c r="C69" s="299">
        <f>VLOOKUP(A66,'Avg GNCP'!$B$82:$P$107,15,FALSE)</f>
        <v>16812</v>
      </c>
      <c r="D69" s="299">
        <f>VLOOKUP(A66,'Avg GNCP'!$B$124:$P$150,15,FALSE)</f>
        <v>16573</v>
      </c>
      <c r="E69" s="255">
        <f>+'2016 PRIOR'!Q78</f>
        <v>17062.805326691632</v>
      </c>
      <c r="F69" s="255">
        <f>+'2017 TEST'!Q105</f>
        <v>17139.200035167636</v>
      </c>
      <c r="G69" s="255">
        <f>+'2018 SUBSEQUENT'!Q78</f>
        <v>17101.002680929632</v>
      </c>
      <c r="I69" s="256">
        <f t="shared" ref="I69:N69" si="38">+B69/B$174</f>
        <v>6.6695643326423722E-4</v>
      </c>
      <c r="J69" s="256">
        <f t="shared" si="38"/>
        <v>7.3782153408422134E-4</v>
      </c>
      <c r="K69" s="256">
        <f t="shared" si="38"/>
        <v>6.6805994633752953E-4</v>
      </c>
      <c r="L69" s="256">
        <f t="shared" si="38"/>
        <v>7.1889261567573994E-4</v>
      </c>
      <c r="M69" s="256">
        <f t="shared" si="38"/>
        <v>7.1758070508998607E-4</v>
      </c>
      <c r="N69" s="256">
        <f t="shared" si="38"/>
        <v>7.1826764185295769E-4</v>
      </c>
      <c r="P69" s="257">
        <f>(+M69-L69)/L69</f>
        <v>-1.8249048010052342E-3</v>
      </c>
    </row>
    <row r="70" spans="1:16">
      <c r="A70" s="254" t="s">
        <v>148</v>
      </c>
      <c r="B70" s="299">
        <f>VLOOKUP(A66,'Avg CP'!$B$48:$P$73,15,FALSE)</f>
        <v>12155.666666666666</v>
      </c>
      <c r="C70" s="299">
        <f>VLOOKUP(A66,'Avg CP'!$B$83:$P$108,15,FALSE)</f>
        <v>13691.083333333334</v>
      </c>
      <c r="D70" s="299">
        <f>VLOOKUP(A66,'Avg CP'!$B$125:$P$151,15,FALSE)</f>
        <v>13481.583333333334</v>
      </c>
      <c r="E70" s="255">
        <f>+'2016 PRIOR'!R79</f>
        <v>13808.511612890792</v>
      </c>
      <c r="F70" s="255">
        <f>+'2017 TEST'!R106</f>
        <v>14578.924672825035</v>
      </c>
      <c r="G70" s="255">
        <f>+'2018 SUBSEQUENT'!R79</f>
        <v>14668.506209881079</v>
      </c>
      <c r="I70" s="256">
        <f t="shared" ref="I70:N70" si="39">+B70/B$175</f>
        <v>7.0996583117869348E-4</v>
      </c>
      <c r="J70" s="256">
        <f t="shared" si="39"/>
        <v>7.9613902158437932E-4</v>
      </c>
      <c r="K70" s="256">
        <f t="shared" si="39"/>
        <v>7.2097719191178034E-4</v>
      </c>
      <c r="L70" s="256">
        <f t="shared" si="39"/>
        <v>7.2971780031487249E-4</v>
      </c>
      <c r="M70" s="256">
        <f t="shared" si="39"/>
        <v>7.3727584920680678E-4</v>
      </c>
      <c r="N70" s="256">
        <f t="shared" si="39"/>
        <v>7.3389701818366807E-4</v>
      </c>
      <c r="P70" s="257">
        <f>(+M70-L70)/L70</f>
        <v>1.035749558072039E-2</v>
      </c>
    </row>
    <row r="71" spans="1:16">
      <c r="A71" s="259"/>
    </row>
    <row r="72" spans="1:16">
      <c r="A72" s="252" t="s">
        <v>56</v>
      </c>
    </row>
    <row r="73" spans="1:16">
      <c r="A73" s="254" t="s">
        <v>563</v>
      </c>
      <c r="B73" s="298">
        <f>VLOOKUP(A72,'Avg KWH'!$B$48:$P$73,14,FALSE)</f>
        <v>100429515</v>
      </c>
      <c r="C73" s="298">
        <f>VLOOKUP(A72,'Avg KWH'!$B$83:$P$108,14,FALSE)</f>
        <v>100757743</v>
      </c>
      <c r="D73" s="298">
        <f>VLOOKUP(A72,'Avg KWH'!$B$118:$P$144,14,FALSE)</f>
        <v>100632469</v>
      </c>
      <c r="E73" s="255">
        <f>+'2016 PRIOR'!O83</f>
        <v>98485200</v>
      </c>
      <c r="F73" s="255">
        <f>+'2017 TEST'!O113</f>
        <v>97899984</v>
      </c>
      <c r="G73" s="255">
        <f>+'2018 SUBSEQUENT'!O83</f>
        <v>97314768</v>
      </c>
      <c r="I73" s="256">
        <f t="shared" ref="I73:N73" si="40">+B73/B$172</f>
        <v>9.630849124953318E-4</v>
      </c>
      <c r="J73" s="256">
        <f t="shared" si="40"/>
        <v>9.5846747896761542E-4</v>
      </c>
      <c r="K73" s="256">
        <f t="shared" si="40"/>
        <v>9.1233317733693331E-4</v>
      </c>
      <c r="L73" s="256">
        <f t="shared" si="40"/>
        <v>8.6467732411823464E-4</v>
      </c>
      <c r="M73" s="256">
        <f t="shared" si="40"/>
        <v>8.6458124941889614E-4</v>
      </c>
      <c r="N73" s="256">
        <f t="shared" si="40"/>
        <v>8.5459934750465726E-4</v>
      </c>
      <c r="P73" s="257">
        <f>(+M73-L73)/L73</f>
        <v>-1.1111046474646329E-4</v>
      </c>
    </row>
    <row r="74" spans="1:16">
      <c r="A74" s="254" t="s">
        <v>133</v>
      </c>
      <c r="B74" s="299">
        <f>VLOOKUP(A72,'Avg NCP'!$B$48:$P$73,15,FALSE)</f>
        <v>27122</v>
      </c>
      <c r="C74" s="299">
        <f>VLOOKUP(A72,'Avg NCP'!$B$83:$P$108,15,FALSE)</f>
        <v>27183</v>
      </c>
      <c r="D74" s="299">
        <f>VLOOKUP(A72,'Avg NCP'!$B$118:$P$144,15,FALSE)</f>
        <v>27201</v>
      </c>
      <c r="E74" s="255">
        <f>+'2016 PRIOR'!P84</f>
        <v>26551.240314943381</v>
      </c>
      <c r="F74" s="255">
        <f>+'2017 TEST'!P114</f>
        <v>26393.507330788761</v>
      </c>
      <c r="G74" s="255">
        <f>+'2018 SUBSEQUENT'!P84</f>
        <v>26235.774346634145</v>
      </c>
      <c r="I74" s="256">
        <f t="shared" ref="I74:N74" si="41">+B74/B$173</f>
        <v>6.2255725411530609E-4</v>
      </c>
      <c r="J74" s="256">
        <f t="shared" si="41"/>
        <v>6.6369842118004418E-4</v>
      </c>
      <c r="K74" s="256">
        <f t="shared" si="41"/>
        <v>5.9733676215453823E-4</v>
      </c>
      <c r="L74" s="256">
        <f t="shared" si="41"/>
        <v>5.7132490957797122E-4</v>
      </c>
      <c r="M74" s="256">
        <f t="shared" si="41"/>
        <v>5.639177867459075E-4</v>
      </c>
      <c r="N74" s="256">
        <f t="shared" si="41"/>
        <v>5.5850401865426371E-4</v>
      </c>
      <c r="P74" s="257">
        <f>(+M74-L74)/L74</f>
        <v>-1.2964816880704954E-2</v>
      </c>
    </row>
    <row r="75" spans="1:16">
      <c r="A75" s="254" t="s">
        <v>342</v>
      </c>
      <c r="B75" s="299">
        <f>VLOOKUP(A72,'Avg GNCP'!$B$47:$P$72,15,FALSE)</f>
        <v>27122</v>
      </c>
      <c r="C75" s="299">
        <f>VLOOKUP(A72,'Avg GNCP'!$B$82:$P$107,15,FALSE)</f>
        <v>27183</v>
      </c>
      <c r="D75" s="299">
        <f>VLOOKUP(A72,'Avg GNCP'!$B$124:$P$150,15,FALSE)</f>
        <v>27201</v>
      </c>
      <c r="E75" s="255">
        <f>+'2016 PRIOR'!Q85</f>
        <v>26551.240314943381</v>
      </c>
      <c r="F75" s="255">
        <f>+'2017 TEST'!Q115</f>
        <v>26393.507330788761</v>
      </c>
      <c r="G75" s="255">
        <f>+'2018 SUBSEQUENT'!Q85</f>
        <v>26235.774346634145</v>
      </c>
      <c r="I75" s="256">
        <f t="shared" ref="I75:N75" si="42">+B75/B$174</f>
        <v>1.2464130354160163E-3</v>
      </c>
      <c r="J75" s="256">
        <f t="shared" si="42"/>
        <v>1.1929694718660116E-3</v>
      </c>
      <c r="K75" s="256">
        <f t="shared" si="42"/>
        <v>1.0964761117677633E-3</v>
      </c>
      <c r="L75" s="256">
        <f t="shared" si="42"/>
        <v>1.1186607497411885E-3</v>
      </c>
      <c r="M75" s="256">
        <f t="shared" si="42"/>
        <v>1.1050382492393772E-3</v>
      </c>
      <c r="N75" s="256">
        <f t="shared" si="42"/>
        <v>1.1019416886682127E-3</v>
      </c>
      <c r="P75" s="257">
        <f>(+M75-L75)/L75</f>
        <v>-1.217750824364127E-2</v>
      </c>
    </row>
    <row r="76" spans="1:16">
      <c r="A76" s="254" t="s">
        <v>148</v>
      </c>
      <c r="B76" s="299">
        <f>VLOOKUP(A72,'Avg CP'!$B$48:$P$73,15,FALSE)</f>
        <v>3644.6666666666665</v>
      </c>
      <c r="C76" s="299">
        <f>VLOOKUP(A72,'Avg CP'!$B$83:$P$108,15,FALSE)</f>
        <v>1700.0833333333333</v>
      </c>
      <c r="D76" s="299">
        <f>VLOOKUP(A72,'Avg CP'!$B$125:$P$151,15,FALSE)</f>
        <v>197.91666666666666</v>
      </c>
      <c r="E76" s="255">
        <f>+'2016 PRIOR'!R86</f>
        <v>1813.6421706609628</v>
      </c>
      <c r="F76" s="255">
        <f>+'2017 TEST'!R116</f>
        <v>1868.0416954624191</v>
      </c>
      <c r="G76" s="255">
        <f>+'2018 SUBSEQUENT'!R86</f>
        <v>1868.3024084661765</v>
      </c>
      <c r="I76" s="256">
        <f t="shared" ref="I76:N76" si="43">+B76/B$175</f>
        <v>2.1287099015844009E-4</v>
      </c>
      <c r="J76" s="256">
        <f t="shared" si="43"/>
        <v>9.8860159467189235E-5</v>
      </c>
      <c r="K76" s="256">
        <f t="shared" si="43"/>
        <v>1.0584320775814401E-5</v>
      </c>
      <c r="L76" s="256">
        <f t="shared" si="43"/>
        <v>9.5842840447591629E-5</v>
      </c>
      <c r="M76" s="256">
        <f t="shared" si="43"/>
        <v>9.4469383598845281E-5</v>
      </c>
      <c r="N76" s="256">
        <f t="shared" si="43"/>
        <v>9.3475201020473144E-5</v>
      </c>
      <c r="P76" s="257">
        <f>(+M76-L76)/L76</f>
        <v>-1.4330302006203334E-2</v>
      </c>
    </row>
    <row r="77" spans="1:16">
      <c r="A77" s="259"/>
    </row>
    <row r="78" spans="1:16">
      <c r="A78" s="252" t="s">
        <v>57</v>
      </c>
    </row>
    <row r="79" spans="1:16">
      <c r="A79" s="254" t="s">
        <v>563</v>
      </c>
      <c r="B79" s="298">
        <f>VLOOKUP(A78,'Avg KWH'!$B$48:$P$73,14,FALSE)</f>
        <v>11802999</v>
      </c>
      <c r="C79" s="298">
        <f>VLOOKUP(A78,'Avg KWH'!$B$83:$P$108,14,FALSE)</f>
        <v>11503403</v>
      </c>
      <c r="D79" s="298">
        <f>VLOOKUP(A78,'Avg KWH'!$B$118:$P$144,14,FALSE)</f>
        <v>11285054</v>
      </c>
      <c r="E79" s="255">
        <f>+'2016 PRIOR'!O90</f>
        <v>10954364</v>
      </c>
      <c r="F79" s="255">
        <f>+'2017 TEST'!O123</f>
        <v>10793313</v>
      </c>
      <c r="G79" s="255">
        <f>+'2018 SUBSEQUENT'!O90</f>
        <v>10819466</v>
      </c>
      <c r="I79" s="256">
        <f t="shared" ref="I79:N79" si="44">+B79/B$172</f>
        <v>1.1318674852803469E-4</v>
      </c>
      <c r="J79" s="256">
        <f t="shared" si="44"/>
        <v>1.0942719978313235E-4</v>
      </c>
      <c r="K79" s="256">
        <f t="shared" si="44"/>
        <v>1.0231021135175436E-4</v>
      </c>
      <c r="L79" s="256">
        <f t="shared" si="44"/>
        <v>9.6176787486212356E-5</v>
      </c>
      <c r="M79" s="256">
        <f t="shared" si="44"/>
        <v>9.531866766095911E-5</v>
      </c>
      <c r="N79" s="256">
        <f t="shared" si="44"/>
        <v>9.5014444097003077E-5</v>
      </c>
      <c r="P79" s="257">
        <f>(+M79-L79)/L79</f>
        <v>-8.9223174082027241E-3</v>
      </c>
    </row>
    <row r="80" spans="1:16">
      <c r="A80" s="254" t="s">
        <v>133</v>
      </c>
      <c r="B80" s="299">
        <f>VLOOKUP(A78,'Avg NCP'!$B$48:$P$73,15,FALSE)</f>
        <v>16881</v>
      </c>
      <c r="C80" s="299">
        <f>VLOOKUP(A78,'Avg NCP'!$B$83:$P$108,15,FALSE)</f>
        <v>16406</v>
      </c>
      <c r="D80" s="299">
        <f>VLOOKUP(A78,'Avg NCP'!$B$118:$P$144,15,FALSE)</f>
        <v>15913</v>
      </c>
      <c r="E80" s="255">
        <f>+'2016 PRIOR'!P91</f>
        <v>15043.046684091218</v>
      </c>
      <c r="F80" s="255">
        <f>+'2017 TEST'!P124</f>
        <v>14816.577729433437</v>
      </c>
      <c r="G80" s="255">
        <f>+'2018 SUBSEQUENT'!P91</f>
        <v>14855.154125307121</v>
      </c>
      <c r="I80" s="256">
        <f t="shared" ref="I80:N80" si="45">+B80/B$173</f>
        <v>3.8748576825899578E-4</v>
      </c>
      <c r="J80" s="256">
        <f t="shared" si="45"/>
        <v>4.0056786586763069E-4</v>
      </c>
      <c r="K80" s="256">
        <f t="shared" si="45"/>
        <v>3.4945111930315674E-4</v>
      </c>
      <c r="L80" s="256">
        <f t="shared" si="45"/>
        <v>3.2369362728898725E-4</v>
      </c>
      <c r="M80" s="256">
        <f t="shared" si="45"/>
        <v>3.1656769278950959E-4</v>
      </c>
      <c r="N80" s="256">
        <f t="shared" si="45"/>
        <v>3.1623473990493792E-4</v>
      </c>
      <c r="P80" s="257">
        <f>(+M80-L80)/L80</f>
        <v>-2.2014441739737337E-2</v>
      </c>
    </row>
    <row r="81" spans="1:16">
      <c r="A81" s="254" t="s">
        <v>342</v>
      </c>
      <c r="B81" s="299">
        <f>VLOOKUP(A78,'Avg GNCP'!$B$47:$P$72,15,FALSE)</f>
        <v>12039</v>
      </c>
      <c r="C81" s="299">
        <f>VLOOKUP(A78,'Avg GNCP'!$B$82:$P$107,15,FALSE)</f>
        <v>12719</v>
      </c>
      <c r="D81" s="299">
        <f>VLOOKUP(A78,'Avg GNCP'!$B$124:$P$150,15,FALSE)</f>
        <v>12949</v>
      </c>
      <c r="E81" s="255">
        <f>+'2016 PRIOR'!Q92</f>
        <v>11947.682225061662</v>
      </c>
      <c r="F81" s="255">
        <f>+'2017 TEST'!Q125</f>
        <v>11767.813135979159</v>
      </c>
      <c r="G81" s="255">
        <f>+'2018 SUBSEQUENT'!Q92</f>
        <v>11798.451777802586</v>
      </c>
      <c r="I81" s="256">
        <f t="shared" ref="I81:N81" si="46">+B81/B$174</f>
        <v>5.5326179977042327E-4</v>
      </c>
      <c r="J81" s="256">
        <f t="shared" si="46"/>
        <v>5.5819367666055269E-4</v>
      </c>
      <c r="K81" s="256">
        <f t="shared" si="46"/>
        <v>5.2197599982650516E-4</v>
      </c>
      <c r="L81" s="256">
        <f t="shared" si="46"/>
        <v>5.0338149920758045E-4</v>
      </c>
      <c r="M81" s="256">
        <f t="shared" si="46"/>
        <v>4.9269251949660977E-4</v>
      </c>
      <c r="N81" s="256">
        <f t="shared" si="46"/>
        <v>4.955525880016656E-4</v>
      </c>
      <c r="P81" s="257">
        <f>(+M81-L81)/L81</f>
        <v>-2.1234351536155369E-2</v>
      </c>
    </row>
    <row r="82" spans="1:16">
      <c r="A82" s="254" t="s">
        <v>148</v>
      </c>
      <c r="B82" s="299">
        <f>VLOOKUP(A78,'Avg CP'!$B$48:$P$73,15,FALSE)</f>
        <v>2071.6666666666665</v>
      </c>
      <c r="C82" s="299">
        <f>VLOOKUP(A78,'Avg CP'!$B$83:$P$108,15,FALSE)</f>
        <v>1234.5</v>
      </c>
      <c r="D82" s="299">
        <f>VLOOKUP(A78,'Avg CP'!$B$125:$P$151,15,FALSE)</f>
        <v>823.91666666666663</v>
      </c>
      <c r="E82" s="255">
        <f>+'2016 PRIOR'!R93</f>
        <v>1299.0506655608767</v>
      </c>
      <c r="F82" s="255">
        <f>+'2017 TEST'!R126</f>
        <v>1340.5600610982217</v>
      </c>
      <c r="G82" s="255">
        <f>+'2018 SUBSEQUENT'!R93</f>
        <v>1350.7026201436222</v>
      </c>
      <c r="I82" s="256">
        <f t="shared" ref="I82:N82" si="47">+B82/B$175</f>
        <v>1.2099809802768476E-4</v>
      </c>
      <c r="J82" s="256">
        <f t="shared" si="47"/>
        <v>7.1786402742362701E-5</v>
      </c>
      <c r="K82" s="256">
        <f t="shared" si="47"/>
        <v>4.4061970320200833E-5</v>
      </c>
      <c r="L82" s="256">
        <f t="shared" si="47"/>
        <v>6.8648991342826118E-5</v>
      </c>
      <c r="M82" s="256">
        <f t="shared" si="47"/>
        <v>6.7793927168113979E-5</v>
      </c>
      <c r="N82" s="256">
        <f t="shared" si="47"/>
        <v>6.7578566705621526E-5</v>
      </c>
      <c r="P82" s="257">
        <f>(+M82-L82)/L82</f>
        <v>-1.245559705956982E-2</v>
      </c>
    </row>
    <row r="83" spans="1:16">
      <c r="A83" s="259"/>
    </row>
    <row r="84" spans="1:16">
      <c r="A84" s="252" t="s">
        <v>48</v>
      </c>
    </row>
    <row r="85" spans="1:16">
      <c r="A85" s="254" t="s">
        <v>563</v>
      </c>
      <c r="B85" s="298">
        <f>VLOOKUP(A84,'Avg KWH'!$B$48:$P$73,14,FALSE)</f>
        <v>53401494406</v>
      </c>
      <c r="C85" s="298">
        <f>VLOOKUP(A84,'Avg KWH'!$B$83:$P$108,14,FALSE)</f>
        <v>53902565826</v>
      </c>
      <c r="D85" s="298">
        <f>VLOOKUP(A84,'Avg KWH'!$B$118:$P$144,14,FALSE)</f>
        <v>55174090263</v>
      </c>
      <c r="E85" s="255">
        <f>+'2016 PRIOR'!O97</f>
        <v>57198700689</v>
      </c>
      <c r="F85" s="255">
        <f>+'2017 TEST'!O133</f>
        <v>56993678507</v>
      </c>
      <c r="G85" s="255">
        <f>+'2018 SUBSEQUENT'!O97</f>
        <v>57361215879</v>
      </c>
      <c r="I85" s="256">
        <f t="shared" ref="I85:N85" si="48">+B85/B$172</f>
        <v>0.51210217999282837</v>
      </c>
      <c r="J85" s="256">
        <f t="shared" si="48"/>
        <v>0.51275321219861147</v>
      </c>
      <c r="K85" s="256">
        <f t="shared" si="48"/>
        <v>0.50020787104326681</v>
      </c>
      <c r="L85" s="256">
        <f t="shared" si="48"/>
        <v>0.5021913897195146</v>
      </c>
      <c r="M85" s="256">
        <f t="shared" si="48"/>
        <v>0.50332659679046476</v>
      </c>
      <c r="N85" s="256">
        <f t="shared" si="48"/>
        <v>0.50373503086671467</v>
      </c>
      <c r="P85" s="257">
        <f>(+M85-L85)/L85</f>
        <v>2.2605068390045492E-3</v>
      </c>
    </row>
    <row r="86" spans="1:16">
      <c r="A86" s="254" t="s">
        <v>133</v>
      </c>
      <c r="B86" s="299">
        <f>VLOOKUP(A84,'Avg NCP'!$B$48:$P$73,15,FALSE)</f>
        <v>31118474</v>
      </c>
      <c r="C86" s="299">
        <f>VLOOKUP(A84,'Avg NCP'!$B$83:$P$108,15,FALSE)</f>
        <v>28027482</v>
      </c>
      <c r="D86" s="299">
        <f>VLOOKUP(A84,'Avg NCP'!$B$118:$P$144,15,FALSE)</f>
        <v>31622291</v>
      </c>
      <c r="E86" s="255">
        <f>+'2016 PRIOR'!P98</f>
        <v>32895763.962227426</v>
      </c>
      <c r="F86" s="255">
        <f>+'2017 TEST'!P134</f>
        <v>33240569.502738744</v>
      </c>
      <c r="G86" s="255">
        <f>+'2018 SUBSEQUENT'!P98</f>
        <v>33400925.359279197</v>
      </c>
      <c r="I86" s="256">
        <f t="shared" ref="I86:N86" si="49">+B86/B$173</f>
        <v>0.71429215123141898</v>
      </c>
      <c r="J86" s="256">
        <f t="shared" si="49"/>
        <v>0.68431724066703847</v>
      </c>
      <c r="K86" s="256">
        <f t="shared" si="49"/>
        <v>0.69442876798090492</v>
      </c>
      <c r="L86" s="256">
        <f t="shared" si="49"/>
        <v>0.70784525123070308</v>
      </c>
      <c r="M86" s="256">
        <f t="shared" si="49"/>
        <v>0.7102105888856779</v>
      </c>
      <c r="N86" s="256">
        <f t="shared" si="49"/>
        <v>0.71103489431871025</v>
      </c>
      <c r="P86" s="257">
        <f>(+M86-L86)/L86</f>
        <v>3.341602773858126E-3</v>
      </c>
    </row>
    <row r="87" spans="1:16">
      <c r="A87" s="254" t="s">
        <v>342</v>
      </c>
      <c r="B87" s="299">
        <f>VLOOKUP(A84,'Avg GNCP'!$B$47:$P$72,15,FALSE)</f>
        <v>12298113</v>
      </c>
      <c r="C87" s="299">
        <f>VLOOKUP(A84,'Avg GNCP'!$B$82:$P$107,15,FALSE)</f>
        <v>12887259</v>
      </c>
      <c r="D87" s="299">
        <f>VLOOKUP(A84,'Avg GNCP'!$B$124:$P$150,15,FALSE)</f>
        <v>14177423</v>
      </c>
      <c r="E87" s="255">
        <f>+'2016 PRIOR'!Q99</f>
        <v>13211503.611394707</v>
      </c>
      <c r="F87" s="255">
        <f>+'2017 TEST'!Q135</f>
        <v>13187357.985081904</v>
      </c>
      <c r="G87" s="255">
        <f>+'2018 SUBSEQUENT'!Q99</f>
        <v>13277759.346655909</v>
      </c>
      <c r="I87" s="256">
        <f t="shared" ref="I87:N87" si="50">+B87/B$174</f>
        <v>0.56516954333084468</v>
      </c>
      <c r="J87" s="256">
        <f t="shared" si="50"/>
        <v>0.56557799223891791</v>
      </c>
      <c r="K87" s="256">
        <f t="shared" si="50"/>
        <v>0.57149390264794886</v>
      </c>
      <c r="L87" s="256">
        <f t="shared" si="50"/>
        <v>0.55662900715087504</v>
      </c>
      <c r="M87" s="256">
        <f t="shared" si="50"/>
        <v>0.55212574809747084</v>
      </c>
      <c r="N87" s="256">
        <f t="shared" si="50"/>
        <v>0.55768571427971769</v>
      </c>
      <c r="P87" s="257">
        <f>(+M87-L87)/L87</f>
        <v>-8.0902342413922967E-3</v>
      </c>
    </row>
    <row r="88" spans="1:16">
      <c r="A88" s="254" t="s">
        <v>148</v>
      </c>
      <c r="B88" s="299">
        <f>VLOOKUP(A84,'Avg CP'!$B$48:$P$73,15,FALSE)</f>
        <v>9744783.333333334</v>
      </c>
      <c r="C88" s="299">
        <f>VLOOKUP(A84,'Avg CP'!$B$83:$P$108,15,FALSE)</f>
        <v>9608050.75</v>
      </c>
      <c r="D88" s="299">
        <f>VLOOKUP(A84,'Avg CP'!$B$125:$P$151,15,FALSE)</f>
        <v>10451925.25</v>
      </c>
      <c r="E88" s="255">
        <f>+'2016 PRIOR'!R100</f>
        <v>10481396.427315185</v>
      </c>
      <c r="F88" s="255">
        <f>+'2017 TEST'!R136</f>
        <v>11039198.438982056</v>
      </c>
      <c r="G88" s="255">
        <f>+'2018 SUBSEQUENT'!R100</f>
        <v>11174101.14968493</v>
      </c>
      <c r="I88" s="256">
        <f t="shared" ref="I88:N88" si="51">+B88/B$175</f>
        <v>0.56915538971450463</v>
      </c>
      <c r="J88" s="256">
        <f t="shared" si="51"/>
        <v>0.55870992361973271</v>
      </c>
      <c r="K88" s="256">
        <f t="shared" si="51"/>
        <v>0.55895509677895139</v>
      </c>
      <c r="L88" s="256">
        <f t="shared" si="51"/>
        <v>0.55389471071078056</v>
      </c>
      <c r="M88" s="256">
        <f t="shared" si="51"/>
        <v>0.55826712781045107</v>
      </c>
      <c r="N88" s="256">
        <f t="shared" si="51"/>
        <v>0.55906439260408858</v>
      </c>
      <c r="P88" s="257">
        <f>(+M88-L88)/L88</f>
        <v>7.8939499062189011E-3</v>
      </c>
    </row>
    <row r="89" spans="1:16">
      <c r="A89" s="259"/>
    </row>
    <row r="90" spans="1:16">
      <c r="A90" s="252" t="s">
        <v>53</v>
      </c>
    </row>
    <row r="91" spans="1:16">
      <c r="A91" s="254" t="s">
        <v>563</v>
      </c>
      <c r="B91" s="298">
        <f>VLOOKUP(A90,'Avg KWH'!$B$48:$P$73,14,FALSE)</f>
        <v>510235217</v>
      </c>
      <c r="C91" s="298">
        <f>VLOOKUP(A90,'Avg KWH'!$B$83:$P$108,14,FALSE)</f>
        <v>511287980</v>
      </c>
      <c r="D91" s="298">
        <f>VLOOKUP(A90,'Avg KWH'!$B$118:$P$144,14,FALSE)</f>
        <v>517038621</v>
      </c>
      <c r="E91" s="255">
        <f>+'2016 PRIOR'!O104</f>
        <v>551061715</v>
      </c>
      <c r="F91" s="255">
        <f>+'2017 TEST'!O143</f>
        <v>560806958</v>
      </c>
      <c r="G91" s="255">
        <f>+'2018 SUBSEQUENT'!O104</f>
        <v>570960264</v>
      </c>
      <c r="I91" s="256">
        <f t="shared" ref="I91:N91" si="52">+B91/B$172</f>
        <v>4.8929823002379488E-3</v>
      </c>
      <c r="J91" s="256">
        <f t="shared" si="52"/>
        <v>4.8636748564032896E-3</v>
      </c>
      <c r="K91" s="256">
        <f t="shared" si="52"/>
        <v>4.6874680964335324E-3</v>
      </c>
      <c r="L91" s="256">
        <f t="shared" si="52"/>
        <v>4.8381946642765128E-3</v>
      </c>
      <c r="M91" s="256">
        <f t="shared" si="52"/>
        <v>4.9526379946134656E-3</v>
      </c>
      <c r="N91" s="256">
        <f t="shared" si="52"/>
        <v>5.0140618848876755E-3</v>
      </c>
      <c r="P91" s="257">
        <f>(+M91-L91)/L91</f>
        <v>2.365413925610747E-2</v>
      </c>
    </row>
    <row r="92" spans="1:16">
      <c r="A92" s="254" t="s">
        <v>133</v>
      </c>
      <c r="B92" s="299">
        <f>VLOOKUP(A90,'Avg NCP'!$B$48:$P$73,15,FALSE)</f>
        <v>144305</v>
      </c>
      <c r="C92" s="299">
        <f>VLOOKUP(A90,'Avg NCP'!$B$83:$P$108,15,FALSE)</f>
        <v>143265</v>
      </c>
      <c r="D92" s="299">
        <f>VLOOKUP(A90,'Avg NCP'!$B$118:$P$144,15,FALSE)</f>
        <v>140741</v>
      </c>
      <c r="E92" s="255">
        <f>+'2016 PRIOR'!P105</f>
        <v>151424.30634080211</v>
      </c>
      <c r="F92" s="255">
        <f>+'2017 TEST'!P144</f>
        <v>154156.97344601792</v>
      </c>
      <c r="G92" s="255">
        <f>+'2018 SUBSEQUENT'!P105</f>
        <v>157002.30975241194</v>
      </c>
      <c r="I92" s="256">
        <f t="shared" ref="I92:N92" si="53">+B92/B$173</f>
        <v>3.3123709370661918E-3</v>
      </c>
      <c r="J92" s="256">
        <f t="shared" si="53"/>
        <v>3.4979492443938873E-3</v>
      </c>
      <c r="K92" s="256">
        <f t="shared" si="53"/>
        <v>3.0906868586593091E-3</v>
      </c>
      <c r="L92" s="256">
        <f t="shared" si="53"/>
        <v>3.2583215360894248E-3</v>
      </c>
      <c r="M92" s="256">
        <f t="shared" si="53"/>
        <v>3.2936834876703793E-3</v>
      </c>
      <c r="N92" s="256">
        <f t="shared" si="53"/>
        <v>3.3422463456266572E-3</v>
      </c>
      <c r="P92" s="257">
        <f>(+M92-L92)/L92</f>
        <v>1.0852812157818902E-2</v>
      </c>
    </row>
    <row r="93" spans="1:16">
      <c r="A93" s="254" t="s">
        <v>342</v>
      </c>
      <c r="B93" s="299">
        <f>VLOOKUP(A90,'Avg GNCP'!$B$47:$P$72,15,FALSE)</f>
        <v>144305</v>
      </c>
      <c r="C93" s="299">
        <f>VLOOKUP(A90,'Avg GNCP'!$B$82:$P$107,15,FALSE)</f>
        <v>143265</v>
      </c>
      <c r="D93" s="299">
        <f>VLOOKUP(A90,'Avg GNCP'!$B$124:$P$150,15,FALSE)</f>
        <v>140741</v>
      </c>
      <c r="E93" s="255">
        <f>+'2016 PRIOR'!Q106</f>
        <v>151424.30634080211</v>
      </c>
      <c r="F93" s="255">
        <f>+'2017 TEST'!Q145</f>
        <v>154156.97344601792</v>
      </c>
      <c r="G93" s="255">
        <f>+'2018 SUBSEQUENT'!Q106</f>
        <v>157002.30975241194</v>
      </c>
      <c r="I93" s="256">
        <f t="shared" ref="I93:N93" si="54">+B93/B$174</f>
        <v>6.6316508028798843E-3</v>
      </c>
      <c r="J93" s="256">
        <f t="shared" si="54"/>
        <v>6.2874138758372573E-3</v>
      </c>
      <c r="K93" s="256">
        <f t="shared" si="54"/>
        <v>5.6732893807693386E-3</v>
      </c>
      <c r="L93" s="256">
        <f t="shared" si="54"/>
        <v>6.3798310757220951E-3</v>
      </c>
      <c r="M93" s="256">
        <f t="shared" si="54"/>
        <v>6.4542142849696796E-3</v>
      </c>
      <c r="N93" s="256">
        <f t="shared" si="54"/>
        <v>6.5943313907019544E-3</v>
      </c>
      <c r="P93" s="257">
        <f>(+M93-L93)/L93</f>
        <v>1.165911892724612E-2</v>
      </c>
    </row>
    <row r="94" spans="1:16">
      <c r="A94" s="254" t="s">
        <v>148</v>
      </c>
      <c r="B94" s="299">
        <f>VLOOKUP(A90,'Avg CP'!$B$48:$P$73,15,FALSE)</f>
        <v>19654.75</v>
      </c>
      <c r="C94" s="299">
        <f>VLOOKUP(A90,'Avg CP'!$B$83:$P$108,15,FALSE)</f>
        <v>8452.25</v>
      </c>
      <c r="D94" s="299">
        <f>VLOOKUP(A90,'Avg CP'!$B$125:$P$151,15,FALSE)</f>
        <v>961.58333333333337</v>
      </c>
      <c r="E94" s="255">
        <f>+'2016 PRIOR'!R107</f>
        <v>10402.703057001529</v>
      </c>
      <c r="F94" s="255">
        <f>+'2017 TEST'!R146</f>
        <v>10984.739789614587</v>
      </c>
      <c r="G94" s="255">
        <f>+'2018 SUBSEQUENT'!R107</f>
        <v>11250.710866590676</v>
      </c>
      <c r="I94" s="256">
        <f t="shared" ref="I94:N94" si="55">+B94/B$175</f>
        <v>1.1479585038823672E-3</v>
      </c>
      <c r="J94" s="256">
        <f t="shared" si="55"/>
        <v>4.9149989678342254E-4</v>
      </c>
      <c r="K94" s="256">
        <f t="shared" si="55"/>
        <v>5.1424201024051532E-5</v>
      </c>
      <c r="L94" s="256">
        <f t="shared" si="55"/>
        <v>5.4973611964068744E-4</v>
      </c>
      <c r="M94" s="256">
        <f t="shared" si="55"/>
        <v>5.5551308059091241E-4</v>
      </c>
      <c r="N94" s="256">
        <f t="shared" si="55"/>
        <v>5.6289734205351163E-4</v>
      </c>
      <c r="P94" s="257">
        <f>(+M94-L94)/L94</f>
        <v>1.0508607209584202E-2</v>
      </c>
    </row>
    <row r="95" spans="1:16">
      <c r="A95" s="259"/>
    </row>
    <row r="96" spans="1:16">
      <c r="A96" s="252" t="s">
        <v>55</v>
      </c>
    </row>
    <row r="97" spans="1:26">
      <c r="A97" s="254" t="s">
        <v>563</v>
      </c>
      <c r="B97" s="298">
        <f>VLOOKUP(A96,'Avg KWH'!$B$48:$P$73,14,FALSE)</f>
        <v>31423371</v>
      </c>
      <c r="C97" s="298">
        <f>VLOOKUP(A96,'Avg KWH'!$B$83:$P$108,14,FALSE)</f>
        <v>31008593</v>
      </c>
      <c r="D97" s="298">
        <f>VLOOKUP(A96,'Avg KWH'!$B$118:$P$144,14,FALSE)</f>
        <v>30928602</v>
      </c>
      <c r="E97" s="255">
        <f>+'2016 PRIOR'!O111</f>
        <v>32057904</v>
      </c>
      <c r="F97" s="255">
        <f>+'2017 TEST'!O153</f>
        <v>32762626</v>
      </c>
      <c r="G97" s="255">
        <f>+'2018 SUBSEQUENT'!O111</f>
        <v>33455312</v>
      </c>
      <c r="I97" s="256">
        <f t="shared" ref="I97:N97" si="56">+B97/B$172</f>
        <v>3.0133944697276839E-4</v>
      </c>
      <c r="J97" s="256">
        <f t="shared" si="56"/>
        <v>2.9497214878109016E-4</v>
      </c>
      <c r="K97" s="256">
        <f t="shared" si="56"/>
        <v>2.8039846397139901E-4</v>
      </c>
      <c r="L97" s="256">
        <f t="shared" si="56"/>
        <v>2.8146099766827149E-4</v>
      </c>
      <c r="M97" s="256">
        <f t="shared" si="56"/>
        <v>2.8933561543098937E-4</v>
      </c>
      <c r="N97" s="256">
        <f t="shared" si="56"/>
        <v>2.9379803696150954E-4</v>
      </c>
      <c r="P97" s="257">
        <f>(+M97-L97)/L97</f>
        <v>2.7977651710020809E-2</v>
      </c>
    </row>
    <row r="98" spans="1:26">
      <c r="A98" s="254" t="s">
        <v>133</v>
      </c>
      <c r="B98" s="299">
        <f>VLOOKUP(A96,'Avg NCP'!$B$48:$P$73,15,FALSE)</f>
        <v>3768</v>
      </c>
      <c r="C98" s="299">
        <f>VLOOKUP(A96,'Avg NCP'!$B$83:$P$108,15,FALSE)</f>
        <v>3908</v>
      </c>
      <c r="D98" s="299">
        <f>VLOOKUP(A96,'Avg NCP'!$B$118:$P$144,15,FALSE)</f>
        <v>3853</v>
      </c>
      <c r="E98" s="255">
        <f>+'2016 PRIOR'!P112</f>
        <v>3801.5273754637124</v>
      </c>
      <c r="F98" s="255">
        <f>+'2017 TEST'!P154</f>
        <v>4081.4998214886623</v>
      </c>
      <c r="G98" s="255">
        <f>+'2018 SUBSEQUENT'!P112</f>
        <v>4193.4220486998647</v>
      </c>
      <c r="I98" s="256">
        <f t="shared" ref="I98:N98" si="57">+B98/B$173</f>
        <v>8.6490514471885321E-5</v>
      </c>
      <c r="J98" s="256">
        <f t="shared" si="57"/>
        <v>9.5417482616768297E-5</v>
      </c>
      <c r="K98" s="256">
        <f t="shared" si="57"/>
        <v>8.4612276922960022E-5</v>
      </c>
      <c r="L98" s="256">
        <f t="shared" si="57"/>
        <v>8.1800596065661398E-5</v>
      </c>
      <c r="M98" s="256">
        <f t="shared" si="57"/>
        <v>8.7204414217915895E-5</v>
      </c>
      <c r="N98" s="256">
        <f t="shared" si="57"/>
        <v>8.9269065786607392E-5</v>
      </c>
      <c r="P98" s="257">
        <f>(+M98-L98)/L98</f>
        <v>6.6060865227887205E-2</v>
      </c>
    </row>
    <row r="99" spans="1:26">
      <c r="A99" s="254" t="s">
        <v>342</v>
      </c>
      <c r="B99" s="299">
        <f>VLOOKUP(A96,'Avg GNCP'!$B$47:$P$72,15,FALSE)</f>
        <v>3768</v>
      </c>
      <c r="C99" s="299">
        <f>VLOOKUP(A96,'Avg GNCP'!$B$82:$P$107,15,FALSE)</f>
        <v>3908</v>
      </c>
      <c r="D99" s="299">
        <f>VLOOKUP(A96,'Avg GNCP'!$B$124:$P$150,15,FALSE)</f>
        <v>3853</v>
      </c>
      <c r="E99" s="255">
        <f>+'2016 PRIOR'!Q113</f>
        <v>3801.5273754637124</v>
      </c>
      <c r="F99" s="255">
        <f>+'2017 TEST'!Q155</f>
        <v>4081.4998214886623</v>
      </c>
      <c r="G99" s="255">
        <f>+'2018 SUBSEQUENT'!Q113</f>
        <v>4193.4220486998647</v>
      </c>
      <c r="I99" s="256">
        <f t="shared" ref="I99:N99" si="58">+B99/B$174</f>
        <v>1.731614304788566E-4</v>
      </c>
      <c r="J99" s="256">
        <f t="shared" si="58"/>
        <v>1.7150883625988205E-4</v>
      </c>
      <c r="K99" s="256">
        <f t="shared" si="58"/>
        <v>1.5531496851737774E-4</v>
      </c>
      <c r="L99" s="256">
        <f t="shared" si="58"/>
        <v>1.6016650874138108E-4</v>
      </c>
      <c r="M99" s="256">
        <f t="shared" si="58"/>
        <v>1.7088344343486975E-4</v>
      </c>
      <c r="N99" s="256">
        <f t="shared" si="58"/>
        <v>1.761299862009094E-4</v>
      </c>
      <c r="P99" s="257">
        <f>(+M99-L99)/L99</f>
        <v>6.6911208702146216E-2</v>
      </c>
    </row>
    <row r="100" spans="1:26">
      <c r="A100" s="254" t="s">
        <v>148</v>
      </c>
      <c r="B100" s="299">
        <f>VLOOKUP(A96,'Avg CP'!$B$48:$P$73,15,FALSE)</f>
        <v>3579.8333333333335</v>
      </c>
      <c r="C100" s="299">
        <f>VLOOKUP(A96,'Avg CP'!$B$83:$P$108,15,FALSE)</f>
        <v>3542.9166666666665</v>
      </c>
      <c r="D100" s="299">
        <f>VLOOKUP(A96,'Avg CP'!$B$125:$P$151,15,FALSE)</f>
        <v>3534.0833333333335</v>
      </c>
      <c r="E100" s="255">
        <f>+'2016 PRIOR'!R114</f>
        <v>3652.0008782169384</v>
      </c>
      <c r="F100" s="255">
        <f>+'2017 TEST'!R156</f>
        <v>3942.1353885991939</v>
      </c>
      <c r="G100" s="255">
        <f>+'2018 SUBSEQUENT'!R114</f>
        <v>4048.5427159378673</v>
      </c>
      <c r="I100" s="256">
        <f t="shared" ref="I100:N100" si="59">+B100/B$175</f>
        <v>2.0908432401742889E-4</v>
      </c>
      <c r="J100" s="256">
        <f t="shared" si="59"/>
        <v>2.0602125776910692E-4</v>
      </c>
      <c r="K100" s="256">
        <f t="shared" si="59"/>
        <v>1.8899808832905811E-4</v>
      </c>
      <c r="L100" s="256">
        <f t="shared" si="59"/>
        <v>1.9299183882444135E-4</v>
      </c>
      <c r="M100" s="256">
        <f t="shared" si="59"/>
        <v>1.9935909414054746E-4</v>
      </c>
      <c r="N100" s="256">
        <f t="shared" si="59"/>
        <v>2.0255732824481644E-4</v>
      </c>
      <c r="P100" s="257">
        <f>(+M100-L100)/L100</f>
        <v>3.2992355297978178E-2</v>
      </c>
    </row>
    <row r="101" spans="1:26">
      <c r="A101" s="259"/>
      <c r="T101" s="260"/>
      <c r="U101" s="260"/>
      <c r="V101" s="260"/>
      <c r="W101" s="260"/>
      <c r="X101" s="260"/>
    </row>
    <row r="102" spans="1:26">
      <c r="A102" s="252" t="s">
        <v>87</v>
      </c>
    </row>
    <row r="103" spans="1:26">
      <c r="A103" s="254" t="s">
        <v>563</v>
      </c>
      <c r="B103" s="298">
        <f>VLOOKUP(A102,'Avg KWH'!$B$48:$P$73,14,FALSE)</f>
        <v>9846239</v>
      </c>
      <c r="C103" s="298">
        <f>VLOOKUP(A102,'Avg KWH'!$B$83:$P$108,14,FALSE)</f>
        <v>10417179</v>
      </c>
      <c r="D103" s="298">
        <f>VLOOKUP(A102,'Avg KWH'!$B$118:$P$144,14,FALSE)</f>
        <v>15334153</v>
      </c>
      <c r="E103" s="255">
        <f>+'2016 PRIOR'!O118</f>
        <v>11856926</v>
      </c>
      <c r="F103" s="255">
        <f>+'2017 TEST'!O163</f>
        <v>11856926</v>
      </c>
      <c r="G103" s="255">
        <f>+'2018 SUBSEQUENT'!O118</f>
        <v>11856926</v>
      </c>
      <c r="I103" s="256">
        <f t="shared" ref="I103:N103" si="60">+B103/B$172</f>
        <v>9.4422085237821994E-5</v>
      </c>
      <c r="J103" s="256">
        <f t="shared" si="60"/>
        <v>9.9094392121153266E-5</v>
      </c>
      <c r="K103" s="256">
        <f t="shared" si="60"/>
        <v>1.3901931123503158E-4</v>
      </c>
      <c r="L103" s="256">
        <f t="shared" si="60"/>
        <v>1.0410107352117804E-4</v>
      </c>
      <c r="M103" s="256">
        <f t="shared" si="60"/>
        <v>1.0471172186654693E-4</v>
      </c>
      <c r="N103" s="256">
        <f t="shared" si="60"/>
        <v>1.0412521584607801E-4</v>
      </c>
      <c r="P103" s="257">
        <f>(+M103-L103)/L103</f>
        <v>5.8659178499698055E-3</v>
      </c>
    </row>
    <row r="104" spans="1:26">
      <c r="A104" s="254" t="s">
        <v>133</v>
      </c>
      <c r="B104" s="299">
        <f>VLOOKUP(A102,'Avg NCP'!$B$48:$P$73,15,FALSE)</f>
        <v>5932</v>
      </c>
      <c r="C104" s="299">
        <f>VLOOKUP(A102,'Avg NCP'!$B$83:$P$108,15,FALSE)</f>
        <v>6779</v>
      </c>
      <c r="D104" s="299">
        <f>VLOOKUP(A102,'Avg NCP'!$B$118:$P$144,15,FALSE)</f>
        <v>7495</v>
      </c>
      <c r="E104" s="255">
        <f>+'2016 PRIOR'!P119</f>
        <v>9915.8901043602818</v>
      </c>
      <c r="F104" s="255">
        <f>+'2017 TEST'!P164</f>
        <v>9915.8901043602818</v>
      </c>
      <c r="G104" s="255">
        <f>+'2018 SUBSEQUENT'!P119</f>
        <v>9915.8901043602818</v>
      </c>
      <c r="I104" s="256">
        <f t="shared" ref="I104:N104" si="61">+B104/B$173</f>
        <v>1.3616288000191712E-4</v>
      </c>
      <c r="J104" s="256">
        <f t="shared" si="61"/>
        <v>1.6551563834674317E-4</v>
      </c>
      <c r="K104" s="256">
        <f t="shared" si="61"/>
        <v>1.6459097210941745E-4</v>
      </c>
      <c r="L104" s="256">
        <f t="shared" si="61"/>
        <v>2.1336837564120471E-4</v>
      </c>
      <c r="M104" s="256">
        <f t="shared" si="61"/>
        <v>2.1186069479835925E-4</v>
      </c>
      <c r="N104" s="256">
        <f t="shared" si="61"/>
        <v>2.1108827963866662E-4</v>
      </c>
      <c r="P104" s="257">
        <f>(+M104-L104)/L104</f>
        <v>-7.0660932685767163E-3</v>
      </c>
    </row>
    <row r="105" spans="1:26">
      <c r="A105" s="254" t="s">
        <v>342</v>
      </c>
      <c r="B105" s="299">
        <f>VLOOKUP(A102,'Avg GNCP'!$B$47:$P$72,15,FALSE)</f>
        <v>4084</v>
      </c>
      <c r="C105" s="299">
        <f>VLOOKUP(A102,'Avg GNCP'!$B$82:$P$107,15,FALSE)</f>
        <v>5073</v>
      </c>
      <c r="D105" s="299">
        <f>VLOOKUP(A102,'Avg GNCP'!$B$124:$P$150,15,FALSE)</f>
        <v>5550</v>
      </c>
      <c r="E105" s="255">
        <f>+'2016 PRIOR'!Q120</f>
        <v>8201.2538466420647</v>
      </c>
      <c r="F105" s="255">
        <f>+'2017 TEST'!Q165</f>
        <v>8201.2538466420647</v>
      </c>
      <c r="G105" s="255">
        <f>+'2018 SUBSEQUENT'!Q120</f>
        <v>8201.2538466420629</v>
      </c>
      <c r="I105" s="256">
        <f t="shared" ref="I105:N105" si="62">+B105/B$174</f>
        <v>1.8768346127273099E-4</v>
      </c>
      <c r="J105" s="256">
        <f t="shared" si="62"/>
        <v>2.2263672629129521E-4</v>
      </c>
      <c r="K105" s="256">
        <f t="shared" si="62"/>
        <v>2.2372127569983039E-4</v>
      </c>
      <c r="L105" s="256">
        <f t="shared" si="62"/>
        <v>3.4553642948796388E-4</v>
      </c>
      <c r="M105" s="256">
        <f t="shared" si="62"/>
        <v>3.4336850645420522E-4</v>
      </c>
      <c r="N105" s="256">
        <f t="shared" si="62"/>
        <v>3.4446490481135155E-4</v>
      </c>
      <c r="P105" s="257">
        <f>(+M105-L105)/L105</f>
        <v>-6.2740795144848134E-3</v>
      </c>
    </row>
    <row r="106" spans="1:26">
      <c r="A106" s="254" t="s">
        <v>148</v>
      </c>
      <c r="B106" s="299">
        <f>VLOOKUP(A102,'Avg CP'!$B$48:$P$73,15,FALSE)</f>
        <v>1419.75</v>
      </c>
      <c r="C106" s="299">
        <f>VLOOKUP(A102,'Avg CP'!$B$83:$P$108,15,FALSE)</f>
        <v>1323</v>
      </c>
      <c r="D106" s="299">
        <f>VLOOKUP(A102,'Avg CP'!$B$125:$P$151,15,FALSE)</f>
        <v>1949.0833333333333</v>
      </c>
      <c r="E106" s="255">
        <f>+'2016 PRIOR'!R121</f>
        <v>1650.5485569500795</v>
      </c>
      <c r="F106" s="255">
        <f>+'2017 TEST'!R166</f>
        <v>1735.3409376408408</v>
      </c>
      <c r="G106" s="255">
        <f>+'2018 SUBSEQUENT'!R121</f>
        <v>1744.9729449882871</v>
      </c>
      <c r="I106" s="256">
        <f t="shared" ref="I106:N106" si="63">+B106/B$175</f>
        <v>8.2922147871989762E-5</v>
      </c>
      <c r="J106" s="256">
        <f t="shared" si="63"/>
        <v>7.6932694068971934E-5</v>
      </c>
      <c r="K106" s="256">
        <f t="shared" si="63"/>
        <v>1.0423439100022023E-4</v>
      </c>
      <c r="L106" s="256">
        <f t="shared" si="63"/>
        <v>8.722407570459017E-5</v>
      </c>
      <c r="M106" s="256">
        <f t="shared" si="63"/>
        <v>8.775852761262443E-5</v>
      </c>
      <c r="N106" s="256">
        <f t="shared" si="63"/>
        <v>8.7304761835626623E-5</v>
      </c>
      <c r="P106" s="257">
        <f>(+M106-L106)/L106</f>
        <v>6.1273438980808202E-3</v>
      </c>
    </row>
    <row r="107" spans="1:26">
      <c r="A107" s="259"/>
    </row>
    <row r="108" spans="1:26">
      <c r="A108" s="252" t="s">
        <v>88</v>
      </c>
      <c r="Z108" s="260"/>
    </row>
    <row r="109" spans="1:26">
      <c r="A109" s="254" t="s">
        <v>563</v>
      </c>
      <c r="B109" s="298">
        <f>VLOOKUP(A108,'Avg KWH'!$B$48:$P$73,14,FALSE)</f>
        <v>77254571</v>
      </c>
      <c r="C109" s="298">
        <f>VLOOKUP(A108,'Avg KWH'!$B$83:$P$108,14,FALSE)</f>
        <v>91927614</v>
      </c>
      <c r="D109" s="298">
        <f>VLOOKUP(A108,'Avg KWH'!$B$118:$P$144,14,FALSE)</f>
        <v>55310545</v>
      </c>
      <c r="E109" s="255">
        <f>+'2016 PRIOR'!O125</f>
        <v>89667754</v>
      </c>
      <c r="F109" s="255">
        <f>+'2017 TEST'!O173</f>
        <v>89667754</v>
      </c>
      <c r="G109" s="255">
        <f>+'2018 SUBSEQUENT'!O125</f>
        <v>89667754</v>
      </c>
      <c r="I109" s="256">
        <f t="shared" ref="I109:N109" si="64">+B109/B$172</f>
        <v>7.4084507678245177E-4</v>
      </c>
      <c r="J109" s="256">
        <f t="shared" si="64"/>
        <v>8.7447004879900967E-4</v>
      </c>
      <c r="K109" s="256">
        <f t="shared" si="64"/>
        <v>5.0144496862227872E-4</v>
      </c>
      <c r="L109" s="256">
        <f t="shared" si="64"/>
        <v>7.8726218343885303E-4</v>
      </c>
      <c r="M109" s="256">
        <f t="shared" si="64"/>
        <v>7.9188019873329318E-4</v>
      </c>
      <c r="N109" s="256">
        <f t="shared" si="64"/>
        <v>7.8744475926416553E-4</v>
      </c>
      <c r="P109" s="257">
        <f>(+M109-L109)/L109</f>
        <v>5.8659178499697847E-3</v>
      </c>
    </row>
    <row r="110" spans="1:26">
      <c r="A110" s="254" t="s">
        <v>133</v>
      </c>
      <c r="B110" s="299">
        <f>VLOOKUP(A108,'Avg NCP'!$B$48:$P$73,15,FALSE)</f>
        <v>95511</v>
      </c>
      <c r="C110" s="299">
        <f>VLOOKUP(A108,'Avg NCP'!$B$83:$P$108,15,FALSE)</f>
        <v>100347</v>
      </c>
      <c r="D110" s="299">
        <f>VLOOKUP(A108,'Avg NCP'!$B$118:$P$144,15,FALSE)</f>
        <v>97677</v>
      </c>
      <c r="E110" s="255">
        <f>+'2016 PRIOR'!P126</f>
        <v>143697.99467250583</v>
      </c>
      <c r="F110" s="255">
        <f>+'2017 TEST'!P174</f>
        <v>143697.99467250583</v>
      </c>
      <c r="G110" s="255">
        <f>+'2018 SUBSEQUENT'!P126</f>
        <v>143697.9946725058</v>
      </c>
      <c r="I110" s="256">
        <f t="shared" ref="I110:N110" si="65">+B110/B$173</f>
        <v>2.1923555009883858E-3</v>
      </c>
      <c r="J110" s="256">
        <f t="shared" si="65"/>
        <v>2.4500660512141374E-3</v>
      </c>
      <c r="K110" s="256">
        <f t="shared" si="65"/>
        <v>2.1449969823524439E-3</v>
      </c>
      <c r="L110" s="256">
        <f t="shared" si="65"/>
        <v>3.0920681233335542E-3</v>
      </c>
      <c r="M110" s="256">
        <f t="shared" si="65"/>
        <v>3.0702192815812864E-3</v>
      </c>
      <c r="N110" s="256">
        <f t="shared" si="65"/>
        <v>3.0590256813765324E-3</v>
      </c>
      <c r="P110" s="257">
        <f>(+M110-L110)/L110</f>
        <v>-7.0660932685766972E-3</v>
      </c>
    </row>
    <row r="111" spans="1:26">
      <c r="A111" s="254" t="s">
        <v>342</v>
      </c>
      <c r="B111" s="299">
        <f>VLOOKUP(A108,'Avg GNCP'!$B$47:$P$72,15,FALSE)</f>
        <v>44487</v>
      </c>
      <c r="C111" s="299">
        <f>VLOOKUP(A108,'Avg GNCP'!$B$82:$P$107,15,FALSE)</f>
        <v>49044</v>
      </c>
      <c r="D111" s="299">
        <f>VLOOKUP(A108,'Avg GNCP'!$B$124:$P$150,15,FALSE)</f>
        <v>39259</v>
      </c>
      <c r="E111" s="255">
        <f>+'2016 PRIOR'!Q127</f>
        <v>57625.579904252947</v>
      </c>
      <c r="F111" s="255">
        <f>+'2017 TEST'!Q175</f>
        <v>57625.579904252947</v>
      </c>
      <c r="G111" s="255">
        <f>+'2018 SUBSEQUENT'!Q127</f>
        <v>57625.579904252954</v>
      </c>
      <c r="I111" s="256">
        <f t="shared" ref="I111:N111" si="66">+B111/B$174</f>
        <v>2.0444353921743349E-3</v>
      </c>
      <c r="J111" s="256">
        <f t="shared" si="66"/>
        <v>2.1523744538202803E-3</v>
      </c>
      <c r="K111" s="256">
        <f t="shared" si="66"/>
        <v>1.5825357770629983E-3</v>
      </c>
      <c r="L111" s="256">
        <f t="shared" si="66"/>
        <v>2.427889381261089E-3</v>
      </c>
      <c r="M111" s="256">
        <f t="shared" si="66"/>
        <v>2.4126566102306837E-3</v>
      </c>
      <c r="N111" s="256">
        <f t="shared" si="66"/>
        <v>2.4203603823999232E-3</v>
      </c>
      <c r="P111" s="257">
        <f>(+M111-L111)/L111</f>
        <v>-6.2740795144847804E-3</v>
      </c>
    </row>
    <row r="112" spans="1:26">
      <c r="A112" s="254" t="s">
        <v>148</v>
      </c>
      <c r="B112" s="299">
        <f>VLOOKUP(A108,'Avg CP'!$B$48:$P$73,15,FALSE)</f>
        <v>7038.5</v>
      </c>
      <c r="C112" s="299">
        <f>VLOOKUP(A108,'Avg CP'!$B$83:$P$108,15,FALSE)</f>
        <v>8598.6666666666661</v>
      </c>
      <c r="D112" s="299">
        <f>VLOOKUP(A108,'Avg CP'!$B$125:$P$151,15,FALSE)</f>
        <v>8121.916666666667</v>
      </c>
      <c r="E112" s="255">
        <f>+'2016 PRIOR'!R128</f>
        <v>9126.0735634460016</v>
      </c>
      <c r="F112" s="255">
        <f>+'2017 TEST'!R176</f>
        <v>9563.7485180952099</v>
      </c>
      <c r="G112" s="255">
        <f>+'2018 SUBSEQUENT'!R128</f>
        <v>9618.0491055327057</v>
      </c>
      <c r="I112" s="256">
        <f t="shared" ref="I112:N112" si="67">+B112/B$175</f>
        <v>4.1109176812607846E-4</v>
      </c>
      <c r="J112" s="256">
        <f t="shared" si="67"/>
        <v>5.0001405296124966E-4</v>
      </c>
      <c r="K112" s="256">
        <f t="shared" si="67"/>
        <v>4.3434932874661012E-4</v>
      </c>
      <c r="L112" s="256">
        <f t="shared" si="67"/>
        <v>4.8227198650524055E-4</v>
      </c>
      <c r="M112" s="256">
        <f t="shared" si="67"/>
        <v>4.8365163882232016E-4</v>
      </c>
      <c r="N112" s="256">
        <f t="shared" si="67"/>
        <v>4.8121175110112151E-4</v>
      </c>
      <c r="P112" s="257">
        <f>(+M112-L112)/L112</f>
        <v>2.8607349290121395E-3</v>
      </c>
    </row>
    <row r="113" spans="1:27">
      <c r="A113" s="259"/>
    </row>
    <row r="114" spans="1:27">
      <c r="AA114" s="260"/>
    </row>
    <row r="115" spans="1:27" s="260" customFormat="1" ht="15.6">
      <c r="A115" s="250" t="s">
        <v>86</v>
      </c>
      <c r="W115" s="253"/>
      <c r="X115" s="253"/>
      <c r="Y115" s="253"/>
      <c r="Z115" s="253"/>
      <c r="AA115" s="253"/>
    </row>
    <row r="116" spans="1:27">
      <c r="A116" s="252" t="s">
        <v>603</v>
      </c>
    </row>
    <row r="117" spans="1:27">
      <c r="A117" s="254" t="s">
        <v>563</v>
      </c>
      <c r="B117" s="298">
        <f>IFERROR(VLOOKUP(A116,'Avg KWH'!$B$48:$P$73,14,FALSE),0)</f>
        <v>27609963</v>
      </c>
      <c r="C117" s="298">
        <f>IFERROR(VLOOKUP(A116,'Avg KWH'!$B$83:$P$108,14,FALSE),0)</f>
        <v>38141884</v>
      </c>
      <c r="D117" s="298">
        <f>IFERROR(VLOOKUP(A116,'Avg KWH'!$B$118:$P$144,14,FALSE),0)</f>
        <v>38471651</v>
      </c>
      <c r="E117" s="255">
        <f>'2016 PRIOR'!O136</f>
        <v>38638013.203729928</v>
      </c>
      <c r="F117" s="255">
        <f>+'2017 TEST'!O187</f>
        <v>2927123.998252566</v>
      </c>
      <c r="G117" s="255">
        <f>+'2018 SUBSEQUENT'!O136</f>
        <v>0</v>
      </c>
      <c r="I117" s="256">
        <f t="shared" ref="I117:N117" si="68">+B117/B$172</f>
        <v>2.6477016044391282E-4</v>
      </c>
      <c r="J117" s="256">
        <f t="shared" si="68"/>
        <v>3.6282824835164507E-4</v>
      </c>
      <c r="K117" s="256">
        <f t="shared" si="68"/>
        <v>3.4878368724340457E-4</v>
      </c>
      <c r="L117" s="256">
        <f t="shared" si="68"/>
        <v>3.3923283768775626E-4</v>
      </c>
      <c r="M117" s="256">
        <f t="shared" si="68"/>
        <v>2.5850224077802078E-5</v>
      </c>
      <c r="N117" s="256">
        <f t="shared" si="68"/>
        <v>0</v>
      </c>
      <c r="P117" s="257">
        <f>(+M117-L117)/L117</f>
        <v>-0.92379799003539964</v>
      </c>
      <c r="R117" s="284"/>
      <c r="S117" s="284"/>
      <c r="T117" s="284"/>
      <c r="U117" s="282"/>
    </row>
    <row r="118" spans="1:27">
      <c r="A118" s="254" t="s">
        <v>133</v>
      </c>
      <c r="B118" s="299">
        <f>IFERROR(VLOOKUP(A116,'Avg NCP'!$B$48:$P$73,15,FALSE),0)</f>
        <v>8571</v>
      </c>
      <c r="C118" s="299">
        <f>IFERROR(VLOOKUP(A116,'Avg NCP'!$B$83:$P$108,15,FALSE),0)</f>
        <v>8389</v>
      </c>
      <c r="D118" s="299">
        <f>IFERROR(VLOOKUP(A116,'Avg NCP'!$B$118:$P$144,15,FALSE),0)</f>
        <v>8658</v>
      </c>
      <c r="E118" s="255">
        <f>+'2016 PRIOR'!P137</f>
        <v>9000</v>
      </c>
      <c r="F118" s="255">
        <f>+'2017 TEST'!P188</f>
        <v>0</v>
      </c>
      <c r="G118" s="255">
        <f>+'2018 SUBSEQUENT'!P137</f>
        <v>0</v>
      </c>
      <c r="I118" s="256">
        <f t="shared" ref="I118:N118" si="69">+B118/B$173</f>
        <v>1.9673837567370727E-4</v>
      </c>
      <c r="J118" s="256">
        <f t="shared" si="69"/>
        <v>2.0482529725487954E-4</v>
      </c>
      <c r="K118" s="256">
        <f t="shared" si="69"/>
        <v>1.901305719177233E-4</v>
      </c>
      <c r="L118" s="256">
        <f t="shared" si="69"/>
        <v>1.936604137964809E-4</v>
      </c>
      <c r="M118" s="256">
        <f t="shared" si="69"/>
        <v>0</v>
      </c>
      <c r="N118" s="256">
        <f t="shared" si="69"/>
        <v>0</v>
      </c>
      <c r="P118" s="257">
        <f>(+M118-L118)/L118</f>
        <v>-1</v>
      </c>
      <c r="R118" s="284"/>
      <c r="S118" s="284"/>
      <c r="T118" s="284"/>
      <c r="U118" s="282"/>
      <c r="W118" s="260"/>
      <c r="X118" s="260"/>
    </row>
    <row r="119" spans="1:27">
      <c r="A119" s="254" t="s">
        <v>342</v>
      </c>
      <c r="B119" s="299">
        <f>IFERROR(VLOOKUP(A116,'Avg GNCP'!$B$47:$P$72,15,FALSE),0)</f>
        <v>8571</v>
      </c>
      <c r="C119" s="299">
        <f>IFERROR(VLOOKUP(A116,'Avg GNCP'!$B$82:$P$107,15,FALSE),0)</f>
        <v>8389</v>
      </c>
      <c r="D119" s="299">
        <f>IFERROR(VLOOKUP(A116,'Avg GNCP'!$B$124:$P$150,15,FALSE),0)</f>
        <v>8658</v>
      </c>
      <c r="E119" s="255">
        <f>+'2016 PRIOR'!Q138</f>
        <v>9000</v>
      </c>
      <c r="F119" s="255">
        <f>+'2017 TEST'!Q189</f>
        <v>0</v>
      </c>
      <c r="G119" s="255">
        <f>+'2018 SUBSEQUENT'!Q138</f>
        <v>0</v>
      </c>
      <c r="I119" s="256">
        <f t="shared" ref="I119:N119" si="70">+B119/B$174</f>
        <v>3.9388710738701697E-4</v>
      </c>
      <c r="J119" s="256">
        <f t="shared" si="70"/>
        <v>3.6816469482706002E-4</v>
      </c>
      <c r="K119" s="256">
        <f t="shared" si="70"/>
        <v>3.4900519009173537E-4</v>
      </c>
      <c r="L119" s="256">
        <f t="shared" si="70"/>
        <v>3.7918931952886305E-4</v>
      </c>
      <c r="M119" s="256">
        <f t="shared" si="70"/>
        <v>0</v>
      </c>
      <c r="N119" s="256">
        <f t="shared" si="70"/>
        <v>0</v>
      </c>
      <c r="P119" s="257">
        <f>(+M119-L119)/L119</f>
        <v>-1</v>
      </c>
      <c r="R119" s="284"/>
      <c r="T119" s="284"/>
      <c r="U119" s="282"/>
    </row>
    <row r="120" spans="1:27">
      <c r="A120" s="254" t="s">
        <v>148</v>
      </c>
      <c r="B120" s="299">
        <f>IFERROR(VLOOKUP(A116,'Avg CP'!$B$48:$P$73,15,FALSE),0)</f>
        <v>4299.666666666667</v>
      </c>
      <c r="C120" s="299">
        <f>IFERROR(VLOOKUP(A116,'Avg CP'!$B$83:$P$108,15,FALSE),0)</f>
        <v>5780.833333333333</v>
      </c>
      <c r="D120" s="299">
        <f>IFERROR(VLOOKUP(A116,'Avg CP'!$B$125:$P$151,15,FALSE),0)</f>
        <v>6117.083333333333</v>
      </c>
      <c r="E120" s="255">
        <f>+'2016 PRIOR'!R139</f>
        <v>9000</v>
      </c>
      <c r="F120" s="255">
        <f>+'2017 TEST'!R190</f>
        <v>0</v>
      </c>
      <c r="G120" s="255">
        <f>+'2018 SUBSEQUENT'!R139</f>
        <v>0</v>
      </c>
      <c r="I120" s="256">
        <f t="shared" ref="I120:N120" si="71">+B120/B$175</f>
        <v>2.5112702597893902E-4</v>
      </c>
      <c r="J120" s="256">
        <f t="shared" si="71"/>
        <v>3.361565247899082E-4</v>
      </c>
      <c r="K120" s="256">
        <f t="shared" si="71"/>
        <v>3.2713350170469733E-4</v>
      </c>
      <c r="L120" s="256">
        <f t="shared" si="71"/>
        <v>4.7560956509627494E-4</v>
      </c>
      <c r="M120" s="256">
        <f t="shared" si="71"/>
        <v>0</v>
      </c>
      <c r="N120" s="256">
        <f t="shared" si="71"/>
        <v>0</v>
      </c>
      <c r="P120" s="257">
        <f>(+M120-L120)/L120</f>
        <v>-1</v>
      </c>
      <c r="R120" s="284"/>
      <c r="S120" s="284"/>
      <c r="T120" s="284"/>
      <c r="U120" s="255"/>
      <c r="Y120" s="260"/>
    </row>
    <row r="121" spans="1:27">
      <c r="A121" s="259"/>
      <c r="R121" s="284"/>
      <c r="S121" s="284"/>
      <c r="T121" s="284"/>
      <c r="U121" s="255"/>
    </row>
    <row r="122" spans="1:27">
      <c r="A122" s="252" t="s">
        <v>983</v>
      </c>
    </row>
    <row r="123" spans="1:27">
      <c r="A123" s="254" t="s">
        <v>563</v>
      </c>
      <c r="B123" s="298">
        <f>IFERROR(VLOOKUP(A122,'Avg KWH'!$B$48:$P$73,14,FALSE),0)</f>
        <v>736906478</v>
      </c>
      <c r="C123" s="298">
        <f>IFERROR(VLOOKUP(A122,'Avg KWH'!$B$83:$P$108,14,FALSE),0)</f>
        <v>758611185</v>
      </c>
      <c r="D123" s="298">
        <f>IFERROR(VLOOKUP(A122,'Avg KWH'!$B$118:$P$144,14,FALSE),0)</f>
        <v>780458267</v>
      </c>
      <c r="E123" s="255">
        <f>+'2016 PRIOR'!O143</f>
        <v>805234629.15840364</v>
      </c>
      <c r="F123" s="255">
        <f>+'2017 TEST'!O197</f>
        <v>814173748.26923299</v>
      </c>
      <c r="G123" s="255">
        <f>+'2018 SUBSEQUENT'!O143</f>
        <v>824183576.63925982</v>
      </c>
      <c r="I123" s="256">
        <f t="shared" ref="I123:N123" si="72">+B123/B$172</f>
        <v>7.0666826468481214E-3</v>
      </c>
      <c r="J123" s="256">
        <f t="shared" si="72"/>
        <v>7.2163600370006836E-3</v>
      </c>
      <c r="K123" s="256">
        <f t="shared" si="72"/>
        <v>7.0756285479886879E-3</v>
      </c>
      <c r="L123" s="256">
        <f t="shared" si="72"/>
        <v>7.0697741836136538E-3</v>
      </c>
      <c r="M123" s="256">
        <f t="shared" si="72"/>
        <v>7.1901886778927282E-3</v>
      </c>
      <c r="N123" s="256">
        <f t="shared" si="72"/>
        <v>7.237819719407501E-3</v>
      </c>
      <c r="P123" s="257">
        <f>(+M123-L123)/L123</f>
        <v>1.7032297093473155E-2</v>
      </c>
      <c r="R123" s="284"/>
      <c r="S123" s="284"/>
      <c r="T123" s="284"/>
      <c r="U123" s="282"/>
    </row>
    <row r="124" spans="1:27">
      <c r="A124" s="254" t="s">
        <v>133</v>
      </c>
      <c r="B124" s="299">
        <f>IFERROR(VLOOKUP(A122,'Avg NCP'!$B$48:$P$73,15,FALSE),0)</f>
        <v>148604</v>
      </c>
      <c r="C124" s="299">
        <f>IFERROR(VLOOKUP(A122,'Avg NCP'!$B$83:$P$108,15,FALSE),0)</f>
        <v>147695</v>
      </c>
      <c r="D124" s="299">
        <f>IFERROR(VLOOKUP(A122,'Avg NCP'!$B$118:$P$144,15,FALSE),0)</f>
        <v>158706</v>
      </c>
      <c r="E124" s="255">
        <f>+'2016 PRIOR'!P144</f>
        <v>162070</v>
      </c>
      <c r="F124" s="255">
        <f>+'2017 TEST'!P198</f>
        <v>162584.70506904923</v>
      </c>
      <c r="G124" s="255">
        <f>+'2018 SUBSEQUENT'!P144</f>
        <v>165140</v>
      </c>
      <c r="I124" s="256">
        <f t="shared" ref="I124:N124" si="73">+B124/B$173</f>
        <v>3.4110500033386532E-3</v>
      </c>
      <c r="J124" s="256">
        <f t="shared" si="73"/>
        <v>3.6061118462342875E-3</v>
      </c>
      <c r="K124" s="256">
        <f t="shared" si="73"/>
        <v>3.4852001093525291E-3</v>
      </c>
      <c r="L124" s="256">
        <f t="shared" si="73"/>
        <v>3.4873936959995177E-3</v>
      </c>
      <c r="M124" s="256">
        <f t="shared" si="73"/>
        <v>3.473748520505342E-3</v>
      </c>
      <c r="N124" s="256">
        <f t="shared" si="73"/>
        <v>3.5154805199183194E-3</v>
      </c>
      <c r="P124" s="257">
        <f>(+M124-L124)/L124</f>
        <v>-3.9127143889227146E-3</v>
      </c>
      <c r="R124" s="284"/>
      <c r="S124" s="284"/>
      <c r="T124" s="284"/>
      <c r="U124" s="282"/>
      <c r="V124" s="260"/>
    </row>
    <row r="125" spans="1:27">
      <c r="A125" s="254" t="s">
        <v>342</v>
      </c>
      <c r="B125" s="299">
        <f>IFERROR(VLOOKUP(A122,'Avg GNCP'!$B$47:$P$72,15,FALSE),0)</f>
        <v>148604</v>
      </c>
      <c r="C125" s="299">
        <f>IFERROR(VLOOKUP(A122,'Avg GNCP'!$B$82:$P$107,15,FALSE),0)</f>
        <v>147695</v>
      </c>
      <c r="D125" s="299">
        <f>IFERROR(VLOOKUP(A122,'Avg GNCP'!$B$124:$P$150,15,FALSE),0)</f>
        <v>158706</v>
      </c>
      <c r="E125" s="255">
        <f>+'2016 PRIOR'!Q145</f>
        <v>162070</v>
      </c>
      <c r="F125" s="255">
        <f>+'2017 TEST'!Q199</f>
        <v>162584.70506904923</v>
      </c>
      <c r="G125" s="255">
        <f>+'2018 SUBSEQUENT'!Q145</f>
        <v>165140</v>
      </c>
      <c r="I125" s="256">
        <f t="shared" ref="I125:N125" si="74">+B125/B$174</f>
        <v>6.8292147597876877E-3</v>
      </c>
      <c r="J125" s="256">
        <f t="shared" si="74"/>
        <v>6.4818315177592838E-3</v>
      </c>
      <c r="K125" s="256">
        <f t="shared" si="74"/>
        <v>6.3974610416607713E-3</v>
      </c>
      <c r="L125" s="256">
        <f t="shared" si="74"/>
        <v>6.828357001782537E-3</v>
      </c>
      <c r="M125" s="256">
        <f t="shared" si="74"/>
        <v>6.8070649190689995E-3</v>
      </c>
      <c r="N125" s="256">
        <f t="shared" si="74"/>
        <v>6.9361265294620366E-3</v>
      </c>
      <c r="P125" s="257">
        <f>(+M125-L125)/L125</f>
        <v>-3.1181853420931475E-3</v>
      </c>
      <c r="R125" s="284"/>
      <c r="T125" s="284"/>
      <c r="U125" s="282"/>
      <c r="V125" s="163"/>
    </row>
    <row r="126" spans="1:27">
      <c r="A126" s="254" t="s">
        <v>148</v>
      </c>
      <c r="B126" s="299">
        <f>IFERROR(VLOOKUP(A122,'Avg CP'!$B$48:$P$73,15,FALSE),0)</f>
        <v>117198.16666666667</v>
      </c>
      <c r="C126" s="299">
        <f>IFERROR(VLOOKUP(A122,'Avg CP'!$B$83:$P$108,15,FALSE),0)</f>
        <v>122387.66666666667</v>
      </c>
      <c r="D126" s="299">
        <f>IFERROR(VLOOKUP(A122,'Avg CP'!$B$125:$P$151,15,FALSE),0)</f>
        <v>124660.41666666667</v>
      </c>
      <c r="E126" s="255">
        <f>+'2016 PRIOR'!R146</f>
        <v>132572.9251645508</v>
      </c>
      <c r="F126" s="255">
        <f>+'2017 TEST'!R200</f>
        <v>130882.07636798661</v>
      </c>
      <c r="G126" s="255">
        <f>+'2018 SUBSEQUENT'!R146</f>
        <v>132186.84318856266</v>
      </c>
      <c r="I126" s="256">
        <f t="shared" ref="I126:N126" si="75">+B126/B$175</f>
        <v>6.8450950566363335E-3</v>
      </c>
      <c r="J126" s="256">
        <f t="shared" si="75"/>
        <v>7.1168653949221323E-3</v>
      </c>
      <c r="K126" s="256">
        <f t="shared" si="75"/>
        <v>6.6666737080253308E-3</v>
      </c>
      <c r="L126" s="256">
        <f t="shared" si="75"/>
        <v>7.005883475672557E-3</v>
      </c>
      <c r="M126" s="256">
        <f t="shared" si="75"/>
        <v>6.618882816510149E-3</v>
      </c>
      <c r="N126" s="256">
        <f t="shared" si="75"/>
        <v>6.6135930047088792E-3</v>
      </c>
      <c r="P126" s="257">
        <f>(+M126-L126)/L126</f>
        <v>-5.5239379944905007E-2</v>
      </c>
      <c r="R126" s="284"/>
      <c r="S126" s="284"/>
      <c r="T126" s="284"/>
      <c r="U126" s="255"/>
      <c r="V126" s="163"/>
      <c r="Z126" s="260"/>
    </row>
    <row r="127" spans="1:27">
      <c r="A127" s="254"/>
      <c r="B127" s="255"/>
      <c r="C127" s="255"/>
      <c r="D127" s="255"/>
      <c r="E127" s="255"/>
      <c r="F127" s="255"/>
      <c r="G127" s="255"/>
      <c r="I127" s="256"/>
      <c r="J127" s="256"/>
      <c r="K127" s="256"/>
      <c r="L127" s="256"/>
      <c r="M127" s="256"/>
      <c r="N127" s="256"/>
      <c r="P127" s="257"/>
      <c r="R127" s="284"/>
      <c r="S127" s="284"/>
      <c r="T127" s="284"/>
      <c r="U127" s="255"/>
      <c r="V127" s="163"/>
      <c r="Z127" s="260"/>
    </row>
    <row r="128" spans="1:27">
      <c r="A128" s="252" t="s">
        <v>1192</v>
      </c>
      <c r="R128" s="284"/>
      <c r="S128" s="284"/>
      <c r="T128" s="284"/>
      <c r="U128" s="255"/>
      <c r="V128" s="163"/>
      <c r="Z128" s="260"/>
    </row>
    <row r="129" spans="1:27">
      <c r="A129" s="254" t="s">
        <v>563</v>
      </c>
      <c r="B129" s="298">
        <f>IFERROR(VLOOKUP(A128,'Avg KWH'!$B$48:$P$73,14,FALSE),0)</f>
        <v>0</v>
      </c>
      <c r="C129" s="298">
        <f>IFERROR(VLOOKUP(A128,'Avg KWH'!$B$83:$P$108,14,FALSE),0)</f>
        <v>0</v>
      </c>
      <c r="D129" s="298">
        <f>IFERROR(VLOOKUP(A128,'Avg KWH'!$B$118:$P$144,14,FALSE),0)</f>
        <v>0</v>
      </c>
      <c r="E129" s="255">
        <f>'2016 PRIOR'!O150</f>
        <v>144000</v>
      </c>
      <c r="F129" s="255">
        <f>'2017 TEST'!O207</f>
        <v>168000</v>
      </c>
      <c r="G129" s="255">
        <f>'2018 SUBSEQUENT'!O150</f>
        <v>192000</v>
      </c>
      <c r="I129" s="256">
        <f t="shared" ref="I129:N129" si="76">+B129/B$172</f>
        <v>0</v>
      </c>
      <c r="J129" s="256">
        <f t="shared" si="76"/>
        <v>0</v>
      </c>
      <c r="K129" s="256">
        <f t="shared" si="76"/>
        <v>0</v>
      </c>
      <c r="L129" s="256">
        <f t="shared" si="76"/>
        <v>1.2642867626102783E-6</v>
      </c>
      <c r="M129" s="256">
        <f t="shared" si="76"/>
        <v>1.4836534590483136E-6</v>
      </c>
      <c r="N129" s="256">
        <f t="shared" si="76"/>
        <v>1.6861066217708517E-6</v>
      </c>
      <c r="P129" s="257">
        <f>(+M129-L129)/L129</f>
        <v>0.1735102374916315</v>
      </c>
      <c r="R129" s="284"/>
      <c r="S129" s="284"/>
      <c r="T129" s="284"/>
      <c r="U129" s="255"/>
      <c r="V129" s="163"/>
      <c r="Z129" s="260"/>
    </row>
    <row r="130" spans="1:27">
      <c r="A130" s="254" t="s">
        <v>133</v>
      </c>
      <c r="B130" s="299">
        <f>IFERROR(VLOOKUP(A128,'Avg NCP'!$B$48:$P$73,15,FALSE),0)</f>
        <v>0</v>
      </c>
      <c r="C130" s="299">
        <f>IFERROR(VLOOKUP(A128,'Avg NCP'!$B$83:$P$108,15,FALSE),0)</f>
        <v>0</v>
      </c>
      <c r="D130" s="299">
        <f>IFERROR(VLOOKUP(A128,'Avg NCP'!$B$118:$P$144,15,FALSE),0)</f>
        <v>0</v>
      </c>
      <c r="E130" s="255">
        <f>'2016 PRIOR'!P151</f>
        <v>18000</v>
      </c>
      <c r="F130" s="255">
        <f>'2017 TEST'!P208</f>
        <v>21000</v>
      </c>
      <c r="G130" s="255">
        <f>'2018 SUBSEQUENT'!P151</f>
        <v>24000</v>
      </c>
      <c r="I130" s="256">
        <f t="shared" ref="I130:N130" si="77">+B130/B$173</f>
        <v>0</v>
      </c>
      <c r="J130" s="256">
        <f t="shared" si="77"/>
        <v>0</v>
      </c>
      <c r="K130" s="256">
        <f t="shared" si="77"/>
        <v>0</v>
      </c>
      <c r="L130" s="256">
        <f t="shared" si="77"/>
        <v>3.873208275929618E-4</v>
      </c>
      <c r="M130" s="256">
        <f t="shared" si="77"/>
        <v>4.4868131291704892E-4</v>
      </c>
      <c r="N130" s="256">
        <f t="shared" si="77"/>
        <v>5.1090912242969402E-4</v>
      </c>
      <c r="P130" s="257">
        <f>(+M130-L130)/L130</f>
        <v>0.15842289118666061</v>
      </c>
      <c r="R130" s="284"/>
      <c r="S130" s="284"/>
      <c r="T130" s="284"/>
      <c r="U130" s="255"/>
      <c r="V130" s="163"/>
      <c r="Z130" s="260"/>
    </row>
    <row r="131" spans="1:27">
      <c r="A131" s="254" t="s">
        <v>342</v>
      </c>
      <c r="B131" s="299">
        <f>IFERROR(VLOOKUP(A128,'Avg GNCP'!$B$47:$P$72,15,FALSE),0)</f>
        <v>0</v>
      </c>
      <c r="C131" s="299">
        <f>IFERROR(VLOOKUP(A128,'Avg GNCP'!$B$82:$P$107,15,FALSE),0)</f>
        <v>0</v>
      </c>
      <c r="D131" s="299">
        <f>IFERROR(VLOOKUP(A128,'Avg GNCP'!$B$124:$P$150,15,FALSE),0)</f>
        <v>0</v>
      </c>
      <c r="E131" s="255">
        <f>'2016 PRIOR'!Q152</f>
        <v>18000</v>
      </c>
      <c r="F131" s="255">
        <f>'2017 TEST'!Q209</f>
        <v>21000</v>
      </c>
      <c r="G131" s="255">
        <f>'2018 SUBSEQUENT'!Q152</f>
        <v>24000</v>
      </c>
      <c r="I131" s="256">
        <f t="shared" ref="I131:N131" si="78">+B131/B$174</f>
        <v>0</v>
      </c>
      <c r="J131" s="256">
        <f t="shared" si="78"/>
        <v>0</v>
      </c>
      <c r="K131" s="256">
        <f t="shared" si="78"/>
        <v>0</v>
      </c>
      <c r="L131" s="256">
        <f t="shared" si="78"/>
        <v>7.583786390577261E-4</v>
      </c>
      <c r="M131" s="256">
        <f t="shared" si="78"/>
        <v>8.7922392970322298E-4</v>
      </c>
      <c r="N131" s="256">
        <f t="shared" si="78"/>
        <v>1.008035828430961E-3</v>
      </c>
      <c r="P131" s="257">
        <f>(+M131-L131)/L131</f>
        <v>0.15934690723310102</v>
      </c>
      <c r="R131" s="284"/>
      <c r="S131" s="284"/>
      <c r="T131" s="284"/>
      <c r="U131" s="255"/>
      <c r="V131" s="163"/>
      <c r="Z131" s="260"/>
    </row>
    <row r="132" spans="1:27">
      <c r="A132" s="254" t="s">
        <v>148</v>
      </c>
      <c r="B132" s="299">
        <f>IFERROR(VLOOKUP(A128,'Avg CP'!$B$48:$P$73,15,FALSE),0)</f>
        <v>0</v>
      </c>
      <c r="C132" s="299">
        <f>IFERROR(VLOOKUP(A128,'Avg CP'!$B$83:$P$108,15,FALSE),0)</f>
        <v>0</v>
      </c>
      <c r="D132" s="299">
        <f>IFERROR(VLOOKUP(A128,'Avg CP'!$B$125:$P$151,15,FALSE),0)</f>
        <v>0</v>
      </c>
      <c r="E132" s="255">
        <f>'2016 PRIOR'!R153</f>
        <v>3000</v>
      </c>
      <c r="F132" s="255">
        <f>'2017 TEST'!R210</f>
        <v>3425.2051658013024</v>
      </c>
      <c r="G132" s="255">
        <f>'2018 SUBSEQUENT'!R153</f>
        <v>3914.2145940696118</v>
      </c>
      <c r="I132" s="256">
        <f t="shared" ref="I132:N132" si="79">+B132/B$175</f>
        <v>0</v>
      </c>
      <c r="J132" s="256">
        <f t="shared" si="79"/>
        <v>0</v>
      </c>
      <c r="K132" s="256">
        <f t="shared" si="79"/>
        <v>0</v>
      </c>
      <c r="L132" s="256">
        <f t="shared" si="79"/>
        <v>1.5853652169875833E-4</v>
      </c>
      <c r="M132" s="256">
        <f t="shared" si="79"/>
        <v>1.7321723679873793E-4</v>
      </c>
      <c r="N132" s="256">
        <f t="shared" si="79"/>
        <v>1.9583660244719452E-4</v>
      </c>
      <c r="P132" s="257">
        <f>(+M132-L132)/L132</f>
        <v>9.2601470895614962E-2</v>
      </c>
      <c r="R132" s="284"/>
      <c r="S132" s="284"/>
      <c r="T132" s="284"/>
      <c r="U132" s="255"/>
      <c r="V132" s="163"/>
      <c r="Z132" s="260"/>
    </row>
    <row r="133" spans="1:27">
      <c r="A133" s="259"/>
      <c r="D133" s="255"/>
      <c r="R133" s="284"/>
      <c r="S133" s="284"/>
      <c r="T133" s="284"/>
      <c r="U133" s="255"/>
      <c r="V133" s="163"/>
    </row>
    <row r="134" spans="1:27">
      <c r="A134" s="252" t="s">
        <v>984</v>
      </c>
      <c r="R134" s="284"/>
      <c r="S134" s="284"/>
      <c r="T134" s="284"/>
      <c r="U134" s="282"/>
      <c r="V134" s="163"/>
    </row>
    <row r="135" spans="1:27">
      <c r="A135" s="254" t="s">
        <v>563</v>
      </c>
      <c r="B135" s="298">
        <f>IFERROR(VLOOKUP(A134,'Avg KWH'!$B$48:$P$73,14,FALSE),0)</f>
        <v>1184283902</v>
      </c>
      <c r="C135" s="298">
        <f>IFERROR(VLOOKUP(A134,'Avg KWH'!$B$83:$P$108,14,FALSE),0)</f>
        <v>1202375528</v>
      </c>
      <c r="D135" s="298">
        <f>IFERROR(VLOOKUP(A134,'Avg KWH'!$B$118:$P$144,14,FALSE),0)</f>
        <v>3832478055</v>
      </c>
      <c r="E135" s="255">
        <f>+'2016 PRIOR'!O157</f>
        <v>3961909155.0516095</v>
      </c>
      <c r="F135" s="255">
        <f>+'2017 TEST'!O217</f>
        <v>4025200602</v>
      </c>
      <c r="G135" s="255">
        <f>+'2018 SUBSEQUENT'!O157</f>
        <v>4085578613</v>
      </c>
      <c r="I135" s="256">
        <f t="shared" ref="I135:N135" si="80">+B135/B$172</f>
        <v>1.1356880077806809E-2</v>
      </c>
      <c r="J135" s="256">
        <f t="shared" si="80"/>
        <v>1.1437709964330141E-2</v>
      </c>
      <c r="K135" s="256">
        <f t="shared" si="80"/>
        <v>3.4745216089175156E-2</v>
      </c>
      <c r="L135" s="256">
        <f t="shared" si="80"/>
        <v>3.4784647912473772E-2</v>
      </c>
      <c r="M135" s="256">
        <f t="shared" si="80"/>
        <v>3.5547635693575323E-2</v>
      </c>
      <c r="N135" s="256">
        <f t="shared" si="80"/>
        <v>3.5878756005961833E-2</v>
      </c>
      <c r="P135" s="257">
        <f>(+M135-L135)/L135</f>
        <v>2.1934612735520713E-2</v>
      </c>
      <c r="R135" s="284"/>
      <c r="S135" s="284"/>
      <c r="T135" s="284"/>
      <c r="U135" s="282"/>
      <c r="V135" s="163"/>
    </row>
    <row r="136" spans="1:27">
      <c r="A136" s="254" t="s">
        <v>133</v>
      </c>
      <c r="B136" s="299">
        <f>IFERROR(VLOOKUP(A134,'Avg NCP'!$B$48:$P$73,15,FALSE),0)</f>
        <v>238022</v>
      </c>
      <c r="C136" s="299">
        <f>IFERROR(VLOOKUP(A134,'Avg NCP'!$B$83:$P$108,15,FALSE),0)</f>
        <v>236361</v>
      </c>
      <c r="D136" s="299">
        <f>IFERROR(VLOOKUP(A134,'Avg NCP'!$B$118:$P$144,15,FALSE),0)</f>
        <v>837392</v>
      </c>
      <c r="E136" s="255">
        <f>+'2016 PRIOR'!P158</f>
        <v>790759</v>
      </c>
      <c r="F136" s="255">
        <f>+'2017 TEST'!P218</f>
        <v>795259</v>
      </c>
      <c r="G136" s="255">
        <f>+'2018 SUBSEQUENT'!P158</f>
        <v>799787</v>
      </c>
      <c r="I136" s="256">
        <f t="shared" ref="I136:N136" si="81">+B136/B$173</f>
        <v>5.4635470370560206E-3</v>
      </c>
      <c r="J136" s="256">
        <f t="shared" si="81"/>
        <v>5.7709753348981511E-3</v>
      </c>
      <c r="K136" s="256">
        <f t="shared" si="81"/>
        <v>1.8389214585276755E-2</v>
      </c>
      <c r="L136" s="256">
        <f t="shared" si="81"/>
        <v>1.7015412794810159E-2</v>
      </c>
      <c r="M136" s="256">
        <f t="shared" si="81"/>
        <v>1.6991326296623782E-2</v>
      </c>
      <c r="N136" s="256">
        <f t="shared" si="81"/>
        <v>1.7025769762528238E-2</v>
      </c>
      <c r="P136" s="257">
        <f>(+M136-L136)/L136</f>
        <v>-1.4155694297186667E-3</v>
      </c>
      <c r="R136" s="284"/>
      <c r="S136" s="284"/>
      <c r="T136" s="284"/>
      <c r="U136" s="282"/>
      <c r="V136" s="163"/>
    </row>
    <row r="137" spans="1:27">
      <c r="A137" s="254" t="s">
        <v>342</v>
      </c>
      <c r="B137" s="299">
        <f>IFERROR(VLOOKUP(A134,'Avg GNCP'!$B$47:$P$72,15,FALSE),0)</f>
        <v>238022</v>
      </c>
      <c r="C137" s="299">
        <f>IFERROR(VLOOKUP(A134,'Avg GNCP'!$B$82:$P$107,15,FALSE),0)</f>
        <v>236361</v>
      </c>
      <c r="D137" s="299">
        <f>IFERROR(VLOOKUP(A134,'Avg GNCP'!$B$124:$P$150,15,FALSE),0)</f>
        <v>837392</v>
      </c>
      <c r="E137" s="255">
        <f>+'2016 PRIOR'!Q159</f>
        <v>790759</v>
      </c>
      <c r="F137" s="255">
        <f>+'2017 TEST'!Q219</f>
        <v>795259</v>
      </c>
      <c r="G137" s="255">
        <f>+'2018 SUBSEQUENT'!Q159</f>
        <v>799787</v>
      </c>
      <c r="I137" s="256">
        <f t="shared" ref="I137:N137" si="82">+B137/B$174</f>
        <v>1.0938489916517625E-2</v>
      </c>
      <c r="J137" s="256">
        <f t="shared" si="82"/>
        <v>1.0373080871858235E-2</v>
      </c>
      <c r="K137" s="256">
        <f t="shared" si="82"/>
        <v>3.3755388558708535E-2</v>
      </c>
      <c r="L137" s="256">
        <f t="shared" si="82"/>
        <v>3.3316374124591576E-2</v>
      </c>
      <c r="M137" s="256">
        <f t="shared" si="82"/>
        <v>3.3295749671993113E-2</v>
      </c>
      <c r="N137" s="256">
        <f t="shared" si="82"/>
        <v>3.3592247963054704E-2</v>
      </c>
      <c r="P137" s="257">
        <f>(+M137-L137)/L137</f>
        <v>-6.190485351537441E-4</v>
      </c>
      <c r="R137" s="284"/>
      <c r="T137" s="284"/>
      <c r="U137" s="282"/>
    </row>
    <row r="138" spans="1:27">
      <c r="A138" s="254" t="s">
        <v>148</v>
      </c>
      <c r="B138" s="299">
        <f>IFERROR(VLOOKUP(A134,'Avg CP'!$B$48:$P$73,15,FALSE),0)</f>
        <v>201669.83333333334</v>
      </c>
      <c r="C138" s="299">
        <f>IFERROR(VLOOKUP(A134,'Avg CP'!$B$83:$P$108,15,FALSE),0)</f>
        <v>207003.66666666666</v>
      </c>
      <c r="D138" s="299">
        <f>IFERROR(VLOOKUP(A134,'Avg CP'!$B$125:$P$151,15,FALSE),0)</f>
        <v>690895</v>
      </c>
      <c r="E138" s="255">
        <f>+'2016 PRIOR'!R160</f>
        <v>676384.54646871344</v>
      </c>
      <c r="F138" s="255">
        <f>+'2017 TEST'!R220</f>
        <v>664342.7946941444</v>
      </c>
      <c r="G138" s="255">
        <f>+'2018 SUBSEQUENT'!R160</f>
        <v>666727.43898149824</v>
      </c>
      <c r="I138" s="256">
        <f t="shared" ref="I138:N138" si="83">+B138/B$175</f>
        <v>1.1778760867044337E-2</v>
      </c>
      <c r="J138" s="256">
        <f t="shared" si="83"/>
        <v>1.2037301405005373E-2</v>
      </c>
      <c r="K138" s="256">
        <f t="shared" si="83"/>
        <v>3.6948148054263365E-2</v>
      </c>
      <c r="L138" s="256">
        <f t="shared" si="83"/>
        <v>3.5743884442647332E-2</v>
      </c>
      <c r="M138" s="256">
        <f t="shared" si="83"/>
        <v>3.3596709573205909E-2</v>
      </c>
      <c r="N138" s="256">
        <f t="shared" si="83"/>
        <v>3.3357812473102676E-2</v>
      </c>
      <c r="P138" s="257">
        <f>(+M138-L138)/L138</f>
        <v>-6.0071111545995003E-2</v>
      </c>
      <c r="R138" s="284"/>
      <c r="S138" s="284"/>
      <c r="T138" s="284"/>
      <c r="U138" s="255"/>
    </row>
    <row r="139" spans="1:27">
      <c r="A139" s="259"/>
      <c r="D139" s="255"/>
      <c r="R139" s="284"/>
      <c r="S139" s="284"/>
      <c r="T139" s="284"/>
      <c r="U139" s="282"/>
      <c r="V139"/>
      <c r="AA139" s="260"/>
    </row>
    <row r="140" spans="1:27" s="260" customFormat="1">
      <c r="A140" s="252" t="s">
        <v>985</v>
      </c>
      <c r="D140" s="261"/>
      <c r="R140" s="284"/>
      <c r="S140" s="284"/>
      <c r="T140" s="284"/>
      <c r="U140" s="282"/>
      <c r="V140"/>
      <c r="W140" s="253"/>
      <c r="X140" s="253"/>
      <c r="Y140" s="253"/>
      <c r="Z140" s="253"/>
      <c r="AA140" s="253"/>
    </row>
    <row r="141" spans="1:27">
      <c r="A141" s="254" t="s">
        <v>563</v>
      </c>
      <c r="B141" s="298">
        <f>IFERROR(VLOOKUP(A140,'Avg KWH'!$B$48:$P$73,14,FALSE),0)</f>
        <v>0</v>
      </c>
      <c r="C141" s="298">
        <f>IFERROR(VLOOKUP(A140,'Avg KWH'!$B$83:$P$108,14,FALSE),0)</f>
        <v>0</v>
      </c>
      <c r="D141" s="298">
        <f>VLOOKUP(A140,'Avg KWH'!$B$118:$P$144,14,FALSE)</f>
        <v>182218000</v>
      </c>
      <c r="E141" s="255">
        <f>+'2016 PRIOR'!O164</f>
        <v>281760000</v>
      </c>
      <c r="F141" s="255">
        <f>+'2017 TEST'!O227</f>
        <v>18960000</v>
      </c>
      <c r="G141" s="255">
        <f>+'2018 SUBSEQUENT'!O164</f>
        <v>0</v>
      </c>
      <c r="I141" s="256">
        <f t="shared" ref="I141:N141" si="84">+B141/B$172</f>
        <v>0</v>
      </c>
      <c r="J141" s="256">
        <f t="shared" si="84"/>
        <v>0</v>
      </c>
      <c r="K141" s="256">
        <f t="shared" si="84"/>
        <v>1.6519869636506814E-3</v>
      </c>
      <c r="L141" s="256">
        <f t="shared" si="84"/>
        <v>2.4737877655074446E-3</v>
      </c>
      <c r="M141" s="256">
        <f t="shared" si="84"/>
        <v>1.6744089037830967E-4</v>
      </c>
      <c r="N141" s="256">
        <f t="shared" si="84"/>
        <v>0</v>
      </c>
      <c r="P141" s="257">
        <f>(+M141-L141)/L141</f>
        <v>-0.9323139629385454</v>
      </c>
      <c r="R141" s="284"/>
      <c r="S141" s="284"/>
      <c r="T141" s="284"/>
      <c r="U141" s="282"/>
      <c r="V141"/>
    </row>
    <row r="142" spans="1:27">
      <c r="A142" s="254" t="s">
        <v>133</v>
      </c>
      <c r="B142" s="299">
        <f>IFERROR(VLOOKUP(A140,'Avg NCP'!$B$48:$P$73,15,FALSE),0)</f>
        <v>0</v>
      </c>
      <c r="C142" s="299">
        <f>IFERROR(VLOOKUP(A140,'Avg NCP'!$B$83:$P$108,15,FALSE),0)</f>
        <v>0</v>
      </c>
      <c r="D142" s="299">
        <f>VLOOKUP(A140,'Avg NCP'!$B$118:$P$144,15,FALSE)</f>
        <v>35000</v>
      </c>
      <c r="E142" s="255">
        <f>+'2016 PRIOR'!P165</f>
        <v>45000</v>
      </c>
      <c r="F142" s="255">
        <f>+'2017 TEST'!P228</f>
        <v>45000</v>
      </c>
      <c r="G142" s="255">
        <f>+'2018 SUBSEQUENT'!P165</f>
        <v>0</v>
      </c>
      <c r="I142" s="256">
        <f t="shared" ref="I142:N142" si="85">+B142/B$173</f>
        <v>0</v>
      </c>
      <c r="J142" s="256">
        <f t="shared" si="85"/>
        <v>0</v>
      </c>
      <c r="K142" s="256">
        <f t="shared" si="85"/>
        <v>7.6860360558100209E-4</v>
      </c>
      <c r="L142" s="256">
        <f t="shared" si="85"/>
        <v>9.6830206898240452E-4</v>
      </c>
      <c r="M142" s="256">
        <f t="shared" si="85"/>
        <v>9.614599562508191E-4</v>
      </c>
      <c r="N142" s="256">
        <f t="shared" si="85"/>
        <v>0</v>
      </c>
      <c r="P142" s="257">
        <f>(+M142-L142)/L142</f>
        <v>-7.0660932685766573E-3</v>
      </c>
      <c r="R142" s="284"/>
      <c r="S142" s="284"/>
      <c r="T142" s="284"/>
      <c r="U142" s="282"/>
      <c r="V142"/>
    </row>
    <row r="143" spans="1:27">
      <c r="A143" s="254" t="s">
        <v>342</v>
      </c>
      <c r="B143" s="299">
        <f>IFERROR(VLOOKUP(A140,'Avg GNCP'!$B$47:$P$72,15,FALSE),0)</f>
        <v>0</v>
      </c>
      <c r="C143" s="299">
        <f>IFERROR(VLOOKUP(A140,'Avg GNCP'!$B$82:$P$107,15,FALSE),0)</f>
        <v>0</v>
      </c>
      <c r="D143" s="299">
        <f>VLOOKUP(A140,'Avg GNCP'!$B$124:$P$150,15,FALSE)</f>
        <v>35000</v>
      </c>
      <c r="E143" s="255">
        <f>+'2016 PRIOR'!Q166</f>
        <v>45000</v>
      </c>
      <c r="F143" s="255">
        <f>+'2017 TEST'!Q229</f>
        <v>45000</v>
      </c>
      <c r="G143" s="255">
        <f>+'2018 SUBSEQUENT'!Q166</f>
        <v>0</v>
      </c>
      <c r="I143" s="256">
        <f t="shared" ref="I143:N143" si="86">+B143/B$174</f>
        <v>0</v>
      </c>
      <c r="J143" s="256">
        <f t="shared" si="86"/>
        <v>0</v>
      </c>
      <c r="K143" s="256">
        <f t="shared" si="86"/>
        <v>1.4108548918007322E-3</v>
      </c>
      <c r="L143" s="256">
        <f t="shared" si="86"/>
        <v>1.8959465976443152E-3</v>
      </c>
      <c r="M143" s="256">
        <f t="shared" si="86"/>
        <v>1.8840512779354779E-3</v>
      </c>
      <c r="N143" s="256">
        <f t="shared" si="86"/>
        <v>0</v>
      </c>
      <c r="P143" s="257">
        <f>(+M143-L143)/L143</f>
        <v>-6.274079514484803E-3</v>
      </c>
      <c r="R143" s="284"/>
      <c r="T143" s="284"/>
      <c r="U143" s="282"/>
      <c r="V143"/>
    </row>
    <row r="144" spans="1:27">
      <c r="A144" s="254" t="s">
        <v>148</v>
      </c>
      <c r="B144" s="299">
        <f>IFERROR(VLOOKUP(A140,'Avg CP'!$B$48:$P$73,15,FALSE),0)</f>
        <v>0</v>
      </c>
      <c r="C144" s="299">
        <f>IFERROR(VLOOKUP(A140,'Avg CP'!$B$83:$P$108,15,FALSE),0)</f>
        <v>0</v>
      </c>
      <c r="D144" s="299">
        <f>VLOOKUP(A140,'Avg CP'!$B$125:$P$151,15,FALSE)</f>
        <v>21666.666666666668</v>
      </c>
      <c r="E144" s="255">
        <f>+'2016 PRIOR'!R167</f>
        <v>32500</v>
      </c>
      <c r="F144" s="255">
        <f>+'2017 TEST'!R230</f>
        <v>7339.7253552885049</v>
      </c>
      <c r="G144" s="255">
        <f>+'2018 SUBSEQUENT'!R167</f>
        <v>0</v>
      </c>
      <c r="I144" s="256">
        <f t="shared" ref="I144:N144" si="87">+B144/B$175</f>
        <v>0</v>
      </c>
      <c r="J144" s="256">
        <f t="shared" si="87"/>
        <v>0</v>
      </c>
      <c r="K144" s="256">
        <f t="shared" si="87"/>
        <v>1.1587045901944187E-3</v>
      </c>
      <c r="L144" s="256">
        <f t="shared" si="87"/>
        <v>1.7174789850698817E-3</v>
      </c>
      <c r="M144" s="256">
        <f t="shared" si="87"/>
        <v>3.7117979314015269E-4</v>
      </c>
      <c r="N144" s="256">
        <f t="shared" si="87"/>
        <v>0</v>
      </c>
      <c r="P144" s="257">
        <f>(+M144-L144)/L144</f>
        <v>-0.78388102773493329</v>
      </c>
      <c r="R144" s="284"/>
      <c r="S144" s="284"/>
      <c r="T144" s="284"/>
      <c r="U144" s="255"/>
      <c r="V144"/>
    </row>
    <row r="145" spans="1:27">
      <c r="A145" s="254"/>
      <c r="B145" s="255"/>
      <c r="C145" s="255"/>
      <c r="D145" s="255"/>
      <c r="I145" s="256"/>
      <c r="J145" s="256"/>
      <c r="K145" s="256"/>
      <c r="L145" s="256"/>
      <c r="M145" s="256"/>
      <c r="N145" s="256"/>
      <c r="P145" s="257"/>
      <c r="R145" s="284"/>
      <c r="S145" s="284"/>
      <c r="T145" s="284"/>
      <c r="U145" s="255"/>
      <c r="W145" s="260"/>
    </row>
    <row r="146" spans="1:27" s="260" customFormat="1">
      <c r="A146" s="252" t="s">
        <v>1193</v>
      </c>
      <c r="D146" s="261"/>
      <c r="R146" s="284"/>
      <c r="S146" s="284"/>
      <c r="T146" s="284"/>
      <c r="U146" s="282"/>
      <c r="V146"/>
      <c r="W146" s="253"/>
      <c r="X146" s="253"/>
      <c r="Y146" s="253"/>
      <c r="Z146" s="253"/>
      <c r="AA146" s="253"/>
    </row>
    <row r="147" spans="1:27">
      <c r="A147" s="254" t="s">
        <v>563</v>
      </c>
      <c r="B147" s="298">
        <f>IFERROR(VLOOKUP(A146,'Avg KWH'!$B$48:$P$73,14,FALSE),0)</f>
        <v>0</v>
      </c>
      <c r="C147" s="298">
        <f>IFERROR(VLOOKUP(A146,'Avg KWH'!$B$83:$P$108,14,FALSE),0)</f>
        <v>0</v>
      </c>
      <c r="D147" s="298">
        <f>IFERROR(VLOOKUP(A146,'Avg KWH'!$B$118:$P$144,14,FALSE),0)</f>
        <v>0</v>
      </c>
      <c r="E147" s="255">
        <f>'2016 PRIOR'!O171</f>
        <v>152000</v>
      </c>
      <c r="F147" s="255">
        <f>'2017 TEST'!O237</f>
        <v>152000</v>
      </c>
      <c r="G147" s="255">
        <f>'2018 SUBSEQUENT'!O171</f>
        <v>152000</v>
      </c>
      <c r="I147" s="256">
        <f t="shared" ref="I147:N147" si="88">+B147/B$172</f>
        <v>0</v>
      </c>
      <c r="J147" s="256">
        <f t="shared" si="88"/>
        <v>0</v>
      </c>
      <c r="K147" s="256">
        <f t="shared" si="88"/>
        <v>0</v>
      </c>
      <c r="L147" s="256">
        <f t="shared" si="88"/>
        <v>1.3345249160886272E-6</v>
      </c>
      <c r="M147" s="256">
        <f t="shared" si="88"/>
        <v>1.3423531296151407E-6</v>
      </c>
      <c r="N147" s="256">
        <f t="shared" si="88"/>
        <v>1.3348344089019243E-6</v>
      </c>
      <c r="P147" s="257">
        <f>(+M147-L147)/L147</f>
        <v>5.8659178499696069E-3</v>
      </c>
      <c r="R147" s="284"/>
      <c r="S147" s="284"/>
      <c r="T147" s="284"/>
      <c r="U147" s="282"/>
      <c r="V147"/>
    </row>
    <row r="148" spans="1:27">
      <c r="A148" s="254" t="s">
        <v>133</v>
      </c>
      <c r="B148" s="299">
        <f>IFERROR(VLOOKUP(A146,'Avg NCP'!$B$48:$P$73,15,FALSE),0)</f>
        <v>0</v>
      </c>
      <c r="C148" s="299">
        <f>IFERROR(VLOOKUP(A146,'Avg NCP'!$B$83:$P$108,15,FALSE),0)</f>
        <v>0</v>
      </c>
      <c r="D148" s="299">
        <f>IFERROR(VLOOKUP(A146,'Avg NCP'!$B$118:$P$144,15,FALSE),0)</f>
        <v>0</v>
      </c>
      <c r="E148" s="255">
        <f>'2016 PRIOR'!P172</f>
        <v>19000</v>
      </c>
      <c r="F148" s="255">
        <f>'2017 TEST'!P238</f>
        <v>19000</v>
      </c>
      <c r="G148" s="255">
        <f>'2018 SUBSEQUENT'!P172</f>
        <v>19000</v>
      </c>
      <c r="I148" s="256">
        <f t="shared" ref="I148:N148" si="89">+B148/B$173</f>
        <v>0</v>
      </c>
      <c r="J148" s="256">
        <f t="shared" si="89"/>
        <v>0</v>
      </c>
      <c r="K148" s="256">
        <f t="shared" si="89"/>
        <v>0</v>
      </c>
      <c r="L148" s="256">
        <f t="shared" si="89"/>
        <v>4.0883865134812633E-4</v>
      </c>
      <c r="M148" s="256">
        <f t="shared" si="89"/>
        <v>4.0594975930590137E-4</v>
      </c>
      <c r="N148" s="256">
        <f t="shared" si="89"/>
        <v>4.0446972192350776E-4</v>
      </c>
      <c r="P148" s="257">
        <f>(+M148-L148)/L148</f>
        <v>-7.0660932685766755E-3</v>
      </c>
      <c r="R148" s="284"/>
      <c r="S148" s="284"/>
      <c r="T148" s="284"/>
      <c r="U148" s="282"/>
      <c r="V148"/>
    </row>
    <row r="149" spans="1:27">
      <c r="A149" s="254" t="s">
        <v>342</v>
      </c>
      <c r="B149" s="299">
        <f>IFERROR(VLOOKUP(A146,'Avg GNCP'!$B$47:$P$72,15,FALSE),0)</f>
        <v>0</v>
      </c>
      <c r="C149" s="299">
        <f>IFERROR(VLOOKUP(A146,'Avg GNCP'!$B$82:$P$107,15,FALSE),0)</f>
        <v>0</v>
      </c>
      <c r="D149" s="299">
        <f>IFERROR(VLOOKUP(A146,'Avg GNCP'!$B$124:$P$150,15,FALSE),0)</f>
        <v>0</v>
      </c>
      <c r="E149" s="255">
        <f>'2016 PRIOR'!Q173</f>
        <v>19000</v>
      </c>
      <c r="F149" s="255">
        <f>'2017 TEST'!Q249</f>
        <v>200000</v>
      </c>
      <c r="G149" s="255">
        <f>'2018 SUBSEQUENT'!Q173</f>
        <v>19000</v>
      </c>
      <c r="I149" s="256">
        <f t="shared" ref="I149:N149" si="90">+B149/B$174</f>
        <v>0</v>
      </c>
      <c r="J149" s="256">
        <f t="shared" si="90"/>
        <v>0</v>
      </c>
      <c r="K149" s="256">
        <f t="shared" si="90"/>
        <v>0</v>
      </c>
      <c r="L149" s="256">
        <f t="shared" si="90"/>
        <v>8.0051078567204418E-4</v>
      </c>
      <c r="M149" s="256">
        <f t="shared" si="90"/>
        <v>8.3735612352687904E-3</v>
      </c>
      <c r="N149" s="256">
        <f t="shared" si="90"/>
        <v>7.9802836417451075E-4</v>
      </c>
      <c r="P149" s="257">
        <f>(+M149-L149)/L149</f>
        <v>9.4602728472159505</v>
      </c>
      <c r="R149" s="284"/>
      <c r="T149" s="284"/>
      <c r="U149" s="282"/>
      <c r="V149"/>
    </row>
    <row r="150" spans="1:27">
      <c r="A150" s="254" t="s">
        <v>148</v>
      </c>
      <c r="B150" s="299">
        <f>IFERROR(VLOOKUP(A146,'Avg CP'!$B$48:$P$73,15,FALSE),0)</f>
        <v>0</v>
      </c>
      <c r="C150" s="299">
        <f>IFERROR(VLOOKUP(A146,'Avg CP'!$B$83:$P$108,15,FALSE),0)</f>
        <v>0</v>
      </c>
      <c r="D150" s="299">
        <f>IFERROR(VLOOKUP(A146,'Avg CP'!$B$125:$P$151,15,FALSE),0)</f>
        <v>0</v>
      </c>
      <c r="E150" s="255">
        <f>'2016 PRIOR'!R174</f>
        <v>3166.6666666666665</v>
      </c>
      <c r="F150" s="255">
        <f>'2017 TEST'!R240</f>
        <v>3098.9951500107018</v>
      </c>
      <c r="G150" s="255">
        <f>'2018 SUBSEQUENT'!R174</f>
        <v>3098.7532203051092</v>
      </c>
      <c r="I150" s="256">
        <f t="shared" ref="I150:N150" si="91">+B150/B$175</f>
        <v>0</v>
      </c>
      <c r="J150" s="256">
        <f t="shared" si="91"/>
        <v>0</v>
      </c>
      <c r="K150" s="256">
        <f t="shared" si="91"/>
        <v>0</v>
      </c>
      <c r="L150" s="256">
        <f t="shared" si="91"/>
        <v>1.6734410623757821E-4</v>
      </c>
      <c r="M150" s="256">
        <f t="shared" si="91"/>
        <v>1.5672035710362001E-4</v>
      </c>
      <c r="N150" s="256">
        <f t="shared" si="91"/>
        <v>1.5503731027069565E-4</v>
      </c>
      <c r="P150" s="257">
        <f>(+M150-L150)/L150</f>
        <v>-6.3484453518044326E-2</v>
      </c>
      <c r="R150" s="284"/>
      <c r="S150" s="284"/>
      <c r="T150" s="284"/>
      <c r="U150" s="255"/>
      <c r="V150"/>
    </row>
    <row r="151" spans="1:27">
      <c r="A151" s="254"/>
      <c r="B151" s="299"/>
      <c r="C151" s="299"/>
      <c r="D151" s="299"/>
      <c r="E151" s="255"/>
      <c r="F151" s="255"/>
      <c r="G151" s="255"/>
      <c r="I151" s="256"/>
      <c r="J151" s="256"/>
      <c r="K151" s="256"/>
      <c r="L151" s="256"/>
      <c r="M151" s="256"/>
      <c r="N151" s="256"/>
      <c r="P151" s="257"/>
      <c r="R151" s="284"/>
      <c r="S151" s="284"/>
      <c r="T151" s="284"/>
      <c r="U151" s="255"/>
      <c r="V151"/>
    </row>
    <row r="152" spans="1:27">
      <c r="A152" s="252" t="s">
        <v>1060</v>
      </c>
      <c r="B152" s="260"/>
      <c r="C152" s="260"/>
      <c r="D152" s="261"/>
      <c r="E152" s="260"/>
      <c r="F152" s="260"/>
      <c r="G152" s="260"/>
      <c r="H152" s="260"/>
      <c r="I152" s="260"/>
      <c r="J152" s="260"/>
      <c r="K152" s="260"/>
      <c r="L152" s="260"/>
      <c r="M152" s="260"/>
      <c r="N152" s="260"/>
      <c r="O152" s="260"/>
      <c r="P152" s="260"/>
      <c r="R152" s="284"/>
      <c r="S152" s="284"/>
      <c r="T152" s="284"/>
      <c r="U152" s="282"/>
      <c r="W152" s="260"/>
      <c r="X152" s="260"/>
    </row>
    <row r="153" spans="1:27">
      <c r="A153" s="254" t="s">
        <v>563</v>
      </c>
      <c r="B153" s="298">
        <f>IFERROR(VLOOKUP(A152,'Avg KWH'!$B$48:$P$73,14,FALSE),0)</f>
        <v>0</v>
      </c>
      <c r="C153" s="298">
        <f>IFERROR(VLOOKUP(A152,'Avg KWH'!$B$83:$P$108,14,FALSE),0)</f>
        <v>0</v>
      </c>
      <c r="D153" s="298">
        <f>IFERROR(VLOOKUP(A152,'Avg KWH'!$B$118:$P$144,14,FALSE),0)</f>
        <v>0</v>
      </c>
      <c r="E153" s="255">
        <f>+'2016 PRIOR'!O178</f>
        <v>1102340000</v>
      </c>
      <c r="F153" s="255">
        <f>+'2017 TEST'!O247</f>
        <v>1102340000</v>
      </c>
      <c r="G153" s="255">
        <f>+'2018 SUBSEQUENT'!O178</f>
        <v>1102340000</v>
      </c>
      <c r="I153" s="256">
        <f t="shared" ref="I153:N153" si="92">+B153/B$172</f>
        <v>0</v>
      </c>
      <c r="J153" s="256">
        <f t="shared" si="92"/>
        <v>0</v>
      </c>
      <c r="K153" s="256">
        <f t="shared" si="92"/>
        <v>0</v>
      </c>
      <c r="L153" s="256">
        <f t="shared" si="92"/>
        <v>9.6782907631653772E-3</v>
      </c>
      <c r="M153" s="256">
        <f t="shared" si="92"/>
        <v>9.7350628217102251E-3</v>
      </c>
      <c r="N153" s="256">
        <f t="shared" si="92"/>
        <v>9.6805352783483362E-3</v>
      </c>
      <c r="P153" s="257">
        <f>(+M153-L153)/L153</f>
        <v>5.8659178499696181E-3</v>
      </c>
      <c r="R153" s="284"/>
      <c r="S153" s="284"/>
      <c r="T153" s="284"/>
      <c r="U153" s="282"/>
      <c r="W153" s="260"/>
      <c r="X153" s="260"/>
    </row>
    <row r="154" spans="1:27">
      <c r="A154" s="254" t="s">
        <v>133</v>
      </c>
      <c r="B154" s="299">
        <f>IFERROR(VLOOKUP(A152,'Avg NCP'!$B$48:$P$73,15,FALSE),0)</f>
        <v>0</v>
      </c>
      <c r="C154" s="299">
        <f>IFERROR(VLOOKUP(A152,'Avg NCP'!$B$83:$P$108,15,FALSE),0)</f>
        <v>0</v>
      </c>
      <c r="D154" s="299">
        <f>IFERROR(VLOOKUP(A152,'Avg NCP'!$B$118:$P$144,15,FALSE),0)</f>
        <v>0</v>
      </c>
      <c r="E154" s="255">
        <f>+'2016 PRIOR'!P179</f>
        <v>200000</v>
      </c>
      <c r="F154" s="255">
        <f>+'2017 TEST'!P248</f>
        <v>200000</v>
      </c>
      <c r="G154" s="255">
        <f>+'2018 SUBSEQUENT'!P179</f>
        <v>200000</v>
      </c>
      <c r="I154" s="256">
        <f t="shared" ref="I154:N154" si="93">+B154/B$173</f>
        <v>0</v>
      </c>
      <c r="J154" s="256">
        <f t="shared" si="93"/>
        <v>0</v>
      </c>
      <c r="K154" s="256">
        <f t="shared" si="93"/>
        <v>0</v>
      </c>
      <c r="L154" s="256">
        <f t="shared" si="93"/>
        <v>4.3035647510329088E-3</v>
      </c>
      <c r="M154" s="256">
        <f t="shared" si="93"/>
        <v>4.2731553611147517E-3</v>
      </c>
      <c r="N154" s="256">
        <f t="shared" si="93"/>
        <v>4.2575760202474503E-3</v>
      </c>
      <c r="P154" s="257">
        <f>(+M154-L154)/L154</f>
        <v>-7.0660932685765905E-3</v>
      </c>
      <c r="R154" s="284"/>
      <c r="S154" s="284"/>
      <c r="T154" s="284"/>
      <c r="U154" s="282"/>
      <c r="W154" s="260"/>
      <c r="X154" s="260"/>
      <c r="Y154" s="260"/>
    </row>
    <row r="155" spans="1:27">
      <c r="A155" s="254" t="s">
        <v>342</v>
      </c>
      <c r="B155" s="299">
        <f>IFERROR(VLOOKUP(A152,'Avg GNCP'!$B$47:$P$72,15,FALSE),0)</f>
        <v>0</v>
      </c>
      <c r="C155" s="299">
        <f>IFERROR(VLOOKUP(A152,'Avg GNCP'!$B$82:$P$107,15,FALSE),0)</f>
        <v>0</v>
      </c>
      <c r="D155" s="299">
        <f>IFERROR(VLOOKUP(A152,'Avg GNCP'!$B$124:$P$150,15,FALSE),0)</f>
        <v>0</v>
      </c>
      <c r="E155" s="255">
        <f>+'2016 PRIOR'!Q180</f>
        <v>200000</v>
      </c>
      <c r="F155" s="255">
        <f>+'2017 TEST'!Q249</f>
        <v>200000</v>
      </c>
      <c r="G155" s="255">
        <f>+'2018 SUBSEQUENT'!Q180</f>
        <v>200000</v>
      </c>
      <c r="I155" s="256">
        <f t="shared" ref="I155:N155" si="94">+B155/B$174</f>
        <v>0</v>
      </c>
      <c r="J155" s="256">
        <f t="shared" si="94"/>
        <v>0</v>
      </c>
      <c r="K155" s="256">
        <f t="shared" si="94"/>
        <v>0</v>
      </c>
      <c r="L155" s="256">
        <f t="shared" si="94"/>
        <v>8.4264293228636239E-3</v>
      </c>
      <c r="M155" s="256">
        <f t="shared" si="94"/>
        <v>8.3735612352687904E-3</v>
      </c>
      <c r="N155" s="256">
        <f t="shared" si="94"/>
        <v>8.400298570258008E-3</v>
      </c>
      <c r="P155" s="257">
        <f>(+M155-L155)/L155</f>
        <v>-6.274079514484894E-3</v>
      </c>
      <c r="R155" s="284"/>
      <c r="T155" s="284"/>
      <c r="U155" s="282"/>
      <c r="X155" s="260"/>
      <c r="Y155" s="260"/>
    </row>
    <row r="156" spans="1:27">
      <c r="A156" s="254" t="s">
        <v>148</v>
      </c>
      <c r="B156" s="299">
        <f>IFERROR(VLOOKUP(A152,'Avg CP'!$B$48:$P$73,15,FALSE),0)</f>
        <v>0</v>
      </c>
      <c r="C156" s="299">
        <f>IFERROR(VLOOKUP(A152,'Avg CP'!$B$83:$P$108,15,FALSE),0)</f>
        <v>0</v>
      </c>
      <c r="D156" s="299">
        <f>IFERROR(VLOOKUP(A152,'Avg CP'!$B$125:$P$151,15,FALSE),0)</f>
        <v>0</v>
      </c>
      <c r="E156" s="255">
        <f>+'2016 PRIOR'!R181</f>
        <v>200000</v>
      </c>
      <c r="F156" s="255">
        <f>+'2017 TEST'!R250</f>
        <v>195726.00947436015</v>
      </c>
      <c r="G156" s="255">
        <f>+'2018 SUBSEQUENT'!R181</f>
        <v>195710.72970348052</v>
      </c>
      <c r="I156" s="256">
        <f t="shared" ref="I156:N156" si="95">+B156/B$175</f>
        <v>0</v>
      </c>
      <c r="J156" s="256">
        <f t="shared" si="95"/>
        <v>0</v>
      </c>
      <c r="K156" s="256">
        <f t="shared" si="95"/>
        <v>0</v>
      </c>
      <c r="L156" s="256">
        <f t="shared" si="95"/>
        <v>1.0569101446583889E-2</v>
      </c>
      <c r="M156" s="256">
        <f t="shared" si="95"/>
        <v>9.8981278170707388E-3</v>
      </c>
      <c r="N156" s="256">
        <f t="shared" si="95"/>
        <v>9.7918301223597227E-3</v>
      </c>
      <c r="P156" s="257">
        <f>(+M156-L156)/L156</f>
        <v>-6.3484453518044326E-2</v>
      </c>
      <c r="R156" s="284"/>
      <c r="S156" s="284"/>
      <c r="T156" s="284"/>
      <c r="U156" s="255"/>
      <c r="W156" s="263"/>
      <c r="Y156" s="260"/>
    </row>
    <row r="157" spans="1:27">
      <c r="A157" s="254"/>
      <c r="B157" s="255"/>
      <c r="C157" s="255"/>
      <c r="D157" s="255"/>
      <c r="E157" s="255"/>
      <c r="F157" s="255"/>
      <c r="G157" s="255"/>
      <c r="I157" s="256"/>
      <c r="J157" s="256"/>
      <c r="K157" s="256"/>
      <c r="L157" s="256"/>
      <c r="M157" s="256"/>
      <c r="N157" s="256"/>
      <c r="P157" s="257"/>
      <c r="R157" s="284"/>
      <c r="S157" s="284"/>
      <c r="T157" s="284"/>
      <c r="U157" s="255"/>
      <c r="V157" s="260"/>
      <c r="W157" s="263"/>
      <c r="X157" s="263"/>
      <c r="Y157" s="260"/>
    </row>
    <row r="158" spans="1:27">
      <c r="A158" s="252" t="s">
        <v>724</v>
      </c>
      <c r="B158" s="260"/>
      <c r="C158" s="260"/>
      <c r="D158" s="261"/>
      <c r="E158" s="260"/>
      <c r="F158" s="260"/>
      <c r="G158" s="260"/>
      <c r="H158" s="260"/>
      <c r="I158" s="260"/>
      <c r="J158" s="260"/>
      <c r="K158" s="260"/>
      <c r="L158" s="260"/>
      <c r="M158" s="260"/>
      <c r="N158" s="260"/>
      <c r="O158" s="260"/>
      <c r="P158" s="260"/>
      <c r="R158" s="284"/>
      <c r="S158" s="284"/>
      <c r="T158" s="284"/>
      <c r="U158" s="282"/>
      <c r="V158" s="260"/>
      <c r="W158" s="263"/>
      <c r="X158" s="263"/>
    </row>
    <row r="159" spans="1:27">
      <c r="A159" s="254" t="s">
        <v>563</v>
      </c>
      <c r="B159" s="298">
        <f>IFERROR(VLOOKUP(A158,'Avg KWH'!$B$48:$P$73,14,FALSE),0)</f>
        <v>63280109</v>
      </c>
      <c r="C159" s="298">
        <f>IFERROR(VLOOKUP(A158,'Avg KWH'!$B$83:$P$108,14,FALSE),0)</f>
        <v>61775098</v>
      </c>
      <c r="D159" s="298">
        <f>IFERROR(VLOOKUP(A158,'Avg KWH'!$B$118:$P$144,14,FALSE),0)</f>
        <v>63421442</v>
      </c>
      <c r="E159" s="255">
        <f>+'2016 PRIOR'!O185</f>
        <v>63819075.551165305</v>
      </c>
      <c r="F159" s="255">
        <f>+'2017 TEST'!O257</f>
        <v>4479042.2992308391</v>
      </c>
      <c r="G159" s="255">
        <f>+'2018 SUBSEQUENT'!O185</f>
        <v>0</v>
      </c>
      <c r="I159" s="256">
        <f t="shared" ref="I159:N159" si="96">+B159/B$172</f>
        <v>6.0683473617252918E-4</v>
      </c>
      <c r="J159" s="256">
        <f t="shared" si="96"/>
        <v>5.8764141276008324E-4</v>
      </c>
      <c r="K159" s="256">
        <f t="shared" si="96"/>
        <v>5.7497829742356849E-4</v>
      </c>
      <c r="L159" s="256">
        <f t="shared" si="96"/>
        <v>5.6031675292613577E-4</v>
      </c>
      <c r="M159" s="256">
        <f t="shared" si="96"/>
        <v>3.9555634526652057E-5</v>
      </c>
      <c r="N159" s="256">
        <f t="shared" si="96"/>
        <v>0</v>
      </c>
      <c r="P159" s="257">
        <f>(+M159-L159)/L159</f>
        <v>-0.92940486908506459</v>
      </c>
      <c r="R159" s="284"/>
      <c r="S159" s="284"/>
      <c r="T159" s="284"/>
      <c r="U159" s="282"/>
      <c r="V159" s="260"/>
      <c r="W159" s="263"/>
      <c r="X159" s="263"/>
      <c r="Y159" s="263"/>
    </row>
    <row r="160" spans="1:27">
      <c r="A160" s="254" t="s">
        <v>133</v>
      </c>
      <c r="B160" s="299">
        <f>IFERROR(VLOOKUP(A158,'Avg NCP'!$B$48:$P$73,15,FALSE),0)</f>
        <v>13650</v>
      </c>
      <c r="C160" s="299">
        <f>IFERROR(VLOOKUP(A158,'Avg NCP'!$B$83:$P$108,15,FALSE),0)</f>
        <v>13557</v>
      </c>
      <c r="D160" s="299">
        <f>IFERROR(VLOOKUP(A158,'Avg NCP'!$B$118:$P$144,15,FALSE),0)</f>
        <v>13556</v>
      </c>
      <c r="E160" s="255">
        <f>+'2016 PRIOR'!P186</f>
        <v>13000</v>
      </c>
      <c r="F160" s="255">
        <f>+'2017 TEST'!P258</f>
        <v>0</v>
      </c>
      <c r="G160" s="255">
        <f>+'2018 SUBSEQUENT'!P186</f>
        <v>0</v>
      </c>
      <c r="I160" s="256">
        <f t="shared" ref="I160:N160" si="97">+B160/B$173</f>
        <v>3.1332152933684571E-4</v>
      </c>
      <c r="J160" s="256">
        <f t="shared" si="97"/>
        <v>3.3100686075627632E-4</v>
      </c>
      <c r="K160" s="256">
        <f t="shared" si="97"/>
        <v>2.9769115649303039E-4</v>
      </c>
      <c r="L160" s="256">
        <f t="shared" si="97"/>
        <v>2.7973170881713907E-4</v>
      </c>
      <c r="M160" s="256">
        <f t="shared" si="97"/>
        <v>0</v>
      </c>
      <c r="N160" s="256">
        <f t="shared" si="97"/>
        <v>0</v>
      </c>
      <c r="P160" s="257">
        <f>(+M160-L160)/L160</f>
        <v>-1</v>
      </c>
      <c r="R160" s="284"/>
      <c r="S160" s="284"/>
      <c r="T160" s="284"/>
      <c r="U160" s="282"/>
      <c r="W160" s="263"/>
      <c r="X160" s="263"/>
      <c r="Y160" s="263"/>
      <c r="Z160" s="260"/>
    </row>
    <row r="161" spans="1:27">
      <c r="A161" s="254" t="s">
        <v>342</v>
      </c>
      <c r="B161" s="299">
        <f>IFERROR(VLOOKUP(A158,'Avg GNCP'!$B$47:$P$72,15,FALSE),0)</f>
        <v>13650</v>
      </c>
      <c r="C161" s="299">
        <f>IFERROR(VLOOKUP(A158,'Avg GNCP'!$B$82:$P$107,15,FALSE),0)</f>
        <v>13557</v>
      </c>
      <c r="D161" s="299">
        <f>IFERROR(VLOOKUP(A158,'Avg GNCP'!$B$124:$P$150,15,FALSE),0)</f>
        <v>13556</v>
      </c>
      <c r="E161" s="255">
        <f>+'2016 PRIOR'!Q187</f>
        <v>13000</v>
      </c>
      <c r="F161" s="255">
        <f>+'2017 TEST'!Q259</f>
        <v>0</v>
      </c>
      <c r="G161" s="255">
        <f>+'2018 SUBSEQUENT'!Q187</f>
        <v>0</v>
      </c>
      <c r="I161" s="256">
        <f t="shared" ref="I161:N161" si="98">+B161/B$174</f>
        <v>6.272965833429917E-4</v>
      </c>
      <c r="J161" s="256">
        <f t="shared" si="98"/>
        <v>5.9497064820246187E-4</v>
      </c>
      <c r="K161" s="256">
        <f t="shared" si="98"/>
        <v>5.4644425466430645E-4</v>
      </c>
      <c r="L161" s="256">
        <f t="shared" si="98"/>
        <v>5.4771790598613548E-4</v>
      </c>
      <c r="M161" s="256">
        <f t="shared" si="98"/>
        <v>0</v>
      </c>
      <c r="N161" s="256">
        <f t="shared" si="98"/>
        <v>0</v>
      </c>
      <c r="P161" s="257">
        <f>(+M161-L161)/L161</f>
        <v>-1</v>
      </c>
      <c r="R161" s="284"/>
      <c r="T161" s="284"/>
      <c r="U161" s="282"/>
      <c r="V161" s="494"/>
      <c r="W161" s="263"/>
      <c r="X161" s="263"/>
      <c r="Y161" s="263"/>
      <c r="Z161" s="260"/>
    </row>
    <row r="162" spans="1:27">
      <c r="A162" s="254" t="s">
        <v>148</v>
      </c>
      <c r="B162" s="299">
        <f>IFERROR(VLOOKUP(A158,'Avg CP'!$B$48:$P$73,15,FALSE),0)</f>
        <v>11248.5</v>
      </c>
      <c r="C162" s="299">
        <f>IFERROR(VLOOKUP(A158,'Avg CP'!$B$83:$P$108,15,FALSE),0)</f>
        <v>10927.833333333334</v>
      </c>
      <c r="D162" s="299">
        <f>IFERROR(VLOOKUP(A158,'Avg CP'!$B$125:$P$151,15,FALSE),0)</f>
        <v>11315.166666666666</v>
      </c>
      <c r="E162" s="255">
        <f>+'2016 PRIOR'!R188</f>
        <v>13000</v>
      </c>
      <c r="F162" s="255">
        <f>+'2017 TEST'!R260</f>
        <v>0</v>
      </c>
      <c r="G162" s="255">
        <f>+'2018 SUBSEQUENT'!R188</f>
        <v>0</v>
      </c>
      <c r="I162" s="256">
        <f t="shared" ref="I162:N162" si="99">+B162/B$175</f>
        <v>6.5698170828531555E-4</v>
      </c>
      <c r="J162" s="256">
        <f t="shared" si="99"/>
        <v>6.3545552431598423E-4</v>
      </c>
      <c r="K162" s="256">
        <f t="shared" si="99"/>
        <v>6.0512010256068673E-4</v>
      </c>
      <c r="L162" s="256">
        <f t="shared" si="99"/>
        <v>6.8699159402795277E-4</v>
      </c>
      <c r="M162" s="256">
        <f t="shared" si="99"/>
        <v>0</v>
      </c>
      <c r="N162" s="256">
        <f t="shared" si="99"/>
        <v>0</v>
      </c>
      <c r="P162" s="257">
        <f>(+M162-L162)/L162</f>
        <v>-1</v>
      </c>
      <c r="R162" s="284"/>
      <c r="S162" s="284"/>
      <c r="T162" s="284"/>
      <c r="U162" s="255"/>
      <c r="V162" s="263"/>
      <c r="W162" s="263"/>
      <c r="X162" s="263"/>
      <c r="Y162" s="263"/>
      <c r="Z162" s="260"/>
    </row>
    <row r="163" spans="1:27">
      <c r="A163" s="254"/>
      <c r="B163" s="255"/>
      <c r="C163" s="255"/>
      <c r="D163" s="255"/>
      <c r="E163" s="255"/>
      <c r="F163" s="255"/>
      <c r="G163" s="255"/>
      <c r="I163" s="256"/>
      <c r="J163" s="256"/>
      <c r="K163" s="256"/>
      <c r="L163" s="256"/>
      <c r="M163" s="256"/>
      <c r="N163" s="256"/>
      <c r="P163" s="257"/>
      <c r="R163" s="284"/>
      <c r="S163" s="284"/>
      <c r="T163" s="284"/>
      <c r="U163" s="255"/>
      <c r="V163" s="263"/>
      <c r="W163" s="263"/>
      <c r="X163" s="263"/>
      <c r="Y163" s="263"/>
      <c r="Z163" s="260"/>
    </row>
    <row r="164" spans="1:27">
      <c r="A164" s="252" t="s">
        <v>986</v>
      </c>
      <c r="B164" s="260"/>
      <c r="C164" s="260"/>
      <c r="D164" s="261"/>
      <c r="E164" s="260"/>
      <c r="F164" s="260"/>
      <c r="G164" s="260"/>
      <c r="H164" s="260"/>
      <c r="I164" s="260"/>
      <c r="J164" s="260"/>
      <c r="K164" s="260"/>
      <c r="L164" s="260"/>
      <c r="M164" s="260"/>
      <c r="N164" s="260"/>
      <c r="O164" s="260"/>
      <c r="P164" s="260"/>
      <c r="R164" s="284"/>
      <c r="S164" s="284"/>
      <c r="T164" s="284"/>
      <c r="U164" s="282"/>
      <c r="V164" s="263"/>
      <c r="W164" s="263"/>
      <c r="X164" s="263"/>
      <c r="Y164" s="263"/>
    </row>
    <row r="165" spans="1:27">
      <c r="A165" s="254" t="s">
        <v>563</v>
      </c>
      <c r="B165" s="298">
        <f>IFERROR(VLOOKUP(A164,'Avg KWH'!$B$48:$P$73,14,FALSE),0)</f>
        <v>0</v>
      </c>
      <c r="C165" s="298">
        <f>IFERROR(VLOOKUP(A164,'Avg KWH'!$B$83:$P$108,14,FALSE),0)</f>
        <v>0</v>
      </c>
      <c r="D165" s="298">
        <f>IFERROR(VLOOKUP(A164,'Avg KWH'!$B$118:$P$144,14,FALSE),0)</f>
        <v>196949000</v>
      </c>
      <c r="E165" s="255">
        <f>+'2016 PRIOR'!O192</f>
        <v>270200330.28999984</v>
      </c>
      <c r="F165" s="255">
        <f>+'2017 TEST'!O267</f>
        <v>19111660.261500016</v>
      </c>
      <c r="G165" s="255">
        <f>+'2018 SUBSEQUENT'!O192</f>
        <v>480000</v>
      </c>
      <c r="I165" s="256">
        <f t="shared" ref="I165:N165" si="100">+B165/B$172</f>
        <v>0</v>
      </c>
      <c r="J165" s="256">
        <f t="shared" si="100"/>
        <v>0</v>
      </c>
      <c r="K165" s="256">
        <f t="shared" si="100"/>
        <v>1.7855380945023985E-3</v>
      </c>
      <c r="L165" s="256">
        <f t="shared" si="100"/>
        <v>2.3722965336011935E-3</v>
      </c>
      <c r="M165" s="256">
        <f t="shared" si="100"/>
        <v>1.6878024318530175E-4</v>
      </c>
      <c r="N165" s="256">
        <f t="shared" si="100"/>
        <v>4.2152665544271296E-6</v>
      </c>
      <c r="P165" s="257">
        <f>(+M165-L165)/L165</f>
        <v>-0.92885364843951868</v>
      </c>
      <c r="R165" s="284"/>
      <c r="S165" s="284"/>
      <c r="T165" s="284"/>
      <c r="U165" s="282"/>
      <c r="V165" s="263"/>
      <c r="W165" s="263"/>
      <c r="X165" s="263"/>
      <c r="Y165" s="263"/>
      <c r="Z165" s="263"/>
    </row>
    <row r="166" spans="1:27">
      <c r="A166" s="254" t="s">
        <v>133</v>
      </c>
      <c r="B166" s="299">
        <f>IFERROR(VLOOKUP(A164,'Avg NCP'!$B$48:$P$73,15,FALSE),0)</f>
        <v>0</v>
      </c>
      <c r="C166" s="299">
        <f>IFERROR(VLOOKUP(A164,'Avg NCP'!$B$83:$P$108,15,FALSE),0)</f>
        <v>0</v>
      </c>
      <c r="D166" s="299">
        <f>IFERROR(VLOOKUP(A164,'Avg NCP'!$B$118:$P$144,15,FALSE),0)</f>
        <v>23000</v>
      </c>
      <c r="E166" s="255">
        <f>+'2016 PRIOR'!P193</f>
        <v>60000</v>
      </c>
      <c r="F166" s="255">
        <f>+'2017 TEST'!P268</f>
        <v>60000</v>
      </c>
      <c r="G166" s="255">
        <f>+'2018 SUBSEQUENT'!P193</f>
        <v>60000</v>
      </c>
      <c r="I166" s="256">
        <f t="shared" ref="I166:N166" si="101">+B166/B$173</f>
        <v>0</v>
      </c>
      <c r="J166" s="256">
        <f t="shared" si="101"/>
        <v>0</v>
      </c>
      <c r="K166" s="256">
        <f t="shared" si="101"/>
        <v>5.0508236938180131E-4</v>
      </c>
      <c r="L166" s="256">
        <f t="shared" si="101"/>
        <v>1.2910694253098728E-3</v>
      </c>
      <c r="M166" s="256">
        <f t="shared" si="101"/>
        <v>1.2819466083344255E-3</v>
      </c>
      <c r="N166" s="256">
        <f t="shared" si="101"/>
        <v>1.277272806074235E-3</v>
      </c>
      <c r="P166" s="257">
        <f>(+M166-L166)/L166</f>
        <v>-7.0660932685766573E-3</v>
      </c>
      <c r="R166" s="284"/>
      <c r="S166" s="284"/>
      <c r="T166" s="284"/>
      <c r="U166" s="282"/>
      <c r="V166" s="263"/>
      <c r="W166" s="263"/>
      <c r="X166" s="263"/>
      <c r="Y166" s="263"/>
      <c r="Z166" s="263"/>
    </row>
    <row r="167" spans="1:27">
      <c r="A167" s="254" t="s">
        <v>342</v>
      </c>
      <c r="B167" s="299">
        <f>IFERROR(VLOOKUP(A164,'Avg GNCP'!$B$47:$P$72,15,FALSE),0)</f>
        <v>0</v>
      </c>
      <c r="C167" s="299">
        <f>IFERROR(VLOOKUP(A164,'Avg GNCP'!$B$82:$P$107,15,FALSE),0)</f>
        <v>0</v>
      </c>
      <c r="D167" s="299">
        <f>IFERROR(VLOOKUP(A164,'Avg GNCP'!$B$124:$P$150,15,FALSE),0)</f>
        <v>23000</v>
      </c>
      <c r="E167" s="255">
        <f>+'2016 PRIOR'!Q194</f>
        <v>60000</v>
      </c>
      <c r="F167" s="255">
        <f>+'2017 TEST'!Q269</f>
        <v>60000</v>
      </c>
      <c r="G167" s="255">
        <f>+'2018 SUBSEQUENT'!Q194</f>
        <v>60000</v>
      </c>
      <c r="I167" s="256">
        <f t="shared" ref="I167:N167" si="102">+B167/B$174</f>
        <v>0</v>
      </c>
      <c r="J167" s="256">
        <f t="shared" si="102"/>
        <v>0</v>
      </c>
      <c r="K167" s="256">
        <f t="shared" si="102"/>
        <v>9.2713321461190975E-4</v>
      </c>
      <c r="L167" s="256">
        <f t="shared" si="102"/>
        <v>2.527928796859087E-3</v>
      </c>
      <c r="M167" s="256">
        <f t="shared" si="102"/>
        <v>2.512068370580637E-3</v>
      </c>
      <c r="N167" s="256">
        <f t="shared" si="102"/>
        <v>2.5200895710774025E-3</v>
      </c>
      <c r="P167" s="257">
        <f>(+M167-L167)/L167</f>
        <v>-6.2740795144848602E-3</v>
      </c>
      <c r="R167" s="284"/>
      <c r="T167" s="284"/>
      <c r="U167" s="282"/>
      <c r="V167" s="263"/>
      <c r="W167" s="263"/>
      <c r="X167" s="263"/>
      <c r="Y167" s="263"/>
      <c r="Z167" s="263"/>
    </row>
    <row r="168" spans="1:27">
      <c r="A168" s="254" t="s">
        <v>148</v>
      </c>
      <c r="B168" s="299">
        <f>IFERROR(VLOOKUP(A164,'Avg CP'!$B$48:$P$73,15,FALSE),0)</f>
        <v>0</v>
      </c>
      <c r="C168" s="299">
        <f>IFERROR(VLOOKUP(A164,'Avg CP'!$B$83:$P$108,15,FALSE),0)</f>
        <v>0</v>
      </c>
      <c r="D168" s="299">
        <f>IFERROR(VLOOKUP(A164,'Avg CP'!$B$125:$P$151,15,FALSE),0)</f>
        <v>23000</v>
      </c>
      <c r="E168" s="255">
        <f>+'2016 PRIOR'!R195</f>
        <v>60000</v>
      </c>
      <c r="F168" s="255">
        <f>+'2017 TEST'!R270</f>
        <v>9786.3004737180072</v>
      </c>
      <c r="G168" s="255">
        <f>+'2018 SUBSEQUENT'!R195</f>
        <v>9785.5364851740305</v>
      </c>
      <c r="I168" s="256">
        <f t="shared" ref="I168:N168" si="103">+B168/B$175</f>
        <v>0</v>
      </c>
      <c r="J168" s="256">
        <f t="shared" si="103"/>
        <v>0</v>
      </c>
      <c r="K168" s="256">
        <f t="shared" si="103"/>
        <v>1.2300094880525368E-3</v>
      </c>
      <c r="L168" s="256">
        <f t="shared" si="103"/>
        <v>3.1707304339751662E-3</v>
      </c>
      <c r="M168" s="256">
        <f t="shared" si="103"/>
        <v>4.9490639085353696E-4</v>
      </c>
      <c r="N168" s="256">
        <f t="shared" si="103"/>
        <v>4.8959150611798633E-4</v>
      </c>
      <c r="P168" s="257">
        <f>(+M168-L168)/L168</f>
        <v>-0.84391407558634068</v>
      </c>
      <c r="R168" s="284"/>
      <c r="S168" s="284"/>
      <c r="T168" s="284"/>
      <c r="U168" s="255"/>
      <c r="V168" s="263"/>
      <c r="W168" s="263"/>
      <c r="X168" s="263"/>
      <c r="Y168" s="263"/>
      <c r="Z168" s="263"/>
    </row>
    <row r="169" spans="1:27">
      <c r="A169" s="259"/>
      <c r="D169" s="255"/>
      <c r="R169" s="284"/>
      <c r="S169" s="284"/>
      <c r="T169" s="284"/>
      <c r="U169" s="255"/>
      <c r="V169" s="263"/>
      <c r="W169" s="263"/>
      <c r="X169" s="263"/>
      <c r="Y169" s="263"/>
      <c r="Z169" s="263"/>
      <c r="AA169" s="260"/>
    </row>
    <row r="170" spans="1:27" s="260" customFormat="1">
      <c r="D170" s="261"/>
      <c r="R170" s="284"/>
      <c r="S170" s="284"/>
      <c r="T170" s="284"/>
      <c r="U170" s="282"/>
      <c r="V170" s="263"/>
      <c r="W170" s="263"/>
      <c r="X170" s="263"/>
      <c r="Y170" s="263"/>
      <c r="Z170" s="263"/>
    </row>
    <row r="171" spans="1:27" s="260" customFormat="1" ht="15.6">
      <c r="A171" s="250" t="s">
        <v>564</v>
      </c>
      <c r="D171" s="261"/>
      <c r="T171" s="263"/>
      <c r="U171" s="263"/>
      <c r="V171" s="263"/>
      <c r="W171" s="263"/>
      <c r="X171" s="263"/>
      <c r="Y171" s="263"/>
      <c r="Z171" s="263"/>
    </row>
    <row r="172" spans="1:27" s="260" customFormat="1">
      <c r="A172" s="254" t="s">
        <v>563</v>
      </c>
      <c r="B172" s="262">
        <f t="shared" ref="B172:G172" si="104">+B13+B19+B25+B31+B37+B43+B49+B55+B61+B67+B73+B79+B85+B91+B97+B103+B109+B117+B123+B129+B135+B141+B147+B153+B159+B165</f>
        <v>104278982774</v>
      </c>
      <c r="C172" s="262">
        <f t="shared" si="104"/>
        <v>105123799410</v>
      </c>
      <c r="D172" s="262">
        <f t="shared" si="104"/>
        <v>110302323208</v>
      </c>
      <c r="E172" s="262">
        <f t="shared" si="104"/>
        <v>113898210642.2549</v>
      </c>
      <c r="F172" s="262">
        <f t="shared" si="104"/>
        <v>113233989362.8282</v>
      </c>
      <c r="G172" s="262">
        <f t="shared" si="104"/>
        <v>113871802364.63927</v>
      </c>
      <c r="I172" s="256">
        <f t="shared" ref="I172:N172" si="105">+B172/B$172</f>
        <v>1</v>
      </c>
      <c r="J172" s="256">
        <f t="shared" si="105"/>
        <v>1</v>
      </c>
      <c r="K172" s="256">
        <f t="shared" si="105"/>
        <v>1</v>
      </c>
      <c r="L172" s="256">
        <f t="shared" si="105"/>
        <v>1</v>
      </c>
      <c r="M172" s="256">
        <f t="shared" si="105"/>
        <v>1</v>
      </c>
      <c r="N172" s="256">
        <f t="shared" si="105"/>
        <v>1</v>
      </c>
      <c r="T172" s="263"/>
      <c r="U172" s="263"/>
      <c r="V172" s="263"/>
      <c r="W172" s="263"/>
      <c r="X172" s="263"/>
      <c r="Y172" s="263"/>
      <c r="Z172" s="263"/>
    </row>
    <row r="173" spans="1:27" s="260" customFormat="1">
      <c r="A173" s="254" t="s">
        <v>133</v>
      </c>
      <c r="B173" s="262">
        <f>+B14+B20+B26+B32+B38+B44+B50+B56+B62+B68+B74+B80+B86+B92+B98+B104+B110+B118+B124+B130+B136+B142+B148+B154+B160+B166</f>
        <v>43565471</v>
      </c>
      <c r="C173" s="262">
        <f>+C14+C20+C26+C32+C38+C44+C50+C56+C62+C68+C74+C80+C86+C92+C98+C104+C110+C118+C124+C130+C136+C142+C148+C154+C160+C166</f>
        <v>40956855</v>
      </c>
      <c r="D173" s="262">
        <f>+D14+D20+D26+D32+D38+D44+D50+D56+D62+D68+D74+D80+D86+D92+D98+D104+D110+D118+D124+D130+D136+D142+D148+D154+D160+D166</f>
        <v>45537127</v>
      </c>
      <c r="E173" s="262">
        <f>+E14+E20+E26+E32+E38+E44+E50+E56+E62+E68+E74+E80+E86+E92+E98+E104+E110+E118+E124+E130+E136+E142+E148+E154+E160+E166</f>
        <v>46473101.154571339</v>
      </c>
      <c r="F173" s="262">
        <f t="shared" ref="C173:G175" si="106">+F14+F20+F26+F32+F38+F44+F50+F56+F62+F68+F74+F80+F86+F92+F98+F104+F110+F118+F124+F130+F136+F142+F148+F154+F160+F166</f>
        <v>46803821.321353823</v>
      </c>
      <c r="G173" s="262">
        <f t="shared" si="106"/>
        <v>46975086.069837458</v>
      </c>
      <c r="I173" s="256">
        <f t="shared" ref="I173:N173" si="107">+B173/B$173</f>
        <v>1</v>
      </c>
      <c r="J173" s="256">
        <f t="shared" si="107"/>
        <v>1</v>
      </c>
      <c r="K173" s="256">
        <f t="shared" si="107"/>
        <v>1</v>
      </c>
      <c r="L173" s="256">
        <f t="shared" si="107"/>
        <v>1</v>
      </c>
      <c r="M173" s="256">
        <f t="shared" si="107"/>
        <v>1</v>
      </c>
      <c r="N173" s="256">
        <f t="shared" si="107"/>
        <v>1</v>
      </c>
      <c r="T173" s="263"/>
      <c r="U173" s="263"/>
      <c r="V173" s="263"/>
      <c r="W173" s="263"/>
      <c r="X173" s="263"/>
      <c r="Y173" s="263"/>
      <c r="Z173" s="263"/>
      <c r="AA173" s="253"/>
    </row>
    <row r="174" spans="1:27">
      <c r="A174" s="254" t="s">
        <v>342</v>
      </c>
      <c r="B174" s="262">
        <f>+B15+B21+B27+B33+B39+B45+B51+B57+B63+B69+B75+B81+B87+B93+B99+B105+B111+B119+B125+B131+B137+B143+B149+B155+B161+B167</f>
        <v>21760042</v>
      </c>
      <c r="C174" s="262">
        <f t="shared" si="106"/>
        <v>22785998</v>
      </c>
      <c r="D174" s="262">
        <f t="shared" si="106"/>
        <v>24807654</v>
      </c>
      <c r="E174" s="262">
        <f t="shared" si="106"/>
        <v>23734845.726093665</v>
      </c>
      <c r="F174" s="262">
        <f t="shared" si="106"/>
        <v>23884700.234544832</v>
      </c>
      <c r="G174" s="262">
        <f t="shared" si="106"/>
        <v>23808677.552023865</v>
      </c>
      <c r="I174" s="256">
        <f t="shared" ref="I174:N174" si="108">+B174/B$174</f>
        <v>1</v>
      </c>
      <c r="J174" s="256">
        <f t="shared" si="108"/>
        <v>1</v>
      </c>
      <c r="K174" s="256">
        <f t="shared" si="108"/>
        <v>1</v>
      </c>
      <c r="L174" s="256">
        <f t="shared" si="108"/>
        <v>1</v>
      </c>
      <c r="M174" s="256">
        <f t="shared" si="108"/>
        <v>1</v>
      </c>
      <c r="N174" s="256">
        <f t="shared" si="108"/>
        <v>1</v>
      </c>
      <c r="R174" s="260"/>
      <c r="S174" s="260"/>
      <c r="T174" s="263"/>
      <c r="U174" s="263"/>
      <c r="V174" s="263"/>
      <c r="W174" s="263"/>
      <c r="X174" s="263"/>
      <c r="Y174" s="263"/>
      <c r="Z174" s="263"/>
      <c r="AA174" s="263"/>
    </row>
    <row r="175" spans="1:27" s="263" customFormat="1">
      <c r="A175" s="254" t="s">
        <v>148</v>
      </c>
      <c r="B175" s="262">
        <f>+B16+B22+B28+B34+B40+B46+B52+B58+B64+B70+B76+B82+B88+B94+B100+B106+B112+B120+B126+B132+B138+B144+B150+B156+B162+B168</f>
        <v>17121481.25</v>
      </c>
      <c r="C175" s="262">
        <f t="shared" si="106"/>
        <v>17196850</v>
      </c>
      <c r="D175" s="262">
        <f t="shared" si="106"/>
        <v>18699042.75</v>
      </c>
      <c r="E175" s="262">
        <f t="shared" si="106"/>
        <v>18923084.522444751</v>
      </c>
      <c r="F175" s="262">
        <f t="shared" si="106"/>
        <v>19774043.444539342</v>
      </c>
      <c r="G175" s="262">
        <f t="shared" si="106"/>
        <v>19987145.125871159</v>
      </c>
      <c r="I175" s="256">
        <f t="shared" ref="I175:N175" si="109">+B175/B$175</f>
        <v>1</v>
      </c>
      <c r="J175" s="256">
        <f t="shared" si="109"/>
        <v>1</v>
      </c>
      <c r="K175" s="256">
        <f t="shared" si="109"/>
        <v>1</v>
      </c>
      <c r="L175" s="256">
        <f t="shared" si="109"/>
        <v>1</v>
      </c>
      <c r="M175" s="256">
        <f t="shared" si="109"/>
        <v>1</v>
      </c>
      <c r="N175" s="256">
        <f t="shared" si="109"/>
        <v>1</v>
      </c>
    </row>
    <row r="176" spans="1:27" s="263" customFormat="1">
      <c r="D176" s="264"/>
    </row>
    <row r="177" spans="1:7" s="263" customFormat="1">
      <c r="D177" s="264"/>
    </row>
    <row r="178" spans="1:7" s="263" customFormat="1" ht="15.6">
      <c r="A178" s="250" t="s">
        <v>565</v>
      </c>
      <c r="D178" s="264"/>
    </row>
    <row r="179" spans="1:7" s="263" customFormat="1">
      <c r="A179" s="254" t="s">
        <v>563</v>
      </c>
      <c r="B179" s="265">
        <f>(B172-B117-B123-B129-B135-B141-B147-B153-B159-B165)/B172</f>
        <v>0.98070483237872863</v>
      </c>
      <c r="C179" s="265">
        <f t="shared" ref="C179:G179" si="110">(C172-C117-C123-C129-C135-C141-C147-C153-C159-C165)/C172</f>
        <v>0.98039546033755742</v>
      </c>
      <c r="D179" s="265">
        <f t="shared" si="110"/>
        <v>0.95381786832001614</v>
      </c>
      <c r="E179" s="265">
        <f>(E172-E117-E123-E129-E135-E141-E147-E153-E159-E165)/E172</f>
        <v>0.942719054439346</v>
      </c>
      <c r="F179" s="265">
        <f t="shared" si="110"/>
        <v>0.94712265980806509</v>
      </c>
      <c r="G179" s="265">
        <f t="shared" si="110"/>
        <v>0.94719565278869722</v>
      </c>
    </row>
    <row r="180" spans="1:7" s="263" customFormat="1">
      <c r="A180" s="254" t="s">
        <v>133</v>
      </c>
      <c r="B180" s="265">
        <f>(B173-B118-B124-B130-B136-B142-B148-B154-B160-B166)/B173</f>
        <v>0.99061534305459475</v>
      </c>
      <c r="C180" s="265">
        <f t="shared" ref="C180:G180" si="111">(C173-C118-C124-C130-C136-C142-C148-C154-C160-C166)/C173</f>
        <v>0.99008708066085638</v>
      </c>
      <c r="D180" s="265">
        <f t="shared" si="111"/>
        <v>0.97636407760199717</v>
      </c>
      <c r="E180" s="265">
        <f t="shared" si="111"/>
        <v>0.97166470566231045</v>
      </c>
      <c r="F180" s="265">
        <f t="shared" si="111"/>
        <v>0.97216373218494789</v>
      </c>
      <c r="G180" s="265">
        <f t="shared" si="111"/>
        <v>0.9730085220468786</v>
      </c>
    </row>
    <row r="181" spans="1:7" s="263" customFormat="1">
      <c r="A181" s="254" t="s">
        <v>342</v>
      </c>
      <c r="B181" s="265">
        <f>(B174-B119-B125-B131-B137-B143-B150-B155-B161-B167)/B174</f>
        <v>0.98121111163296471</v>
      </c>
      <c r="C181" s="265">
        <f t="shared" ref="C181:G181" si="112">(C174-C119-C125-C131-C137-C143-C150-C155-C161-C167)/C174</f>
        <v>0.98218195226735294</v>
      </c>
      <c r="D181" s="265">
        <f t="shared" si="112"/>
        <v>0.95661371284846197</v>
      </c>
      <c r="E181" s="265">
        <f t="shared" si="112"/>
        <v>0.94518625982740745</v>
      </c>
      <c r="F181" s="265">
        <f t="shared" si="112"/>
        <v>0.94611853246716759</v>
      </c>
      <c r="G181" s="265">
        <f t="shared" si="112"/>
        <v>0.94741304927648629</v>
      </c>
    </row>
    <row r="182" spans="1:7" s="263" customFormat="1">
      <c r="A182" s="254" t="s">
        <v>148</v>
      </c>
      <c r="B182" s="265">
        <f>(B175-B120-B126-B132-B138-B144-B151-B156-B162-B168)/B175</f>
        <v>0.98046803534205496</v>
      </c>
      <c r="C182" s="265">
        <f t="shared" ref="C182:G182" si="113">(C175-C120-C126-C132-C138-C144-C151-C156-C162-C168)/C175</f>
        <v>0.97987422115096656</v>
      </c>
      <c r="D182" s="265">
        <f t="shared" si="113"/>
        <v>0.95306421055519885</v>
      </c>
      <c r="E182" s="265">
        <f t="shared" si="113"/>
        <v>0.94047178353522831</v>
      </c>
      <c r="F182" s="265">
        <f t="shared" si="113"/>
        <v>0.94884697637242077</v>
      </c>
      <c r="G182" s="265">
        <f t="shared" si="113"/>
        <v>0.94955133629126354</v>
      </c>
    </row>
    <row r="183" spans="1:7" s="263" customFormat="1">
      <c r="D183" s="264"/>
    </row>
    <row r="184" spans="1:7" s="263" customFormat="1">
      <c r="D184" s="264"/>
    </row>
    <row r="185" spans="1:7" s="263" customFormat="1" ht="13.8" thickBot="1">
      <c r="D185" s="264"/>
    </row>
    <row r="186" spans="1:7" s="263" customFormat="1">
      <c r="D186" s="266" t="s">
        <v>566</v>
      </c>
      <c r="E186" s="267">
        <v>0.97874916557303249</v>
      </c>
      <c r="F186" s="268">
        <v>0.97876713877318489</v>
      </c>
      <c r="G186" s="268">
        <v>0.97876713877318489</v>
      </c>
    </row>
    <row r="187" spans="1:7" s="263" customFormat="1" ht="13.8" thickBot="1">
      <c r="B187" s="265"/>
      <c r="C187" s="265"/>
      <c r="D187" s="269" t="s">
        <v>566</v>
      </c>
      <c r="E187" s="270">
        <f>+E182-E186</f>
        <v>-3.8277382037804175E-2</v>
      </c>
      <c r="F187" s="271">
        <f>+F182-F186</f>
        <v>-2.9920162400764116E-2</v>
      </c>
      <c r="G187" s="271">
        <f>+G182-G186</f>
        <v>-2.9215802481921349E-2</v>
      </c>
    </row>
    <row r="188" spans="1:7" s="263" customFormat="1">
      <c r="B188" s="265"/>
      <c r="C188" s="265"/>
      <c r="D188" s="265"/>
      <c r="E188" s="265"/>
      <c r="F188" s="265"/>
      <c r="G188" s="265"/>
    </row>
    <row r="189" spans="1:7" s="263" customFormat="1">
      <c r="B189" s="265"/>
      <c r="C189" s="265"/>
      <c r="D189" s="265"/>
      <c r="E189" s="265"/>
      <c r="F189" s="265"/>
      <c r="G189" s="265"/>
    </row>
    <row r="190" spans="1:7" s="263" customFormat="1">
      <c r="D190" s="264"/>
    </row>
    <row r="191" spans="1:7" s="263" customFormat="1">
      <c r="D191" s="264"/>
    </row>
    <row r="192" spans="1:7" s="263" customFormat="1">
      <c r="D192" s="264"/>
    </row>
    <row r="193" spans="4:4" s="263" customFormat="1">
      <c r="D193" s="264"/>
    </row>
    <row r="194" spans="4:4" s="263" customFormat="1">
      <c r="D194" s="264"/>
    </row>
    <row r="195" spans="4:4" s="263" customFormat="1">
      <c r="D195" s="264"/>
    </row>
    <row r="196" spans="4:4" s="263" customFormat="1">
      <c r="D196" s="264"/>
    </row>
    <row r="197" spans="4:4" s="263" customFormat="1">
      <c r="D197" s="264"/>
    </row>
    <row r="198" spans="4:4" s="263" customFormat="1">
      <c r="D198" s="264"/>
    </row>
    <row r="199" spans="4:4" s="263" customFormat="1">
      <c r="D199" s="264"/>
    </row>
    <row r="200" spans="4:4" s="263" customFormat="1">
      <c r="D200" s="264"/>
    </row>
    <row r="201" spans="4:4" s="263" customFormat="1">
      <c r="D201" s="264"/>
    </row>
    <row r="202" spans="4:4" s="263" customFormat="1">
      <c r="D202" s="264"/>
    </row>
    <row r="203" spans="4:4" s="263" customFormat="1">
      <c r="D203" s="264"/>
    </row>
    <row r="204" spans="4:4" s="263" customFormat="1">
      <c r="D204" s="264"/>
    </row>
    <row r="205" spans="4:4" s="263" customFormat="1">
      <c r="D205" s="264"/>
    </row>
    <row r="206" spans="4:4" s="263" customFormat="1">
      <c r="D206" s="264"/>
    </row>
    <row r="207" spans="4:4" s="263" customFormat="1">
      <c r="D207" s="264"/>
    </row>
    <row r="208" spans="4:4" s="263" customFormat="1">
      <c r="D208" s="264"/>
    </row>
    <row r="209" spans="4:4" s="263" customFormat="1">
      <c r="D209" s="264"/>
    </row>
    <row r="210" spans="4:4" s="263" customFormat="1">
      <c r="D210" s="264"/>
    </row>
    <row r="211" spans="4:4" s="263" customFormat="1">
      <c r="D211" s="264"/>
    </row>
    <row r="212" spans="4:4" s="263" customFormat="1">
      <c r="D212" s="264"/>
    </row>
    <row r="213" spans="4:4" s="263" customFormat="1">
      <c r="D213" s="264"/>
    </row>
    <row r="214" spans="4:4" s="263" customFormat="1">
      <c r="D214" s="264"/>
    </row>
    <row r="215" spans="4:4" s="263" customFormat="1">
      <c r="D215" s="264"/>
    </row>
    <row r="216" spans="4:4" s="263" customFormat="1">
      <c r="D216" s="264"/>
    </row>
    <row r="217" spans="4:4" s="263" customFormat="1">
      <c r="D217" s="264"/>
    </row>
    <row r="218" spans="4:4" s="263" customFormat="1">
      <c r="D218" s="264"/>
    </row>
    <row r="219" spans="4:4" s="263" customFormat="1">
      <c r="D219" s="264"/>
    </row>
    <row r="220" spans="4:4" s="263" customFormat="1">
      <c r="D220" s="264"/>
    </row>
    <row r="221" spans="4:4" s="263" customFormat="1">
      <c r="D221" s="264"/>
    </row>
    <row r="222" spans="4:4" s="263" customFormat="1">
      <c r="D222" s="264"/>
    </row>
    <row r="223" spans="4:4" s="263" customFormat="1">
      <c r="D223" s="264"/>
    </row>
    <row r="224" spans="4:4" s="263" customFormat="1">
      <c r="D224" s="264"/>
    </row>
    <row r="225" spans="4:4" s="263" customFormat="1">
      <c r="D225" s="264"/>
    </row>
    <row r="226" spans="4:4" s="263" customFormat="1">
      <c r="D226" s="264"/>
    </row>
    <row r="227" spans="4:4" s="263" customFormat="1">
      <c r="D227" s="264"/>
    </row>
    <row r="228" spans="4:4" s="263" customFormat="1">
      <c r="D228" s="264"/>
    </row>
    <row r="229" spans="4:4" s="263" customFormat="1">
      <c r="D229" s="264"/>
    </row>
    <row r="230" spans="4:4" s="263" customFormat="1">
      <c r="D230" s="264"/>
    </row>
    <row r="231" spans="4:4" s="263" customFormat="1">
      <c r="D231" s="264"/>
    </row>
    <row r="232" spans="4:4" s="263" customFormat="1">
      <c r="D232" s="264"/>
    </row>
    <row r="233" spans="4:4" s="263" customFormat="1">
      <c r="D233" s="264"/>
    </row>
    <row r="234" spans="4:4" s="263" customFormat="1">
      <c r="D234" s="264"/>
    </row>
    <row r="235" spans="4:4" s="263" customFormat="1">
      <c r="D235" s="264"/>
    </row>
    <row r="236" spans="4:4" s="263" customFormat="1">
      <c r="D236" s="264"/>
    </row>
    <row r="237" spans="4:4" s="263" customFormat="1">
      <c r="D237" s="264"/>
    </row>
    <row r="238" spans="4:4" s="263" customFormat="1">
      <c r="D238" s="264"/>
    </row>
    <row r="239" spans="4:4" s="263" customFormat="1">
      <c r="D239" s="264"/>
    </row>
    <row r="240" spans="4:4" s="263" customFormat="1">
      <c r="D240" s="264"/>
    </row>
    <row r="241" spans="4:4" s="263" customFormat="1">
      <c r="D241" s="264"/>
    </row>
    <row r="242" spans="4:4" s="263" customFormat="1">
      <c r="D242" s="264"/>
    </row>
    <row r="243" spans="4:4" s="263" customFormat="1">
      <c r="D243" s="264"/>
    </row>
    <row r="244" spans="4:4" s="263" customFormat="1">
      <c r="D244" s="264"/>
    </row>
    <row r="245" spans="4:4" s="263" customFormat="1">
      <c r="D245" s="264"/>
    </row>
    <row r="246" spans="4:4" s="263" customFormat="1">
      <c r="D246" s="264"/>
    </row>
    <row r="247" spans="4:4" s="263" customFormat="1">
      <c r="D247" s="264"/>
    </row>
    <row r="248" spans="4:4" s="263" customFormat="1">
      <c r="D248" s="264"/>
    </row>
    <row r="249" spans="4:4" s="263" customFormat="1">
      <c r="D249" s="264"/>
    </row>
    <row r="250" spans="4:4" s="263" customFormat="1">
      <c r="D250" s="264"/>
    </row>
    <row r="251" spans="4:4" s="263" customFormat="1">
      <c r="D251" s="264"/>
    </row>
    <row r="252" spans="4:4" s="263" customFormat="1">
      <c r="D252" s="264"/>
    </row>
    <row r="253" spans="4:4" s="263" customFormat="1">
      <c r="D253" s="264"/>
    </row>
    <row r="254" spans="4:4" s="263" customFormat="1">
      <c r="D254" s="264"/>
    </row>
    <row r="255" spans="4:4" s="263" customFormat="1">
      <c r="D255" s="264"/>
    </row>
    <row r="256" spans="4:4" s="263" customFormat="1">
      <c r="D256" s="264"/>
    </row>
    <row r="257" spans="4:4" s="263" customFormat="1">
      <c r="D257" s="264"/>
    </row>
    <row r="258" spans="4:4" s="263" customFormat="1">
      <c r="D258" s="264"/>
    </row>
    <row r="259" spans="4:4" s="263" customFormat="1">
      <c r="D259" s="264"/>
    </row>
    <row r="260" spans="4:4" s="263" customFormat="1">
      <c r="D260" s="264"/>
    </row>
    <row r="261" spans="4:4" s="263" customFormat="1">
      <c r="D261" s="264"/>
    </row>
    <row r="262" spans="4:4" s="263" customFormat="1">
      <c r="D262" s="264"/>
    </row>
    <row r="263" spans="4:4" s="263" customFormat="1">
      <c r="D263" s="264"/>
    </row>
    <row r="264" spans="4:4" s="263" customFormat="1">
      <c r="D264" s="264"/>
    </row>
    <row r="265" spans="4:4" s="263" customFormat="1">
      <c r="D265" s="264"/>
    </row>
    <row r="266" spans="4:4" s="263" customFormat="1">
      <c r="D266" s="264"/>
    </row>
    <row r="267" spans="4:4" s="263" customFormat="1">
      <c r="D267" s="264"/>
    </row>
    <row r="268" spans="4:4" s="263" customFormat="1">
      <c r="D268" s="264"/>
    </row>
    <row r="269" spans="4:4" s="263" customFormat="1">
      <c r="D269" s="264"/>
    </row>
    <row r="270" spans="4:4" s="263" customFormat="1">
      <c r="D270" s="264"/>
    </row>
    <row r="271" spans="4:4" s="263" customFormat="1">
      <c r="D271" s="264"/>
    </row>
    <row r="272" spans="4:4" s="263" customFormat="1">
      <c r="D272" s="264"/>
    </row>
    <row r="273" spans="4:4" s="263" customFormat="1">
      <c r="D273" s="264"/>
    </row>
    <row r="274" spans="4:4" s="263" customFormat="1">
      <c r="D274" s="264"/>
    </row>
    <row r="275" spans="4:4" s="263" customFormat="1">
      <c r="D275" s="264"/>
    </row>
    <row r="276" spans="4:4" s="263" customFormat="1">
      <c r="D276" s="264"/>
    </row>
    <row r="277" spans="4:4" s="263" customFormat="1">
      <c r="D277" s="264"/>
    </row>
    <row r="278" spans="4:4" s="263" customFormat="1">
      <c r="D278" s="264"/>
    </row>
    <row r="279" spans="4:4" s="263" customFormat="1">
      <c r="D279" s="264"/>
    </row>
    <row r="280" spans="4:4" s="263" customFormat="1">
      <c r="D280" s="264"/>
    </row>
    <row r="281" spans="4:4" s="263" customFormat="1">
      <c r="D281" s="264"/>
    </row>
    <row r="282" spans="4:4" s="263" customFormat="1">
      <c r="D282" s="264"/>
    </row>
    <row r="283" spans="4:4" s="263" customFormat="1">
      <c r="D283" s="264"/>
    </row>
    <row r="284" spans="4:4" s="263" customFormat="1">
      <c r="D284" s="264"/>
    </row>
    <row r="285" spans="4:4" s="263" customFormat="1">
      <c r="D285" s="264"/>
    </row>
    <row r="286" spans="4:4" s="263" customFormat="1">
      <c r="D286" s="264"/>
    </row>
    <row r="287" spans="4:4" s="263" customFormat="1">
      <c r="D287" s="264"/>
    </row>
    <row r="288" spans="4:4" s="263" customFormat="1">
      <c r="D288" s="264"/>
    </row>
    <row r="289" spans="4:4" s="263" customFormat="1">
      <c r="D289" s="264"/>
    </row>
    <row r="290" spans="4:4" s="263" customFormat="1">
      <c r="D290" s="264"/>
    </row>
    <row r="291" spans="4:4" s="263" customFormat="1">
      <c r="D291" s="264"/>
    </row>
    <row r="292" spans="4:4" s="263" customFormat="1">
      <c r="D292" s="264"/>
    </row>
    <row r="293" spans="4:4" s="263" customFormat="1">
      <c r="D293" s="264"/>
    </row>
    <row r="294" spans="4:4" s="263" customFormat="1">
      <c r="D294" s="264"/>
    </row>
    <row r="295" spans="4:4" s="263" customFormat="1">
      <c r="D295" s="264"/>
    </row>
    <row r="296" spans="4:4" s="263" customFormat="1">
      <c r="D296" s="264"/>
    </row>
    <row r="297" spans="4:4" s="263" customFormat="1">
      <c r="D297" s="264"/>
    </row>
    <row r="298" spans="4:4" s="263" customFormat="1">
      <c r="D298" s="264"/>
    </row>
    <row r="299" spans="4:4" s="263" customFormat="1">
      <c r="D299" s="264"/>
    </row>
    <row r="300" spans="4:4" s="263" customFormat="1">
      <c r="D300" s="264"/>
    </row>
    <row r="301" spans="4:4" s="263" customFormat="1">
      <c r="D301" s="264"/>
    </row>
    <row r="302" spans="4:4" s="263" customFormat="1">
      <c r="D302" s="264"/>
    </row>
    <row r="303" spans="4:4" s="263" customFormat="1">
      <c r="D303" s="264"/>
    </row>
    <row r="304" spans="4:4" s="263" customFormat="1">
      <c r="D304" s="264"/>
    </row>
    <row r="305" spans="4:26" s="263" customFormat="1">
      <c r="D305" s="264"/>
      <c r="T305" s="253"/>
      <c r="U305" s="253"/>
      <c r="V305" s="253"/>
    </row>
    <row r="306" spans="4:26" s="263" customFormat="1">
      <c r="D306" s="264"/>
      <c r="T306" s="253"/>
      <c r="U306" s="253"/>
      <c r="V306" s="253"/>
    </row>
    <row r="307" spans="4:26" s="263" customFormat="1">
      <c r="D307" s="264"/>
      <c r="T307" s="253"/>
      <c r="U307" s="253"/>
      <c r="V307" s="253"/>
      <c r="W307" s="253"/>
    </row>
    <row r="308" spans="4:26" s="263" customFormat="1">
      <c r="D308" s="264"/>
      <c r="T308" s="253"/>
      <c r="U308" s="253"/>
      <c r="V308" s="253"/>
      <c r="W308" s="253"/>
    </row>
    <row r="309" spans="4:26" s="263" customFormat="1">
      <c r="D309" s="264"/>
      <c r="T309" s="253"/>
      <c r="U309" s="253"/>
      <c r="V309" s="253"/>
      <c r="W309" s="253"/>
      <c r="X309" s="253"/>
    </row>
    <row r="310" spans="4:26" s="263" customFormat="1">
      <c r="D310" s="264"/>
      <c r="T310" s="253"/>
      <c r="U310" s="253"/>
      <c r="V310" s="253"/>
      <c r="W310" s="253"/>
      <c r="X310" s="253"/>
    </row>
    <row r="311" spans="4:26" s="263" customFormat="1">
      <c r="D311" s="264"/>
      <c r="T311" s="253"/>
      <c r="U311" s="253"/>
      <c r="V311" s="253"/>
      <c r="W311" s="253"/>
      <c r="X311" s="253"/>
      <c r="Y311" s="253"/>
    </row>
    <row r="312" spans="4:26" s="263" customFormat="1">
      <c r="D312" s="264"/>
      <c r="T312" s="253"/>
      <c r="U312" s="253"/>
      <c r="V312" s="253"/>
      <c r="W312" s="253"/>
      <c r="X312" s="253"/>
      <c r="Y312" s="253"/>
    </row>
    <row r="313" spans="4:26" s="263" customFormat="1">
      <c r="D313" s="264"/>
      <c r="T313" s="253"/>
      <c r="U313" s="253"/>
      <c r="V313" s="253"/>
      <c r="W313" s="253"/>
      <c r="X313" s="253"/>
      <c r="Y313" s="253"/>
    </row>
    <row r="314" spans="4:26" s="263" customFormat="1">
      <c r="D314" s="264"/>
      <c r="T314" s="253"/>
      <c r="U314" s="253"/>
      <c r="V314" s="253"/>
      <c r="W314" s="253"/>
      <c r="X314" s="253"/>
      <c r="Y314" s="253"/>
    </row>
    <row r="315" spans="4:26" s="263" customFormat="1">
      <c r="D315" s="264"/>
      <c r="T315" s="253"/>
      <c r="U315" s="253"/>
      <c r="V315" s="253"/>
      <c r="W315" s="253"/>
      <c r="X315" s="253"/>
      <c r="Y315" s="253"/>
    </row>
    <row r="316" spans="4:26" s="263" customFormat="1">
      <c r="D316" s="264"/>
      <c r="T316" s="253"/>
      <c r="U316" s="253"/>
      <c r="V316" s="253"/>
      <c r="W316" s="253"/>
      <c r="X316" s="253"/>
      <c r="Y316" s="253"/>
    </row>
    <row r="317" spans="4:26" s="263" customFormat="1">
      <c r="D317" s="264"/>
      <c r="T317" s="253"/>
      <c r="U317" s="253"/>
      <c r="V317" s="253"/>
      <c r="W317" s="253"/>
      <c r="X317" s="253"/>
      <c r="Y317" s="253"/>
      <c r="Z317" s="253"/>
    </row>
    <row r="318" spans="4:26" s="263" customFormat="1">
      <c r="D318" s="264"/>
      <c r="T318" s="253"/>
      <c r="U318" s="253"/>
      <c r="V318" s="253"/>
      <c r="W318" s="253"/>
      <c r="X318" s="253"/>
      <c r="Y318" s="253"/>
      <c r="Z318" s="253"/>
    </row>
    <row r="319" spans="4:26" s="263" customFormat="1">
      <c r="D319" s="264"/>
      <c r="T319" s="253"/>
      <c r="U319" s="253"/>
      <c r="V319" s="253"/>
      <c r="W319" s="253"/>
      <c r="X319" s="253"/>
      <c r="Y319" s="253"/>
      <c r="Z319" s="253"/>
    </row>
    <row r="320" spans="4:26" s="263" customFormat="1">
      <c r="D320" s="264"/>
      <c r="T320" s="253"/>
      <c r="U320" s="253"/>
      <c r="V320" s="253"/>
      <c r="W320" s="253"/>
      <c r="X320" s="253"/>
      <c r="Y320" s="253"/>
      <c r="Z320" s="253"/>
    </row>
    <row r="321" spans="4:27" s="263" customFormat="1">
      <c r="D321" s="264"/>
      <c r="R321" s="253"/>
      <c r="S321" s="253"/>
      <c r="T321" s="253"/>
      <c r="U321" s="253"/>
      <c r="V321" s="253"/>
      <c r="W321" s="253"/>
      <c r="X321" s="253"/>
      <c r="Y321" s="253"/>
      <c r="Z321" s="253"/>
    </row>
    <row r="322" spans="4:27" s="263" customFormat="1">
      <c r="D322" s="264"/>
      <c r="R322" s="253"/>
      <c r="S322" s="253"/>
      <c r="T322" s="253"/>
      <c r="U322" s="253"/>
      <c r="V322" s="253"/>
      <c r="W322" s="253"/>
      <c r="X322" s="253"/>
      <c r="Y322" s="253"/>
      <c r="Z322" s="253"/>
    </row>
    <row r="323" spans="4:27" s="263" customFormat="1">
      <c r="D323" s="264"/>
      <c r="R323" s="253"/>
      <c r="S323" s="253"/>
      <c r="T323" s="253"/>
      <c r="U323" s="253"/>
      <c r="V323" s="253"/>
      <c r="W323" s="253"/>
      <c r="X323" s="253"/>
      <c r="Y323" s="253"/>
      <c r="Z323" s="253"/>
    </row>
    <row r="324" spans="4:27" s="263" customFormat="1">
      <c r="D324" s="264"/>
      <c r="R324" s="253"/>
      <c r="S324" s="253"/>
      <c r="T324" s="253"/>
      <c r="U324" s="253"/>
      <c r="V324" s="253"/>
      <c r="W324" s="253"/>
      <c r="X324" s="253"/>
      <c r="Y324" s="253"/>
      <c r="Z324" s="253"/>
    </row>
    <row r="325" spans="4:27" s="263" customFormat="1">
      <c r="D325" s="264"/>
      <c r="R325" s="253"/>
      <c r="S325" s="253"/>
      <c r="T325" s="253"/>
      <c r="U325" s="253"/>
      <c r="V325" s="253"/>
      <c r="W325" s="253"/>
      <c r="X325" s="253"/>
      <c r="Y325" s="253"/>
      <c r="Z325" s="253"/>
    </row>
    <row r="326" spans="4:27" s="263" customFormat="1">
      <c r="D326" s="264"/>
      <c r="R326" s="253"/>
      <c r="S326" s="253"/>
      <c r="T326" s="253"/>
      <c r="U326" s="253"/>
      <c r="V326" s="253"/>
      <c r="W326" s="253"/>
      <c r="X326" s="253"/>
      <c r="Y326" s="253"/>
      <c r="Z326" s="253"/>
      <c r="AA326" s="253"/>
    </row>
    <row r="327" spans="4:27">
      <c r="D327" s="255"/>
    </row>
    <row r="328" spans="4:27">
      <c r="D328" s="255"/>
    </row>
    <row r="329" spans="4:27">
      <c r="D329" s="255"/>
    </row>
    <row r="330" spans="4:27">
      <c r="D330" s="255"/>
    </row>
    <row r="331" spans="4:27">
      <c r="D331" s="255"/>
    </row>
    <row r="332" spans="4:27">
      <c r="D332" s="255"/>
    </row>
    <row r="333" spans="4:27">
      <c r="D333" s="255"/>
    </row>
    <row r="334" spans="4:27">
      <c r="D334" s="255"/>
    </row>
    <row r="335" spans="4:27">
      <c r="D335" s="255"/>
    </row>
    <row r="336" spans="4:27">
      <c r="D336" s="255"/>
    </row>
    <row r="337" spans="4:4">
      <c r="D337" s="255"/>
    </row>
    <row r="338" spans="4:4">
      <c r="D338" s="255"/>
    </row>
    <row r="339" spans="4:4">
      <c r="D339" s="255"/>
    </row>
    <row r="340" spans="4:4">
      <c r="D340" s="255"/>
    </row>
    <row r="341" spans="4:4">
      <c r="D341" s="255"/>
    </row>
    <row r="342" spans="4:4">
      <c r="D342" s="255"/>
    </row>
    <row r="343" spans="4:4">
      <c r="D343" s="255"/>
    </row>
    <row r="344" spans="4:4">
      <c r="D344" s="255"/>
    </row>
    <row r="345" spans="4:4">
      <c r="D345" s="255"/>
    </row>
    <row r="346" spans="4:4">
      <c r="D346" s="255"/>
    </row>
    <row r="347" spans="4:4">
      <c r="D347" s="255"/>
    </row>
    <row r="348" spans="4:4">
      <c r="D348" s="255"/>
    </row>
    <row r="349" spans="4:4">
      <c r="D349" s="255"/>
    </row>
    <row r="350" spans="4:4">
      <c r="D350" s="255"/>
    </row>
    <row r="351" spans="4:4">
      <c r="D351" s="255"/>
    </row>
    <row r="352" spans="4:4">
      <c r="D352" s="255"/>
    </row>
    <row r="353" spans="4:4">
      <c r="D353" s="255"/>
    </row>
    <row r="354" spans="4:4">
      <c r="D354" s="255"/>
    </row>
    <row r="355" spans="4:4">
      <c r="D355" s="255"/>
    </row>
    <row r="356" spans="4:4">
      <c r="D356" s="255"/>
    </row>
    <row r="357" spans="4:4">
      <c r="D357" s="255"/>
    </row>
    <row r="358" spans="4:4">
      <c r="D358" s="255"/>
    </row>
    <row r="359" spans="4:4">
      <c r="D359" s="255"/>
    </row>
    <row r="360" spans="4:4">
      <c r="D360" s="255"/>
    </row>
    <row r="361" spans="4:4">
      <c r="D361" s="255"/>
    </row>
    <row r="362" spans="4:4">
      <c r="D362" s="255"/>
    </row>
    <row r="363" spans="4:4">
      <c r="D363" s="255"/>
    </row>
    <row r="364" spans="4:4">
      <c r="D364" s="255"/>
    </row>
    <row r="365" spans="4:4">
      <c r="D365" s="255"/>
    </row>
    <row r="366" spans="4:4">
      <c r="D366" s="255"/>
    </row>
    <row r="367" spans="4:4">
      <c r="D367" s="255"/>
    </row>
    <row r="368" spans="4:4">
      <c r="D368" s="255"/>
    </row>
    <row r="369" spans="4:4">
      <c r="D369" s="255"/>
    </row>
    <row r="370" spans="4:4">
      <c r="D370" s="255"/>
    </row>
    <row r="371" spans="4:4">
      <c r="D371" s="255"/>
    </row>
    <row r="372" spans="4:4">
      <c r="D372" s="255"/>
    </row>
    <row r="373" spans="4:4">
      <c r="D373" s="255"/>
    </row>
    <row r="374" spans="4:4">
      <c r="D374" s="255"/>
    </row>
    <row r="375" spans="4:4">
      <c r="D375" s="255"/>
    </row>
    <row r="376" spans="4:4">
      <c r="D376" s="255"/>
    </row>
    <row r="377" spans="4:4">
      <c r="D377" s="255"/>
    </row>
    <row r="378" spans="4:4">
      <c r="D378" s="255"/>
    </row>
    <row r="379" spans="4:4">
      <c r="D379" s="255"/>
    </row>
    <row r="380" spans="4:4">
      <c r="D380" s="255"/>
    </row>
    <row r="381" spans="4:4">
      <c r="D381" s="255"/>
    </row>
    <row r="382" spans="4:4" ht="409.6">
      <c r="D382" s="255"/>
    </row>
    <row r="383" spans="4:4" ht="409.6">
      <c r="D383" s="255"/>
    </row>
    <row r="384" spans="4:4">
      <c r="D384" s="255"/>
    </row>
  </sheetData>
  <mergeCells count="5">
    <mergeCell ref="B8:D8"/>
    <mergeCell ref="I8:K8"/>
    <mergeCell ref="E8:G8"/>
    <mergeCell ref="L8:N8"/>
    <mergeCell ref="I7:N7"/>
  </mergeCells>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pageSetUpPr fitToPage="1"/>
  </sheetPr>
  <dimension ref="A1:AE87"/>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1306</v>
      </c>
    </row>
    <row r="2" spans="1:16" s="8" customFormat="1" ht="15.6">
      <c r="A2" s="624"/>
      <c r="B2" s="8" t="s">
        <v>1267</v>
      </c>
    </row>
    <row r="3" spans="1:16" s="8" customFormat="1" ht="15.6">
      <c r="A3" s="624"/>
    </row>
    <row r="4" spans="1:16" ht="21">
      <c r="A4" s="124" t="s">
        <v>986</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1056</v>
      </c>
      <c r="C9" s="320">
        <v>3</v>
      </c>
      <c r="D9" s="320">
        <v>4</v>
      </c>
      <c r="E9" s="320">
        <v>5</v>
      </c>
      <c r="F9" s="320">
        <v>6</v>
      </c>
      <c r="G9" s="320">
        <v>7</v>
      </c>
      <c r="H9" s="320">
        <v>8</v>
      </c>
      <c r="I9" s="320">
        <v>9</v>
      </c>
      <c r="J9" s="320">
        <v>10</v>
      </c>
      <c r="K9" s="320">
        <v>11</v>
      </c>
      <c r="L9" s="320">
        <v>12</v>
      </c>
      <c r="M9" s="320">
        <v>13</v>
      </c>
      <c r="N9" s="320">
        <v>14</v>
      </c>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14" ht="15.6">
      <c r="A17" s="113" t="s">
        <v>427</v>
      </c>
      <c r="C17" s="5"/>
      <c r="D17" s="5"/>
      <c r="E17" s="5"/>
      <c r="F17" s="5"/>
      <c r="G17" s="5"/>
      <c r="H17" s="5"/>
      <c r="I17" s="5"/>
      <c r="J17" s="5"/>
      <c r="K17" s="5"/>
      <c r="L17" s="5"/>
      <c r="M17" s="115"/>
      <c r="N17" s="5"/>
    </row>
    <row r="18" spans="1:14">
      <c r="A18" s="114"/>
      <c r="B18" t="s">
        <v>428</v>
      </c>
      <c r="C18" s="145">
        <v>0</v>
      </c>
      <c r="D18" s="145">
        <v>0</v>
      </c>
      <c r="E18" s="145">
        <v>0</v>
      </c>
      <c r="F18" s="145">
        <v>0</v>
      </c>
      <c r="G18" s="145">
        <v>0</v>
      </c>
      <c r="H18" s="145">
        <v>0</v>
      </c>
      <c r="I18" s="145">
        <v>0</v>
      </c>
      <c r="J18" s="145">
        <v>0</v>
      </c>
      <c r="K18" s="145">
        <v>0</v>
      </c>
      <c r="L18" s="145">
        <v>0</v>
      </c>
      <c r="M18" s="145">
        <v>0</v>
      </c>
      <c r="N18" s="145">
        <v>0</v>
      </c>
    </row>
    <row r="19" spans="1:14">
      <c r="A19" s="114"/>
      <c r="B19" t="s">
        <v>429</v>
      </c>
      <c r="C19" s="145">
        <v>0</v>
      </c>
      <c r="D19" s="145">
        <v>0</v>
      </c>
      <c r="E19" s="145">
        <v>0</v>
      </c>
      <c r="F19" s="145">
        <v>0</v>
      </c>
      <c r="G19" s="145">
        <v>0</v>
      </c>
      <c r="H19" s="145">
        <v>0</v>
      </c>
      <c r="I19" s="145">
        <v>0</v>
      </c>
      <c r="J19" s="145">
        <v>0</v>
      </c>
      <c r="K19" s="145">
        <v>0</v>
      </c>
      <c r="L19" s="145">
        <v>0</v>
      </c>
      <c r="M19" s="145">
        <v>0</v>
      </c>
      <c r="N19" s="145">
        <v>0</v>
      </c>
    </row>
    <row r="20" spans="1:14">
      <c r="A20" s="114"/>
      <c r="C20" s="5"/>
      <c r="D20" s="5"/>
      <c r="E20" s="5"/>
      <c r="F20" s="5"/>
      <c r="G20" s="5"/>
      <c r="H20" s="5"/>
      <c r="I20" s="5"/>
      <c r="J20" s="5"/>
      <c r="K20" s="5"/>
      <c r="L20" s="5"/>
      <c r="M20" s="115"/>
      <c r="N20" s="5"/>
    </row>
    <row r="21" spans="1:14" ht="15.6">
      <c r="A21" s="113" t="s">
        <v>424</v>
      </c>
      <c r="C21" s="5"/>
      <c r="D21" s="5"/>
      <c r="E21" s="5"/>
      <c r="F21" s="5"/>
      <c r="G21" s="5"/>
      <c r="H21" s="5"/>
      <c r="I21" s="5"/>
      <c r="J21" s="5"/>
      <c r="K21" s="5"/>
      <c r="L21" s="5"/>
      <c r="M21" s="115"/>
      <c r="N21" s="5"/>
    </row>
    <row r="22" spans="1:14" s="106" customFormat="1">
      <c r="A22" s="109"/>
      <c r="B22" s="108" t="str">
        <f>"PRIOR - "&amp;MANUAL!$B$9</f>
        <v>PRIOR - 2016</v>
      </c>
      <c r="C22" s="142">
        <f>VLOOKUP($B$9,'KWH FCST'!$A$33:$O$41,C9-1,FALSE)</f>
        <v>18631660.261500016</v>
      </c>
      <c r="D22" s="142">
        <f>VLOOKUP($B$9,'KWH FCST'!$A$33:$O$41,D9-1,FALSE)</f>
        <v>19158070.717499994</v>
      </c>
      <c r="E22" s="142">
        <f>VLOOKUP($B$9,'KWH FCST'!$A$33:$O$41,E9-1,FALSE)</f>
        <v>18016169.099500012</v>
      </c>
      <c r="F22" s="142">
        <f>VLOOKUP($B$9,'KWH FCST'!$A$33:$O$41,F9-1,FALSE)</f>
        <v>18348208.477499995</v>
      </c>
      <c r="G22" s="142">
        <f>VLOOKUP($B$9,'KWH FCST'!$A$33:$O$41,G9-1,FALSE)</f>
        <v>18832609.399999984</v>
      </c>
      <c r="H22" s="142">
        <f>VLOOKUP($B$9,'KWH FCST'!$A$33:$O$41,H9-1,FALSE)</f>
        <v>24239112.666999981</v>
      </c>
      <c r="I22" s="142">
        <f>VLOOKUP($B$9,'KWH FCST'!$A$33:$O$41,I9-1,FALSE)</f>
        <v>27847388.459000003</v>
      </c>
      <c r="J22" s="142">
        <f>VLOOKUP($B$9,'KWH FCST'!$A$33:$O$41,J9-1,FALSE)</f>
        <v>27951824.873499971</v>
      </c>
      <c r="K22" s="142">
        <f>VLOOKUP($B$9,'KWH FCST'!$A$33:$O$41,K9-1,FALSE)</f>
        <v>28556690.733999956</v>
      </c>
      <c r="L22" s="142">
        <f>VLOOKUP($B$9,'KWH FCST'!$A$33:$O$41,L9-1,FALSE)</f>
        <v>27811956.98599996</v>
      </c>
      <c r="M22" s="142">
        <f>VLOOKUP($B$9,'KWH FCST'!$A$33:$O$41,M9-1,FALSE)</f>
        <v>23220036.014999978</v>
      </c>
      <c r="N22" s="142">
        <f>VLOOKUP($B$9,'KWH FCST'!$A$33:$O$41,N9-1,FALSE)</f>
        <v>17586602.599499986</v>
      </c>
    </row>
    <row r="23" spans="1:14" s="12" customFormat="1" ht="15.6">
      <c r="A23" s="111"/>
      <c r="B23" s="108" t="str">
        <f>"TEST - "&amp;MANUAL!$B$10</f>
        <v>TEST - 2017</v>
      </c>
      <c r="C23" s="142">
        <f>VLOOKUP($B$9,'KWH FCST'!$A$79:$O$87,C9-1,FALSE)</f>
        <v>18631660.261500016</v>
      </c>
      <c r="D23" s="142">
        <f>VLOOKUP($B$9,'KWH FCST'!$A$79:$O$87,D9-1,FALSE)</f>
        <v>240000</v>
      </c>
      <c r="E23" s="142">
        <f>VLOOKUP($B$9,'KWH FCST'!$A$79:$O$87,E9-1,FALSE)</f>
        <v>0</v>
      </c>
      <c r="F23" s="142">
        <f>VLOOKUP($B$9,'KWH FCST'!$A$79:$O$87,F9-1,FALSE)</f>
        <v>0</v>
      </c>
      <c r="G23" s="142">
        <f>VLOOKUP($B$9,'KWH FCST'!$A$79:$O$87,G9-1,FALSE)</f>
        <v>0</v>
      </c>
      <c r="H23" s="142">
        <f>VLOOKUP($B$9,'KWH FCST'!$A$79:$O$87,H9-1,FALSE)</f>
        <v>0</v>
      </c>
      <c r="I23" s="142">
        <f>VLOOKUP($B$9,'KWH FCST'!$A$79:$O$87,I9-1,FALSE)</f>
        <v>0</v>
      </c>
      <c r="J23" s="142">
        <f>VLOOKUP($B$9,'KWH FCST'!$A$79:$O$87,J9-1,FALSE)</f>
        <v>0</v>
      </c>
      <c r="K23" s="142">
        <f>VLOOKUP($B$9,'KWH FCST'!$A$79:$O$87,K9-1,FALSE)</f>
        <v>240000</v>
      </c>
      <c r="L23" s="142">
        <f>VLOOKUP($B$9,'KWH FCST'!$A$79:$O$87,L9-1,FALSE)</f>
        <v>0</v>
      </c>
      <c r="M23" s="142">
        <f>VLOOKUP($B$9,'KWH FCST'!$A$79:$O$87,M9-1,FALSE)</f>
        <v>0</v>
      </c>
      <c r="N23" s="142">
        <f>VLOOKUP($B$9,'KWH FCST'!$A$79:$O$87,N9-1,FALSE)</f>
        <v>0</v>
      </c>
    </row>
    <row r="24" spans="1:14">
      <c r="A24" s="114"/>
      <c r="B24" t="s">
        <v>1094</v>
      </c>
      <c r="C24" s="142">
        <f>VLOOKUP($B$9,'KWH FCST'!$A$125:$O$133,C9-1,FALSE)</f>
        <v>0</v>
      </c>
      <c r="D24" s="142">
        <f>VLOOKUP($B$9,'KWH FCST'!$A$125:$O$133,D9-1,FALSE)</f>
        <v>240000</v>
      </c>
      <c r="E24" s="142">
        <f>VLOOKUP($B$9,'KWH FCST'!$A$125:$O$133,E9-1,FALSE)</f>
        <v>0</v>
      </c>
      <c r="F24" s="142">
        <f>VLOOKUP($B$9,'KWH FCST'!$A$125:$O$133,F9-1,FALSE)</f>
        <v>0</v>
      </c>
      <c r="G24" s="142">
        <f>VLOOKUP($B$9,'KWH FCST'!$A$125:$O$133,G9-1,FALSE)</f>
        <v>0</v>
      </c>
      <c r="H24" s="142">
        <f>VLOOKUP($B$9,'KWH FCST'!$A$125:$O$133,H9-1,FALSE)</f>
        <v>0</v>
      </c>
      <c r="I24" s="142">
        <f>VLOOKUP($B$9,'KWH FCST'!$A$125:$O$133,I9-1,FALSE)</f>
        <v>0</v>
      </c>
      <c r="J24" s="142">
        <f>VLOOKUP($B$9,'KWH FCST'!$A$125:$O$133,J9-1,FALSE)</f>
        <v>0</v>
      </c>
      <c r="K24" s="142">
        <f>VLOOKUP($B$9,'KWH FCST'!$A$125:$O$133,K9-1,FALSE)</f>
        <v>240000</v>
      </c>
      <c r="L24" s="142">
        <f>VLOOKUP($B$9,'KWH FCST'!$A$125:$O$133,L9-1,FALSE)</f>
        <v>0</v>
      </c>
      <c r="M24" s="142">
        <f>VLOOKUP($B$9,'KWH FCST'!$A$125:$O$133,M9-1,FALSE)</f>
        <v>0</v>
      </c>
      <c r="N24" s="142">
        <f>VLOOKUP($B$9,'KWH FCST'!$A$125:$O$133,N9-1,FALSE)</f>
        <v>0</v>
      </c>
    </row>
    <row r="25" spans="1:14">
      <c r="A25" s="114"/>
      <c r="C25" s="142"/>
      <c r="D25" s="142"/>
      <c r="E25" s="142"/>
      <c r="F25" s="142"/>
      <c r="G25" s="142"/>
      <c r="H25" s="142"/>
      <c r="I25" s="142"/>
      <c r="J25" s="142"/>
      <c r="K25" s="142"/>
      <c r="L25" s="142"/>
      <c r="M25" s="142"/>
      <c r="N25" s="142"/>
    </row>
    <row r="26" spans="1:14" ht="15.6">
      <c r="A26" s="113" t="s">
        <v>1248</v>
      </c>
      <c r="C26" s="142"/>
      <c r="D26" s="142"/>
      <c r="E26" s="142"/>
      <c r="F26" s="142"/>
      <c r="G26" s="142"/>
      <c r="H26" s="142"/>
      <c r="I26" s="142"/>
      <c r="J26" s="142"/>
      <c r="K26" s="142"/>
      <c r="L26" s="142"/>
      <c r="M26" s="142"/>
      <c r="N26" s="142"/>
    </row>
    <row r="27" spans="1:14">
      <c r="A27" s="114"/>
      <c r="B27" t="s">
        <v>1254</v>
      </c>
      <c r="C27" s="115">
        <v>1</v>
      </c>
      <c r="D27" s="115">
        <v>1</v>
      </c>
      <c r="E27" s="115">
        <v>1</v>
      </c>
      <c r="F27" s="115">
        <v>1</v>
      </c>
      <c r="G27" s="115">
        <v>1</v>
      </c>
      <c r="H27" s="115">
        <v>1</v>
      </c>
      <c r="I27" s="115">
        <v>1</v>
      </c>
      <c r="J27" s="115">
        <v>1</v>
      </c>
      <c r="K27" s="115">
        <v>1</v>
      </c>
      <c r="L27" s="115">
        <v>1</v>
      </c>
      <c r="M27" s="115">
        <v>1</v>
      </c>
      <c r="N27" s="115">
        <v>1</v>
      </c>
    </row>
    <row r="28" spans="1:14">
      <c r="A28" s="114"/>
      <c r="B28" t="s">
        <v>1253</v>
      </c>
      <c r="C28" s="115">
        <v>0</v>
      </c>
      <c r="D28" s="115">
        <v>0</v>
      </c>
      <c r="E28" s="115">
        <v>0</v>
      </c>
      <c r="F28" s="115">
        <v>0</v>
      </c>
      <c r="G28" s="115">
        <v>0</v>
      </c>
      <c r="H28" s="115">
        <v>0</v>
      </c>
      <c r="I28" s="115">
        <v>0</v>
      </c>
      <c r="J28" s="115">
        <v>0</v>
      </c>
      <c r="K28" s="115">
        <v>0</v>
      </c>
      <c r="L28" s="115">
        <v>0</v>
      </c>
      <c r="M28" s="115">
        <v>0</v>
      </c>
      <c r="N28" s="115">
        <v>0</v>
      </c>
    </row>
    <row r="29" spans="1:14">
      <c r="A29" s="114"/>
      <c r="B29" t="s">
        <v>1252</v>
      </c>
      <c r="C29" s="115">
        <v>0</v>
      </c>
      <c r="D29" s="115">
        <v>0</v>
      </c>
      <c r="E29" s="115">
        <v>0</v>
      </c>
      <c r="F29" s="115">
        <v>0</v>
      </c>
      <c r="G29" s="115">
        <v>0</v>
      </c>
      <c r="H29" s="115">
        <v>0</v>
      </c>
      <c r="I29" s="115">
        <v>0</v>
      </c>
      <c r="J29" s="115">
        <v>0</v>
      </c>
      <c r="K29" s="115">
        <v>0</v>
      </c>
      <c r="L29" s="115">
        <v>0</v>
      </c>
      <c r="M29" s="115">
        <v>0</v>
      </c>
      <c r="N29" s="115">
        <v>0</v>
      </c>
    </row>
    <row r="30" spans="1:14" ht="15.6">
      <c r="A30" s="114"/>
      <c r="B30" s="513">
        <v>2017</v>
      </c>
      <c r="C30" s="115"/>
      <c r="D30" s="115"/>
      <c r="E30" s="115"/>
      <c r="F30" s="115"/>
      <c r="G30" s="115"/>
      <c r="H30" s="115"/>
      <c r="I30" s="115"/>
      <c r="J30" s="115"/>
      <c r="K30" s="115"/>
      <c r="L30" s="115"/>
      <c r="M30" s="115"/>
      <c r="N30" s="115"/>
    </row>
    <row r="31" spans="1:14">
      <c r="A31" s="114"/>
      <c r="B31" t="s">
        <v>1249</v>
      </c>
      <c r="C31" s="535">
        <v>1.0218365997299901</v>
      </c>
      <c r="D31" s="535">
        <v>1.0218365997299901</v>
      </c>
      <c r="E31" s="535">
        <v>1.0218365997299901</v>
      </c>
      <c r="F31" s="535">
        <v>1.0218365997299901</v>
      </c>
      <c r="G31" s="535">
        <v>1.0218365997299901</v>
      </c>
      <c r="H31" s="535">
        <v>1.0218365997299901</v>
      </c>
      <c r="I31" s="535">
        <v>1.0218365997299901</v>
      </c>
      <c r="J31" s="535">
        <v>1.0218365997299901</v>
      </c>
      <c r="K31" s="535">
        <v>1.0218365997299901</v>
      </c>
      <c r="L31" s="535">
        <v>1.0218365997299901</v>
      </c>
      <c r="M31" s="535">
        <v>1.0218365997299901</v>
      </c>
      <c r="N31" s="535">
        <v>1.0218365997299901</v>
      </c>
    </row>
    <row r="32" spans="1:14">
      <c r="A32" s="114"/>
      <c r="B32" t="s">
        <v>1250</v>
      </c>
      <c r="C32" s="535">
        <v>1.0348230487446399</v>
      </c>
      <c r="D32" s="535">
        <v>1.0348230487446399</v>
      </c>
      <c r="E32" s="535">
        <v>1.0348230487446399</v>
      </c>
      <c r="F32" s="535">
        <v>1.0348230487446399</v>
      </c>
      <c r="G32" s="535">
        <v>1.0348230487446399</v>
      </c>
      <c r="H32" s="535">
        <v>1.0348230487446399</v>
      </c>
      <c r="I32" s="535">
        <v>1.0348230487446399</v>
      </c>
      <c r="J32" s="535">
        <v>1.0348230487446399</v>
      </c>
      <c r="K32" s="535">
        <v>1.0348230487446399</v>
      </c>
      <c r="L32" s="535">
        <v>1.0348230487446399</v>
      </c>
      <c r="M32" s="535">
        <v>1.0348230487446399</v>
      </c>
      <c r="N32" s="535">
        <v>1.0348230487446399</v>
      </c>
    </row>
    <row r="33" spans="1:14">
      <c r="A33" s="114"/>
      <c r="B33" t="s">
        <v>1251</v>
      </c>
      <c r="C33" s="535">
        <v>1.0644101070756899</v>
      </c>
      <c r="D33" s="535">
        <v>1.0644101070756899</v>
      </c>
      <c r="E33" s="535">
        <v>1.0644101070756899</v>
      </c>
      <c r="F33" s="535">
        <v>1.0644101070756899</v>
      </c>
      <c r="G33" s="535">
        <v>1.0644101070756899</v>
      </c>
      <c r="H33" s="535">
        <v>1.0644101070756899</v>
      </c>
      <c r="I33" s="535">
        <v>1.0644101070756899</v>
      </c>
      <c r="J33" s="535">
        <v>1.0644101070756899</v>
      </c>
      <c r="K33" s="535">
        <v>1.0644101070756899</v>
      </c>
      <c r="L33" s="535">
        <v>1.0644101070756899</v>
      </c>
      <c r="M33" s="535">
        <v>1.0644101070756899</v>
      </c>
      <c r="N33" s="535">
        <v>1.0644101070756899</v>
      </c>
    </row>
    <row r="34" spans="1:14">
      <c r="A34" s="114"/>
      <c r="B34" t="s">
        <v>1255</v>
      </c>
      <c r="C34" s="107">
        <f>HLOOKUP($B9,Summary_CP!$A$5:$N$161,107+C$9,FALSE)*1000</f>
        <v>60000</v>
      </c>
      <c r="D34" s="107">
        <f>HLOOKUP($B9,Summary_CP!$A$5:$N$161,107+D$9,FALSE)*1000</f>
        <v>0</v>
      </c>
      <c r="E34" s="107">
        <f>HLOOKUP($B9,Summary_CP!$A$5:$N$161,107+E$9,FALSE)*1000</f>
        <v>0</v>
      </c>
      <c r="F34" s="107">
        <f>HLOOKUP($B9,Summary_CP!$A$5:$N$161,107+F$9,FALSE)*1000</f>
        <v>0</v>
      </c>
      <c r="G34" s="107">
        <f>HLOOKUP($B9,Summary_CP!$A$5:$N$161,107+G$9,FALSE)*1000</f>
        <v>0</v>
      </c>
      <c r="H34" s="107">
        <f>HLOOKUP($B9,Summary_CP!$A$5:$N$161,107+H$9,FALSE)*1000</f>
        <v>0</v>
      </c>
      <c r="I34" s="107">
        <f>HLOOKUP($B9,Summary_CP!$A$5:$N$161,107+I$9,FALSE)*1000</f>
        <v>0</v>
      </c>
      <c r="J34" s="107">
        <f>HLOOKUP($B9,Summary_CP!$A$5:$N$161,107+J$9,FALSE)*1000</f>
        <v>60000</v>
      </c>
      <c r="K34" s="107">
        <f>HLOOKUP($B9,Summary_CP!$A$5:$N$161,107+K$9,FALSE)*1000</f>
        <v>0</v>
      </c>
      <c r="L34" s="107">
        <f>HLOOKUP($B9,Summary_CP!$A$5:$N$161,107+L$9,FALSE)*1000</f>
        <v>0</v>
      </c>
      <c r="M34" s="107">
        <f>HLOOKUP($B9,Summary_CP!$A$5:$N$161,107+M$9,FALSE)*1000</f>
        <v>0</v>
      </c>
      <c r="N34" s="107">
        <f>HLOOKUP($B9,Summary_CP!$A$5:$N$161,107+N$9,FALSE)*1000</f>
        <v>0</v>
      </c>
    </row>
    <row r="35" spans="1:14">
      <c r="A35" s="114"/>
      <c r="B35" t="s">
        <v>1256</v>
      </c>
      <c r="C35" s="107">
        <f>IFERROR((C34*C27*C31)+(C34*C28*C32)+(C34*C29*C33),0)</f>
        <v>61310.195983799407</v>
      </c>
      <c r="D35" s="107">
        <f t="shared" ref="D35:N35" si="0">IFERROR((D34*D27*D31)+(D34*D28*D32)+(D34*D29*D33),0)</f>
        <v>0</v>
      </c>
      <c r="E35" s="107">
        <f t="shared" si="0"/>
        <v>0</v>
      </c>
      <c r="F35" s="107">
        <f t="shared" si="0"/>
        <v>0</v>
      </c>
      <c r="G35" s="107">
        <f t="shared" si="0"/>
        <v>0</v>
      </c>
      <c r="H35" s="107">
        <f t="shared" si="0"/>
        <v>0</v>
      </c>
      <c r="I35" s="107">
        <f t="shared" si="0"/>
        <v>0</v>
      </c>
      <c r="J35" s="107">
        <f t="shared" si="0"/>
        <v>61310.195983799407</v>
      </c>
      <c r="K35" s="107">
        <f t="shared" si="0"/>
        <v>0</v>
      </c>
      <c r="L35" s="107">
        <f t="shared" si="0"/>
        <v>0</v>
      </c>
      <c r="M35" s="107">
        <f t="shared" si="0"/>
        <v>0</v>
      </c>
      <c r="N35" s="107">
        <f t="shared" si="0"/>
        <v>0</v>
      </c>
    </row>
    <row r="36" spans="1:14">
      <c r="A36" s="114"/>
      <c r="B36" t="s">
        <v>1257</v>
      </c>
      <c r="C36" s="235">
        <f>BLOUNTSTOWN!C36</f>
        <v>1228831.3297315862</v>
      </c>
      <c r="D36" s="235">
        <f>BLOUNTSTOWN!D36</f>
        <v>1010133.5524307521</v>
      </c>
      <c r="E36" s="235">
        <f>BLOUNTSTOWN!E36</f>
        <v>950254.07441993814</v>
      </c>
      <c r="F36" s="235">
        <f>BLOUNTSTOWN!F36</f>
        <v>959201.22858601715</v>
      </c>
      <c r="G36" s="235">
        <f>BLOUNTSTOWN!G36</f>
        <v>1065854.2376846557</v>
      </c>
      <c r="H36" s="235">
        <f>BLOUNTSTOWN!H36</f>
        <v>1140353.9142618102</v>
      </c>
      <c r="I36" s="235">
        <f>BLOUNTSTOWN!I36</f>
        <v>1132054.8391980769</v>
      </c>
      <c r="J36" s="235">
        <f>BLOUNTSTOWN!J36</f>
        <v>1312333.3808478254</v>
      </c>
      <c r="K36" s="235">
        <f>BLOUNTSTOWN!K36</f>
        <v>1038758.3890285973</v>
      </c>
      <c r="L36" s="235">
        <f>BLOUNTSTOWN!L36</f>
        <v>1068943.4704556046</v>
      </c>
      <c r="M36" s="235">
        <f>BLOUNTSTOWN!M36</f>
        <v>923783.94692739786</v>
      </c>
      <c r="N36" s="235">
        <f>BLOUNTSTOWN!N36</f>
        <v>882247.02789984096</v>
      </c>
    </row>
    <row r="37" spans="1:14">
      <c r="A37" s="114"/>
      <c r="B37" t="s">
        <v>1258</v>
      </c>
      <c r="C37" s="235">
        <f>IFERROR('2017 CP (FNG)'!B12*1000-C36,0)</f>
        <v>-26260.067304411205</v>
      </c>
      <c r="D37" s="235">
        <f>IFERROR('2017 CP (FNG)'!C12*1000-D36,0)</f>
        <v>-21586.506163599784</v>
      </c>
      <c r="E37" s="235">
        <f>IFERROR('2017 CP (FNG)'!D12*1000-E36,0)</f>
        <v>-20306.884555107215</v>
      </c>
      <c r="F37" s="235">
        <f>IFERROR('2017 CP (FNG)'!E12*1000-F36,0)</f>
        <v>-20498.084815793671</v>
      </c>
      <c r="G37" s="235">
        <f>IFERROR('2017 CP (FNG)'!F12*1000-G36,0)</f>
        <v>-22777.254567886703</v>
      </c>
      <c r="H37" s="235">
        <f>IFERROR('2017 CP (FNG)'!G12*1000-H36,0)</f>
        <v>-24369.30912715639</v>
      </c>
      <c r="I37" s="235">
        <f>IFERROR('2017 CP (FNG)'!H12*1000-I36,0)</f>
        <v>-24191.95828618668</v>
      </c>
      <c r="J37" s="235">
        <f>IFERROR('2017 CP (FNG)'!I12*1000-J36,0)</f>
        <v>-28044.502181122778</v>
      </c>
      <c r="K37" s="235">
        <f>IFERROR('2017 CP (FNG)'!J12*1000-K36,0)</f>
        <v>-22198.217565685627</v>
      </c>
      <c r="L37" s="235">
        <f>IFERROR('2017 CP (FNG)'!K12*1000-L36,0)</f>
        <v>-22843.271325859241</v>
      </c>
      <c r="M37" s="235">
        <f>IFERROR('2017 CP (FNG)'!L12*1000-M36,0)</f>
        <v>-19741.219184529502</v>
      </c>
      <c r="N37" s="235">
        <f>IFERROR('2017 CP (FNG)'!M12*1000-N36,0)</f>
        <v>-18853.577192589175</v>
      </c>
    </row>
    <row r="38" spans="1:14">
      <c r="A38" s="114"/>
      <c r="B38" t="s">
        <v>1259</v>
      </c>
      <c r="C38" s="235">
        <f>IFERROR(C35*C37/C36,0)</f>
        <v>-1310.1959837994111</v>
      </c>
      <c r="D38" s="235">
        <f t="shared" ref="D38:N38" si="1">IFERROR(D35*D37/D36,0)</f>
        <v>0</v>
      </c>
      <c r="E38" s="235">
        <f t="shared" si="1"/>
        <v>0</v>
      </c>
      <c r="F38" s="235">
        <f t="shared" si="1"/>
        <v>0</v>
      </c>
      <c r="G38" s="235">
        <f t="shared" si="1"/>
        <v>0</v>
      </c>
      <c r="H38" s="235">
        <f t="shared" si="1"/>
        <v>0</v>
      </c>
      <c r="I38" s="235">
        <f t="shared" si="1"/>
        <v>0</v>
      </c>
      <c r="J38" s="235">
        <f t="shared" si="1"/>
        <v>-1310.1959837994139</v>
      </c>
      <c r="K38" s="235">
        <f t="shared" si="1"/>
        <v>0</v>
      </c>
      <c r="L38" s="235">
        <f t="shared" si="1"/>
        <v>0</v>
      </c>
      <c r="M38" s="235">
        <f t="shared" si="1"/>
        <v>0</v>
      </c>
      <c r="N38" s="235">
        <f t="shared" si="1"/>
        <v>0</v>
      </c>
    </row>
    <row r="39" spans="1:14">
      <c r="A39" s="114"/>
      <c r="B39" t="s">
        <v>1260</v>
      </c>
      <c r="C39" s="235">
        <f>IFERROR(((C38*C27)/C31)+((C38*C28)/C32)+((C38*C29)/C33),0)</f>
        <v>-1282.1971576919609</v>
      </c>
      <c r="D39" s="235">
        <f t="shared" ref="D39:N39" si="2">IFERROR(((D38*D27)/D31)+((D38*D28)/D32)+((D38*D29)/D33),0)</f>
        <v>0</v>
      </c>
      <c r="E39" s="235">
        <f t="shared" si="2"/>
        <v>0</v>
      </c>
      <c r="F39" s="235">
        <f t="shared" si="2"/>
        <v>0</v>
      </c>
      <c r="G39" s="235">
        <f t="shared" si="2"/>
        <v>0</v>
      </c>
      <c r="H39" s="235">
        <f t="shared" si="2"/>
        <v>0</v>
      </c>
      <c r="I39" s="235">
        <f t="shared" si="2"/>
        <v>0</v>
      </c>
      <c r="J39" s="235">
        <f t="shared" si="2"/>
        <v>-1282.1971576919634</v>
      </c>
      <c r="K39" s="235">
        <f t="shared" si="2"/>
        <v>0</v>
      </c>
      <c r="L39" s="235">
        <f t="shared" si="2"/>
        <v>0</v>
      </c>
      <c r="M39" s="235">
        <f t="shared" si="2"/>
        <v>0</v>
      </c>
      <c r="N39" s="235">
        <f t="shared" si="2"/>
        <v>0</v>
      </c>
    </row>
    <row r="40" spans="1:14" ht="15.6">
      <c r="A40" s="114"/>
      <c r="B40" s="513">
        <v>2018</v>
      </c>
      <c r="C40" s="235"/>
      <c r="D40" s="235"/>
      <c r="E40" s="235"/>
      <c r="F40" s="235"/>
      <c r="G40" s="235"/>
      <c r="H40" s="235"/>
      <c r="I40" s="235"/>
      <c r="J40" s="235"/>
      <c r="K40" s="235"/>
      <c r="L40" s="235"/>
      <c r="M40" s="235"/>
      <c r="N40" s="235"/>
    </row>
    <row r="41" spans="1:14">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row>
    <row r="42" spans="1:14">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row>
    <row r="43" spans="1:14">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row>
    <row r="44" spans="1:14">
      <c r="A44" s="114"/>
      <c r="B44" t="s">
        <v>1255</v>
      </c>
      <c r="C44" s="235">
        <f>HLOOKUP($B9,Summary_CP!$A$5:$N$161,119+C$9,FALSE)*1000</f>
        <v>60000</v>
      </c>
      <c r="D44" s="235">
        <f>HLOOKUP($B9,Summary_CP!$A$5:$N$161,119+D$9,FALSE)*1000</f>
        <v>0</v>
      </c>
      <c r="E44" s="235">
        <f>HLOOKUP($B9,Summary_CP!$A$5:$N$161,119+E$9,FALSE)*1000</f>
        <v>0</v>
      </c>
      <c r="F44" s="235">
        <f>HLOOKUP($B9,Summary_CP!$A$5:$N$161,119+F$9,FALSE)*1000</f>
        <v>0</v>
      </c>
      <c r="G44" s="235">
        <f>HLOOKUP($B9,Summary_CP!$A$5:$N$161,119+G$9,FALSE)*1000</f>
        <v>0</v>
      </c>
      <c r="H44" s="235">
        <f>HLOOKUP($B9,Summary_CP!$A$5:$N$161,119+H$9,FALSE)*1000</f>
        <v>0</v>
      </c>
      <c r="I44" s="235">
        <f>HLOOKUP($B9,Summary_CP!$A$5:$N$161,119+I$9,FALSE)*1000</f>
        <v>0</v>
      </c>
      <c r="J44" s="235">
        <f>HLOOKUP($B9,Summary_CP!$A$5:$N$161,119+J$9,FALSE)*1000</f>
        <v>60000</v>
      </c>
      <c r="K44" s="235">
        <f>HLOOKUP($B9,Summary_CP!$A$5:$N$161,119+K$9,FALSE)*1000</f>
        <v>0</v>
      </c>
      <c r="L44" s="235">
        <f>HLOOKUP($B9,Summary_CP!$A$5:$N$161,119+L$9,FALSE)*1000</f>
        <v>0</v>
      </c>
      <c r="M44" s="235">
        <f>HLOOKUP($B9,Summary_CP!$A$5:$N$161,119+M$9,FALSE)*1000</f>
        <v>0</v>
      </c>
      <c r="N44" s="235">
        <f>HLOOKUP($B9,Summary_CP!$A$5:$N$161,119+N$9,FALSE)*1000</f>
        <v>0</v>
      </c>
    </row>
    <row r="45" spans="1:14">
      <c r="A45" s="114"/>
      <c r="B45" t="s">
        <v>1256</v>
      </c>
      <c r="C45" s="107">
        <f>(C44*C27*C41)+(C44*C28*C42)+(C44*C29*C43)</f>
        <v>61314.982669479003</v>
      </c>
      <c r="D45" s="107">
        <f t="shared" ref="D45:N45" si="3">(D44*D27*D41)+(D44*D28*D42)+(D44*D29*D43)</f>
        <v>0</v>
      </c>
      <c r="E45" s="107">
        <f t="shared" si="3"/>
        <v>0</v>
      </c>
      <c r="F45" s="107">
        <f t="shared" si="3"/>
        <v>0</v>
      </c>
      <c r="G45" s="107">
        <f t="shared" si="3"/>
        <v>0</v>
      </c>
      <c r="H45" s="107">
        <f t="shared" si="3"/>
        <v>0</v>
      </c>
      <c r="I45" s="107">
        <f t="shared" si="3"/>
        <v>0</v>
      </c>
      <c r="J45" s="107">
        <f t="shared" si="3"/>
        <v>61314.982669479003</v>
      </c>
      <c r="K45" s="107">
        <f t="shared" si="3"/>
        <v>0</v>
      </c>
      <c r="L45" s="107">
        <f t="shared" si="3"/>
        <v>0</v>
      </c>
      <c r="M45" s="107">
        <f t="shared" si="3"/>
        <v>0</v>
      </c>
      <c r="N45" s="107">
        <f t="shared" si="3"/>
        <v>0</v>
      </c>
    </row>
    <row r="46" spans="1:14">
      <c r="A46" s="114"/>
      <c r="B46" t="s">
        <v>1257</v>
      </c>
      <c r="C46" s="235">
        <f>BLOUNTSTOWN!C46</f>
        <v>1187849.8564563922</v>
      </c>
      <c r="D46" s="235">
        <f>BLOUNTSTOWN!D46</f>
        <v>1012049.3914328514</v>
      </c>
      <c r="E46" s="235">
        <f>BLOUNTSTOWN!E46</f>
        <v>952115.03381284571</v>
      </c>
      <c r="F46" s="235">
        <f>BLOUNTSTOWN!F46</f>
        <v>964452.787497274</v>
      </c>
      <c r="G46" s="235">
        <f>BLOUNTSTOWN!G46</f>
        <v>1071028.6042288018</v>
      </c>
      <c r="H46" s="235">
        <f>BLOUNTSTOWN!H46</f>
        <v>1144619.2235030248</v>
      </c>
      <c r="I46" s="235">
        <f>BLOUNTSTOWN!I46</f>
        <v>1139032.5608989701</v>
      </c>
      <c r="J46" s="235">
        <f>BLOUNTSTOWN!J46</f>
        <v>1275574.8512023324</v>
      </c>
      <c r="K46" s="235">
        <f>BLOUNTSTOWN!K46</f>
        <v>1044148.3639893566</v>
      </c>
      <c r="L46" s="235">
        <f>BLOUNTSTOWN!L46</f>
        <v>1072810.0069048663</v>
      </c>
      <c r="M46" s="235">
        <f>BLOUNTSTOWN!M46</f>
        <v>926247.14475638454</v>
      </c>
      <c r="N46" s="235">
        <f>BLOUNTSTOWN!N46</f>
        <v>884985.90326947428</v>
      </c>
    </row>
    <row r="47" spans="1:14">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row>
    <row r="48" spans="1:14">
      <c r="A48" s="114"/>
      <c r="B48" t="s">
        <v>1259</v>
      </c>
      <c r="C48" s="235">
        <f>C45*C47/C46</f>
        <v>-1314.9826694789906</v>
      </c>
      <c r="D48" s="235">
        <f t="shared" ref="D48:N48" si="4">D45*D47/D46</f>
        <v>0</v>
      </c>
      <c r="E48" s="235">
        <f t="shared" si="4"/>
        <v>0</v>
      </c>
      <c r="F48" s="235">
        <f t="shared" si="4"/>
        <v>0</v>
      </c>
      <c r="G48" s="235">
        <f t="shared" si="4"/>
        <v>0</v>
      </c>
      <c r="H48" s="235">
        <f t="shared" si="4"/>
        <v>0</v>
      </c>
      <c r="I48" s="235">
        <f t="shared" si="4"/>
        <v>0</v>
      </c>
      <c r="J48" s="235">
        <f t="shared" si="4"/>
        <v>-1314.9826694789956</v>
      </c>
      <c r="K48" s="235">
        <f t="shared" si="4"/>
        <v>0</v>
      </c>
      <c r="L48" s="235">
        <f t="shared" si="4"/>
        <v>0</v>
      </c>
      <c r="M48" s="235">
        <f t="shared" si="4"/>
        <v>0</v>
      </c>
      <c r="N48" s="235">
        <f t="shared" si="4"/>
        <v>0</v>
      </c>
    </row>
    <row r="49" spans="1:31">
      <c r="A49" s="114"/>
      <c r="B49" t="s">
        <v>1260</v>
      </c>
      <c r="C49" s="235">
        <f>((C48*C27)/C41)+((C48*C28)/C42)+((C48*C29)/C43)</f>
        <v>-1286.7810889558202</v>
      </c>
      <c r="D49" s="235">
        <f t="shared" ref="D49:N49" si="5">((D48*D27)/D41)+((D48*D28)/D42)+((D48*D29)/D43)</f>
        <v>0</v>
      </c>
      <c r="E49" s="235">
        <f t="shared" si="5"/>
        <v>0</v>
      </c>
      <c r="F49" s="235">
        <f t="shared" si="5"/>
        <v>0</v>
      </c>
      <c r="G49" s="235">
        <f t="shared" si="5"/>
        <v>0</v>
      </c>
      <c r="H49" s="235">
        <f t="shared" si="5"/>
        <v>0</v>
      </c>
      <c r="I49" s="235">
        <f t="shared" si="5"/>
        <v>0</v>
      </c>
      <c r="J49" s="235">
        <f t="shared" si="5"/>
        <v>-1286.781088955825</v>
      </c>
      <c r="K49" s="235">
        <f t="shared" si="5"/>
        <v>0</v>
      </c>
      <c r="L49" s="235">
        <f t="shared" si="5"/>
        <v>0</v>
      </c>
      <c r="M49" s="235">
        <f t="shared" si="5"/>
        <v>0</v>
      </c>
      <c r="N49" s="235">
        <f t="shared" si="5"/>
        <v>0</v>
      </c>
    </row>
    <row r="50" spans="1:31">
      <c r="A50" s="114"/>
    </row>
    <row r="51" spans="1:31" ht="17.399999999999999">
      <c r="A51" s="147" t="s">
        <v>425</v>
      </c>
    </row>
    <row r="52" spans="1:31" ht="15.6">
      <c r="A52" s="113"/>
      <c r="B52" s="146" t="str">
        <f>"PRIOR - "&amp;MANUAL!$B$9</f>
        <v>PRIOR - 2016</v>
      </c>
      <c r="C52" s="5"/>
      <c r="D52" s="5"/>
      <c r="E52" s="5"/>
      <c r="F52" s="5"/>
      <c r="G52" s="5"/>
      <c r="H52" s="5"/>
      <c r="I52" s="5"/>
      <c r="J52" s="5"/>
      <c r="K52" s="5"/>
      <c r="L52" s="5"/>
      <c r="M52" s="5"/>
      <c r="N52" s="5"/>
    </row>
    <row r="53" spans="1:31" s="12" customFormat="1" ht="15.6">
      <c r="A53" s="111"/>
      <c r="B53" s="149" t="s">
        <v>432</v>
      </c>
      <c r="C53" s="107">
        <f>HLOOKUP($B9,Summary_CP!$A$5:$N$161,95+C$9,FALSE)*1000</f>
        <v>60000</v>
      </c>
      <c r="D53" s="107">
        <f>HLOOKUP($B9,Summary_CP!$A$5:$N$161,95+D$9,FALSE)*1000</f>
        <v>60000</v>
      </c>
      <c r="E53" s="107">
        <f>HLOOKUP($B9,Summary_CP!$A$5:$N$161,95+E$9,FALSE)*1000</f>
        <v>60000</v>
      </c>
      <c r="F53" s="107">
        <f>HLOOKUP($B9,Summary_CP!$A$5:$N$161,95+F$9,FALSE)*1000</f>
        <v>60000</v>
      </c>
      <c r="G53" s="107">
        <f>HLOOKUP($B9,Summary_CP!$A$5:$N$161,95+G$9,FALSE)*1000</f>
        <v>60000</v>
      </c>
      <c r="H53" s="107">
        <f>HLOOKUP($B9,Summary_CP!$A$5:$N$161,95+H$9,FALSE)*1000</f>
        <v>60000</v>
      </c>
      <c r="I53" s="107">
        <f>HLOOKUP($B9,Summary_CP!$A$5:$N$161,95+I$9,FALSE)*1000</f>
        <v>60000</v>
      </c>
      <c r="J53" s="107">
        <f>HLOOKUP($B9,Summary_CP!$A$5:$N$161,95+J$9,FALSE)*1000</f>
        <v>60000</v>
      </c>
      <c r="K53" s="107">
        <f>HLOOKUP($B9,Summary_CP!$A$5:$N$161,95+K$9,FALSE)*1000</f>
        <v>60000</v>
      </c>
      <c r="L53" s="107">
        <f>HLOOKUP($B9,Summary_CP!$A$5:$N$161,95+L$9,FALSE)*1000</f>
        <v>60000</v>
      </c>
      <c r="M53" s="107">
        <f>HLOOKUP($B9,Summary_CP!$A$5:$N$161,95+M$9,FALSE)*1000</f>
        <v>60000</v>
      </c>
      <c r="N53" s="107">
        <f>HLOOKUP($B9,Summary_CP!$A$5:$N$161,95+N$9,FALSE)*1000</f>
        <v>60000</v>
      </c>
      <c r="P53" s="152">
        <f>AVERAGE(C53:N53)</f>
        <v>60000</v>
      </c>
    </row>
    <row r="54" spans="1:31" s="12" customFormat="1" ht="15.6">
      <c r="A54" s="111"/>
      <c r="B54" s="149" t="s">
        <v>430</v>
      </c>
      <c r="C54" s="107">
        <f>C55</f>
        <v>60000</v>
      </c>
      <c r="D54" s="107">
        <f t="shared" ref="D54:N54" si="6">D55</f>
        <v>60000</v>
      </c>
      <c r="E54" s="107">
        <f t="shared" si="6"/>
        <v>60000</v>
      </c>
      <c r="F54" s="107">
        <f t="shared" si="6"/>
        <v>60000</v>
      </c>
      <c r="G54" s="107">
        <f t="shared" si="6"/>
        <v>60000</v>
      </c>
      <c r="H54" s="107">
        <f t="shared" si="6"/>
        <v>60000</v>
      </c>
      <c r="I54" s="107">
        <f t="shared" si="6"/>
        <v>60000</v>
      </c>
      <c r="J54" s="107">
        <f t="shared" si="6"/>
        <v>60000</v>
      </c>
      <c r="K54" s="107">
        <f t="shared" si="6"/>
        <v>60000</v>
      </c>
      <c r="L54" s="107">
        <f t="shared" si="6"/>
        <v>60000</v>
      </c>
      <c r="M54" s="107">
        <f t="shared" si="6"/>
        <v>60000</v>
      </c>
      <c r="N54" s="107">
        <f t="shared" si="6"/>
        <v>60000</v>
      </c>
      <c r="P54" s="152">
        <f>AVERAGE(C54:N54)</f>
        <v>60000</v>
      </c>
    </row>
    <row r="55" spans="1:31" s="106" customFormat="1">
      <c r="A55" s="109"/>
      <c r="B55" s="149" t="s">
        <v>133</v>
      </c>
      <c r="C55" s="107">
        <f>HLOOKUP($B$9,'Summary_NCP '!$C$5:$M$677,95+C$9,FALSE)*1000</f>
        <v>60000</v>
      </c>
      <c r="D55" s="107">
        <f>HLOOKUP($B$9,'Summary_NCP '!$C$5:$M$677,95+D$9,FALSE)*1000</f>
        <v>60000</v>
      </c>
      <c r="E55" s="107">
        <f>HLOOKUP($B$9,'Summary_NCP '!$C$5:$M$677,95+E$9,FALSE)*1000</f>
        <v>60000</v>
      </c>
      <c r="F55" s="107">
        <f>HLOOKUP($B$9,'Summary_NCP '!$C$5:$M$677,95+F$9,FALSE)*1000</f>
        <v>60000</v>
      </c>
      <c r="G55" s="107">
        <f>HLOOKUP($B$9,'Summary_NCP '!$C$5:$M$677,95+G$9,FALSE)*1000</f>
        <v>60000</v>
      </c>
      <c r="H55" s="107">
        <f>HLOOKUP($B$9,'Summary_NCP '!$C$5:$M$677,95+H$9,FALSE)*1000</f>
        <v>60000</v>
      </c>
      <c r="I55" s="107">
        <f>HLOOKUP($B$9,'Summary_NCP '!$C$5:$M$677,95+I$9,FALSE)*1000</f>
        <v>60000</v>
      </c>
      <c r="J55" s="107">
        <f>HLOOKUP($B$9,'Summary_NCP '!$C$5:$M$677,95+J$9,FALSE)*1000</f>
        <v>60000</v>
      </c>
      <c r="K55" s="107">
        <f>HLOOKUP($B$9,'Summary_NCP '!$C$5:$M$677,95+K$9,FALSE)*1000</f>
        <v>60000</v>
      </c>
      <c r="L55" s="107">
        <f>HLOOKUP($B$9,'Summary_NCP '!$C$5:$M$677,95+L$9,FALSE)*1000</f>
        <v>60000</v>
      </c>
      <c r="M55" s="107">
        <f>HLOOKUP($B$9,'Summary_NCP '!$C$5:$M$677,95+M$9,FALSE)*1000</f>
        <v>60000</v>
      </c>
      <c r="N55" s="107">
        <f>HLOOKUP($B$9,'Summary_NCP '!$C$5:$M$677,95+N$9,FALSE)*1000</f>
        <v>60000</v>
      </c>
      <c r="P55" s="152">
        <f>AVERAGE(C55:N55)</f>
        <v>60000</v>
      </c>
    </row>
    <row r="56" spans="1:31" s="106" customFormat="1" ht="16.5" customHeight="1">
      <c r="A56" s="109"/>
      <c r="B56" s="108"/>
      <c r="C56" s="107"/>
      <c r="D56" s="107"/>
      <c r="E56" s="107"/>
      <c r="F56" s="107"/>
      <c r="G56" s="107"/>
      <c r="H56" s="107"/>
      <c r="I56" s="107"/>
      <c r="J56" s="107"/>
      <c r="K56" s="107"/>
      <c r="L56" s="107"/>
      <c r="M56" s="107"/>
      <c r="N56" s="107"/>
    </row>
    <row r="57" spans="1:31" s="106" customFormat="1" ht="16.5" customHeight="1">
      <c r="A57" s="109"/>
      <c r="B57" s="146" t="str">
        <f>"TEST - "&amp;MANUAL!$B$10</f>
        <v>TEST - 2017</v>
      </c>
      <c r="C57" s="107"/>
      <c r="D57" s="107"/>
      <c r="E57" s="107"/>
      <c r="F57" s="107"/>
      <c r="G57" s="107"/>
      <c r="H57" s="107"/>
      <c r="I57" s="107"/>
      <c r="J57" s="107"/>
      <c r="K57" s="107"/>
      <c r="L57" s="107"/>
      <c r="M57" s="107"/>
      <c r="N57" s="107"/>
    </row>
    <row r="58" spans="1:31" s="106" customFormat="1" ht="16.5" customHeight="1">
      <c r="A58" s="109"/>
      <c r="B58" s="149" t="s">
        <v>432</v>
      </c>
      <c r="C58" s="107">
        <f>C34+C39</f>
        <v>58717.80284230804</v>
      </c>
      <c r="D58" s="107">
        <f>D34+D39</f>
        <v>0</v>
      </c>
      <c r="E58" s="107">
        <f t="shared" ref="E58:N58" si="7">E34+E39</f>
        <v>0</v>
      </c>
      <c r="F58" s="107">
        <f t="shared" si="7"/>
        <v>0</v>
      </c>
      <c r="G58" s="107">
        <f t="shared" si="7"/>
        <v>0</v>
      </c>
      <c r="H58" s="107">
        <f t="shared" si="7"/>
        <v>0</v>
      </c>
      <c r="I58" s="107">
        <f t="shared" si="7"/>
        <v>0</v>
      </c>
      <c r="J58" s="107">
        <f t="shared" si="7"/>
        <v>58717.80284230804</v>
      </c>
      <c r="K58" s="107">
        <f t="shared" si="7"/>
        <v>0</v>
      </c>
      <c r="L58" s="107">
        <f t="shared" si="7"/>
        <v>0</v>
      </c>
      <c r="M58" s="107">
        <f t="shared" si="7"/>
        <v>0</v>
      </c>
      <c r="N58" s="107">
        <f t="shared" si="7"/>
        <v>0</v>
      </c>
      <c r="P58" s="152">
        <f>AVERAGE(C58:N58)</f>
        <v>9786.3004737180072</v>
      </c>
      <c r="U58" s="522"/>
      <c r="V58" s="523"/>
      <c r="W58" s="523"/>
      <c r="X58" s="523"/>
      <c r="Y58" s="523"/>
      <c r="Z58" s="523"/>
      <c r="AA58" s="523"/>
      <c r="AB58" s="523"/>
      <c r="AC58" s="523"/>
      <c r="AD58" s="523"/>
      <c r="AE58" s="523"/>
    </row>
    <row r="59" spans="1:31" s="106" customFormat="1" ht="16.5" customHeight="1">
      <c r="A59" s="109"/>
      <c r="B59" s="149" t="s">
        <v>430</v>
      </c>
      <c r="C59" s="107">
        <f>C60</f>
        <v>60000</v>
      </c>
      <c r="D59" s="107">
        <f t="shared" ref="D59:N59" si="8">D60</f>
        <v>0</v>
      </c>
      <c r="E59" s="107">
        <f t="shared" si="8"/>
        <v>0</v>
      </c>
      <c r="F59" s="107">
        <f t="shared" si="8"/>
        <v>0</v>
      </c>
      <c r="G59" s="107">
        <f t="shared" si="8"/>
        <v>0</v>
      </c>
      <c r="H59" s="107">
        <f t="shared" si="8"/>
        <v>0</v>
      </c>
      <c r="I59" s="107">
        <f t="shared" si="8"/>
        <v>0</v>
      </c>
      <c r="J59" s="107">
        <f t="shared" si="8"/>
        <v>60000</v>
      </c>
      <c r="K59" s="107">
        <f t="shared" si="8"/>
        <v>0</v>
      </c>
      <c r="L59" s="107">
        <f t="shared" si="8"/>
        <v>0</v>
      </c>
      <c r="M59" s="107">
        <f t="shared" si="8"/>
        <v>0</v>
      </c>
      <c r="N59" s="107">
        <f t="shared" si="8"/>
        <v>0</v>
      </c>
      <c r="P59" s="152">
        <f>AVERAGE(C59:N59)</f>
        <v>10000</v>
      </c>
      <c r="U59" s="206"/>
      <c r="V59" s="523"/>
      <c r="W59" s="523"/>
      <c r="X59" s="523"/>
      <c r="Y59" s="523"/>
      <c r="Z59" s="523"/>
      <c r="AA59" s="523"/>
      <c r="AB59" s="523"/>
      <c r="AC59" s="523"/>
      <c r="AD59" s="523"/>
      <c r="AE59" s="523"/>
    </row>
    <row r="60" spans="1:31" s="106" customFormat="1" ht="16.5" customHeight="1">
      <c r="A60" s="109"/>
      <c r="B60" s="149" t="s">
        <v>133</v>
      </c>
      <c r="C60" s="107">
        <f>HLOOKUP($B$9,'Summary_NCP '!$C$5:$M$677,107+C$9,FALSE)*1000</f>
        <v>60000</v>
      </c>
      <c r="D60" s="107">
        <f>HLOOKUP($B$9,'Summary_NCP '!$C$5:$M$677,107+D$9,FALSE)*1000</f>
        <v>0</v>
      </c>
      <c r="E60" s="107">
        <f>HLOOKUP($B$9,'Summary_NCP '!$C$5:$M$677,107+E$9,FALSE)*1000</f>
        <v>0</v>
      </c>
      <c r="F60" s="107">
        <f>HLOOKUP($B$9,'Summary_NCP '!$C$5:$M$677,107+F$9,FALSE)*1000</f>
        <v>0</v>
      </c>
      <c r="G60" s="107">
        <f>HLOOKUP($B$9,'Summary_NCP '!$C$5:$M$677,107+G$9,FALSE)*1000</f>
        <v>0</v>
      </c>
      <c r="H60" s="107">
        <f>HLOOKUP($B$9,'Summary_NCP '!$C$5:$M$677,107+H$9,FALSE)*1000</f>
        <v>0</v>
      </c>
      <c r="I60" s="107">
        <f>HLOOKUP($B$9,'Summary_NCP '!$C$5:$M$677,107+I$9,FALSE)*1000</f>
        <v>0</v>
      </c>
      <c r="J60" s="107">
        <f>HLOOKUP($B$9,'Summary_NCP '!$C$5:$M$677,107+J$9,FALSE)*1000</f>
        <v>60000</v>
      </c>
      <c r="K60" s="107">
        <f>HLOOKUP($B$9,'Summary_NCP '!$C$5:$M$677,107+K$9,FALSE)*1000</f>
        <v>0</v>
      </c>
      <c r="L60" s="107">
        <f>HLOOKUP($B$9,'Summary_NCP '!$C$5:$M$677,107+L$9,FALSE)*1000</f>
        <v>0</v>
      </c>
      <c r="M60" s="107">
        <f>HLOOKUP($B$9,'Summary_NCP '!$C$5:$M$677,107+M$9,FALSE)*1000</f>
        <v>0</v>
      </c>
      <c r="N60" s="107">
        <f>HLOOKUP($B$9,'Summary_NCP '!$C$5:$M$677,107+N$9,FALSE)*1000</f>
        <v>0</v>
      </c>
      <c r="P60" s="152">
        <f>AVERAGE(C60:N60)</f>
        <v>10000</v>
      </c>
      <c r="U60" s="206"/>
      <c r="V60" s="523"/>
      <c r="W60" s="523"/>
      <c r="X60" s="523"/>
      <c r="Y60" s="523"/>
      <c r="Z60" s="523"/>
      <c r="AA60" s="523"/>
      <c r="AB60" s="523"/>
      <c r="AC60" s="523"/>
      <c r="AD60" s="523"/>
      <c r="AE60" s="523"/>
    </row>
    <row r="61" spans="1:31" s="106" customFormat="1" ht="16.5" customHeight="1">
      <c r="A61" s="109"/>
      <c r="B61" s="149"/>
      <c r="C61" s="107"/>
      <c r="D61" s="107"/>
      <c r="E61" s="107"/>
      <c r="F61" s="107"/>
      <c r="G61" s="107"/>
      <c r="H61" s="107"/>
      <c r="I61" s="107"/>
      <c r="J61" s="107"/>
      <c r="K61" s="107"/>
      <c r="L61" s="107"/>
      <c r="M61" s="107"/>
      <c r="N61" s="107"/>
      <c r="P61" s="152"/>
      <c r="U61" s="206"/>
      <c r="V61" s="523"/>
      <c r="W61" s="523"/>
      <c r="X61" s="523"/>
      <c r="Y61" s="523"/>
      <c r="Z61" s="523"/>
      <c r="AA61" s="523"/>
      <c r="AB61" s="523"/>
      <c r="AC61" s="523"/>
      <c r="AD61" s="523"/>
      <c r="AE61" s="523"/>
    </row>
    <row r="62" spans="1:31" s="106" customFormat="1" ht="16.5" customHeight="1">
      <c r="A62" s="109"/>
      <c r="B62" s="149"/>
      <c r="C62" s="107"/>
      <c r="D62" s="107"/>
      <c r="E62" s="107"/>
      <c r="F62" s="107"/>
      <c r="G62" s="107"/>
      <c r="H62" s="107"/>
      <c r="I62" s="107"/>
      <c r="J62" s="107"/>
      <c r="K62" s="107"/>
      <c r="L62" s="107"/>
      <c r="M62" s="107"/>
      <c r="N62" s="107"/>
      <c r="P62" s="152"/>
      <c r="U62" s="206"/>
      <c r="V62" s="523"/>
      <c r="W62" s="523"/>
      <c r="X62" s="523"/>
      <c r="Y62" s="523"/>
      <c r="Z62" s="523"/>
      <c r="AA62" s="523"/>
      <c r="AB62" s="523"/>
      <c r="AC62" s="523"/>
      <c r="AD62" s="523"/>
      <c r="AE62" s="523"/>
    </row>
    <row r="63" spans="1:31" s="106" customFormat="1" ht="16.5" customHeight="1">
      <c r="A63" s="109"/>
      <c r="B63" s="149"/>
      <c r="C63" s="107"/>
      <c r="D63" s="107"/>
      <c r="E63" s="107"/>
      <c r="F63" s="107"/>
      <c r="G63" s="107"/>
      <c r="H63" s="107"/>
      <c r="I63" s="107"/>
      <c r="J63" s="107"/>
      <c r="K63" s="107"/>
      <c r="L63" s="107"/>
      <c r="M63" s="107"/>
      <c r="N63" s="107"/>
      <c r="P63" s="152"/>
      <c r="U63" s="206"/>
      <c r="V63" s="524"/>
      <c r="W63" s="524"/>
      <c r="X63" s="524"/>
      <c r="Y63" s="524"/>
      <c r="Z63" s="524"/>
      <c r="AA63" s="524"/>
      <c r="AB63" s="524"/>
      <c r="AC63" s="524"/>
      <c r="AD63" s="524"/>
      <c r="AE63" s="524"/>
    </row>
    <row r="64" spans="1:31" s="106" customFormat="1" ht="16.5" customHeight="1">
      <c r="A64" s="109"/>
      <c r="B64" s="149"/>
      <c r="C64" s="107"/>
      <c r="D64" s="107"/>
      <c r="E64" s="107"/>
      <c r="F64" s="107"/>
      <c r="G64" s="107"/>
      <c r="H64" s="107"/>
      <c r="I64" s="107"/>
      <c r="J64" s="107"/>
      <c r="K64" s="107"/>
      <c r="L64" s="107"/>
      <c r="M64" s="107"/>
      <c r="N64" s="107"/>
      <c r="P64" s="152"/>
      <c r="U64" s="206"/>
      <c r="V64" s="524"/>
      <c r="W64" s="524"/>
      <c r="X64" s="524"/>
      <c r="Y64" s="524"/>
      <c r="Z64" s="524"/>
      <c r="AA64" s="524"/>
      <c r="AB64" s="524"/>
      <c r="AC64" s="524"/>
      <c r="AD64" s="524"/>
      <c r="AE64" s="524"/>
    </row>
    <row r="65" spans="1:31" s="106" customFormat="1" ht="16.5" customHeight="1">
      <c r="A65" s="109"/>
      <c r="B65" s="146" t="str">
        <f>"SUBSEQUENT - "&amp;MANUAL!$B$11</f>
        <v>SUBSEQUENT - 2018</v>
      </c>
      <c r="C65" s="107"/>
      <c r="D65" s="107"/>
      <c r="E65" s="107"/>
      <c r="F65" s="107"/>
      <c r="G65" s="107"/>
      <c r="H65" s="107"/>
      <c r="I65" s="107"/>
      <c r="J65" s="107"/>
      <c r="K65" s="107"/>
      <c r="L65" s="107"/>
      <c r="M65" s="107"/>
      <c r="N65" s="107"/>
      <c r="U65" s="206"/>
      <c r="V65" s="524"/>
      <c r="W65" s="524"/>
      <c r="X65" s="524"/>
      <c r="Y65" s="524"/>
      <c r="Z65" s="524"/>
      <c r="AA65" s="524"/>
      <c r="AB65" s="524"/>
      <c r="AC65" s="524"/>
      <c r="AD65" s="524"/>
      <c r="AE65" s="524"/>
    </row>
    <row r="66" spans="1:31" s="106" customFormat="1" ht="16.5" customHeight="1">
      <c r="A66" s="109"/>
      <c r="B66" s="149" t="s">
        <v>432</v>
      </c>
      <c r="C66" s="107">
        <f>C44+C49</f>
        <v>58713.218911044183</v>
      </c>
      <c r="D66" s="107">
        <f>D44+D49</f>
        <v>0</v>
      </c>
      <c r="E66" s="107">
        <f t="shared" ref="E66:N66" si="9">E44+E49</f>
        <v>0</v>
      </c>
      <c r="F66" s="107">
        <f t="shared" si="9"/>
        <v>0</v>
      </c>
      <c r="G66" s="107">
        <f t="shared" si="9"/>
        <v>0</v>
      </c>
      <c r="H66" s="107">
        <f t="shared" si="9"/>
        <v>0</v>
      </c>
      <c r="I66" s="107">
        <f t="shared" si="9"/>
        <v>0</v>
      </c>
      <c r="J66" s="107">
        <f t="shared" si="9"/>
        <v>58713.218911044176</v>
      </c>
      <c r="K66" s="107">
        <f t="shared" si="9"/>
        <v>0</v>
      </c>
      <c r="L66" s="107">
        <f t="shared" si="9"/>
        <v>0</v>
      </c>
      <c r="M66" s="107">
        <f t="shared" si="9"/>
        <v>0</v>
      </c>
      <c r="N66" s="107">
        <f t="shared" si="9"/>
        <v>0</v>
      </c>
      <c r="O66" s="145"/>
      <c r="P66" s="152">
        <f>AVERAGE(C66:N66)</f>
        <v>9785.5364851740305</v>
      </c>
      <c r="U66" s="206"/>
      <c r="V66" s="523"/>
      <c r="W66" s="523"/>
      <c r="X66" s="523"/>
      <c r="Y66" s="523"/>
      <c r="Z66" s="523"/>
      <c r="AA66" s="523"/>
      <c r="AB66" s="523"/>
      <c r="AC66" s="523"/>
      <c r="AD66" s="523"/>
      <c r="AE66" s="523"/>
    </row>
    <row r="67" spans="1:31" s="106" customFormat="1" ht="16.5" customHeight="1">
      <c r="A67" s="109"/>
      <c r="B67" s="149" t="s">
        <v>430</v>
      </c>
      <c r="C67" s="107">
        <f>C68</f>
        <v>60000</v>
      </c>
      <c r="D67" s="107">
        <f t="shared" ref="D67:N67" si="10">D68</f>
        <v>0</v>
      </c>
      <c r="E67" s="107">
        <f t="shared" si="10"/>
        <v>0</v>
      </c>
      <c r="F67" s="107">
        <f t="shared" si="10"/>
        <v>0</v>
      </c>
      <c r="G67" s="107">
        <f t="shared" si="10"/>
        <v>0</v>
      </c>
      <c r="H67" s="107">
        <f t="shared" si="10"/>
        <v>0</v>
      </c>
      <c r="I67" s="107">
        <f t="shared" si="10"/>
        <v>0</v>
      </c>
      <c r="J67" s="107">
        <f t="shared" si="10"/>
        <v>60000</v>
      </c>
      <c r="K67" s="107">
        <f t="shared" si="10"/>
        <v>0</v>
      </c>
      <c r="L67" s="107">
        <f t="shared" si="10"/>
        <v>0</v>
      </c>
      <c r="M67" s="107">
        <f t="shared" si="10"/>
        <v>0</v>
      </c>
      <c r="N67" s="107">
        <f t="shared" si="10"/>
        <v>0</v>
      </c>
      <c r="O67" s="107"/>
      <c r="P67" s="152">
        <f>AVERAGE(C67:N67)</f>
        <v>10000</v>
      </c>
    </row>
    <row r="68" spans="1:31" s="106" customFormat="1" ht="16.5" customHeight="1">
      <c r="A68" s="109"/>
      <c r="B68" s="149" t="s">
        <v>133</v>
      </c>
      <c r="C68" s="107">
        <f>HLOOKUP($B$9,'Summary_NCP '!$C$5:$M$677,119+C$9,FALSE)*1000</f>
        <v>60000</v>
      </c>
      <c r="D68" s="107">
        <f>HLOOKUP($B$9,'Summary_NCP '!$C$5:$M$677,119+D$9,FALSE)*1000</f>
        <v>0</v>
      </c>
      <c r="E68" s="107">
        <f>HLOOKUP($B$9,'Summary_NCP '!$C$5:$M$677,119+E$9,FALSE)*1000</f>
        <v>0</v>
      </c>
      <c r="F68" s="107">
        <f>HLOOKUP($B$9,'Summary_NCP '!$C$5:$M$677,119+F$9,FALSE)*1000</f>
        <v>0</v>
      </c>
      <c r="G68" s="107">
        <f>HLOOKUP($B$9,'Summary_NCP '!$C$5:$M$677,119+G$9,FALSE)*1000</f>
        <v>0</v>
      </c>
      <c r="H68" s="107">
        <f>HLOOKUP($B$9,'Summary_NCP '!$C$5:$M$677,119+H$9,FALSE)*1000</f>
        <v>0</v>
      </c>
      <c r="I68" s="107">
        <f>HLOOKUP($B$9,'Summary_NCP '!$C$5:$M$677,119+I$9,FALSE)*1000</f>
        <v>0</v>
      </c>
      <c r="J68" s="107">
        <f>HLOOKUP($B$9,'Summary_NCP '!$C$5:$M$677,119+J$9,FALSE)*1000</f>
        <v>60000</v>
      </c>
      <c r="K68" s="107">
        <f>HLOOKUP($B$9,'Summary_NCP '!$C$5:$M$677,119+K$9,FALSE)*1000</f>
        <v>0</v>
      </c>
      <c r="L68" s="107">
        <f>HLOOKUP($B$9,'Summary_NCP '!$C$5:$M$677,119+L$9,FALSE)*1000</f>
        <v>0</v>
      </c>
      <c r="M68" s="107">
        <f>HLOOKUP($B$9,'Summary_NCP '!$C$5:$M$677,119+M$9,FALSE)*1000</f>
        <v>0</v>
      </c>
      <c r="N68" s="107">
        <f>HLOOKUP($B$9,'Summary_NCP '!$C$5:$M$677,119+N$9,FALSE)*1000</f>
        <v>0</v>
      </c>
      <c r="O68" s="107"/>
      <c r="P68" s="152">
        <f>AVERAGE(C68:N68)</f>
        <v>10000</v>
      </c>
    </row>
    <row r="69" spans="1:31" s="106" customFormat="1" ht="16.5" customHeight="1">
      <c r="A69" s="109"/>
      <c r="B69" s="149"/>
      <c r="C69" s="107"/>
      <c r="D69" s="107"/>
      <c r="E69" s="107"/>
      <c r="F69" s="107"/>
      <c r="G69" s="107"/>
      <c r="H69" s="107"/>
      <c r="I69" s="107"/>
      <c r="J69" s="107"/>
      <c r="K69" s="107"/>
      <c r="L69" s="107"/>
      <c r="M69" s="107"/>
      <c r="N69" s="107"/>
      <c r="O69" s="107"/>
      <c r="P69" s="152"/>
    </row>
    <row r="70" spans="1:31" s="106" customFormat="1" ht="16.5" customHeight="1">
      <c r="A70" s="109"/>
      <c r="B70" s="149"/>
      <c r="C70" s="107"/>
      <c r="D70" s="107"/>
      <c r="E70" s="107"/>
      <c r="F70" s="107"/>
      <c r="G70" s="107"/>
      <c r="H70" s="107"/>
      <c r="I70" s="107"/>
      <c r="J70" s="107"/>
      <c r="K70" s="107"/>
      <c r="L70" s="107"/>
      <c r="M70" s="107"/>
      <c r="N70" s="107"/>
      <c r="O70" s="107"/>
      <c r="P70" s="152"/>
    </row>
    <row r="71" spans="1:31" s="106" customFormat="1" ht="16.5" customHeight="1">
      <c r="A71" s="109"/>
      <c r="B71" s="149"/>
      <c r="C71" s="107"/>
      <c r="D71" s="107"/>
      <c r="E71" s="107"/>
      <c r="F71" s="107"/>
      <c r="G71" s="107"/>
      <c r="H71" s="107"/>
      <c r="I71" s="107"/>
      <c r="J71" s="107"/>
      <c r="K71" s="107"/>
      <c r="L71" s="107"/>
      <c r="M71" s="107"/>
      <c r="N71" s="107"/>
      <c r="O71" s="107"/>
      <c r="P71" s="152"/>
    </row>
    <row r="72" spans="1:31" s="106" customFormat="1" ht="16.5" customHeight="1">
      <c r="A72" s="109"/>
      <c r="B72" s="108"/>
      <c r="C72" s="107"/>
      <c r="D72" s="107"/>
      <c r="E72" s="107"/>
      <c r="F72" s="107"/>
      <c r="G72" s="107"/>
      <c r="H72" s="107"/>
      <c r="I72" s="107"/>
      <c r="J72" s="107"/>
      <c r="K72" s="107"/>
      <c r="L72" s="107"/>
      <c r="M72" s="107"/>
      <c r="N72" s="107"/>
    </row>
    <row r="73" spans="1:31" ht="13.2">
      <c r="A73" s="42" t="s">
        <v>116</v>
      </c>
      <c r="C73" s="105"/>
    </row>
    <row r="74" spans="1:31" ht="13.2">
      <c r="A74"/>
      <c r="B74" s="10" t="s">
        <v>338</v>
      </c>
      <c r="C74" s="105"/>
      <c r="D74" s="105"/>
      <c r="E74" s="105"/>
      <c r="F74" s="105"/>
      <c r="G74" s="105"/>
      <c r="H74" s="105"/>
      <c r="I74" s="105"/>
      <c r="J74" s="105"/>
      <c r="K74" s="105"/>
      <c r="L74" s="105"/>
      <c r="M74" s="105"/>
      <c r="N74" s="105"/>
    </row>
    <row r="75" spans="1:31" ht="13.2">
      <c r="A75"/>
      <c r="B75" s="81" t="s">
        <v>426</v>
      </c>
    </row>
    <row r="76" spans="1:31" ht="12.75">
      <c r="A76"/>
      <c r="B76" s="125" t="s">
        <v>431</v>
      </c>
      <c r="C76" s="104"/>
    </row>
    <row r="77" spans="1:31" ht="12.75">
      <c r="A77"/>
      <c r="B77" s="153" t="s">
        <v>435</v>
      </c>
      <c r="E77" s="88"/>
    </row>
    <row r="78" spans="1:31" ht="12.75">
      <c r="A78"/>
      <c r="B78" t="s">
        <v>433</v>
      </c>
      <c r="C78" s="98"/>
      <c r="D78" s="98"/>
      <c r="E78" s="98"/>
      <c r="F78" s="98"/>
      <c r="G78" s="98"/>
      <c r="H78" s="98"/>
      <c r="I78" s="98"/>
      <c r="J78" s="98"/>
      <c r="K78" s="98"/>
      <c r="L78" s="98"/>
      <c r="M78" s="98"/>
      <c r="N78" s="98"/>
    </row>
    <row r="82" spans="2:15">
      <c r="B82" s="149" t="s">
        <v>1202</v>
      </c>
      <c r="C82" s="499">
        <f>IFERROR((C$23/C$14)/C58,0)</f>
        <v>0.42648997242239151</v>
      </c>
      <c r="D82" s="499">
        <f>IFERROR((D$23/D$14)/D58,0)</f>
        <v>0</v>
      </c>
      <c r="E82" s="499">
        <f t="shared" ref="E82:N82" si="11">IFERROR((E$23/E$14)/E58,0)</f>
        <v>0</v>
      </c>
      <c r="F82" s="499">
        <f t="shared" si="11"/>
        <v>0</v>
      </c>
      <c r="G82" s="499">
        <f t="shared" si="11"/>
        <v>0</v>
      </c>
      <c r="H82" s="499">
        <f t="shared" si="11"/>
        <v>0</v>
      </c>
      <c r="I82" s="499">
        <f t="shared" si="11"/>
        <v>0</v>
      </c>
      <c r="J82" s="499">
        <f t="shared" si="11"/>
        <v>0</v>
      </c>
      <c r="K82" s="499">
        <f t="shared" si="11"/>
        <v>0</v>
      </c>
      <c r="L82" s="499">
        <f t="shared" si="11"/>
        <v>0</v>
      </c>
      <c r="M82" s="499">
        <f t="shared" si="11"/>
        <v>0</v>
      </c>
      <c r="N82" s="499">
        <f t="shared" si="11"/>
        <v>0</v>
      </c>
      <c r="O82" s="499"/>
    </row>
    <row r="83" spans="2:15">
      <c r="B83" s="149" t="s">
        <v>1203</v>
      </c>
      <c r="C83" s="499">
        <f>IFERROR((C$23/C$14)/C59,0)</f>
        <v>0.41737590191532298</v>
      </c>
      <c r="D83" s="499">
        <f t="shared" ref="D83:N83" si="12">IFERROR((D$23/D$14)/D59,0)</f>
        <v>0</v>
      </c>
      <c r="E83" s="499">
        <f t="shared" si="12"/>
        <v>0</v>
      </c>
      <c r="F83" s="499">
        <f t="shared" si="12"/>
        <v>0</v>
      </c>
      <c r="G83" s="499">
        <f t="shared" si="12"/>
        <v>0</v>
      </c>
      <c r="H83" s="499">
        <f t="shared" si="12"/>
        <v>0</v>
      </c>
      <c r="I83" s="499">
        <f t="shared" si="12"/>
        <v>0</v>
      </c>
      <c r="J83" s="499">
        <f t="shared" si="12"/>
        <v>0</v>
      </c>
      <c r="K83" s="499">
        <f t="shared" si="12"/>
        <v>0</v>
      </c>
      <c r="L83" s="499">
        <f t="shared" si="12"/>
        <v>0</v>
      </c>
      <c r="M83" s="499">
        <f t="shared" si="12"/>
        <v>0</v>
      </c>
      <c r="N83" s="499">
        <f t="shared" si="12"/>
        <v>0</v>
      </c>
    </row>
    <row r="84" spans="2:15">
      <c r="B84" s="149" t="s">
        <v>1204</v>
      </c>
      <c r="C84" s="499">
        <f>IFERROR((C$23/C$14)/C60,0)</f>
        <v>0.41737590191532298</v>
      </c>
      <c r="D84" s="499">
        <f t="shared" ref="D84:N84" si="13">IFERROR((D$23/D$14)/D60,0)</f>
        <v>0</v>
      </c>
      <c r="E84" s="499">
        <f t="shared" si="13"/>
        <v>0</v>
      </c>
      <c r="F84" s="499">
        <f t="shared" si="13"/>
        <v>0</v>
      </c>
      <c r="G84" s="499">
        <f t="shared" si="13"/>
        <v>0</v>
      </c>
      <c r="H84" s="499">
        <f t="shared" si="13"/>
        <v>0</v>
      </c>
      <c r="I84" s="499">
        <f t="shared" si="13"/>
        <v>0</v>
      </c>
      <c r="J84" s="499">
        <f t="shared" si="13"/>
        <v>0</v>
      </c>
      <c r="K84" s="499">
        <f t="shared" si="13"/>
        <v>0</v>
      </c>
      <c r="L84" s="499">
        <f t="shared" si="13"/>
        <v>0</v>
      </c>
      <c r="M84" s="499">
        <f t="shared" si="13"/>
        <v>0</v>
      </c>
      <c r="N84" s="499">
        <f t="shared" si="13"/>
        <v>0</v>
      </c>
    </row>
    <row r="85" spans="2:15" ht="409.6">
      <c r="G85" s="44"/>
    </row>
    <row r="87" spans="2:15">
      <c r="G87" s="150"/>
    </row>
  </sheetData>
  <mergeCells count="3">
    <mergeCell ref="C7:E7"/>
    <mergeCell ref="F7:L7"/>
    <mergeCell ref="M7:N7"/>
  </mergeCells>
  <conditionalFormatting sqref="C55:N55">
    <cfRule type="cellIs" dxfId="18" priority="8" operator="greaterThanOrEqual">
      <formula>C56</formula>
    </cfRule>
  </conditionalFormatting>
  <conditionalFormatting sqref="C63:N63 C71:N71">
    <cfRule type="cellIs" dxfId="17" priority="7" operator="greaterThanOrEqual">
      <formula>C65</formula>
    </cfRule>
  </conditionalFormatting>
  <conditionalFormatting sqref="C53:N53">
    <cfRule type="cellIs" dxfId="16" priority="11" operator="greaterThanOrEqual">
      <formula>C54</formula>
    </cfRule>
  </conditionalFormatting>
  <conditionalFormatting sqref="C54:N54">
    <cfRule type="cellIs" dxfId="15" priority="5" operator="greaterThanOrEqual">
      <formula>C55</formula>
    </cfRule>
  </conditionalFormatting>
  <conditionalFormatting sqref="C59:N59">
    <cfRule type="cellIs" dxfId="14" priority="4" operator="greaterThanOrEqual">
      <formula>C60</formula>
    </cfRule>
  </conditionalFormatting>
  <conditionalFormatting sqref="C67:N67">
    <cfRule type="cellIs" dxfId="13" priority="3" operator="greaterThanOrEqual">
      <formula>C68</formula>
    </cfRule>
  </conditionalFormatting>
  <conditionalFormatting sqref="C62:N62 C70:N70">
    <cfRule type="cellIs" dxfId="12" priority="108" operator="greaterThanOrEqual">
      <formula>C65</formula>
    </cfRule>
  </conditionalFormatting>
  <conditionalFormatting sqref="C60:N61 C68:N69">
    <cfRule type="cellIs" dxfId="11" priority="109" operator="greaterThanOrEqual">
      <formula>C64</formula>
    </cfRule>
  </conditionalFormatting>
  <conditionalFormatting sqref="C58:N58">
    <cfRule type="cellIs" dxfId="10" priority="2" operator="greaterThanOrEqual">
      <formula>C59</formula>
    </cfRule>
  </conditionalFormatting>
  <conditionalFormatting sqref="C66:N66">
    <cfRule type="cellIs" dxfId="9" priority="1" operator="greaterThanOrEqual">
      <formula>C67</formula>
    </cfRule>
  </conditionalFormatting>
  <pageMargins left="0" right="0" top="1" bottom="1" header="0.5" footer="0.5"/>
  <pageSetup scale="39" orientation="landscape" r:id="rId1"/>
  <headerFooter alignWithMargins="0">
    <oddFooter>&amp;LPrinted:  &amp;D&amp;C&amp;F&amp;RPage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pageSetUpPr fitToPage="1"/>
  </sheetPr>
  <dimension ref="A1:P81"/>
  <sheetViews>
    <sheetView showGridLines="0" zoomScale="75" zoomScaleNormal="75" workbookViewId="0">
      <selection activeCell="B2" sqref="B2"/>
    </sheetView>
  </sheetViews>
  <sheetFormatPr defaultRowHeight="15"/>
  <cols>
    <col min="1" max="1" width="2.6640625" style="99" customWidth="1"/>
    <col min="2" max="2" width="23.33203125" customWidth="1"/>
    <col min="3" max="3" width="15.33203125" customWidth="1"/>
    <col min="4" max="4" width="14.88671875" bestFit="1" customWidth="1"/>
    <col min="5" max="5" width="15.33203125" bestFit="1" customWidth="1"/>
    <col min="6" max="6" width="14.88671875" bestFit="1" customWidth="1"/>
    <col min="7" max="9" width="15.33203125" bestFit="1" customWidth="1"/>
    <col min="10" max="11" width="14.109375" bestFit="1" customWidth="1"/>
    <col min="12" max="14" width="15.33203125" bestFit="1" customWidth="1"/>
    <col min="15" max="15" width="2.6640625" customWidth="1"/>
    <col min="16" max="16" width="12.88671875" bestFit="1" customWidth="1"/>
  </cols>
  <sheetData>
    <row r="1" spans="1:16" s="8" customFormat="1" ht="15.6">
      <c r="A1" s="624"/>
      <c r="B1" s="8" t="s">
        <v>1307</v>
      </c>
    </row>
    <row r="2" spans="1:16" s="8" customFormat="1" ht="15.6">
      <c r="A2" s="624"/>
      <c r="B2" s="8" t="s">
        <v>1267</v>
      </c>
    </row>
    <row r="3" spans="1:16" s="8" customFormat="1" ht="15.6">
      <c r="A3" s="624"/>
    </row>
    <row r="4" spans="1:16" ht="21">
      <c r="A4" s="124" t="s">
        <v>724</v>
      </c>
    </row>
    <row r="5" spans="1:16" ht="21">
      <c r="A5" s="124" t="s">
        <v>434</v>
      </c>
    </row>
    <row r="6" spans="1:16" ht="15.6" thickBot="1"/>
    <row r="7" spans="1:16" ht="15.6" thickBot="1">
      <c r="C7" s="572" t="s">
        <v>339</v>
      </c>
      <c r="D7" s="573"/>
      <c r="E7" s="574"/>
      <c r="F7" s="575" t="s">
        <v>340</v>
      </c>
      <c r="G7" s="576"/>
      <c r="H7" s="576"/>
      <c r="I7" s="576"/>
      <c r="J7" s="576"/>
      <c r="K7" s="576"/>
      <c r="L7" s="577"/>
      <c r="M7" s="572" t="s">
        <v>339</v>
      </c>
      <c r="N7" s="574"/>
    </row>
    <row r="8" spans="1:16" ht="15.6" thickBot="1">
      <c r="C8" s="100" t="s">
        <v>70</v>
      </c>
      <c r="D8" s="100" t="s">
        <v>71</v>
      </c>
      <c r="E8" s="100" t="s">
        <v>72</v>
      </c>
      <c r="F8" s="103" t="s">
        <v>73</v>
      </c>
      <c r="G8" s="103" t="s">
        <v>74</v>
      </c>
      <c r="H8" s="103" t="s">
        <v>75</v>
      </c>
      <c r="I8" s="103" t="s">
        <v>76</v>
      </c>
      <c r="J8" s="103" t="s">
        <v>77</v>
      </c>
      <c r="K8" s="103" t="s">
        <v>78</v>
      </c>
      <c r="L8" s="103" t="s">
        <v>79</v>
      </c>
      <c r="M8" s="100" t="s">
        <v>80</v>
      </c>
      <c r="N8" s="100" t="s">
        <v>81</v>
      </c>
      <c r="P8" s="151" t="s">
        <v>82</v>
      </c>
    </row>
    <row r="9" spans="1:16" s="10" customFormat="1" hidden="1">
      <c r="A9" s="123"/>
      <c r="B9" s="43" t="s">
        <v>1054</v>
      </c>
      <c r="C9" s="320">
        <v>3</v>
      </c>
      <c r="D9" s="320">
        <v>4</v>
      </c>
      <c r="E9" s="320">
        <v>5</v>
      </c>
      <c r="F9" s="320">
        <v>6</v>
      </c>
      <c r="G9" s="320">
        <v>7</v>
      </c>
      <c r="H9" s="320">
        <v>8</v>
      </c>
      <c r="I9" s="320">
        <v>9</v>
      </c>
      <c r="J9" s="320">
        <v>10</v>
      </c>
      <c r="K9" s="320">
        <v>11</v>
      </c>
      <c r="L9" s="320">
        <v>12</v>
      </c>
      <c r="M9" s="320">
        <v>13</v>
      </c>
      <c r="N9" s="320">
        <v>14</v>
      </c>
    </row>
    <row r="10" spans="1:16" s="10" customFormat="1">
      <c r="A10" s="123"/>
      <c r="B10" s="43"/>
      <c r="C10" s="320"/>
      <c r="D10" s="320"/>
      <c r="E10" s="320"/>
      <c r="F10" s="320"/>
      <c r="G10" s="320"/>
      <c r="H10" s="320"/>
      <c r="I10" s="320"/>
      <c r="J10" s="320"/>
      <c r="K10" s="320"/>
      <c r="L10" s="320"/>
      <c r="M10" s="320"/>
      <c r="N10" s="320"/>
    </row>
    <row r="11" spans="1:16" s="110" customFormat="1" ht="15.6">
      <c r="A11" s="120"/>
    </row>
    <row r="12" spans="1:16" ht="15.6">
      <c r="A12" s="113" t="s">
        <v>421</v>
      </c>
      <c r="C12" s="5"/>
      <c r="D12" s="5"/>
      <c r="E12" s="5"/>
      <c r="F12" s="5"/>
      <c r="G12" s="5"/>
      <c r="H12" s="5"/>
      <c r="I12" s="5"/>
      <c r="J12" s="5"/>
      <c r="K12" s="5"/>
      <c r="L12" s="5"/>
      <c r="M12" s="115"/>
      <c r="N12" s="5"/>
    </row>
    <row r="13" spans="1:16">
      <c r="A13" s="114"/>
      <c r="B13" s="108" t="str">
        <f>"PRIOR - "&amp;MANUAL!$B$9</f>
        <v>PRIOR - 2016</v>
      </c>
      <c r="C13" s="145">
        <f>+HOURS!$B$18</f>
        <v>744</v>
      </c>
      <c r="D13" s="145">
        <f>+HOURS!$C$18</f>
        <v>696</v>
      </c>
      <c r="E13" s="145">
        <f>+HOURS!$D$18</f>
        <v>744</v>
      </c>
      <c r="F13" s="145">
        <f>+HOURS!$E$18</f>
        <v>720</v>
      </c>
      <c r="G13" s="145">
        <f>+HOURS!$F$18</f>
        <v>744</v>
      </c>
      <c r="H13" s="145">
        <f>+HOURS!$G$18</f>
        <v>720</v>
      </c>
      <c r="I13" s="145">
        <f>+HOURS!$H$18</f>
        <v>744</v>
      </c>
      <c r="J13" s="145">
        <f>+HOURS!$I$18</f>
        <v>744</v>
      </c>
      <c r="K13" s="145">
        <f>+HOURS!$J$18</f>
        <v>720</v>
      </c>
      <c r="L13" s="145">
        <f>+HOURS!$K$18</f>
        <v>744</v>
      </c>
      <c r="M13" s="145">
        <f>+HOURS!$L$18</f>
        <v>720</v>
      </c>
      <c r="N13" s="145">
        <f>+HOURS!$M$18</f>
        <v>744</v>
      </c>
    </row>
    <row r="14" spans="1:16">
      <c r="A14" s="114"/>
      <c r="B14" s="108" t="str">
        <f>"TEST - "&amp;MANUAL!$B$10</f>
        <v>TEST - 2017</v>
      </c>
      <c r="C14" s="145">
        <f>+HOURS!$B$19</f>
        <v>744</v>
      </c>
      <c r="D14" s="145">
        <f>+HOURS!$C$19</f>
        <v>672</v>
      </c>
      <c r="E14" s="145">
        <f>+HOURS!$D$19</f>
        <v>744</v>
      </c>
      <c r="F14" s="145">
        <f>+HOURS!$E$19</f>
        <v>720</v>
      </c>
      <c r="G14" s="145">
        <f>+HOURS!$F$19</f>
        <v>744</v>
      </c>
      <c r="H14" s="145">
        <f>+HOURS!$G$19</f>
        <v>720</v>
      </c>
      <c r="I14" s="145">
        <f>+HOURS!$H$19</f>
        <v>744</v>
      </c>
      <c r="J14" s="145">
        <f>+HOURS!$I$19</f>
        <v>744</v>
      </c>
      <c r="K14" s="145">
        <f>+HOURS!$J$19</f>
        <v>720</v>
      </c>
      <c r="L14" s="145">
        <f>+HOURS!$K$19</f>
        <v>744</v>
      </c>
      <c r="M14" s="145">
        <f>+HOURS!$L$19</f>
        <v>720</v>
      </c>
      <c r="N14" s="145">
        <f>+HOURS!$M$19</f>
        <v>744</v>
      </c>
    </row>
    <row r="15" spans="1:16">
      <c r="A15" s="114"/>
      <c r="B15" s="108" t="s">
        <v>1096</v>
      </c>
      <c r="C15" s="145">
        <f>+HOURS!B$20</f>
        <v>744</v>
      </c>
      <c r="D15" s="145">
        <f>+HOURS!C$20</f>
        <v>672</v>
      </c>
      <c r="E15" s="145">
        <f>+HOURS!D$20</f>
        <v>744</v>
      </c>
      <c r="F15" s="145">
        <f>+HOURS!E$20</f>
        <v>720</v>
      </c>
      <c r="G15" s="145">
        <f>+HOURS!F$20</f>
        <v>744</v>
      </c>
      <c r="H15" s="145">
        <f>+HOURS!G$20</f>
        <v>720</v>
      </c>
      <c r="I15" s="145">
        <f>+HOURS!H$20</f>
        <v>744</v>
      </c>
      <c r="J15" s="145">
        <f>+HOURS!I$20</f>
        <v>744</v>
      </c>
      <c r="K15" s="145">
        <f>+HOURS!J$20</f>
        <v>720</v>
      </c>
      <c r="L15" s="145">
        <f>+HOURS!K$20</f>
        <v>744</v>
      </c>
      <c r="M15" s="145">
        <f>+HOURS!L$20</f>
        <v>720</v>
      </c>
      <c r="N15" s="145">
        <f>+HOURS!M$20</f>
        <v>744</v>
      </c>
    </row>
    <row r="16" spans="1:16">
      <c r="A16" s="114"/>
      <c r="C16" s="5"/>
      <c r="D16" s="5"/>
      <c r="E16" s="5"/>
      <c r="F16" s="5"/>
      <c r="G16" s="5"/>
      <c r="H16" s="5"/>
      <c r="I16" s="5"/>
      <c r="J16" s="5"/>
      <c r="K16" s="5"/>
      <c r="L16" s="5"/>
      <c r="M16" s="115"/>
      <c r="N16" s="5"/>
    </row>
    <row r="17" spans="1:14" ht="15.6">
      <c r="A17" s="113" t="s">
        <v>427</v>
      </c>
      <c r="C17" s="5"/>
      <c r="D17" s="5"/>
      <c r="E17" s="5"/>
      <c r="F17" s="5"/>
      <c r="G17" s="5"/>
      <c r="H17" s="5"/>
      <c r="I17" s="5"/>
      <c r="J17" s="5"/>
      <c r="K17" s="5"/>
      <c r="L17" s="5"/>
      <c r="M17" s="115"/>
      <c r="N17" s="5"/>
    </row>
    <row r="18" spans="1:14">
      <c r="A18" s="114"/>
      <c r="B18" t="s">
        <v>428</v>
      </c>
      <c r="C18" s="145">
        <v>0</v>
      </c>
      <c r="D18" s="145">
        <v>0</v>
      </c>
      <c r="E18" s="145">
        <v>0</v>
      </c>
      <c r="F18" s="145">
        <v>0</v>
      </c>
      <c r="G18" s="145">
        <v>0</v>
      </c>
      <c r="H18" s="145">
        <v>0</v>
      </c>
      <c r="I18" s="145">
        <v>0</v>
      </c>
      <c r="J18" s="145">
        <v>0</v>
      </c>
      <c r="K18" s="145">
        <v>0</v>
      </c>
      <c r="L18" s="145">
        <v>0</v>
      </c>
      <c r="M18" s="145">
        <v>0</v>
      </c>
      <c r="N18" s="145">
        <v>0</v>
      </c>
    </row>
    <row r="19" spans="1:14">
      <c r="A19" s="114"/>
      <c r="B19" t="s">
        <v>429</v>
      </c>
      <c r="C19" s="145">
        <v>0</v>
      </c>
      <c r="D19" s="145">
        <v>0</v>
      </c>
      <c r="E19" s="145">
        <v>0</v>
      </c>
      <c r="F19" s="145">
        <v>0</v>
      </c>
      <c r="G19" s="145">
        <v>0</v>
      </c>
      <c r="H19" s="145">
        <v>0</v>
      </c>
      <c r="I19" s="145">
        <v>0</v>
      </c>
      <c r="J19" s="145">
        <v>0</v>
      </c>
      <c r="K19" s="145">
        <v>0</v>
      </c>
      <c r="L19" s="145">
        <v>0</v>
      </c>
      <c r="M19" s="145">
        <v>0</v>
      </c>
      <c r="N19" s="145">
        <v>0</v>
      </c>
    </row>
    <row r="20" spans="1:14">
      <c r="A20" s="114"/>
      <c r="C20" s="5"/>
      <c r="D20" s="5"/>
      <c r="E20" s="5"/>
      <c r="F20" s="5"/>
      <c r="G20" s="5"/>
      <c r="H20" s="5"/>
      <c r="I20" s="5"/>
      <c r="J20" s="5"/>
      <c r="K20" s="5"/>
      <c r="L20" s="5"/>
      <c r="M20" s="115"/>
      <c r="N20" s="5"/>
    </row>
    <row r="21" spans="1:14" ht="15.6">
      <c r="A21" s="113" t="s">
        <v>424</v>
      </c>
      <c r="C21" s="5"/>
      <c r="D21" s="5"/>
      <c r="E21" s="5"/>
      <c r="F21" s="5"/>
      <c r="G21" s="5"/>
      <c r="H21" s="5"/>
      <c r="I21" s="5"/>
      <c r="J21" s="5"/>
      <c r="K21" s="5"/>
      <c r="L21" s="5"/>
      <c r="M21" s="115"/>
      <c r="N21" s="5"/>
    </row>
    <row r="22" spans="1:14" s="106" customFormat="1">
      <c r="A22" s="109"/>
      <c r="B22" s="108" t="str">
        <f>"PRIOR - "&amp;MANUAL!$B$9</f>
        <v>PRIOR - 2016</v>
      </c>
      <c r="C22" s="142">
        <f>VLOOKUP($B$9,'KWH FCST'!$A$33:$O$41,C9-1,FALSE)</f>
        <v>4533460.336049078</v>
      </c>
      <c r="D22" s="142">
        <f>VLOOKUP($B$9,'KWH FCST'!$A$33:$O$41,D9-1,FALSE)</f>
        <v>4941609.804114826</v>
      </c>
      <c r="E22" s="142">
        <f>VLOOKUP($B$9,'KWH FCST'!$A$33:$O$41,E9-1,FALSE)</f>
        <v>3011667.4362598946</v>
      </c>
      <c r="F22" s="142">
        <f>VLOOKUP($B$9,'KWH FCST'!$A$33:$O$41,F9-1,FALSE)</f>
        <v>5646320.3654786283</v>
      </c>
      <c r="G22" s="142">
        <f>VLOOKUP($B$9,'KWH FCST'!$A$33:$O$41,G9-1,FALSE)</f>
        <v>5479526.6777857468</v>
      </c>
      <c r="H22" s="142">
        <f>VLOOKUP($B$9,'KWH FCST'!$A$33:$O$41,H9-1,FALSE)</f>
        <v>5963770.2536569545</v>
      </c>
      <c r="I22" s="142">
        <f>VLOOKUP($B$9,'KWH FCST'!$A$33:$O$41,I9-1,FALSE)</f>
        <v>5928664.319031693</v>
      </c>
      <c r="J22" s="142">
        <f>VLOOKUP($B$9,'KWH FCST'!$A$33:$O$41,J9-1,FALSE)</f>
        <v>6279645.1503097797</v>
      </c>
      <c r="K22" s="142">
        <f>VLOOKUP($B$9,'KWH FCST'!$A$33:$O$41,K9-1,FALSE)</f>
        <v>6252167.9969719443</v>
      </c>
      <c r="L22" s="142">
        <f>VLOOKUP($B$9,'KWH FCST'!$A$33:$O$41,L9-1,FALSE)</f>
        <v>6537691.9070096025</v>
      </c>
      <c r="M22" s="142">
        <f>VLOOKUP($B$9,'KWH FCST'!$A$33:$O$41,M9-1,FALSE)</f>
        <v>5361599.0772232451</v>
      </c>
      <c r="N22" s="142">
        <f>VLOOKUP($B$9,'KWH FCST'!$A$33:$O$41,N9-1,FALSE)</f>
        <v>3882952.2272739159</v>
      </c>
    </row>
    <row r="23" spans="1:14" s="12" customFormat="1" ht="15.6">
      <c r="A23" s="111"/>
      <c r="B23" s="108" t="str">
        <f>"TEST - "&amp;MANUAL!$B$10</f>
        <v>TEST - 2017</v>
      </c>
      <c r="C23" s="142">
        <f>VLOOKUP($B$9,'KWH FCST'!$A$79:$O$87,C9-1,FALSE)</f>
        <v>4479042.2992308391</v>
      </c>
      <c r="D23" s="142">
        <f>VLOOKUP($B$9,'KWH FCST'!$A$79:$O$87,D9-1,FALSE)</f>
        <v>0</v>
      </c>
      <c r="E23" s="142">
        <f>VLOOKUP($B$9,'KWH FCST'!$A$79:$O$87,E9-1,FALSE)</f>
        <v>0</v>
      </c>
      <c r="F23" s="142">
        <f>VLOOKUP($B$9,'KWH FCST'!$A$79:$O$87,F9-1,FALSE)</f>
        <v>0</v>
      </c>
      <c r="G23" s="142">
        <f>VLOOKUP($B$9,'KWH FCST'!$A$79:$O$87,G9-1,FALSE)</f>
        <v>0</v>
      </c>
      <c r="H23" s="142">
        <f>VLOOKUP($B$9,'KWH FCST'!$A$79:$O$87,H9-1,FALSE)</f>
        <v>0</v>
      </c>
      <c r="I23" s="142">
        <f>VLOOKUP($B$9,'KWH FCST'!$A$79:$O$87,I9-1,FALSE)</f>
        <v>0</v>
      </c>
      <c r="J23" s="142">
        <f>VLOOKUP($B$9,'KWH FCST'!$A$79:$O$87,J9-1,FALSE)</f>
        <v>0</v>
      </c>
      <c r="K23" s="142">
        <f>VLOOKUP($B$9,'KWH FCST'!$A$79:$O$87,K9-1,FALSE)</f>
        <v>0</v>
      </c>
      <c r="L23" s="142">
        <f>VLOOKUP($B$9,'KWH FCST'!$A$79:$O$87,L9-1,FALSE)</f>
        <v>0</v>
      </c>
      <c r="M23" s="142">
        <f>VLOOKUP($B$9,'KWH FCST'!$A$79:$O$87,M9-1,FALSE)</f>
        <v>0</v>
      </c>
      <c r="N23" s="142">
        <f>VLOOKUP($B$9,'KWH FCST'!$A$79:$O$87,N9-1,FALSE)</f>
        <v>0</v>
      </c>
    </row>
    <row r="24" spans="1:14">
      <c r="A24" s="114"/>
      <c r="B24" t="s">
        <v>1094</v>
      </c>
      <c r="C24" s="142">
        <f>VLOOKUP($B$9,'KWH FCST'!$A$125:$O$133,C9-1,FALSE)</f>
        <v>0</v>
      </c>
      <c r="D24" s="142">
        <f>VLOOKUP($B$9,'KWH FCST'!$A$125:$O$133,D9-1,FALSE)</f>
        <v>0</v>
      </c>
      <c r="E24" s="142">
        <f>VLOOKUP($B$9,'KWH FCST'!$A$125:$O$133,E9-1,FALSE)</f>
        <v>0</v>
      </c>
      <c r="F24" s="142">
        <f>VLOOKUP($B$9,'KWH FCST'!$A$125:$O$133,F9-1,FALSE)</f>
        <v>0</v>
      </c>
      <c r="G24" s="142">
        <f>VLOOKUP($B$9,'KWH FCST'!$A$125:$O$133,G9-1,FALSE)</f>
        <v>0</v>
      </c>
      <c r="H24" s="142">
        <f>VLOOKUP($B$9,'KWH FCST'!$A$125:$O$133,H9-1,FALSE)</f>
        <v>0</v>
      </c>
      <c r="I24" s="142">
        <f>VLOOKUP($B$9,'KWH FCST'!$A$125:$O$133,I9-1,FALSE)</f>
        <v>0</v>
      </c>
      <c r="J24" s="142">
        <f>VLOOKUP($B$9,'KWH FCST'!$A$125:$O$133,J9-1,FALSE)</f>
        <v>0</v>
      </c>
      <c r="K24" s="142">
        <f>VLOOKUP($B$9,'KWH FCST'!$A$125:$O$133,K9-1,FALSE)</f>
        <v>0</v>
      </c>
      <c r="L24" s="142">
        <f>VLOOKUP($B$9,'KWH FCST'!$A$125:$O$133,L9-1,FALSE)</f>
        <v>0</v>
      </c>
      <c r="M24" s="142">
        <f>VLOOKUP($B$9,'KWH FCST'!$A$125:$O$133,M9-1,FALSE)</f>
        <v>0</v>
      </c>
      <c r="N24" s="142">
        <f>VLOOKUP($B$9,'KWH FCST'!$A$125:$O$133,N9-1,FALSE)</f>
        <v>0</v>
      </c>
    </row>
    <row r="25" spans="1:14">
      <c r="A25" s="114"/>
      <c r="C25" s="142"/>
      <c r="D25" s="142"/>
      <c r="E25" s="142"/>
      <c r="F25" s="142"/>
      <c r="G25" s="142"/>
      <c r="H25" s="142"/>
      <c r="I25" s="142"/>
      <c r="J25" s="142"/>
      <c r="K25" s="142"/>
      <c r="L25" s="142"/>
      <c r="M25" s="142"/>
      <c r="N25" s="142"/>
    </row>
    <row r="26" spans="1:14" ht="15.6">
      <c r="A26" s="113" t="s">
        <v>1248</v>
      </c>
      <c r="C26" s="142"/>
      <c r="D26" s="142"/>
      <c r="E26" s="142"/>
      <c r="F26" s="142"/>
      <c r="G26" s="142"/>
      <c r="H26" s="142"/>
      <c r="I26" s="142"/>
      <c r="J26" s="142"/>
      <c r="K26" s="142"/>
      <c r="L26" s="142"/>
      <c r="M26" s="142"/>
      <c r="N26" s="142"/>
    </row>
    <row r="27" spans="1:14">
      <c r="A27" s="114"/>
      <c r="B27" t="s">
        <v>1254</v>
      </c>
      <c r="C27" s="115">
        <v>1</v>
      </c>
      <c r="D27" s="115">
        <v>1</v>
      </c>
      <c r="E27" s="115">
        <v>1</v>
      </c>
      <c r="F27" s="115">
        <v>1</v>
      </c>
      <c r="G27" s="115">
        <v>1</v>
      </c>
      <c r="H27" s="115">
        <v>1</v>
      </c>
      <c r="I27" s="115">
        <v>1</v>
      </c>
      <c r="J27" s="115">
        <v>1</v>
      </c>
      <c r="K27" s="115">
        <v>1</v>
      </c>
      <c r="L27" s="115">
        <v>1</v>
      </c>
      <c r="M27" s="115">
        <v>1</v>
      </c>
      <c r="N27" s="115">
        <v>1</v>
      </c>
    </row>
    <row r="28" spans="1:14">
      <c r="A28" s="114"/>
      <c r="B28" t="s">
        <v>1253</v>
      </c>
      <c r="C28" s="115">
        <v>0</v>
      </c>
      <c r="D28" s="115">
        <v>0</v>
      </c>
      <c r="E28" s="115">
        <v>0</v>
      </c>
      <c r="F28" s="115">
        <v>0</v>
      </c>
      <c r="G28" s="115">
        <v>0</v>
      </c>
      <c r="H28" s="115">
        <v>0</v>
      </c>
      <c r="I28" s="115">
        <v>0</v>
      </c>
      <c r="J28" s="115">
        <v>0</v>
      </c>
      <c r="K28" s="115">
        <v>0</v>
      </c>
      <c r="L28" s="115">
        <v>0</v>
      </c>
      <c r="M28" s="115">
        <v>0</v>
      </c>
      <c r="N28" s="115">
        <v>0</v>
      </c>
    </row>
    <row r="29" spans="1:14">
      <c r="A29" s="114"/>
      <c r="B29" t="s">
        <v>1252</v>
      </c>
      <c r="C29" s="115">
        <v>0</v>
      </c>
      <c r="D29" s="115">
        <v>0</v>
      </c>
      <c r="E29" s="115">
        <v>0</v>
      </c>
      <c r="F29" s="115">
        <v>0</v>
      </c>
      <c r="G29" s="115">
        <v>0</v>
      </c>
      <c r="H29" s="115">
        <v>0</v>
      </c>
      <c r="I29" s="115">
        <v>0</v>
      </c>
      <c r="J29" s="115">
        <v>0</v>
      </c>
      <c r="K29" s="115">
        <v>0</v>
      </c>
      <c r="L29" s="115">
        <v>0</v>
      </c>
      <c r="M29" s="115">
        <v>0</v>
      </c>
      <c r="N29" s="115">
        <v>0</v>
      </c>
    </row>
    <row r="30" spans="1:14" ht="15.6">
      <c r="A30" s="114"/>
      <c r="B30" s="513">
        <v>2017</v>
      </c>
      <c r="C30" s="115"/>
      <c r="D30" s="115"/>
      <c r="E30" s="115"/>
      <c r="F30" s="115"/>
      <c r="G30" s="115"/>
      <c r="H30" s="115"/>
      <c r="I30" s="115"/>
      <c r="J30" s="115"/>
      <c r="K30" s="115"/>
      <c r="L30" s="115"/>
      <c r="M30" s="115"/>
      <c r="N30" s="115"/>
    </row>
    <row r="31" spans="1:14">
      <c r="A31" s="114"/>
      <c r="B31" t="s">
        <v>1249</v>
      </c>
      <c r="C31" s="535">
        <v>1.0218365997299901</v>
      </c>
      <c r="D31" s="535">
        <v>1.0218365997299901</v>
      </c>
      <c r="E31" s="535">
        <v>1.0218365997299901</v>
      </c>
      <c r="F31" s="535">
        <v>1.0218365997299901</v>
      </c>
      <c r="G31" s="535">
        <v>1.0218365997299901</v>
      </c>
      <c r="H31" s="535">
        <v>1.0218365997299901</v>
      </c>
      <c r="I31" s="535">
        <v>1.0218365997299901</v>
      </c>
      <c r="J31" s="535">
        <v>1.0218365997299901</v>
      </c>
      <c r="K31" s="535">
        <v>1.0218365997299901</v>
      </c>
      <c r="L31" s="535">
        <v>1.0218365997299901</v>
      </c>
      <c r="M31" s="535">
        <v>1.0218365997299901</v>
      </c>
      <c r="N31" s="535">
        <v>1.0218365997299901</v>
      </c>
    </row>
    <row r="32" spans="1:14">
      <c r="A32" s="114"/>
      <c r="B32" t="s">
        <v>1250</v>
      </c>
      <c r="C32" s="535">
        <v>1.0348230487446399</v>
      </c>
      <c r="D32" s="535">
        <v>1.0348230487446399</v>
      </c>
      <c r="E32" s="535">
        <v>1.0348230487446399</v>
      </c>
      <c r="F32" s="535">
        <v>1.0348230487446399</v>
      </c>
      <c r="G32" s="535">
        <v>1.0348230487446399</v>
      </c>
      <c r="H32" s="535">
        <v>1.0348230487446399</v>
      </c>
      <c r="I32" s="535">
        <v>1.0348230487446399</v>
      </c>
      <c r="J32" s="535">
        <v>1.0348230487446399</v>
      </c>
      <c r="K32" s="535">
        <v>1.0348230487446399</v>
      </c>
      <c r="L32" s="535">
        <v>1.0348230487446399</v>
      </c>
      <c r="M32" s="535">
        <v>1.0348230487446399</v>
      </c>
      <c r="N32" s="535">
        <v>1.0348230487446399</v>
      </c>
    </row>
    <row r="33" spans="1:14">
      <c r="A33" s="114"/>
      <c r="B33" t="s">
        <v>1251</v>
      </c>
      <c r="C33" s="535">
        <v>1.0644101070756899</v>
      </c>
      <c r="D33" s="535">
        <v>1.0644101070756899</v>
      </c>
      <c r="E33" s="535">
        <v>1.0644101070756899</v>
      </c>
      <c r="F33" s="535">
        <v>1.0644101070756899</v>
      </c>
      <c r="G33" s="535">
        <v>1.0644101070756899</v>
      </c>
      <c r="H33" s="535">
        <v>1.0644101070756899</v>
      </c>
      <c r="I33" s="535">
        <v>1.0644101070756899</v>
      </c>
      <c r="J33" s="535">
        <v>1.0644101070756899</v>
      </c>
      <c r="K33" s="535">
        <v>1.0644101070756899</v>
      </c>
      <c r="L33" s="535">
        <v>1.0644101070756899</v>
      </c>
      <c r="M33" s="535">
        <v>1.0644101070756899</v>
      </c>
      <c r="N33" s="535">
        <v>1.0644101070756899</v>
      </c>
    </row>
    <row r="34" spans="1:14">
      <c r="A34" s="114"/>
      <c r="B34" t="s">
        <v>1255</v>
      </c>
      <c r="C34" s="107">
        <f>HLOOKUP($B9,Summary_CP!$A$5:$N$161,107+C$9,FALSE)*1000</f>
        <v>0</v>
      </c>
      <c r="D34" s="107">
        <f>HLOOKUP($B9,Summary_CP!$A$5:$N$161,107+D$9,FALSE)*1000</f>
        <v>0</v>
      </c>
      <c r="E34" s="107">
        <f>HLOOKUP($B9,Summary_CP!$A$5:$N$161,107+E$9,FALSE)*1000</f>
        <v>0</v>
      </c>
      <c r="F34" s="107">
        <f>HLOOKUP($B9,Summary_CP!$A$5:$N$161,107+F$9,FALSE)*1000</f>
        <v>0</v>
      </c>
      <c r="G34" s="107">
        <f>HLOOKUP($B9,Summary_CP!$A$5:$N$161,107+G$9,FALSE)*1000</f>
        <v>0</v>
      </c>
      <c r="H34" s="107">
        <f>HLOOKUP($B9,Summary_CP!$A$5:$N$161,107+H$9,FALSE)*1000</f>
        <v>0</v>
      </c>
      <c r="I34" s="107">
        <f>HLOOKUP($B9,Summary_CP!$A$5:$N$161,107+I$9,FALSE)*1000</f>
        <v>0</v>
      </c>
      <c r="J34" s="107">
        <f>HLOOKUP($B9,Summary_CP!$A$5:$N$161,107+J$9,FALSE)*1000</f>
        <v>0</v>
      </c>
      <c r="K34" s="107">
        <f>HLOOKUP($B9,Summary_CP!$A$5:$N$161,107+K$9,FALSE)*1000</f>
        <v>0</v>
      </c>
      <c r="L34" s="107">
        <f>HLOOKUP($B9,Summary_CP!$A$5:$N$161,107+L$9,FALSE)*1000</f>
        <v>0</v>
      </c>
      <c r="M34" s="107">
        <f>HLOOKUP($B9,Summary_CP!$A$5:$N$161,107+M$9,FALSE)*1000</f>
        <v>0</v>
      </c>
      <c r="N34" s="107">
        <f>HLOOKUP($B9,Summary_CP!$A$5:$N$161,107+N$9,FALSE)*1000</f>
        <v>0</v>
      </c>
    </row>
    <row r="35" spans="1:14">
      <c r="A35" s="114"/>
      <c r="B35" t="s">
        <v>1256</v>
      </c>
      <c r="C35" s="107">
        <f>IFERROR((C34*C27*C31)+(C34*C28*C32)+(C34*C29*C33),0)</f>
        <v>0</v>
      </c>
      <c r="D35" s="107">
        <f t="shared" ref="D35:N35" si="0">IFERROR((D34*D27*D31)+(D34*D28*D32)+(D34*D29*D33),0)</f>
        <v>0</v>
      </c>
      <c r="E35" s="107">
        <f t="shared" si="0"/>
        <v>0</v>
      </c>
      <c r="F35" s="107">
        <f t="shared" si="0"/>
        <v>0</v>
      </c>
      <c r="G35" s="107">
        <f t="shared" si="0"/>
        <v>0</v>
      </c>
      <c r="H35" s="107">
        <f t="shared" si="0"/>
        <v>0</v>
      </c>
      <c r="I35" s="107">
        <f t="shared" si="0"/>
        <v>0</v>
      </c>
      <c r="J35" s="107">
        <f t="shared" si="0"/>
        <v>0</v>
      </c>
      <c r="K35" s="107">
        <f t="shared" si="0"/>
        <v>0</v>
      </c>
      <c r="L35" s="107">
        <f t="shared" si="0"/>
        <v>0</v>
      </c>
      <c r="M35" s="107">
        <f t="shared" si="0"/>
        <v>0</v>
      </c>
      <c r="N35" s="107">
        <f t="shared" si="0"/>
        <v>0</v>
      </c>
    </row>
    <row r="36" spans="1:14">
      <c r="A36" s="114"/>
      <c r="B36" t="s">
        <v>1257</v>
      </c>
      <c r="C36" s="235">
        <f>BLOUNTSTOWN!C36</f>
        <v>1228831.3297315862</v>
      </c>
      <c r="D36" s="235">
        <f>BLOUNTSTOWN!D36</f>
        <v>1010133.5524307521</v>
      </c>
      <c r="E36" s="235">
        <f>BLOUNTSTOWN!E36</f>
        <v>950254.07441993814</v>
      </c>
      <c r="F36" s="235">
        <f>BLOUNTSTOWN!F36</f>
        <v>959201.22858601715</v>
      </c>
      <c r="G36" s="235">
        <f>BLOUNTSTOWN!G36</f>
        <v>1065854.2376846557</v>
      </c>
      <c r="H36" s="235">
        <f>BLOUNTSTOWN!H36</f>
        <v>1140353.9142618102</v>
      </c>
      <c r="I36" s="235">
        <f>BLOUNTSTOWN!I36</f>
        <v>1132054.8391980769</v>
      </c>
      <c r="J36" s="235">
        <f>BLOUNTSTOWN!J36</f>
        <v>1312333.3808478254</v>
      </c>
      <c r="K36" s="235">
        <f>BLOUNTSTOWN!K36</f>
        <v>1038758.3890285973</v>
      </c>
      <c r="L36" s="235">
        <f>BLOUNTSTOWN!L36</f>
        <v>1068943.4704556046</v>
      </c>
      <c r="M36" s="235">
        <f>BLOUNTSTOWN!M36</f>
        <v>923783.94692739786</v>
      </c>
      <c r="N36" s="235">
        <f>BLOUNTSTOWN!N36</f>
        <v>882247.02789984096</v>
      </c>
    </row>
    <row r="37" spans="1:14">
      <c r="A37" s="114"/>
      <c r="B37" t="s">
        <v>1258</v>
      </c>
      <c r="C37" s="235">
        <f>IFERROR('2017 CP (FNG)'!B12*1000-C36,0)</f>
        <v>-26260.067304411205</v>
      </c>
      <c r="D37" s="235">
        <f>IFERROR('2017 CP (FNG)'!C12*1000-D36,0)</f>
        <v>-21586.506163599784</v>
      </c>
      <c r="E37" s="235">
        <f>IFERROR('2017 CP (FNG)'!D12*1000-E36,0)</f>
        <v>-20306.884555107215</v>
      </c>
      <c r="F37" s="235">
        <f>IFERROR('2017 CP (FNG)'!E12*1000-F36,0)</f>
        <v>-20498.084815793671</v>
      </c>
      <c r="G37" s="235">
        <f>IFERROR('2017 CP (FNG)'!F12*1000-G36,0)</f>
        <v>-22777.254567886703</v>
      </c>
      <c r="H37" s="235">
        <f>IFERROR('2017 CP (FNG)'!G12*1000-H36,0)</f>
        <v>-24369.30912715639</v>
      </c>
      <c r="I37" s="235">
        <f>IFERROR('2017 CP (FNG)'!H12*1000-I36,0)</f>
        <v>-24191.95828618668</v>
      </c>
      <c r="J37" s="235">
        <f>IFERROR('2017 CP (FNG)'!I12*1000-J36,0)</f>
        <v>-28044.502181122778</v>
      </c>
      <c r="K37" s="235">
        <f>IFERROR('2017 CP (FNG)'!J12*1000-K36,0)</f>
        <v>-22198.217565685627</v>
      </c>
      <c r="L37" s="235">
        <f>IFERROR('2017 CP (FNG)'!K12*1000-L36,0)</f>
        <v>-22843.271325859241</v>
      </c>
      <c r="M37" s="235">
        <f>IFERROR('2017 CP (FNG)'!L12*1000-M36,0)</f>
        <v>-19741.219184529502</v>
      </c>
      <c r="N37" s="235">
        <f>IFERROR('2017 CP (FNG)'!M12*1000-N36,0)</f>
        <v>-18853.577192589175</v>
      </c>
    </row>
    <row r="38" spans="1:14">
      <c r="A38" s="114"/>
      <c r="B38" t="s">
        <v>1259</v>
      </c>
      <c r="C38" s="235">
        <f>IFERROR(C35*C37/C36,0)</f>
        <v>0</v>
      </c>
      <c r="D38" s="235">
        <f t="shared" ref="D38:N38" si="1">IFERROR(D35*D37/D36,0)</f>
        <v>0</v>
      </c>
      <c r="E38" s="235">
        <f t="shared" si="1"/>
        <v>0</v>
      </c>
      <c r="F38" s="235">
        <f t="shared" si="1"/>
        <v>0</v>
      </c>
      <c r="G38" s="235">
        <f t="shared" si="1"/>
        <v>0</v>
      </c>
      <c r="H38" s="235">
        <f t="shared" si="1"/>
        <v>0</v>
      </c>
      <c r="I38" s="235">
        <f t="shared" si="1"/>
        <v>0</v>
      </c>
      <c r="J38" s="235">
        <f t="shared" si="1"/>
        <v>0</v>
      </c>
      <c r="K38" s="235">
        <f t="shared" si="1"/>
        <v>0</v>
      </c>
      <c r="L38" s="235">
        <f t="shared" si="1"/>
        <v>0</v>
      </c>
      <c r="M38" s="235">
        <f t="shared" si="1"/>
        <v>0</v>
      </c>
      <c r="N38" s="235">
        <f t="shared" si="1"/>
        <v>0</v>
      </c>
    </row>
    <row r="39" spans="1:14">
      <c r="A39" s="114"/>
      <c r="B39" t="s">
        <v>1260</v>
      </c>
      <c r="C39" s="235">
        <f>IFERROR(((C38*C27)/C31)+((C38*C28)/C32)+((C38*C29)/C33),0)</f>
        <v>0</v>
      </c>
      <c r="D39" s="235">
        <f t="shared" ref="D39:N39" si="2">IFERROR(((D38*D27)/D31)+((D38*D28)/D32)+((D38*D29)/D33),0)</f>
        <v>0</v>
      </c>
      <c r="E39" s="235">
        <f t="shared" si="2"/>
        <v>0</v>
      </c>
      <c r="F39" s="235">
        <f t="shared" si="2"/>
        <v>0</v>
      </c>
      <c r="G39" s="235">
        <f t="shared" si="2"/>
        <v>0</v>
      </c>
      <c r="H39" s="235">
        <f t="shared" si="2"/>
        <v>0</v>
      </c>
      <c r="I39" s="235">
        <f t="shared" si="2"/>
        <v>0</v>
      </c>
      <c r="J39" s="235">
        <f t="shared" si="2"/>
        <v>0</v>
      </c>
      <c r="K39" s="235">
        <f t="shared" si="2"/>
        <v>0</v>
      </c>
      <c r="L39" s="235">
        <f t="shared" si="2"/>
        <v>0</v>
      </c>
      <c r="M39" s="235">
        <f t="shared" si="2"/>
        <v>0</v>
      </c>
      <c r="N39" s="235">
        <f t="shared" si="2"/>
        <v>0</v>
      </c>
    </row>
    <row r="40" spans="1:14" ht="15.6">
      <c r="A40" s="114"/>
      <c r="B40" s="513">
        <v>2018</v>
      </c>
      <c r="C40" s="235"/>
      <c r="D40" s="235"/>
      <c r="E40" s="235"/>
      <c r="F40" s="235"/>
      <c r="G40" s="235"/>
      <c r="H40" s="235"/>
      <c r="I40" s="235"/>
      <c r="J40" s="235"/>
      <c r="K40" s="235"/>
      <c r="L40" s="235"/>
      <c r="M40" s="235"/>
      <c r="N40" s="235"/>
    </row>
    <row r="41" spans="1:14">
      <c r="A41" s="114"/>
      <c r="B41" t="s">
        <v>1249</v>
      </c>
      <c r="C41" s="532">
        <v>1.0219163778246501</v>
      </c>
      <c r="D41" s="532">
        <v>1.0219163778246501</v>
      </c>
      <c r="E41" s="532">
        <v>1.0219163778246501</v>
      </c>
      <c r="F41" s="532">
        <v>1.0219163778246501</v>
      </c>
      <c r="G41" s="532">
        <v>1.0219163778246501</v>
      </c>
      <c r="H41" s="532">
        <v>1.0219163778246501</v>
      </c>
      <c r="I41" s="532">
        <v>1.0219163778246501</v>
      </c>
      <c r="J41" s="532">
        <v>1.0219163778246501</v>
      </c>
      <c r="K41" s="532">
        <v>1.0219163778246501</v>
      </c>
      <c r="L41" s="532">
        <v>1.0219163778246501</v>
      </c>
      <c r="M41" s="532">
        <v>1.0219163778246501</v>
      </c>
      <c r="N41" s="532">
        <v>1.0219163778246501</v>
      </c>
    </row>
    <row r="42" spans="1:14">
      <c r="A42" s="114"/>
      <c r="B42" t="s">
        <v>1250</v>
      </c>
      <c r="C42" s="532">
        <v>1.0348593998317299</v>
      </c>
      <c r="D42" s="532">
        <v>1.0348593998317299</v>
      </c>
      <c r="E42" s="532">
        <v>1.0348593998317299</v>
      </c>
      <c r="F42" s="532">
        <v>1.0348593998317299</v>
      </c>
      <c r="G42" s="532">
        <v>1.0348593998317299</v>
      </c>
      <c r="H42" s="532">
        <v>1.0348593998317299</v>
      </c>
      <c r="I42" s="532">
        <v>1.0348593998317299</v>
      </c>
      <c r="J42" s="532">
        <v>1.0348593998317299</v>
      </c>
      <c r="K42" s="532">
        <v>1.0348593998317299</v>
      </c>
      <c r="L42" s="532">
        <v>1.0348593998317299</v>
      </c>
      <c r="M42" s="532">
        <v>1.0348593998317299</v>
      </c>
      <c r="N42" s="532">
        <v>1.0348593998317299</v>
      </c>
    </row>
    <row r="43" spans="1:14">
      <c r="A43" s="114"/>
      <c r="B43" t="s">
        <v>1251</v>
      </c>
      <c r="C43" s="532">
        <v>1.0646691706740199</v>
      </c>
      <c r="D43" s="532">
        <v>1.0646691706740199</v>
      </c>
      <c r="E43" s="532">
        <v>1.0646691706740199</v>
      </c>
      <c r="F43" s="532">
        <v>1.0646691706740199</v>
      </c>
      <c r="G43" s="532">
        <v>1.0646691706740199</v>
      </c>
      <c r="H43" s="532">
        <v>1.0646691706740199</v>
      </c>
      <c r="I43" s="532">
        <v>1.0646691706740199</v>
      </c>
      <c r="J43" s="532">
        <v>1.0646691706740199</v>
      </c>
      <c r="K43" s="532">
        <v>1.0646691706740199</v>
      </c>
      <c r="L43" s="532">
        <v>1.0646691706740199</v>
      </c>
      <c r="M43" s="532">
        <v>1.0646691706740199</v>
      </c>
      <c r="N43" s="532">
        <v>1.0646691706740199</v>
      </c>
    </row>
    <row r="44" spans="1:14">
      <c r="A44" s="114"/>
      <c r="B44" t="s">
        <v>1255</v>
      </c>
      <c r="C44" s="235">
        <f>HLOOKUP($B9,Summary_CP!$A$5:$N$161,119+C$9,FALSE)*1000</f>
        <v>0</v>
      </c>
      <c r="D44" s="235">
        <f>HLOOKUP($B9,Summary_CP!$A$5:$N$161,119+D$9,FALSE)*1000</f>
        <v>0</v>
      </c>
      <c r="E44" s="235">
        <f>HLOOKUP($B9,Summary_CP!$A$5:$N$161,119+E$9,FALSE)*1000</f>
        <v>0</v>
      </c>
      <c r="F44" s="235">
        <f>HLOOKUP($B9,Summary_CP!$A$5:$N$161,119+F$9,FALSE)*1000</f>
        <v>0</v>
      </c>
      <c r="G44" s="235">
        <f>HLOOKUP($B9,Summary_CP!$A$5:$N$161,119+G$9,FALSE)*1000</f>
        <v>0</v>
      </c>
      <c r="H44" s="235">
        <f>HLOOKUP($B9,Summary_CP!$A$5:$N$161,119+H$9,FALSE)*1000</f>
        <v>0</v>
      </c>
      <c r="I44" s="235">
        <f>HLOOKUP($B9,Summary_CP!$A$5:$N$161,119+I$9,FALSE)*1000</f>
        <v>0</v>
      </c>
      <c r="J44" s="235">
        <f>HLOOKUP($B9,Summary_CP!$A$5:$N$161,119+J$9,FALSE)*1000</f>
        <v>0</v>
      </c>
      <c r="K44" s="235">
        <f>HLOOKUP($B9,Summary_CP!$A$5:$N$161,119+K$9,FALSE)*1000</f>
        <v>0</v>
      </c>
      <c r="L44" s="235">
        <f>HLOOKUP($B9,Summary_CP!$A$5:$N$161,119+L$9,FALSE)*1000</f>
        <v>0</v>
      </c>
      <c r="M44" s="235">
        <f>HLOOKUP($B9,Summary_CP!$A$5:$N$161,119+M$9,FALSE)*1000</f>
        <v>0</v>
      </c>
      <c r="N44" s="235">
        <f>HLOOKUP($B9,Summary_CP!$A$5:$N$161,119+N$9,FALSE)*1000</f>
        <v>0</v>
      </c>
    </row>
    <row r="45" spans="1:14">
      <c r="A45" s="114"/>
      <c r="B45" t="s">
        <v>1256</v>
      </c>
      <c r="C45" s="107">
        <f>(C44*C27*C41)+(C44*C28*C42)+(C44*C29*C43)</f>
        <v>0</v>
      </c>
      <c r="D45" s="107">
        <f t="shared" ref="D45:N45" si="3">(D44*D27*D41)+(D44*D28*D42)+(D44*D29*D43)</f>
        <v>0</v>
      </c>
      <c r="E45" s="107">
        <f t="shared" si="3"/>
        <v>0</v>
      </c>
      <c r="F45" s="107">
        <f t="shared" si="3"/>
        <v>0</v>
      </c>
      <c r="G45" s="107">
        <f t="shared" si="3"/>
        <v>0</v>
      </c>
      <c r="H45" s="107">
        <f t="shared" si="3"/>
        <v>0</v>
      </c>
      <c r="I45" s="107">
        <f t="shared" si="3"/>
        <v>0</v>
      </c>
      <c r="J45" s="107">
        <f t="shared" si="3"/>
        <v>0</v>
      </c>
      <c r="K45" s="107">
        <f t="shared" si="3"/>
        <v>0</v>
      </c>
      <c r="L45" s="107">
        <f t="shared" si="3"/>
        <v>0</v>
      </c>
      <c r="M45" s="107">
        <f t="shared" si="3"/>
        <v>0</v>
      </c>
      <c r="N45" s="107">
        <f t="shared" si="3"/>
        <v>0</v>
      </c>
    </row>
    <row r="46" spans="1:14">
      <c r="A46" s="114"/>
      <c r="B46" t="s">
        <v>1257</v>
      </c>
      <c r="C46" s="235">
        <f>BLOUNTSTOWN!C46</f>
        <v>1187849.8564563922</v>
      </c>
      <c r="D46" s="235">
        <f>BLOUNTSTOWN!D46</f>
        <v>1012049.3914328514</v>
      </c>
      <c r="E46" s="235">
        <f>BLOUNTSTOWN!E46</f>
        <v>952115.03381284571</v>
      </c>
      <c r="F46" s="235">
        <f>BLOUNTSTOWN!F46</f>
        <v>964452.787497274</v>
      </c>
      <c r="G46" s="235">
        <f>BLOUNTSTOWN!G46</f>
        <v>1071028.6042288018</v>
      </c>
      <c r="H46" s="235">
        <f>BLOUNTSTOWN!H46</f>
        <v>1144619.2235030248</v>
      </c>
      <c r="I46" s="235">
        <f>BLOUNTSTOWN!I46</f>
        <v>1139032.5608989701</v>
      </c>
      <c r="J46" s="235">
        <f>BLOUNTSTOWN!J46</f>
        <v>1275574.8512023324</v>
      </c>
      <c r="K46" s="235">
        <f>BLOUNTSTOWN!K46</f>
        <v>1044148.3639893566</v>
      </c>
      <c r="L46" s="235">
        <f>BLOUNTSTOWN!L46</f>
        <v>1072810.0069048663</v>
      </c>
      <c r="M46" s="235">
        <f>BLOUNTSTOWN!M46</f>
        <v>926247.14475638454</v>
      </c>
      <c r="N46" s="235">
        <f>BLOUNTSTOWN!N46</f>
        <v>884985.90326947428</v>
      </c>
    </row>
    <row r="47" spans="1:14">
      <c r="A47" s="114"/>
      <c r="B47" t="s">
        <v>1258</v>
      </c>
      <c r="C47" s="235">
        <f>'2018 CP (FNG)'!B12*1000-C46</f>
        <v>-25475.045530116186</v>
      </c>
      <c r="D47" s="235">
        <f>'2018 CP (FNG)'!C12*1000-D46</f>
        <v>-21704.766966417432</v>
      </c>
      <c r="E47" s="235">
        <f>'2018 CP (FNG)'!D12*1000-E46</f>
        <v>-20419.393667015363</v>
      </c>
      <c r="F47" s="235">
        <f>'2018 CP (FNG)'!E12*1000-F46</f>
        <v>-20683.993469037232</v>
      </c>
      <c r="G47" s="235">
        <f>'2018 CP (FNG)'!F12*1000-G46</f>
        <v>-22969.655894206604</v>
      </c>
      <c r="H47" s="235">
        <f>'2018 CP (FNG)'!G12*1000-H46</f>
        <v>-24547.906180983176</v>
      </c>
      <c r="I47" s="235">
        <f>'2018 CP (FNG)'!H12*1000-I46</f>
        <v>-24428.092651161831</v>
      </c>
      <c r="J47" s="235">
        <f>'2018 CP (FNG)'!I12*1000-J46</f>
        <v>-27356.426601246698</v>
      </c>
      <c r="K47" s="235">
        <f>'2018 CP (FNG)'!J12*1000-K46</f>
        <v>-22393.172814094694</v>
      </c>
      <c r="L47" s="235">
        <f>'2018 CP (FNG)'!K12*1000-L46</f>
        <v>-23007.860482129268</v>
      </c>
      <c r="M47" s="235">
        <f>'2018 CP (FNG)'!L12*1000-M46</f>
        <v>-19864.621826197603</v>
      </c>
      <c r="N47" s="235">
        <f>'2018 CP (FNG)'!M12*1000-N46</f>
        <v>-18979.718738660915</v>
      </c>
    </row>
    <row r="48" spans="1:14">
      <c r="A48" s="114"/>
      <c r="B48" t="s">
        <v>1259</v>
      </c>
      <c r="C48" s="235">
        <f>C45*C47/C46</f>
        <v>0</v>
      </c>
      <c r="D48" s="235">
        <f t="shared" ref="D48:N48" si="4">D45*D47/D46</f>
        <v>0</v>
      </c>
      <c r="E48" s="235">
        <f t="shared" si="4"/>
        <v>0</v>
      </c>
      <c r="F48" s="235">
        <f t="shared" si="4"/>
        <v>0</v>
      </c>
      <c r="G48" s="235">
        <f t="shared" si="4"/>
        <v>0</v>
      </c>
      <c r="H48" s="235">
        <f t="shared" si="4"/>
        <v>0</v>
      </c>
      <c r="I48" s="235">
        <f t="shared" si="4"/>
        <v>0</v>
      </c>
      <c r="J48" s="235">
        <f t="shared" si="4"/>
        <v>0</v>
      </c>
      <c r="K48" s="235">
        <f t="shared" si="4"/>
        <v>0</v>
      </c>
      <c r="L48" s="235">
        <f t="shared" si="4"/>
        <v>0</v>
      </c>
      <c r="M48" s="235">
        <f t="shared" si="4"/>
        <v>0</v>
      </c>
      <c r="N48" s="235">
        <f t="shared" si="4"/>
        <v>0</v>
      </c>
    </row>
    <row r="49" spans="1:16">
      <c r="A49" s="114"/>
      <c r="B49" t="s">
        <v>1260</v>
      </c>
      <c r="C49" s="235">
        <f>((C48*C27)/C41)+((C48*C28)/C42)+((C48*C29)/C43)</f>
        <v>0</v>
      </c>
      <c r="D49" s="235">
        <f t="shared" ref="D49:N49" si="5">((D48*D27)/D41)+((D48*D28)/D42)+((D48*D29)/D43)</f>
        <v>0</v>
      </c>
      <c r="E49" s="235">
        <f t="shared" si="5"/>
        <v>0</v>
      </c>
      <c r="F49" s="235">
        <f t="shared" si="5"/>
        <v>0</v>
      </c>
      <c r="G49" s="235">
        <f t="shared" si="5"/>
        <v>0</v>
      </c>
      <c r="H49" s="235">
        <f t="shared" si="5"/>
        <v>0</v>
      </c>
      <c r="I49" s="235">
        <f t="shared" si="5"/>
        <v>0</v>
      </c>
      <c r="J49" s="235">
        <f t="shared" si="5"/>
        <v>0</v>
      </c>
      <c r="K49" s="235">
        <f t="shared" si="5"/>
        <v>0</v>
      </c>
      <c r="L49" s="235">
        <f t="shared" si="5"/>
        <v>0</v>
      </c>
      <c r="M49" s="235">
        <f t="shared" si="5"/>
        <v>0</v>
      </c>
      <c r="N49" s="235">
        <f t="shared" si="5"/>
        <v>0</v>
      </c>
    </row>
    <row r="50" spans="1:16">
      <c r="A50" s="114"/>
    </row>
    <row r="51" spans="1:16" ht="17.399999999999999">
      <c r="A51" s="147" t="s">
        <v>425</v>
      </c>
    </row>
    <row r="52" spans="1:16" ht="15.6">
      <c r="A52" s="113"/>
      <c r="B52" s="146" t="str">
        <f>"PRIOR - "&amp;MANUAL!$B$9</f>
        <v>PRIOR - 2016</v>
      </c>
      <c r="C52" s="5"/>
      <c r="D52" s="5"/>
      <c r="E52" s="5"/>
      <c r="F52" s="5"/>
      <c r="G52" s="5"/>
      <c r="H52" s="5"/>
      <c r="I52" s="5"/>
      <c r="J52" s="5"/>
      <c r="K52" s="5"/>
      <c r="L52" s="5"/>
      <c r="M52" s="5"/>
      <c r="N52" s="5"/>
    </row>
    <row r="53" spans="1:16" s="12" customFormat="1" ht="15.6">
      <c r="A53" s="111"/>
      <c r="B53" s="149" t="s">
        <v>432</v>
      </c>
      <c r="C53" s="107">
        <f>HLOOKUP($B9,Summary_CP!$A$5:$N$161,95+C$9,FALSE)*1000</f>
        <v>13000</v>
      </c>
      <c r="D53" s="107">
        <f>HLOOKUP($B9,Summary_CP!$A$5:$N$161,95+D$9,FALSE)*1000</f>
        <v>13000</v>
      </c>
      <c r="E53" s="107">
        <f>HLOOKUP($B9,Summary_CP!$A$5:$N$161,95+E$9,FALSE)*1000</f>
        <v>13000</v>
      </c>
      <c r="F53" s="107">
        <f>HLOOKUP($B9,Summary_CP!$A$5:$N$161,95+F$9,FALSE)*1000</f>
        <v>13000</v>
      </c>
      <c r="G53" s="107">
        <f>HLOOKUP($B9,Summary_CP!$A$5:$N$161,95+G$9,FALSE)*1000</f>
        <v>13000</v>
      </c>
      <c r="H53" s="107">
        <f>HLOOKUP($B9,Summary_CP!$A$5:$N$161,95+H$9,FALSE)*1000</f>
        <v>13000</v>
      </c>
      <c r="I53" s="107">
        <f>HLOOKUP($B9,Summary_CP!$A$5:$N$161,95+I$9,FALSE)*1000</f>
        <v>13000</v>
      </c>
      <c r="J53" s="107">
        <f>HLOOKUP($B9,Summary_CP!$A$5:$N$161,95+J$9,FALSE)*1000</f>
        <v>13000</v>
      </c>
      <c r="K53" s="107">
        <f>HLOOKUP($B9,Summary_CP!$A$5:$N$161,95+K$9,FALSE)*1000</f>
        <v>13000</v>
      </c>
      <c r="L53" s="107">
        <f>HLOOKUP($B9,Summary_CP!$A$5:$N$161,95+L$9,FALSE)*1000</f>
        <v>13000</v>
      </c>
      <c r="M53" s="107">
        <f>HLOOKUP($B9,Summary_CP!$A$5:$N$161,95+M$9,FALSE)*1000</f>
        <v>13000</v>
      </c>
      <c r="N53" s="107">
        <f>HLOOKUP($B9,Summary_CP!$A$5:$N$161,95+N$9,FALSE)*1000</f>
        <v>13000</v>
      </c>
      <c r="P53" s="152">
        <f>AVERAGE(C53:N53)</f>
        <v>13000</v>
      </c>
    </row>
    <row r="54" spans="1:16" s="12" customFormat="1" ht="15.6">
      <c r="A54" s="111"/>
      <c r="B54" s="149" t="s">
        <v>430</v>
      </c>
      <c r="C54" s="107">
        <f>C55</f>
        <v>13000</v>
      </c>
      <c r="D54" s="107">
        <f t="shared" ref="D54:N54" si="6">D55</f>
        <v>13000</v>
      </c>
      <c r="E54" s="107">
        <f t="shared" si="6"/>
        <v>13000</v>
      </c>
      <c r="F54" s="107">
        <f t="shared" si="6"/>
        <v>13000</v>
      </c>
      <c r="G54" s="107">
        <f t="shared" si="6"/>
        <v>13000</v>
      </c>
      <c r="H54" s="107">
        <f t="shared" si="6"/>
        <v>13000</v>
      </c>
      <c r="I54" s="107">
        <f t="shared" si="6"/>
        <v>13000</v>
      </c>
      <c r="J54" s="107">
        <f t="shared" si="6"/>
        <v>13000</v>
      </c>
      <c r="K54" s="107">
        <f t="shared" si="6"/>
        <v>13000</v>
      </c>
      <c r="L54" s="107">
        <f t="shared" si="6"/>
        <v>13000</v>
      </c>
      <c r="M54" s="107">
        <f t="shared" si="6"/>
        <v>13000</v>
      </c>
      <c r="N54" s="107">
        <f t="shared" si="6"/>
        <v>13000</v>
      </c>
      <c r="P54" s="152">
        <f>AVERAGE(C54:N54)</f>
        <v>13000</v>
      </c>
    </row>
    <row r="55" spans="1:16" s="106" customFormat="1">
      <c r="A55" s="109"/>
      <c r="B55" s="149" t="s">
        <v>133</v>
      </c>
      <c r="C55" s="107">
        <f>HLOOKUP($B$9,'Summary_NCP '!$C$5:$M$677,95+C$9,FALSE)*1000</f>
        <v>13000</v>
      </c>
      <c r="D55" s="107">
        <f>HLOOKUP($B$9,'Summary_NCP '!$C$5:$M$677,95+D$9,FALSE)*1000</f>
        <v>13000</v>
      </c>
      <c r="E55" s="107">
        <f>HLOOKUP($B$9,'Summary_NCP '!$C$5:$M$677,95+E$9,FALSE)*1000</f>
        <v>13000</v>
      </c>
      <c r="F55" s="107">
        <f>HLOOKUP($B$9,'Summary_NCP '!$C$5:$M$677,95+F$9,FALSE)*1000</f>
        <v>13000</v>
      </c>
      <c r="G55" s="107">
        <f>HLOOKUP($B$9,'Summary_NCP '!$C$5:$M$677,95+G$9,FALSE)*1000</f>
        <v>13000</v>
      </c>
      <c r="H55" s="107">
        <f>HLOOKUP($B$9,'Summary_NCP '!$C$5:$M$677,95+H$9,FALSE)*1000</f>
        <v>13000</v>
      </c>
      <c r="I55" s="107">
        <f>HLOOKUP($B$9,'Summary_NCP '!$C$5:$M$677,95+I$9,FALSE)*1000</f>
        <v>13000</v>
      </c>
      <c r="J55" s="107">
        <f>HLOOKUP($B$9,'Summary_NCP '!$C$5:$M$677,95+J$9,FALSE)*1000</f>
        <v>13000</v>
      </c>
      <c r="K55" s="107">
        <f>HLOOKUP($B$9,'Summary_NCP '!$C$5:$M$677,95+K$9,FALSE)*1000</f>
        <v>13000</v>
      </c>
      <c r="L55" s="107">
        <f>HLOOKUP($B$9,'Summary_NCP '!$C$5:$M$677,95+L$9,FALSE)*1000</f>
        <v>13000</v>
      </c>
      <c r="M55" s="107">
        <f>HLOOKUP($B$9,'Summary_NCP '!$C$5:$M$677,95+M$9,FALSE)*1000</f>
        <v>13000</v>
      </c>
      <c r="N55" s="107">
        <f>HLOOKUP($B$9,'Summary_NCP '!$C$5:$M$677,95+N$9,FALSE)*1000</f>
        <v>13000</v>
      </c>
      <c r="P55" s="152">
        <f>AVERAGE(C55:N55)</f>
        <v>13000</v>
      </c>
    </row>
    <row r="56" spans="1:16" s="106" customFormat="1" ht="16.5" customHeight="1">
      <c r="A56" s="109"/>
      <c r="B56" s="108"/>
      <c r="C56" s="107"/>
      <c r="D56" s="107"/>
      <c r="E56" s="107"/>
      <c r="F56" s="107"/>
      <c r="G56" s="107"/>
      <c r="H56" s="107"/>
      <c r="I56" s="107"/>
      <c r="J56" s="107"/>
      <c r="K56" s="107"/>
      <c r="L56" s="107"/>
      <c r="M56" s="107"/>
      <c r="N56" s="107"/>
    </row>
    <row r="57" spans="1:16" s="106" customFormat="1" ht="16.5" customHeight="1">
      <c r="A57" s="109"/>
      <c r="B57" s="146" t="str">
        <f>"TEST - "&amp;MANUAL!$B$10</f>
        <v>TEST - 2017</v>
      </c>
      <c r="C57" s="107"/>
      <c r="D57" s="107"/>
      <c r="E57" s="107"/>
      <c r="F57" s="107"/>
      <c r="G57" s="107"/>
      <c r="H57" s="107"/>
      <c r="I57" s="107"/>
      <c r="J57" s="107"/>
      <c r="K57" s="107"/>
      <c r="L57" s="107"/>
      <c r="M57" s="107"/>
      <c r="N57" s="107"/>
    </row>
    <row r="58" spans="1:16" s="106" customFormat="1" ht="16.5" customHeight="1">
      <c r="A58" s="109"/>
      <c r="B58" s="149" t="s">
        <v>432</v>
      </c>
      <c r="C58" s="107">
        <f>C34+C39</f>
        <v>0</v>
      </c>
      <c r="D58" s="107">
        <f>D34+D39</f>
        <v>0</v>
      </c>
      <c r="E58" s="107">
        <f t="shared" ref="E58:N58" si="7">E34+E39</f>
        <v>0</v>
      </c>
      <c r="F58" s="107">
        <f t="shared" si="7"/>
        <v>0</v>
      </c>
      <c r="G58" s="107">
        <f t="shared" si="7"/>
        <v>0</v>
      </c>
      <c r="H58" s="107">
        <f t="shared" si="7"/>
        <v>0</v>
      </c>
      <c r="I58" s="107">
        <f t="shared" si="7"/>
        <v>0</v>
      </c>
      <c r="J58" s="107">
        <f t="shared" si="7"/>
        <v>0</v>
      </c>
      <c r="K58" s="107">
        <f t="shared" si="7"/>
        <v>0</v>
      </c>
      <c r="L58" s="107">
        <f t="shared" si="7"/>
        <v>0</v>
      </c>
      <c r="M58" s="107">
        <f t="shared" si="7"/>
        <v>0</v>
      </c>
      <c r="N58" s="107">
        <f t="shared" si="7"/>
        <v>0</v>
      </c>
      <c r="P58" s="152">
        <f>AVERAGE(C58:N58)</f>
        <v>0</v>
      </c>
    </row>
    <row r="59" spans="1:16" s="106" customFormat="1" ht="16.5" customHeight="1">
      <c r="A59" s="109"/>
      <c r="B59" s="149" t="s">
        <v>430</v>
      </c>
      <c r="C59" s="107">
        <f>C60</f>
        <v>0</v>
      </c>
      <c r="D59" s="107">
        <f t="shared" ref="D59:N59" si="8">D60</f>
        <v>0</v>
      </c>
      <c r="E59" s="107">
        <f t="shared" si="8"/>
        <v>0</v>
      </c>
      <c r="F59" s="107">
        <f t="shared" si="8"/>
        <v>0</v>
      </c>
      <c r="G59" s="107">
        <f t="shared" si="8"/>
        <v>0</v>
      </c>
      <c r="H59" s="107">
        <f t="shared" si="8"/>
        <v>0</v>
      </c>
      <c r="I59" s="107">
        <f t="shared" si="8"/>
        <v>0</v>
      </c>
      <c r="J59" s="107">
        <f t="shared" si="8"/>
        <v>0</v>
      </c>
      <c r="K59" s="107">
        <f t="shared" si="8"/>
        <v>0</v>
      </c>
      <c r="L59" s="107">
        <f t="shared" si="8"/>
        <v>0</v>
      </c>
      <c r="M59" s="107">
        <f t="shared" si="8"/>
        <v>0</v>
      </c>
      <c r="N59" s="107">
        <f t="shared" si="8"/>
        <v>0</v>
      </c>
      <c r="P59" s="152">
        <f>AVERAGE(C59:N59)</f>
        <v>0</v>
      </c>
    </row>
    <row r="60" spans="1:16" s="106" customFormat="1" ht="16.5" customHeight="1">
      <c r="A60" s="109"/>
      <c r="B60" s="149" t="s">
        <v>133</v>
      </c>
      <c r="C60" s="107">
        <f>HLOOKUP($B$9,'Summary_NCP '!$C$5:$M$677,107+C$9,FALSE)*1000</f>
        <v>0</v>
      </c>
      <c r="D60" s="107">
        <f>HLOOKUP($B$9,'Summary_NCP '!$C$5:$M$677,107+D$9,FALSE)*1000</f>
        <v>0</v>
      </c>
      <c r="E60" s="107">
        <f>HLOOKUP($B$9,'Summary_NCP '!$C$5:$M$677,107+E$9,FALSE)*1000</f>
        <v>0</v>
      </c>
      <c r="F60" s="107">
        <f>HLOOKUP($B$9,'Summary_NCP '!$C$5:$M$677,107+F$9,FALSE)*1000</f>
        <v>0</v>
      </c>
      <c r="G60" s="107">
        <f>HLOOKUP($B$9,'Summary_NCP '!$C$5:$M$677,107+G$9,FALSE)*1000</f>
        <v>0</v>
      </c>
      <c r="H60" s="107">
        <f>HLOOKUP($B$9,'Summary_NCP '!$C$5:$M$677,107+H$9,FALSE)*1000</f>
        <v>0</v>
      </c>
      <c r="I60" s="107">
        <f>HLOOKUP($B$9,'Summary_NCP '!$C$5:$M$677,107+I$9,FALSE)*1000</f>
        <v>0</v>
      </c>
      <c r="J60" s="107">
        <f>HLOOKUP($B$9,'Summary_NCP '!$C$5:$M$677,107+J$9,FALSE)*1000</f>
        <v>0</v>
      </c>
      <c r="K60" s="107">
        <f>HLOOKUP($B$9,'Summary_NCP '!$C$5:$M$677,107+K$9,FALSE)*1000</f>
        <v>0</v>
      </c>
      <c r="L60" s="107">
        <f>HLOOKUP($B$9,'Summary_NCP '!$C$5:$M$677,107+L$9,FALSE)*1000</f>
        <v>0</v>
      </c>
      <c r="M60" s="107">
        <f>HLOOKUP($B$9,'Summary_NCP '!$C$5:$M$677,107+M$9,FALSE)*1000</f>
        <v>0</v>
      </c>
      <c r="N60" s="107">
        <f>HLOOKUP($B$9,'Summary_NCP '!$C$5:$M$677,107+N$9,FALSE)*1000</f>
        <v>0</v>
      </c>
      <c r="P60" s="152">
        <f>AVERAGE(C60:N60)</f>
        <v>0</v>
      </c>
    </row>
    <row r="61" spans="1:16" s="106" customFormat="1" ht="16.5" customHeight="1">
      <c r="A61" s="109"/>
      <c r="B61" s="149"/>
      <c r="C61" s="107"/>
      <c r="D61" s="107"/>
      <c r="E61" s="107"/>
      <c r="F61" s="107"/>
      <c r="G61" s="107"/>
      <c r="H61" s="107"/>
      <c r="I61" s="107"/>
      <c r="J61" s="107"/>
      <c r="K61" s="107"/>
      <c r="L61" s="107"/>
      <c r="M61" s="107"/>
      <c r="N61" s="107"/>
      <c r="P61" s="152"/>
    </row>
    <row r="62" spans="1:16" s="106" customFormat="1" ht="16.5" customHeight="1">
      <c r="A62" s="109"/>
      <c r="B62" s="146" t="str">
        <f>"SUBSEQUENT - "&amp;MANUAL!$B$11</f>
        <v>SUBSEQUENT - 2018</v>
      </c>
      <c r="C62" s="107"/>
      <c r="D62" s="107"/>
      <c r="E62" s="107"/>
      <c r="F62" s="107"/>
      <c r="G62" s="107"/>
      <c r="H62" s="107"/>
      <c r="I62" s="107"/>
      <c r="J62" s="107"/>
      <c r="K62" s="107"/>
      <c r="L62" s="107"/>
      <c r="M62" s="107"/>
      <c r="N62" s="107"/>
    </row>
    <row r="63" spans="1:16" s="106" customFormat="1" ht="16.5" customHeight="1">
      <c r="A63" s="109"/>
      <c r="B63" s="149" t="s">
        <v>432</v>
      </c>
      <c r="C63" s="107">
        <f>C45+C49</f>
        <v>0</v>
      </c>
      <c r="D63" s="107">
        <f t="shared" ref="D63:N63" si="9">D45+D49</f>
        <v>0</v>
      </c>
      <c r="E63" s="107">
        <f t="shared" si="9"/>
        <v>0</v>
      </c>
      <c r="F63" s="107">
        <f t="shared" si="9"/>
        <v>0</v>
      </c>
      <c r="G63" s="107">
        <f t="shared" si="9"/>
        <v>0</v>
      </c>
      <c r="H63" s="107">
        <f t="shared" si="9"/>
        <v>0</v>
      </c>
      <c r="I63" s="107">
        <f t="shared" si="9"/>
        <v>0</v>
      </c>
      <c r="J63" s="107">
        <f t="shared" si="9"/>
        <v>0</v>
      </c>
      <c r="K63" s="107">
        <f t="shared" si="9"/>
        <v>0</v>
      </c>
      <c r="L63" s="107">
        <f t="shared" si="9"/>
        <v>0</v>
      </c>
      <c r="M63" s="107">
        <f t="shared" si="9"/>
        <v>0</v>
      </c>
      <c r="N63" s="107">
        <f t="shared" si="9"/>
        <v>0</v>
      </c>
      <c r="O63" s="145"/>
      <c r="P63" s="152">
        <f>AVERAGE(C63:N63)</f>
        <v>0</v>
      </c>
    </row>
    <row r="64" spans="1:16" s="106" customFormat="1" ht="16.5" customHeight="1">
      <c r="A64" s="109"/>
      <c r="B64" s="149" t="s">
        <v>430</v>
      </c>
      <c r="C64" s="107">
        <f>C65</f>
        <v>0</v>
      </c>
      <c r="D64" s="107">
        <f t="shared" ref="D64:N64" si="10">D65</f>
        <v>0</v>
      </c>
      <c r="E64" s="107">
        <f t="shared" si="10"/>
        <v>0</v>
      </c>
      <c r="F64" s="107">
        <f t="shared" si="10"/>
        <v>0</v>
      </c>
      <c r="G64" s="107">
        <f t="shared" si="10"/>
        <v>0</v>
      </c>
      <c r="H64" s="107">
        <f t="shared" si="10"/>
        <v>0</v>
      </c>
      <c r="I64" s="107">
        <f t="shared" si="10"/>
        <v>0</v>
      </c>
      <c r="J64" s="107">
        <f t="shared" si="10"/>
        <v>0</v>
      </c>
      <c r="K64" s="107">
        <f t="shared" si="10"/>
        <v>0</v>
      </c>
      <c r="L64" s="107">
        <f t="shared" si="10"/>
        <v>0</v>
      </c>
      <c r="M64" s="107">
        <f t="shared" si="10"/>
        <v>0</v>
      </c>
      <c r="N64" s="107">
        <f t="shared" si="10"/>
        <v>0</v>
      </c>
      <c r="O64" s="107"/>
      <c r="P64" s="152">
        <f>AVERAGE(C64:N64)</f>
        <v>0</v>
      </c>
    </row>
    <row r="65" spans="1:16" s="106" customFormat="1" ht="16.5" customHeight="1">
      <c r="A65" s="109"/>
      <c r="B65" s="149" t="s">
        <v>133</v>
      </c>
      <c r="C65" s="107">
        <f>HLOOKUP($B$9,'Summary_NCP '!$C$5:$M$677,119+C$9,FALSE)*1000</f>
        <v>0</v>
      </c>
      <c r="D65" s="107">
        <f>HLOOKUP($B$9,'Summary_NCP '!$C$5:$M$677,119+D$9,FALSE)*1000</f>
        <v>0</v>
      </c>
      <c r="E65" s="107">
        <f>HLOOKUP($B$9,'Summary_NCP '!$C$5:$M$677,119+E$9,FALSE)*1000</f>
        <v>0</v>
      </c>
      <c r="F65" s="107">
        <f>HLOOKUP($B$9,'Summary_NCP '!$C$5:$M$677,119+F$9,FALSE)*1000</f>
        <v>0</v>
      </c>
      <c r="G65" s="107">
        <f>HLOOKUP($B$9,'Summary_NCP '!$C$5:$M$677,119+G$9,FALSE)*1000</f>
        <v>0</v>
      </c>
      <c r="H65" s="107">
        <f>HLOOKUP($B$9,'Summary_NCP '!$C$5:$M$677,119+H$9,FALSE)*1000</f>
        <v>0</v>
      </c>
      <c r="I65" s="107">
        <f>HLOOKUP($B$9,'Summary_NCP '!$C$5:$M$677,119+I$9,FALSE)*1000</f>
        <v>0</v>
      </c>
      <c r="J65" s="107">
        <f>HLOOKUP($B$9,'Summary_NCP '!$C$5:$M$677,119+J$9,FALSE)*1000</f>
        <v>0</v>
      </c>
      <c r="K65" s="107">
        <f>HLOOKUP($B$9,'Summary_NCP '!$C$5:$M$677,119+K$9,FALSE)*1000</f>
        <v>0</v>
      </c>
      <c r="L65" s="107">
        <f>HLOOKUP($B$9,'Summary_NCP '!$C$5:$M$677,119+L$9,FALSE)*1000</f>
        <v>0</v>
      </c>
      <c r="M65" s="107">
        <f>HLOOKUP($B$9,'Summary_NCP '!$C$5:$M$677,119+M$9,FALSE)*1000</f>
        <v>0</v>
      </c>
      <c r="N65" s="107">
        <f>HLOOKUP($B$9,'Summary_NCP '!$C$5:$M$677,119+N$9,FALSE)*1000</f>
        <v>0</v>
      </c>
      <c r="O65" s="107"/>
      <c r="P65" s="152">
        <f>AVERAGE(C65:N65)</f>
        <v>0</v>
      </c>
    </row>
    <row r="66" spans="1:16" s="106" customFormat="1" ht="16.5" customHeight="1">
      <c r="A66" s="109"/>
      <c r="B66" s="108"/>
      <c r="C66" s="107"/>
      <c r="D66" s="107"/>
      <c r="E66" s="107"/>
      <c r="F66" s="107"/>
      <c r="G66" s="107"/>
      <c r="H66" s="107"/>
      <c r="I66" s="107"/>
      <c r="J66" s="107"/>
      <c r="K66" s="107"/>
      <c r="L66" s="107"/>
      <c r="M66" s="107"/>
      <c r="N66" s="107"/>
    </row>
    <row r="67" spans="1:16" ht="13.2">
      <c r="A67" s="42" t="s">
        <v>116</v>
      </c>
      <c r="C67" s="105"/>
    </row>
    <row r="68" spans="1:16" ht="13.2">
      <c r="A68"/>
      <c r="B68" s="10" t="s">
        <v>338</v>
      </c>
      <c r="C68" s="105"/>
      <c r="D68" s="105"/>
      <c r="E68" s="105"/>
      <c r="F68" s="105"/>
      <c r="G68" s="105"/>
      <c r="H68" s="105"/>
      <c r="I68" s="105"/>
      <c r="J68" s="105"/>
      <c r="K68" s="105"/>
      <c r="L68" s="105"/>
      <c r="M68" s="105"/>
      <c r="N68" s="105"/>
    </row>
    <row r="69" spans="1:16" ht="13.2">
      <c r="A69"/>
      <c r="B69" s="81" t="s">
        <v>426</v>
      </c>
    </row>
    <row r="70" spans="1:16" ht="12.75">
      <c r="A70"/>
      <c r="B70" s="125" t="s">
        <v>431</v>
      </c>
      <c r="C70" s="104"/>
    </row>
    <row r="71" spans="1:16" ht="12.75">
      <c r="A71"/>
      <c r="B71" s="153" t="s">
        <v>435</v>
      </c>
      <c r="E71" s="88"/>
    </row>
    <row r="72" spans="1:16" ht="12.75">
      <c r="A72"/>
      <c r="B72" t="s">
        <v>433</v>
      </c>
      <c r="C72" s="98"/>
      <c r="D72" s="98"/>
      <c r="E72" s="98"/>
      <c r="F72" s="98"/>
      <c r="G72" s="98"/>
      <c r="H72" s="98"/>
      <c r="I72" s="98"/>
      <c r="J72" s="98"/>
      <c r="K72" s="98"/>
      <c r="L72" s="98"/>
      <c r="M72" s="98"/>
      <c r="N72" s="98"/>
    </row>
    <row r="76" spans="1:16">
      <c r="B76" s="149" t="s">
        <v>1202</v>
      </c>
      <c r="C76" s="499">
        <f>IFERROR((C$23/C$14)/C58,0)</f>
        <v>0</v>
      </c>
      <c r="D76" s="499">
        <f t="shared" ref="D76:N76" si="11">IFERROR((D$23/D$14)/D58,0)</f>
        <v>0</v>
      </c>
      <c r="E76" s="499">
        <f t="shared" si="11"/>
        <v>0</v>
      </c>
      <c r="F76" s="499">
        <f t="shared" si="11"/>
        <v>0</v>
      </c>
      <c r="G76" s="499">
        <f t="shared" si="11"/>
        <v>0</v>
      </c>
      <c r="H76" s="499">
        <f t="shared" si="11"/>
        <v>0</v>
      </c>
      <c r="I76" s="499">
        <f t="shared" si="11"/>
        <v>0</v>
      </c>
      <c r="J76" s="499">
        <f t="shared" si="11"/>
        <v>0</v>
      </c>
      <c r="K76" s="499">
        <f t="shared" si="11"/>
        <v>0</v>
      </c>
      <c r="L76" s="499">
        <f t="shared" si="11"/>
        <v>0</v>
      </c>
      <c r="M76" s="499">
        <f t="shared" si="11"/>
        <v>0</v>
      </c>
      <c r="N76" s="499">
        <f t="shared" si="11"/>
        <v>0</v>
      </c>
    </row>
    <row r="77" spans="1:16" ht="409.6">
      <c r="B77" s="149" t="s">
        <v>1203</v>
      </c>
      <c r="C77" s="499">
        <f>IFERROR((C$23/C$14)/C59,0)</f>
        <v>0</v>
      </c>
      <c r="D77" s="499">
        <f t="shared" ref="D77:N77" si="12">IFERROR((D$23/D$14)/D59,0)</f>
        <v>0</v>
      </c>
      <c r="E77" s="499">
        <f t="shared" si="12"/>
        <v>0</v>
      </c>
      <c r="F77" s="499">
        <f t="shared" si="12"/>
        <v>0</v>
      </c>
      <c r="G77" s="499">
        <f t="shared" si="12"/>
        <v>0</v>
      </c>
      <c r="H77" s="499">
        <f t="shared" si="12"/>
        <v>0</v>
      </c>
      <c r="I77" s="499">
        <f t="shared" si="12"/>
        <v>0</v>
      </c>
      <c r="J77" s="499">
        <f t="shared" si="12"/>
        <v>0</v>
      </c>
      <c r="K77" s="499">
        <f t="shared" si="12"/>
        <v>0</v>
      </c>
      <c r="L77" s="499">
        <f t="shared" si="12"/>
        <v>0</v>
      </c>
      <c r="M77" s="499">
        <f t="shared" si="12"/>
        <v>0</v>
      </c>
      <c r="N77" s="499">
        <f t="shared" si="12"/>
        <v>0</v>
      </c>
    </row>
    <row r="78" spans="1:16">
      <c r="B78" s="149" t="s">
        <v>1204</v>
      </c>
      <c r="C78" s="499">
        <f>IFERROR((C$23/C$14)/C60,0)</f>
        <v>0</v>
      </c>
      <c r="D78" s="499">
        <f t="shared" ref="D78:N78" si="13">IFERROR((D$23/D$14)/D60,0)</f>
        <v>0</v>
      </c>
      <c r="E78" s="499">
        <f t="shared" si="13"/>
        <v>0</v>
      </c>
      <c r="F78" s="499">
        <f t="shared" si="13"/>
        <v>0</v>
      </c>
      <c r="G78" s="499">
        <f t="shared" si="13"/>
        <v>0</v>
      </c>
      <c r="H78" s="499">
        <f t="shared" si="13"/>
        <v>0</v>
      </c>
      <c r="I78" s="499">
        <f t="shared" si="13"/>
        <v>0</v>
      </c>
      <c r="J78" s="499">
        <f t="shared" si="13"/>
        <v>0</v>
      </c>
      <c r="K78" s="499">
        <f t="shared" si="13"/>
        <v>0</v>
      </c>
      <c r="L78" s="499">
        <f t="shared" si="13"/>
        <v>0</v>
      </c>
      <c r="M78" s="499">
        <f t="shared" si="13"/>
        <v>0</v>
      </c>
      <c r="N78" s="499">
        <f t="shared" si="13"/>
        <v>0</v>
      </c>
    </row>
    <row r="79" spans="1:16" ht="409.6">
      <c r="G79" s="44"/>
    </row>
    <row r="81" spans="7:7">
      <c r="G81" s="150"/>
    </row>
  </sheetData>
  <mergeCells count="3">
    <mergeCell ref="C7:E7"/>
    <mergeCell ref="F7:L7"/>
    <mergeCell ref="M7:N7"/>
  </mergeCells>
  <conditionalFormatting sqref="C55:N55">
    <cfRule type="cellIs" dxfId="8" priority="8" operator="greaterThanOrEqual">
      <formula>C56</formula>
    </cfRule>
  </conditionalFormatting>
  <conditionalFormatting sqref="C60:N60">
    <cfRule type="cellIs" dxfId="7" priority="7" operator="greaterThanOrEqual">
      <formula>C61</formula>
    </cfRule>
  </conditionalFormatting>
  <conditionalFormatting sqref="C65:N65">
    <cfRule type="cellIs" dxfId="6" priority="6" operator="greaterThanOrEqual">
      <formula>C66</formula>
    </cfRule>
  </conditionalFormatting>
  <conditionalFormatting sqref="C53:N53">
    <cfRule type="cellIs" dxfId="5" priority="11" operator="greaterThanOrEqual">
      <formula>C54</formula>
    </cfRule>
  </conditionalFormatting>
  <conditionalFormatting sqref="C54:N54">
    <cfRule type="cellIs" dxfId="4" priority="5" operator="greaterThanOrEqual">
      <formula>C55</formula>
    </cfRule>
  </conditionalFormatting>
  <conditionalFormatting sqref="C59:N59">
    <cfRule type="cellIs" dxfId="3" priority="4" operator="greaterThanOrEqual">
      <formula>C60</formula>
    </cfRule>
  </conditionalFormatting>
  <conditionalFormatting sqref="C64:N64">
    <cfRule type="cellIs" dxfId="2" priority="3" operator="greaterThanOrEqual">
      <formula>C65</formula>
    </cfRule>
  </conditionalFormatting>
  <conditionalFormatting sqref="C58:N58">
    <cfRule type="cellIs" dxfId="1" priority="2" operator="greaterThanOrEqual">
      <formula>C59</formula>
    </cfRule>
  </conditionalFormatting>
  <conditionalFormatting sqref="C63:N63">
    <cfRule type="cellIs" dxfId="0" priority="1" operator="greaterThanOrEqual">
      <formula>C64</formula>
    </cfRule>
  </conditionalFormatting>
  <pageMargins left="0" right="0" top="1" bottom="1" header="0.5" footer="0.5"/>
  <pageSetup scale="42" orientation="landscape" r:id="rId1"/>
  <headerFooter alignWithMargins="0">
    <oddFooter>&amp;LPrinted:  &amp;D&amp;C&amp;F&amp;RPage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3"/>
    <pageSetUpPr fitToPage="1"/>
  </sheetPr>
  <dimension ref="A1:CG118"/>
  <sheetViews>
    <sheetView showGridLines="0" zoomScale="80" zoomScaleNormal="80" workbookViewId="0">
      <pane xSplit="4" ySplit="2" topLeftCell="E3" activePane="bottomRight" state="frozen"/>
      <selection activeCell="D3" sqref="D3"/>
      <selection pane="topRight" activeCell="D3" sqref="D3"/>
      <selection pane="bottomLeft" activeCell="D3" sqref="D3"/>
      <selection pane="bottomRight" activeCell="E3" sqref="E3"/>
    </sheetView>
  </sheetViews>
  <sheetFormatPr defaultRowHeight="13.2" outlineLevelRow="2"/>
  <cols>
    <col min="1" max="1" width="13.33203125" style="125" customWidth="1"/>
    <col min="2" max="2" width="12.33203125" style="125" bestFit="1" customWidth="1"/>
    <col min="3" max="3" width="10.88671875" style="125" bestFit="1" customWidth="1"/>
    <col min="4" max="4" width="19.109375" style="125" bestFit="1" customWidth="1"/>
    <col min="5" max="22" width="15.109375" style="121" bestFit="1" customWidth="1"/>
    <col min="23" max="25" width="16.33203125" style="121" bestFit="1" customWidth="1"/>
    <col min="26" max="40" width="15.109375" style="121" bestFit="1" customWidth="1"/>
    <col min="41" max="54" width="15.109375" style="10" bestFit="1" customWidth="1"/>
    <col min="55" max="58" width="15.109375" bestFit="1" customWidth="1"/>
    <col min="59" max="59" width="16.33203125" bestFit="1" customWidth="1"/>
    <col min="60" max="60" width="15.109375" bestFit="1" customWidth="1"/>
    <col min="61" max="61" width="16.33203125" bestFit="1" customWidth="1"/>
    <col min="62" max="70" width="15.109375" bestFit="1" customWidth="1"/>
    <col min="71" max="73" width="16.33203125" bestFit="1" customWidth="1"/>
    <col min="74" max="76" width="15.109375" bestFit="1" customWidth="1"/>
    <col min="77" max="82" width="17.33203125" bestFit="1" customWidth="1"/>
    <col min="84" max="85" width="17.33203125" bestFit="1" customWidth="1"/>
  </cols>
  <sheetData>
    <row r="1" spans="1:85" ht="16.2" thickBot="1">
      <c r="A1" s="141" t="s">
        <v>419</v>
      </c>
      <c r="E1" s="605">
        <v>2009</v>
      </c>
      <c r="F1" s="603"/>
      <c r="G1" s="603"/>
      <c r="H1" s="603"/>
      <c r="I1" s="603"/>
      <c r="J1" s="603"/>
      <c r="K1" s="603"/>
      <c r="L1" s="603"/>
      <c r="M1" s="603"/>
      <c r="N1" s="603"/>
      <c r="O1" s="603"/>
      <c r="P1" s="607"/>
      <c r="Q1" s="605">
        <v>2010</v>
      </c>
      <c r="R1" s="603"/>
      <c r="S1" s="603"/>
      <c r="T1" s="603"/>
      <c r="U1" s="603"/>
      <c r="V1" s="603"/>
      <c r="W1" s="603"/>
      <c r="X1" s="603"/>
      <c r="Y1" s="603"/>
      <c r="Z1" s="603"/>
      <c r="AA1" s="603"/>
      <c r="AB1" s="607"/>
      <c r="AC1" s="605">
        <v>2011</v>
      </c>
      <c r="AD1" s="603"/>
      <c r="AE1" s="603"/>
      <c r="AF1" s="603"/>
      <c r="AG1" s="603"/>
      <c r="AH1" s="603"/>
      <c r="AI1" s="603"/>
      <c r="AJ1" s="603"/>
      <c r="AK1" s="603"/>
      <c r="AL1" s="603"/>
      <c r="AM1" s="603"/>
      <c r="AN1" s="607"/>
      <c r="AO1" s="605">
        <v>2012</v>
      </c>
      <c r="AP1" s="603"/>
      <c r="AQ1" s="603"/>
      <c r="AR1" s="603"/>
      <c r="AS1" s="603"/>
      <c r="AT1" s="603"/>
      <c r="AU1" s="603"/>
      <c r="AV1" s="603"/>
      <c r="AW1" s="603"/>
      <c r="AX1" s="603"/>
      <c r="AY1" s="603"/>
      <c r="AZ1" s="607"/>
      <c r="BA1" s="605">
        <v>2013</v>
      </c>
      <c r="BB1" s="605"/>
      <c r="BC1" s="605"/>
      <c r="BD1" s="605"/>
      <c r="BE1" s="605"/>
      <c r="BF1" s="605"/>
      <c r="BG1" s="605"/>
      <c r="BH1" s="605"/>
      <c r="BI1" s="605"/>
      <c r="BJ1" s="605"/>
      <c r="BK1" s="605"/>
      <c r="BL1" s="606"/>
      <c r="BM1" s="605">
        <v>2014</v>
      </c>
      <c r="BN1" s="605"/>
      <c r="BO1" s="605"/>
      <c r="BP1" s="605"/>
      <c r="BQ1" s="605"/>
      <c r="BR1" s="605"/>
      <c r="BS1" s="605"/>
      <c r="BT1" s="605"/>
      <c r="BU1" s="605"/>
      <c r="BV1" s="605"/>
      <c r="BW1" s="605"/>
      <c r="BX1" s="606"/>
      <c r="BY1" s="603" t="s">
        <v>418</v>
      </c>
      <c r="BZ1" s="604"/>
      <c r="CA1" s="604"/>
      <c r="CB1" s="604"/>
      <c r="CC1" s="604"/>
      <c r="CD1" s="604"/>
      <c r="CF1" s="601" t="s">
        <v>574</v>
      </c>
      <c r="CG1" s="602"/>
    </row>
    <row r="2" spans="1:85" ht="13.8" thickBot="1">
      <c r="A2" s="140" t="s">
        <v>417</v>
      </c>
      <c r="B2" s="140" t="s">
        <v>416</v>
      </c>
      <c r="C2" s="140" t="s">
        <v>415</v>
      </c>
      <c r="D2" s="140" t="s">
        <v>414</v>
      </c>
      <c r="E2" s="139" t="s">
        <v>413</v>
      </c>
      <c r="F2" s="139" t="s">
        <v>412</v>
      </c>
      <c r="G2" s="139" t="s">
        <v>411</v>
      </c>
      <c r="H2" s="139" t="s">
        <v>410</v>
      </c>
      <c r="I2" s="139" t="s">
        <v>409</v>
      </c>
      <c r="J2" s="139" t="s">
        <v>408</v>
      </c>
      <c r="K2" s="139" t="s">
        <v>407</v>
      </c>
      <c r="L2" s="139" t="s">
        <v>406</v>
      </c>
      <c r="M2" s="139" t="s">
        <v>405</v>
      </c>
      <c r="N2" s="139" t="s">
        <v>404</v>
      </c>
      <c r="O2" s="139" t="s">
        <v>403</v>
      </c>
      <c r="P2" s="139" t="s">
        <v>402</v>
      </c>
      <c r="Q2" s="139" t="s">
        <v>413</v>
      </c>
      <c r="R2" s="139" t="s">
        <v>412</v>
      </c>
      <c r="S2" s="139" t="s">
        <v>411</v>
      </c>
      <c r="T2" s="139" t="s">
        <v>410</v>
      </c>
      <c r="U2" s="139" t="s">
        <v>409</v>
      </c>
      <c r="V2" s="139" t="s">
        <v>408</v>
      </c>
      <c r="W2" s="139" t="s">
        <v>407</v>
      </c>
      <c r="X2" s="139" t="s">
        <v>406</v>
      </c>
      <c r="Y2" s="139" t="s">
        <v>405</v>
      </c>
      <c r="Z2" s="139" t="s">
        <v>404</v>
      </c>
      <c r="AA2" s="139" t="s">
        <v>403</v>
      </c>
      <c r="AB2" s="139" t="s">
        <v>402</v>
      </c>
      <c r="AC2" s="139" t="s">
        <v>413</v>
      </c>
      <c r="AD2" s="139" t="s">
        <v>412</v>
      </c>
      <c r="AE2" s="139" t="s">
        <v>411</v>
      </c>
      <c r="AF2" s="139" t="s">
        <v>410</v>
      </c>
      <c r="AG2" s="139" t="s">
        <v>409</v>
      </c>
      <c r="AH2" s="139" t="s">
        <v>408</v>
      </c>
      <c r="AI2" s="139" t="s">
        <v>407</v>
      </c>
      <c r="AJ2" s="139" t="s">
        <v>406</v>
      </c>
      <c r="AK2" s="139" t="s">
        <v>405</v>
      </c>
      <c r="AL2" s="139" t="s">
        <v>404</v>
      </c>
      <c r="AM2" s="139" t="s">
        <v>403</v>
      </c>
      <c r="AN2" s="139" t="s">
        <v>402</v>
      </c>
      <c r="AO2" s="139" t="s">
        <v>413</v>
      </c>
      <c r="AP2" s="139" t="s">
        <v>412</v>
      </c>
      <c r="AQ2" s="139" t="s">
        <v>411</v>
      </c>
      <c r="AR2" s="139" t="s">
        <v>410</v>
      </c>
      <c r="AS2" s="139" t="s">
        <v>409</v>
      </c>
      <c r="AT2" s="139" t="s">
        <v>408</v>
      </c>
      <c r="AU2" s="139" t="s">
        <v>407</v>
      </c>
      <c r="AV2" s="139" t="s">
        <v>406</v>
      </c>
      <c r="AW2" s="139" t="s">
        <v>405</v>
      </c>
      <c r="AX2" s="139" t="s">
        <v>404</v>
      </c>
      <c r="AY2" s="139" t="s">
        <v>403</v>
      </c>
      <c r="AZ2" s="139" t="s">
        <v>402</v>
      </c>
      <c r="BA2" s="139" t="s">
        <v>413</v>
      </c>
      <c r="BB2" s="139" t="s">
        <v>412</v>
      </c>
      <c r="BC2" s="139" t="s">
        <v>411</v>
      </c>
      <c r="BD2" s="139" t="s">
        <v>410</v>
      </c>
      <c r="BE2" s="139" t="s">
        <v>409</v>
      </c>
      <c r="BF2" s="139" t="s">
        <v>408</v>
      </c>
      <c r="BG2" s="139" t="s">
        <v>407</v>
      </c>
      <c r="BH2" s="139" t="s">
        <v>406</v>
      </c>
      <c r="BI2" s="139" t="s">
        <v>405</v>
      </c>
      <c r="BJ2" s="139" t="s">
        <v>404</v>
      </c>
      <c r="BK2" s="139" t="s">
        <v>403</v>
      </c>
      <c r="BL2" s="139" t="s">
        <v>402</v>
      </c>
      <c r="BM2" s="139" t="s">
        <v>413</v>
      </c>
      <c r="BN2" s="139" t="s">
        <v>412</v>
      </c>
      <c r="BO2" s="139" t="s">
        <v>411</v>
      </c>
      <c r="BP2" s="139" t="s">
        <v>410</v>
      </c>
      <c r="BQ2" s="139" t="s">
        <v>409</v>
      </c>
      <c r="BR2" s="139" t="s">
        <v>408</v>
      </c>
      <c r="BS2" s="139" t="s">
        <v>407</v>
      </c>
      <c r="BT2" s="139" t="s">
        <v>406</v>
      </c>
      <c r="BU2" s="139" t="s">
        <v>405</v>
      </c>
      <c r="BV2" s="139" t="s">
        <v>404</v>
      </c>
      <c r="BW2" s="139" t="s">
        <v>403</v>
      </c>
      <c r="BX2" s="139" t="s">
        <v>402</v>
      </c>
      <c r="BY2" s="138">
        <v>2009</v>
      </c>
      <c r="BZ2" s="138">
        <f>1+BY2</f>
        <v>2010</v>
      </c>
      <c r="CA2" s="138">
        <f>1+BZ2</f>
        <v>2011</v>
      </c>
      <c r="CB2" s="138">
        <f>1+CA2</f>
        <v>2012</v>
      </c>
      <c r="CC2" s="138">
        <f>1+CB2</f>
        <v>2013</v>
      </c>
      <c r="CD2" s="138">
        <f>1+CC2</f>
        <v>2014</v>
      </c>
      <c r="CF2" s="294">
        <v>2011</v>
      </c>
      <c r="CG2" s="295">
        <v>2012</v>
      </c>
    </row>
    <row r="3" spans="1:85" s="98" customFormat="1" outlineLevel="2">
      <c r="A3" s="10">
        <v>2</v>
      </c>
      <c r="B3" s="10">
        <v>54</v>
      </c>
      <c r="C3" s="10" t="s">
        <v>98</v>
      </c>
      <c r="D3" s="131" t="s">
        <v>98</v>
      </c>
      <c r="E3" s="121">
        <v>183527210</v>
      </c>
      <c r="F3" s="121">
        <v>169273507</v>
      </c>
      <c r="G3" s="121">
        <v>161737539</v>
      </c>
      <c r="H3" s="121">
        <v>165398139</v>
      </c>
      <c r="I3" s="121">
        <v>176080564</v>
      </c>
      <c r="J3" s="121">
        <v>184595884</v>
      </c>
      <c r="K3" s="121">
        <v>188260600</v>
      </c>
      <c r="L3" s="121">
        <v>179382104</v>
      </c>
      <c r="M3" s="121">
        <v>188354267</v>
      </c>
      <c r="N3" s="121">
        <v>188112645</v>
      </c>
      <c r="O3" s="121">
        <v>177595157</v>
      </c>
      <c r="P3" s="121">
        <v>186310411</v>
      </c>
      <c r="Q3" s="121">
        <v>176108420</v>
      </c>
      <c r="R3" s="121">
        <v>164369875</v>
      </c>
      <c r="S3" s="121">
        <v>163504524</v>
      </c>
      <c r="T3" s="121">
        <v>164870741</v>
      </c>
      <c r="U3" s="121">
        <v>175800461</v>
      </c>
      <c r="V3" s="121">
        <v>188482690</v>
      </c>
      <c r="W3" s="121">
        <v>196295353</v>
      </c>
      <c r="X3" s="121">
        <v>195205336</v>
      </c>
      <c r="Y3" s="121">
        <v>195149849</v>
      </c>
      <c r="Z3" s="121">
        <v>183821102</v>
      </c>
      <c r="AA3" s="121">
        <v>174205936</v>
      </c>
      <c r="AB3" s="121">
        <v>181370362</v>
      </c>
      <c r="AC3" s="121">
        <v>170149864</v>
      </c>
      <c r="AD3" s="121">
        <v>162473300</v>
      </c>
      <c r="AE3" s="121">
        <v>161617933</v>
      </c>
      <c r="AF3" s="121">
        <v>164231707</v>
      </c>
      <c r="AG3" s="121">
        <v>175119064</v>
      </c>
      <c r="AH3" s="121">
        <v>187752137</v>
      </c>
      <c r="AI3" s="121">
        <v>194779559</v>
      </c>
      <c r="AJ3" s="121">
        <v>193697959</v>
      </c>
      <c r="AK3" s="121">
        <v>195149849</v>
      </c>
      <c r="AL3" s="121">
        <v>183821102</v>
      </c>
      <c r="AM3" s="121">
        <v>174205936</v>
      </c>
      <c r="AN3" s="121">
        <v>181370362</v>
      </c>
      <c r="AO3" s="130">
        <v>170149864</v>
      </c>
      <c r="AP3" s="130">
        <v>162473300</v>
      </c>
      <c r="AQ3" s="130">
        <v>161617933</v>
      </c>
      <c r="AR3" s="130">
        <v>164231707</v>
      </c>
      <c r="AS3" s="130">
        <v>175119064</v>
      </c>
      <c r="AT3" s="130">
        <v>187752137</v>
      </c>
      <c r="AU3" s="130">
        <v>194779559</v>
      </c>
      <c r="AV3" s="130">
        <v>193697959</v>
      </c>
      <c r="AW3" s="130">
        <v>195149849</v>
      </c>
      <c r="AX3" s="130">
        <v>183821102</v>
      </c>
      <c r="AY3" s="130">
        <v>174205936</v>
      </c>
      <c r="AZ3" s="130">
        <v>181370362</v>
      </c>
      <c r="BA3" s="130">
        <v>170149864</v>
      </c>
      <c r="BB3" s="130">
        <v>162473300</v>
      </c>
      <c r="BC3" s="130">
        <v>161617933</v>
      </c>
      <c r="BD3" s="130">
        <v>164231707</v>
      </c>
      <c r="BE3" s="130">
        <v>175119064</v>
      </c>
      <c r="BF3" s="130">
        <v>187752137</v>
      </c>
      <c r="BG3" s="130">
        <v>194779559</v>
      </c>
      <c r="BH3" s="130">
        <v>193697959</v>
      </c>
      <c r="BI3" s="130">
        <v>195149849</v>
      </c>
      <c r="BJ3" s="130">
        <v>183821102</v>
      </c>
      <c r="BK3" s="130">
        <v>174205936</v>
      </c>
      <c r="BL3" s="130">
        <v>181370362</v>
      </c>
      <c r="BM3" s="130">
        <v>170149864</v>
      </c>
      <c r="BN3" s="130">
        <v>162473300</v>
      </c>
      <c r="BO3" s="130">
        <v>161617933</v>
      </c>
      <c r="BP3" s="130">
        <v>164231707</v>
      </c>
      <c r="BQ3" s="130">
        <v>175119064</v>
      </c>
      <c r="BR3" s="130">
        <v>187752137</v>
      </c>
      <c r="BS3" s="130">
        <v>194779559</v>
      </c>
      <c r="BT3" s="130">
        <v>193697959</v>
      </c>
      <c r="BU3" s="130">
        <v>195149849</v>
      </c>
      <c r="BV3" s="130">
        <v>183821102</v>
      </c>
      <c r="BW3" s="130">
        <v>174205936</v>
      </c>
      <c r="BX3" s="130">
        <v>181370362</v>
      </c>
      <c r="BY3" s="132">
        <f>SUM(E3:P3)</f>
        <v>2148628027</v>
      </c>
      <c r="BZ3" s="132">
        <f>SUM(Q3:AB3)</f>
        <v>2159184649</v>
      </c>
      <c r="CA3" s="132">
        <f>SUM(AC3:AN3)</f>
        <v>2144368772</v>
      </c>
      <c r="CB3" s="132">
        <f>SUM(AO3:AZ3)</f>
        <v>2144368772</v>
      </c>
      <c r="CC3" s="132">
        <f>SUM(BA3:BL3)</f>
        <v>2144368772</v>
      </c>
      <c r="CD3" s="132">
        <f>SUM(BM3:BX3)</f>
        <v>2144368772</v>
      </c>
    </row>
    <row r="4" spans="1:85" s="98" customFormat="1" outlineLevel="2">
      <c r="A4" s="10">
        <v>3</v>
      </c>
      <c r="B4" s="10">
        <v>54</v>
      </c>
      <c r="C4" s="10" t="s">
        <v>98</v>
      </c>
      <c r="D4" s="131" t="s">
        <v>98</v>
      </c>
      <c r="E4" s="121">
        <v>67603680</v>
      </c>
      <c r="F4" s="121">
        <v>61335923</v>
      </c>
      <c r="G4" s="121">
        <v>59138601</v>
      </c>
      <c r="H4" s="121">
        <v>62343430</v>
      </c>
      <c r="I4" s="121">
        <v>62696008</v>
      </c>
      <c r="J4" s="121">
        <v>60212882</v>
      </c>
      <c r="K4" s="121">
        <v>60417322</v>
      </c>
      <c r="L4" s="121">
        <v>63788227</v>
      </c>
      <c r="M4" s="121">
        <v>62816048</v>
      </c>
      <c r="N4" s="121">
        <v>62110539</v>
      </c>
      <c r="O4" s="121">
        <v>64755846</v>
      </c>
      <c r="P4" s="121">
        <v>69435549</v>
      </c>
      <c r="Q4" s="121">
        <v>66422580</v>
      </c>
      <c r="R4" s="121">
        <v>61612100</v>
      </c>
      <c r="S4" s="121">
        <v>60045664</v>
      </c>
      <c r="T4" s="121">
        <v>60187863</v>
      </c>
      <c r="U4" s="121">
        <v>61014304</v>
      </c>
      <c r="V4" s="121">
        <v>63487538</v>
      </c>
      <c r="W4" s="121">
        <v>64695260</v>
      </c>
      <c r="X4" s="121">
        <v>60684714</v>
      </c>
      <c r="Y4" s="121">
        <v>63414763</v>
      </c>
      <c r="Z4" s="121">
        <v>61324330</v>
      </c>
      <c r="AA4" s="121">
        <v>63936152</v>
      </c>
      <c r="AB4" s="121">
        <v>68556618</v>
      </c>
      <c r="AC4" s="121">
        <v>64762016</v>
      </c>
      <c r="AD4" s="121">
        <v>60832200</v>
      </c>
      <c r="AE4" s="121">
        <v>59285592</v>
      </c>
      <c r="AF4" s="121">
        <v>59425991</v>
      </c>
      <c r="AG4" s="121">
        <v>61014304</v>
      </c>
      <c r="AH4" s="121">
        <v>63487538</v>
      </c>
      <c r="AI4" s="121">
        <v>63876333</v>
      </c>
      <c r="AJ4" s="121">
        <v>59916553</v>
      </c>
      <c r="AK4" s="121">
        <v>63414763</v>
      </c>
      <c r="AL4" s="121">
        <v>61324330</v>
      </c>
      <c r="AM4" s="121">
        <v>63936152</v>
      </c>
      <c r="AN4" s="121">
        <v>68556618</v>
      </c>
      <c r="AO4" s="130">
        <v>64762016</v>
      </c>
      <c r="AP4" s="130">
        <v>60832200</v>
      </c>
      <c r="AQ4" s="130">
        <v>59285592</v>
      </c>
      <c r="AR4" s="130">
        <v>59425991</v>
      </c>
      <c r="AS4" s="130">
        <v>61014304</v>
      </c>
      <c r="AT4" s="130">
        <v>63487538</v>
      </c>
      <c r="AU4" s="130">
        <v>63876333</v>
      </c>
      <c r="AV4" s="130">
        <v>59916553</v>
      </c>
      <c r="AW4" s="130">
        <v>63414763</v>
      </c>
      <c r="AX4" s="130">
        <v>61324330</v>
      </c>
      <c r="AY4" s="130">
        <v>63936152</v>
      </c>
      <c r="AZ4" s="130">
        <v>68556618</v>
      </c>
      <c r="BA4" s="130">
        <v>64762016</v>
      </c>
      <c r="BB4" s="130">
        <v>60832200</v>
      </c>
      <c r="BC4" s="130">
        <v>59285592</v>
      </c>
      <c r="BD4" s="130">
        <v>59425991</v>
      </c>
      <c r="BE4" s="130">
        <v>61014304</v>
      </c>
      <c r="BF4" s="130">
        <v>63487538</v>
      </c>
      <c r="BG4" s="130">
        <v>63876333</v>
      </c>
      <c r="BH4" s="130">
        <v>59916553</v>
      </c>
      <c r="BI4" s="130">
        <v>63414763</v>
      </c>
      <c r="BJ4" s="130">
        <v>61324330</v>
      </c>
      <c r="BK4" s="130">
        <v>63936152</v>
      </c>
      <c r="BL4" s="130">
        <v>68556618</v>
      </c>
      <c r="BM4" s="130">
        <v>64762016</v>
      </c>
      <c r="BN4" s="130">
        <v>60832200</v>
      </c>
      <c r="BO4" s="130">
        <v>59285592</v>
      </c>
      <c r="BP4" s="130">
        <v>59425991</v>
      </c>
      <c r="BQ4" s="130">
        <v>61014304</v>
      </c>
      <c r="BR4" s="130">
        <v>63487538</v>
      </c>
      <c r="BS4" s="130">
        <v>63876333</v>
      </c>
      <c r="BT4" s="130">
        <v>59916553</v>
      </c>
      <c r="BU4" s="130">
        <v>63414763</v>
      </c>
      <c r="BV4" s="130">
        <v>61324330</v>
      </c>
      <c r="BW4" s="130">
        <v>63936152</v>
      </c>
      <c r="BX4" s="130">
        <v>68556618</v>
      </c>
      <c r="BY4" s="132">
        <f>SUM(E4:P4)</f>
        <v>756654055</v>
      </c>
      <c r="BZ4" s="132">
        <f>SUM(Q4:AB4)</f>
        <v>755381886</v>
      </c>
      <c r="CA4" s="132">
        <f>SUM(AC4:AN4)</f>
        <v>749832390</v>
      </c>
      <c r="CB4" s="132">
        <f>SUM(AO4:AZ4)</f>
        <v>749832390</v>
      </c>
      <c r="CC4" s="132">
        <f>SUM(BA4:BL4)</f>
        <v>749832390</v>
      </c>
      <c r="CD4" s="132">
        <f>SUM(BM4:BX4)</f>
        <v>749832390</v>
      </c>
    </row>
    <row r="5" spans="1:85" s="98" customFormat="1" outlineLevel="1">
      <c r="A5" s="10"/>
      <c r="B5" s="10"/>
      <c r="C5" s="10"/>
      <c r="D5" s="137" t="s">
        <v>401</v>
      </c>
      <c r="E5" s="136">
        <f t="shared" ref="E5:AJ5" si="0">SUBTOTAL(9,E3:E4)</f>
        <v>251130890</v>
      </c>
      <c r="F5" s="136">
        <f t="shared" si="0"/>
        <v>230609430</v>
      </c>
      <c r="G5" s="136">
        <f t="shared" si="0"/>
        <v>220876140</v>
      </c>
      <c r="H5" s="136">
        <f t="shared" si="0"/>
        <v>227741569</v>
      </c>
      <c r="I5" s="136">
        <f t="shared" si="0"/>
        <v>238776572</v>
      </c>
      <c r="J5" s="136">
        <f t="shared" si="0"/>
        <v>244808766</v>
      </c>
      <c r="K5" s="136">
        <f t="shared" si="0"/>
        <v>248677922</v>
      </c>
      <c r="L5" s="136">
        <f t="shared" si="0"/>
        <v>243170331</v>
      </c>
      <c r="M5" s="136">
        <f t="shared" si="0"/>
        <v>251170315</v>
      </c>
      <c r="N5" s="136">
        <f t="shared" si="0"/>
        <v>250223184</v>
      </c>
      <c r="O5" s="136">
        <f t="shared" si="0"/>
        <v>242351003</v>
      </c>
      <c r="P5" s="136">
        <f t="shared" si="0"/>
        <v>255745960</v>
      </c>
      <c r="Q5" s="136">
        <f t="shared" si="0"/>
        <v>242531000</v>
      </c>
      <c r="R5" s="136">
        <f t="shared" si="0"/>
        <v>225981975</v>
      </c>
      <c r="S5" s="136">
        <f t="shared" si="0"/>
        <v>223550188</v>
      </c>
      <c r="T5" s="136">
        <f t="shared" si="0"/>
        <v>225058604</v>
      </c>
      <c r="U5" s="136">
        <f t="shared" si="0"/>
        <v>236814765</v>
      </c>
      <c r="V5" s="136">
        <f t="shared" si="0"/>
        <v>251970228</v>
      </c>
      <c r="W5" s="136">
        <f t="shared" si="0"/>
        <v>260990613</v>
      </c>
      <c r="X5" s="136">
        <f t="shared" si="0"/>
        <v>255890050</v>
      </c>
      <c r="Y5" s="136">
        <f t="shared" si="0"/>
        <v>258564612</v>
      </c>
      <c r="Z5" s="136">
        <f t="shared" si="0"/>
        <v>245145432</v>
      </c>
      <c r="AA5" s="136">
        <f t="shared" si="0"/>
        <v>238142088</v>
      </c>
      <c r="AB5" s="136">
        <f t="shared" si="0"/>
        <v>249926980</v>
      </c>
      <c r="AC5" s="136">
        <f t="shared" si="0"/>
        <v>234911880</v>
      </c>
      <c r="AD5" s="136">
        <f t="shared" si="0"/>
        <v>223305500</v>
      </c>
      <c r="AE5" s="136">
        <f t="shared" si="0"/>
        <v>220903525</v>
      </c>
      <c r="AF5" s="136">
        <f t="shared" si="0"/>
        <v>223657698</v>
      </c>
      <c r="AG5" s="136">
        <f t="shared" si="0"/>
        <v>236133368</v>
      </c>
      <c r="AH5" s="136">
        <f t="shared" si="0"/>
        <v>251239675</v>
      </c>
      <c r="AI5" s="136">
        <f t="shared" si="0"/>
        <v>258655892</v>
      </c>
      <c r="AJ5" s="136">
        <f t="shared" si="0"/>
        <v>253614512</v>
      </c>
      <c r="AK5" s="136">
        <f t="shared" ref="AK5:BP5" si="1">SUBTOTAL(9,AK3:AK4)</f>
        <v>258564612</v>
      </c>
      <c r="AL5" s="136">
        <f t="shared" si="1"/>
        <v>245145432</v>
      </c>
      <c r="AM5" s="136">
        <f t="shared" si="1"/>
        <v>238142088</v>
      </c>
      <c r="AN5" s="136">
        <f t="shared" si="1"/>
        <v>249926980</v>
      </c>
      <c r="AO5" s="135">
        <f t="shared" si="1"/>
        <v>234911880</v>
      </c>
      <c r="AP5" s="135">
        <f t="shared" si="1"/>
        <v>223305500</v>
      </c>
      <c r="AQ5" s="135">
        <f t="shared" si="1"/>
        <v>220903525</v>
      </c>
      <c r="AR5" s="135">
        <f t="shared" si="1"/>
        <v>223657698</v>
      </c>
      <c r="AS5" s="135">
        <f t="shared" si="1"/>
        <v>236133368</v>
      </c>
      <c r="AT5" s="135">
        <f t="shared" si="1"/>
        <v>251239675</v>
      </c>
      <c r="AU5" s="135">
        <f t="shared" si="1"/>
        <v>258655892</v>
      </c>
      <c r="AV5" s="135">
        <f t="shared" si="1"/>
        <v>253614512</v>
      </c>
      <c r="AW5" s="135">
        <f t="shared" si="1"/>
        <v>258564612</v>
      </c>
      <c r="AX5" s="135">
        <f t="shared" si="1"/>
        <v>245145432</v>
      </c>
      <c r="AY5" s="135">
        <f t="shared" si="1"/>
        <v>238142088</v>
      </c>
      <c r="AZ5" s="135">
        <f t="shared" si="1"/>
        <v>249926980</v>
      </c>
      <c r="BA5" s="135">
        <f t="shared" si="1"/>
        <v>234911880</v>
      </c>
      <c r="BB5" s="135">
        <f t="shared" si="1"/>
        <v>223305500</v>
      </c>
      <c r="BC5" s="135">
        <f t="shared" si="1"/>
        <v>220903525</v>
      </c>
      <c r="BD5" s="135">
        <f t="shared" si="1"/>
        <v>223657698</v>
      </c>
      <c r="BE5" s="135">
        <f t="shared" si="1"/>
        <v>236133368</v>
      </c>
      <c r="BF5" s="135">
        <f t="shared" si="1"/>
        <v>251239675</v>
      </c>
      <c r="BG5" s="135">
        <f t="shared" si="1"/>
        <v>258655892</v>
      </c>
      <c r="BH5" s="135">
        <f t="shared" si="1"/>
        <v>253614512</v>
      </c>
      <c r="BI5" s="135">
        <f t="shared" si="1"/>
        <v>258564612</v>
      </c>
      <c r="BJ5" s="135">
        <f t="shared" si="1"/>
        <v>245145432</v>
      </c>
      <c r="BK5" s="135">
        <f t="shared" si="1"/>
        <v>238142088</v>
      </c>
      <c r="BL5" s="135">
        <f t="shared" si="1"/>
        <v>249926980</v>
      </c>
      <c r="BM5" s="135">
        <f t="shared" si="1"/>
        <v>234911880</v>
      </c>
      <c r="BN5" s="135">
        <f t="shared" si="1"/>
        <v>223305500</v>
      </c>
      <c r="BO5" s="135">
        <f t="shared" si="1"/>
        <v>220903525</v>
      </c>
      <c r="BP5" s="135">
        <f t="shared" si="1"/>
        <v>223657698</v>
      </c>
      <c r="BQ5" s="135">
        <f t="shared" ref="BQ5:CD5" si="2">SUBTOTAL(9,BQ3:BQ4)</f>
        <v>236133368</v>
      </c>
      <c r="BR5" s="135">
        <f t="shared" si="2"/>
        <v>251239675</v>
      </c>
      <c r="BS5" s="135">
        <f t="shared" si="2"/>
        <v>258655892</v>
      </c>
      <c r="BT5" s="135">
        <f t="shared" si="2"/>
        <v>253614512</v>
      </c>
      <c r="BU5" s="135">
        <f t="shared" si="2"/>
        <v>258564612</v>
      </c>
      <c r="BV5" s="135">
        <f t="shared" si="2"/>
        <v>245145432</v>
      </c>
      <c r="BW5" s="135">
        <f t="shared" si="2"/>
        <v>238142088</v>
      </c>
      <c r="BX5" s="135">
        <f t="shared" si="2"/>
        <v>249926980</v>
      </c>
      <c r="BY5" s="134">
        <f t="shared" si="2"/>
        <v>2905282082</v>
      </c>
      <c r="BZ5" s="134">
        <f t="shared" si="2"/>
        <v>2914566535</v>
      </c>
      <c r="CA5" s="134">
        <f t="shared" si="2"/>
        <v>2894201162</v>
      </c>
      <c r="CB5" s="134">
        <f t="shared" si="2"/>
        <v>2894201162</v>
      </c>
      <c r="CC5" s="134">
        <f t="shared" si="2"/>
        <v>2894201162</v>
      </c>
      <c r="CD5" s="134">
        <f t="shared" si="2"/>
        <v>2894201162</v>
      </c>
      <c r="CF5" s="145">
        <f>SUM(Z5:AK5)</f>
        <v>2894201162</v>
      </c>
      <c r="CG5" s="145">
        <f>SUM(AL5:AW5)</f>
        <v>2894201162</v>
      </c>
    </row>
    <row r="6" spans="1:85" s="98" customFormat="1" outlineLevel="2">
      <c r="A6" s="10">
        <v>2</v>
      </c>
      <c r="B6" s="10">
        <v>56</v>
      </c>
      <c r="C6" s="10" t="s">
        <v>99</v>
      </c>
      <c r="D6" s="131" t="s">
        <v>99</v>
      </c>
      <c r="E6" s="121">
        <v>13918980</v>
      </c>
      <c r="F6" s="121">
        <v>12648940</v>
      </c>
      <c r="G6" s="121">
        <v>12528458</v>
      </c>
      <c r="H6" s="121">
        <v>12880817</v>
      </c>
      <c r="I6" s="121">
        <v>13513208</v>
      </c>
      <c r="J6" s="121">
        <v>14595980</v>
      </c>
      <c r="K6" s="121">
        <v>13213109</v>
      </c>
      <c r="L6" s="121">
        <v>14309441</v>
      </c>
      <c r="M6" s="121">
        <v>13354100</v>
      </c>
      <c r="N6" s="121">
        <v>15233223</v>
      </c>
      <c r="O6" s="121">
        <v>13432324</v>
      </c>
      <c r="P6" s="121">
        <v>14515866</v>
      </c>
      <c r="Q6" s="121">
        <v>14006460</v>
      </c>
      <c r="R6" s="121">
        <v>11880100</v>
      </c>
      <c r="S6" s="121">
        <v>11612740</v>
      </c>
      <c r="T6" s="121">
        <v>11874398</v>
      </c>
      <c r="U6" s="121">
        <v>12577120</v>
      </c>
      <c r="V6" s="121">
        <v>13020000</v>
      </c>
      <c r="W6" s="121">
        <v>13933571</v>
      </c>
      <c r="X6" s="121">
        <v>13138070</v>
      </c>
      <c r="Y6" s="121">
        <v>13198200</v>
      </c>
      <c r="Z6" s="121">
        <v>13936778</v>
      </c>
      <c r="AA6" s="121">
        <v>12159788</v>
      </c>
      <c r="AB6" s="121">
        <v>13140679</v>
      </c>
      <c r="AC6" s="121">
        <v>12952210</v>
      </c>
      <c r="AD6" s="121">
        <v>11743547</v>
      </c>
      <c r="AE6" s="121">
        <v>11348814</v>
      </c>
      <c r="AF6" s="121">
        <v>11604525</v>
      </c>
      <c r="AG6" s="121">
        <v>12291276</v>
      </c>
      <c r="AH6" s="121">
        <v>12724091</v>
      </c>
      <c r="AI6" s="121">
        <v>13773415</v>
      </c>
      <c r="AJ6" s="121">
        <v>13138070</v>
      </c>
      <c r="AK6" s="121">
        <v>13198200</v>
      </c>
      <c r="AL6" s="121">
        <v>13936778</v>
      </c>
      <c r="AM6" s="121">
        <v>12159788</v>
      </c>
      <c r="AN6" s="121">
        <v>13140679</v>
      </c>
      <c r="AO6" s="130">
        <v>12952210</v>
      </c>
      <c r="AP6" s="130">
        <v>11743547</v>
      </c>
      <c r="AQ6" s="130">
        <v>11348814</v>
      </c>
      <c r="AR6" s="130">
        <v>11604525</v>
      </c>
      <c r="AS6" s="130">
        <v>12291276</v>
      </c>
      <c r="AT6" s="130">
        <v>12724091</v>
      </c>
      <c r="AU6" s="130">
        <v>13773415</v>
      </c>
      <c r="AV6" s="130">
        <v>13138070</v>
      </c>
      <c r="AW6" s="130">
        <v>13198200</v>
      </c>
      <c r="AX6" s="130">
        <v>13936778</v>
      </c>
      <c r="AY6" s="130">
        <v>12159788</v>
      </c>
      <c r="AZ6" s="130">
        <v>13140679</v>
      </c>
      <c r="BA6" s="130">
        <v>12952210</v>
      </c>
      <c r="BB6" s="130">
        <v>11743547</v>
      </c>
      <c r="BC6" s="130">
        <v>11348814</v>
      </c>
      <c r="BD6" s="130">
        <v>11604525</v>
      </c>
      <c r="BE6" s="130">
        <v>12291276</v>
      </c>
      <c r="BF6" s="130">
        <v>12724091</v>
      </c>
      <c r="BG6" s="130">
        <v>13773415</v>
      </c>
      <c r="BH6" s="130">
        <v>13138070</v>
      </c>
      <c r="BI6" s="130">
        <v>13198200</v>
      </c>
      <c r="BJ6" s="130">
        <v>13936778</v>
      </c>
      <c r="BK6" s="130">
        <v>12159788</v>
      </c>
      <c r="BL6" s="130">
        <v>13140679</v>
      </c>
      <c r="BM6" s="130">
        <v>12952210</v>
      </c>
      <c r="BN6" s="130">
        <v>11743547</v>
      </c>
      <c r="BO6" s="130">
        <v>11348814</v>
      </c>
      <c r="BP6" s="130">
        <v>11604525</v>
      </c>
      <c r="BQ6" s="130">
        <v>12291276</v>
      </c>
      <c r="BR6" s="130">
        <v>12724091</v>
      </c>
      <c r="BS6" s="130">
        <v>13773415</v>
      </c>
      <c r="BT6" s="130">
        <v>13138070</v>
      </c>
      <c r="BU6" s="130">
        <v>13198200</v>
      </c>
      <c r="BV6" s="130">
        <v>13936778</v>
      </c>
      <c r="BW6" s="130">
        <v>12159788</v>
      </c>
      <c r="BX6" s="130">
        <v>13140679</v>
      </c>
      <c r="BY6" s="132">
        <f>SUM(E6:P6)</f>
        <v>164144446</v>
      </c>
      <c r="BZ6" s="132">
        <f>SUM(Q6:AB6)</f>
        <v>154477904</v>
      </c>
      <c r="CA6" s="132">
        <f>SUM(AC6:AN6)</f>
        <v>152011393</v>
      </c>
      <c r="CB6" s="132">
        <f>SUM(AO6:AZ6)</f>
        <v>152011393</v>
      </c>
      <c r="CC6" s="132">
        <f>SUM(BA6:BL6)</f>
        <v>152011393</v>
      </c>
      <c r="CD6" s="132">
        <f>SUM(BM6:BX6)</f>
        <v>152011393</v>
      </c>
    </row>
    <row r="7" spans="1:85" s="98" customFormat="1" outlineLevel="2">
      <c r="A7" s="10">
        <v>3</v>
      </c>
      <c r="B7" s="10">
        <v>56</v>
      </c>
      <c r="C7" s="10" t="s">
        <v>99</v>
      </c>
      <c r="D7" s="131" t="s">
        <v>99</v>
      </c>
      <c r="E7" s="121">
        <v>2302980</v>
      </c>
      <c r="F7" s="121">
        <v>2099060</v>
      </c>
      <c r="G7" s="121">
        <v>2062660</v>
      </c>
      <c r="H7" s="121">
        <v>1860280</v>
      </c>
      <c r="I7" s="121">
        <v>2403060</v>
      </c>
      <c r="J7" s="121">
        <v>2123680</v>
      </c>
      <c r="K7" s="121">
        <v>2147520</v>
      </c>
      <c r="L7" s="121">
        <v>1913108</v>
      </c>
      <c r="M7" s="121">
        <v>1896020</v>
      </c>
      <c r="N7" s="121">
        <v>1848124</v>
      </c>
      <c r="O7" s="121">
        <v>1828020</v>
      </c>
      <c r="P7" s="121">
        <v>1990800</v>
      </c>
      <c r="Q7" s="121">
        <v>1888460</v>
      </c>
      <c r="R7" s="121">
        <v>1792660</v>
      </c>
      <c r="S7" s="121">
        <v>1743380</v>
      </c>
      <c r="T7" s="121">
        <v>1844800</v>
      </c>
      <c r="U7" s="121">
        <v>1928160</v>
      </c>
      <c r="V7" s="121">
        <v>2044960</v>
      </c>
      <c r="W7" s="121">
        <v>1801479</v>
      </c>
      <c r="X7" s="121">
        <v>2212929</v>
      </c>
      <c r="Y7" s="121">
        <v>2165700</v>
      </c>
      <c r="Z7" s="121">
        <v>1980133</v>
      </c>
      <c r="AA7" s="121">
        <v>1958593</v>
      </c>
      <c r="AB7" s="121">
        <v>2133000</v>
      </c>
      <c r="AC7" s="121">
        <v>2023350</v>
      </c>
      <c r="AD7" s="121">
        <v>1920707</v>
      </c>
      <c r="AE7" s="121">
        <v>1867907</v>
      </c>
      <c r="AF7" s="121">
        <v>1976571</v>
      </c>
      <c r="AG7" s="121">
        <v>1928160</v>
      </c>
      <c r="AH7" s="121">
        <v>2044960</v>
      </c>
      <c r="AI7" s="121">
        <v>1930156</v>
      </c>
      <c r="AJ7" s="121">
        <v>2370995</v>
      </c>
      <c r="AK7" s="121">
        <v>2165700</v>
      </c>
      <c r="AL7" s="121">
        <v>1980133</v>
      </c>
      <c r="AM7" s="121">
        <v>1958593</v>
      </c>
      <c r="AN7" s="121">
        <v>2133000</v>
      </c>
      <c r="AO7" s="130">
        <v>2023350</v>
      </c>
      <c r="AP7" s="130">
        <v>1920707</v>
      </c>
      <c r="AQ7" s="130">
        <v>1867907</v>
      </c>
      <c r="AR7" s="130">
        <v>1976571</v>
      </c>
      <c r="AS7" s="130">
        <v>1928160</v>
      </c>
      <c r="AT7" s="130">
        <v>2044960</v>
      </c>
      <c r="AU7" s="130">
        <v>1930156</v>
      </c>
      <c r="AV7" s="130">
        <v>2370995</v>
      </c>
      <c r="AW7" s="130">
        <v>2165700</v>
      </c>
      <c r="AX7" s="130">
        <v>1980133</v>
      </c>
      <c r="AY7" s="130">
        <v>1958593</v>
      </c>
      <c r="AZ7" s="130">
        <v>2133000</v>
      </c>
      <c r="BA7" s="130">
        <v>2023350</v>
      </c>
      <c r="BB7" s="130">
        <v>1920707</v>
      </c>
      <c r="BC7" s="130">
        <v>1867907</v>
      </c>
      <c r="BD7" s="130">
        <v>1976571</v>
      </c>
      <c r="BE7" s="130">
        <v>1928160</v>
      </c>
      <c r="BF7" s="130">
        <v>2044960</v>
      </c>
      <c r="BG7" s="130">
        <v>1930156</v>
      </c>
      <c r="BH7" s="130">
        <v>2370995</v>
      </c>
      <c r="BI7" s="130">
        <v>2165700</v>
      </c>
      <c r="BJ7" s="130">
        <v>1980133</v>
      </c>
      <c r="BK7" s="130">
        <v>1958593</v>
      </c>
      <c r="BL7" s="130">
        <v>2133000</v>
      </c>
      <c r="BM7" s="130">
        <v>2023350</v>
      </c>
      <c r="BN7" s="130">
        <v>1920707</v>
      </c>
      <c r="BO7" s="130">
        <v>1867907</v>
      </c>
      <c r="BP7" s="130">
        <v>1976571</v>
      </c>
      <c r="BQ7" s="130">
        <v>1928160</v>
      </c>
      <c r="BR7" s="130">
        <v>2044960</v>
      </c>
      <c r="BS7" s="130">
        <v>1930156</v>
      </c>
      <c r="BT7" s="130">
        <v>2370995</v>
      </c>
      <c r="BU7" s="130">
        <v>2165700</v>
      </c>
      <c r="BV7" s="130">
        <v>1980133</v>
      </c>
      <c r="BW7" s="130">
        <v>1958593</v>
      </c>
      <c r="BX7" s="130">
        <v>2133000</v>
      </c>
      <c r="BY7" s="132">
        <f>SUM(E7:P7)</f>
        <v>24475312</v>
      </c>
      <c r="BZ7" s="132">
        <f>SUM(Q7:AB7)</f>
        <v>23494254</v>
      </c>
      <c r="CA7" s="132">
        <f>SUM(AC7:AN7)</f>
        <v>24300232</v>
      </c>
      <c r="CB7" s="132">
        <f>SUM(AO7:AZ7)</f>
        <v>24300232</v>
      </c>
      <c r="CC7" s="132">
        <f>SUM(BA7:BL7)</f>
        <v>24300232</v>
      </c>
      <c r="CD7" s="132">
        <f>SUM(BM7:BX7)</f>
        <v>24300232</v>
      </c>
    </row>
    <row r="8" spans="1:85" s="98" customFormat="1" outlineLevel="1">
      <c r="A8" s="10"/>
      <c r="B8" s="10"/>
      <c r="C8" s="10"/>
      <c r="D8" s="137" t="s">
        <v>400</v>
      </c>
      <c r="E8" s="136">
        <f t="shared" ref="E8:AJ8" si="3">SUBTOTAL(9,E6:E7)</f>
        <v>16221960</v>
      </c>
      <c r="F8" s="136">
        <f t="shared" si="3"/>
        <v>14748000</v>
      </c>
      <c r="G8" s="136">
        <f t="shared" si="3"/>
        <v>14591118</v>
      </c>
      <c r="H8" s="136">
        <f t="shared" si="3"/>
        <v>14741097</v>
      </c>
      <c r="I8" s="136">
        <f t="shared" si="3"/>
        <v>15916268</v>
      </c>
      <c r="J8" s="136">
        <f t="shared" si="3"/>
        <v>16719660</v>
      </c>
      <c r="K8" s="136">
        <f t="shared" si="3"/>
        <v>15360629</v>
      </c>
      <c r="L8" s="136">
        <f t="shared" si="3"/>
        <v>16222549</v>
      </c>
      <c r="M8" s="136">
        <f t="shared" si="3"/>
        <v>15250120</v>
      </c>
      <c r="N8" s="136">
        <f t="shared" si="3"/>
        <v>17081347</v>
      </c>
      <c r="O8" s="136">
        <f t="shared" si="3"/>
        <v>15260344</v>
      </c>
      <c r="P8" s="136">
        <f t="shared" si="3"/>
        <v>16506666</v>
      </c>
      <c r="Q8" s="136">
        <f t="shared" si="3"/>
        <v>15894920</v>
      </c>
      <c r="R8" s="136">
        <f t="shared" si="3"/>
        <v>13672760</v>
      </c>
      <c r="S8" s="136">
        <f t="shared" si="3"/>
        <v>13356120</v>
      </c>
      <c r="T8" s="136">
        <f t="shared" si="3"/>
        <v>13719198</v>
      </c>
      <c r="U8" s="136">
        <f t="shared" si="3"/>
        <v>14505280</v>
      </c>
      <c r="V8" s="136">
        <f t="shared" si="3"/>
        <v>15064960</v>
      </c>
      <c r="W8" s="136">
        <f t="shared" si="3"/>
        <v>15735050</v>
      </c>
      <c r="X8" s="136">
        <f t="shared" si="3"/>
        <v>15350999</v>
      </c>
      <c r="Y8" s="136">
        <f t="shared" si="3"/>
        <v>15363900</v>
      </c>
      <c r="Z8" s="136">
        <f t="shared" si="3"/>
        <v>15916911</v>
      </c>
      <c r="AA8" s="136">
        <f t="shared" si="3"/>
        <v>14118381</v>
      </c>
      <c r="AB8" s="136">
        <f t="shared" si="3"/>
        <v>15273679</v>
      </c>
      <c r="AC8" s="136">
        <f t="shared" si="3"/>
        <v>14975560</v>
      </c>
      <c r="AD8" s="136">
        <f t="shared" si="3"/>
        <v>13664254</v>
      </c>
      <c r="AE8" s="136">
        <f t="shared" si="3"/>
        <v>13216721</v>
      </c>
      <c r="AF8" s="136">
        <f t="shared" si="3"/>
        <v>13581096</v>
      </c>
      <c r="AG8" s="136">
        <f t="shared" si="3"/>
        <v>14219436</v>
      </c>
      <c r="AH8" s="136">
        <f t="shared" si="3"/>
        <v>14769051</v>
      </c>
      <c r="AI8" s="136">
        <f t="shared" si="3"/>
        <v>15703571</v>
      </c>
      <c r="AJ8" s="136">
        <f t="shared" si="3"/>
        <v>15509065</v>
      </c>
      <c r="AK8" s="136">
        <f t="shared" ref="AK8:BP8" si="4">SUBTOTAL(9,AK6:AK7)</f>
        <v>15363900</v>
      </c>
      <c r="AL8" s="136">
        <f t="shared" si="4"/>
        <v>15916911</v>
      </c>
      <c r="AM8" s="136">
        <f t="shared" si="4"/>
        <v>14118381</v>
      </c>
      <c r="AN8" s="136">
        <f t="shared" si="4"/>
        <v>15273679</v>
      </c>
      <c r="AO8" s="135">
        <f t="shared" si="4"/>
        <v>14975560</v>
      </c>
      <c r="AP8" s="135">
        <f t="shared" si="4"/>
        <v>13664254</v>
      </c>
      <c r="AQ8" s="135">
        <f t="shared" si="4"/>
        <v>13216721</v>
      </c>
      <c r="AR8" s="135">
        <f t="shared" si="4"/>
        <v>13581096</v>
      </c>
      <c r="AS8" s="135">
        <f t="shared" si="4"/>
        <v>14219436</v>
      </c>
      <c r="AT8" s="135">
        <f t="shared" si="4"/>
        <v>14769051</v>
      </c>
      <c r="AU8" s="135">
        <f t="shared" si="4"/>
        <v>15703571</v>
      </c>
      <c r="AV8" s="135">
        <f t="shared" si="4"/>
        <v>15509065</v>
      </c>
      <c r="AW8" s="135">
        <f t="shared" si="4"/>
        <v>15363900</v>
      </c>
      <c r="AX8" s="135">
        <f t="shared" si="4"/>
        <v>15916911</v>
      </c>
      <c r="AY8" s="135">
        <f t="shared" si="4"/>
        <v>14118381</v>
      </c>
      <c r="AZ8" s="135">
        <f t="shared" si="4"/>
        <v>15273679</v>
      </c>
      <c r="BA8" s="135">
        <f t="shared" si="4"/>
        <v>14975560</v>
      </c>
      <c r="BB8" s="135">
        <f t="shared" si="4"/>
        <v>13664254</v>
      </c>
      <c r="BC8" s="135">
        <f t="shared" si="4"/>
        <v>13216721</v>
      </c>
      <c r="BD8" s="135">
        <f t="shared" si="4"/>
        <v>13581096</v>
      </c>
      <c r="BE8" s="135">
        <f t="shared" si="4"/>
        <v>14219436</v>
      </c>
      <c r="BF8" s="135">
        <f t="shared" si="4"/>
        <v>14769051</v>
      </c>
      <c r="BG8" s="135">
        <f t="shared" si="4"/>
        <v>15703571</v>
      </c>
      <c r="BH8" s="135">
        <f t="shared" si="4"/>
        <v>15509065</v>
      </c>
      <c r="BI8" s="135">
        <f t="shared" si="4"/>
        <v>15363900</v>
      </c>
      <c r="BJ8" s="135">
        <f t="shared" si="4"/>
        <v>15916911</v>
      </c>
      <c r="BK8" s="135">
        <f t="shared" si="4"/>
        <v>14118381</v>
      </c>
      <c r="BL8" s="135">
        <f t="shared" si="4"/>
        <v>15273679</v>
      </c>
      <c r="BM8" s="135">
        <f t="shared" si="4"/>
        <v>14975560</v>
      </c>
      <c r="BN8" s="135">
        <f t="shared" si="4"/>
        <v>13664254</v>
      </c>
      <c r="BO8" s="135">
        <f t="shared" si="4"/>
        <v>13216721</v>
      </c>
      <c r="BP8" s="135">
        <f t="shared" si="4"/>
        <v>13581096</v>
      </c>
      <c r="BQ8" s="135">
        <f t="shared" ref="BQ8:CD8" si="5">SUBTOTAL(9,BQ6:BQ7)</f>
        <v>14219436</v>
      </c>
      <c r="BR8" s="135">
        <f t="shared" si="5"/>
        <v>14769051</v>
      </c>
      <c r="BS8" s="135">
        <f t="shared" si="5"/>
        <v>15703571</v>
      </c>
      <c r="BT8" s="135">
        <f t="shared" si="5"/>
        <v>15509065</v>
      </c>
      <c r="BU8" s="135">
        <f t="shared" si="5"/>
        <v>15363900</v>
      </c>
      <c r="BV8" s="135">
        <f t="shared" si="5"/>
        <v>15916911</v>
      </c>
      <c r="BW8" s="135">
        <f t="shared" si="5"/>
        <v>14118381</v>
      </c>
      <c r="BX8" s="135">
        <f t="shared" si="5"/>
        <v>15273679</v>
      </c>
      <c r="BY8" s="134">
        <f t="shared" si="5"/>
        <v>188619758</v>
      </c>
      <c r="BZ8" s="134">
        <f t="shared" si="5"/>
        <v>177972158</v>
      </c>
      <c r="CA8" s="134">
        <f t="shared" si="5"/>
        <v>176311625</v>
      </c>
      <c r="CB8" s="134">
        <f t="shared" si="5"/>
        <v>176311625</v>
      </c>
      <c r="CC8" s="134">
        <f t="shared" si="5"/>
        <v>176311625</v>
      </c>
      <c r="CD8" s="134">
        <f t="shared" si="5"/>
        <v>176311625</v>
      </c>
      <c r="CF8" s="145">
        <f>SUM(Z8:AK8)</f>
        <v>176311625</v>
      </c>
      <c r="CG8" s="145">
        <f>SUM(AL8:AW8)</f>
        <v>176311625</v>
      </c>
    </row>
    <row r="9" spans="1:85" s="98" customFormat="1" outlineLevel="2">
      <c r="A9" s="10">
        <v>2</v>
      </c>
      <c r="B9" s="10">
        <v>55</v>
      </c>
      <c r="C9" s="10" t="s">
        <v>50</v>
      </c>
      <c r="D9" s="131" t="s">
        <v>50</v>
      </c>
      <c r="E9" s="121">
        <v>7133000</v>
      </c>
      <c r="F9" s="121">
        <v>6825000</v>
      </c>
      <c r="G9" s="121">
        <v>6433000</v>
      </c>
      <c r="H9" s="121">
        <v>6825000</v>
      </c>
      <c r="I9" s="121">
        <v>8029000</v>
      </c>
      <c r="J9" s="121">
        <v>8813000</v>
      </c>
      <c r="K9" s="121">
        <v>9030000</v>
      </c>
      <c r="L9" s="121">
        <v>9065000</v>
      </c>
      <c r="M9" s="121">
        <v>8659000</v>
      </c>
      <c r="N9" s="121">
        <v>10661000</v>
      </c>
      <c r="O9" s="121">
        <v>11984000</v>
      </c>
      <c r="P9" s="121">
        <v>9982000</v>
      </c>
      <c r="Q9" s="121">
        <v>9338000</v>
      </c>
      <c r="R9" s="121">
        <v>10493000</v>
      </c>
      <c r="S9" s="121">
        <v>11018000</v>
      </c>
      <c r="T9" s="121">
        <v>11844000</v>
      </c>
      <c r="U9" s="121">
        <v>11207000</v>
      </c>
      <c r="V9" s="121">
        <v>11529000</v>
      </c>
      <c r="W9" s="121">
        <v>11585000</v>
      </c>
      <c r="X9" s="121">
        <v>11368000</v>
      </c>
      <c r="Y9" s="121">
        <v>11445000</v>
      </c>
      <c r="Z9" s="121">
        <v>10661000</v>
      </c>
      <c r="AA9" s="121">
        <v>11984000</v>
      </c>
      <c r="AB9" s="121">
        <v>9982000</v>
      </c>
      <c r="AC9" s="121">
        <v>9338000</v>
      </c>
      <c r="AD9" s="121">
        <v>10493000</v>
      </c>
      <c r="AE9" s="121">
        <v>11018000</v>
      </c>
      <c r="AF9" s="121">
        <v>11844000</v>
      </c>
      <c r="AG9" s="121">
        <v>11207000</v>
      </c>
      <c r="AH9" s="121">
        <v>11529000</v>
      </c>
      <c r="AI9" s="121">
        <v>11585000</v>
      </c>
      <c r="AJ9" s="121">
        <v>11368000</v>
      </c>
      <c r="AK9" s="121">
        <v>11445000</v>
      </c>
      <c r="AL9" s="121">
        <v>10661000</v>
      </c>
      <c r="AM9" s="121">
        <v>11984000</v>
      </c>
      <c r="AN9" s="121">
        <v>9982000</v>
      </c>
      <c r="AO9" s="130">
        <v>9338000</v>
      </c>
      <c r="AP9" s="130">
        <v>10493000</v>
      </c>
      <c r="AQ9" s="130">
        <v>11018000</v>
      </c>
      <c r="AR9" s="130">
        <v>11844000</v>
      </c>
      <c r="AS9" s="130">
        <v>11207000</v>
      </c>
      <c r="AT9" s="130">
        <v>11529000</v>
      </c>
      <c r="AU9" s="130">
        <v>11585000</v>
      </c>
      <c r="AV9" s="130">
        <v>11368000</v>
      </c>
      <c r="AW9" s="130">
        <v>11445000</v>
      </c>
      <c r="AX9" s="130">
        <v>10661000</v>
      </c>
      <c r="AY9" s="130">
        <v>11984000</v>
      </c>
      <c r="AZ9" s="130">
        <v>9982000</v>
      </c>
      <c r="BA9" s="130">
        <v>9338000</v>
      </c>
      <c r="BB9" s="130">
        <v>10493000</v>
      </c>
      <c r="BC9" s="130">
        <v>11018000</v>
      </c>
      <c r="BD9" s="130">
        <v>11844000</v>
      </c>
      <c r="BE9" s="130">
        <v>11207000</v>
      </c>
      <c r="BF9" s="130">
        <v>11529000</v>
      </c>
      <c r="BG9" s="130">
        <v>11585000</v>
      </c>
      <c r="BH9" s="130">
        <v>11368000</v>
      </c>
      <c r="BI9" s="130">
        <v>11445000</v>
      </c>
      <c r="BJ9" s="130">
        <v>10661000</v>
      </c>
      <c r="BK9" s="130">
        <v>11984000</v>
      </c>
      <c r="BL9" s="130">
        <v>9982000</v>
      </c>
      <c r="BM9" s="130">
        <v>9338000</v>
      </c>
      <c r="BN9" s="130">
        <v>10493000</v>
      </c>
      <c r="BO9" s="130">
        <v>11018000</v>
      </c>
      <c r="BP9" s="130">
        <v>11844000</v>
      </c>
      <c r="BQ9" s="130">
        <v>11207000</v>
      </c>
      <c r="BR9" s="130">
        <v>11529000</v>
      </c>
      <c r="BS9" s="130">
        <v>11585000</v>
      </c>
      <c r="BT9" s="130">
        <v>11368000</v>
      </c>
      <c r="BU9" s="130">
        <v>11445000</v>
      </c>
      <c r="BV9" s="130">
        <v>10661000</v>
      </c>
      <c r="BW9" s="130">
        <v>11984000</v>
      </c>
      <c r="BX9" s="130">
        <v>9982000</v>
      </c>
      <c r="BY9" s="132">
        <f>SUM(E9:P9)</f>
        <v>103439000</v>
      </c>
      <c r="BZ9" s="132">
        <f>SUM(Q9:AB9)</f>
        <v>132454000</v>
      </c>
      <c r="CA9" s="132">
        <f>SUM(AC9:AN9)</f>
        <v>132454000</v>
      </c>
      <c r="CB9" s="132">
        <f>SUM(AO9:AZ9)</f>
        <v>132454000</v>
      </c>
      <c r="CC9" s="132">
        <f>SUM(BA9:BL9)</f>
        <v>132454000</v>
      </c>
      <c r="CD9" s="132">
        <f>SUM(BM9:BX9)</f>
        <v>132454000</v>
      </c>
    </row>
    <row r="10" spans="1:85" s="98" customFormat="1" outlineLevel="2">
      <c r="A10" s="10">
        <v>3</v>
      </c>
      <c r="B10" s="10">
        <v>55</v>
      </c>
      <c r="C10" s="10" t="s">
        <v>50</v>
      </c>
      <c r="D10" s="131" t="s">
        <v>50</v>
      </c>
      <c r="E10" s="121">
        <v>103107526</v>
      </c>
      <c r="F10" s="121">
        <v>104626490</v>
      </c>
      <c r="G10" s="121">
        <v>99535801</v>
      </c>
      <c r="H10" s="121">
        <v>100957446</v>
      </c>
      <c r="I10" s="121">
        <v>106995142</v>
      </c>
      <c r="J10" s="121">
        <v>113435710</v>
      </c>
      <c r="K10" s="121">
        <v>104130400</v>
      </c>
      <c r="L10" s="121">
        <v>105119640</v>
      </c>
      <c r="M10" s="121">
        <v>112534601</v>
      </c>
      <c r="N10" s="121">
        <v>105835373</v>
      </c>
      <c r="O10" s="121">
        <v>91583554</v>
      </c>
      <c r="P10" s="121">
        <v>110494363</v>
      </c>
      <c r="Q10" s="121">
        <v>98033507</v>
      </c>
      <c r="R10" s="121">
        <v>92889312</v>
      </c>
      <c r="S10" s="121">
        <v>84497392</v>
      </c>
      <c r="T10" s="121">
        <v>110530734</v>
      </c>
      <c r="U10" s="121">
        <v>99250986</v>
      </c>
      <c r="V10" s="121">
        <v>110565186</v>
      </c>
      <c r="W10" s="121">
        <v>105942651</v>
      </c>
      <c r="X10" s="121">
        <v>112960022</v>
      </c>
      <c r="Y10" s="121">
        <v>109328035</v>
      </c>
      <c r="Z10" s="121">
        <v>105835373</v>
      </c>
      <c r="AA10" s="121">
        <v>91583554</v>
      </c>
      <c r="AB10" s="121">
        <v>110494363</v>
      </c>
      <c r="AC10" s="121">
        <v>98033507</v>
      </c>
      <c r="AD10" s="121">
        <v>92889312</v>
      </c>
      <c r="AE10" s="121">
        <v>84497392</v>
      </c>
      <c r="AF10" s="121">
        <v>110530734</v>
      </c>
      <c r="AG10" s="121">
        <v>99250986</v>
      </c>
      <c r="AH10" s="121">
        <v>110565186</v>
      </c>
      <c r="AI10" s="121">
        <v>105942651</v>
      </c>
      <c r="AJ10" s="121">
        <v>112960022</v>
      </c>
      <c r="AK10" s="121">
        <v>109328035</v>
      </c>
      <c r="AL10" s="121">
        <v>105835373</v>
      </c>
      <c r="AM10" s="121">
        <v>91583554</v>
      </c>
      <c r="AN10" s="121">
        <v>110494363</v>
      </c>
      <c r="AO10" s="130">
        <v>98033507</v>
      </c>
      <c r="AP10" s="130">
        <v>92889312</v>
      </c>
      <c r="AQ10" s="130">
        <v>84497392</v>
      </c>
      <c r="AR10" s="130">
        <v>110530734</v>
      </c>
      <c r="AS10" s="130">
        <v>99250986</v>
      </c>
      <c r="AT10" s="130">
        <v>110565186</v>
      </c>
      <c r="AU10" s="130">
        <v>105942651</v>
      </c>
      <c r="AV10" s="130">
        <v>112960022</v>
      </c>
      <c r="AW10" s="130">
        <v>109328035</v>
      </c>
      <c r="AX10" s="130">
        <v>105835373</v>
      </c>
      <c r="AY10" s="130">
        <v>91583554</v>
      </c>
      <c r="AZ10" s="130">
        <v>110494363</v>
      </c>
      <c r="BA10" s="130">
        <v>98033507</v>
      </c>
      <c r="BB10" s="130">
        <v>92889312</v>
      </c>
      <c r="BC10" s="130">
        <v>84497392</v>
      </c>
      <c r="BD10" s="130">
        <v>110530734</v>
      </c>
      <c r="BE10" s="130">
        <v>99250986</v>
      </c>
      <c r="BF10" s="130">
        <v>110565186</v>
      </c>
      <c r="BG10" s="130">
        <v>105942651</v>
      </c>
      <c r="BH10" s="130">
        <v>112960022</v>
      </c>
      <c r="BI10" s="130">
        <v>109328035</v>
      </c>
      <c r="BJ10" s="130">
        <v>105835373</v>
      </c>
      <c r="BK10" s="130">
        <v>91583554</v>
      </c>
      <c r="BL10" s="130">
        <v>110494363</v>
      </c>
      <c r="BM10" s="130">
        <v>98033507</v>
      </c>
      <c r="BN10" s="130">
        <v>92889312</v>
      </c>
      <c r="BO10" s="130">
        <v>84497392</v>
      </c>
      <c r="BP10" s="130">
        <v>110530734</v>
      </c>
      <c r="BQ10" s="130">
        <v>99250986</v>
      </c>
      <c r="BR10" s="130">
        <v>110565186</v>
      </c>
      <c r="BS10" s="130">
        <v>105942651</v>
      </c>
      <c r="BT10" s="130">
        <v>112960022</v>
      </c>
      <c r="BU10" s="130">
        <v>109328035</v>
      </c>
      <c r="BV10" s="130">
        <v>105835373</v>
      </c>
      <c r="BW10" s="130">
        <v>91583554</v>
      </c>
      <c r="BX10" s="130">
        <v>110494363</v>
      </c>
      <c r="BY10" s="132">
        <f>SUM(E10:P10)</f>
        <v>1258356046</v>
      </c>
      <c r="BZ10" s="132">
        <f>SUM(Q10:AB10)</f>
        <v>1231911115</v>
      </c>
      <c r="CA10" s="132">
        <f>SUM(AC10:AN10)</f>
        <v>1231911115</v>
      </c>
      <c r="CB10" s="132">
        <f>SUM(AO10:AZ10)</f>
        <v>1231911115</v>
      </c>
      <c r="CC10" s="132">
        <f>SUM(BA10:BL10)</f>
        <v>1231911115</v>
      </c>
      <c r="CD10" s="132">
        <f>SUM(BM10:BX10)</f>
        <v>1231911115</v>
      </c>
    </row>
    <row r="11" spans="1:85" s="98" customFormat="1" outlineLevel="1">
      <c r="A11" s="10"/>
      <c r="B11" s="10"/>
      <c r="C11" s="10"/>
      <c r="D11" s="137" t="s">
        <v>399</v>
      </c>
      <c r="E11" s="136">
        <f t="shared" ref="E11:AJ11" si="6">SUBTOTAL(9,E9:E10)</f>
        <v>110240526</v>
      </c>
      <c r="F11" s="136">
        <f t="shared" si="6"/>
        <v>111451490</v>
      </c>
      <c r="G11" s="136">
        <f t="shared" si="6"/>
        <v>105968801</v>
      </c>
      <c r="H11" s="136">
        <f t="shared" si="6"/>
        <v>107782446</v>
      </c>
      <c r="I11" s="136">
        <f t="shared" si="6"/>
        <v>115024142</v>
      </c>
      <c r="J11" s="136">
        <f t="shared" si="6"/>
        <v>122248710</v>
      </c>
      <c r="K11" s="136">
        <f t="shared" si="6"/>
        <v>113160400</v>
      </c>
      <c r="L11" s="136">
        <f t="shared" si="6"/>
        <v>114184640</v>
      </c>
      <c r="M11" s="136">
        <f t="shared" si="6"/>
        <v>121193601</v>
      </c>
      <c r="N11" s="136">
        <f t="shared" si="6"/>
        <v>116496373</v>
      </c>
      <c r="O11" s="136">
        <f t="shared" si="6"/>
        <v>103567554</v>
      </c>
      <c r="P11" s="136">
        <f t="shared" si="6"/>
        <v>120476363</v>
      </c>
      <c r="Q11" s="136">
        <f t="shared" si="6"/>
        <v>107371507</v>
      </c>
      <c r="R11" s="136">
        <f t="shared" si="6"/>
        <v>103382312</v>
      </c>
      <c r="S11" s="136">
        <f t="shared" si="6"/>
        <v>95515392</v>
      </c>
      <c r="T11" s="136">
        <f t="shared" si="6"/>
        <v>122374734</v>
      </c>
      <c r="U11" s="136">
        <f t="shared" si="6"/>
        <v>110457986</v>
      </c>
      <c r="V11" s="136">
        <f t="shared" si="6"/>
        <v>122094186</v>
      </c>
      <c r="W11" s="136">
        <f t="shared" si="6"/>
        <v>117527651</v>
      </c>
      <c r="X11" s="136">
        <f t="shared" si="6"/>
        <v>124328022</v>
      </c>
      <c r="Y11" s="136">
        <f t="shared" si="6"/>
        <v>120773035</v>
      </c>
      <c r="Z11" s="136">
        <f t="shared" si="6"/>
        <v>116496373</v>
      </c>
      <c r="AA11" s="136">
        <f t="shared" si="6"/>
        <v>103567554</v>
      </c>
      <c r="AB11" s="136">
        <f t="shared" si="6"/>
        <v>120476363</v>
      </c>
      <c r="AC11" s="136">
        <f t="shared" si="6"/>
        <v>107371507</v>
      </c>
      <c r="AD11" s="136">
        <f t="shared" si="6"/>
        <v>103382312</v>
      </c>
      <c r="AE11" s="136">
        <f t="shared" si="6"/>
        <v>95515392</v>
      </c>
      <c r="AF11" s="136">
        <f t="shared" si="6"/>
        <v>122374734</v>
      </c>
      <c r="AG11" s="136">
        <f t="shared" si="6"/>
        <v>110457986</v>
      </c>
      <c r="AH11" s="136">
        <f t="shared" si="6"/>
        <v>122094186</v>
      </c>
      <c r="AI11" s="136">
        <f t="shared" si="6"/>
        <v>117527651</v>
      </c>
      <c r="AJ11" s="136">
        <f t="shared" si="6"/>
        <v>124328022</v>
      </c>
      <c r="AK11" s="136">
        <f t="shared" ref="AK11:BP11" si="7">SUBTOTAL(9,AK9:AK10)</f>
        <v>120773035</v>
      </c>
      <c r="AL11" s="136">
        <f t="shared" si="7"/>
        <v>116496373</v>
      </c>
      <c r="AM11" s="136">
        <f t="shared" si="7"/>
        <v>103567554</v>
      </c>
      <c r="AN11" s="136">
        <f t="shared" si="7"/>
        <v>120476363</v>
      </c>
      <c r="AO11" s="135">
        <f t="shared" si="7"/>
        <v>107371507</v>
      </c>
      <c r="AP11" s="135">
        <f t="shared" si="7"/>
        <v>103382312</v>
      </c>
      <c r="AQ11" s="135">
        <f t="shared" si="7"/>
        <v>95515392</v>
      </c>
      <c r="AR11" s="135">
        <f t="shared" si="7"/>
        <v>122374734</v>
      </c>
      <c r="AS11" s="135">
        <f t="shared" si="7"/>
        <v>110457986</v>
      </c>
      <c r="AT11" s="135">
        <f t="shared" si="7"/>
        <v>122094186</v>
      </c>
      <c r="AU11" s="135">
        <f t="shared" si="7"/>
        <v>117527651</v>
      </c>
      <c r="AV11" s="135">
        <f t="shared" si="7"/>
        <v>124328022</v>
      </c>
      <c r="AW11" s="135">
        <f t="shared" si="7"/>
        <v>120773035</v>
      </c>
      <c r="AX11" s="135">
        <f t="shared" si="7"/>
        <v>116496373</v>
      </c>
      <c r="AY11" s="135">
        <f t="shared" si="7"/>
        <v>103567554</v>
      </c>
      <c r="AZ11" s="135">
        <f t="shared" si="7"/>
        <v>120476363</v>
      </c>
      <c r="BA11" s="135">
        <f t="shared" si="7"/>
        <v>107371507</v>
      </c>
      <c r="BB11" s="135">
        <f t="shared" si="7"/>
        <v>103382312</v>
      </c>
      <c r="BC11" s="135">
        <f t="shared" si="7"/>
        <v>95515392</v>
      </c>
      <c r="BD11" s="135">
        <f t="shared" si="7"/>
        <v>122374734</v>
      </c>
      <c r="BE11" s="135">
        <f t="shared" si="7"/>
        <v>110457986</v>
      </c>
      <c r="BF11" s="135">
        <f t="shared" si="7"/>
        <v>122094186</v>
      </c>
      <c r="BG11" s="135">
        <f t="shared" si="7"/>
        <v>117527651</v>
      </c>
      <c r="BH11" s="135">
        <f t="shared" si="7"/>
        <v>124328022</v>
      </c>
      <c r="BI11" s="135">
        <f t="shared" si="7"/>
        <v>120773035</v>
      </c>
      <c r="BJ11" s="135">
        <f t="shared" si="7"/>
        <v>116496373</v>
      </c>
      <c r="BK11" s="135">
        <f t="shared" si="7"/>
        <v>103567554</v>
      </c>
      <c r="BL11" s="135">
        <f t="shared" si="7"/>
        <v>120476363</v>
      </c>
      <c r="BM11" s="135">
        <f t="shared" si="7"/>
        <v>107371507</v>
      </c>
      <c r="BN11" s="135">
        <f t="shared" si="7"/>
        <v>103382312</v>
      </c>
      <c r="BO11" s="135">
        <f t="shared" si="7"/>
        <v>95515392</v>
      </c>
      <c r="BP11" s="135">
        <f t="shared" si="7"/>
        <v>122374734</v>
      </c>
      <c r="BQ11" s="135">
        <f t="shared" ref="BQ11:CD11" si="8">SUBTOTAL(9,BQ9:BQ10)</f>
        <v>110457986</v>
      </c>
      <c r="BR11" s="135">
        <f t="shared" si="8"/>
        <v>122094186</v>
      </c>
      <c r="BS11" s="135">
        <f t="shared" si="8"/>
        <v>117527651</v>
      </c>
      <c r="BT11" s="135">
        <f t="shared" si="8"/>
        <v>124328022</v>
      </c>
      <c r="BU11" s="135">
        <f t="shared" si="8"/>
        <v>120773035</v>
      </c>
      <c r="BV11" s="135">
        <f t="shared" si="8"/>
        <v>116496373</v>
      </c>
      <c r="BW11" s="135">
        <f t="shared" si="8"/>
        <v>103567554</v>
      </c>
      <c r="BX11" s="135">
        <f t="shared" si="8"/>
        <v>120476363</v>
      </c>
      <c r="BY11" s="134">
        <f t="shared" si="8"/>
        <v>1361795046</v>
      </c>
      <c r="BZ11" s="134">
        <f t="shared" si="8"/>
        <v>1364365115</v>
      </c>
      <c r="CA11" s="134">
        <f t="shared" si="8"/>
        <v>1364365115</v>
      </c>
      <c r="CB11" s="134">
        <f t="shared" si="8"/>
        <v>1364365115</v>
      </c>
      <c r="CC11" s="134">
        <f t="shared" si="8"/>
        <v>1364365115</v>
      </c>
      <c r="CD11" s="134">
        <f t="shared" si="8"/>
        <v>1364365115</v>
      </c>
      <c r="CF11" s="145">
        <f>SUM(Z11:AK11)</f>
        <v>1364365115</v>
      </c>
      <c r="CG11" s="145">
        <f>SUM(AL11:AW11)</f>
        <v>1364365115</v>
      </c>
    </row>
    <row r="12" spans="1:85" s="98" customFormat="1" outlineLevel="2">
      <c r="A12" s="10">
        <v>2</v>
      </c>
      <c r="B12" s="10">
        <v>73</v>
      </c>
      <c r="C12" s="10" t="s">
        <v>398</v>
      </c>
      <c r="D12" s="131" t="s">
        <v>51</v>
      </c>
      <c r="E12" s="121">
        <v>9106400</v>
      </c>
      <c r="F12" s="121">
        <v>7590400</v>
      </c>
      <c r="G12" s="121">
        <v>8000657</v>
      </c>
      <c r="H12" s="121">
        <v>9508160</v>
      </c>
      <c r="I12" s="121">
        <v>9393240</v>
      </c>
      <c r="J12" s="121">
        <v>8986200</v>
      </c>
      <c r="K12" s="121">
        <v>8557520</v>
      </c>
      <c r="L12" s="121">
        <v>7904320</v>
      </c>
      <c r="M12" s="121">
        <v>8736200</v>
      </c>
      <c r="N12" s="121">
        <v>8678925</v>
      </c>
      <c r="O12" s="121">
        <v>7374600</v>
      </c>
      <c r="P12" s="121">
        <v>7150560</v>
      </c>
      <c r="Q12" s="121">
        <v>6439600</v>
      </c>
      <c r="R12" s="121">
        <v>5756840</v>
      </c>
      <c r="S12" s="121">
        <v>6044560</v>
      </c>
      <c r="T12" s="121">
        <v>6048839</v>
      </c>
      <c r="U12" s="121">
        <v>6109080</v>
      </c>
      <c r="V12" s="121">
        <v>6465920</v>
      </c>
      <c r="W12" s="121">
        <v>7482280</v>
      </c>
      <c r="X12" s="121">
        <v>5669080</v>
      </c>
      <c r="Y12" s="121">
        <v>5689200</v>
      </c>
      <c r="Z12" s="121">
        <v>5767012</v>
      </c>
      <c r="AA12" s="121">
        <v>5078619</v>
      </c>
      <c r="AB12" s="121">
        <v>4975493</v>
      </c>
      <c r="AC12" s="121">
        <v>4271501</v>
      </c>
      <c r="AD12" s="121">
        <v>4449731</v>
      </c>
      <c r="AE12" s="121">
        <v>4576076</v>
      </c>
      <c r="AF12" s="121">
        <v>5493014</v>
      </c>
      <c r="AG12" s="121">
        <v>5402307</v>
      </c>
      <c r="AH12" s="121">
        <v>5365475</v>
      </c>
      <c r="AI12" s="121">
        <v>6477861</v>
      </c>
      <c r="AJ12" s="121">
        <v>5086933</v>
      </c>
      <c r="AK12" s="121">
        <v>5411864</v>
      </c>
      <c r="AL12" s="121">
        <v>5718178</v>
      </c>
      <c r="AM12" s="121">
        <v>5074077</v>
      </c>
      <c r="AN12" s="121">
        <v>4986152</v>
      </c>
      <c r="AO12" s="130">
        <v>4287845</v>
      </c>
      <c r="AP12" s="130">
        <v>4465053</v>
      </c>
      <c r="AQ12" s="130">
        <v>4588804</v>
      </c>
      <c r="AR12" s="130">
        <v>5508871</v>
      </c>
      <c r="AS12" s="130">
        <v>5415311</v>
      </c>
      <c r="AT12" s="130">
        <v>5376722</v>
      </c>
      <c r="AU12" s="130">
        <v>6490056</v>
      </c>
      <c r="AV12" s="130">
        <v>5098465</v>
      </c>
      <c r="AW12" s="130">
        <v>5428778</v>
      </c>
      <c r="AX12" s="130">
        <v>5745102</v>
      </c>
      <c r="AY12" s="130">
        <v>5109967</v>
      </c>
      <c r="AZ12" s="130">
        <v>5033705</v>
      </c>
      <c r="BA12" s="130">
        <v>4329593</v>
      </c>
      <c r="BB12" s="130">
        <v>4505591</v>
      </c>
      <c r="BC12" s="130">
        <v>4624336</v>
      </c>
      <c r="BD12" s="130">
        <v>5543969</v>
      </c>
      <c r="BE12" s="130">
        <v>5439147</v>
      </c>
      <c r="BF12" s="130">
        <v>5387245</v>
      </c>
      <c r="BG12" s="130">
        <v>6507642</v>
      </c>
      <c r="BH12" s="130">
        <v>5111977</v>
      </c>
      <c r="BI12" s="130">
        <v>5444994</v>
      </c>
      <c r="BJ12" s="130">
        <v>5765069</v>
      </c>
      <c r="BK12" s="130">
        <v>5138124</v>
      </c>
      <c r="BL12" s="130">
        <v>5069255</v>
      </c>
      <c r="BM12" s="130">
        <v>4444709</v>
      </c>
      <c r="BN12" s="130">
        <v>4543186</v>
      </c>
      <c r="BO12" s="130">
        <v>4652122</v>
      </c>
      <c r="BP12" s="130">
        <v>5563233</v>
      </c>
      <c r="BQ12" s="130">
        <v>5470005</v>
      </c>
      <c r="BR12" s="130">
        <v>5430270</v>
      </c>
      <c r="BS12" s="130">
        <v>6520363</v>
      </c>
      <c r="BT12" s="130">
        <v>5384081</v>
      </c>
      <c r="BU12" s="130">
        <v>5732488</v>
      </c>
      <c r="BV12" s="130">
        <v>6083897</v>
      </c>
      <c r="BW12" s="130">
        <v>5406039</v>
      </c>
      <c r="BX12" s="130">
        <v>5378289</v>
      </c>
      <c r="BY12" s="132">
        <f>SUM(E12:P12)</f>
        <v>100987182</v>
      </c>
      <c r="BZ12" s="132">
        <f>SUM(Q12:AB12)</f>
        <v>71526523</v>
      </c>
      <c r="CA12" s="132">
        <f>SUM(AC12:AN12)</f>
        <v>62313169</v>
      </c>
      <c r="CB12" s="132">
        <f>SUM(AO12:AZ12)</f>
        <v>62548679</v>
      </c>
      <c r="CC12" s="132">
        <f>SUM(BA12:BL12)</f>
        <v>62866942</v>
      </c>
      <c r="CD12" s="132">
        <f>SUM(BM12:BX12)</f>
        <v>64608682</v>
      </c>
    </row>
    <row r="13" spans="1:85" s="98" customFormat="1" outlineLevel="2">
      <c r="A13" s="10">
        <v>3</v>
      </c>
      <c r="B13" s="10">
        <v>73</v>
      </c>
      <c r="C13" s="10" t="s">
        <v>398</v>
      </c>
      <c r="D13" s="131" t="s">
        <v>51</v>
      </c>
      <c r="E13" s="121">
        <v>1997300</v>
      </c>
      <c r="F13" s="121">
        <v>1946660</v>
      </c>
      <c r="G13" s="121">
        <v>1910400</v>
      </c>
      <c r="H13" s="121">
        <v>1897120</v>
      </c>
      <c r="I13" s="121">
        <v>1860900</v>
      </c>
      <c r="J13" s="121">
        <v>1417700</v>
      </c>
      <c r="K13" s="121">
        <v>1862840</v>
      </c>
      <c r="L13" s="121">
        <v>1623800</v>
      </c>
      <c r="M13" s="121">
        <v>1632820</v>
      </c>
      <c r="N13" s="121">
        <v>1538020</v>
      </c>
      <c r="O13" s="121">
        <v>1618702</v>
      </c>
      <c r="P13" s="121">
        <v>1705180</v>
      </c>
      <c r="Q13" s="121">
        <v>1594260</v>
      </c>
      <c r="R13" s="121">
        <v>1888360</v>
      </c>
      <c r="S13" s="121">
        <v>1745520</v>
      </c>
      <c r="T13" s="121">
        <v>1815600</v>
      </c>
      <c r="U13" s="121">
        <v>1796160</v>
      </c>
      <c r="V13" s="121">
        <v>1775660</v>
      </c>
      <c r="W13" s="121">
        <v>1783680</v>
      </c>
      <c r="X13" s="121">
        <v>1697000</v>
      </c>
      <c r="Y13" s="121">
        <v>1774360</v>
      </c>
      <c r="Z13" s="121">
        <v>1546866</v>
      </c>
      <c r="AA13" s="121">
        <v>1841027</v>
      </c>
      <c r="AB13" s="121">
        <v>1163394</v>
      </c>
      <c r="AC13" s="121">
        <v>1523395</v>
      </c>
      <c r="AD13" s="121">
        <v>1982403</v>
      </c>
      <c r="AE13" s="121">
        <v>2225379</v>
      </c>
      <c r="AF13" s="121">
        <v>1813927</v>
      </c>
      <c r="AG13" s="121">
        <v>1694316</v>
      </c>
      <c r="AH13" s="121">
        <v>1434958</v>
      </c>
      <c r="AI13" s="121">
        <v>1667921</v>
      </c>
      <c r="AJ13" s="121">
        <v>1463540</v>
      </c>
      <c r="AK13" s="121">
        <v>1610247</v>
      </c>
      <c r="AL13" s="121">
        <v>1499907</v>
      </c>
      <c r="AM13" s="121">
        <v>1785383</v>
      </c>
      <c r="AN13" s="121">
        <v>1105892</v>
      </c>
      <c r="AO13" s="130">
        <v>1415488</v>
      </c>
      <c r="AP13" s="130">
        <v>1825988</v>
      </c>
      <c r="AQ13" s="130">
        <v>2057118</v>
      </c>
      <c r="AR13" s="130">
        <v>1637044</v>
      </c>
      <c r="AS13" s="130">
        <v>1529831</v>
      </c>
      <c r="AT13" s="130">
        <v>1276736</v>
      </c>
      <c r="AU13" s="130">
        <v>1492830</v>
      </c>
      <c r="AV13" s="130">
        <v>1302649</v>
      </c>
      <c r="AW13" s="130">
        <v>1574211</v>
      </c>
      <c r="AX13" s="130">
        <v>1465209</v>
      </c>
      <c r="AY13" s="130">
        <v>1765365</v>
      </c>
      <c r="AZ13" s="130">
        <v>1044550</v>
      </c>
      <c r="BA13" s="130">
        <v>1423396</v>
      </c>
      <c r="BB13" s="130">
        <v>1848149</v>
      </c>
      <c r="BC13" s="130">
        <v>2105841</v>
      </c>
      <c r="BD13" s="130">
        <v>1660871</v>
      </c>
      <c r="BE13" s="130">
        <v>1556587</v>
      </c>
      <c r="BF13" s="130">
        <v>1302798</v>
      </c>
      <c r="BG13" s="130">
        <v>1540564</v>
      </c>
      <c r="BH13" s="130">
        <v>1340042</v>
      </c>
      <c r="BI13" s="130">
        <v>1485829</v>
      </c>
      <c r="BJ13" s="130">
        <v>1385088</v>
      </c>
      <c r="BK13" s="130">
        <v>1688207</v>
      </c>
      <c r="BL13" s="130">
        <v>992521</v>
      </c>
      <c r="BM13" s="130">
        <v>1379245</v>
      </c>
      <c r="BN13" s="130">
        <v>1788202</v>
      </c>
      <c r="BO13" s="130">
        <v>2041541</v>
      </c>
      <c r="BP13" s="130">
        <v>1602033</v>
      </c>
      <c r="BQ13" s="130">
        <v>1502584</v>
      </c>
      <c r="BR13" s="130">
        <v>1172157</v>
      </c>
      <c r="BS13" s="130">
        <v>1390367</v>
      </c>
      <c r="BT13" s="130">
        <v>1214337</v>
      </c>
      <c r="BU13" s="130">
        <v>1342798</v>
      </c>
      <c r="BV13" s="130">
        <v>1258702</v>
      </c>
      <c r="BW13" s="130">
        <v>1534256</v>
      </c>
      <c r="BX13" s="130">
        <v>893151</v>
      </c>
      <c r="BY13" s="132">
        <f>SUM(E13:P13)</f>
        <v>21011442</v>
      </c>
      <c r="BZ13" s="132">
        <f>SUM(Q13:AB13)</f>
        <v>20421887</v>
      </c>
      <c r="CA13" s="132">
        <f>SUM(AC13:AN13)</f>
        <v>19807268</v>
      </c>
      <c r="CB13" s="132">
        <f>SUM(AO13:AZ13)</f>
        <v>18387019</v>
      </c>
      <c r="CC13" s="132">
        <f>SUM(BA13:BL13)</f>
        <v>18329893</v>
      </c>
      <c r="CD13" s="132">
        <f>SUM(BM13:BX13)</f>
        <v>17119373</v>
      </c>
    </row>
    <row r="14" spans="1:85" s="98" customFormat="1" outlineLevel="2">
      <c r="A14" s="10">
        <v>2</v>
      </c>
      <c r="B14" s="10">
        <v>74</v>
      </c>
      <c r="C14" s="10" t="s">
        <v>397</v>
      </c>
      <c r="D14" s="131" t="s">
        <v>51</v>
      </c>
      <c r="E14" s="121">
        <v>2607060</v>
      </c>
      <c r="F14" s="121">
        <v>2317740</v>
      </c>
      <c r="G14" s="121">
        <v>2366240</v>
      </c>
      <c r="H14" s="121">
        <v>2371620</v>
      </c>
      <c r="I14" s="121">
        <v>2468340</v>
      </c>
      <c r="J14" s="121">
        <v>3461820</v>
      </c>
      <c r="K14" s="121">
        <v>3455760</v>
      </c>
      <c r="L14" s="121">
        <v>3425300</v>
      </c>
      <c r="M14" s="121">
        <v>3546240</v>
      </c>
      <c r="N14" s="121">
        <v>3511700</v>
      </c>
      <c r="O14" s="121">
        <v>3371860</v>
      </c>
      <c r="P14" s="121">
        <v>4117860</v>
      </c>
      <c r="Q14" s="121">
        <v>4094360</v>
      </c>
      <c r="R14" s="121">
        <v>3648860</v>
      </c>
      <c r="S14" s="121">
        <v>3395360</v>
      </c>
      <c r="T14" s="121">
        <v>3664060</v>
      </c>
      <c r="U14" s="121">
        <v>3915571</v>
      </c>
      <c r="V14" s="121">
        <v>4247445</v>
      </c>
      <c r="W14" s="121">
        <v>4405360</v>
      </c>
      <c r="X14" s="121">
        <v>4165860</v>
      </c>
      <c r="Y14" s="121">
        <v>4296620</v>
      </c>
      <c r="Z14" s="121">
        <v>3932330</v>
      </c>
      <c r="AA14" s="121">
        <v>3762625</v>
      </c>
      <c r="AB14" s="121">
        <v>3979561</v>
      </c>
      <c r="AC14" s="121">
        <v>3772030</v>
      </c>
      <c r="AD14" s="121">
        <v>3760500</v>
      </c>
      <c r="AE14" s="121">
        <v>3427308</v>
      </c>
      <c r="AF14" s="121">
        <v>3697079</v>
      </c>
      <c r="AG14" s="121">
        <v>3847300</v>
      </c>
      <c r="AH14" s="121">
        <v>3916184</v>
      </c>
      <c r="AI14" s="121">
        <v>4237762</v>
      </c>
      <c r="AJ14" s="121">
        <v>3945747</v>
      </c>
      <c r="AK14" s="121">
        <v>4087169</v>
      </c>
      <c r="AL14" s="121">
        <v>3899032</v>
      </c>
      <c r="AM14" s="121">
        <v>3759260</v>
      </c>
      <c r="AN14" s="121">
        <v>3988086</v>
      </c>
      <c r="AO14" s="130">
        <v>3786463</v>
      </c>
      <c r="AP14" s="130">
        <v>3773448</v>
      </c>
      <c r="AQ14" s="130">
        <v>3436841</v>
      </c>
      <c r="AR14" s="130">
        <v>3707752</v>
      </c>
      <c r="AS14" s="130">
        <v>3856561</v>
      </c>
      <c r="AT14" s="130">
        <v>3924393</v>
      </c>
      <c r="AU14" s="130">
        <v>4245740</v>
      </c>
      <c r="AV14" s="130">
        <v>3954692</v>
      </c>
      <c r="AW14" s="130">
        <v>4099943</v>
      </c>
      <c r="AX14" s="130">
        <v>3917390</v>
      </c>
      <c r="AY14" s="130">
        <v>3785851</v>
      </c>
      <c r="AZ14" s="130">
        <v>4026120</v>
      </c>
      <c r="BA14" s="130">
        <v>3823329</v>
      </c>
      <c r="BB14" s="130">
        <v>3807707</v>
      </c>
      <c r="BC14" s="130">
        <v>3463453</v>
      </c>
      <c r="BD14" s="130">
        <v>3731375</v>
      </c>
      <c r="BE14" s="130">
        <v>3873536</v>
      </c>
      <c r="BF14" s="130">
        <v>3932073</v>
      </c>
      <c r="BG14" s="130">
        <v>4257245</v>
      </c>
      <c r="BH14" s="130">
        <v>3965173</v>
      </c>
      <c r="BI14" s="130">
        <v>4112190</v>
      </c>
      <c r="BJ14" s="130">
        <v>3931005</v>
      </c>
      <c r="BK14" s="130">
        <v>3806712</v>
      </c>
      <c r="BL14" s="130">
        <v>4054555</v>
      </c>
      <c r="BM14" s="130">
        <v>3924985</v>
      </c>
      <c r="BN14" s="130">
        <v>3839479</v>
      </c>
      <c r="BO14" s="130">
        <v>3484263</v>
      </c>
      <c r="BP14" s="130">
        <v>3744340</v>
      </c>
      <c r="BQ14" s="130">
        <v>3895512</v>
      </c>
      <c r="BR14" s="130">
        <v>3963477</v>
      </c>
      <c r="BS14" s="130">
        <v>4265566</v>
      </c>
      <c r="BT14" s="130">
        <v>3956432</v>
      </c>
      <c r="BU14" s="130">
        <v>4101454</v>
      </c>
      <c r="BV14" s="130">
        <v>3930066</v>
      </c>
      <c r="BW14" s="130">
        <v>3794403</v>
      </c>
      <c r="BX14" s="130">
        <v>4075323</v>
      </c>
      <c r="BY14" s="132">
        <f>SUM(E14:P14)</f>
        <v>37021540</v>
      </c>
      <c r="BZ14" s="132">
        <f>SUM(Q14:AB14)</f>
        <v>47508012</v>
      </c>
      <c r="CA14" s="132">
        <f>SUM(AC14:AN14)</f>
        <v>46337457</v>
      </c>
      <c r="CB14" s="132">
        <f>SUM(AO14:AZ14)</f>
        <v>46515194</v>
      </c>
      <c r="CC14" s="132">
        <f>SUM(BA14:BL14)</f>
        <v>46758353</v>
      </c>
      <c r="CD14" s="132">
        <f>SUM(BM14:BX14)</f>
        <v>46975300</v>
      </c>
    </row>
    <row r="15" spans="1:85" s="98" customFormat="1" outlineLevel="2">
      <c r="A15" s="10">
        <v>3</v>
      </c>
      <c r="B15" s="10">
        <v>74</v>
      </c>
      <c r="C15" s="10" t="s">
        <v>397</v>
      </c>
      <c r="D15" s="131" t="s">
        <v>51</v>
      </c>
      <c r="E15" s="121">
        <v>985360</v>
      </c>
      <c r="F15" s="121">
        <v>884500</v>
      </c>
      <c r="G15" s="121">
        <v>883440</v>
      </c>
      <c r="H15" s="121">
        <v>892680</v>
      </c>
      <c r="I15" s="121">
        <v>962620</v>
      </c>
      <c r="J15" s="121">
        <v>910720</v>
      </c>
      <c r="K15" s="121">
        <v>770620</v>
      </c>
      <c r="L15" s="121">
        <v>876200</v>
      </c>
      <c r="M15" s="121">
        <v>870880</v>
      </c>
      <c r="N15" s="121">
        <v>820660</v>
      </c>
      <c r="O15" s="121">
        <v>805480</v>
      </c>
      <c r="P15" s="121">
        <v>868520</v>
      </c>
      <c r="Q15" s="121">
        <v>904440</v>
      </c>
      <c r="R15" s="121">
        <v>779900</v>
      </c>
      <c r="S15" s="121">
        <v>748200</v>
      </c>
      <c r="T15" s="121">
        <v>1145400</v>
      </c>
      <c r="U15" s="121">
        <v>1197660</v>
      </c>
      <c r="V15" s="121">
        <v>1129260</v>
      </c>
      <c r="W15" s="121">
        <v>1223360</v>
      </c>
      <c r="X15" s="121">
        <v>1198980</v>
      </c>
      <c r="Y15" s="121">
        <v>1174080</v>
      </c>
      <c r="Z15" s="121">
        <v>1100507</v>
      </c>
      <c r="AA15" s="121">
        <v>1221481</v>
      </c>
      <c r="AB15" s="121">
        <v>790087</v>
      </c>
      <c r="AC15" s="121">
        <v>1152317</v>
      </c>
      <c r="AD15" s="121">
        <v>1091654</v>
      </c>
      <c r="AE15" s="121">
        <v>1393008</v>
      </c>
      <c r="AF15" s="121">
        <v>1144344</v>
      </c>
      <c r="AG15" s="121">
        <v>1129751</v>
      </c>
      <c r="AH15" s="121">
        <v>912585</v>
      </c>
      <c r="AI15" s="121">
        <v>1143965</v>
      </c>
      <c r="AJ15" s="121">
        <v>1034034</v>
      </c>
      <c r="AK15" s="121">
        <v>1065488</v>
      </c>
      <c r="AL15" s="121">
        <v>1067098</v>
      </c>
      <c r="AM15" s="121">
        <v>1184562</v>
      </c>
      <c r="AN15" s="121">
        <v>751037</v>
      </c>
      <c r="AO15" s="130">
        <v>1070694</v>
      </c>
      <c r="AP15" s="130">
        <v>1005520</v>
      </c>
      <c r="AQ15" s="130">
        <v>1287682</v>
      </c>
      <c r="AR15" s="130">
        <v>1032755</v>
      </c>
      <c r="AS15" s="130">
        <v>1020074</v>
      </c>
      <c r="AT15" s="130">
        <v>811961</v>
      </c>
      <c r="AU15" s="130">
        <v>1023877</v>
      </c>
      <c r="AV15" s="130">
        <v>920359</v>
      </c>
      <c r="AW15" s="130">
        <v>946948</v>
      </c>
      <c r="AX15" s="130">
        <v>947648</v>
      </c>
      <c r="AY15" s="130">
        <v>1064801</v>
      </c>
      <c r="AZ15" s="130">
        <v>644889</v>
      </c>
      <c r="BA15" s="130">
        <v>978797</v>
      </c>
      <c r="BB15" s="130">
        <v>925203</v>
      </c>
      <c r="BC15" s="130">
        <v>1198347</v>
      </c>
      <c r="BD15" s="130">
        <v>952533</v>
      </c>
      <c r="BE15" s="130">
        <v>943559</v>
      </c>
      <c r="BF15" s="130">
        <v>753214</v>
      </c>
      <c r="BG15" s="130">
        <v>960560</v>
      </c>
      <c r="BH15" s="130">
        <v>860708</v>
      </c>
      <c r="BI15" s="130">
        <v>893783</v>
      </c>
      <c r="BJ15" s="130">
        <v>895828</v>
      </c>
      <c r="BK15" s="130">
        <v>1018262</v>
      </c>
      <c r="BL15" s="130">
        <v>612767</v>
      </c>
      <c r="BM15" s="130">
        <v>948436</v>
      </c>
      <c r="BN15" s="130">
        <v>895193</v>
      </c>
      <c r="BO15" s="130">
        <v>1161756</v>
      </c>
      <c r="BP15" s="130">
        <v>918789</v>
      </c>
      <c r="BQ15" s="130">
        <v>910824</v>
      </c>
      <c r="BR15" s="130">
        <v>847105</v>
      </c>
      <c r="BS15" s="130">
        <v>1083638</v>
      </c>
      <c r="BT15" s="130">
        <v>974960</v>
      </c>
      <c r="BU15" s="130">
        <v>1009680</v>
      </c>
      <c r="BV15" s="130">
        <v>1017608</v>
      </c>
      <c r="BW15" s="130">
        <v>1156756</v>
      </c>
      <c r="BX15" s="130">
        <v>689272</v>
      </c>
      <c r="BY15" s="132">
        <f>SUM(E15:P15)</f>
        <v>10531680</v>
      </c>
      <c r="BZ15" s="132">
        <f>SUM(Q15:AB15)</f>
        <v>12613355</v>
      </c>
      <c r="CA15" s="132">
        <f>SUM(AC15:AN15)</f>
        <v>13069843</v>
      </c>
      <c r="CB15" s="132">
        <f>SUM(AO15:AZ15)</f>
        <v>11777208</v>
      </c>
      <c r="CC15" s="132">
        <f>SUM(BA15:BL15)</f>
        <v>10993561</v>
      </c>
      <c r="CD15" s="132">
        <f>SUM(BM15:BX15)</f>
        <v>11614017</v>
      </c>
    </row>
    <row r="16" spans="1:85" s="98" customFormat="1" outlineLevel="1">
      <c r="A16" s="10"/>
      <c r="B16" s="10"/>
      <c r="C16" s="10"/>
      <c r="D16" s="137" t="s">
        <v>396</v>
      </c>
      <c r="E16" s="136">
        <f t="shared" ref="E16:AJ16" si="9">SUBTOTAL(9,E12:E15)</f>
        <v>14696120</v>
      </c>
      <c r="F16" s="136">
        <f t="shared" si="9"/>
        <v>12739300</v>
      </c>
      <c r="G16" s="136">
        <f t="shared" si="9"/>
        <v>13160737</v>
      </c>
      <c r="H16" s="136">
        <f t="shared" si="9"/>
        <v>14669580</v>
      </c>
      <c r="I16" s="136">
        <f t="shared" si="9"/>
        <v>14685100</v>
      </c>
      <c r="J16" s="136">
        <f t="shared" si="9"/>
        <v>14776440</v>
      </c>
      <c r="K16" s="136">
        <f t="shared" si="9"/>
        <v>14646740</v>
      </c>
      <c r="L16" s="136">
        <f t="shared" si="9"/>
        <v>13829620</v>
      </c>
      <c r="M16" s="136">
        <f t="shared" si="9"/>
        <v>14786140</v>
      </c>
      <c r="N16" s="136">
        <f t="shared" si="9"/>
        <v>14549305</v>
      </c>
      <c r="O16" s="136">
        <f t="shared" si="9"/>
        <v>13170642</v>
      </c>
      <c r="P16" s="136">
        <f t="shared" si="9"/>
        <v>13842120</v>
      </c>
      <c r="Q16" s="136">
        <f t="shared" si="9"/>
        <v>13032660</v>
      </c>
      <c r="R16" s="136">
        <f t="shared" si="9"/>
        <v>12073960</v>
      </c>
      <c r="S16" s="136">
        <f t="shared" si="9"/>
        <v>11933640</v>
      </c>
      <c r="T16" s="136">
        <f t="shared" si="9"/>
        <v>12673899</v>
      </c>
      <c r="U16" s="136">
        <f t="shared" si="9"/>
        <v>13018471</v>
      </c>
      <c r="V16" s="136">
        <f t="shared" si="9"/>
        <v>13618285</v>
      </c>
      <c r="W16" s="136">
        <f t="shared" si="9"/>
        <v>14894680</v>
      </c>
      <c r="X16" s="136">
        <f t="shared" si="9"/>
        <v>12730920</v>
      </c>
      <c r="Y16" s="136">
        <f t="shared" si="9"/>
        <v>12934260</v>
      </c>
      <c r="Z16" s="136">
        <f t="shared" si="9"/>
        <v>12346715</v>
      </c>
      <c r="AA16" s="136">
        <f t="shared" si="9"/>
        <v>11903752</v>
      </c>
      <c r="AB16" s="136">
        <f t="shared" si="9"/>
        <v>10908535</v>
      </c>
      <c r="AC16" s="136">
        <f t="shared" si="9"/>
        <v>10719243</v>
      </c>
      <c r="AD16" s="136">
        <f t="shared" si="9"/>
        <v>11284288</v>
      </c>
      <c r="AE16" s="136">
        <f t="shared" si="9"/>
        <v>11621771</v>
      </c>
      <c r="AF16" s="136">
        <f t="shared" si="9"/>
        <v>12148364</v>
      </c>
      <c r="AG16" s="136">
        <f t="shared" si="9"/>
        <v>12073674</v>
      </c>
      <c r="AH16" s="136">
        <f t="shared" si="9"/>
        <v>11629202</v>
      </c>
      <c r="AI16" s="136">
        <f t="shared" si="9"/>
        <v>13527509</v>
      </c>
      <c r="AJ16" s="136">
        <f t="shared" si="9"/>
        <v>11530254</v>
      </c>
      <c r="AK16" s="136">
        <f t="shared" ref="AK16:BP16" si="10">SUBTOTAL(9,AK12:AK15)</f>
        <v>12174768</v>
      </c>
      <c r="AL16" s="136">
        <f t="shared" si="10"/>
        <v>12184215</v>
      </c>
      <c r="AM16" s="136">
        <f t="shared" si="10"/>
        <v>11803282</v>
      </c>
      <c r="AN16" s="136">
        <f t="shared" si="10"/>
        <v>10831167</v>
      </c>
      <c r="AO16" s="135">
        <f t="shared" si="10"/>
        <v>10560490</v>
      </c>
      <c r="AP16" s="135">
        <f t="shared" si="10"/>
        <v>11070009</v>
      </c>
      <c r="AQ16" s="135">
        <f t="shared" si="10"/>
        <v>11370445</v>
      </c>
      <c r="AR16" s="135">
        <f t="shared" si="10"/>
        <v>11886422</v>
      </c>
      <c r="AS16" s="135">
        <f t="shared" si="10"/>
        <v>11821777</v>
      </c>
      <c r="AT16" s="135">
        <f t="shared" si="10"/>
        <v>11389812</v>
      </c>
      <c r="AU16" s="135">
        <f t="shared" si="10"/>
        <v>13252503</v>
      </c>
      <c r="AV16" s="135">
        <f t="shared" si="10"/>
        <v>11276165</v>
      </c>
      <c r="AW16" s="135">
        <f t="shared" si="10"/>
        <v>12049880</v>
      </c>
      <c r="AX16" s="135">
        <f t="shared" si="10"/>
        <v>12075349</v>
      </c>
      <c r="AY16" s="135">
        <f t="shared" si="10"/>
        <v>11725984</v>
      </c>
      <c r="AZ16" s="135">
        <f t="shared" si="10"/>
        <v>10749264</v>
      </c>
      <c r="BA16" s="135">
        <f t="shared" si="10"/>
        <v>10555115</v>
      </c>
      <c r="BB16" s="135">
        <f t="shared" si="10"/>
        <v>11086650</v>
      </c>
      <c r="BC16" s="135">
        <f t="shared" si="10"/>
        <v>11391977</v>
      </c>
      <c r="BD16" s="135">
        <f t="shared" si="10"/>
        <v>11888748</v>
      </c>
      <c r="BE16" s="135">
        <f t="shared" si="10"/>
        <v>11812829</v>
      </c>
      <c r="BF16" s="135">
        <f t="shared" si="10"/>
        <v>11375330</v>
      </c>
      <c r="BG16" s="135">
        <f t="shared" si="10"/>
        <v>13266011</v>
      </c>
      <c r="BH16" s="135">
        <f t="shared" si="10"/>
        <v>11277900</v>
      </c>
      <c r="BI16" s="135">
        <f t="shared" si="10"/>
        <v>11936796</v>
      </c>
      <c r="BJ16" s="135">
        <f t="shared" si="10"/>
        <v>11976990</v>
      </c>
      <c r="BK16" s="135">
        <f t="shared" si="10"/>
        <v>11651305</v>
      </c>
      <c r="BL16" s="135">
        <f t="shared" si="10"/>
        <v>10729098</v>
      </c>
      <c r="BM16" s="135">
        <f t="shared" si="10"/>
        <v>10697375</v>
      </c>
      <c r="BN16" s="135">
        <f t="shared" si="10"/>
        <v>11066060</v>
      </c>
      <c r="BO16" s="135">
        <f t="shared" si="10"/>
        <v>11339682</v>
      </c>
      <c r="BP16" s="135">
        <f t="shared" si="10"/>
        <v>11828395</v>
      </c>
      <c r="BQ16" s="135">
        <f t="shared" ref="BQ16:CD16" si="11">SUBTOTAL(9,BQ12:BQ15)</f>
        <v>11778925</v>
      </c>
      <c r="BR16" s="135">
        <f t="shared" si="11"/>
        <v>11413009</v>
      </c>
      <c r="BS16" s="135">
        <f t="shared" si="11"/>
        <v>13259934</v>
      </c>
      <c r="BT16" s="135">
        <f t="shared" si="11"/>
        <v>11529810</v>
      </c>
      <c r="BU16" s="135">
        <f t="shared" si="11"/>
        <v>12186420</v>
      </c>
      <c r="BV16" s="135">
        <f t="shared" si="11"/>
        <v>12290273</v>
      </c>
      <c r="BW16" s="135">
        <f t="shared" si="11"/>
        <v>11891454</v>
      </c>
      <c r="BX16" s="135">
        <f t="shared" si="11"/>
        <v>11036035</v>
      </c>
      <c r="BY16" s="134">
        <f t="shared" si="11"/>
        <v>169551844</v>
      </c>
      <c r="BZ16" s="134">
        <f t="shared" si="11"/>
        <v>152069777</v>
      </c>
      <c r="CA16" s="134">
        <f t="shared" si="11"/>
        <v>141527737</v>
      </c>
      <c r="CB16" s="134">
        <f t="shared" si="11"/>
        <v>139228100</v>
      </c>
      <c r="CC16" s="134">
        <f t="shared" si="11"/>
        <v>138948749</v>
      </c>
      <c r="CD16" s="134">
        <f t="shared" si="11"/>
        <v>140317372</v>
      </c>
      <c r="CF16" s="145">
        <f>SUM(Z16:AK16)</f>
        <v>141868075</v>
      </c>
      <c r="CG16" s="145">
        <f>SUM(AL16:AW16)</f>
        <v>139496167</v>
      </c>
    </row>
    <row r="17" spans="1:85" s="98" customFormat="1" outlineLevel="2">
      <c r="A17" s="10">
        <v>2</v>
      </c>
      <c r="B17" s="10">
        <v>71</v>
      </c>
      <c r="C17" s="10" t="s">
        <v>395</v>
      </c>
      <c r="D17" s="131" t="s">
        <v>54</v>
      </c>
      <c r="E17" s="121">
        <v>326400</v>
      </c>
      <c r="F17" s="121">
        <v>499200</v>
      </c>
      <c r="G17" s="121">
        <v>316800</v>
      </c>
      <c r="H17" s="121">
        <v>316800</v>
      </c>
      <c r="I17" s="121">
        <v>360000</v>
      </c>
      <c r="J17" s="121">
        <v>379200</v>
      </c>
      <c r="K17" s="121">
        <v>374400</v>
      </c>
      <c r="L17" s="121">
        <v>393600</v>
      </c>
      <c r="M17" s="121">
        <v>235200</v>
      </c>
      <c r="N17" s="121">
        <v>0</v>
      </c>
      <c r="O17" s="121">
        <v>676800</v>
      </c>
      <c r="P17" s="121">
        <v>369600</v>
      </c>
      <c r="Q17" s="121">
        <v>273600</v>
      </c>
      <c r="R17" s="121">
        <v>355200</v>
      </c>
      <c r="S17" s="121">
        <v>0</v>
      </c>
      <c r="T17" s="121">
        <v>0</v>
      </c>
      <c r="U17" s="121">
        <v>0</v>
      </c>
      <c r="V17" s="121">
        <v>0</v>
      </c>
      <c r="W17" s="121">
        <v>0</v>
      </c>
      <c r="X17" s="121">
        <v>0</v>
      </c>
      <c r="Y17" s="121">
        <v>0</v>
      </c>
      <c r="Z17" s="121">
        <v>0</v>
      </c>
      <c r="AA17" s="121">
        <v>0</v>
      </c>
      <c r="AB17" s="121">
        <v>0</v>
      </c>
      <c r="AC17" s="121">
        <v>0</v>
      </c>
      <c r="AD17" s="121">
        <v>0</v>
      </c>
      <c r="AE17" s="121">
        <v>0</v>
      </c>
      <c r="AF17" s="121">
        <v>0</v>
      </c>
      <c r="AG17" s="121">
        <v>0</v>
      </c>
      <c r="AH17" s="121">
        <v>0</v>
      </c>
      <c r="AI17" s="121">
        <v>0</v>
      </c>
      <c r="AJ17" s="121">
        <v>0</v>
      </c>
      <c r="AK17" s="121">
        <v>0</v>
      </c>
      <c r="AL17" s="121">
        <v>0</v>
      </c>
      <c r="AM17" s="121">
        <v>0</v>
      </c>
      <c r="AN17" s="121">
        <v>0</v>
      </c>
      <c r="AO17" s="130">
        <v>0</v>
      </c>
      <c r="AP17" s="130">
        <v>0</v>
      </c>
      <c r="AQ17" s="130">
        <v>0</v>
      </c>
      <c r="AR17" s="130">
        <v>0</v>
      </c>
      <c r="AS17" s="130">
        <v>0</v>
      </c>
      <c r="AT17" s="130">
        <v>0</v>
      </c>
      <c r="AU17" s="130">
        <v>0</v>
      </c>
      <c r="AV17" s="130">
        <v>0</v>
      </c>
      <c r="AW17" s="130">
        <v>0</v>
      </c>
      <c r="AX17" s="130">
        <v>0</v>
      </c>
      <c r="AY17" s="130">
        <v>0</v>
      </c>
      <c r="AZ17" s="130">
        <v>0</v>
      </c>
      <c r="BA17" s="130">
        <v>0</v>
      </c>
      <c r="BB17" s="130">
        <v>0</v>
      </c>
      <c r="BC17" s="130">
        <v>0</v>
      </c>
      <c r="BD17" s="130">
        <v>0</v>
      </c>
      <c r="BE17" s="130">
        <v>0</v>
      </c>
      <c r="BF17" s="130">
        <v>0</v>
      </c>
      <c r="BG17" s="130">
        <v>0</v>
      </c>
      <c r="BH17" s="130">
        <v>0</v>
      </c>
      <c r="BI17" s="130">
        <v>0</v>
      </c>
      <c r="BJ17" s="130">
        <v>0</v>
      </c>
      <c r="BK17" s="130">
        <v>0</v>
      </c>
      <c r="BL17" s="130">
        <v>0</v>
      </c>
      <c r="BM17" s="130">
        <v>0</v>
      </c>
      <c r="BN17" s="130">
        <v>0</v>
      </c>
      <c r="BO17" s="130">
        <v>0</v>
      </c>
      <c r="BP17" s="130">
        <v>0</v>
      </c>
      <c r="BQ17" s="130">
        <v>0</v>
      </c>
      <c r="BR17" s="130">
        <v>0</v>
      </c>
      <c r="BS17" s="130">
        <v>0</v>
      </c>
      <c r="BT17" s="130">
        <v>0</v>
      </c>
      <c r="BU17" s="130">
        <v>0</v>
      </c>
      <c r="BV17" s="130">
        <v>0</v>
      </c>
      <c r="BW17" s="130">
        <v>0</v>
      </c>
      <c r="BX17" s="130">
        <v>0</v>
      </c>
      <c r="BY17" s="132">
        <f>SUM(E17:P17)</f>
        <v>4248000</v>
      </c>
      <c r="BZ17" s="132">
        <f>SUM(Q17:AB17)</f>
        <v>628800</v>
      </c>
      <c r="CA17" s="132">
        <f>SUM(AC17:AN17)</f>
        <v>0</v>
      </c>
      <c r="CB17" s="132">
        <f>SUM(AO17:AZ17)</f>
        <v>0</v>
      </c>
      <c r="CC17" s="132">
        <f>SUM(BA17:BL17)</f>
        <v>0</v>
      </c>
      <c r="CD17" s="132">
        <f>SUM(BM17:BX17)</f>
        <v>0</v>
      </c>
    </row>
    <row r="18" spans="1:85" s="98" customFormat="1" outlineLevel="2">
      <c r="A18" s="10">
        <v>3</v>
      </c>
      <c r="B18" s="10">
        <v>71</v>
      </c>
      <c r="C18" s="10" t="s">
        <v>395</v>
      </c>
      <c r="D18" s="131" t="s">
        <v>54</v>
      </c>
      <c r="E18" s="121">
        <v>1327200</v>
      </c>
      <c r="F18" s="121">
        <v>1499400</v>
      </c>
      <c r="G18" s="121">
        <v>1537200</v>
      </c>
      <c r="H18" s="121">
        <v>1684200</v>
      </c>
      <c r="I18" s="121">
        <v>1936200</v>
      </c>
      <c r="J18" s="121">
        <v>2184000</v>
      </c>
      <c r="K18" s="121">
        <v>2020200</v>
      </c>
      <c r="L18" s="121">
        <v>1936200</v>
      </c>
      <c r="M18" s="121">
        <v>2238600</v>
      </c>
      <c r="N18" s="121">
        <v>2053800</v>
      </c>
      <c r="O18" s="121">
        <v>2011800</v>
      </c>
      <c r="P18" s="121">
        <v>1953000</v>
      </c>
      <c r="Q18" s="121">
        <v>1961400</v>
      </c>
      <c r="R18" s="121">
        <v>2116800</v>
      </c>
      <c r="S18" s="121">
        <v>2234400</v>
      </c>
      <c r="T18" s="121">
        <v>2347800</v>
      </c>
      <c r="U18" s="121">
        <v>2431800</v>
      </c>
      <c r="V18" s="121">
        <v>2095800</v>
      </c>
      <c r="W18" s="121">
        <v>1974000</v>
      </c>
      <c r="X18" s="121">
        <v>2146200</v>
      </c>
      <c r="Y18" s="121">
        <v>2137800</v>
      </c>
      <c r="Z18" s="121">
        <v>2065613</v>
      </c>
      <c r="AA18" s="121">
        <v>2288116</v>
      </c>
      <c r="AB18" s="121">
        <v>1332474</v>
      </c>
      <c r="AC18" s="121">
        <v>1874215</v>
      </c>
      <c r="AD18" s="121">
        <v>2222220</v>
      </c>
      <c r="AE18" s="121">
        <v>2848657</v>
      </c>
      <c r="AF18" s="121">
        <v>2345636</v>
      </c>
      <c r="AG18" s="121">
        <v>2293914</v>
      </c>
      <c r="AH18" s="121">
        <v>1693671</v>
      </c>
      <c r="AI18" s="121">
        <v>1845889</v>
      </c>
      <c r="AJ18" s="121">
        <v>1850942</v>
      </c>
      <c r="AK18" s="121">
        <v>1940072</v>
      </c>
      <c r="AL18" s="121">
        <v>2002906</v>
      </c>
      <c r="AM18" s="121">
        <v>2218959</v>
      </c>
      <c r="AN18" s="121">
        <v>1266616</v>
      </c>
      <c r="AO18" s="130">
        <v>1741459</v>
      </c>
      <c r="AP18" s="130">
        <v>2046883</v>
      </c>
      <c r="AQ18" s="130">
        <v>2633269</v>
      </c>
      <c r="AR18" s="130">
        <v>2116905</v>
      </c>
      <c r="AS18" s="130">
        <v>2071220</v>
      </c>
      <c r="AT18" s="130">
        <v>1506923</v>
      </c>
      <c r="AU18" s="130">
        <v>1652117</v>
      </c>
      <c r="AV18" s="130">
        <v>1647463</v>
      </c>
      <c r="AW18" s="130">
        <v>1724232</v>
      </c>
      <c r="AX18" s="130">
        <v>1778702</v>
      </c>
      <c r="AY18" s="130">
        <v>1994618</v>
      </c>
      <c r="AZ18" s="130">
        <v>1087598</v>
      </c>
      <c r="BA18" s="130">
        <v>1591989</v>
      </c>
      <c r="BB18" s="130">
        <v>1883386</v>
      </c>
      <c r="BC18" s="130">
        <v>2450581</v>
      </c>
      <c r="BD18" s="130">
        <v>1952468</v>
      </c>
      <c r="BE18" s="130">
        <v>1915858</v>
      </c>
      <c r="BF18" s="130">
        <v>1397894</v>
      </c>
      <c r="BG18" s="130">
        <v>1549948</v>
      </c>
      <c r="BH18" s="130">
        <v>1540686</v>
      </c>
      <c r="BI18" s="130">
        <v>1627427</v>
      </c>
      <c r="BJ18" s="130">
        <v>1681439</v>
      </c>
      <c r="BK18" s="130">
        <v>1907440</v>
      </c>
      <c r="BL18" s="130">
        <v>1033425</v>
      </c>
      <c r="BM18" s="130">
        <v>1542608</v>
      </c>
      <c r="BN18" s="130">
        <v>1822296</v>
      </c>
      <c r="BO18" s="130">
        <v>2375754</v>
      </c>
      <c r="BP18" s="130">
        <v>1883301</v>
      </c>
      <c r="BQ18" s="130">
        <v>1849392</v>
      </c>
      <c r="BR18" s="130">
        <v>1257717</v>
      </c>
      <c r="BS18" s="130">
        <v>1398837</v>
      </c>
      <c r="BT18" s="130">
        <v>1396159</v>
      </c>
      <c r="BU18" s="130">
        <v>1470765</v>
      </c>
      <c r="BV18" s="130">
        <v>1528011</v>
      </c>
      <c r="BW18" s="130">
        <v>1733497</v>
      </c>
      <c r="BX18" s="130">
        <v>929960</v>
      </c>
      <c r="BY18" s="132">
        <f>SUM(E18:P18)</f>
        <v>22381800</v>
      </c>
      <c r="BZ18" s="132">
        <f>SUM(Q18:AB18)</f>
        <v>25132203</v>
      </c>
      <c r="CA18" s="132">
        <f>SUM(AC18:AN18)</f>
        <v>24403697</v>
      </c>
      <c r="CB18" s="132">
        <f>SUM(AO18:AZ18)</f>
        <v>22001389</v>
      </c>
      <c r="CC18" s="132">
        <f>SUM(BA18:BL18)</f>
        <v>20532541</v>
      </c>
      <c r="CD18" s="132">
        <f>SUM(BM18:BX18)</f>
        <v>19188297</v>
      </c>
    </row>
    <row r="19" spans="1:85" s="98" customFormat="1" outlineLevel="2">
      <c r="A19" s="10">
        <v>2</v>
      </c>
      <c r="B19" s="10">
        <v>75</v>
      </c>
      <c r="C19" s="10" t="s">
        <v>394</v>
      </c>
      <c r="D19" s="131" t="s">
        <v>54</v>
      </c>
      <c r="E19" s="121">
        <v>3473600</v>
      </c>
      <c r="F19" s="121">
        <v>3033200</v>
      </c>
      <c r="G19" s="121">
        <v>3250400</v>
      </c>
      <c r="H19" s="121">
        <v>3052400</v>
      </c>
      <c r="I19" s="121">
        <v>3164000</v>
      </c>
      <c r="J19" s="121">
        <v>3266800</v>
      </c>
      <c r="K19" s="121">
        <v>3422000</v>
      </c>
      <c r="L19" s="121">
        <v>3565600</v>
      </c>
      <c r="M19" s="121">
        <v>3440000</v>
      </c>
      <c r="N19" s="121">
        <v>3576800</v>
      </c>
      <c r="O19" s="121">
        <v>3068683</v>
      </c>
      <c r="P19" s="121">
        <v>2656800</v>
      </c>
      <c r="Q19" s="121">
        <v>2670800</v>
      </c>
      <c r="R19" s="121">
        <v>2355600</v>
      </c>
      <c r="S19" s="121">
        <v>2639200</v>
      </c>
      <c r="T19" s="121">
        <v>2751600</v>
      </c>
      <c r="U19" s="121">
        <v>2518800</v>
      </c>
      <c r="V19" s="121">
        <v>2777200</v>
      </c>
      <c r="W19" s="121">
        <v>2670348</v>
      </c>
      <c r="X19" s="121">
        <v>2700000</v>
      </c>
      <c r="Y19" s="121">
        <v>2648800</v>
      </c>
      <c r="Z19" s="121">
        <v>4288427</v>
      </c>
      <c r="AA19" s="121">
        <v>4020593</v>
      </c>
      <c r="AB19" s="121">
        <v>4052097</v>
      </c>
      <c r="AC19" s="121">
        <v>3871750</v>
      </c>
      <c r="AD19" s="121">
        <v>3922034</v>
      </c>
      <c r="AE19" s="121">
        <v>2664033</v>
      </c>
      <c r="AF19" s="121">
        <v>2776396</v>
      </c>
      <c r="AG19" s="121">
        <v>2474883</v>
      </c>
      <c r="AH19" s="121">
        <v>2560605</v>
      </c>
      <c r="AI19" s="121">
        <v>2568757</v>
      </c>
      <c r="AJ19" s="121">
        <v>2557339</v>
      </c>
      <c r="AK19" s="121">
        <v>2519677</v>
      </c>
      <c r="AL19" s="121">
        <v>4252113</v>
      </c>
      <c r="AM19" s="121">
        <v>4016998</v>
      </c>
      <c r="AN19" s="121">
        <v>4060778</v>
      </c>
      <c r="AO19" s="130">
        <v>3886565</v>
      </c>
      <c r="AP19" s="130">
        <v>3935539</v>
      </c>
      <c r="AQ19" s="130">
        <v>2671443</v>
      </c>
      <c r="AR19" s="130">
        <v>2784411</v>
      </c>
      <c r="AS19" s="130">
        <v>2480840</v>
      </c>
      <c r="AT19" s="130">
        <v>2565972</v>
      </c>
      <c r="AU19" s="130">
        <v>2573593</v>
      </c>
      <c r="AV19" s="130">
        <v>2563136</v>
      </c>
      <c r="AW19" s="130">
        <v>2527552</v>
      </c>
      <c r="AX19" s="130">
        <v>4272134</v>
      </c>
      <c r="AY19" s="130">
        <v>4045411</v>
      </c>
      <c r="AZ19" s="130">
        <v>4099505</v>
      </c>
      <c r="BA19" s="130">
        <v>3924405</v>
      </c>
      <c r="BB19" s="130">
        <v>3971269</v>
      </c>
      <c r="BC19" s="130">
        <v>2692128</v>
      </c>
      <c r="BD19" s="130">
        <v>2802151</v>
      </c>
      <c r="BE19" s="130">
        <v>2491760</v>
      </c>
      <c r="BF19" s="130">
        <v>2570994</v>
      </c>
      <c r="BG19" s="130">
        <v>2580567</v>
      </c>
      <c r="BH19" s="130">
        <v>2569929</v>
      </c>
      <c r="BI19" s="130">
        <v>2535102</v>
      </c>
      <c r="BJ19" s="130">
        <v>4286982</v>
      </c>
      <c r="BK19" s="130">
        <v>4067702</v>
      </c>
      <c r="BL19" s="130">
        <v>4128458</v>
      </c>
      <c r="BM19" s="130">
        <v>4028748</v>
      </c>
      <c r="BN19" s="130">
        <v>4004406</v>
      </c>
      <c r="BO19" s="130">
        <v>2708304</v>
      </c>
      <c r="BP19" s="130">
        <v>2811888</v>
      </c>
      <c r="BQ19" s="130">
        <v>2505896</v>
      </c>
      <c r="BR19" s="130">
        <v>2591527</v>
      </c>
      <c r="BS19" s="130">
        <v>2585611</v>
      </c>
      <c r="BT19" s="130">
        <v>2564264</v>
      </c>
      <c r="BU19" s="130">
        <v>2528483</v>
      </c>
      <c r="BV19" s="130">
        <v>4285958</v>
      </c>
      <c r="BW19" s="130">
        <v>4054549</v>
      </c>
      <c r="BX19" s="130">
        <v>4149605</v>
      </c>
      <c r="BY19" s="132">
        <f>SUM(E19:P19)</f>
        <v>38970283</v>
      </c>
      <c r="BZ19" s="132">
        <f>SUM(Q19:AB19)</f>
        <v>36093465</v>
      </c>
      <c r="CA19" s="132">
        <f>SUM(AC19:AN19)</f>
        <v>38245363</v>
      </c>
      <c r="CB19" s="132">
        <f>SUM(AO19:AZ19)</f>
        <v>38406101</v>
      </c>
      <c r="CC19" s="132">
        <f>SUM(BA19:BL19)</f>
        <v>38621447</v>
      </c>
      <c r="CD19" s="132">
        <f>SUM(BM19:BX19)</f>
        <v>38819239</v>
      </c>
    </row>
    <row r="20" spans="1:85" s="98" customFormat="1" outlineLevel="2">
      <c r="A20" s="10">
        <v>3</v>
      </c>
      <c r="B20" s="10">
        <v>75</v>
      </c>
      <c r="C20" s="10" t="s">
        <v>394</v>
      </c>
      <c r="D20" s="131" t="s">
        <v>54</v>
      </c>
      <c r="E20" s="121">
        <v>913600</v>
      </c>
      <c r="F20" s="121">
        <v>736000</v>
      </c>
      <c r="G20" s="121">
        <v>737600</v>
      </c>
      <c r="H20" s="121">
        <v>1115200</v>
      </c>
      <c r="I20" s="121">
        <v>920000</v>
      </c>
      <c r="J20" s="121">
        <v>1033600</v>
      </c>
      <c r="K20" s="121">
        <v>939200</v>
      </c>
      <c r="L20" s="121">
        <v>801600</v>
      </c>
      <c r="M20" s="121">
        <v>918400</v>
      </c>
      <c r="N20" s="121">
        <v>1091200</v>
      </c>
      <c r="O20" s="121">
        <v>1115200</v>
      </c>
      <c r="P20" s="121">
        <v>1286400</v>
      </c>
      <c r="Q20" s="121">
        <v>1390400</v>
      </c>
      <c r="R20" s="121">
        <v>809600</v>
      </c>
      <c r="S20" s="121">
        <v>828800</v>
      </c>
      <c r="T20" s="121">
        <v>908800</v>
      </c>
      <c r="U20" s="121">
        <v>934400</v>
      </c>
      <c r="V20" s="121">
        <v>892800</v>
      </c>
      <c r="W20" s="121">
        <v>923200</v>
      </c>
      <c r="X20" s="121">
        <v>932800</v>
      </c>
      <c r="Y20" s="121">
        <v>1100800</v>
      </c>
      <c r="Z20" s="121">
        <v>1097476</v>
      </c>
      <c r="AA20" s="121">
        <v>1268370</v>
      </c>
      <c r="AB20" s="121">
        <v>877673</v>
      </c>
      <c r="AC20" s="121">
        <v>1328596</v>
      </c>
      <c r="AD20" s="121">
        <v>849919</v>
      </c>
      <c r="AE20" s="121">
        <v>1056645</v>
      </c>
      <c r="AF20" s="121">
        <v>907962</v>
      </c>
      <c r="AG20" s="121">
        <v>881419</v>
      </c>
      <c r="AH20" s="121">
        <v>721495</v>
      </c>
      <c r="AI20" s="121">
        <v>863285</v>
      </c>
      <c r="AJ20" s="121">
        <v>804473</v>
      </c>
      <c r="AK20" s="121">
        <v>998986</v>
      </c>
      <c r="AL20" s="121">
        <v>1064160</v>
      </c>
      <c r="AM20" s="121">
        <v>1230034</v>
      </c>
      <c r="AN20" s="121">
        <v>834293</v>
      </c>
      <c r="AO20" s="130">
        <v>1234488</v>
      </c>
      <c r="AP20" s="130">
        <v>782859</v>
      </c>
      <c r="AQ20" s="130">
        <v>976751</v>
      </c>
      <c r="AR20" s="130">
        <v>819424</v>
      </c>
      <c r="AS20" s="130">
        <v>795850</v>
      </c>
      <c r="AT20" s="130">
        <v>641941</v>
      </c>
      <c r="AU20" s="130">
        <v>772662</v>
      </c>
      <c r="AV20" s="130">
        <v>716035</v>
      </c>
      <c r="AW20" s="130">
        <v>887845</v>
      </c>
      <c r="AX20" s="130">
        <v>945038</v>
      </c>
      <c r="AY20" s="130">
        <v>1105676</v>
      </c>
      <c r="AZ20" s="130">
        <v>716378</v>
      </c>
      <c r="BA20" s="130">
        <v>1128531</v>
      </c>
      <c r="BB20" s="130">
        <v>720327</v>
      </c>
      <c r="BC20" s="130">
        <v>908987</v>
      </c>
      <c r="BD20" s="130">
        <v>755773</v>
      </c>
      <c r="BE20" s="130">
        <v>736154</v>
      </c>
      <c r="BF20" s="130">
        <v>595496</v>
      </c>
      <c r="BG20" s="130">
        <v>724880</v>
      </c>
      <c r="BH20" s="130">
        <v>669626</v>
      </c>
      <c r="BI20" s="130">
        <v>837998</v>
      </c>
      <c r="BJ20" s="130">
        <v>893361</v>
      </c>
      <c r="BK20" s="130">
        <v>1057350</v>
      </c>
      <c r="BL20" s="130">
        <v>680696</v>
      </c>
      <c r="BM20" s="130">
        <v>1093526</v>
      </c>
      <c r="BN20" s="130">
        <v>696963</v>
      </c>
      <c r="BO20" s="130">
        <v>881232</v>
      </c>
      <c r="BP20" s="130">
        <v>728999</v>
      </c>
      <c r="BQ20" s="130">
        <v>710614</v>
      </c>
      <c r="BR20" s="130">
        <v>535781</v>
      </c>
      <c r="BS20" s="130">
        <v>654208</v>
      </c>
      <c r="BT20" s="130">
        <v>606811</v>
      </c>
      <c r="BU20" s="130">
        <v>757329</v>
      </c>
      <c r="BV20" s="130">
        <v>811844</v>
      </c>
      <c r="BW20" s="130">
        <v>960929</v>
      </c>
      <c r="BX20" s="130">
        <v>612545</v>
      </c>
      <c r="BY20" s="132">
        <f>SUM(E20:P20)</f>
        <v>11608000</v>
      </c>
      <c r="BZ20" s="132">
        <f>SUM(Q20:AB20)</f>
        <v>11965119</v>
      </c>
      <c r="CA20" s="132">
        <f>SUM(AC20:AN20)</f>
        <v>11541267</v>
      </c>
      <c r="CB20" s="132">
        <f>SUM(AO20:AZ20)</f>
        <v>10394947</v>
      </c>
      <c r="CC20" s="132">
        <f>SUM(BA20:BL20)</f>
        <v>9709179</v>
      </c>
      <c r="CD20" s="132">
        <f>SUM(BM20:BX20)</f>
        <v>9050781</v>
      </c>
    </row>
    <row r="21" spans="1:85" s="98" customFormat="1" outlineLevel="1">
      <c r="A21" s="10"/>
      <c r="B21" s="10"/>
      <c r="C21" s="10"/>
      <c r="D21" s="137" t="s">
        <v>393</v>
      </c>
      <c r="E21" s="136">
        <f t="shared" ref="E21:AJ21" si="12">SUBTOTAL(9,E17:E20)</f>
        <v>6040800</v>
      </c>
      <c r="F21" s="136">
        <f t="shared" si="12"/>
        <v>5767800</v>
      </c>
      <c r="G21" s="136">
        <f t="shared" si="12"/>
        <v>5842000</v>
      </c>
      <c r="H21" s="136">
        <f t="shared" si="12"/>
        <v>6168600</v>
      </c>
      <c r="I21" s="136">
        <f t="shared" si="12"/>
        <v>6380200</v>
      </c>
      <c r="J21" s="136">
        <f t="shared" si="12"/>
        <v>6863600</v>
      </c>
      <c r="K21" s="136">
        <f t="shared" si="12"/>
        <v>6755800</v>
      </c>
      <c r="L21" s="136">
        <f t="shared" si="12"/>
        <v>6697000</v>
      </c>
      <c r="M21" s="136">
        <f t="shared" si="12"/>
        <v>6832200</v>
      </c>
      <c r="N21" s="136">
        <f t="shared" si="12"/>
        <v>6721800</v>
      </c>
      <c r="O21" s="136">
        <f t="shared" si="12"/>
        <v>6872483</v>
      </c>
      <c r="P21" s="136">
        <f t="shared" si="12"/>
        <v>6265800</v>
      </c>
      <c r="Q21" s="136">
        <f t="shared" si="12"/>
        <v>6296200</v>
      </c>
      <c r="R21" s="136">
        <f t="shared" si="12"/>
        <v>5637200</v>
      </c>
      <c r="S21" s="136">
        <f t="shared" si="12"/>
        <v>5702400</v>
      </c>
      <c r="T21" s="136">
        <f t="shared" si="12"/>
        <v>6008200</v>
      </c>
      <c r="U21" s="136">
        <f t="shared" si="12"/>
        <v>5885000</v>
      </c>
      <c r="V21" s="136">
        <f t="shared" si="12"/>
        <v>5765800</v>
      </c>
      <c r="W21" s="136">
        <f t="shared" si="12"/>
        <v>5567548</v>
      </c>
      <c r="X21" s="136">
        <f t="shared" si="12"/>
        <v>5779000</v>
      </c>
      <c r="Y21" s="136">
        <f t="shared" si="12"/>
        <v>5887400</v>
      </c>
      <c r="Z21" s="136">
        <f t="shared" si="12"/>
        <v>7451516</v>
      </c>
      <c r="AA21" s="136">
        <f t="shared" si="12"/>
        <v>7577079</v>
      </c>
      <c r="AB21" s="136">
        <f t="shared" si="12"/>
        <v>6262244</v>
      </c>
      <c r="AC21" s="136">
        <f t="shared" si="12"/>
        <v>7074561</v>
      </c>
      <c r="AD21" s="136">
        <f t="shared" si="12"/>
        <v>6994173</v>
      </c>
      <c r="AE21" s="136">
        <f t="shared" si="12"/>
        <v>6569335</v>
      </c>
      <c r="AF21" s="136">
        <f t="shared" si="12"/>
        <v>6029994</v>
      </c>
      <c r="AG21" s="136">
        <f t="shared" si="12"/>
        <v>5650216</v>
      </c>
      <c r="AH21" s="136">
        <f t="shared" si="12"/>
        <v>4975771</v>
      </c>
      <c r="AI21" s="136">
        <f t="shared" si="12"/>
        <v>5277931</v>
      </c>
      <c r="AJ21" s="136">
        <f t="shared" si="12"/>
        <v>5212754</v>
      </c>
      <c r="AK21" s="136">
        <f t="shared" ref="AK21:BP21" si="13">SUBTOTAL(9,AK17:AK20)</f>
        <v>5458735</v>
      </c>
      <c r="AL21" s="136">
        <f t="shared" si="13"/>
        <v>7319179</v>
      </c>
      <c r="AM21" s="136">
        <f t="shared" si="13"/>
        <v>7465991</v>
      </c>
      <c r="AN21" s="136">
        <f t="shared" si="13"/>
        <v>6161687</v>
      </c>
      <c r="AO21" s="135">
        <f t="shared" si="13"/>
        <v>6862512</v>
      </c>
      <c r="AP21" s="135">
        <f t="shared" si="13"/>
        <v>6765281</v>
      </c>
      <c r="AQ21" s="135">
        <f t="shared" si="13"/>
        <v>6281463</v>
      </c>
      <c r="AR21" s="135">
        <f t="shared" si="13"/>
        <v>5720740</v>
      </c>
      <c r="AS21" s="135">
        <f t="shared" si="13"/>
        <v>5347910</v>
      </c>
      <c r="AT21" s="135">
        <f t="shared" si="13"/>
        <v>4714836</v>
      </c>
      <c r="AU21" s="135">
        <f t="shared" si="13"/>
        <v>4998372</v>
      </c>
      <c r="AV21" s="135">
        <f t="shared" si="13"/>
        <v>4926634</v>
      </c>
      <c r="AW21" s="135">
        <f t="shared" si="13"/>
        <v>5139629</v>
      </c>
      <c r="AX21" s="135">
        <f t="shared" si="13"/>
        <v>6995874</v>
      </c>
      <c r="AY21" s="135">
        <f t="shared" si="13"/>
        <v>7145705</v>
      </c>
      <c r="AZ21" s="135">
        <f t="shared" si="13"/>
        <v>5903481</v>
      </c>
      <c r="BA21" s="135">
        <f t="shared" si="13"/>
        <v>6644925</v>
      </c>
      <c r="BB21" s="135">
        <f t="shared" si="13"/>
        <v>6574982</v>
      </c>
      <c r="BC21" s="135">
        <f t="shared" si="13"/>
        <v>6051696</v>
      </c>
      <c r="BD21" s="135">
        <f t="shared" si="13"/>
        <v>5510392</v>
      </c>
      <c r="BE21" s="135">
        <f t="shared" si="13"/>
        <v>5143772</v>
      </c>
      <c r="BF21" s="135">
        <f t="shared" si="13"/>
        <v>4564384</v>
      </c>
      <c r="BG21" s="135">
        <f t="shared" si="13"/>
        <v>4855395</v>
      </c>
      <c r="BH21" s="135">
        <f t="shared" si="13"/>
        <v>4780241</v>
      </c>
      <c r="BI21" s="135">
        <f t="shared" si="13"/>
        <v>5000527</v>
      </c>
      <c r="BJ21" s="135">
        <f t="shared" si="13"/>
        <v>6861782</v>
      </c>
      <c r="BK21" s="135">
        <f t="shared" si="13"/>
        <v>7032492</v>
      </c>
      <c r="BL21" s="135">
        <f t="shared" si="13"/>
        <v>5842579</v>
      </c>
      <c r="BM21" s="135">
        <f t="shared" si="13"/>
        <v>6664882</v>
      </c>
      <c r="BN21" s="135">
        <f t="shared" si="13"/>
        <v>6523665</v>
      </c>
      <c r="BO21" s="135">
        <f t="shared" si="13"/>
        <v>5965290</v>
      </c>
      <c r="BP21" s="135">
        <f t="shared" si="13"/>
        <v>5424188</v>
      </c>
      <c r="BQ21" s="135">
        <f t="shared" ref="BQ21:CD21" si="14">SUBTOTAL(9,BQ17:BQ20)</f>
        <v>5065902</v>
      </c>
      <c r="BR21" s="135">
        <f t="shared" si="14"/>
        <v>4385025</v>
      </c>
      <c r="BS21" s="135">
        <f t="shared" si="14"/>
        <v>4638656</v>
      </c>
      <c r="BT21" s="135">
        <f t="shared" si="14"/>
        <v>4567234</v>
      </c>
      <c r="BU21" s="135">
        <f t="shared" si="14"/>
        <v>4756577</v>
      </c>
      <c r="BV21" s="135">
        <f t="shared" si="14"/>
        <v>6625813</v>
      </c>
      <c r="BW21" s="135">
        <f t="shared" si="14"/>
        <v>6748975</v>
      </c>
      <c r="BX21" s="135">
        <f t="shared" si="14"/>
        <v>5692110</v>
      </c>
      <c r="BY21" s="134">
        <f t="shared" si="14"/>
        <v>77208083</v>
      </c>
      <c r="BZ21" s="134">
        <f t="shared" si="14"/>
        <v>73819587</v>
      </c>
      <c r="CA21" s="134">
        <f t="shared" si="14"/>
        <v>74190327</v>
      </c>
      <c r="CB21" s="134">
        <f t="shared" si="14"/>
        <v>70802437</v>
      </c>
      <c r="CC21" s="134">
        <f t="shared" si="14"/>
        <v>68863167</v>
      </c>
      <c r="CD21" s="134">
        <f t="shared" si="14"/>
        <v>67058317</v>
      </c>
      <c r="CF21" s="145">
        <f>SUM(Z21:AK21)</f>
        <v>74534309</v>
      </c>
      <c r="CG21" s="145">
        <f>SUM(AL21:AW21)</f>
        <v>71704234</v>
      </c>
    </row>
    <row r="22" spans="1:85" s="98" customFormat="1" outlineLevel="2">
      <c r="A22" s="10">
        <v>3</v>
      </c>
      <c r="B22" s="10">
        <v>82</v>
      </c>
      <c r="C22" s="10" t="s">
        <v>392</v>
      </c>
      <c r="D22" s="131" t="s">
        <v>58</v>
      </c>
      <c r="E22" s="121">
        <v>966000</v>
      </c>
      <c r="F22" s="121">
        <v>938000</v>
      </c>
      <c r="G22" s="121">
        <v>952000</v>
      </c>
      <c r="H22" s="121">
        <v>896000</v>
      </c>
      <c r="I22" s="121">
        <v>546000</v>
      </c>
      <c r="J22" s="121">
        <v>406000</v>
      </c>
      <c r="K22" s="121">
        <v>1120000</v>
      </c>
      <c r="L22" s="121">
        <v>784000</v>
      </c>
      <c r="M22" s="121">
        <v>952000</v>
      </c>
      <c r="N22" s="121">
        <v>812000</v>
      </c>
      <c r="O22" s="121">
        <v>784000</v>
      </c>
      <c r="P22" s="121">
        <v>490000</v>
      </c>
      <c r="Q22" s="121">
        <v>658000</v>
      </c>
      <c r="R22" s="121">
        <v>798000</v>
      </c>
      <c r="S22" s="121">
        <v>0</v>
      </c>
      <c r="T22" s="121">
        <v>2044000</v>
      </c>
      <c r="U22" s="121">
        <v>882000</v>
      </c>
      <c r="V22" s="121">
        <v>560000</v>
      </c>
      <c r="W22" s="121">
        <v>1106000</v>
      </c>
      <c r="X22" s="121">
        <v>0</v>
      </c>
      <c r="Y22" s="121">
        <v>1120000</v>
      </c>
      <c r="Z22" s="121">
        <v>816670</v>
      </c>
      <c r="AA22" s="121">
        <v>891681</v>
      </c>
      <c r="AB22" s="121">
        <v>334312</v>
      </c>
      <c r="AC22" s="121">
        <v>628752</v>
      </c>
      <c r="AD22" s="121">
        <v>837742</v>
      </c>
      <c r="AE22" s="121">
        <v>1427898</v>
      </c>
      <c r="AF22" s="121">
        <v>923148</v>
      </c>
      <c r="AG22" s="121">
        <v>831990</v>
      </c>
      <c r="AH22" s="121">
        <v>452551</v>
      </c>
      <c r="AI22" s="121">
        <v>1034221</v>
      </c>
      <c r="AJ22" s="121">
        <v>446738</v>
      </c>
      <c r="AK22" s="121">
        <v>546320</v>
      </c>
      <c r="AL22" s="121">
        <v>791878</v>
      </c>
      <c r="AM22" s="121">
        <v>864730</v>
      </c>
      <c r="AN22" s="121">
        <v>317789</v>
      </c>
      <c r="AO22" s="130">
        <v>584215</v>
      </c>
      <c r="AP22" s="130">
        <v>771642</v>
      </c>
      <c r="AQ22" s="130">
        <v>1319934</v>
      </c>
      <c r="AR22" s="130">
        <v>833129</v>
      </c>
      <c r="AS22" s="130">
        <v>751220</v>
      </c>
      <c r="AT22" s="130">
        <v>402651</v>
      </c>
      <c r="AU22" s="130">
        <v>925654</v>
      </c>
      <c r="AV22" s="130">
        <v>397626</v>
      </c>
      <c r="AW22" s="130">
        <v>485540</v>
      </c>
      <c r="AX22" s="130">
        <v>703236</v>
      </c>
      <c r="AY22" s="130">
        <v>777304</v>
      </c>
      <c r="AZ22" s="130">
        <v>272874</v>
      </c>
      <c r="BA22" s="130">
        <v>534072</v>
      </c>
      <c r="BB22" s="130">
        <v>710007</v>
      </c>
      <c r="BC22" s="130">
        <v>1228361</v>
      </c>
      <c r="BD22" s="130">
        <v>768413</v>
      </c>
      <c r="BE22" s="130">
        <v>694871</v>
      </c>
      <c r="BF22" s="130">
        <v>373519</v>
      </c>
      <c r="BG22" s="130">
        <v>868411</v>
      </c>
      <c r="BH22" s="130">
        <v>371855</v>
      </c>
      <c r="BI22" s="130">
        <v>458280</v>
      </c>
      <c r="BJ22" s="130">
        <v>664781</v>
      </c>
      <c r="BK22" s="130">
        <v>743331</v>
      </c>
      <c r="BL22" s="130">
        <v>259282</v>
      </c>
      <c r="BM22" s="130">
        <v>517506</v>
      </c>
      <c r="BN22" s="130">
        <v>686977</v>
      </c>
      <c r="BO22" s="130">
        <v>1190854</v>
      </c>
      <c r="BP22" s="130">
        <v>741192</v>
      </c>
      <c r="BQ22" s="130">
        <v>670764</v>
      </c>
      <c r="BR22" s="130">
        <v>336063</v>
      </c>
      <c r="BS22" s="130">
        <v>783746</v>
      </c>
      <c r="BT22" s="130">
        <v>336972</v>
      </c>
      <c r="BU22" s="130">
        <v>414164</v>
      </c>
      <c r="BV22" s="130">
        <v>604122</v>
      </c>
      <c r="BW22" s="130">
        <v>675545</v>
      </c>
      <c r="BX22" s="130">
        <v>233323</v>
      </c>
      <c r="BY22" s="132">
        <f>SUM(E22:P22)</f>
        <v>9646000</v>
      </c>
      <c r="BZ22" s="132">
        <f>SUM(Q22:AB22)</f>
        <v>9210663</v>
      </c>
      <c r="CA22" s="132">
        <f>SUM(AC22:AN22)</f>
        <v>9103757</v>
      </c>
      <c r="CB22" s="132">
        <f>SUM(AO22:AZ22)</f>
        <v>8225025</v>
      </c>
      <c r="CC22" s="132">
        <f>SUM(BA22:BL22)</f>
        <v>7675183</v>
      </c>
      <c r="CD22" s="132">
        <f>SUM(BM22:BX22)</f>
        <v>7191228</v>
      </c>
    </row>
    <row r="23" spans="1:85" s="98" customFormat="1" outlineLevel="1">
      <c r="A23" s="10"/>
      <c r="B23" s="10"/>
      <c r="C23" s="10"/>
      <c r="D23" s="137" t="s">
        <v>391</v>
      </c>
      <c r="E23" s="136">
        <f t="shared" ref="E23:AJ23" si="15">SUBTOTAL(9,E22:E22)</f>
        <v>966000</v>
      </c>
      <c r="F23" s="136">
        <f t="shared" si="15"/>
        <v>938000</v>
      </c>
      <c r="G23" s="136">
        <f t="shared" si="15"/>
        <v>952000</v>
      </c>
      <c r="H23" s="136">
        <f t="shared" si="15"/>
        <v>896000</v>
      </c>
      <c r="I23" s="136">
        <f t="shared" si="15"/>
        <v>546000</v>
      </c>
      <c r="J23" s="136">
        <f t="shared" si="15"/>
        <v>406000</v>
      </c>
      <c r="K23" s="136">
        <f t="shared" si="15"/>
        <v>1120000</v>
      </c>
      <c r="L23" s="136">
        <f t="shared" si="15"/>
        <v>784000</v>
      </c>
      <c r="M23" s="136">
        <f t="shared" si="15"/>
        <v>952000</v>
      </c>
      <c r="N23" s="136">
        <f t="shared" si="15"/>
        <v>812000</v>
      </c>
      <c r="O23" s="136">
        <f t="shared" si="15"/>
        <v>784000</v>
      </c>
      <c r="P23" s="136">
        <f t="shared" si="15"/>
        <v>490000</v>
      </c>
      <c r="Q23" s="136">
        <f t="shared" si="15"/>
        <v>658000</v>
      </c>
      <c r="R23" s="136">
        <f t="shared" si="15"/>
        <v>798000</v>
      </c>
      <c r="S23" s="136">
        <f t="shared" si="15"/>
        <v>0</v>
      </c>
      <c r="T23" s="136">
        <f t="shared" si="15"/>
        <v>2044000</v>
      </c>
      <c r="U23" s="136">
        <f t="shared" si="15"/>
        <v>882000</v>
      </c>
      <c r="V23" s="136">
        <f t="shared" si="15"/>
        <v>560000</v>
      </c>
      <c r="W23" s="136">
        <f t="shared" si="15"/>
        <v>1106000</v>
      </c>
      <c r="X23" s="136">
        <f t="shared" si="15"/>
        <v>0</v>
      </c>
      <c r="Y23" s="136">
        <f t="shared" si="15"/>
        <v>1120000</v>
      </c>
      <c r="Z23" s="136">
        <f t="shared" si="15"/>
        <v>816670</v>
      </c>
      <c r="AA23" s="136">
        <f t="shared" si="15"/>
        <v>891681</v>
      </c>
      <c r="AB23" s="136">
        <f t="shared" si="15"/>
        <v>334312</v>
      </c>
      <c r="AC23" s="136">
        <f t="shared" si="15"/>
        <v>628752</v>
      </c>
      <c r="AD23" s="136">
        <f t="shared" si="15"/>
        <v>837742</v>
      </c>
      <c r="AE23" s="136">
        <f t="shared" si="15"/>
        <v>1427898</v>
      </c>
      <c r="AF23" s="136">
        <f t="shared" si="15"/>
        <v>923148</v>
      </c>
      <c r="AG23" s="136">
        <f t="shared" si="15"/>
        <v>831990</v>
      </c>
      <c r="AH23" s="136">
        <f t="shared" si="15"/>
        <v>452551</v>
      </c>
      <c r="AI23" s="136">
        <f t="shared" si="15"/>
        <v>1034221</v>
      </c>
      <c r="AJ23" s="136">
        <f t="shared" si="15"/>
        <v>446738</v>
      </c>
      <c r="AK23" s="136">
        <f t="shared" ref="AK23:BP23" si="16">SUBTOTAL(9,AK22:AK22)</f>
        <v>546320</v>
      </c>
      <c r="AL23" s="136">
        <f t="shared" si="16"/>
        <v>791878</v>
      </c>
      <c r="AM23" s="136">
        <f t="shared" si="16"/>
        <v>864730</v>
      </c>
      <c r="AN23" s="136">
        <f t="shared" si="16"/>
        <v>317789</v>
      </c>
      <c r="AO23" s="135">
        <f t="shared" si="16"/>
        <v>584215</v>
      </c>
      <c r="AP23" s="135">
        <f t="shared" si="16"/>
        <v>771642</v>
      </c>
      <c r="AQ23" s="135">
        <f t="shared" si="16"/>
        <v>1319934</v>
      </c>
      <c r="AR23" s="135">
        <f t="shared" si="16"/>
        <v>833129</v>
      </c>
      <c r="AS23" s="135">
        <f t="shared" si="16"/>
        <v>751220</v>
      </c>
      <c r="AT23" s="135">
        <f t="shared" si="16"/>
        <v>402651</v>
      </c>
      <c r="AU23" s="135">
        <f t="shared" si="16"/>
        <v>925654</v>
      </c>
      <c r="AV23" s="135">
        <f t="shared" si="16"/>
        <v>397626</v>
      </c>
      <c r="AW23" s="135">
        <f t="shared" si="16"/>
        <v>485540</v>
      </c>
      <c r="AX23" s="135">
        <f t="shared" si="16"/>
        <v>703236</v>
      </c>
      <c r="AY23" s="135">
        <f t="shared" si="16"/>
        <v>777304</v>
      </c>
      <c r="AZ23" s="135">
        <f t="shared" si="16"/>
        <v>272874</v>
      </c>
      <c r="BA23" s="135">
        <f t="shared" si="16"/>
        <v>534072</v>
      </c>
      <c r="BB23" s="135">
        <f t="shared" si="16"/>
        <v>710007</v>
      </c>
      <c r="BC23" s="135">
        <f t="shared" si="16"/>
        <v>1228361</v>
      </c>
      <c r="BD23" s="135">
        <f t="shared" si="16"/>
        <v>768413</v>
      </c>
      <c r="BE23" s="135">
        <f t="shared" si="16"/>
        <v>694871</v>
      </c>
      <c r="BF23" s="135">
        <f t="shared" si="16"/>
        <v>373519</v>
      </c>
      <c r="BG23" s="135">
        <f t="shared" si="16"/>
        <v>868411</v>
      </c>
      <c r="BH23" s="135">
        <f t="shared" si="16"/>
        <v>371855</v>
      </c>
      <c r="BI23" s="135">
        <f t="shared" si="16"/>
        <v>458280</v>
      </c>
      <c r="BJ23" s="135">
        <f t="shared" si="16"/>
        <v>664781</v>
      </c>
      <c r="BK23" s="135">
        <f t="shared" si="16"/>
        <v>743331</v>
      </c>
      <c r="BL23" s="135">
        <f t="shared" si="16"/>
        <v>259282</v>
      </c>
      <c r="BM23" s="135">
        <f t="shared" si="16"/>
        <v>517506</v>
      </c>
      <c r="BN23" s="135">
        <f t="shared" si="16"/>
        <v>686977</v>
      </c>
      <c r="BO23" s="135">
        <f t="shared" si="16"/>
        <v>1190854</v>
      </c>
      <c r="BP23" s="135">
        <f t="shared" si="16"/>
        <v>741192</v>
      </c>
      <c r="BQ23" s="135">
        <f t="shared" ref="BQ23:CD23" si="17">SUBTOTAL(9,BQ22:BQ22)</f>
        <v>670764</v>
      </c>
      <c r="BR23" s="135">
        <f t="shared" si="17"/>
        <v>336063</v>
      </c>
      <c r="BS23" s="135">
        <f t="shared" si="17"/>
        <v>783746</v>
      </c>
      <c r="BT23" s="135">
        <f t="shared" si="17"/>
        <v>336972</v>
      </c>
      <c r="BU23" s="135">
        <f t="shared" si="17"/>
        <v>414164</v>
      </c>
      <c r="BV23" s="135">
        <f t="shared" si="17"/>
        <v>604122</v>
      </c>
      <c r="BW23" s="135">
        <f t="shared" si="17"/>
        <v>675545</v>
      </c>
      <c r="BX23" s="135">
        <f t="shared" si="17"/>
        <v>233323</v>
      </c>
      <c r="BY23" s="134">
        <f t="shared" si="17"/>
        <v>9646000</v>
      </c>
      <c r="BZ23" s="134">
        <f t="shared" si="17"/>
        <v>9210663</v>
      </c>
      <c r="CA23" s="134">
        <f t="shared" si="17"/>
        <v>9103757</v>
      </c>
      <c r="CB23" s="134">
        <f t="shared" si="17"/>
        <v>8225025</v>
      </c>
      <c r="CC23" s="134">
        <f t="shared" si="17"/>
        <v>7675183</v>
      </c>
      <c r="CD23" s="134">
        <f t="shared" si="17"/>
        <v>7191228</v>
      </c>
      <c r="CF23" s="145">
        <f>SUM(Z23:AK23)</f>
        <v>9172023</v>
      </c>
      <c r="CG23" s="145">
        <f>SUM(AL23:AW23)</f>
        <v>8446008</v>
      </c>
    </row>
    <row r="24" spans="1:85" s="98" customFormat="1" outlineLevel="2">
      <c r="A24" s="10">
        <v>2</v>
      </c>
      <c r="B24" s="10">
        <v>68</v>
      </c>
      <c r="C24" s="10" t="s">
        <v>390</v>
      </c>
      <c r="D24" s="131" t="s">
        <v>49</v>
      </c>
      <c r="E24" s="121">
        <v>441728389</v>
      </c>
      <c r="F24" s="121">
        <v>397586419</v>
      </c>
      <c r="G24" s="121">
        <v>392360207</v>
      </c>
      <c r="H24" s="121">
        <v>421796963</v>
      </c>
      <c r="I24" s="121">
        <v>457087321</v>
      </c>
      <c r="J24" s="121">
        <v>490827558</v>
      </c>
      <c r="K24" s="121">
        <v>530312567</v>
      </c>
      <c r="L24" s="121">
        <v>522337881</v>
      </c>
      <c r="M24" s="121">
        <v>527081153</v>
      </c>
      <c r="N24" s="121">
        <v>506384709</v>
      </c>
      <c r="O24" s="121">
        <v>467223168</v>
      </c>
      <c r="P24" s="121">
        <v>448135582</v>
      </c>
      <c r="Q24" s="121">
        <v>436741144</v>
      </c>
      <c r="R24" s="121">
        <v>381590770</v>
      </c>
      <c r="S24" s="121">
        <v>366544689</v>
      </c>
      <c r="T24" s="121">
        <v>383087935</v>
      </c>
      <c r="U24" s="121">
        <v>446963243</v>
      </c>
      <c r="V24" s="121">
        <v>518404190</v>
      </c>
      <c r="W24" s="121">
        <v>541422717</v>
      </c>
      <c r="X24" s="121">
        <v>534362280</v>
      </c>
      <c r="Y24" s="121">
        <v>529594063</v>
      </c>
      <c r="Z24" s="121">
        <v>489173859</v>
      </c>
      <c r="AA24" s="121">
        <v>449253910</v>
      </c>
      <c r="AB24" s="121">
        <v>435176168</v>
      </c>
      <c r="AC24" s="121">
        <v>405749033</v>
      </c>
      <c r="AD24" s="121">
        <v>396430104</v>
      </c>
      <c r="AE24" s="121">
        <v>371741705</v>
      </c>
      <c r="AF24" s="121">
        <v>388779178</v>
      </c>
      <c r="AG24" s="121">
        <v>441210633</v>
      </c>
      <c r="AH24" s="121">
        <v>479639242</v>
      </c>
      <c r="AI24" s="121">
        <v>521580885</v>
      </c>
      <c r="AJ24" s="121">
        <v>505827607</v>
      </c>
      <c r="AK24" s="121">
        <v>503156630</v>
      </c>
      <c r="AL24" s="121">
        <v>484776552</v>
      </c>
      <c r="AM24" s="121">
        <v>448838152</v>
      </c>
      <c r="AN24" s="121">
        <v>436306257</v>
      </c>
      <c r="AO24" s="130">
        <v>407674328</v>
      </c>
      <c r="AP24" s="130">
        <v>398340820</v>
      </c>
      <c r="AQ24" s="130">
        <v>373450529</v>
      </c>
      <c r="AR24" s="130">
        <v>390772368</v>
      </c>
      <c r="AS24" s="130">
        <v>443479554</v>
      </c>
      <c r="AT24" s="130">
        <v>482187894</v>
      </c>
      <c r="AU24" s="130">
        <v>524491111</v>
      </c>
      <c r="AV24" s="130">
        <v>509077501</v>
      </c>
      <c r="AW24" s="130">
        <v>507050384</v>
      </c>
      <c r="AX24" s="130">
        <v>489518280</v>
      </c>
      <c r="AY24" s="130">
        <v>454492654</v>
      </c>
      <c r="AZ24" s="130">
        <v>443070282</v>
      </c>
      <c r="BA24" s="130">
        <v>414252683</v>
      </c>
      <c r="BB24" s="130">
        <v>404671019</v>
      </c>
      <c r="BC24" s="130">
        <v>379034387</v>
      </c>
      <c r="BD24" s="130">
        <v>396235355</v>
      </c>
      <c r="BE24" s="130">
        <v>449066913</v>
      </c>
      <c r="BF24" s="130">
        <v>487364525</v>
      </c>
      <c r="BG24" s="130">
        <v>530833909</v>
      </c>
      <c r="BH24" s="130">
        <v>515507504</v>
      </c>
      <c r="BI24" s="130">
        <v>513928566</v>
      </c>
      <c r="BJ24" s="130">
        <v>496683305</v>
      </c>
      <c r="BK24" s="130">
        <v>462343015</v>
      </c>
      <c r="BL24" s="130">
        <v>451677846</v>
      </c>
      <c r="BM24" s="130">
        <v>430726869</v>
      </c>
      <c r="BN24" s="130">
        <v>413521453</v>
      </c>
      <c r="BO24" s="130">
        <v>386644211</v>
      </c>
      <c r="BP24" s="130">
        <v>403392543</v>
      </c>
      <c r="BQ24" s="130">
        <v>458277707</v>
      </c>
      <c r="BR24" s="130">
        <v>498610748</v>
      </c>
      <c r="BS24" s="130">
        <v>539938101</v>
      </c>
      <c r="BT24" s="130">
        <v>522273379</v>
      </c>
      <c r="BU24" s="130">
        <v>520562104</v>
      </c>
      <c r="BV24" s="130">
        <v>504394143</v>
      </c>
      <c r="BW24" s="130">
        <v>468206567</v>
      </c>
      <c r="BX24" s="130">
        <v>461327667</v>
      </c>
      <c r="BY24" s="132">
        <f>SUM(E24:P24)</f>
        <v>5602861917</v>
      </c>
      <c r="BZ24" s="132">
        <f>SUM(Q24:AB24)</f>
        <v>5512314968</v>
      </c>
      <c r="CA24" s="132">
        <f>SUM(AC24:AN24)</f>
        <v>5384035978</v>
      </c>
      <c r="CB24" s="132">
        <f>SUM(AO24:AZ24)</f>
        <v>5423605705</v>
      </c>
      <c r="CC24" s="132">
        <f>SUM(BA24:BL24)</f>
        <v>5501599027</v>
      </c>
      <c r="CD24" s="132">
        <f>SUM(BM24:BX24)</f>
        <v>5607875492</v>
      </c>
    </row>
    <row r="25" spans="1:85" s="98" customFormat="1" outlineLevel="2">
      <c r="A25" s="10">
        <v>3</v>
      </c>
      <c r="B25" s="10">
        <v>68</v>
      </c>
      <c r="C25" s="10" t="s">
        <v>390</v>
      </c>
      <c r="D25" s="131" t="s">
        <v>49</v>
      </c>
      <c r="E25" s="121">
        <v>5565476</v>
      </c>
      <c r="F25" s="121">
        <v>4612112</v>
      </c>
      <c r="G25" s="121">
        <v>4810153</v>
      </c>
      <c r="H25" s="121">
        <v>4835683</v>
      </c>
      <c r="I25" s="121">
        <v>5075560</v>
      </c>
      <c r="J25" s="121">
        <v>5760393</v>
      </c>
      <c r="K25" s="121">
        <v>6184488</v>
      </c>
      <c r="L25" s="121">
        <v>5655997</v>
      </c>
      <c r="M25" s="121">
        <v>5573904</v>
      </c>
      <c r="N25" s="121">
        <v>5420596</v>
      </c>
      <c r="O25" s="121">
        <v>4734074</v>
      </c>
      <c r="P25" s="121">
        <v>4670677</v>
      </c>
      <c r="Q25" s="121">
        <v>4926768</v>
      </c>
      <c r="R25" s="121">
        <v>4096777</v>
      </c>
      <c r="S25" s="121">
        <v>3927844</v>
      </c>
      <c r="T25" s="121">
        <v>4044082</v>
      </c>
      <c r="U25" s="121">
        <v>4389221</v>
      </c>
      <c r="V25" s="121">
        <v>4867577</v>
      </c>
      <c r="W25" s="121">
        <v>5137021</v>
      </c>
      <c r="X25" s="121">
        <v>5090910</v>
      </c>
      <c r="Y25" s="121">
        <v>5178269</v>
      </c>
      <c r="Z25" s="121">
        <v>5093602</v>
      </c>
      <c r="AA25" s="121">
        <v>5084423</v>
      </c>
      <c r="AB25" s="121">
        <v>3066127</v>
      </c>
      <c r="AC25" s="121">
        <v>4600647</v>
      </c>
      <c r="AD25" s="121">
        <v>4172124</v>
      </c>
      <c r="AE25" s="121">
        <v>4905461</v>
      </c>
      <c r="AF25" s="121">
        <v>3962464</v>
      </c>
      <c r="AG25" s="121">
        <v>4117460</v>
      </c>
      <c r="AH25" s="121">
        <v>3912495</v>
      </c>
      <c r="AI25" s="121">
        <v>4804956</v>
      </c>
      <c r="AJ25" s="121">
        <v>4425725</v>
      </c>
      <c r="AK25" s="121">
        <v>4696126</v>
      </c>
      <c r="AL25" s="121">
        <v>5008298</v>
      </c>
      <c r="AM25" s="121">
        <v>5022938</v>
      </c>
      <c r="AN25" s="121">
        <v>2981486</v>
      </c>
      <c r="AO25" s="130">
        <v>4459624</v>
      </c>
      <c r="AP25" s="130">
        <v>4048201</v>
      </c>
      <c r="AQ25" s="130">
        <v>4786231</v>
      </c>
      <c r="AR25" s="130">
        <v>3778480</v>
      </c>
      <c r="AS25" s="130">
        <v>3930073</v>
      </c>
      <c r="AT25" s="130">
        <v>3679147</v>
      </c>
      <c r="AU25" s="130">
        <v>4541155</v>
      </c>
      <c r="AV25" s="130">
        <v>4155157</v>
      </c>
      <c r="AW25" s="130">
        <v>4395456</v>
      </c>
      <c r="AX25" s="130">
        <v>4677025</v>
      </c>
      <c r="AY25" s="130">
        <v>4739952</v>
      </c>
      <c r="AZ25" s="130">
        <v>2683596</v>
      </c>
      <c r="BA25" s="130">
        <v>4264257</v>
      </c>
      <c r="BB25" s="130">
        <v>3920656</v>
      </c>
      <c r="BC25" s="130">
        <v>4680720</v>
      </c>
      <c r="BD25" s="130">
        <v>3657869</v>
      </c>
      <c r="BE25" s="130">
        <v>3811620</v>
      </c>
      <c r="BF25" s="130">
        <v>3575219</v>
      </c>
      <c r="BG25" s="130">
        <v>4458804</v>
      </c>
      <c r="BH25" s="130">
        <v>4062065</v>
      </c>
      <c r="BI25" s="130">
        <v>4332788</v>
      </c>
      <c r="BJ25" s="130">
        <v>4613555</v>
      </c>
      <c r="BK25" s="130">
        <v>4725074</v>
      </c>
      <c r="BL25" s="130">
        <v>2654199</v>
      </c>
      <c r="BM25" s="130">
        <v>4298883</v>
      </c>
      <c r="BN25" s="130">
        <v>3945533</v>
      </c>
      <c r="BO25" s="130">
        <v>4713384</v>
      </c>
      <c r="BP25" s="130">
        <v>3659127</v>
      </c>
      <c r="BQ25" s="130">
        <v>3810856</v>
      </c>
      <c r="BR25" s="130">
        <v>3324493</v>
      </c>
      <c r="BS25" s="130">
        <v>4153549</v>
      </c>
      <c r="BT25" s="130">
        <v>3794945</v>
      </c>
      <c r="BU25" s="130">
        <v>4032122</v>
      </c>
      <c r="BV25" s="130">
        <v>4311832</v>
      </c>
      <c r="BW25" s="130">
        <v>4411747</v>
      </c>
      <c r="BX25" s="130">
        <v>2452292</v>
      </c>
      <c r="BY25" s="132">
        <f>SUM(E25:P25)</f>
        <v>62899113</v>
      </c>
      <c r="BZ25" s="132">
        <f>SUM(Q25:AB25)</f>
        <v>54902621</v>
      </c>
      <c r="CA25" s="132">
        <f>SUM(AC25:AN25)</f>
        <v>52610180</v>
      </c>
      <c r="CB25" s="132">
        <f>SUM(AO25:AZ25)</f>
        <v>49874097</v>
      </c>
      <c r="CC25" s="132">
        <f>SUM(BA25:BL25)</f>
        <v>48756826</v>
      </c>
      <c r="CD25" s="132">
        <f>SUM(BM25:BX25)</f>
        <v>46908763</v>
      </c>
    </row>
    <row r="26" spans="1:85" s="98" customFormat="1" outlineLevel="2">
      <c r="A26" s="10">
        <v>2</v>
      </c>
      <c r="B26" s="10">
        <v>69</v>
      </c>
      <c r="C26" s="10" t="s">
        <v>389</v>
      </c>
      <c r="D26" s="131" t="s">
        <v>49</v>
      </c>
      <c r="E26" s="121">
        <v>1917049</v>
      </c>
      <c r="F26" s="121">
        <v>1791633</v>
      </c>
      <c r="G26" s="121">
        <v>1784313</v>
      </c>
      <c r="H26" s="121">
        <v>1894641</v>
      </c>
      <c r="I26" s="121">
        <v>1853431</v>
      </c>
      <c r="J26" s="121">
        <v>1860161</v>
      </c>
      <c r="K26" s="121">
        <v>1912719</v>
      </c>
      <c r="L26" s="121">
        <v>1871174</v>
      </c>
      <c r="M26" s="121">
        <v>1954748</v>
      </c>
      <c r="N26" s="121">
        <v>1962778</v>
      </c>
      <c r="O26" s="121">
        <v>2029944</v>
      </c>
      <c r="P26" s="121">
        <v>2042584</v>
      </c>
      <c r="Q26" s="121">
        <v>1875877</v>
      </c>
      <c r="R26" s="121">
        <v>1686223</v>
      </c>
      <c r="S26" s="121">
        <v>1642532</v>
      </c>
      <c r="T26" s="121">
        <v>1617846</v>
      </c>
      <c r="U26" s="121">
        <v>1669778</v>
      </c>
      <c r="V26" s="121">
        <v>1778799</v>
      </c>
      <c r="W26" s="121">
        <v>1786068</v>
      </c>
      <c r="X26" s="121">
        <v>1718563</v>
      </c>
      <c r="Y26" s="121">
        <v>1755370</v>
      </c>
      <c r="Z26" s="121">
        <v>1756288</v>
      </c>
      <c r="AA26" s="121">
        <v>1806858</v>
      </c>
      <c r="AB26" s="121">
        <v>1883765</v>
      </c>
      <c r="AC26" s="121">
        <v>1686204</v>
      </c>
      <c r="AD26" s="121">
        <v>1721326</v>
      </c>
      <c r="AE26" s="121">
        <v>1661169</v>
      </c>
      <c r="AF26" s="121">
        <v>1641861</v>
      </c>
      <c r="AG26" s="121">
        <v>1634402</v>
      </c>
      <c r="AH26" s="121">
        <v>1662362</v>
      </c>
      <c r="AI26" s="121">
        <v>1734735</v>
      </c>
      <c r="AJ26" s="121">
        <v>1627759</v>
      </c>
      <c r="AK26" s="121">
        <v>1666607</v>
      </c>
      <c r="AL26" s="121">
        <v>1738087</v>
      </c>
      <c r="AM26" s="121">
        <v>1805242</v>
      </c>
      <c r="AN26" s="121">
        <v>1891417</v>
      </c>
      <c r="AO26" s="130">
        <v>1695899</v>
      </c>
      <c r="AP26" s="130">
        <v>1730562</v>
      </c>
      <c r="AQ26" s="130">
        <v>1668981</v>
      </c>
      <c r="AR26" s="130">
        <v>1649756</v>
      </c>
      <c r="AS26" s="130">
        <v>1641475</v>
      </c>
      <c r="AT26" s="130">
        <v>1672229</v>
      </c>
      <c r="AU26" s="130">
        <v>1744660</v>
      </c>
      <c r="AV26" s="130">
        <v>1637699</v>
      </c>
      <c r="AW26" s="130">
        <v>1681424</v>
      </c>
      <c r="AX26" s="130">
        <v>1756306</v>
      </c>
      <c r="AY26" s="130">
        <v>1824964</v>
      </c>
      <c r="AZ26" s="130">
        <v>1920408</v>
      </c>
      <c r="BA26" s="130">
        <v>1722233</v>
      </c>
      <c r="BB26" s="130">
        <v>1756291</v>
      </c>
      <c r="BC26" s="130">
        <v>1694768</v>
      </c>
      <c r="BD26" s="130">
        <v>1672964</v>
      </c>
      <c r="BE26" s="130">
        <v>1664462</v>
      </c>
      <c r="BF26" s="130">
        <v>1688291</v>
      </c>
      <c r="BG26" s="130">
        <v>1766080</v>
      </c>
      <c r="BH26" s="130">
        <v>1660842</v>
      </c>
      <c r="BI26" s="130">
        <v>1702508</v>
      </c>
      <c r="BJ26" s="130">
        <v>1782552</v>
      </c>
      <c r="BK26" s="130">
        <v>1859486</v>
      </c>
      <c r="BL26" s="130">
        <v>1956031</v>
      </c>
      <c r="BM26" s="130">
        <v>1791553</v>
      </c>
      <c r="BN26" s="130">
        <v>1794513</v>
      </c>
      <c r="BO26" s="130">
        <v>1727597</v>
      </c>
      <c r="BP26" s="130">
        <v>1704262</v>
      </c>
      <c r="BQ26" s="130">
        <v>1699267</v>
      </c>
      <c r="BR26" s="130">
        <v>1727560</v>
      </c>
      <c r="BS26" s="130">
        <v>1796292</v>
      </c>
      <c r="BT26" s="130">
        <v>1682195</v>
      </c>
      <c r="BU26" s="130">
        <v>1726898</v>
      </c>
      <c r="BV26" s="130">
        <v>1808976</v>
      </c>
      <c r="BW26" s="130">
        <v>1881346</v>
      </c>
      <c r="BX26" s="130">
        <v>1999311</v>
      </c>
      <c r="BY26" s="132">
        <f>SUM(E26:P26)</f>
        <v>22875175</v>
      </c>
      <c r="BZ26" s="132">
        <f>SUM(Q26:AB26)</f>
        <v>20977967</v>
      </c>
      <c r="CA26" s="132">
        <f>SUM(AC26:AN26)</f>
        <v>20471171</v>
      </c>
      <c r="CB26" s="132">
        <f>SUM(AO26:AZ26)</f>
        <v>20624363</v>
      </c>
      <c r="CC26" s="132">
        <f>SUM(BA26:BL26)</f>
        <v>20926508</v>
      </c>
      <c r="CD26" s="132">
        <f>SUM(BM26:BX26)</f>
        <v>21339770</v>
      </c>
    </row>
    <row r="27" spans="1:85" s="98" customFormat="1" outlineLevel="2">
      <c r="A27" s="10">
        <v>3</v>
      </c>
      <c r="B27" s="10">
        <v>69</v>
      </c>
      <c r="C27" s="10" t="s">
        <v>389</v>
      </c>
      <c r="D27" s="131" t="s">
        <v>49</v>
      </c>
      <c r="E27" s="121">
        <v>39953</v>
      </c>
      <c r="F27" s="121">
        <v>32266</v>
      </c>
      <c r="G27" s="121">
        <v>35060</v>
      </c>
      <c r="H27" s="121">
        <v>27155</v>
      </c>
      <c r="I27" s="121">
        <v>31000</v>
      </c>
      <c r="J27" s="121">
        <v>13987</v>
      </c>
      <c r="K27" s="121">
        <v>19134</v>
      </c>
      <c r="L27" s="121">
        <v>23848</v>
      </c>
      <c r="M27" s="121">
        <v>36709</v>
      </c>
      <c r="N27" s="121">
        <v>30856</v>
      </c>
      <c r="O27" s="121">
        <v>43897</v>
      </c>
      <c r="P27" s="121">
        <v>34225</v>
      </c>
      <c r="Q27" s="121">
        <v>31048</v>
      </c>
      <c r="R27" s="121">
        <v>21761</v>
      </c>
      <c r="S27" s="121">
        <v>21358</v>
      </c>
      <c r="T27" s="121">
        <v>25461</v>
      </c>
      <c r="U27" s="121">
        <v>30095</v>
      </c>
      <c r="V27" s="121">
        <v>34971</v>
      </c>
      <c r="W27" s="121">
        <v>30595</v>
      </c>
      <c r="X27" s="121">
        <v>27489</v>
      </c>
      <c r="Y27" s="121">
        <v>23048</v>
      </c>
      <c r="Z27" s="121">
        <v>28646</v>
      </c>
      <c r="AA27" s="121">
        <v>46086</v>
      </c>
      <c r="AB27" s="121">
        <v>20756</v>
      </c>
      <c r="AC27" s="121">
        <v>29668</v>
      </c>
      <c r="AD27" s="121">
        <v>22845</v>
      </c>
      <c r="AE27" s="121">
        <v>26095</v>
      </c>
      <c r="AF27" s="121">
        <v>22502</v>
      </c>
      <c r="AG27" s="121">
        <v>25234</v>
      </c>
      <c r="AH27" s="121">
        <v>24224</v>
      </c>
      <c r="AI27" s="121">
        <v>28609</v>
      </c>
      <c r="AJ27" s="121">
        <v>22759</v>
      </c>
      <c r="AK27" s="121">
        <v>20916</v>
      </c>
      <c r="AL27" s="121">
        <v>27777</v>
      </c>
      <c r="AM27" s="121">
        <v>44693</v>
      </c>
      <c r="AN27" s="121">
        <v>19730</v>
      </c>
      <c r="AO27" s="130">
        <v>28715</v>
      </c>
      <c r="AP27" s="130">
        <v>22872</v>
      </c>
      <c r="AQ27" s="130">
        <v>26219</v>
      </c>
      <c r="AR27" s="130">
        <v>22074</v>
      </c>
      <c r="AS27" s="130">
        <v>23734</v>
      </c>
      <c r="AT27" s="130">
        <v>22451</v>
      </c>
      <c r="AU27" s="130">
        <v>26673</v>
      </c>
      <c r="AV27" s="130">
        <v>21101</v>
      </c>
      <c r="AW27" s="130">
        <v>19364</v>
      </c>
      <c r="AX27" s="130">
        <v>25695</v>
      </c>
      <c r="AY27" s="130">
        <v>41848</v>
      </c>
      <c r="AZ27" s="130">
        <v>17648</v>
      </c>
      <c r="BA27" s="130">
        <v>27300</v>
      </c>
      <c r="BB27" s="130">
        <v>21887</v>
      </c>
      <c r="BC27" s="130">
        <v>25376</v>
      </c>
      <c r="BD27" s="130">
        <v>21174</v>
      </c>
      <c r="BE27" s="130">
        <v>22832</v>
      </c>
      <c r="BF27" s="130">
        <v>21659</v>
      </c>
      <c r="BG27" s="130">
        <v>26025</v>
      </c>
      <c r="BH27" s="130">
        <v>20523</v>
      </c>
      <c r="BI27" s="130">
        <v>19008</v>
      </c>
      <c r="BJ27" s="130">
        <v>25262</v>
      </c>
      <c r="BK27" s="130">
        <v>41620</v>
      </c>
      <c r="BL27" s="130">
        <v>18110</v>
      </c>
      <c r="BM27" s="130">
        <v>27471</v>
      </c>
      <c r="BN27" s="130">
        <v>21991</v>
      </c>
      <c r="BO27" s="130">
        <v>25548</v>
      </c>
      <c r="BP27" s="130">
        <v>21209</v>
      </c>
      <c r="BQ27" s="130">
        <v>22887</v>
      </c>
      <c r="BR27" s="130">
        <v>20237</v>
      </c>
      <c r="BS27" s="130">
        <v>24391</v>
      </c>
      <c r="BT27" s="130">
        <v>19313</v>
      </c>
      <c r="BU27" s="130">
        <v>17839</v>
      </c>
      <c r="BV27" s="130">
        <v>23840</v>
      </c>
      <c r="BW27" s="130">
        <v>39279</v>
      </c>
      <c r="BX27" s="130">
        <v>16297</v>
      </c>
      <c r="BY27" s="132">
        <f>SUM(E27:P27)</f>
        <v>368090</v>
      </c>
      <c r="BZ27" s="132">
        <f>SUM(Q27:AB27)</f>
        <v>341314</v>
      </c>
      <c r="CA27" s="132">
        <f>SUM(AC27:AN27)</f>
        <v>315052</v>
      </c>
      <c r="CB27" s="132">
        <f>SUM(AO27:AZ27)</f>
        <v>298394</v>
      </c>
      <c r="CC27" s="132">
        <f>SUM(BA27:BL27)</f>
        <v>290776</v>
      </c>
      <c r="CD27" s="132">
        <f>SUM(BM27:BX27)</f>
        <v>280302</v>
      </c>
    </row>
    <row r="28" spans="1:85" s="98" customFormat="1" outlineLevel="2">
      <c r="A28" s="10">
        <v>2</v>
      </c>
      <c r="B28" s="10">
        <v>78</v>
      </c>
      <c r="C28" s="10" t="s">
        <v>388</v>
      </c>
      <c r="D28" s="131" t="s">
        <v>49</v>
      </c>
      <c r="E28" s="121">
        <v>1920</v>
      </c>
      <c r="F28" s="121">
        <v>1920</v>
      </c>
      <c r="G28" s="121">
        <v>1920</v>
      </c>
      <c r="H28" s="121">
        <v>1920</v>
      </c>
      <c r="I28" s="121">
        <v>1920</v>
      </c>
      <c r="J28" s="121">
        <v>1920</v>
      </c>
      <c r="K28" s="121">
        <v>1920</v>
      </c>
      <c r="L28" s="121">
        <v>1920</v>
      </c>
      <c r="M28" s="121">
        <v>1920</v>
      </c>
      <c r="N28" s="121">
        <v>1920</v>
      </c>
      <c r="O28" s="121">
        <v>1920</v>
      </c>
      <c r="P28" s="121">
        <v>1920</v>
      </c>
      <c r="Q28" s="121">
        <v>1920</v>
      </c>
      <c r="R28" s="121">
        <v>1920</v>
      </c>
      <c r="S28" s="121">
        <v>-400</v>
      </c>
      <c r="T28" s="121">
        <v>0</v>
      </c>
      <c r="U28" s="121">
        <v>0</v>
      </c>
      <c r="V28" s="121">
        <v>0</v>
      </c>
      <c r="W28" s="121">
        <v>0</v>
      </c>
      <c r="X28" s="121">
        <v>0</v>
      </c>
      <c r="Y28" s="121">
        <v>0</v>
      </c>
      <c r="Z28" s="121">
        <v>0</v>
      </c>
      <c r="AA28" s="121">
        <v>0</v>
      </c>
      <c r="AB28" s="121">
        <v>0</v>
      </c>
      <c r="AC28" s="121">
        <v>0</v>
      </c>
      <c r="AD28" s="121">
        <v>0</v>
      </c>
      <c r="AE28" s="121">
        <v>0</v>
      </c>
      <c r="AF28" s="121">
        <v>0</v>
      </c>
      <c r="AG28" s="121">
        <v>0</v>
      </c>
      <c r="AH28" s="121">
        <v>0</v>
      </c>
      <c r="AI28" s="121">
        <v>0</v>
      </c>
      <c r="AJ28" s="121">
        <v>0</v>
      </c>
      <c r="AK28" s="121">
        <v>0</v>
      </c>
      <c r="AL28" s="121">
        <v>0</v>
      </c>
      <c r="AM28" s="121">
        <v>0</v>
      </c>
      <c r="AN28" s="121">
        <v>0</v>
      </c>
      <c r="AO28" s="130">
        <v>0</v>
      </c>
      <c r="AP28" s="130">
        <v>0</v>
      </c>
      <c r="AQ28" s="130">
        <v>0</v>
      </c>
      <c r="AR28" s="130">
        <v>0</v>
      </c>
      <c r="AS28" s="130">
        <v>0</v>
      </c>
      <c r="AT28" s="130">
        <v>0</v>
      </c>
      <c r="AU28" s="130">
        <v>0</v>
      </c>
      <c r="AV28" s="130">
        <v>0</v>
      </c>
      <c r="AW28" s="130">
        <v>0</v>
      </c>
      <c r="AX28" s="130">
        <v>0</v>
      </c>
      <c r="AY28" s="130">
        <v>0</v>
      </c>
      <c r="AZ28" s="130">
        <v>0</v>
      </c>
      <c r="BA28" s="130">
        <v>0</v>
      </c>
      <c r="BB28" s="130">
        <v>0</v>
      </c>
      <c r="BC28" s="130">
        <v>0</v>
      </c>
      <c r="BD28" s="130">
        <v>0</v>
      </c>
      <c r="BE28" s="130">
        <v>0</v>
      </c>
      <c r="BF28" s="130">
        <v>0</v>
      </c>
      <c r="BG28" s="130">
        <v>0</v>
      </c>
      <c r="BH28" s="130">
        <v>0</v>
      </c>
      <c r="BI28" s="130">
        <v>0</v>
      </c>
      <c r="BJ28" s="130">
        <v>0</v>
      </c>
      <c r="BK28" s="130">
        <v>0</v>
      </c>
      <c r="BL28" s="130">
        <v>0</v>
      </c>
      <c r="BM28" s="130">
        <v>0</v>
      </c>
      <c r="BN28" s="130">
        <v>0</v>
      </c>
      <c r="BO28" s="130">
        <v>0</v>
      </c>
      <c r="BP28" s="130">
        <v>0</v>
      </c>
      <c r="BQ28" s="130">
        <v>0</v>
      </c>
      <c r="BR28" s="130">
        <v>0</v>
      </c>
      <c r="BS28" s="130">
        <v>0</v>
      </c>
      <c r="BT28" s="130">
        <v>0</v>
      </c>
      <c r="BU28" s="130">
        <v>0</v>
      </c>
      <c r="BV28" s="130">
        <v>0</v>
      </c>
      <c r="BW28" s="130">
        <v>0</v>
      </c>
      <c r="BX28" s="130">
        <v>0</v>
      </c>
      <c r="BY28" s="132">
        <f>SUM(E28:P28)</f>
        <v>23040</v>
      </c>
      <c r="BZ28" s="132">
        <f>SUM(Q28:AB28)</f>
        <v>3440</v>
      </c>
      <c r="CA28" s="132">
        <f>SUM(AC28:AN28)</f>
        <v>0</v>
      </c>
      <c r="CB28" s="132">
        <f>SUM(AO28:AZ28)</f>
        <v>0</v>
      </c>
      <c r="CC28" s="132">
        <f>SUM(BA28:BL28)</f>
        <v>0</v>
      </c>
      <c r="CD28" s="132">
        <f>SUM(BM28:BX28)</f>
        <v>0</v>
      </c>
    </row>
    <row r="29" spans="1:85" s="98" customFormat="1" outlineLevel="1">
      <c r="A29" s="10"/>
      <c r="B29" s="10"/>
      <c r="C29" s="10"/>
      <c r="D29" s="137" t="s">
        <v>387</v>
      </c>
      <c r="E29" s="136">
        <f t="shared" ref="E29:AJ29" si="18">SUBTOTAL(9,E24:E28)</f>
        <v>449252787</v>
      </c>
      <c r="F29" s="136">
        <f t="shared" si="18"/>
        <v>404024350</v>
      </c>
      <c r="G29" s="136">
        <f t="shared" si="18"/>
        <v>398991653</v>
      </c>
      <c r="H29" s="136">
        <f t="shared" si="18"/>
        <v>428556362</v>
      </c>
      <c r="I29" s="136">
        <f t="shared" si="18"/>
        <v>464049232</v>
      </c>
      <c r="J29" s="136">
        <f t="shared" si="18"/>
        <v>498464019</v>
      </c>
      <c r="K29" s="136">
        <f t="shared" si="18"/>
        <v>538430828</v>
      </c>
      <c r="L29" s="136">
        <f t="shared" si="18"/>
        <v>529890820</v>
      </c>
      <c r="M29" s="136">
        <f t="shared" si="18"/>
        <v>534648434</v>
      </c>
      <c r="N29" s="136">
        <f t="shared" si="18"/>
        <v>513800859</v>
      </c>
      <c r="O29" s="136">
        <f t="shared" si="18"/>
        <v>474033003</v>
      </c>
      <c r="P29" s="136">
        <f t="shared" si="18"/>
        <v>454884988</v>
      </c>
      <c r="Q29" s="136">
        <f t="shared" si="18"/>
        <v>443576757</v>
      </c>
      <c r="R29" s="136">
        <f t="shared" si="18"/>
        <v>387397451</v>
      </c>
      <c r="S29" s="136">
        <f t="shared" si="18"/>
        <v>372136023</v>
      </c>
      <c r="T29" s="136">
        <f t="shared" si="18"/>
        <v>388775324</v>
      </c>
      <c r="U29" s="136">
        <f t="shared" si="18"/>
        <v>453052337</v>
      </c>
      <c r="V29" s="136">
        <f t="shared" si="18"/>
        <v>525085537</v>
      </c>
      <c r="W29" s="136">
        <f t="shared" si="18"/>
        <v>548376401</v>
      </c>
      <c r="X29" s="136">
        <f t="shared" si="18"/>
        <v>541199242</v>
      </c>
      <c r="Y29" s="136">
        <f t="shared" si="18"/>
        <v>536550750</v>
      </c>
      <c r="Z29" s="136">
        <f t="shared" si="18"/>
        <v>496052395</v>
      </c>
      <c r="AA29" s="136">
        <f t="shared" si="18"/>
        <v>456191277</v>
      </c>
      <c r="AB29" s="136">
        <f t="shared" si="18"/>
        <v>440146816</v>
      </c>
      <c r="AC29" s="136">
        <f t="shared" si="18"/>
        <v>412065552</v>
      </c>
      <c r="AD29" s="136">
        <f t="shared" si="18"/>
        <v>402346399</v>
      </c>
      <c r="AE29" s="136">
        <f t="shared" si="18"/>
        <v>378334430</v>
      </c>
      <c r="AF29" s="136">
        <f t="shared" si="18"/>
        <v>394406005</v>
      </c>
      <c r="AG29" s="136">
        <f t="shared" si="18"/>
        <v>446987729</v>
      </c>
      <c r="AH29" s="136">
        <f t="shared" si="18"/>
        <v>485238323</v>
      </c>
      <c r="AI29" s="136">
        <f t="shared" si="18"/>
        <v>528149185</v>
      </c>
      <c r="AJ29" s="136">
        <f t="shared" si="18"/>
        <v>511903850</v>
      </c>
      <c r="AK29" s="136">
        <f t="shared" ref="AK29:BP29" si="19">SUBTOTAL(9,AK24:AK28)</f>
        <v>509540279</v>
      </c>
      <c r="AL29" s="136">
        <f t="shared" si="19"/>
        <v>491550714</v>
      </c>
      <c r="AM29" s="136">
        <f t="shared" si="19"/>
        <v>455711025</v>
      </c>
      <c r="AN29" s="136">
        <f t="shared" si="19"/>
        <v>441198890</v>
      </c>
      <c r="AO29" s="135">
        <f t="shared" si="19"/>
        <v>413858566</v>
      </c>
      <c r="AP29" s="135">
        <f t="shared" si="19"/>
        <v>404142455</v>
      </c>
      <c r="AQ29" s="135">
        <f t="shared" si="19"/>
        <v>379931960</v>
      </c>
      <c r="AR29" s="135">
        <f t="shared" si="19"/>
        <v>396222678</v>
      </c>
      <c r="AS29" s="135">
        <f t="shared" si="19"/>
        <v>449074836</v>
      </c>
      <c r="AT29" s="135">
        <f t="shared" si="19"/>
        <v>487561721</v>
      </c>
      <c r="AU29" s="135">
        <f t="shared" si="19"/>
        <v>530803599</v>
      </c>
      <c r="AV29" s="135">
        <f t="shared" si="19"/>
        <v>514891458</v>
      </c>
      <c r="AW29" s="135">
        <f t="shared" si="19"/>
        <v>513146628</v>
      </c>
      <c r="AX29" s="135">
        <f t="shared" si="19"/>
        <v>495977306</v>
      </c>
      <c r="AY29" s="135">
        <f t="shared" si="19"/>
        <v>461099418</v>
      </c>
      <c r="AZ29" s="135">
        <f t="shared" si="19"/>
        <v>447691934</v>
      </c>
      <c r="BA29" s="135">
        <f t="shared" si="19"/>
        <v>420266473</v>
      </c>
      <c r="BB29" s="135">
        <f t="shared" si="19"/>
        <v>410369853</v>
      </c>
      <c r="BC29" s="135">
        <f t="shared" si="19"/>
        <v>385435251</v>
      </c>
      <c r="BD29" s="135">
        <f t="shared" si="19"/>
        <v>401587362</v>
      </c>
      <c r="BE29" s="135">
        <f t="shared" si="19"/>
        <v>454565827</v>
      </c>
      <c r="BF29" s="135">
        <f t="shared" si="19"/>
        <v>492649694</v>
      </c>
      <c r="BG29" s="135">
        <f t="shared" si="19"/>
        <v>537084818</v>
      </c>
      <c r="BH29" s="135">
        <f t="shared" si="19"/>
        <v>521250934</v>
      </c>
      <c r="BI29" s="135">
        <f t="shared" si="19"/>
        <v>519982870</v>
      </c>
      <c r="BJ29" s="135">
        <f t="shared" si="19"/>
        <v>503104674</v>
      </c>
      <c r="BK29" s="135">
        <f t="shared" si="19"/>
        <v>468969195</v>
      </c>
      <c r="BL29" s="135">
        <f t="shared" si="19"/>
        <v>456306186</v>
      </c>
      <c r="BM29" s="135">
        <f t="shared" si="19"/>
        <v>436844776</v>
      </c>
      <c r="BN29" s="135">
        <f t="shared" si="19"/>
        <v>419283490</v>
      </c>
      <c r="BO29" s="135">
        <f t="shared" si="19"/>
        <v>393110740</v>
      </c>
      <c r="BP29" s="135">
        <f t="shared" si="19"/>
        <v>408777141</v>
      </c>
      <c r="BQ29" s="135">
        <f t="shared" ref="BQ29:CD29" si="20">SUBTOTAL(9,BQ24:BQ28)</f>
        <v>463810717</v>
      </c>
      <c r="BR29" s="135">
        <f t="shared" si="20"/>
        <v>503683038</v>
      </c>
      <c r="BS29" s="135">
        <f t="shared" si="20"/>
        <v>545912333</v>
      </c>
      <c r="BT29" s="135">
        <f t="shared" si="20"/>
        <v>527769832</v>
      </c>
      <c r="BU29" s="135">
        <f t="shared" si="20"/>
        <v>526338963</v>
      </c>
      <c r="BV29" s="135">
        <f t="shared" si="20"/>
        <v>510538791</v>
      </c>
      <c r="BW29" s="135">
        <f t="shared" si="20"/>
        <v>474538939</v>
      </c>
      <c r="BX29" s="135">
        <f t="shared" si="20"/>
        <v>465795567</v>
      </c>
      <c r="BY29" s="134">
        <f t="shared" si="20"/>
        <v>5689027335</v>
      </c>
      <c r="BZ29" s="134">
        <f t="shared" si="20"/>
        <v>5588540310</v>
      </c>
      <c r="CA29" s="134">
        <f t="shared" si="20"/>
        <v>5457432381</v>
      </c>
      <c r="CB29" s="134">
        <f t="shared" si="20"/>
        <v>5494402559</v>
      </c>
      <c r="CC29" s="134">
        <f t="shared" si="20"/>
        <v>5571573137</v>
      </c>
      <c r="CD29" s="134">
        <f t="shared" si="20"/>
        <v>5676404327</v>
      </c>
      <c r="CF29" s="145">
        <f>SUM(Z29:AK29)</f>
        <v>5461362240</v>
      </c>
      <c r="CG29" s="145">
        <f>SUM(AL29:AW29)</f>
        <v>5478094530</v>
      </c>
    </row>
    <row r="30" spans="1:85" s="98" customFormat="1" outlineLevel="2">
      <c r="A30" s="10">
        <v>2</v>
      </c>
      <c r="B30" s="10">
        <v>168</v>
      </c>
      <c r="C30" s="10" t="s">
        <v>325</v>
      </c>
      <c r="D30" s="131" t="s">
        <v>325</v>
      </c>
      <c r="E30" s="121">
        <v>2825353</v>
      </c>
      <c r="F30" s="121">
        <v>3744070</v>
      </c>
      <c r="G30" s="121">
        <v>3772654</v>
      </c>
      <c r="H30" s="121">
        <v>4035873</v>
      </c>
      <c r="I30" s="121">
        <v>4024655</v>
      </c>
      <c r="J30" s="121">
        <v>3991866</v>
      </c>
      <c r="K30" s="121">
        <v>3875184</v>
      </c>
      <c r="L30" s="121">
        <v>3628472</v>
      </c>
      <c r="M30" s="121">
        <v>4283935</v>
      </c>
      <c r="N30" s="121">
        <v>4225550</v>
      </c>
      <c r="O30" s="121">
        <v>4088156</v>
      </c>
      <c r="P30" s="121">
        <v>4352033</v>
      </c>
      <c r="Q30" s="121">
        <v>4568168</v>
      </c>
      <c r="R30" s="121">
        <v>3958138</v>
      </c>
      <c r="S30" s="121">
        <v>3704410</v>
      </c>
      <c r="T30" s="121">
        <v>4024086</v>
      </c>
      <c r="U30" s="121">
        <v>4858362</v>
      </c>
      <c r="V30" s="121">
        <v>4782936</v>
      </c>
      <c r="W30" s="121">
        <v>4495661</v>
      </c>
      <c r="X30" s="121">
        <v>4156610</v>
      </c>
      <c r="Y30" s="121">
        <v>4054411</v>
      </c>
      <c r="Z30" s="121">
        <v>3861335</v>
      </c>
      <c r="AA30" s="121">
        <v>3847187</v>
      </c>
      <c r="AB30" s="121">
        <v>3885673</v>
      </c>
      <c r="AC30" s="121">
        <v>3703469</v>
      </c>
      <c r="AD30" s="121">
        <v>4142141</v>
      </c>
      <c r="AE30" s="121">
        <v>4056213</v>
      </c>
      <c r="AF30" s="121">
        <v>4053839</v>
      </c>
      <c r="AG30" s="121">
        <v>3947583</v>
      </c>
      <c r="AH30" s="121">
        <v>3705005</v>
      </c>
      <c r="AI30" s="121">
        <v>3866265</v>
      </c>
      <c r="AJ30" s="121">
        <v>3807537</v>
      </c>
      <c r="AK30" s="121">
        <v>3824708</v>
      </c>
      <c r="AL30" s="121">
        <v>3827174</v>
      </c>
      <c r="AM30" s="121">
        <v>3843746</v>
      </c>
      <c r="AN30" s="121">
        <v>3896230</v>
      </c>
      <c r="AO30" s="130">
        <v>3721194</v>
      </c>
      <c r="AP30" s="130">
        <v>4161968</v>
      </c>
      <c r="AQ30" s="130">
        <v>4074498</v>
      </c>
      <c r="AR30" s="130">
        <v>4074877</v>
      </c>
      <c r="AS30" s="130">
        <v>3968443</v>
      </c>
      <c r="AT30" s="130">
        <v>3724846</v>
      </c>
      <c r="AU30" s="130">
        <v>3887621</v>
      </c>
      <c r="AV30" s="130">
        <v>3831494</v>
      </c>
      <c r="AW30" s="130">
        <v>3854268</v>
      </c>
      <c r="AX30" s="130">
        <v>3864306</v>
      </c>
      <c r="AY30" s="130">
        <v>3891650</v>
      </c>
      <c r="AZ30" s="130">
        <v>3956690</v>
      </c>
      <c r="BA30" s="130">
        <v>3781115</v>
      </c>
      <c r="BB30" s="130">
        <v>4227833</v>
      </c>
      <c r="BC30" s="130">
        <v>4135847</v>
      </c>
      <c r="BD30" s="130">
        <v>4131372</v>
      </c>
      <c r="BE30" s="130">
        <v>4018613</v>
      </c>
      <c r="BF30" s="130">
        <v>3764874</v>
      </c>
      <c r="BG30" s="130">
        <v>3934559</v>
      </c>
      <c r="BH30" s="130">
        <v>3880431</v>
      </c>
      <c r="BI30" s="130">
        <v>3906248</v>
      </c>
      <c r="BJ30" s="130">
        <v>3920519</v>
      </c>
      <c r="BK30" s="130">
        <v>3959218</v>
      </c>
      <c r="BL30" s="130">
        <v>4033079</v>
      </c>
      <c r="BM30" s="130">
        <v>3931763</v>
      </c>
      <c r="BN30" s="130">
        <v>4320546</v>
      </c>
      <c r="BO30" s="130">
        <v>4218288</v>
      </c>
      <c r="BP30" s="130">
        <v>4206220</v>
      </c>
      <c r="BQ30" s="130">
        <v>4100305</v>
      </c>
      <c r="BR30" s="130">
        <v>3851615</v>
      </c>
      <c r="BS30" s="130">
        <v>4002545</v>
      </c>
      <c r="BT30" s="130">
        <v>3931018</v>
      </c>
      <c r="BU30" s="130">
        <v>3956960</v>
      </c>
      <c r="BV30" s="130">
        <v>3981529</v>
      </c>
      <c r="BW30" s="130">
        <v>4009446</v>
      </c>
      <c r="BX30" s="130">
        <v>4119169</v>
      </c>
      <c r="BY30" s="132">
        <f>SUM(E30:P30)</f>
        <v>46847801</v>
      </c>
      <c r="BZ30" s="132">
        <f>SUM(Q30:AB30)</f>
        <v>50196977</v>
      </c>
      <c r="CA30" s="132">
        <f>SUM(AC30:AN30)</f>
        <v>46673910</v>
      </c>
      <c r="CB30" s="132">
        <f>SUM(AO30:AZ30)</f>
        <v>47011855</v>
      </c>
      <c r="CC30" s="132">
        <f>SUM(BA30:BL30)</f>
        <v>47693708</v>
      </c>
      <c r="CD30" s="132">
        <f>SUM(BM30:BX30)</f>
        <v>48629404</v>
      </c>
    </row>
    <row r="31" spans="1:85" s="98" customFormat="1" outlineLevel="2">
      <c r="A31" s="10">
        <v>3</v>
      </c>
      <c r="B31" s="10">
        <v>168</v>
      </c>
      <c r="C31" s="10" t="s">
        <v>325</v>
      </c>
      <c r="D31" s="131" t="s">
        <v>325</v>
      </c>
      <c r="E31" s="121">
        <v>3007</v>
      </c>
      <c r="F31" s="121">
        <v>2606</v>
      </c>
      <c r="G31" s="121">
        <v>2526</v>
      </c>
      <c r="H31" s="121">
        <v>2527</v>
      </c>
      <c r="I31" s="121">
        <v>2681</v>
      </c>
      <c r="J31" s="121">
        <v>2279</v>
      </c>
      <c r="K31" s="121">
        <v>2264</v>
      </c>
      <c r="L31" s="121">
        <v>2265</v>
      </c>
      <c r="M31" s="121">
        <v>2340</v>
      </c>
      <c r="N31" s="121">
        <v>2193</v>
      </c>
      <c r="O31" s="121">
        <v>2250</v>
      </c>
      <c r="P31" s="121">
        <v>2462</v>
      </c>
      <c r="Q31" s="121">
        <v>2310</v>
      </c>
      <c r="R31" s="121">
        <v>1953</v>
      </c>
      <c r="S31" s="121">
        <v>1925</v>
      </c>
      <c r="T31" s="121">
        <v>2620</v>
      </c>
      <c r="U31" s="121">
        <v>2552</v>
      </c>
      <c r="V31" s="121">
        <v>2583</v>
      </c>
      <c r="W31" s="121">
        <v>2484</v>
      </c>
      <c r="X31" s="121">
        <v>2316</v>
      </c>
      <c r="Y31" s="121">
        <v>2383</v>
      </c>
      <c r="Z31" s="121">
        <v>2476</v>
      </c>
      <c r="AA31" s="121">
        <v>2800</v>
      </c>
      <c r="AB31" s="121">
        <v>1680</v>
      </c>
      <c r="AC31" s="121">
        <v>2353</v>
      </c>
      <c r="AD31" s="121">
        <v>2585</v>
      </c>
      <c r="AE31" s="121">
        <v>3139</v>
      </c>
      <c r="AF31" s="121">
        <v>2460</v>
      </c>
      <c r="AG31" s="121">
        <v>2322</v>
      </c>
      <c r="AH31" s="121">
        <v>1990</v>
      </c>
      <c r="AI31" s="121">
        <v>2302</v>
      </c>
      <c r="AJ31" s="121">
        <v>2123</v>
      </c>
      <c r="AK31" s="121">
        <v>2234</v>
      </c>
      <c r="AL31" s="121">
        <v>2401</v>
      </c>
      <c r="AM31" s="121">
        <v>2716</v>
      </c>
      <c r="AN31" s="121">
        <v>1597</v>
      </c>
      <c r="AO31" s="130">
        <v>2186</v>
      </c>
      <c r="AP31" s="130">
        <v>2381</v>
      </c>
      <c r="AQ31" s="130">
        <v>2901</v>
      </c>
      <c r="AR31" s="130">
        <v>2220</v>
      </c>
      <c r="AS31" s="130">
        <v>2097</v>
      </c>
      <c r="AT31" s="130">
        <v>1770</v>
      </c>
      <c r="AU31" s="130">
        <v>2061</v>
      </c>
      <c r="AV31" s="130">
        <v>1890</v>
      </c>
      <c r="AW31" s="130">
        <v>1986</v>
      </c>
      <c r="AX31" s="130">
        <v>2132</v>
      </c>
      <c r="AY31" s="130">
        <v>2441</v>
      </c>
      <c r="AZ31" s="130">
        <v>1371</v>
      </c>
      <c r="BA31" s="130">
        <v>2248</v>
      </c>
      <c r="BB31" s="130">
        <v>2464</v>
      </c>
      <c r="BC31" s="130">
        <v>3038</v>
      </c>
      <c r="BD31" s="130">
        <v>2303</v>
      </c>
      <c r="BE31" s="130">
        <v>2182</v>
      </c>
      <c r="BF31" s="130">
        <v>1847</v>
      </c>
      <c r="BG31" s="130">
        <v>2175</v>
      </c>
      <c r="BH31" s="130">
        <v>1988</v>
      </c>
      <c r="BI31" s="130">
        <v>2109</v>
      </c>
      <c r="BJ31" s="130">
        <v>2268</v>
      </c>
      <c r="BK31" s="130">
        <v>2626</v>
      </c>
      <c r="BL31" s="130">
        <v>1466</v>
      </c>
      <c r="BM31" s="130">
        <v>2178</v>
      </c>
      <c r="BN31" s="130">
        <v>2384</v>
      </c>
      <c r="BO31" s="130">
        <v>2945</v>
      </c>
      <c r="BP31" s="130">
        <v>2222</v>
      </c>
      <c r="BQ31" s="130">
        <v>2106</v>
      </c>
      <c r="BR31" s="130">
        <v>1662</v>
      </c>
      <c r="BS31" s="130">
        <v>1963</v>
      </c>
      <c r="BT31" s="130">
        <v>1802</v>
      </c>
      <c r="BU31" s="130">
        <v>1906</v>
      </c>
      <c r="BV31" s="130">
        <v>2061</v>
      </c>
      <c r="BW31" s="130">
        <v>2387</v>
      </c>
      <c r="BX31" s="130">
        <v>1319</v>
      </c>
      <c r="BY31" s="132">
        <f>SUM(E31:P31)</f>
        <v>29400</v>
      </c>
      <c r="BZ31" s="132">
        <f>SUM(Q31:AB31)</f>
        <v>28082</v>
      </c>
      <c r="CA31" s="132">
        <f>SUM(AC31:AN31)</f>
        <v>28222</v>
      </c>
      <c r="CB31" s="132">
        <f>SUM(AO31:AZ31)</f>
        <v>25436</v>
      </c>
      <c r="CC31" s="132">
        <f>SUM(BA31:BL31)</f>
        <v>26714</v>
      </c>
      <c r="CD31" s="132">
        <f>SUM(BM31:BX31)</f>
        <v>24935</v>
      </c>
    </row>
    <row r="32" spans="1:85" s="98" customFormat="1" outlineLevel="1">
      <c r="A32" s="10"/>
      <c r="B32" s="10"/>
      <c r="C32" s="10"/>
      <c r="D32" s="137" t="s">
        <v>386</v>
      </c>
      <c r="E32" s="136">
        <f t="shared" ref="E32:AJ32" si="21">SUBTOTAL(9,E30:E31)</f>
        <v>2828360</v>
      </c>
      <c r="F32" s="136">
        <f t="shared" si="21"/>
        <v>3746676</v>
      </c>
      <c r="G32" s="136">
        <f t="shared" si="21"/>
        <v>3775180</v>
      </c>
      <c r="H32" s="136">
        <f t="shared" si="21"/>
        <v>4038400</v>
      </c>
      <c r="I32" s="136">
        <f t="shared" si="21"/>
        <v>4027336</v>
      </c>
      <c r="J32" s="136">
        <f t="shared" si="21"/>
        <v>3994145</v>
      </c>
      <c r="K32" s="136">
        <f t="shared" si="21"/>
        <v>3877448</v>
      </c>
      <c r="L32" s="136">
        <f t="shared" si="21"/>
        <v>3630737</v>
      </c>
      <c r="M32" s="136">
        <f t="shared" si="21"/>
        <v>4286275</v>
      </c>
      <c r="N32" s="136">
        <f t="shared" si="21"/>
        <v>4227743</v>
      </c>
      <c r="O32" s="136">
        <f t="shared" si="21"/>
        <v>4090406</v>
      </c>
      <c r="P32" s="136">
        <f t="shared" si="21"/>
        <v>4354495</v>
      </c>
      <c r="Q32" s="136">
        <f t="shared" si="21"/>
        <v>4570478</v>
      </c>
      <c r="R32" s="136">
        <f t="shared" si="21"/>
        <v>3960091</v>
      </c>
      <c r="S32" s="136">
        <f t="shared" si="21"/>
        <v>3706335</v>
      </c>
      <c r="T32" s="136">
        <f t="shared" si="21"/>
        <v>4026706</v>
      </c>
      <c r="U32" s="136">
        <f t="shared" si="21"/>
        <v>4860914</v>
      </c>
      <c r="V32" s="136">
        <f t="shared" si="21"/>
        <v>4785519</v>
      </c>
      <c r="W32" s="136">
        <f t="shared" si="21"/>
        <v>4498145</v>
      </c>
      <c r="X32" s="136">
        <f t="shared" si="21"/>
        <v>4158926</v>
      </c>
      <c r="Y32" s="136">
        <f t="shared" si="21"/>
        <v>4056794</v>
      </c>
      <c r="Z32" s="136">
        <f t="shared" si="21"/>
        <v>3863811</v>
      </c>
      <c r="AA32" s="136">
        <f t="shared" si="21"/>
        <v>3849987</v>
      </c>
      <c r="AB32" s="136">
        <f t="shared" si="21"/>
        <v>3887353</v>
      </c>
      <c r="AC32" s="136">
        <f t="shared" si="21"/>
        <v>3705822</v>
      </c>
      <c r="AD32" s="136">
        <f t="shared" si="21"/>
        <v>4144726</v>
      </c>
      <c r="AE32" s="136">
        <f t="shared" si="21"/>
        <v>4059352</v>
      </c>
      <c r="AF32" s="136">
        <f t="shared" si="21"/>
        <v>4056299</v>
      </c>
      <c r="AG32" s="136">
        <f t="shared" si="21"/>
        <v>3949905</v>
      </c>
      <c r="AH32" s="136">
        <f t="shared" si="21"/>
        <v>3706995</v>
      </c>
      <c r="AI32" s="136">
        <f t="shared" si="21"/>
        <v>3868567</v>
      </c>
      <c r="AJ32" s="136">
        <f t="shared" si="21"/>
        <v>3809660</v>
      </c>
      <c r="AK32" s="136">
        <f t="shared" ref="AK32:BP32" si="22">SUBTOTAL(9,AK30:AK31)</f>
        <v>3826942</v>
      </c>
      <c r="AL32" s="136">
        <f t="shared" si="22"/>
        <v>3829575</v>
      </c>
      <c r="AM32" s="136">
        <f t="shared" si="22"/>
        <v>3846462</v>
      </c>
      <c r="AN32" s="136">
        <f t="shared" si="22"/>
        <v>3897827</v>
      </c>
      <c r="AO32" s="135">
        <f t="shared" si="22"/>
        <v>3723380</v>
      </c>
      <c r="AP32" s="135">
        <f t="shared" si="22"/>
        <v>4164349</v>
      </c>
      <c r="AQ32" s="135">
        <f t="shared" si="22"/>
        <v>4077399</v>
      </c>
      <c r="AR32" s="135">
        <f t="shared" si="22"/>
        <v>4077097</v>
      </c>
      <c r="AS32" s="135">
        <f t="shared" si="22"/>
        <v>3970540</v>
      </c>
      <c r="AT32" s="135">
        <f t="shared" si="22"/>
        <v>3726616</v>
      </c>
      <c r="AU32" s="135">
        <f t="shared" si="22"/>
        <v>3889682</v>
      </c>
      <c r="AV32" s="135">
        <f t="shared" si="22"/>
        <v>3833384</v>
      </c>
      <c r="AW32" s="135">
        <f t="shared" si="22"/>
        <v>3856254</v>
      </c>
      <c r="AX32" s="135">
        <f t="shared" si="22"/>
        <v>3866438</v>
      </c>
      <c r="AY32" s="135">
        <f t="shared" si="22"/>
        <v>3894091</v>
      </c>
      <c r="AZ32" s="135">
        <f t="shared" si="22"/>
        <v>3958061</v>
      </c>
      <c r="BA32" s="135">
        <f t="shared" si="22"/>
        <v>3783363</v>
      </c>
      <c r="BB32" s="135">
        <f t="shared" si="22"/>
        <v>4230297</v>
      </c>
      <c r="BC32" s="135">
        <f t="shared" si="22"/>
        <v>4138885</v>
      </c>
      <c r="BD32" s="135">
        <f t="shared" si="22"/>
        <v>4133675</v>
      </c>
      <c r="BE32" s="135">
        <f t="shared" si="22"/>
        <v>4020795</v>
      </c>
      <c r="BF32" s="135">
        <f t="shared" si="22"/>
        <v>3766721</v>
      </c>
      <c r="BG32" s="135">
        <f t="shared" si="22"/>
        <v>3936734</v>
      </c>
      <c r="BH32" s="135">
        <f t="shared" si="22"/>
        <v>3882419</v>
      </c>
      <c r="BI32" s="135">
        <f t="shared" si="22"/>
        <v>3908357</v>
      </c>
      <c r="BJ32" s="135">
        <f t="shared" si="22"/>
        <v>3922787</v>
      </c>
      <c r="BK32" s="135">
        <f t="shared" si="22"/>
        <v>3961844</v>
      </c>
      <c r="BL32" s="135">
        <f t="shared" si="22"/>
        <v>4034545</v>
      </c>
      <c r="BM32" s="135">
        <f t="shared" si="22"/>
        <v>3933941</v>
      </c>
      <c r="BN32" s="135">
        <f t="shared" si="22"/>
        <v>4322930</v>
      </c>
      <c r="BO32" s="135">
        <f t="shared" si="22"/>
        <v>4221233</v>
      </c>
      <c r="BP32" s="135">
        <f t="shared" si="22"/>
        <v>4208442</v>
      </c>
      <c r="BQ32" s="135">
        <f t="shared" ref="BQ32:CD32" si="23">SUBTOTAL(9,BQ30:BQ31)</f>
        <v>4102411</v>
      </c>
      <c r="BR32" s="135">
        <f t="shared" si="23"/>
        <v>3853277</v>
      </c>
      <c r="BS32" s="135">
        <f t="shared" si="23"/>
        <v>4004508</v>
      </c>
      <c r="BT32" s="135">
        <f t="shared" si="23"/>
        <v>3932820</v>
      </c>
      <c r="BU32" s="135">
        <f t="shared" si="23"/>
        <v>3958866</v>
      </c>
      <c r="BV32" s="135">
        <f t="shared" si="23"/>
        <v>3983590</v>
      </c>
      <c r="BW32" s="135">
        <f t="shared" si="23"/>
        <v>4011833</v>
      </c>
      <c r="BX32" s="135">
        <f t="shared" si="23"/>
        <v>4120488</v>
      </c>
      <c r="BY32" s="134">
        <f t="shared" si="23"/>
        <v>46877201</v>
      </c>
      <c r="BZ32" s="134">
        <f t="shared" si="23"/>
        <v>50225059</v>
      </c>
      <c r="CA32" s="134">
        <f t="shared" si="23"/>
        <v>46702132</v>
      </c>
      <c r="CB32" s="134">
        <f t="shared" si="23"/>
        <v>47037291</v>
      </c>
      <c r="CC32" s="134">
        <f t="shared" si="23"/>
        <v>47720422</v>
      </c>
      <c r="CD32" s="134">
        <f t="shared" si="23"/>
        <v>48654339</v>
      </c>
      <c r="CF32" s="145">
        <f>SUM(Z32:AK32)</f>
        <v>46729419</v>
      </c>
      <c r="CG32" s="145">
        <f>SUM(AL32:AW32)</f>
        <v>46892565</v>
      </c>
    </row>
    <row r="33" spans="1:85" s="98" customFormat="1" outlineLevel="2">
      <c r="A33" s="10">
        <v>2</v>
      </c>
      <c r="B33" s="10">
        <v>72</v>
      </c>
      <c r="C33" s="10" t="s">
        <v>385</v>
      </c>
      <c r="D33" s="131" t="s">
        <v>67</v>
      </c>
      <c r="E33" s="121">
        <v>1760673787</v>
      </c>
      <c r="F33" s="121">
        <v>1573710979</v>
      </c>
      <c r="G33" s="121">
        <v>1568035504</v>
      </c>
      <c r="H33" s="121">
        <v>1687795868</v>
      </c>
      <c r="I33" s="121">
        <v>1801740032</v>
      </c>
      <c r="J33" s="121">
        <v>1931270976</v>
      </c>
      <c r="K33" s="121">
        <v>2046258387</v>
      </c>
      <c r="L33" s="121">
        <v>2000634912</v>
      </c>
      <c r="M33" s="121">
        <v>2058413755</v>
      </c>
      <c r="N33" s="121">
        <v>1974374463</v>
      </c>
      <c r="O33" s="121">
        <v>1845232405</v>
      </c>
      <c r="P33" s="121">
        <v>1820719327</v>
      </c>
      <c r="Q33" s="121">
        <v>1744735461</v>
      </c>
      <c r="R33" s="121">
        <v>1547586794</v>
      </c>
      <c r="S33" s="121">
        <v>1478665624</v>
      </c>
      <c r="T33" s="121">
        <v>1582234733</v>
      </c>
      <c r="U33" s="121">
        <v>1809573951</v>
      </c>
      <c r="V33" s="121">
        <v>2045495151</v>
      </c>
      <c r="W33" s="121">
        <v>2100888330</v>
      </c>
      <c r="X33" s="121">
        <v>2064150378</v>
      </c>
      <c r="Y33" s="121">
        <v>2063119237</v>
      </c>
      <c r="Z33" s="121">
        <v>1918582905</v>
      </c>
      <c r="AA33" s="121">
        <v>1787915682</v>
      </c>
      <c r="AB33" s="121">
        <v>1781399444</v>
      </c>
      <c r="AC33" s="121">
        <v>1602511603</v>
      </c>
      <c r="AD33" s="121">
        <v>1590464563</v>
      </c>
      <c r="AE33" s="121">
        <v>1491807691</v>
      </c>
      <c r="AF33" s="121">
        <v>1596873077</v>
      </c>
      <c r="AG33" s="121">
        <v>1776736590</v>
      </c>
      <c r="AH33" s="121">
        <v>1881453143</v>
      </c>
      <c r="AI33" s="121">
        <v>2014693407</v>
      </c>
      <c r="AJ33" s="121">
        <v>1949082888</v>
      </c>
      <c r="AK33" s="121">
        <v>1960136314</v>
      </c>
      <c r="AL33" s="121">
        <v>1901354478</v>
      </c>
      <c r="AM33" s="121">
        <v>1786279714</v>
      </c>
      <c r="AN33" s="121">
        <v>1786027291</v>
      </c>
      <c r="AO33" s="130">
        <v>1610122957</v>
      </c>
      <c r="AP33" s="130">
        <v>1598135097</v>
      </c>
      <c r="AQ33" s="130">
        <v>1498663592</v>
      </c>
      <c r="AR33" s="130">
        <v>1605059959</v>
      </c>
      <c r="AS33" s="130">
        <v>1785875033</v>
      </c>
      <c r="AT33" s="130">
        <v>1891439378</v>
      </c>
      <c r="AU33" s="130">
        <v>2025914063</v>
      </c>
      <c r="AV33" s="130">
        <v>1961597712</v>
      </c>
      <c r="AW33" s="130">
        <v>1975304275</v>
      </c>
      <c r="AX33" s="130">
        <v>1919938408</v>
      </c>
      <c r="AY33" s="130">
        <v>1808763158</v>
      </c>
      <c r="AZ33" s="130">
        <v>1813711664</v>
      </c>
      <c r="BA33" s="130">
        <v>1636089643</v>
      </c>
      <c r="BB33" s="130">
        <v>1623514854</v>
      </c>
      <c r="BC33" s="130">
        <v>1521069376</v>
      </c>
      <c r="BD33" s="130">
        <v>1627485574</v>
      </c>
      <c r="BE33" s="130">
        <v>1808366046</v>
      </c>
      <c r="BF33" s="130">
        <v>1911761155</v>
      </c>
      <c r="BG33" s="130">
        <v>2050421521</v>
      </c>
      <c r="BH33" s="130">
        <v>1986372190</v>
      </c>
      <c r="BI33" s="130">
        <v>2002072928</v>
      </c>
      <c r="BJ33" s="130">
        <v>1948040418</v>
      </c>
      <c r="BK33" s="130">
        <v>1840011478</v>
      </c>
      <c r="BL33" s="130">
        <v>1848948956</v>
      </c>
      <c r="BM33" s="130">
        <v>1701165993</v>
      </c>
      <c r="BN33" s="130">
        <v>1659034593</v>
      </c>
      <c r="BO33" s="130">
        <v>1551596344</v>
      </c>
      <c r="BP33" s="130">
        <v>1656905392</v>
      </c>
      <c r="BQ33" s="130">
        <v>1845466915</v>
      </c>
      <c r="BR33" s="130">
        <v>1955850018</v>
      </c>
      <c r="BS33" s="130">
        <v>2085600596</v>
      </c>
      <c r="BT33" s="130">
        <v>2012453654</v>
      </c>
      <c r="BU33" s="130">
        <v>2027944691</v>
      </c>
      <c r="BV33" s="130">
        <v>1978265876</v>
      </c>
      <c r="BW33" s="130">
        <v>1863338832</v>
      </c>
      <c r="BX33" s="130">
        <v>1888445716</v>
      </c>
      <c r="BY33" s="132">
        <f>SUM(E33:P33)</f>
        <v>22068860395</v>
      </c>
      <c r="BZ33" s="132">
        <f>SUM(Q33:AB33)</f>
        <v>21924347690</v>
      </c>
      <c r="CA33" s="132">
        <f>SUM(AC33:AN33)</f>
        <v>21337420759</v>
      </c>
      <c r="CB33" s="132">
        <f>SUM(AO33:AZ33)</f>
        <v>21494525296</v>
      </c>
      <c r="CC33" s="132">
        <f>SUM(BA33:BL33)</f>
        <v>21804154139</v>
      </c>
      <c r="CD33" s="132">
        <f>SUM(BM33:BX33)</f>
        <v>22226068620</v>
      </c>
    </row>
    <row r="34" spans="1:85" s="98" customFormat="1" outlineLevel="2">
      <c r="A34" s="10">
        <v>3</v>
      </c>
      <c r="B34" s="10">
        <v>72</v>
      </c>
      <c r="C34" s="10" t="s">
        <v>385</v>
      </c>
      <c r="D34" s="131" t="s">
        <v>67</v>
      </c>
      <c r="E34" s="121">
        <v>21039353</v>
      </c>
      <c r="F34" s="121">
        <v>20123499</v>
      </c>
      <c r="G34" s="121">
        <v>19602341</v>
      </c>
      <c r="H34" s="121">
        <v>20120871</v>
      </c>
      <c r="I34" s="121">
        <v>21208661</v>
      </c>
      <c r="J34" s="121">
        <v>21228239</v>
      </c>
      <c r="K34" s="121">
        <v>22093106</v>
      </c>
      <c r="L34" s="121">
        <v>19744883</v>
      </c>
      <c r="M34" s="121">
        <v>20512856</v>
      </c>
      <c r="N34" s="121">
        <v>20404015</v>
      </c>
      <c r="O34" s="121">
        <v>19640190</v>
      </c>
      <c r="P34" s="121">
        <v>20275761</v>
      </c>
      <c r="Q34" s="121">
        <v>19808694</v>
      </c>
      <c r="R34" s="121">
        <v>17810299</v>
      </c>
      <c r="S34" s="121">
        <v>17258051</v>
      </c>
      <c r="T34" s="121">
        <v>17841054</v>
      </c>
      <c r="U34" s="121">
        <v>18700536</v>
      </c>
      <c r="V34" s="121">
        <v>19442861</v>
      </c>
      <c r="W34" s="121">
        <v>18993613</v>
      </c>
      <c r="X34" s="121">
        <v>19122391</v>
      </c>
      <c r="Y34" s="121">
        <v>18743524</v>
      </c>
      <c r="Z34" s="121">
        <v>18608223</v>
      </c>
      <c r="AA34" s="121">
        <v>20470263</v>
      </c>
      <c r="AB34" s="121">
        <v>12831775</v>
      </c>
      <c r="AC34" s="121">
        <v>17361089</v>
      </c>
      <c r="AD34" s="121">
        <v>17175047</v>
      </c>
      <c r="AE34" s="121">
        <v>20384082</v>
      </c>
      <c r="AF34" s="121">
        <v>16612655</v>
      </c>
      <c r="AG34" s="121">
        <v>16609465</v>
      </c>
      <c r="AH34" s="121">
        <v>15009545</v>
      </c>
      <c r="AI34" s="121">
        <v>17142776</v>
      </c>
      <c r="AJ34" s="121">
        <v>16166373</v>
      </c>
      <c r="AK34" s="121">
        <v>17009914</v>
      </c>
      <c r="AL34" s="121">
        <v>18297013</v>
      </c>
      <c r="AM34" s="121">
        <v>20217241</v>
      </c>
      <c r="AN34" s="121">
        <v>12465045</v>
      </c>
      <c r="AO34" s="130">
        <v>16830848</v>
      </c>
      <c r="AP34" s="130">
        <v>16669678</v>
      </c>
      <c r="AQ34" s="130">
        <v>19868187</v>
      </c>
      <c r="AR34" s="130">
        <v>15833036</v>
      </c>
      <c r="AS34" s="130">
        <v>15834607</v>
      </c>
      <c r="AT34" s="130">
        <v>14097789</v>
      </c>
      <c r="AU34" s="130">
        <v>16193366</v>
      </c>
      <c r="AV34" s="130">
        <v>15169676</v>
      </c>
      <c r="AW34" s="130">
        <v>15906235</v>
      </c>
      <c r="AX34" s="130">
        <v>17079598</v>
      </c>
      <c r="AY34" s="130">
        <v>19065475</v>
      </c>
      <c r="AZ34" s="130">
        <v>11217786</v>
      </c>
      <c r="BA34" s="130">
        <v>16090966</v>
      </c>
      <c r="BB34" s="130">
        <v>16133096</v>
      </c>
      <c r="BC34" s="130">
        <v>19444001</v>
      </c>
      <c r="BD34" s="130">
        <v>15329010</v>
      </c>
      <c r="BE34" s="130">
        <v>15360142</v>
      </c>
      <c r="BF34" s="130">
        <v>13701581</v>
      </c>
      <c r="BG34" s="130">
        <v>15900909</v>
      </c>
      <c r="BH34" s="130">
        <v>14833997</v>
      </c>
      <c r="BI34" s="130">
        <v>15683207</v>
      </c>
      <c r="BJ34" s="130">
        <v>16851108</v>
      </c>
      <c r="BK34" s="130">
        <v>19010573</v>
      </c>
      <c r="BL34" s="130">
        <v>11104251</v>
      </c>
      <c r="BM34" s="130">
        <v>16211479</v>
      </c>
      <c r="BN34" s="130">
        <v>16240251</v>
      </c>
      <c r="BO34" s="130">
        <v>19563051</v>
      </c>
      <c r="BP34" s="130">
        <v>15331840</v>
      </c>
      <c r="BQ34" s="130">
        <v>15361464</v>
      </c>
      <c r="BR34" s="130">
        <v>12751015</v>
      </c>
      <c r="BS34" s="130">
        <v>14819114</v>
      </c>
      <c r="BT34" s="130">
        <v>13858540</v>
      </c>
      <c r="BU34" s="130">
        <v>14599590</v>
      </c>
      <c r="BV34" s="130">
        <v>15748934</v>
      </c>
      <c r="BW34" s="130">
        <v>17753099</v>
      </c>
      <c r="BX34" s="130">
        <v>10259598</v>
      </c>
      <c r="BY34" s="132">
        <f>SUM(E34:P34)</f>
        <v>245993775</v>
      </c>
      <c r="BZ34" s="132">
        <f>SUM(Q34:AB34)</f>
        <v>219631284</v>
      </c>
      <c r="CA34" s="132">
        <f>SUM(AC34:AN34)</f>
        <v>204450245</v>
      </c>
      <c r="CB34" s="132">
        <f>SUM(AO34:AZ34)</f>
        <v>193766281</v>
      </c>
      <c r="CC34" s="132">
        <f>SUM(BA34:BL34)</f>
        <v>189442841</v>
      </c>
      <c r="CD34" s="132">
        <f>SUM(BM34:BX34)</f>
        <v>182497975</v>
      </c>
    </row>
    <row r="35" spans="1:85" s="98" customFormat="1" outlineLevel="2">
      <c r="A35" s="10">
        <v>2</v>
      </c>
      <c r="B35" s="10">
        <v>70</v>
      </c>
      <c r="C35" s="10" t="s">
        <v>384</v>
      </c>
      <c r="D35" s="131" t="s">
        <v>67</v>
      </c>
      <c r="E35" s="121">
        <v>23153260</v>
      </c>
      <c r="F35" s="121">
        <v>21230078</v>
      </c>
      <c r="G35" s="121">
        <v>21582644</v>
      </c>
      <c r="H35" s="121">
        <v>22723151</v>
      </c>
      <c r="I35" s="121">
        <v>25174499</v>
      </c>
      <c r="J35" s="121">
        <v>24379671</v>
      </c>
      <c r="K35" s="121">
        <v>29454931</v>
      </c>
      <c r="L35" s="121">
        <v>24460381</v>
      </c>
      <c r="M35" s="121">
        <v>24019675</v>
      </c>
      <c r="N35" s="121">
        <v>24872587</v>
      </c>
      <c r="O35" s="121">
        <v>24189811</v>
      </c>
      <c r="P35" s="121">
        <v>22173007</v>
      </c>
      <c r="Q35" s="121">
        <v>20984490</v>
      </c>
      <c r="R35" s="121">
        <v>18128253</v>
      </c>
      <c r="S35" s="121">
        <v>21821921</v>
      </c>
      <c r="T35" s="121">
        <v>44766769</v>
      </c>
      <c r="U35" s="121">
        <v>60084341</v>
      </c>
      <c r="V35" s="121">
        <v>85526870</v>
      </c>
      <c r="W35" s="121">
        <v>95275258</v>
      </c>
      <c r="X35" s="121">
        <v>98418976</v>
      </c>
      <c r="Y35" s="121">
        <v>95556869</v>
      </c>
      <c r="Z35" s="121">
        <v>89048976</v>
      </c>
      <c r="AA35" s="121">
        <v>83562631</v>
      </c>
      <c r="AB35" s="121">
        <v>86043271</v>
      </c>
      <c r="AC35" s="121">
        <v>81456460</v>
      </c>
      <c r="AD35" s="121">
        <v>81155947</v>
      </c>
      <c r="AE35" s="121">
        <v>81143165</v>
      </c>
      <c r="AF35" s="121">
        <v>86084576</v>
      </c>
      <c r="AG35" s="121">
        <v>88184005</v>
      </c>
      <c r="AH35" s="121">
        <v>86019570</v>
      </c>
      <c r="AI35" s="121">
        <v>91683576</v>
      </c>
      <c r="AJ35" s="121">
        <v>87764304</v>
      </c>
      <c r="AK35" s="121">
        <v>92565072</v>
      </c>
      <c r="AL35" s="121">
        <v>88253139</v>
      </c>
      <c r="AM35" s="121">
        <v>83487895</v>
      </c>
      <c r="AN35" s="121">
        <v>86268428</v>
      </c>
      <c r="AO35" s="130">
        <v>81845608</v>
      </c>
      <c r="AP35" s="130">
        <v>81551119</v>
      </c>
      <c r="AQ35" s="130">
        <v>81523108</v>
      </c>
      <c r="AR35" s="130">
        <v>86537663</v>
      </c>
      <c r="AS35" s="130">
        <v>88647641</v>
      </c>
      <c r="AT35" s="130">
        <v>86485848</v>
      </c>
      <c r="AU35" s="130">
        <v>92160764</v>
      </c>
      <c r="AV35" s="130">
        <v>88338287</v>
      </c>
      <c r="AW35" s="130">
        <v>93294235</v>
      </c>
      <c r="AX35" s="130">
        <v>89088509</v>
      </c>
      <c r="AY35" s="130">
        <v>84556150</v>
      </c>
      <c r="AZ35" s="130">
        <v>87585761</v>
      </c>
      <c r="BA35" s="130">
        <v>83150923</v>
      </c>
      <c r="BB35" s="130">
        <v>82836489</v>
      </c>
      <c r="BC35" s="130">
        <v>82737288</v>
      </c>
      <c r="BD35" s="130">
        <v>87747838</v>
      </c>
      <c r="BE35" s="130">
        <v>89753158</v>
      </c>
      <c r="BF35" s="130">
        <v>87432833</v>
      </c>
      <c r="BG35" s="130">
        <v>93283117</v>
      </c>
      <c r="BH35" s="130">
        <v>89449778</v>
      </c>
      <c r="BI35" s="130">
        <v>94543492</v>
      </c>
      <c r="BJ35" s="130">
        <v>90409238</v>
      </c>
      <c r="BK35" s="130">
        <v>86022803</v>
      </c>
      <c r="BL35" s="130">
        <v>89283534</v>
      </c>
      <c r="BM35" s="130">
        <v>86485996</v>
      </c>
      <c r="BN35" s="130">
        <v>84626745</v>
      </c>
      <c r="BO35" s="130">
        <v>84407289</v>
      </c>
      <c r="BP35" s="130">
        <v>89333659</v>
      </c>
      <c r="BQ35" s="130">
        <v>91616509</v>
      </c>
      <c r="BR35" s="130">
        <v>89451440</v>
      </c>
      <c r="BS35" s="130">
        <v>94908090</v>
      </c>
      <c r="BT35" s="130">
        <v>90628278</v>
      </c>
      <c r="BU35" s="130">
        <v>95792732</v>
      </c>
      <c r="BV35" s="130">
        <v>91819694</v>
      </c>
      <c r="BW35" s="130">
        <v>87101241</v>
      </c>
      <c r="BX35" s="130">
        <v>91201090</v>
      </c>
      <c r="BY35" s="132">
        <f>SUM(E35:P35)</f>
        <v>287413695</v>
      </c>
      <c r="BZ35" s="132">
        <f>SUM(Q35:AB35)</f>
        <v>799218625</v>
      </c>
      <c r="CA35" s="132">
        <f>SUM(AC35:AN35)</f>
        <v>1034066137</v>
      </c>
      <c r="CB35" s="132">
        <f>SUM(AO35:AZ35)</f>
        <v>1041614693</v>
      </c>
      <c r="CC35" s="132">
        <f>SUM(BA35:BL35)</f>
        <v>1056650491</v>
      </c>
      <c r="CD35" s="132">
        <f>SUM(BM35:BX35)</f>
        <v>1077372763</v>
      </c>
    </row>
    <row r="36" spans="1:85" s="98" customFormat="1" outlineLevel="2">
      <c r="A36" s="10">
        <v>3</v>
      </c>
      <c r="B36" s="10">
        <v>70</v>
      </c>
      <c r="C36" s="10" t="s">
        <v>384</v>
      </c>
      <c r="D36" s="131" t="s">
        <v>67</v>
      </c>
      <c r="E36" s="121">
        <v>1048144</v>
      </c>
      <c r="F36" s="121">
        <v>1004330</v>
      </c>
      <c r="G36" s="121">
        <v>999083</v>
      </c>
      <c r="H36" s="121">
        <v>1092526</v>
      </c>
      <c r="I36" s="121">
        <v>1051741</v>
      </c>
      <c r="J36" s="121">
        <v>820582</v>
      </c>
      <c r="K36" s="121">
        <v>829224</v>
      </c>
      <c r="L36" s="121">
        <v>806274</v>
      </c>
      <c r="M36" s="121">
        <v>731457</v>
      </c>
      <c r="N36" s="121">
        <v>709021</v>
      </c>
      <c r="O36" s="121">
        <v>796038</v>
      </c>
      <c r="P36" s="121">
        <v>602406</v>
      </c>
      <c r="Q36" s="121">
        <v>634395</v>
      </c>
      <c r="R36" s="121">
        <v>522051</v>
      </c>
      <c r="S36" s="121">
        <v>516945</v>
      </c>
      <c r="T36" s="121">
        <v>875600</v>
      </c>
      <c r="U36" s="121">
        <v>1075479</v>
      </c>
      <c r="V36" s="121">
        <v>1135400</v>
      </c>
      <c r="W36" s="121">
        <v>1083063</v>
      </c>
      <c r="X36" s="121">
        <v>1015926</v>
      </c>
      <c r="Y36" s="121">
        <v>1006380</v>
      </c>
      <c r="Z36" s="121">
        <v>1010475</v>
      </c>
      <c r="AA36" s="121">
        <v>1222908</v>
      </c>
      <c r="AB36" s="121">
        <v>757605</v>
      </c>
      <c r="AC36" s="121">
        <v>1054878</v>
      </c>
      <c r="AD36" s="121">
        <v>1011354</v>
      </c>
      <c r="AE36" s="121">
        <v>1331311</v>
      </c>
      <c r="AF36" s="121">
        <v>1136823</v>
      </c>
      <c r="AG36" s="121">
        <v>1149847</v>
      </c>
      <c r="AH36" s="121">
        <v>934506</v>
      </c>
      <c r="AI36" s="121">
        <v>985646</v>
      </c>
      <c r="AJ36" s="121">
        <v>888763</v>
      </c>
      <c r="AK36" s="121">
        <v>1001405</v>
      </c>
      <c r="AL36" s="121">
        <v>992524</v>
      </c>
      <c r="AM36" s="121">
        <v>1216750</v>
      </c>
      <c r="AN36" s="121">
        <v>738865</v>
      </c>
      <c r="AO36" s="130">
        <v>1018346</v>
      </c>
      <c r="AP36" s="130">
        <v>980585</v>
      </c>
      <c r="AQ36" s="130">
        <v>1295421</v>
      </c>
      <c r="AR36" s="130">
        <v>1079966</v>
      </c>
      <c r="AS36" s="130">
        <v>1106523</v>
      </c>
      <c r="AT36" s="130">
        <v>874658</v>
      </c>
      <c r="AU36" s="130">
        <v>928005</v>
      </c>
      <c r="AV36" s="130">
        <v>831626</v>
      </c>
      <c r="AW36" s="130">
        <v>935636</v>
      </c>
      <c r="AX36" s="130">
        <v>926622</v>
      </c>
      <c r="AY36" s="130">
        <v>1149114</v>
      </c>
      <c r="AZ36" s="130">
        <v>666561</v>
      </c>
      <c r="BA36" s="130">
        <v>977488</v>
      </c>
      <c r="BB36" s="130">
        <v>947373</v>
      </c>
      <c r="BC36" s="130">
        <v>1265826</v>
      </c>
      <c r="BD36" s="130">
        <v>1045880</v>
      </c>
      <c r="BE36" s="130">
        <v>1074068</v>
      </c>
      <c r="BF36" s="130">
        <v>851443</v>
      </c>
      <c r="BG36" s="130">
        <v>913610</v>
      </c>
      <c r="BH36" s="130">
        <v>806179</v>
      </c>
      <c r="BI36" s="130">
        <v>926184</v>
      </c>
      <c r="BJ36" s="130">
        <v>918682</v>
      </c>
      <c r="BK36" s="130">
        <v>1138609</v>
      </c>
      <c r="BL36" s="130">
        <v>656252</v>
      </c>
      <c r="BM36" s="130">
        <v>980996</v>
      </c>
      <c r="BN36" s="130">
        <v>949381</v>
      </c>
      <c r="BO36" s="130">
        <v>1285612</v>
      </c>
      <c r="BP36" s="130">
        <v>1056869</v>
      </c>
      <c r="BQ36" s="130">
        <v>1073399</v>
      </c>
      <c r="BR36" s="130">
        <v>793100</v>
      </c>
      <c r="BS36" s="130">
        <v>853639</v>
      </c>
      <c r="BT36" s="130">
        <v>756338</v>
      </c>
      <c r="BU36" s="130">
        <v>856492</v>
      </c>
      <c r="BV36" s="130">
        <v>854270</v>
      </c>
      <c r="BW36" s="130">
        <v>1058841</v>
      </c>
      <c r="BX36" s="130">
        <v>611149</v>
      </c>
      <c r="BY36" s="132">
        <f>SUM(E36:P36)</f>
        <v>10490826</v>
      </c>
      <c r="BZ36" s="132">
        <f>SUM(Q36:AB36)</f>
        <v>10856227</v>
      </c>
      <c r="CA36" s="132">
        <f>SUM(AC36:AN36)</f>
        <v>12442672</v>
      </c>
      <c r="CB36" s="132">
        <f>SUM(AO36:AZ36)</f>
        <v>11793063</v>
      </c>
      <c r="CC36" s="132">
        <f>SUM(BA36:BL36)</f>
        <v>11521594</v>
      </c>
      <c r="CD36" s="132">
        <f>SUM(BM36:BX36)</f>
        <v>11130086</v>
      </c>
    </row>
    <row r="37" spans="1:85" s="98" customFormat="1" outlineLevel="1">
      <c r="A37" s="10"/>
      <c r="B37" s="10"/>
      <c r="C37" s="10"/>
      <c r="D37" s="137" t="s">
        <v>383</v>
      </c>
      <c r="E37" s="136">
        <f t="shared" ref="E37:AJ37" si="24">SUBTOTAL(9,E33:E36)</f>
        <v>1805914544</v>
      </c>
      <c r="F37" s="136">
        <f t="shared" si="24"/>
        <v>1616068886</v>
      </c>
      <c r="G37" s="136">
        <f t="shared" si="24"/>
        <v>1610219572</v>
      </c>
      <c r="H37" s="136">
        <f t="shared" si="24"/>
        <v>1731732416</v>
      </c>
      <c r="I37" s="136">
        <f t="shared" si="24"/>
        <v>1849174933</v>
      </c>
      <c r="J37" s="136">
        <f t="shared" si="24"/>
        <v>1977699468</v>
      </c>
      <c r="K37" s="136">
        <f t="shared" si="24"/>
        <v>2098635648</v>
      </c>
      <c r="L37" s="136">
        <f t="shared" si="24"/>
        <v>2045646450</v>
      </c>
      <c r="M37" s="136">
        <f t="shared" si="24"/>
        <v>2103677743</v>
      </c>
      <c r="N37" s="136">
        <f t="shared" si="24"/>
        <v>2020360086</v>
      </c>
      <c r="O37" s="136">
        <f t="shared" si="24"/>
        <v>1889858444</v>
      </c>
      <c r="P37" s="136">
        <f t="shared" si="24"/>
        <v>1863770501</v>
      </c>
      <c r="Q37" s="136">
        <f t="shared" si="24"/>
        <v>1786163040</v>
      </c>
      <c r="R37" s="136">
        <f t="shared" si="24"/>
        <v>1584047397</v>
      </c>
      <c r="S37" s="136">
        <f t="shared" si="24"/>
        <v>1518262541</v>
      </c>
      <c r="T37" s="136">
        <f t="shared" si="24"/>
        <v>1645718156</v>
      </c>
      <c r="U37" s="136">
        <f t="shared" si="24"/>
        <v>1889434307</v>
      </c>
      <c r="V37" s="136">
        <f t="shared" si="24"/>
        <v>2151600282</v>
      </c>
      <c r="W37" s="136">
        <f t="shared" si="24"/>
        <v>2216240264</v>
      </c>
      <c r="X37" s="136">
        <f t="shared" si="24"/>
        <v>2182707671</v>
      </c>
      <c r="Y37" s="136">
        <f t="shared" si="24"/>
        <v>2178426010</v>
      </c>
      <c r="Z37" s="136">
        <f t="shared" si="24"/>
        <v>2027250579</v>
      </c>
      <c r="AA37" s="136">
        <f t="shared" si="24"/>
        <v>1893171484</v>
      </c>
      <c r="AB37" s="136">
        <f t="shared" si="24"/>
        <v>1881032095</v>
      </c>
      <c r="AC37" s="136">
        <f t="shared" si="24"/>
        <v>1702384030</v>
      </c>
      <c r="AD37" s="136">
        <f t="shared" si="24"/>
        <v>1689806911</v>
      </c>
      <c r="AE37" s="136">
        <f t="shared" si="24"/>
        <v>1594666249</v>
      </c>
      <c r="AF37" s="136">
        <f t="shared" si="24"/>
        <v>1700707131</v>
      </c>
      <c r="AG37" s="136">
        <f t="shared" si="24"/>
        <v>1882679907</v>
      </c>
      <c r="AH37" s="136">
        <f t="shared" si="24"/>
        <v>1983416764</v>
      </c>
      <c r="AI37" s="136">
        <f t="shared" si="24"/>
        <v>2124505405</v>
      </c>
      <c r="AJ37" s="136">
        <f t="shared" si="24"/>
        <v>2053902328</v>
      </c>
      <c r="AK37" s="136">
        <f t="shared" ref="AK37:BP37" si="25">SUBTOTAL(9,AK33:AK36)</f>
        <v>2070712705</v>
      </c>
      <c r="AL37" s="136">
        <f t="shared" si="25"/>
        <v>2008897154</v>
      </c>
      <c r="AM37" s="136">
        <f t="shared" si="25"/>
        <v>1891201600</v>
      </c>
      <c r="AN37" s="136">
        <f t="shared" si="25"/>
        <v>1885499629</v>
      </c>
      <c r="AO37" s="135">
        <f t="shared" si="25"/>
        <v>1709817759</v>
      </c>
      <c r="AP37" s="135">
        <f t="shared" si="25"/>
        <v>1697336479</v>
      </c>
      <c r="AQ37" s="135">
        <f t="shared" si="25"/>
        <v>1601350308</v>
      </c>
      <c r="AR37" s="135">
        <f t="shared" si="25"/>
        <v>1708510624</v>
      </c>
      <c r="AS37" s="135">
        <f t="shared" si="25"/>
        <v>1891463804</v>
      </c>
      <c r="AT37" s="135">
        <f t="shared" si="25"/>
        <v>1992897673</v>
      </c>
      <c r="AU37" s="135">
        <f t="shared" si="25"/>
        <v>2135196198</v>
      </c>
      <c r="AV37" s="135">
        <f t="shared" si="25"/>
        <v>2065937301</v>
      </c>
      <c r="AW37" s="135">
        <f t="shared" si="25"/>
        <v>2085440381</v>
      </c>
      <c r="AX37" s="135">
        <f t="shared" si="25"/>
        <v>2027033137</v>
      </c>
      <c r="AY37" s="135">
        <f t="shared" si="25"/>
        <v>1913533897</v>
      </c>
      <c r="AZ37" s="135">
        <f t="shared" si="25"/>
        <v>1913181772</v>
      </c>
      <c r="BA37" s="135">
        <f t="shared" si="25"/>
        <v>1736309020</v>
      </c>
      <c r="BB37" s="135">
        <f t="shared" si="25"/>
        <v>1723431812</v>
      </c>
      <c r="BC37" s="135">
        <f t="shared" si="25"/>
        <v>1624516491</v>
      </c>
      <c r="BD37" s="135">
        <f t="shared" si="25"/>
        <v>1731608302</v>
      </c>
      <c r="BE37" s="135">
        <f t="shared" si="25"/>
        <v>1914553414</v>
      </c>
      <c r="BF37" s="135">
        <f t="shared" si="25"/>
        <v>2013747012</v>
      </c>
      <c r="BG37" s="135">
        <f t="shared" si="25"/>
        <v>2160519157</v>
      </c>
      <c r="BH37" s="135">
        <f t="shared" si="25"/>
        <v>2091462144</v>
      </c>
      <c r="BI37" s="135">
        <f t="shared" si="25"/>
        <v>2113225811</v>
      </c>
      <c r="BJ37" s="135">
        <f t="shared" si="25"/>
        <v>2056219446</v>
      </c>
      <c r="BK37" s="135">
        <f t="shared" si="25"/>
        <v>1946183463</v>
      </c>
      <c r="BL37" s="135">
        <f t="shared" si="25"/>
        <v>1949992993</v>
      </c>
      <c r="BM37" s="135">
        <f t="shared" si="25"/>
        <v>1804844464</v>
      </c>
      <c r="BN37" s="135">
        <f t="shared" si="25"/>
        <v>1760850970</v>
      </c>
      <c r="BO37" s="135">
        <f t="shared" si="25"/>
        <v>1656852296</v>
      </c>
      <c r="BP37" s="135">
        <f t="shared" si="25"/>
        <v>1762627760</v>
      </c>
      <c r="BQ37" s="135">
        <f t="shared" ref="BQ37:CD37" si="26">SUBTOTAL(9,BQ33:BQ36)</f>
        <v>1953518287</v>
      </c>
      <c r="BR37" s="135">
        <f t="shared" si="26"/>
        <v>2058845573</v>
      </c>
      <c r="BS37" s="135">
        <f t="shared" si="26"/>
        <v>2196181439</v>
      </c>
      <c r="BT37" s="135">
        <f t="shared" si="26"/>
        <v>2117696810</v>
      </c>
      <c r="BU37" s="135">
        <f t="shared" si="26"/>
        <v>2139193505</v>
      </c>
      <c r="BV37" s="135">
        <f t="shared" si="26"/>
        <v>2086688774</v>
      </c>
      <c r="BW37" s="135">
        <f t="shared" si="26"/>
        <v>1969252013</v>
      </c>
      <c r="BX37" s="135">
        <f t="shared" si="26"/>
        <v>1990517553</v>
      </c>
      <c r="BY37" s="134">
        <f t="shared" si="26"/>
        <v>22612758691</v>
      </c>
      <c r="BZ37" s="134">
        <f t="shared" si="26"/>
        <v>22954053826</v>
      </c>
      <c r="CA37" s="134">
        <f t="shared" si="26"/>
        <v>22588379813</v>
      </c>
      <c r="CB37" s="134">
        <f t="shared" si="26"/>
        <v>22741699333</v>
      </c>
      <c r="CC37" s="134">
        <f t="shared" si="26"/>
        <v>23061769065</v>
      </c>
      <c r="CD37" s="134">
        <f t="shared" si="26"/>
        <v>23497069444</v>
      </c>
      <c r="CF37" s="145">
        <f>SUM(Z37:AK37)</f>
        <v>22604235588</v>
      </c>
      <c r="CG37" s="145">
        <f>SUM(AL37:AW37)</f>
        <v>22673548910</v>
      </c>
    </row>
    <row r="38" spans="1:85" s="98" customFormat="1" outlineLevel="2">
      <c r="A38" s="10">
        <v>2</v>
      </c>
      <c r="B38" s="10">
        <v>62</v>
      </c>
      <c r="C38" s="10" t="s">
        <v>382</v>
      </c>
      <c r="D38" s="131" t="s">
        <v>68</v>
      </c>
      <c r="E38" s="121">
        <v>327385556</v>
      </c>
      <c r="F38" s="121">
        <v>295925787</v>
      </c>
      <c r="G38" s="121">
        <v>291170314</v>
      </c>
      <c r="H38" s="121">
        <v>311581908</v>
      </c>
      <c r="I38" s="121">
        <v>330459460</v>
      </c>
      <c r="J38" s="121">
        <v>348243466</v>
      </c>
      <c r="K38" s="121">
        <v>355632013</v>
      </c>
      <c r="L38" s="121">
        <v>357808948</v>
      </c>
      <c r="M38" s="121">
        <v>379855777</v>
      </c>
      <c r="N38" s="121">
        <v>366626958</v>
      </c>
      <c r="O38" s="121">
        <v>338811971</v>
      </c>
      <c r="P38" s="121">
        <v>343659485</v>
      </c>
      <c r="Q38" s="121">
        <v>319950188</v>
      </c>
      <c r="R38" s="121">
        <v>285089512</v>
      </c>
      <c r="S38" s="121">
        <v>273033812</v>
      </c>
      <c r="T38" s="121">
        <v>273760823</v>
      </c>
      <c r="U38" s="121">
        <v>325208091</v>
      </c>
      <c r="V38" s="121">
        <v>363939803</v>
      </c>
      <c r="W38" s="121">
        <v>359923921</v>
      </c>
      <c r="X38" s="121">
        <v>357827612</v>
      </c>
      <c r="Y38" s="121">
        <v>369584035</v>
      </c>
      <c r="Z38" s="121">
        <v>350904864</v>
      </c>
      <c r="AA38" s="121">
        <v>323383233</v>
      </c>
      <c r="AB38" s="121">
        <v>337344095</v>
      </c>
      <c r="AC38" s="121">
        <v>296222266</v>
      </c>
      <c r="AD38" s="121">
        <v>296737629</v>
      </c>
      <c r="AE38" s="121">
        <v>281956833</v>
      </c>
      <c r="AF38" s="121">
        <v>285060728</v>
      </c>
      <c r="AG38" s="121">
        <v>323409627</v>
      </c>
      <c r="AH38" s="121">
        <v>338897170</v>
      </c>
      <c r="AI38" s="121">
        <v>348686490</v>
      </c>
      <c r="AJ38" s="121">
        <v>338920917</v>
      </c>
      <c r="AK38" s="121">
        <v>351073152</v>
      </c>
      <c r="AL38" s="121">
        <v>347933463</v>
      </c>
      <c r="AM38" s="121">
        <v>323094007</v>
      </c>
      <c r="AN38" s="121">
        <v>338304856</v>
      </c>
      <c r="AO38" s="130">
        <v>297565118</v>
      </c>
      <c r="AP38" s="130">
        <v>298178756</v>
      </c>
      <c r="AQ38" s="130">
        <v>283139283</v>
      </c>
      <c r="AR38" s="130">
        <v>286286287</v>
      </c>
      <c r="AS38" s="130">
        <v>324873026</v>
      </c>
      <c r="AT38" s="130">
        <v>340564176</v>
      </c>
      <c r="AU38" s="130">
        <v>350572978</v>
      </c>
      <c r="AV38" s="130">
        <v>341124555</v>
      </c>
      <c r="AW38" s="130">
        <v>353906450</v>
      </c>
      <c r="AX38" s="130">
        <v>351293725</v>
      </c>
      <c r="AY38" s="130">
        <v>327211188</v>
      </c>
      <c r="AZ38" s="130">
        <v>343453993</v>
      </c>
      <c r="BA38" s="130">
        <v>302365272</v>
      </c>
      <c r="BB38" s="130">
        <v>302790225</v>
      </c>
      <c r="BC38" s="130">
        <v>287338241</v>
      </c>
      <c r="BD38" s="130">
        <v>290338965</v>
      </c>
      <c r="BE38" s="130">
        <v>329054640</v>
      </c>
      <c r="BF38" s="130">
        <v>344345851</v>
      </c>
      <c r="BG38" s="130">
        <v>354729820</v>
      </c>
      <c r="BH38" s="130">
        <v>345386563</v>
      </c>
      <c r="BI38" s="130">
        <v>358694812</v>
      </c>
      <c r="BJ38" s="130">
        <v>356464395</v>
      </c>
      <c r="BK38" s="130">
        <v>332698047</v>
      </c>
      <c r="BL38" s="130">
        <v>350236386</v>
      </c>
      <c r="BM38" s="130">
        <v>314528886</v>
      </c>
      <c r="BN38" s="130">
        <v>309583960</v>
      </c>
      <c r="BO38" s="130">
        <v>293101956</v>
      </c>
      <c r="BP38" s="130">
        <v>295617402</v>
      </c>
      <c r="BQ38" s="130">
        <v>335764244</v>
      </c>
      <c r="BR38" s="130">
        <v>352168386</v>
      </c>
      <c r="BS38" s="130">
        <v>360860819</v>
      </c>
      <c r="BT38" s="130">
        <v>349890304</v>
      </c>
      <c r="BU38" s="130">
        <v>363216504</v>
      </c>
      <c r="BV38" s="130">
        <v>361808856</v>
      </c>
      <c r="BW38" s="130">
        <v>336900682</v>
      </c>
      <c r="BX38" s="130">
        <v>357625909</v>
      </c>
      <c r="BY38" s="132">
        <f>SUM(E38:P38)</f>
        <v>4047161643</v>
      </c>
      <c r="BZ38" s="132">
        <f>SUM(Q38:AB38)</f>
        <v>3939949989</v>
      </c>
      <c r="CA38" s="132">
        <f>SUM(AC38:AN38)</f>
        <v>3870297138</v>
      </c>
      <c r="CB38" s="132">
        <f>SUM(AO38:AZ38)</f>
        <v>3898169535</v>
      </c>
      <c r="CC38" s="132">
        <f>SUM(BA38:BL38)</f>
        <v>3954443217</v>
      </c>
      <c r="CD38" s="132">
        <f>SUM(BM38:BX38)</f>
        <v>4031067908</v>
      </c>
    </row>
    <row r="39" spans="1:85" s="98" customFormat="1" outlineLevel="2">
      <c r="A39" s="10">
        <v>3</v>
      </c>
      <c r="B39" s="10">
        <v>62</v>
      </c>
      <c r="C39" s="10" t="s">
        <v>382</v>
      </c>
      <c r="D39" s="131" t="s">
        <v>68</v>
      </c>
      <c r="E39" s="121">
        <v>8597160</v>
      </c>
      <c r="F39" s="121">
        <v>8489446</v>
      </c>
      <c r="G39" s="121">
        <v>8233060</v>
      </c>
      <c r="H39" s="121">
        <v>8716749</v>
      </c>
      <c r="I39" s="121">
        <v>9297320</v>
      </c>
      <c r="J39" s="121">
        <v>9501800</v>
      </c>
      <c r="K39" s="121">
        <v>7187920</v>
      </c>
      <c r="L39" s="121">
        <v>9628280</v>
      </c>
      <c r="M39" s="121">
        <v>8425196</v>
      </c>
      <c r="N39" s="121">
        <v>7439621</v>
      </c>
      <c r="O39" s="121">
        <v>6770260</v>
      </c>
      <c r="P39" s="121">
        <v>6889726</v>
      </c>
      <c r="Q39" s="121">
        <v>7035136</v>
      </c>
      <c r="R39" s="121">
        <v>6416900</v>
      </c>
      <c r="S39" s="121">
        <v>6610280</v>
      </c>
      <c r="T39" s="121">
        <v>6923500</v>
      </c>
      <c r="U39" s="121">
        <v>9124560</v>
      </c>
      <c r="V39" s="121">
        <v>8754665</v>
      </c>
      <c r="W39" s="121">
        <v>7580960</v>
      </c>
      <c r="X39" s="121">
        <v>7634520</v>
      </c>
      <c r="Y39" s="121">
        <v>7782680</v>
      </c>
      <c r="Z39" s="121">
        <v>8123761</v>
      </c>
      <c r="AA39" s="121">
        <v>8360151</v>
      </c>
      <c r="AB39" s="121">
        <v>5103569</v>
      </c>
      <c r="AC39" s="121">
        <v>6909157</v>
      </c>
      <c r="AD39" s="121">
        <v>6923595</v>
      </c>
      <c r="AE39" s="121">
        <v>8661604</v>
      </c>
      <c r="AF39" s="121">
        <v>7109261</v>
      </c>
      <c r="AG39" s="121">
        <v>8846276</v>
      </c>
      <c r="AH39" s="121">
        <v>7699129</v>
      </c>
      <c r="AI39" s="121">
        <v>7696587</v>
      </c>
      <c r="AJ39" s="121">
        <v>6762174</v>
      </c>
      <c r="AK39" s="121">
        <v>7062851</v>
      </c>
      <c r="AL39" s="121">
        <v>7877145</v>
      </c>
      <c r="AM39" s="121">
        <v>8107470</v>
      </c>
      <c r="AN39" s="121">
        <v>4978988</v>
      </c>
      <c r="AO39" s="130">
        <v>6766774</v>
      </c>
      <c r="AP39" s="130">
        <v>6722030</v>
      </c>
      <c r="AQ39" s="130">
        <v>8439492</v>
      </c>
      <c r="AR39" s="130">
        <v>6762823</v>
      </c>
      <c r="AS39" s="130">
        <v>8419229</v>
      </c>
      <c r="AT39" s="130">
        <v>7405628</v>
      </c>
      <c r="AU39" s="130">
        <v>7251197</v>
      </c>
      <c r="AV39" s="130">
        <v>6335568</v>
      </c>
      <c r="AW39" s="130">
        <v>6607455</v>
      </c>
      <c r="AX39" s="130">
        <v>7363558</v>
      </c>
      <c r="AY39" s="130">
        <v>7671359</v>
      </c>
      <c r="AZ39" s="130">
        <v>4384904</v>
      </c>
      <c r="BA39" s="130">
        <v>6503210</v>
      </c>
      <c r="BB39" s="130">
        <v>6502286</v>
      </c>
      <c r="BC39" s="130">
        <v>8256753</v>
      </c>
      <c r="BD39" s="130">
        <v>6557374</v>
      </c>
      <c r="BE39" s="130">
        <v>8187076</v>
      </c>
      <c r="BF39" s="130">
        <v>7041561</v>
      </c>
      <c r="BG39" s="130">
        <v>6972847</v>
      </c>
      <c r="BH39" s="130">
        <v>6221187</v>
      </c>
      <c r="BI39" s="130">
        <v>6548310</v>
      </c>
      <c r="BJ39" s="130">
        <v>7308949</v>
      </c>
      <c r="BK39" s="130">
        <v>7702873</v>
      </c>
      <c r="BL39" s="130">
        <v>4374819</v>
      </c>
      <c r="BM39" s="130">
        <v>6455186</v>
      </c>
      <c r="BN39" s="130">
        <v>6598275</v>
      </c>
      <c r="BO39" s="130">
        <v>8395108</v>
      </c>
      <c r="BP39" s="130">
        <v>6633614</v>
      </c>
      <c r="BQ39" s="130">
        <v>8288558</v>
      </c>
      <c r="BR39" s="130">
        <v>6644499</v>
      </c>
      <c r="BS39" s="130">
        <v>6600010</v>
      </c>
      <c r="BT39" s="130">
        <v>5771824</v>
      </c>
      <c r="BU39" s="130">
        <v>6058851</v>
      </c>
      <c r="BV39" s="130">
        <v>6800166</v>
      </c>
      <c r="BW39" s="130">
        <v>7167111</v>
      </c>
      <c r="BX39" s="130">
        <v>4030549</v>
      </c>
      <c r="BY39" s="132">
        <f>SUM(E39:P39)</f>
        <v>99176538</v>
      </c>
      <c r="BZ39" s="132">
        <f>SUM(Q39:AB39)</f>
        <v>89450682</v>
      </c>
      <c r="CA39" s="132">
        <f>SUM(AC39:AN39)</f>
        <v>88634237</v>
      </c>
      <c r="CB39" s="132">
        <f>SUM(AO39:AZ39)</f>
        <v>84130017</v>
      </c>
      <c r="CC39" s="132">
        <f>SUM(BA39:BL39)</f>
        <v>82177245</v>
      </c>
      <c r="CD39" s="132">
        <f>SUM(BM39:BX39)</f>
        <v>79443751</v>
      </c>
    </row>
    <row r="40" spans="1:85" s="98" customFormat="1" outlineLevel="2">
      <c r="A40" s="10">
        <v>2</v>
      </c>
      <c r="B40" s="10">
        <v>64</v>
      </c>
      <c r="C40" s="10" t="s">
        <v>381</v>
      </c>
      <c r="D40" s="131" t="s">
        <v>68</v>
      </c>
      <c r="E40" s="121">
        <v>53152930</v>
      </c>
      <c r="F40" s="121">
        <v>46500190</v>
      </c>
      <c r="G40" s="121">
        <v>47201500</v>
      </c>
      <c r="H40" s="121">
        <v>51942898</v>
      </c>
      <c r="I40" s="121">
        <v>53736070</v>
      </c>
      <c r="J40" s="121">
        <v>58644626</v>
      </c>
      <c r="K40" s="121">
        <v>60644445</v>
      </c>
      <c r="L40" s="121">
        <v>56176046</v>
      </c>
      <c r="M40" s="121">
        <v>64358061</v>
      </c>
      <c r="N40" s="121">
        <v>60614390</v>
      </c>
      <c r="O40" s="121">
        <v>47277231</v>
      </c>
      <c r="P40" s="121">
        <v>56543599</v>
      </c>
      <c r="Q40" s="121">
        <v>48268961</v>
      </c>
      <c r="R40" s="121">
        <v>39240229</v>
      </c>
      <c r="S40" s="121">
        <v>45076500</v>
      </c>
      <c r="T40" s="121">
        <v>95310800</v>
      </c>
      <c r="U40" s="121">
        <v>190011626</v>
      </c>
      <c r="V40" s="121">
        <v>297134893</v>
      </c>
      <c r="W40" s="121">
        <v>322928241</v>
      </c>
      <c r="X40" s="121">
        <v>325533457</v>
      </c>
      <c r="Y40" s="121">
        <v>337421706</v>
      </c>
      <c r="Z40" s="121">
        <v>308936342</v>
      </c>
      <c r="AA40" s="121">
        <v>282588497</v>
      </c>
      <c r="AB40" s="121">
        <v>300645076</v>
      </c>
      <c r="AC40" s="121">
        <v>281102080</v>
      </c>
      <c r="AD40" s="121">
        <v>279529728</v>
      </c>
      <c r="AE40" s="121">
        <v>279926639</v>
      </c>
      <c r="AF40" s="121">
        <v>288839312</v>
      </c>
      <c r="AG40" s="121">
        <v>293111227</v>
      </c>
      <c r="AH40" s="121">
        <v>296401189</v>
      </c>
      <c r="AI40" s="121">
        <v>318363187</v>
      </c>
      <c r="AJ40" s="121">
        <v>304649650</v>
      </c>
      <c r="AK40" s="121">
        <v>320303024</v>
      </c>
      <c r="AL40" s="121">
        <v>305967012</v>
      </c>
      <c r="AM40" s="121">
        <v>282335757</v>
      </c>
      <c r="AN40" s="121">
        <v>301289142</v>
      </c>
      <c r="AO40" s="130">
        <v>282503512</v>
      </c>
      <c r="AP40" s="130">
        <v>280816120</v>
      </c>
      <c r="AQ40" s="130">
        <v>281354245</v>
      </c>
      <c r="AR40" s="130">
        <v>290342891</v>
      </c>
      <c r="AS40" s="130">
        <v>294835806</v>
      </c>
      <c r="AT40" s="130">
        <v>297708442</v>
      </c>
      <c r="AU40" s="130">
        <v>320067462</v>
      </c>
      <c r="AV40" s="130">
        <v>306398050</v>
      </c>
      <c r="AW40" s="130">
        <v>322788185</v>
      </c>
      <c r="AX40" s="130">
        <v>308827545</v>
      </c>
      <c r="AY40" s="130">
        <v>285974453</v>
      </c>
      <c r="AZ40" s="130">
        <v>306269860</v>
      </c>
      <c r="BA40" s="130">
        <v>286899089</v>
      </c>
      <c r="BB40" s="130">
        <v>285326622</v>
      </c>
      <c r="BC40" s="130">
        <v>285494994</v>
      </c>
      <c r="BD40" s="130">
        <v>294551824</v>
      </c>
      <c r="BE40" s="130">
        <v>298521708</v>
      </c>
      <c r="BF40" s="130">
        <v>301040304</v>
      </c>
      <c r="BG40" s="130">
        <v>323889285</v>
      </c>
      <c r="BH40" s="130">
        <v>310391790</v>
      </c>
      <c r="BI40" s="130">
        <v>327101535</v>
      </c>
      <c r="BJ40" s="130">
        <v>313462958</v>
      </c>
      <c r="BK40" s="130">
        <v>290851616</v>
      </c>
      <c r="BL40" s="130">
        <v>311969942</v>
      </c>
      <c r="BM40" s="130">
        <v>298242593</v>
      </c>
      <c r="BN40" s="130">
        <v>291332635</v>
      </c>
      <c r="BO40" s="130">
        <v>291158326</v>
      </c>
      <c r="BP40" s="130">
        <v>299971751</v>
      </c>
      <c r="BQ40" s="130">
        <v>304675676</v>
      </c>
      <c r="BR40" s="130">
        <v>307947764</v>
      </c>
      <c r="BS40" s="130">
        <v>329332853</v>
      </c>
      <c r="BT40" s="130">
        <v>314645955</v>
      </c>
      <c r="BU40" s="130">
        <v>331443746</v>
      </c>
      <c r="BV40" s="130">
        <v>318373808</v>
      </c>
      <c r="BW40" s="130">
        <v>294518132</v>
      </c>
      <c r="BX40" s="130">
        <v>318900733</v>
      </c>
      <c r="BY40" s="132">
        <f>SUM(E40:P40)</f>
        <v>656791986</v>
      </c>
      <c r="BZ40" s="132">
        <f>SUM(Q40:AB40)</f>
        <v>2593096328</v>
      </c>
      <c r="CA40" s="132">
        <f>SUM(AC40:AN40)</f>
        <v>3551817947</v>
      </c>
      <c r="CB40" s="132">
        <f>SUM(AO40:AZ40)</f>
        <v>3577886571</v>
      </c>
      <c r="CC40" s="132">
        <f>SUM(BA40:BL40)</f>
        <v>3629501667</v>
      </c>
      <c r="CD40" s="132">
        <f>SUM(BM40:BX40)</f>
        <v>3700543972</v>
      </c>
    </row>
    <row r="41" spans="1:85" s="98" customFormat="1" outlineLevel="2">
      <c r="A41" s="10">
        <v>3</v>
      </c>
      <c r="B41" s="10">
        <v>64</v>
      </c>
      <c r="C41" s="10" t="s">
        <v>381</v>
      </c>
      <c r="D41" s="131" t="s">
        <v>68</v>
      </c>
      <c r="E41" s="121">
        <v>3179640</v>
      </c>
      <c r="F41" s="121">
        <v>3393480</v>
      </c>
      <c r="G41" s="121">
        <v>2898080</v>
      </c>
      <c r="H41" s="121">
        <v>3226380</v>
      </c>
      <c r="I41" s="121">
        <v>2235420</v>
      </c>
      <c r="J41" s="121">
        <v>2448060</v>
      </c>
      <c r="K41" s="121">
        <v>2644700</v>
      </c>
      <c r="L41" s="121">
        <v>2619360</v>
      </c>
      <c r="M41" s="121">
        <v>2764520</v>
      </c>
      <c r="N41" s="121">
        <v>2661540</v>
      </c>
      <c r="O41" s="121">
        <v>2633360</v>
      </c>
      <c r="P41" s="121">
        <v>3804266</v>
      </c>
      <c r="Q41" s="121">
        <v>3472680</v>
      </c>
      <c r="R41" s="121">
        <v>3074320</v>
      </c>
      <c r="S41" s="121">
        <v>3366047</v>
      </c>
      <c r="T41" s="121">
        <v>3365640</v>
      </c>
      <c r="U41" s="121">
        <v>7722063</v>
      </c>
      <c r="V41" s="121">
        <v>11828580</v>
      </c>
      <c r="W41" s="121">
        <v>11963900</v>
      </c>
      <c r="X41" s="121">
        <v>11938406</v>
      </c>
      <c r="Y41" s="121">
        <v>11732760</v>
      </c>
      <c r="Z41" s="121">
        <v>9699437</v>
      </c>
      <c r="AA41" s="121">
        <v>10761420</v>
      </c>
      <c r="AB41" s="121">
        <v>6860371</v>
      </c>
      <c r="AC41" s="121">
        <v>9585915</v>
      </c>
      <c r="AD41" s="121">
        <v>10243652</v>
      </c>
      <c r="AE41" s="121">
        <v>12509359</v>
      </c>
      <c r="AF41" s="121">
        <v>9860296</v>
      </c>
      <c r="AG41" s="121">
        <v>9844600</v>
      </c>
      <c r="AH41" s="121">
        <v>9974596</v>
      </c>
      <c r="AI41" s="121">
        <v>11673863</v>
      </c>
      <c r="AJ41" s="121">
        <v>10296012</v>
      </c>
      <c r="AK41" s="121">
        <v>10647584</v>
      </c>
      <c r="AL41" s="121">
        <v>9404988</v>
      </c>
      <c r="AM41" s="121">
        <v>10436161</v>
      </c>
      <c r="AN41" s="121">
        <v>6521292</v>
      </c>
      <c r="AO41" s="130">
        <v>9278037</v>
      </c>
      <c r="AP41" s="130">
        <v>10255880</v>
      </c>
      <c r="AQ41" s="130">
        <v>12569046</v>
      </c>
      <c r="AR41" s="130">
        <v>9672590</v>
      </c>
      <c r="AS41" s="130">
        <v>9259250</v>
      </c>
      <c r="AT41" s="130">
        <v>9244556</v>
      </c>
      <c r="AU41" s="130">
        <v>10883749</v>
      </c>
      <c r="AV41" s="130">
        <v>9545983</v>
      </c>
      <c r="AW41" s="130">
        <v>9857292</v>
      </c>
      <c r="AX41" s="130">
        <v>8700205</v>
      </c>
      <c r="AY41" s="130">
        <v>9771925</v>
      </c>
      <c r="AZ41" s="130">
        <v>5832920</v>
      </c>
      <c r="BA41" s="130">
        <v>8820969</v>
      </c>
      <c r="BB41" s="130">
        <v>9814148</v>
      </c>
      <c r="BC41" s="130">
        <v>12164924</v>
      </c>
      <c r="BD41" s="130">
        <v>9278095</v>
      </c>
      <c r="BE41" s="130">
        <v>8907306</v>
      </c>
      <c r="BF41" s="130">
        <v>8918721</v>
      </c>
      <c r="BG41" s="130">
        <v>10619117</v>
      </c>
      <c r="BH41" s="130">
        <v>9284370</v>
      </c>
      <c r="BI41" s="130">
        <v>9676018</v>
      </c>
      <c r="BJ41" s="130">
        <v>8553438</v>
      </c>
      <c r="BK41" s="130">
        <v>9718620</v>
      </c>
      <c r="BL41" s="130">
        <v>5985776</v>
      </c>
      <c r="BM41" s="130">
        <v>8876102</v>
      </c>
      <c r="BN41" s="130">
        <v>9861041</v>
      </c>
      <c r="BO41" s="130">
        <v>12247071</v>
      </c>
      <c r="BP41" s="130">
        <v>9293619</v>
      </c>
      <c r="BQ41" s="130">
        <v>8928989</v>
      </c>
      <c r="BR41" s="130">
        <v>8333007</v>
      </c>
      <c r="BS41" s="130">
        <v>9952419</v>
      </c>
      <c r="BT41" s="130">
        <v>8737024</v>
      </c>
      <c r="BU41" s="130">
        <v>9080901</v>
      </c>
      <c r="BV41" s="130">
        <v>8071915</v>
      </c>
      <c r="BW41" s="130">
        <v>9172067</v>
      </c>
      <c r="BX41" s="130">
        <v>5386485</v>
      </c>
      <c r="BY41" s="132">
        <f>SUM(E41:P41)</f>
        <v>34508806</v>
      </c>
      <c r="BZ41" s="132">
        <f>SUM(Q41:AB41)</f>
        <v>95785624</v>
      </c>
      <c r="CA41" s="132">
        <f>SUM(AC41:AN41)</f>
        <v>120998318</v>
      </c>
      <c r="CB41" s="132">
        <f>SUM(AO41:AZ41)</f>
        <v>114871433</v>
      </c>
      <c r="CC41" s="132">
        <f>SUM(BA41:BL41)</f>
        <v>111741502</v>
      </c>
      <c r="CD41" s="132">
        <f>SUM(BM41:BX41)</f>
        <v>107940640</v>
      </c>
    </row>
    <row r="42" spans="1:85" s="98" customFormat="1" outlineLevel="1">
      <c r="A42" s="10"/>
      <c r="B42" s="10"/>
      <c r="C42" s="10"/>
      <c r="D42" s="137" t="s">
        <v>380</v>
      </c>
      <c r="E42" s="136">
        <f t="shared" ref="E42:AJ42" si="27">SUBTOTAL(9,E38:E41)</f>
        <v>392315286</v>
      </c>
      <c r="F42" s="136">
        <f t="shared" si="27"/>
        <v>354308903</v>
      </c>
      <c r="G42" s="136">
        <f t="shared" si="27"/>
        <v>349502954</v>
      </c>
      <c r="H42" s="136">
        <f t="shared" si="27"/>
        <v>375467935</v>
      </c>
      <c r="I42" s="136">
        <f t="shared" si="27"/>
        <v>395728270</v>
      </c>
      <c r="J42" s="136">
        <f t="shared" si="27"/>
        <v>418837952</v>
      </c>
      <c r="K42" s="136">
        <f t="shared" si="27"/>
        <v>426109078</v>
      </c>
      <c r="L42" s="136">
        <f t="shared" si="27"/>
        <v>426232634</v>
      </c>
      <c r="M42" s="136">
        <f t="shared" si="27"/>
        <v>455403554</v>
      </c>
      <c r="N42" s="136">
        <f t="shared" si="27"/>
        <v>437342509</v>
      </c>
      <c r="O42" s="136">
        <f t="shared" si="27"/>
        <v>395492822</v>
      </c>
      <c r="P42" s="136">
        <f t="shared" si="27"/>
        <v>410897076</v>
      </c>
      <c r="Q42" s="136">
        <f t="shared" si="27"/>
        <v>378726965</v>
      </c>
      <c r="R42" s="136">
        <f t="shared" si="27"/>
        <v>333820961</v>
      </c>
      <c r="S42" s="136">
        <f t="shared" si="27"/>
        <v>328086639</v>
      </c>
      <c r="T42" s="136">
        <f t="shared" si="27"/>
        <v>379360763</v>
      </c>
      <c r="U42" s="136">
        <f t="shared" si="27"/>
        <v>532066340</v>
      </c>
      <c r="V42" s="136">
        <f t="shared" si="27"/>
        <v>681657941</v>
      </c>
      <c r="W42" s="136">
        <f t="shared" si="27"/>
        <v>702397022</v>
      </c>
      <c r="X42" s="136">
        <f t="shared" si="27"/>
        <v>702933995</v>
      </c>
      <c r="Y42" s="136">
        <f t="shared" si="27"/>
        <v>726521181</v>
      </c>
      <c r="Z42" s="136">
        <f t="shared" si="27"/>
        <v>677664404</v>
      </c>
      <c r="AA42" s="136">
        <f t="shared" si="27"/>
        <v>625093301</v>
      </c>
      <c r="AB42" s="136">
        <f t="shared" si="27"/>
        <v>649953111</v>
      </c>
      <c r="AC42" s="136">
        <f t="shared" si="27"/>
        <v>593819418</v>
      </c>
      <c r="AD42" s="136">
        <f t="shared" si="27"/>
        <v>593434604</v>
      </c>
      <c r="AE42" s="136">
        <f t="shared" si="27"/>
        <v>583054435</v>
      </c>
      <c r="AF42" s="136">
        <f t="shared" si="27"/>
        <v>590869597</v>
      </c>
      <c r="AG42" s="136">
        <f t="shared" si="27"/>
        <v>635211730</v>
      </c>
      <c r="AH42" s="136">
        <f t="shared" si="27"/>
        <v>652972084</v>
      </c>
      <c r="AI42" s="136">
        <f t="shared" si="27"/>
        <v>686420127</v>
      </c>
      <c r="AJ42" s="136">
        <f t="shared" si="27"/>
        <v>660628753</v>
      </c>
      <c r="AK42" s="136">
        <f t="shared" ref="AK42:BP42" si="28">SUBTOTAL(9,AK38:AK41)</f>
        <v>689086611</v>
      </c>
      <c r="AL42" s="136">
        <f t="shared" si="28"/>
        <v>671182608</v>
      </c>
      <c r="AM42" s="136">
        <f t="shared" si="28"/>
        <v>623973395</v>
      </c>
      <c r="AN42" s="136">
        <f t="shared" si="28"/>
        <v>651094278</v>
      </c>
      <c r="AO42" s="135">
        <f t="shared" si="28"/>
        <v>596113441</v>
      </c>
      <c r="AP42" s="135">
        <f t="shared" si="28"/>
        <v>595972786</v>
      </c>
      <c r="AQ42" s="135">
        <f t="shared" si="28"/>
        <v>585502066</v>
      </c>
      <c r="AR42" s="135">
        <f t="shared" si="28"/>
        <v>593064591</v>
      </c>
      <c r="AS42" s="135">
        <f t="shared" si="28"/>
        <v>637387311</v>
      </c>
      <c r="AT42" s="135">
        <f t="shared" si="28"/>
        <v>654922802</v>
      </c>
      <c r="AU42" s="135">
        <f t="shared" si="28"/>
        <v>688775386</v>
      </c>
      <c r="AV42" s="135">
        <f t="shared" si="28"/>
        <v>663404156</v>
      </c>
      <c r="AW42" s="135">
        <f t="shared" si="28"/>
        <v>693159382</v>
      </c>
      <c r="AX42" s="135">
        <f t="shared" si="28"/>
        <v>676185033</v>
      </c>
      <c r="AY42" s="135">
        <f t="shared" si="28"/>
        <v>630628925</v>
      </c>
      <c r="AZ42" s="135">
        <f t="shared" si="28"/>
        <v>659941677</v>
      </c>
      <c r="BA42" s="135">
        <f t="shared" si="28"/>
        <v>604588540</v>
      </c>
      <c r="BB42" s="135">
        <f t="shared" si="28"/>
        <v>604433281</v>
      </c>
      <c r="BC42" s="135">
        <f t="shared" si="28"/>
        <v>593254912</v>
      </c>
      <c r="BD42" s="135">
        <f t="shared" si="28"/>
        <v>600726258</v>
      </c>
      <c r="BE42" s="135">
        <f t="shared" si="28"/>
        <v>644670730</v>
      </c>
      <c r="BF42" s="135">
        <f t="shared" si="28"/>
        <v>661346437</v>
      </c>
      <c r="BG42" s="135">
        <f t="shared" si="28"/>
        <v>696211069</v>
      </c>
      <c r="BH42" s="135">
        <f t="shared" si="28"/>
        <v>671283910</v>
      </c>
      <c r="BI42" s="135">
        <f t="shared" si="28"/>
        <v>702020675</v>
      </c>
      <c r="BJ42" s="135">
        <f t="shared" si="28"/>
        <v>685789740</v>
      </c>
      <c r="BK42" s="135">
        <f t="shared" si="28"/>
        <v>640971156</v>
      </c>
      <c r="BL42" s="135">
        <f t="shared" si="28"/>
        <v>672566923</v>
      </c>
      <c r="BM42" s="135">
        <f t="shared" si="28"/>
        <v>628102767</v>
      </c>
      <c r="BN42" s="135">
        <f t="shared" si="28"/>
        <v>617375911</v>
      </c>
      <c r="BO42" s="135">
        <f t="shared" si="28"/>
        <v>604902461</v>
      </c>
      <c r="BP42" s="135">
        <f t="shared" si="28"/>
        <v>611516386</v>
      </c>
      <c r="BQ42" s="135">
        <f t="shared" ref="BQ42:CD42" si="29">SUBTOTAL(9,BQ38:BQ41)</f>
        <v>657657467</v>
      </c>
      <c r="BR42" s="135">
        <f t="shared" si="29"/>
        <v>675093656</v>
      </c>
      <c r="BS42" s="135">
        <f t="shared" si="29"/>
        <v>706746101</v>
      </c>
      <c r="BT42" s="135">
        <f t="shared" si="29"/>
        <v>679045107</v>
      </c>
      <c r="BU42" s="135">
        <f t="shared" si="29"/>
        <v>709800002</v>
      </c>
      <c r="BV42" s="135">
        <f t="shared" si="29"/>
        <v>695054745</v>
      </c>
      <c r="BW42" s="135">
        <f t="shared" si="29"/>
        <v>647757992</v>
      </c>
      <c r="BX42" s="135">
        <f t="shared" si="29"/>
        <v>685943676</v>
      </c>
      <c r="BY42" s="134">
        <f t="shared" si="29"/>
        <v>4837638973</v>
      </c>
      <c r="BZ42" s="134">
        <f t="shared" si="29"/>
        <v>6718282623</v>
      </c>
      <c r="CA42" s="134">
        <f t="shared" si="29"/>
        <v>7631747640</v>
      </c>
      <c r="CB42" s="134">
        <f t="shared" si="29"/>
        <v>7675057556</v>
      </c>
      <c r="CC42" s="134">
        <f t="shared" si="29"/>
        <v>7777863631</v>
      </c>
      <c r="CD42" s="134">
        <f t="shared" si="29"/>
        <v>7918996271</v>
      </c>
      <c r="CF42" s="145">
        <f>SUM(Z42:AK42)</f>
        <v>7638208175</v>
      </c>
      <c r="CG42" s="145">
        <f>SUM(AL42:AW42)</f>
        <v>7654552202</v>
      </c>
    </row>
    <row r="43" spans="1:85" s="98" customFormat="1" outlineLevel="2">
      <c r="A43" s="10">
        <v>2</v>
      </c>
      <c r="B43" s="10">
        <v>63</v>
      </c>
      <c r="C43" s="10" t="s">
        <v>379</v>
      </c>
      <c r="D43" s="131" t="s">
        <v>69</v>
      </c>
      <c r="E43" s="121">
        <v>34164720</v>
      </c>
      <c r="F43" s="121">
        <v>30401000</v>
      </c>
      <c r="G43" s="121">
        <v>33098429</v>
      </c>
      <c r="H43" s="121">
        <v>34853232</v>
      </c>
      <c r="I43" s="121">
        <v>35928034</v>
      </c>
      <c r="J43" s="121">
        <v>33398840</v>
      </c>
      <c r="K43" s="121">
        <v>35808400</v>
      </c>
      <c r="L43" s="121">
        <v>35643520</v>
      </c>
      <c r="M43" s="121">
        <v>38651005</v>
      </c>
      <c r="N43" s="121">
        <v>33662320</v>
      </c>
      <c r="O43" s="121">
        <v>33336991</v>
      </c>
      <c r="P43" s="121">
        <v>34628052</v>
      </c>
      <c r="Q43" s="121">
        <v>32286120</v>
      </c>
      <c r="R43" s="121">
        <v>30461320</v>
      </c>
      <c r="S43" s="121">
        <v>30536683</v>
      </c>
      <c r="T43" s="121">
        <v>32142120</v>
      </c>
      <c r="U43" s="121">
        <v>33267625</v>
      </c>
      <c r="V43" s="121">
        <v>37001026</v>
      </c>
      <c r="W43" s="121">
        <v>36665880</v>
      </c>
      <c r="X43" s="121">
        <v>33960080</v>
      </c>
      <c r="Y43" s="121">
        <v>34353259</v>
      </c>
      <c r="Z43" s="121">
        <v>29916175</v>
      </c>
      <c r="AA43" s="121">
        <v>28469710</v>
      </c>
      <c r="AB43" s="121">
        <v>30986171</v>
      </c>
      <c r="AC43" s="121">
        <v>27541098</v>
      </c>
      <c r="AD43" s="121">
        <v>27063196</v>
      </c>
      <c r="AE43" s="121">
        <v>26572425</v>
      </c>
      <c r="AF43" s="121">
        <v>27958425</v>
      </c>
      <c r="AG43" s="121">
        <v>29185336</v>
      </c>
      <c r="AH43" s="121">
        <v>32803168</v>
      </c>
      <c r="AI43" s="121">
        <v>36740584</v>
      </c>
      <c r="AJ43" s="121">
        <v>32165716</v>
      </c>
      <c r="AK43" s="121">
        <v>32678613</v>
      </c>
      <c r="AL43" s="121">
        <v>29662850</v>
      </c>
      <c r="AM43" s="121">
        <v>28444247</v>
      </c>
      <c r="AN43" s="121">
        <v>31052552</v>
      </c>
      <c r="AO43" s="130">
        <v>27646479</v>
      </c>
      <c r="AP43" s="130">
        <v>27156382</v>
      </c>
      <c r="AQ43" s="130">
        <v>26646332</v>
      </c>
      <c r="AR43" s="130">
        <v>28039135</v>
      </c>
      <c r="AS43" s="130">
        <v>29255590</v>
      </c>
      <c r="AT43" s="130">
        <v>32871927</v>
      </c>
      <c r="AU43" s="130">
        <v>36809749</v>
      </c>
      <c r="AV43" s="130">
        <v>32238636</v>
      </c>
      <c r="AW43" s="130">
        <v>32780747</v>
      </c>
      <c r="AX43" s="130">
        <v>29802517</v>
      </c>
      <c r="AY43" s="130">
        <v>28645442</v>
      </c>
      <c r="AZ43" s="130">
        <v>31348696</v>
      </c>
      <c r="BA43" s="130">
        <v>27915651</v>
      </c>
      <c r="BB43" s="130">
        <v>27402932</v>
      </c>
      <c r="BC43" s="130">
        <v>26852660</v>
      </c>
      <c r="BD43" s="130">
        <v>28217777</v>
      </c>
      <c r="BE43" s="130">
        <v>29384359</v>
      </c>
      <c r="BF43" s="130">
        <v>32936260</v>
      </c>
      <c r="BG43" s="130">
        <v>36909494</v>
      </c>
      <c r="BH43" s="130">
        <v>32324078</v>
      </c>
      <c r="BI43" s="130">
        <v>32878665</v>
      </c>
      <c r="BJ43" s="130">
        <v>29906096</v>
      </c>
      <c r="BK43" s="130">
        <v>28803285</v>
      </c>
      <c r="BL43" s="130">
        <v>31570094</v>
      </c>
      <c r="BM43" s="130">
        <v>28657879</v>
      </c>
      <c r="BN43" s="130">
        <v>28736852</v>
      </c>
      <c r="BO43" s="130">
        <v>28094567</v>
      </c>
      <c r="BP43" s="130">
        <v>29448460</v>
      </c>
      <c r="BQ43" s="130">
        <v>30733110</v>
      </c>
      <c r="BR43" s="130">
        <v>34527281</v>
      </c>
      <c r="BS43" s="130">
        <v>38460905</v>
      </c>
      <c r="BT43" s="130">
        <v>33542936</v>
      </c>
      <c r="BU43" s="130">
        <v>34104538</v>
      </c>
      <c r="BV43" s="130">
        <v>31094911</v>
      </c>
      <c r="BW43" s="130">
        <v>29858555</v>
      </c>
      <c r="BX43" s="130">
        <v>33001078</v>
      </c>
      <c r="BY43" s="132">
        <f>SUM(E43:P43)</f>
        <v>413574543</v>
      </c>
      <c r="BZ43" s="132">
        <f>SUM(Q43:AB43)</f>
        <v>390046169</v>
      </c>
      <c r="CA43" s="132">
        <f>SUM(AC43:AN43)</f>
        <v>361868210</v>
      </c>
      <c r="CB43" s="132">
        <f>SUM(AO43:AZ43)</f>
        <v>363241632</v>
      </c>
      <c r="CC43" s="132">
        <f>SUM(BA43:BL43)</f>
        <v>365101351</v>
      </c>
      <c r="CD43" s="132">
        <f>SUM(BM43:BX43)</f>
        <v>380261072</v>
      </c>
    </row>
    <row r="44" spans="1:85" s="98" customFormat="1" outlineLevel="2">
      <c r="A44" s="10">
        <v>3</v>
      </c>
      <c r="B44" s="10">
        <v>63</v>
      </c>
      <c r="C44" s="10" t="s">
        <v>379</v>
      </c>
      <c r="D44" s="131" t="s">
        <v>69</v>
      </c>
      <c r="E44" s="121">
        <v>2624120</v>
      </c>
      <c r="F44" s="121">
        <v>2469880</v>
      </c>
      <c r="G44" s="121">
        <v>2464766</v>
      </c>
      <c r="H44" s="121">
        <v>2409280</v>
      </c>
      <c r="I44" s="121">
        <v>2764640</v>
      </c>
      <c r="J44" s="121">
        <v>2826280</v>
      </c>
      <c r="K44" s="121">
        <v>2931960</v>
      </c>
      <c r="L44" s="121">
        <v>2979680</v>
      </c>
      <c r="M44" s="121">
        <v>2712080</v>
      </c>
      <c r="N44" s="121">
        <v>2851920</v>
      </c>
      <c r="O44" s="121">
        <v>2802600</v>
      </c>
      <c r="P44" s="121">
        <v>3322840</v>
      </c>
      <c r="Q44" s="121">
        <v>3555080</v>
      </c>
      <c r="R44" s="121">
        <v>3626480</v>
      </c>
      <c r="S44" s="121">
        <v>3821440</v>
      </c>
      <c r="T44" s="121">
        <v>3681200</v>
      </c>
      <c r="U44" s="121">
        <v>3596560</v>
      </c>
      <c r="V44" s="121">
        <v>6031720</v>
      </c>
      <c r="W44" s="121">
        <v>3730960</v>
      </c>
      <c r="X44" s="121">
        <v>4613720</v>
      </c>
      <c r="Y44" s="121">
        <v>4887600</v>
      </c>
      <c r="Z44" s="121">
        <v>3824431</v>
      </c>
      <c r="AA44" s="121">
        <v>4250041</v>
      </c>
      <c r="AB44" s="121">
        <v>3022767</v>
      </c>
      <c r="AC44" s="121">
        <v>4529408</v>
      </c>
      <c r="AD44" s="121">
        <v>5076112</v>
      </c>
      <c r="AE44" s="121">
        <v>6495985</v>
      </c>
      <c r="AF44" s="121">
        <v>4903743</v>
      </c>
      <c r="AG44" s="121">
        <v>4523508</v>
      </c>
      <c r="AH44" s="121">
        <v>3944740</v>
      </c>
      <c r="AI44" s="121">
        <v>4564545</v>
      </c>
      <c r="AJ44" s="121">
        <v>3979000</v>
      </c>
      <c r="AK44" s="121">
        <v>4435540</v>
      </c>
      <c r="AL44" s="121">
        <v>3708332</v>
      </c>
      <c r="AM44" s="121">
        <v>4121585</v>
      </c>
      <c r="AN44" s="121">
        <v>2873365</v>
      </c>
      <c r="AO44" s="130">
        <v>4208576</v>
      </c>
      <c r="AP44" s="130">
        <v>4675598</v>
      </c>
      <c r="AQ44" s="130">
        <v>6004822</v>
      </c>
      <c r="AR44" s="130">
        <v>4425561</v>
      </c>
      <c r="AS44" s="130">
        <v>4084363</v>
      </c>
      <c r="AT44" s="130">
        <v>3509783</v>
      </c>
      <c r="AU44" s="130">
        <v>4085381</v>
      </c>
      <c r="AV44" s="130">
        <v>3541578</v>
      </c>
      <c r="AW44" s="130">
        <v>3942070</v>
      </c>
      <c r="AX44" s="130">
        <v>3293222</v>
      </c>
      <c r="AY44" s="130">
        <v>3704886</v>
      </c>
      <c r="AZ44" s="130">
        <v>2467257</v>
      </c>
      <c r="BA44" s="130">
        <v>3847353</v>
      </c>
      <c r="BB44" s="130">
        <v>4302129</v>
      </c>
      <c r="BC44" s="130">
        <v>5588225</v>
      </c>
      <c r="BD44" s="130">
        <v>4081794</v>
      </c>
      <c r="BE44" s="130">
        <v>3777997</v>
      </c>
      <c r="BF44" s="130">
        <v>3255843</v>
      </c>
      <c r="BG44" s="130">
        <v>3832738</v>
      </c>
      <c r="BH44" s="130">
        <v>3312037</v>
      </c>
      <c r="BI44" s="130">
        <v>3720746</v>
      </c>
      <c r="BJ44" s="130">
        <v>3113142</v>
      </c>
      <c r="BK44" s="130">
        <v>3542958</v>
      </c>
      <c r="BL44" s="130">
        <v>2344364</v>
      </c>
      <c r="BM44" s="130">
        <v>3728015</v>
      </c>
      <c r="BN44" s="130">
        <v>4162586</v>
      </c>
      <c r="BO44" s="130">
        <v>5417592</v>
      </c>
      <c r="BP44" s="130">
        <v>3937193</v>
      </c>
      <c r="BQ44" s="130">
        <v>3646927</v>
      </c>
      <c r="BR44" s="130">
        <v>3661696</v>
      </c>
      <c r="BS44" s="130">
        <v>4323834</v>
      </c>
      <c r="BT44" s="130">
        <v>3751681</v>
      </c>
      <c r="BU44" s="130">
        <v>4203218</v>
      </c>
      <c r="BV44" s="130">
        <v>3536343</v>
      </c>
      <c r="BW44" s="130">
        <v>4024836</v>
      </c>
      <c r="BX44" s="130">
        <v>2637060</v>
      </c>
      <c r="BY44" s="132">
        <f>SUM(E44:P44)</f>
        <v>33160046</v>
      </c>
      <c r="BZ44" s="132">
        <f>SUM(Q44:AB44)</f>
        <v>48641999</v>
      </c>
      <c r="CA44" s="132">
        <f>SUM(AC44:AN44)</f>
        <v>53155863</v>
      </c>
      <c r="CB44" s="132">
        <f>SUM(AO44:AZ44)</f>
        <v>47943097</v>
      </c>
      <c r="CC44" s="132">
        <f>SUM(BA44:BL44)</f>
        <v>44719326</v>
      </c>
      <c r="CD44" s="132">
        <f>SUM(BM44:BX44)</f>
        <v>47030981</v>
      </c>
    </row>
    <row r="45" spans="1:85" s="98" customFormat="1" outlineLevel="2">
      <c r="A45" s="10">
        <v>2</v>
      </c>
      <c r="B45" s="10">
        <v>65</v>
      </c>
      <c r="C45" s="10" t="s">
        <v>378</v>
      </c>
      <c r="D45" s="131" t="s">
        <v>69</v>
      </c>
      <c r="E45" s="121">
        <v>25778234</v>
      </c>
      <c r="F45" s="121">
        <v>21962776</v>
      </c>
      <c r="G45" s="121">
        <v>23343616</v>
      </c>
      <c r="H45" s="121">
        <v>25874070</v>
      </c>
      <c r="I45" s="121">
        <v>27779200</v>
      </c>
      <c r="J45" s="121">
        <v>23559169</v>
      </c>
      <c r="K45" s="121">
        <v>27858560</v>
      </c>
      <c r="L45" s="121">
        <v>27661460</v>
      </c>
      <c r="M45" s="121">
        <v>26864540</v>
      </c>
      <c r="N45" s="121">
        <v>28528640</v>
      </c>
      <c r="O45" s="121">
        <v>17448070</v>
      </c>
      <c r="P45" s="121">
        <v>27134452</v>
      </c>
      <c r="Q45" s="121">
        <v>21226436</v>
      </c>
      <c r="R45" s="121">
        <v>20631366</v>
      </c>
      <c r="S45" s="121">
        <v>17627308</v>
      </c>
      <c r="T45" s="121">
        <v>33201990</v>
      </c>
      <c r="U45" s="121">
        <v>41987569</v>
      </c>
      <c r="V45" s="121">
        <v>69692573</v>
      </c>
      <c r="W45" s="121">
        <v>78052960</v>
      </c>
      <c r="X45" s="121">
        <v>82927240</v>
      </c>
      <c r="Y45" s="121">
        <v>84877720</v>
      </c>
      <c r="Z45" s="121">
        <v>83798113</v>
      </c>
      <c r="AA45" s="121">
        <v>67545694</v>
      </c>
      <c r="AB45" s="121">
        <v>71603763</v>
      </c>
      <c r="AC45" s="121">
        <v>66692548</v>
      </c>
      <c r="AD45" s="121">
        <v>63555953</v>
      </c>
      <c r="AE45" s="121">
        <v>63978200</v>
      </c>
      <c r="AF45" s="121">
        <v>66299520</v>
      </c>
      <c r="AG45" s="121">
        <v>68092918</v>
      </c>
      <c r="AH45" s="121">
        <v>71193434</v>
      </c>
      <c r="AI45" s="121">
        <v>76343564</v>
      </c>
      <c r="AJ45" s="121">
        <v>75157270</v>
      </c>
      <c r="AK45" s="121">
        <v>82043462</v>
      </c>
      <c r="AL45" s="121">
        <v>83088525</v>
      </c>
      <c r="AM45" s="121">
        <v>67485282</v>
      </c>
      <c r="AN45" s="121">
        <v>71757159</v>
      </c>
      <c r="AO45" s="130">
        <v>66947736</v>
      </c>
      <c r="AP45" s="130">
        <v>63774793</v>
      </c>
      <c r="AQ45" s="130">
        <v>64156147</v>
      </c>
      <c r="AR45" s="130">
        <v>66490912</v>
      </c>
      <c r="AS45" s="130">
        <v>68256828</v>
      </c>
      <c r="AT45" s="130">
        <v>71342663</v>
      </c>
      <c r="AU45" s="130">
        <v>76487282</v>
      </c>
      <c r="AV45" s="130">
        <v>75327651</v>
      </c>
      <c r="AW45" s="130">
        <v>82299881</v>
      </c>
      <c r="AX45" s="130">
        <v>83479745</v>
      </c>
      <c r="AY45" s="130">
        <v>67962628</v>
      </c>
      <c r="AZ45" s="130">
        <v>72441498</v>
      </c>
      <c r="BA45" s="130">
        <v>67599554</v>
      </c>
      <c r="BB45" s="130">
        <v>64353797</v>
      </c>
      <c r="BC45" s="130">
        <v>64652921</v>
      </c>
      <c r="BD45" s="130">
        <v>66914536</v>
      </c>
      <c r="BE45" s="130">
        <v>69739284</v>
      </c>
      <c r="BF45" s="130">
        <v>72714739</v>
      </c>
      <c r="BG45" s="130">
        <v>78016864</v>
      </c>
      <c r="BH45" s="130">
        <v>76829486</v>
      </c>
      <c r="BI45" s="130">
        <v>83968917</v>
      </c>
      <c r="BJ45" s="130">
        <v>85214188</v>
      </c>
      <c r="BK45" s="130">
        <v>69515343</v>
      </c>
      <c r="BL45" s="130">
        <v>74210923</v>
      </c>
      <c r="BM45" s="130">
        <v>70593404</v>
      </c>
      <c r="BN45" s="130">
        <v>66009587</v>
      </c>
      <c r="BO45" s="130">
        <v>66162797</v>
      </c>
      <c r="BP45" s="130">
        <v>68304756</v>
      </c>
      <c r="BQ45" s="130">
        <v>70134941</v>
      </c>
      <c r="BR45" s="130">
        <v>73295482</v>
      </c>
      <c r="BS45" s="130">
        <v>79494263</v>
      </c>
      <c r="BT45" s="130">
        <v>77959448</v>
      </c>
      <c r="BU45" s="130">
        <v>85169178</v>
      </c>
      <c r="BV45" s="130">
        <v>86637798</v>
      </c>
      <c r="BW45" s="130">
        <v>70464981</v>
      </c>
      <c r="BX45" s="130">
        <v>75855308</v>
      </c>
      <c r="BY45" s="132">
        <f>SUM(E45:P45)</f>
        <v>303792787</v>
      </c>
      <c r="BZ45" s="132">
        <f>SUM(Q45:AB45)</f>
        <v>673172732</v>
      </c>
      <c r="CA45" s="132">
        <f>SUM(AC45:AN45)</f>
        <v>855687835</v>
      </c>
      <c r="CB45" s="132">
        <f>SUM(AO45:AZ45)</f>
        <v>858967764</v>
      </c>
      <c r="CC45" s="132">
        <f>SUM(BA45:BL45)</f>
        <v>873730552</v>
      </c>
      <c r="CD45" s="132">
        <f>SUM(BM45:BX45)</f>
        <v>890081943</v>
      </c>
    </row>
    <row r="46" spans="1:85" s="98" customFormat="1" outlineLevel="2">
      <c r="A46" s="10">
        <v>3</v>
      </c>
      <c r="B46" s="10">
        <v>65</v>
      </c>
      <c r="C46" s="10" t="s">
        <v>378</v>
      </c>
      <c r="D46" s="131" t="s">
        <v>69</v>
      </c>
      <c r="E46" s="121">
        <v>3495400</v>
      </c>
      <c r="F46" s="121">
        <v>3497600</v>
      </c>
      <c r="G46" s="121">
        <v>3363400</v>
      </c>
      <c r="H46" s="121">
        <v>3482000</v>
      </c>
      <c r="I46" s="121">
        <v>4898000</v>
      </c>
      <c r="J46" s="121">
        <v>4846000</v>
      </c>
      <c r="K46" s="121">
        <v>3406600</v>
      </c>
      <c r="L46" s="121">
        <v>3233000</v>
      </c>
      <c r="M46" s="121">
        <v>3122000</v>
      </c>
      <c r="N46" s="121">
        <v>3365600</v>
      </c>
      <c r="O46" s="121">
        <v>3059800</v>
      </c>
      <c r="P46" s="121">
        <v>2153327</v>
      </c>
      <c r="Q46" s="121">
        <v>1498800</v>
      </c>
      <c r="R46" s="121">
        <v>2728200</v>
      </c>
      <c r="S46" s="121">
        <v>2018753</v>
      </c>
      <c r="T46" s="121">
        <v>2105600</v>
      </c>
      <c r="U46" s="121">
        <v>6099000</v>
      </c>
      <c r="V46" s="121">
        <v>5823200</v>
      </c>
      <c r="W46" s="121">
        <v>4381800</v>
      </c>
      <c r="X46" s="121">
        <v>4267700</v>
      </c>
      <c r="Y46" s="121">
        <v>5567000</v>
      </c>
      <c r="Z46" s="121">
        <v>4430312</v>
      </c>
      <c r="AA46" s="121">
        <v>5123096</v>
      </c>
      <c r="AB46" s="121">
        <v>3168426</v>
      </c>
      <c r="AC46" s="121">
        <v>4431542</v>
      </c>
      <c r="AD46" s="121">
        <v>5131984</v>
      </c>
      <c r="AE46" s="121">
        <v>6454885</v>
      </c>
      <c r="AF46" s="121">
        <v>5174666</v>
      </c>
      <c r="AG46" s="121">
        <v>5144300</v>
      </c>
      <c r="AH46" s="121">
        <v>4596384</v>
      </c>
      <c r="AI46" s="121">
        <v>4851168</v>
      </c>
      <c r="AJ46" s="121">
        <v>6298524</v>
      </c>
      <c r="AK46" s="121">
        <v>5329095</v>
      </c>
      <c r="AL46" s="121">
        <v>4295820</v>
      </c>
      <c r="AM46" s="121">
        <v>4968253</v>
      </c>
      <c r="AN46" s="121">
        <v>3011824</v>
      </c>
      <c r="AO46" s="130">
        <v>4117642</v>
      </c>
      <c r="AP46" s="130">
        <v>4727061</v>
      </c>
      <c r="AQ46" s="130">
        <v>5966830</v>
      </c>
      <c r="AR46" s="130">
        <v>4670066</v>
      </c>
      <c r="AS46" s="130">
        <v>4644888</v>
      </c>
      <c r="AT46" s="130">
        <v>4089576</v>
      </c>
      <c r="AU46" s="130">
        <v>4341916</v>
      </c>
      <c r="AV46" s="130">
        <v>5606110</v>
      </c>
      <c r="AW46" s="130">
        <v>4736213</v>
      </c>
      <c r="AX46" s="130">
        <v>3814947</v>
      </c>
      <c r="AY46" s="130">
        <v>4465954</v>
      </c>
      <c r="AZ46" s="130">
        <v>2586147</v>
      </c>
      <c r="BA46" s="130">
        <v>4234752</v>
      </c>
      <c r="BB46" s="130">
        <v>4893167</v>
      </c>
      <c r="BC46" s="130">
        <v>6246977</v>
      </c>
      <c r="BD46" s="130">
        <v>4845719</v>
      </c>
      <c r="BE46" s="130">
        <v>4833536</v>
      </c>
      <c r="BF46" s="130">
        <v>4267897</v>
      </c>
      <c r="BG46" s="130">
        <v>4582585</v>
      </c>
      <c r="BH46" s="130">
        <v>5898106</v>
      </c>
      <c r="BI46" s="130">
        <v>5029091</v>
      </c>
      <c r="BJ46" s="130">
        <v>4057130</v>
      </c>
      <c r="BK46" s="130">
        <v>4804608</v>
      </c>
      <c r="BL46" s="130">
        <v>2764499</v>
      </c>
      <c r="BM46" s="130">
        <v>4103397</v>
      </c>
      <c r="BN46" s="130">
        <v>4734453</v>
      </c>
      <c r="BO46" s="130">
        <v>6056229</v>
      </c>
      <c r="BP46" s="130">
        <v>4674056</v>
      </c>
      <c r="BQ46" s="130">
        <v>4665847</v>
      </c>
      <c r="BR46" s="130">
        <v>3839925</v>
      </c>
      <c r="BS46" s="130">
        <v>4135808</v>
      </c>
      <c r="BT46" s="130">
        <v>5344822</v>
      </c>
      <c r="BU46" s="130">
        <v>4544974</v>
      </c>
      <c r="BV46" s="130">
        <v>3686926</v>
      </c>
      <c r="BW46" s="130">
        <v>4366467</v>
      </c>
      <c r="BX46" s="130">
        <v>2487719</v>
      </c>
      <c r="BY46" s="132">
        <f>SUM(E46:P46)</f>
        <v>41922727</v>
      </c>
      <c r="BZ46" s="132">
        <f>SUM(Q46:AB46)</f>
        <v>47211887</v>
      </c>
      <c r="CA46" s="132">
        <f>SUM(AC46:AN46)</f>
        <v>59688445</v>
      </c>
      <c r="CB46" s="132">
        <f>SUM(AO46:AZ46)</f>
        <v>53767350</v>
      </c>
      <c r="CC46" s="132">
        <f>SUM(BA46:BL46)</f>
        <v>56458067</v>
      </c>
      <c r="CD46" s="132">
        <f>SUM(BM46:BX46)</f>
        <v>52640623</v>
      </c>
    </row>
    <row r="47" spans="1:85" s="98" customFormat="1" outlineLevel="1">
      <c r="A47" s="10"/>
      <c r="B47" s="10"/>
      <c r="C47" s="10"/>
      <c r="D47" s="137" t="s">
        <v>377</v>
      </c>
      <c r="E47" s="136">
        <f t="shared" ref="E47:AJ47" si="30">SUBTOTAL(9,E43:E46)</f>
        <v>66062474</v>
      </c>
      <c r="F47" s="136">
        <f t="shared" si="30"/>
        <v>58331256</v>
      </c>
      <c r="G47" s="136">
        <f t="shared" si="30"/>
        <v>62270211</v>
      </c>
      <c r="H47" s="136">
        <f t="shared" si="30"/>
        <v>66618582</v>
      </c>
      <c r="I47" s="136">
        <f t="shared" si="30"/>
        <v>71369874</v>
      </c>
      <c r="J47" s="136">
        <f t="shared" si="30"/>
        <v>64630289</v>
      </c>
      <c r="K47" s="136">
        <f t="shared" si="30"/>
        <v>70005520</v>
      </c>
      <c r="L47" s="136">
        <f t="shared" si="30"/>
        <v>69517660</v>
      </c>
      <c r="M47" s="136">
        <f t="shared" si="30"/>
        <v>71349625</v>
      </c>
      <c r="N47" s="136">
        <f t="shared" si="30"/>
        <v>68408480</v>
      </c>
      <c r="O47" s="136">
        <f t="shared" si="30"/>
        <v>56647461</v>
      </c>
      <c r="P47" s="136">
        <f t="shared" si="30"/>
        <v>67238671</v>
      </c>
      <c r="Q47" s="136">
        <f t="shared" si="30"/>
        <v>58566436</v>
      </c>
      <c r="R47" s="136">
        <f t="shared" si="30"/>
        <v>57447366</v>
      </c>
      <c r="S47" s="136">
        <f t="shared" si="30"/>
        <v>54004184</v>
      </c>
      <c r="T47" s="136">
        <f t="shared" si="30"/>
        <v>71130910</v>
      </c>
      <c r="U47" s="136">
        <f t="shared" si="30"/>
        <v>84950754</v>
      </c>
      <c r="V47" s="136">
        <f t="shared" si="30"/>
        <v>118548519</v>
      </c>
      <c r="W47" s="136">
        <f t="shared" si="30"/>
        <v>122831600</v>
      </c>
      <c r="X47" s="136">
        <f t="shared" si="30"/>
        <v>125768740</v>
      </c>
      <c r="Y47" s="136">
        <f t="shared" si="30"/>
        <v>129685579</v>
      </c>
      <c r="Z47" s="136">
        <f t="shared" si="30"/>
        <v>121969031</v>
      </c>
      <c r="AA47" s="136">
        <f t="shared" si="30"/>
        <v>105388541</v>
      </c>
      <c r="AB47" s="136">
        <f t="shared" si="30"/>
        <v>108781127</v>
      </c>
      <c r="AC47" s="136">
        <f t="shared" si="30"/>
        <v>103194596</v>
      </c>
      <c r="AD47" s="136">
        <f t="shared" si="30"/>
        <v>100827245</v>
      </c>
      <c r="AE47" s="136">
        <f t="shared" si="30"/>
        <v>103501495</v>
      </c>
      <c r="AF47" s="136">
        <f t="shared" si="30"/>
        <v>104336354</v>
      </c>
      <c r="AG47" s="136">
        <f t="shared" si="30"/>
        <v>106946062</v>
      </c>
      <c r="AH47" s="136">
        <f t="shared" si="30"/>
        <v>112537726</v>
      </c>
      <c r="AI47" s="136">
        <f t="shared" si="30"/>
        <v>122499861</v>
      </c>
      <c r="AJ47" s="136">
        <f t="shared" si="30"/>
        <v>117600510</v>
      </c>
      <c r="AK47" s="136">
        <f t="shared" ref="AK47:BP47" si="31">SUBTOTAL(9,AK43:AK46)</f>
        <v>124486710</v>
      </c>
      <c r="AL47" s="136">
        <f t="shared" si="31"/>
        <v>120755527</v>
      </c>
      <c r="AM47" s="136">
        <f t="shared" si="31"/>
        <v>105019367</v>
      </c>
      <c r="AN47" s="136">
        <f t="shared" si="31"/>
        <v>108694900</v>
      </c>
      <c r="AO47" s="135">
        <f t="shared" si="31"/>
        <v>102920433</v>
      </c>
      <c r="AP47" s="135">
        <f t="shared" si="31"/>
        <v>100333834</v>
      </c>
      <c r="AQ47" s="135">
        <f t="shared" si="31"/>
        <v>102774131</v>
      </c>
      <c r="AR47" s="135">
        <f t="shared" si="31"/>
        <v>103625674</v>
      </c>
      <c r="AS47" s="135">
        <f t="shared" si="31"/>
        <v>106241669</v>
      </c>
      <c r="AT47" s="135">
        <f t="shared" si="31"/>
        <v>111813949</v>
      </c>
      <c r="AU47" s="135">
        <f t="shared" si="31"/>
        <v>121724328</v>
      </c>
      <c r="AV47" s="135">
        <f t="shared" si="31"/>
        <v>116713975</v>
      </c>
      <c r="AW47" s="135">
        <f t="shared" si="31"/>
        <v>123758911</v>
      </c>
      <c r="AX47" s="135">
        <f t="shared" si="31"/>
        <v>120390431</v>
      </c>
      <c r="AY47" s="135">
        <f t="shared" si="31"/>
        <v>104778910</v>
      </c>
      <c r="AZ47" s="135">
        <f t="shared" si="31"/>
        <v>108843598</v>
      </c>
      <c r="BA47" s="135">
        <f t="shared" si="31"/>
        <v>103597310</v>
      </c>
      <c r="BB47" s="135">
        <f t="shared" si="31"/>
        <v>100952025</v>
      </c>
      <c r="BC47" s="135">
        <f t="shared" si="31"/>
        <v>103340783</v>
      </c>
      <c r="BD47" s="135">
        <f t="shared" si="31"/>
        <v>104059826</v>
      </c>
      <c r="BE47" s="135">
        <f t="shared" si="31"/>
        <v>107735176</v>
      </c>
      <c r="BF47" s="135">
        <f t="shared" si="31"/>
        <v>113174739</v>
      </c>
      <c r="BG47" s="135">
        <f t="shared" si="31"/>
        <v>123341681</v>
      </c>
      <c r="BH47" s="135">
        <f t="shared" si="31"/>
        <v>118363707</v>
      </c>
      <c r="BI47" s="135">
        <f t="shared" si="31"/>
        <v>125597419</v>
      </c>
      <c r="BJ47" s="135">
        <f t="shared" si="31"/>
        <v>122290556</v>
      </c>
      <c r="BK47" s="135">
        <f t="shared" si="31"/>
        <v>106666194</v>
      </c>
      <c r="BL47" s="135">
        <f t="shared" si="31"/>
        <v>110889880</v>
      </c>
      <c r="BM47" s="135">
        <f t="shared" si="31"/>
        <v>107082695</v>
      </c>
      <c r="BN47" s="135">
        <f t="shared" si="31"/>
        <v>103643478</v>
      </c>
      <c r="BO47" s="135">
        <f t="shared" si="31"/>
        <v>105731185</v>
      </c>
      <c r="BP47" s="135">
        <f t="shared" si="31"/>
        <v>106364465</v>
      </c>
      <c r="BQ47" s="135">
        <f t="shared" ref="BQ47:CD47" si="32">SUBTOTAL(9,BQ43:BQ46)</f>
        <v>109180825</v>
      </c>
      <c r="BR47" s="135">
        <f t="shared" si="32"/>
        <v>115324384</v>
      </c>
      <c r="BS47" s="135">
        <f t="shared" si="32"/>
        <v>126414810</v>
      </c>
      <c r="BT47" s="135">
        <f t="shared" si="32"/>
        <v>120598887</v>
      </c>
      <c r="BU47" s="135">
        <f t="shared" si="32"/>
        <v>128021908</v>
      </c>
      <c r="BV47" s="135">
        <f t="shared" si="32"/>
        <v>124955978</v>
      </c>
      <c r="BW47" s="135">
        <f t="shared" si="32"/>
        <v>108714839</v>
      </c>
      <c r="BX47" s="135">
        <f t="shared" si="32"/>
        <v>113981165</v>
      </c>
      <c r="BY47" s="134">
        <f t="shared" si="32"/>
        <v>792450103</v>
      </c>
      <c r="BZ47" s="134">
        <f t="shared" si="32"/>
        <v>1159072787</v>
      </c>
      <c r="CA47" s="134">
        <f t="shared" si="32"/>
        <v>1330400353</v>
      </c>
      <c r="CB47" s="134">
        <f t="shared" si="32"/>
        <v>1323919843</v>
      </c>
      <c r="CC47" s="134">
        <f t="shared" si="32"/>
        <v>1340009296</v>
      </c>
      <c r="CD47" s="134">
        <f t="shared" si="32"/>
        <v>1370014619</v>
      </c>
      <c r="CF47" s="145">
        <f>SUM(Z47:AK47)</f>
        <v>1332069258</v>
      </c>
      <c r="CG47" s="145">
        <f>SUM(AL47:AW47)</f>
        <v>1324376698</v>
      </c>
    </row>
    <row r="48" spans="1:85" s="98" customFormat="1" outlineLevel="2">
      <c r="A48" s="10">
        <v>2</v>
      </c>
      <c r="B48" s="10">
        <v>91</v>
      </c>
      <c r="C48" s="10" t="s">
        <v>376</v>
      </c>
      <c r="D48" s="131" t="s">
        <v>52</v>
      </c>
      <c r="E48" s="121">
        <v>0</v>
      </c>
      <c r="F48" s="121">
        <v>0</v>
      </c>
      <c r="G48" s="121">
        <v>0</v>
      </c>
      <c r="H48" s="121">
        <v>0</v>
      </c>
      <c r="I48" s="121">
        <v>0</v>
      </c>
      <c r="J48" s="121">
        <v>0</v>
      </c>
      <c r="K48" s="121">
        <v>0</v>
      </c>
      <c r="L48" s="121">
        <v>0</v>
      </c>
      <c r="M48" s="121">
        <v>0</v>
      </c>
      <c r="N48" s="121">
        <v>0</v>
      </c>
      <c r="O48" s="121">
        <v>0</v>
      </c>
      <c r="P48" s="121">
        <v>0</v>
      </c>
      <c r="Q48" s="121">
        <v>0</v>
      </c>
      <c r="R48" s="121">
        <v>0</v>
      </c>
      <c r="S48" s="121">
        <v>0</v>
      </c>
      <c r="T48" s="121">
        <v>0</v>
      </c>
      <c r="U48" s="121">
        <v>0</v>
      </c>
      <c r="V48" s="121">
        <v>0</v>
      </c>
      <c r="W48" s="121">
        <v>0</v>
      </c>
      <c r="X48" s="121">
        <v>0</v>
      </c>
      <c r="Y48" s="121">
        <v>0</v>
      </c>
      <c r="Z48" s="121">
        <v>0</v>
      </c>
      <c r="AA48" s="121">
        <v>0</v>
      </c>
      <c r="AB48" s="121">
        <v>0</v>
      </c>
      <c r="AC48" s="121">
        <v>0</v>
      </c>
      <c r="AD48" s="121">
        <v>0</v>
      </c>
      <c r="AE48" s="121">
        <v>0</v>
      </c>
      <c r="AF48" s="121">
        <v>0</v>
      </c>
      <c r="AG48" s="121">
        <v>0</v>
      </c>
      <c r="AH48" s="121">
        <v>0</v>
      </c>
      <c r="AI48" s="121">
        <v>0</v>
      </c>
      <c r="AJ48" s="121">
        <v>0</v>
      </c>
      <c r="AK48" s="121">
        <v>0</v>
      </c>
      <c r="AL48" s="121">
        <v>0</v>
      </c>
      <c r="AM48" s="121">
        <v>0</v>
      </c>
      <c r="AN48" s="121">
        <v>0</v>
      </c>
      <c r="AO48" s="130">
        <v>0</v>
      </c>
      <c r="AP48" s="130">
        <v>0</v>
      </c>
      <c r="AQ48" s="130">
        <v>0</v>
      </c>
      <c r="AR48" s="130">
        <v>0</v>
      </c>
      <c r="AS48" s="130">
        <v>0</v>
      </c>
      <c r="AT48" s="130">
        <v>0</v>
      </c>
      <c r="AU48" s="130">
        <v>0</v>
      </c>
      <c r="AV48" s="130">
        <v>0</v>
      </c>
      <c r="AW48" s="130">
        <v>0</v>
      </c>
      <c r="AX48" s="130">
        <v>0</v>
      </c>
      <c r="AY48" s="130">
        <v>0</v>
      </c>
      <c r="AZ48" s="130">
        <v>0</v>
      </c>
      <c r="BA48" s="130">
        <v>0</v>
      </c>
      <c r="BB48" s="130">
        <v>0</v>
      </c>
      <c r="BC48" s="130">
        <v>0</v>
      </c>
      <c r="BD48" s="130">
        <v>0</v>
      </c>
      <c r="BE48" s="130">
        <v>0</v>
      </c>
      <c r="BF48" s="130">
        <v>0</v>
      </c>
      <c r="BG48" s="130">
        <v>0</v>
      </c>
      <c r="BH48" s="130">
        <v>0</v>
      </c>
      <c r="BI48" s="130">
        <v>0</v>
      </c>
      <c r="BJ48" s="130">
        <v>0</v>
      </c>
      <c r="BK48" s="130">
        <v>0</v>
      </c>
      <c r="BL48" s="130">
        <v>0</v>
      </c>
      <c r="BM48" s="130">
        <v>0</v>
      </c>
      <c r="BN48" s="130">
        <v>0</v>
      </c>
      <c r="BO48" s="130">
        <v>0</v>
      </c>
      <c r="BP48" s="130">
        <v>0</v>
      </c>
      <c r="BQ48" s="130">
        <v>0</v>
      </c>
      <c r="BR48" s="130">
        <v>0</v>
      </c>
      <c r="BS48" s="130">
        <v>0</v>
      </c>
      <c r="BT48" s="130">
        <v>0</v>
      </c>
      <c r="BU48" s="130">
        <v>0</v>
      </c>
      <c r="BV48" s="130">
        <v>0</v>
      </c>
      <c r="BW48" s="130">
        <v>0</v>
      </c>
      <c r="BX48" s="130">
        <v>0</v>
      </c>
      <c r="BY48" s="132">
        <f>SUM(E48:P48)</f>
        <v>0</v>
      </c>
      <c r="BZ48" s="132">
        <f>SUM(Q48:AB48)</f>
        <v>0</v>
      </c>
      <c r="CA48" s="132">
        <f>SUM(AC48:AN48)</f>
        <v>0</v>
      </c>
      <c r="CB48" s="132">
        <f>SUM(AO48:AZ48)</f>
        <v>0</v>
      </c>
      <c r="CC48" s="132">
        <f>SUM(BA48:BL48)</f>
        <v>0</v>
      </c>
      <c r="CD48" s="132">
        <f>SUM(BM48:BX48)</f>
        <v>0</v>
      </c>
    </row>
    <row r="49" spans="1:85" s="98" customFormat="1" outlineLevel="2">
      <c r="A49" s="10">
        <v>3</v>
      </c>
      <c r="B49" s="10">
        <v>91</v>
      </c>
      <c r="C49" s="10" t="s">
        <v>376</v>
      </c>
      <c r="D49" s="131" t="s">
        <v>52</v>
      </c>
      <c r="E49" s="121">
        <v>7161000</v>
      </c>
      <c r="F49" s="121">
        <v>6220283</v>
      </c>
      <c r="G49" s="121">
        <v>3334000</v>
      </c>
      <c r="H49" s="121">
        <v>326000</v>
      </c>
      <c r="I49" s="121">
        <v>724000</v>
      </c>
      <c r="J49" s="121">
        <v>53000</v>
      </c>
      <c r="K49" s="121">
        <v>60000</v>
      </c>
      <c r="L49" s="121">
        <v>54000</v>
      </c>
      <c r="M49" s="121">
        <v>55000</v>
      </c>
      <c r="N49" s="121">
        <v>688000</v>
      </c>
      <c r="O49" s="121">
        <v>4046000</v>
      </c>
      <c r="P49" s="121">
        <v>6105000</v>
      </c>
      <c r="Q49" s="121">
        <v>6114000</v>
      </c>
      <c r="R49" s="121">
        <v>5331000</v>
      </c>
      <c r="S49" s="121">
        <v>4640000</v>
      </c>
      <c r="T49" s="121">
        <v>49000</v>
      </c>
      <c r="U49" s="121">
        <v>100000</v>
      </c>
      <c r="V49" s="121">
        <v>56000</v>
      </c>
      <c r="W49" s="121">
        <v>45000</v>
      </c>
      <c r="X49" s="121">
        <v>47000</v>
      </c>
      <c r="Y49" s="121">
        <v>39000</v>
      </c>
      <c r="Z49" s="121">
        <v>691957</v>
      </c>
      <c r="AA49" s="121">
        <v>4601709</v>
      </c>
      <c r="AB49" s="121">
        <v>4165261</v>
      </c>
      <c r="AC49" s="121">
        <v>5842232</v>
      </c>
      <c r="AD49" s="121">
        <v>5596492</v>
      </c>
      <c r="AE49" s="121">
        <v>5915578</v>
      </c>
      <c r="AF49" s="121">
        <v>48955</v>
      </c>
      <c r="AG49" s="121">
        <v>94330</v>
      </c>
      <c r="AH49" s="121">
        <v>45255</v>
      </c>
      <c r="AI49" s="121">
        <v>42080</v>
      </c>
      <c r="AJ49" s="121">
        <v>40534</v>
      </c>
      <c r="AK49" s="121">
        <v>35393</v>
      </c>
      <c r="AL49" s="121">
        <v>670951</v>
      </c>
      <c r="AM49" s="121">
        <v>4462624</v>
      </c>
      <c r="AN49" s="121">
        <v>3959389</v>
      </c>
      <c r="AO49" s="130">
        <v>5428408</v>
      </c>
      <c r="AP49" s="130">
        <v>5154918</v>
      </c>
      <c r="AQ49" s="130">
        <v>5468300</v>
      </c>
      <c r="AR49" s="130">
        <v>44181</v>
      </c>
      <c r="AS49" s="130">
        <v>85172</v>
      </c>
      <c r="AT49" s="130">
        <v>40265</v>
      </c>
      <c r="AU49" s="130">
        <v>37662</v>
      </c>
      <c r="AV49" s="130">
        <v>36078</v>
      </c>
      <c r="AW49" s="130">
        <v>31455</v>
      </c>
      <c r="AX49" s="130">
        <v>595845</v>
      </c>
      <c r="AY49" s="130">
        <v>4011445</v>
      </c>
      <c r="AZ49" s="130">
        <v>3399788</v>
      </c>
      <c r="BA49" s="130">
        <v>4962487</v>
      </c>
      <c r="BB49" s="130">
        <v>4743164</v>
      </c>
      <c r="BC49" s="130">
        <v>5088925</v>
      </c>
      <c r="BD49" s="130">
        <v>40749</v>
      </c>
      <c r="BE49" s="130">
        <v>78784</v>
      </c>
      <c r="BF49" s="130">
        <v>37352</v>
      </c>
      <c r="BG49" s="130">
        <v>35333</v>
      </c>
      <c r="BH49" s="130">
        <v>33740</v>
      </c>
      <c r="BI49" s="130">
        <v>29689</v>
      </c>
      <c r="BJ49" s="130">
        <v>563263</v>
      </c>
      <c r="BK49" s="130">
        <v>3836119</v>
      </c>
      <c r="BL49" s="130">
        <v>3230446</v>
      </c>
      <c r="BM49" s="130">
        <v>4808559</v>
      </c>
      <c r="BN49" s="130">
        <v>4589315</v>
      </c>
      <c r="BO49" s="130">
        <v>4933538</v>
      </c>
      <c r="BP49" s="130">
        <v>39306</v>
      </c>
      <c r="BQ49" s="130">
        <v>76050</v>
      </c>
      <c r="BR49" s="130">
        <v>33606</v>
      </c>
      <c r="BS49" s="130">
        <v>31888</v>
      </c>
      <c r="BT49" s="130">
        <v>30575</v>
      </c>
      <c r="BU49" s="130">
        <v>26831</v>
      </c>
      <c r="BV49" s="130">
        <v>511867</v>
      </c>
      <c r="BW49" s="130">
        <v>3486296</v>
      </c>
      <c r="BX49" s="130">
        <v>2907017</v>
      </c>
      <c r="BY49" s="132">
        <f>SUM(E49:P49)</f>
        <v>28826283</v>
      </c>
      <c r="BZ49" s="132">
        <f>SUM(Q49:AB49)</f>
        <v>25879927</v>
      </c>
      <c r="CA49" s="132">
        <f>SUM(AC49:AN49)</f>
        <v>26753813</v>
      </c>
      <c r="CB49" s="132">
        <f>SUM(AO49:AZ49)</f>
        <v>24333517</v>
      </c>
      <c r="CC49" s="132">
        <f>SUM(BA49:BL49)</f>
        <v>22680051</v>
      </c>
      <c r="CD49" s="132">
        <f>SUM(BM49:BX49)</f>
        <v>21474848</v>
      </c>
    </row>
    <row r="50" spans="1:85" s="98" customFormat="1" outlineLevel="2">
      <c r="A50" s="10">
        <v>2</v>
      </c>
      <c r="B50" s="10">
        <v>90</v>
      </c>
      <c r="C50" s="10" t="s">
        <v>375</v>
      </c>
      <c r="D50" s="131" t="s">
        <v>52</v>
      </c>
      <c r="E50" s="121">
        <v>0</v>
      </c>
      <c r="F50" s="121">
        <v>0</v>
      </c>
      <c r="G50" s="121">
        <v>0</v>
      </c>
      <c r="H50" s="121">
        <v>0</v>
      </c>
      <c r="I50" s="121">
        <v>0</v>
      </c>
      <c r="J50" s="121">
        <v>0</v>
      </c>
      <c r="K50" s="121">
        <v>0</v>
      </c>
      <c r="L50" s="121">
        <v>0</v>
      </c>
      <c r="M50" s="121">
        <v>0</v>
      </c>
      <c r="N50" s="121">
        <v>0</v>
      </c>
      <c r="O50" s="121">
        <v>9522334</v>
      </c>
      <c r="P50" s="121">
        <v>0</v>
      </c>
      <c r="Q50" s="121">
        <v>0</v>
      </c>
      <c r="R50" s="121">
        <v>7209503</v>
      </c>
      <c r="S50" s="121">
        <v>498400</v>
      </c>
      <c r="T50" s="121">
        <v>644000</v>
      </c>
      <c r="U50" s="121">
        <v>728000</v>
      </c>
      <c r="V50" s="121">
        <v>700000</v>
      </c>
      <c r="W50" s="121">
        <v>778400</v>
      </c>
      <c r="X50" s="121">
        <v>974400</v>
      </c>
      <c r="Y50" s="121">
        <v>0</v>
      </c>
      <c r="Z50" s="121">
        <v>806241</v>
      </c>
      <c r="AA50" s="121">
        <v>771303</v>
      </c>
      <c r="AB50" s="121">
        <v>730610</v>
      </c>
      <c r="AC50" s="121">
        <v>621218</v>
      </c>
      <c r="AD50" s="121">
        <v>646390</v>
      </c>
      <c r="AE50" s="121">
        <v>503090</v>
      </c>
      <c r="AF50" s="121">
        <v>649804</v>
      </c>
      <c r="AG50" s="121">
        <v>715307</v>
      </c>
      <c r="AH50" s="121">
        <v>645407</v>
      </c>
      <c r="AI50" s="121">
        <v>748786</v>
      </c>
      <c r="AJ50" s="121">
        <v>922915</v>
      </c>
      <c r="AK50" s="121">
        <v>1092038</v>
      </c>
      <c r="AL50" s="121">
        <v>799414</v>
      </c>
      <c r="AM50" s="121">
        <v>770613</v>
      </c>
      <c r="AN50" s="121">
        <v>732175</v>
      </c>
      <c r="AO50" s="130">
        <v>623595</v>
      </c>
      <c r="AP50" s="130">
        <v>648615</v>
      </c>
      <c r="AQ50" s="130">
        <v>504489</v>
      </c>
      <c r="AR50" s="130">
        <v>651679</v>
      </c>
      <c r="AS50" s="130">
        <v>717029</v>
      </c>
      <c r="AT50" s="130">
        <v>646759</v>
      </c>
      <c r="AU50" s="130">
        <v>750196</v>
      </c>
      <c r="AV50" s="130">
        <v>925007</v>
      </c>
      <c r="AW50" s="130">
        <v>1095451</v>
      </c>
      <c r="AX50" s="130">
        <v>803178</v>
      </c>
      <c r="AY50" s="130">
        <v>776064</v>
      </c>
      <c r="AZ50" s="130">
        <v>739157</v>
      </c>
      <c r="BA50" s="130">
        <v>629667</v>
      </c>
      <c r="BB50" s="130">
        <v>654504</v>
      </c>
      <c r="BC50" s="130">
        <v>508395</v>
      </c>
      <c r="BD50" s="130">
        <v>655831</v>
      </c>
      <c r="BE50" s="130">
        <v>720185</v>
      </c>
      <c r="BF50" s="130">
        <v>648025</v>
      </c>
      <c r="BG50" s="130">
        <v>752229</v>
      </c>
      <c r="BH50" s="130">
        <v>927459</v>
      </c>
      <c r="BI50" s="130">
        <v>1098723</v>
      </c>
      <c r="BJ50" s="130">
        <v>805970</v>
      </c>
      <c r="BK50" s="130">
        <v>780341</v>
      </c>
      <c r="BL50" s="130">
        <v>744378</v>
      </c>
      <c r="BM50" s="130">
        <v>646408</v>
      </c>
      <c r="BN50" s="130">
        <v>659965</v>
      </c>
      <c r="BO50" s="130">
        <v>511450</v>
      </c>
      <c r="BP50" s="130">
        <v>658110</v>
      </c>
      <c r="BQ50" s="130">
        <v>724270</v>
      </c>
      <c r="BR50" s="130">
        <v>653201</v>
      </c>
      <c r="BS50" s="130">
        <v>753699</v>
      </c>
      <c r="BT50" s="130">
        <v>925415</v>
      </c>
      <c r="BU50" s="130">
        <v>1095854</v>
      </c>
      <c r="BV50" s="130">
        <v>805777</v>
      </c>
      <c r="BW50" s="130">
        <v>777817</v>
      </c>
      <c r="BX50" s="130">
        <v>748191</v>
      </c>
      <c r="BY50" s="132">
        <f>SUM(E50:P50)</f>
        <v>9522334</v>
      </c>
      <c r="BZ50" s="132">
        <f>SUM(Q50:AB50)</f>
        <v>13840857</v>
      </c>
      <c r="CA50" s="132">
        <f>SUM(AC50:AN50)</f>
        <v>8847157</v>
      </c>
      <c r="CB50" s="132">
        <f>SUM(AO50:AZ50)</f>
        <v>8881219</v>
      </c>
      <c r="CC50" s="132">
        <f>SUM(BA50:BL50)</f>
        <v>8925707</v>
      </c>
      <c r="CD50" s="132">
        <f>SUM(BM50:BX50)</f>
        <v>8960157</v>
      </c>
    </row>
    <row r="51" spans="1:85" s="98" customFormat="1" outlineLevel="2">
      <c r="A51" s="10">
        <v>3</v>
      </c>
      <c r="B51" s="10">
        <v>90</v>
      </c>
      <c r="C51" s="10" t="s">
        <v>375</v>
      </c>
      <c r="D51" s="131" t="s">
        <v>52</v>
      </c>
      <c r="E51" s="121">
        <v>14937781</v>
      </c>
      <c r="F51" s="121">
        <v>15288322</v>
      </c>
      <c r="G51" s="121">
        <v>9102480</v>
      </c>
      <c r="H51" s="121">
        <v>18664789</v>
      </c>
      <c r="I51" s="121">
        <v>16694200</v>
      </c>
      <c r="J51" s="121">
        <v>16353790</v>
      </c>
      <c r="K51" s="121">
        <v>8988000</v>
      </c>
      <c r="L51" s="121">
        <v>18417600</v>
      </c>
      <c r="M51" s="121">
        <v>13000400</v>
      </c>
      <c r="N51" s="121">
        <v>10458600</v>
      </c>
      <c r="O51" s="121">
        <v>11646000</v>
      </c>
      <c r="P51" s="121">
        <v>12924000</v>
      </c>
      <c r="Q51" s="121">
        <v>15378910</v>
      </c>
      <c r="R51" s="121">
        <v>14847400</v>
      </c>
      <c r="S51" s="121">
        <v>12345800</v>
      </c>
      <c r="T51" s="121">
        <v>13823691</v>
      </c>
      <c r="U51" s="121">
        <v>15144965</v>
      </c>
      <c r="V51" s="121">
        <v>15660285</v>
      </c>
      <c r="W51" s="121">
        <v>12806000</v>
      </c>
      <c r="X51" s="121">
        <v>13099600</v>
      </c>
      <c r="Y51" s="121">
        <v>12928200</v>
      </c>
      <c r="Z51" s="121">
        <v>10518755</v>
      </c>
      <c r="AA51" s="121">
        <v>13245551</v>
      </c>
      <c r="AB51" s="121">
        <v>8817663</v>
      </c>
      <c r="AC51" s="121">
        <v>14695315</v>
      </c>
      <c r="AD51" s="121">
        <v>15586822</v>
      </c>
      <c r="AE51" s="121">
        <v>15739773</v>
      </c>
      <c r="AF51" s="121">
        <v>13810950</v>
      </c>
      <c r="AG51" s="121">
        <v>14286230</v>
      </c>
      <c r="AH51" s="121">
        <v>12655489</v>
      </c>
      <c r="AI51" s="121">
        <v>11974900</v>
      </c>
      <c r="AJ51" s="121">
        <v>11297458</v>
      </c>
      <c r="AK51" s="121">
        <v>11732456</v>
      </c>
      <c r="AL51" s="121">
        <v>10199433</v>
      </c>
      <c r="AM51" s="121">
        <v>12845210</v>
      </c>
      <c r="AN51" s="121">
        <v>8381843</v>
      </c>
      <c r="AO51" s="130">
        <v>13654400</v>
      </c>
      <c r="AP51" s="130">
        <v>14356994</v>
      </c>
      <c r="AQ51" s="130">
        <v>14549684</v>
      </c>
      <c r="AR51" s="130">
        <v>12464195</v>
      </c>
      <c r="AS51" s="130">
        <v>12899313</v>
      </c>
      <c r="AT51" s="130">
        <v>11260066</v>
      </c>
      <c r="AU51" s="130">
        <v>10717835</v>
      </c>
      <c r="AV51" s="130">
        <v>10055498</v>
      </c>
      <c r="AW51" s="130">
        <v>10427176</v>
      </c>
      <c r="AX51" s="130">
        <v>9057712</v>
      </c>
      <c r="AY51" s="130">
        <v>11546538</v>
      </c>
      <c r="AZ51" s="130">
        <v>7197193</v>
      </c>
      <c r="BA51" s="130">
        <v>12482440</v>
      </c>
      <c r="BB51" s="130">
        <v>13210214</v>
      </c>
      <c r="BC51" s="130">
        <v>13540270</v>
      </c>
      <c r="BD51" s="130">
        <v>11496005</v>
      </c>
      <c r="BE51" s="130">
        <v>11931741</v>
      </c>
      <c r="BF51" s="130">
        <v>10445377</v>
      </c>
      <c r="BG51" s="130">
        <v>10055035</v>
      </c>
      <c r="BH51" s="130">
        <v>9403770</v>
      </c>
      <c r="BI51" s="130">
        <v>9841752</v>
      </c>
      <c r="BJ51" s="130">
        <v>8562418</v>
      </c>
      <c r="BK51" s="130">
        <v>11041878</v>
      </c>
      <c r="BL51" s="130">
        <v>6838704</v>
      </c>
      <c r="BM51" s="130">
        <v>12095255</v>
      </c>
      <c r="BN51" s="130">
        <v>12781729</v>
      </c>
      <c r="BO51" s="130">
        <v>13126826</v>
      </c>
      <c r="BP51" s="130">
        <v>11088749</v>
      </c>
      <c r="BQ51" s="130">
        <v>11517795</v>
      </c>
      <c r="BR51" s="130">
        <v>11747430</v>
      </c>
      <c r="BS51" s="130">
        <v>11343406</v>
      </c>
      <c r="BT51" s="130">
        <v>10652038</v>
      </c>
      <c r="BU51" s="130">
        <v>11117940</v>
      </c>
      <c r="BV51" s="130">
        <v>9726394</v>
      </c>
      <c r="BW51" s="130">
        <v>12543685</v>
      </c>
      <c r="BX51" s="130">
        <v>7692523</v>
      </c>
      <c r="BY51" s="132">
        <f>SUM(E51:P51)</f>
        <v>166475962</v>
      </c>
      <c r="BZ51" s="132">
        <f>SUM(Q51:AB51)</f>
        <v>158616820</v>
      </c>
      <c r="CA51" s="132">
        <f>SUM(AC51:AN51)</f>
        <v>153205879</v>
      </c>
      <c r="CB51" s="132">
        <f>SUM(AO51:AZ51)</f>
        <v>138186604</v>
      </c>
      <c r="CC51" s="132">
        <f>SUM(BA51:BL51)</f>
        <v>128849604</v>
      </c>
      <c r="CD51" s="132">
        <f>SUM(BM51:BX51)</f>
        <v>135433770</v>
      </c>
    </row>
    <row r="52" spans="1:85" s="98" customFormat="1" outlineLevel="2">
      <c r="A52" s="10">
        <v>5</v>
      </c>
      <c r="B52" s="10">
        <v>90</v>
      </c>
      <c r="C52" s="131" t="s">
        <v>375</v>
      </c>
      <c r="D52" s="131" t="s">
        <v>52</v>
      </c>
      <c r="E52" s="121">
        <v>1590368</v>
      </c>
      <c r="F52" s="121">
        <v>949200</v>
      </c>
      <c r="G52" s="121">
        <v>982800</v>
      </c>
      <c r="H52" s="121">
        <v>1033200</v>
      </c>
      <c r="I52" s="121">
        <v>1159200</v>
      </c>
      <c r="J52" s="121">
        <v>3964800</v>
      </c>
      <c r="K52" s="121">
        <v>3906000</v>
      </c>
      <c r="L52" s="121">
        <v>2049600</v>
      </c>
      <c r="M52" s="121">
        <v>1201200</v>
      </c>
      <c r="N52" s="121">
        <v>1184400</v>
      </c>
      <c r="O52" s="121">
        <v>1209600</v>
      </c>
      <c r="P52" s="121">
        <v>1276800</v>
      </c>
      <c r="Q52" s="121">
        <v>1046844</v>
      </c>
      <c r="R52" s="121">
        <v>940800</v>
      </c>
      <c r="S52" s="121">
        <v>991200</v>
      </c>
      <c r="T52" s="121">
        <v>1100400</v>
      </c>
      <c r="U52" s="121">
        <v>1243200</v>
      </c>
      <c r="V52" s="121">
        <v>1503600</v>
      </c>
      <c r="W52" s="121">
        <v>1545600</v>
      </c>
      <c r="X52" s="121">
        <v>1428000</v>
      </c>
      <c r="Y52" s="121">
        <v>1520400</v>
      </c>
      <c r="Z52" s="121">
        <v>1205828</v>
      </c>
      <c r="AA52" s="121">
        <v>1090736</v>
      </c>
      <c r="AB52" s="121">
        <v>1070273</v>
      </c>
      <c r="AC52" s="121">
        <v>1184154</v>
      </c>
      <c r="AD52" s="121">
        <v>1012997</v>
      </c>
      <c r="AE52" s="121">
        <v>1083006</v>
      </c>
      <c r="AF52" s="121">
        <v>1170069</v>
      </c>
      <c r="AG52" s="121">
        <v>1315648</v>
      </c>
      <c r="AH52" s="121">
        <v>2091987</v>
      </c>
      <c r="AI52" s="121">
        <v>2089260</v>
      </c>
      <c r="AJ52" s="121">
        <v>1288603</v>
      </c>
      <c r="AK52" s="121">
        <v>1199570</v>
      </c>
      <c r="AL52" s="121">
        <v>1198214</v>
      </c>
      <c r="AM52" s="121">
        <v>1182864</v>
      </c>
      <c r="AN52" s="121">
        <v>1060691</v>
      </c>
      <c r="AO52" s="130">
        <v>1066340</v>
      </c>
      <c r="AP52" s="130">
        <v>1005296</v>
      </c>
      <c r="AQ52" s="130">
        <v>1094483</v>
      </c>
      <c r="AR52" s="130">
        <v>1209642</v>
      </c>
      <c r="AS52" s="130">
        <v>1412555</v>
      </c>
      <c r="AT52" s="130">
        <v>1821867</v>
      </c>
      <c r="AU52" s="130">
        <v>1761230</v>
      </c>
      <c r="AV52" s="130">
        <v>1407004</v>
      </c>
      <c r="AW52" s="130">
        <v>1230499</v>
      </c>
      <c r="AX52" s="130">
        <v>1206756</v>
      </c>
      <c r="AY52" s="130">
        <v>1143831</v>
      </c>
      <c r="AZ52" s="130">
        <v>1074517</v>
      </c>
      <c r="BA52" s="130">
        <v>1134759</v>
      </c>
      <c r="BB52" s="130">
        <v>1017150</v>
      </c>
      <c r="BC52" s="130">
        <v>1095904</v>
      </c>
      <c r="BD52" s="130">
        <v>1196196</v>
      </c>
      <c r="BE52" s="130">
        <v>1369345</v>
      </c>
      <c r="BF52" s="130">
        <v>1959694</v>
      </c>
      <c r="BG52" s="130">
        <v>1929192</v>
      </c>
      <c r="BH52" s="130">
        <v>1350376</v>
      </c>
      <c r="BI52" s="130">
        <v>1217737</v>
      </c>
      <c r="BJ52" s="130">
        <v>1206236</v>
      </c>
      <c r="BK52" s="130">
        <v>1169103</v>
      </c>
      <c r="BL52" s="130">
        <v>1074343</v>
      </c>
      <c r="BM52" s="130">
        <v>1127837</v>
      </c>
      <c r="BN52" s="130">
        <v>1018977</v>
      </c>
      <c r="BO52" s="130">
        <v>1101093</v>
      </c>
      <c r="BP52" s="130">
        <v>1206668</v>
      </c>
      <c r="BQ52" s="130">
        <v>1397636</v>
      </c>
      <c r="BR52" s="130">
        <v>1903820</v>
      </c>
      <c r="BS52" s="130">
        <v>1848014</v>
      </c>
      <c r="BT52" s="130">
        <v>1375532</v>
      </c>
      <c r="BU52" s="130">
        <v>1220781</v>
      </c>
      <c r="BV52" s="130">
        <v>1205241</v>
      </c>
      <c r="BW52" s="130">
        <v>1151941</v>
      </c>
      <c r="BX52" s="130">
        <v>1078845</v>
      </c>
      <c r="BY52" s="132">
        <f>SUM(E52:P52)</f>
        <v>20507168</v>
      </c>
      <c r="BZ52" s="132">
        <f>SUM(Q52:AB52)</f>
        <v>14686881</v>
      </c>
      <c r="CA52" s="132">
        <f>SUM(AC52:AN52)</f>
        <v>15877063</v>
      </c>
      <c r="CB52" s="132">
        <f>SUM(AO52:AZ52)</f>
        <v>15434020</v>
      </c>
      <c r="CC52" s="132">
        <f>SUM(BA52:BL52)</f>
        <v>15720035</v>
      </c>
      <c r="CD52" s="132">
        <f>SUM(BM52:BX52)</f>
        <v>15636385</v>
      </c>
    </row>
    <row r="53" spans="1:85" s="98" customFormat="1" outlineLevel="1">
      <c r="A53" s="10"/>
      <c r="B53" s="10"/>
      <c r="C53" s="10"/>
      <c r="D53" s="137" t="s">
        <v>374</v>
      </c>
      <c r="E53" s="136">
        <f t="shared" ref="E53:AJ53" si="33">SUBTOTAL(9,E48:E52)</f>
        <v>23689149</v>
      </c>
      <c r="F53" s="136">
        <f t="shared" si="33"/>
        <v>22457805</v>
      </c>
      <c r="G53" s="136">
        <f t="shared" si="33"/>
        <v>13419280</v>
      </c>
      <c r="H53" s="136">
        <f t="shared" si="33"/>
        <v>20023989</v>
      </c>
      <c r="I53" s="136">
        <f t="shared" si="33"/>
        <v>18577400</v>
      </c>
      <c r="J53" s="136">
        <f t="shared" si="33"/>
        <v>20371590</v>
      </c>
      <c r="K53" s="136">
        <f t="shared" si="33"/>
        <v>12954000</v>
      </c>
      <c r="L53" s="136">
        <f t="shared" si="33"/>
        <v>20521200</v>
      </c>
      <c r="M53" s="136">
        <f t="shared" si="33"/>
        <v>14256600</v>
      </c>
      <c r="N53" s="136">
        <f t="shared" si="33"/>
        <v>12331000</v>
      </c>
      <c r="O53" s="136">
        <f t="shared" si="33"/>
        <v>26423934</v>
      </c>
      <c r="P53" s="136">
        <f t="shared" si="33"/>
        <v>20305800</v>
      </c>
      <c r="Q53" s="136">
        <f t="shared" si="33"/>
        <v>22539754</v>
      </c>
      <c r="R53" s="136">
        <f t="shared" si="33"/>
        <v>28328703</v>
      </c>
      <c r="S53" s="136">
        <f t="shared" si="33"/>
        <v>18475400</v>
      </c>
      <c r="T53" s="136">
        <f t="shared" si="33"/>
        <v>15617091</v>
      </c>
      <c r="U53" s="136">
        <f t="shared" si="33"/>
        <v>17216165</v>
      </c>
      <c r="V53" s="136">
        <f t="shared" si="33"/>
        <v>17919885</v>
      </c>
      <c r="W53" s="136">
        <f t="shared" si="33"/>
        <v>15175000</v>
      </c>
      <c r="X53" s="136">
        <f t="shared" si="33"/>
        <v>15549000</v>
      </c>
      <c r="Y53" s="136">
        <f t="shared" si="33"/>
        <v>14487600</v>
      </c>
      <c r="Z53" s="136">
        <f t="shared" si="33"/>
        <v>13222781</v>
      </c>
      <c r="AA53" s="136">
        <f t="shared" si="33"/>
        <v>19709299</v>
      </c>
      <c r="AB53" s="136">
        <f t="shared" si="33"/>
        <v>14783807</v>
      </c>
      <c r="AC53" s="136">
        <f t="shared" si="33"/>
        <v>22342919</v>
      </c>
      <c r="AD53" s="136">
        <f t="shared" si="33"/>
        <v>22842701</v>
      </c>
      <c r="AE53" s="136">
        <f t="shared" si="33"/>
        <v>23241447</v>
      </c>
      <c r="AF53" s="136">
        <f t="shared" si="33"/>
        <v>15679778</v>
      </c>
      <c r="AG53" s="136">
        <f t="shared" si="33"/>
        <v>16411515</v>
      </c>
      <c r="AH53" s="136">
        <f t="shared" si="33"/>
        <v>15438138</v>
      </c>
      <c r="AI53" s="136">
        <f t="shared" si="33"/>
        <v>14855026</v>
      </c>
      <c r="AJ53" s="136">
        <f t="shared" si="33"/>
        <v>13549510</v>
      </c>
      <c r="AK53" s="136">
        <f t="shared" ref="AK53:BP53" si="34">SUBTOTAL(9,AK48:AK52)</f>
        <v>14059457</v>
      </c>
      <c r="AL53" s="136">
        <f t="shared" si="34"/>
        <v>12868012</v>
      </c>
      <c r="AM53" s="136">
        <f t="shared" si="34"/>
        <v>19261311</v>
      </c>
      <c r="AN53" s="136">
        <f t="shared" si="34"/>
        <v>14134098</v>
      </c>
      <c r="AO53" s="135">
        <f t="shared" si="34"/>
        <v>20772743</v>
      </c>
      <c r="AP53" s="135">
        <f t="shared" si="34"/>
        <v>21165823</v>
      </c>
      <c r="AQ53" s="135">
        <f t="shared" si="34"/>
        <v>21616956</v>
      </c>
      <c r="AR53" s="135">
        <f t="shared" si="34"/>
        <v>14369697</v>
      </c>
      <c r="AS53" s="135">
        <f t="shared" si="34"/>
        <v>15114069</v>
      </c>
      <c r="AT53" s="135">
        <f t="shared" si="34"/>
        <v>13768957</v>
      </c>
      <c r="AU53" s="135">
        <f t="shared" si="34"/>
        <v>13266923</v>
      </c>
      <c r="AV53" s="135">
        <f t="shared" si="34"/>
        <v>12423587</v>
      </c>
      <c r="AW53" s="135">
        <f t="shared" si="34"/>
        <v>12784581</v>
      </c>
      <c r="AX53" s="135">
        <f t="shared" si="34"/>
        <v>11663491</v>
      </c>
      <c r="AY53" s="135">
        <f t="shared" si="34"/>
        <v>17477878</v>
      </c>
      <c r="AZ53" s="135">
        <f t="shared" si="34"/>
        <v>12410655</v>
      </c>
      <c r="BA53" s="135">
        <f t="shared" si="34"/>
        <v>19209353</v>
      </c>
      <c r="BB53" s="135">
        <f t="shared" si="34"/>
        <v>19625032</v>
      </c>
      <c r="BC53" s="135">
        <f t="shared" si="34"/>
        <v>20233494</v>
      </c>
      <c r="BD53" s="135">
        <f t="shared" si="34"/>
        <v>13388781</v>
      </c>
      <c r="BE53" s="135">
        <f t="shared" si="34"/>
        <v>14100055</v>
      </c>
      <c r="BF53" s="135">
        <f t="shared" si="34"/>
        <v>13090448</v>
      </c>
      <c r="BG53" s="135">
        <f t="shared" si="34"/>
        <v>12771789</v>
      </c>
      <c r="BH53" s="135">
        <f t="shared" si="34"/>
        <v>11715345</v>
      </c>
      <c r="BI53" s="135">
        <f t="shared" si="34"/>
        <v>12187901</v>
      </c>
      <c r="BJ53" s="135">
        <f t="shared" si="34"/>
        <v>11137887</v>
      </c>
      <c r="BK53" s="135">
        <f t="shared" si="34"/>
        <v>16827441</v>
      </c>
      <c r="BL53" s="135">
        <f t="shared" si="34"/>
        <v>11887871</v>
      </c>
      <c r="BM53" s="135">
        <f t="shared" si="34"/>
        <v>18678059</v>
      </c>
      <c r="BN53" s="135">
        <f t="shared" si="34"/>
        <v>19049986</v>
      </c>
      <c r="BO53" s="135">
        <f t="shared" si="34"/>
        <v>19672907</v>
      </c>
      <c r="BP53" s="135">
        <f t="shared" si="34"/>
        <v>12992833</v>
      </c>
      <c r="BQ53" s="135">
        <f t="shared" ref="BQ53:CD53" si="35">SUBTOTAL(9,BQ48:BQ52)</f>
        <v>13715751</v>
      </c>
      <c r="BR53" s="135">
        <f t="shared" si="35"/>
        <v>14338057</v>
      </c>
      <c r="BS53" s="135">
        <f t="shared" si="35"/>
        <v>13977007</v>
      </c>
      <c r="BT53" s="135">
        <f t="shared" si="35"/>
        <v>12983560</v>
      </c>
      <c r="BU53" s="135">
        <f t="shared" si="35"/>
        <v>13461406</v>
      </c>
      <c r="BV53" s="135">
        <f t="shared" si="35"/>
        <v>12249279</v>
      </c>
      <c r="BW53" s="135">
        <f t="shared" si="35"/>
        <v>17959739</v>
      </c>
      <c r="BX53" s="135">
        <f t="shared" si="35"/>
        <v>12426576</v>
      </c>
      <c r="BY53" s="134">
        <f t="shared" si="35"/>
        <v>225331747</v>
      </c>
      <c r="BZ53" s="134">
        <f t="shared" si="35"/>
        <v>213024485</v>
      </c>
      <c r="CA53" s="134">
        <f t="shared" si="35"/>
        <v>204683912</v>
      </c>
      <c r="CB53" s="134">
        <f t="shared" si="35"/>
        <v>186835360</v>
      </c>
      <c r="CC53" s="134">
        <f t="shared" si="35"/>
        <v>176175397</v>
      </c>
      <c r="CD53" s="134">
        <f t="shared" si="35"/>
        <v>181505160</v>
      </c>
      <c r="CF53" s="145">
        <f>SUM(Z53:AK53)</f>
        <v>206136378</v>
      </c>
      <c r="CG53" s="145">
        <f>SUM(AL53:AW53)</f>
        <v>191546757</v>
      </c>
    </row>
    <row r="54" spans="1:85" s="98" customFormat="1" outlineLevel="2">
      <c r="A54" s="10">
        <v>2</v>
      </c>
      <c r="B54" s="10">
        <v>170</v>
      </c>
      <c r="C54" s="10" t="s">
        <v>326</v>
      </c>
      <c r="D54" s="10" t="s">
        <v>326</v>
      </c>
      <c r="E54" s="121">
        <v>119073941</v>
      </c>
      <c r="F54" s="121">
        <v>104311989</v>
      </c>
      <c r="G54" s="121">
        <v>110157515</v>
      </c>
      <c r="H54" s="121">
        <v>110449379</v>
      </c>
      <c r="I54" s="121">
        <v>118376680</v>
      </c>
      <c r="J54" s="121">
        <v>124053477</v>
      </c>
      <c r="K54" s="121">
        <v>115381967</v>
      </c>
      <c r="L54" s="121">
        <v>115591777</v>
      </c>
      <c r="M54" s="121">
        <v>127855039</v>
      </c>
      <c r="N54" s="121">
        <v>122703926</v>
      </c>
      <c r="O54" s="121">
        <v>119237734</v>
      </c>
      <c r="P54" s="121">
        <v>124270493</v>
      </c>
      <c r="Q54" s="121">
        <v>122110533</v>
      </c>
      <c r="R54" s="121">
        <v>108270404</v>
      </c>
      <c r="S54" s="121">
        <v>99473873</v>
      </c>
      <c r="T54" s="121">
        <v>80227617</v>
      </c>
      <c r="U54" s="121">
        <v>80324829</v>
      </c>
      <c r="V54" s="121">
        <v>72868227</v>
      </c>
      <c r="W54" s="121">
        <v>74424045</v>
      </c>
      <c r="X54" s="121">
        <v>75483099</v>
      </c>
      <c r="Y54" s="121">
        <v>76992222</v>
      </c>
      <c r="Z54" s="121">
        <v>72169558</v>
      </c>
      <c r="AA54" s="121">
        <v>71811219</v>
      </c>
      <c r="AB54" s="121">
        <v>72557321</v>
      </c>
      <c r="AC54" s="121">
        <v>69168249</v>
      </c>
      <c r="AD54" s="121">
        <v>77375950</v>
      </c>
      <c r="AE54" s="121">
        <v>75785295</v>
      </c>
      <c r="AF54" s="121">
        <v>75755438</v>
      </c>
      <c r="AG54" s="121">
        <v>73769793</v>
      </c>
      <c r="AH54" s="121">
        <v>69223411</v>
      </c>
      <c r="AI54" s="121">
        <v>72222549</v>
      </c>
      <c r="AJ54" s="121">
        <v>71111879</v>
      </c>
      <c r="AK54" s="121">
        <v>71418924</v>
      </c>
      <c r="AL54" s="121">
        <v>71451315</v>
      </c>
      <c r="AM54" s="121">
        <v>71746993</v>
      </c>
      <c r="AN54" s="121">
        <v>72821774</v>
      </c>
      <c r="AO54" s="130">
        <v>69537008</v>
      </c>
      <c r="AP54" s="130">
        <v>77758781</v>
      </c>
      <c r="AQ54" s="130">
        <v>76110019</v>
      </c>
      <c r="AR54" s="130">
        <v>76088032</v>
      </c>
      <c r="AS54" s="130">
        <v>74169099</v>
      </c>
      <c r="AT54" s="130">
        <v>69576513</v>
      </c>
      <c r="AU54" s="130">
        <v>72575476</v>
      </c>
      <c r="AV54" s="130">
        <v>71593658</v>
      </c>
      <c r="AW54" s="130">
        <v>71964366</v>
      </c>
      <c r="AX54" s="130">
        <v>72218252</v>
      </c>
      <c r="AY54" s="130">
        <v>72687793</v>
      </c>
      <c r="AZ54" s="130">
        <v>73956483</v>
      </c>
      <c r="BA54" s="130">
        <v>70634478</v>
      </c>
      <c r="BB54" s="130">
        <v>78934593</v>
      </c>
      <c r="BC54" s="130">
        <v>77273451</v>
      </c>
      <c r="BD54" s="130">
        <v>77145951</v>
      </c>
      <c r="BE54" s="130">
        <v>75052324</v>
      </c>
      <c r="BF54" s="130">
        <v>70337904</v>
      </c>
      <c r="BG54" s="130">
        <v>73533580</v>
      </c>
      <c r="BH54" s="130">
        <v>72426240</v>
      </c>
      <c r="BI54" s="130">
        <v>72933440</v>
      </c>
      <c r="BJ54" s="130">
        <v>73225261</v>
      </c>
      <c r="BK54" s="130">
        <v>73959714</v>
      </c>
      <c r="BL54" s="130">
        <v>75365447</v>
      </c>
      <c r="BM54" s="130">
        <v>73483673</v>
      </c>
      <c r="BN54" s="130">
        <v>80659223</v>
      </c>
      <c r="BO54" s="130">
        <v>78777340</v>
      </c>
      <c r="BP54" s="130">
        <v>78564297</v>
      </c>
      <c r="BQ54" s="130">
        <v>76597978</v>
      </c>
      <c r="BR54" s="130">
        <v>71950030</v>
      </c>
      <c r="BS54" s="130">
        <v>74767213</v>
      </c>
      <c r="BT54" s="130">
        <v>73442519</v>
      </c>
      <c r="BU54" s="130">
        <v>73924965</v>
      </c>
      <c r="BV54" s="130">
        <v>74395508</v>
      </c>
      <c r="BW54" s="130">
        <v>74914859</v>
      </c>
      <c r="BX54" s="130">
        <v>76976884</v>
      </c>
      <c r="BY54" s="132">
        <f>SUM(E54:P54)</f>
        <v>1411463917</v>
      </c>
      <c r="BZ54" s="132">
        <f>SUM(Q54:AB54)</f>
        <v>1006712947</v>
      </c>
      <c r="CA54" s="132">
        <f>SUM(AC54:AN54)</f>
        <v>871851570</v>
      </c>
      <c r="CB54" s="132">
        <f>SUM(AO54:AZ54)</f>
        <v>878235480</v>
      </c>
      <c r="CC54" s="132">
        <f>SUM(BA54:BL54)</f>
        <v>890822383</v>
      </c>
      <c r="CD54" s="132">
        <f>SUM(BM54:BX54)</f>
        <v>908454489</v>
      </c>
    </row>
    <row r="55" spans="1:85" s="98" customFormat="1" outlineLevel="2">
      <c r="A55" s="10">
        <v>3</v>
      </c>
      <c r="B55" s="10">
        <v>170</v>
      </c>
      <c r="C55" s="10" t="s">
        <v>326</v>
      </c>
      <c r="D55" s="10" t="s">
        <v>326</v>
      </c>
      <c r="E55" s="121">
        <v>954064</v>
      </c>
      <c r="F55" s="121">
        <v>803456</v>
      </c>
      <c r="G55" s="121">
        <v>765921</v>
      </c>
      <c r="H55" s="121">
        <v>763599</v>
      </c>
      <c r="I55" s="121">
        <v>742798</v>
      </c>
      <c r="J55" s="121">
        <v>710616</v>
      </c>
      <c r="K55" s="121">
        <v>722192</v>
      </c>
      <c r="L55" s="121">
        <v>763516</v>
      </c>
      <c r="M55" s="121">
        <v>734143</v>
      </c>
      <c r="N55" s="121">
        <v>589895</v>
      </c>
      <c r="O55" s="121">
        <v>601808</v>
      </c>
      <c r="P55" s="121">
        <v>647812</v>
      </c>
      <c r="Q55" s="121">
        <v>755916</v>
      </c>
      <c r="R55" s="121">
        <v>622382</v>
      </c>
      <c r="S55" s="121">
        <v>619508</v>
      </c>
      <c r="T55" s="121">
        <v>372242</v>
      </c>
      <c r="U55" s="121">
        <v>358691</v>
      </c>
      <c r="V55" s="121">
        <v>357543</v>
      </c>
      <c r="W55" s="121">
        <v>374573</v>
      </c>
      <c r="X55" s="121">
        <v>381461</v>
      </c>
      <c r="Y55" s="121">
        <v>378148</v>
      </c>
      <c r="Z55" s="121">
        <v>525642</v>
      </c>
      <c r="AA55" s="121">
        <v>594419</v>
      </c>
      <c r="AB55" s="121">
        <v>356579</v>
      </c>
      <c r="AC55" s="121">
        <v>499405</v>
      </c>
      <c r="AD55" s="121">
        <v>548664</v>
      </c>
      <c r="AE55" s="121">
        <v>666313</v>
      </c>
      <c r="AF55" s="121">
        <v>522154</v>
      </c>
      <c r="AG55" s="121">
        <v>493002</v>
      </c>
      <c r="AH55" s="121">
        <v>422356</v>
      </c>
      <c r="AI55" s="121">
        <v>488717</v>
      </c>
      <c r="AJ55" s="121">
        <v>450736</v>
      </c>
      <c r="AK55" s="121">
        <v>474297</v>
      </c>
      <c r="AL55" s="121">
        <v>509685</v>
      </c>
      <c r="AM55" s="121">
        <v>576453</v>
      </c>
      <c r="AN55" s="121">
        <v>338955</v>
      </c>
      <c r="AO55" s="130">
        <v>464030</v>
      </c>
      <c r="AP55" s="130">
        <v>505373</v>
      </c>
      <c r="AQ55" s="130">
        <v>615933</v>
      </c>
      <c r="AR55" s="130">
        <v>471237</v>
      </c>
      <c r="AS55" s="130">
        <v>445141</v>
      </c>
      <c r="AT55" s="130">
        <v>375786</v>
      </c>
      <c r="AU55" s="130">
        <v>473865</v>
      </c>
      <c r="AV55" s="130">
        <v>434617</v>
      </c>
      <c r="AW55" s="130">
        <v>456657</v>
      </c>
      <c r="AX55" s="130">
        <v>490350</v>
      </c>
      <c r="AY55" s="130">
        <v>561354</v>
      </c>
      <c r="AZ55" s="130">
        <v>315303</v>
      </c>
      <c r="BA55" s="130">
        <v>459553</v>
      </c>
      <c r="BB55" s="130">
        <v>503757</v>
      </c>
      <c r="BC55" s="130">
        <v>620968</v>
      </c>
      <c r="BD55" s="130">
        <v>470852</v>
      </c>
      <c r="BE55" s="130">
        <v>446064</v>
      </c>
      <c r="BF55" s="130">
        <v>377647</v>
      </c>
      <c r="BG55" s="130">
        <v>444561</v>
      </c>
      <c r="BH55" s="130">
        <v>406448</v>
      </c>
      <c r="BI55" s="130">
        <v>431018</v>
      </c>
      <c r="BJ55" s="130">
        <v>463537</v>
      </c>
      <c r="BK55" s="130">
        <v>536819</v>
      </c>
      <c r="BL55" s="130">
        <v>299598</v>
      </c>
      <c r="BM55" s="130">
        <v>445298</v>
      </c>
      <c r="BN55" s="130">
        <v>487417</v>
      </c>
      <c r="BO55" s="130">
        <v>602008</v>
      </c>
      <c r="BP55" s="130">
        <v>454172</v>
      </c>
      <c r="BQ55" s="130">
        <v>430589</v>
      </c>
      <c r="BR55" s="130">
        <v>365914</v>
      </c>
      <c r="BS55" s="130">
        <v>432082</v>
      </c>
      <c r="BT55" s="130">
        <v>396653</v>
      </c>
      <c r="BU55" s="130">
        <v>419491</v>
      </c>
      <c r="BV55" s="130">
        <v>453643</v>
      </c>
      <c r="BW55" s="130">
        <v>525393</v>
      </c>
      <c r="BX55" s="130">
        <v>290341</v>
      </c>
      <c r="BY55" s="132">
        <f>SUM(E55:P55)</f>
        <v>8799820</v>
      </c>
      <c r="BZ55" s="132">
        <f>SUM(Q55:AB55)</f>
        <v>5697104</v>
      </c>
      <c r="CA55" s="132">
        <f>SUM(AC55:AN55)</f>
        <v>5990737</v>
      </c>
      <c r="CB55" s="132">
        <f>SUM(AO55:AZ55)</f>
        <v>5609646</v>
      </c>
      <c r="CC55" s="132">
        <f>SUM(BA55:BL55)</f>
        <v>5460822</v>
      </c>
      <c r="CD55" s="132">
        <f>SUM(BM55:BX55)</f>
        <v>5303001</v>
      </c>
    </row>
    <row r="56" spans="1:85" s="98" customFormat="1" outlineLevel="1">
      <c r="A56" s="10"/>
      <c r="B56" s="10"/>
      <c r="C56" s="10"/>
      <c r="D56" s="137" t="s">
        <v>373</v>
      </c>
      <c r="E56" s="136">
        <f t="shared" ref="E56:AJ56" si="36">SUBTOTAL(9,E54:E55)</f>
        <v>120028005</v>
      </c>
      <c r="F56" s="136">
        <f t="shared" si="36"/>
        <v>105115445</v>
      </c>
      <c r="G56" s="136">
        <f t="shared" si="36"/>
        <v>110923436</v>
      </c>
      <c r="H56" s="136">
        <f t="shared" si="36"/>
        <v>111212978</v>
      </c>
      <c r="I56" s="136">
        <f t="shared" si="36"/>
        <v>119119478</v>
      </c>
      <c r="J56" s="136">
        <f t="shared" si="36"/>
        <v>124764093</v>
      </c>
      <c r="K56" s="136">
        <f t="shared" si="36"/>
        <v>116104159</v>
      </c>
      <c r="L56" s="136">
        <f t="shared" si="36"/>
        <v>116355293</v>
      </c>
      <c r="M56" s="136">
        <f t="shared" si="36"/>
        <v>128589182</v>
      </c>
      <c r="N56" s="136">
        <f t="shared" si="36"/>
        <v>123293821</v>
      </c>
      <c r="O56" s="136">
        <f t="shared" si="36"/>
        <v>119839542</v>
      </c>
      <c r="P56" s="136">
        <f t="shared" si="36"/>
        <v>124918305</v>
      </c>
      <c r="Q56" s="136">
        <f t="shared" si="36"/>
        <v>122866449</v>
      </c>
      <c r="R56" s="136">
        <f t="shared" si="36"/>
        <v>108892786</v>
      </c>
      <c r="S56" s="136">
        <f t="shared" si="36"/>
        <v>100093381</v>
      </c>
      <c r="T56" s="136">
        <f t="shared" si="36"/>
        <v>80599859</v>
      </c>
      <c r="U56" s="136">
        <f t="shared" si="36"/>
        <v>80683520</v>
      </c>
      <c r="V56" s="136">
        <f t="shared" si="36"/>
        <v>73225770</v>
      </c>
      <c r="W56" s="136">
        <f t="shared" si="36"/>
        <v>74798618</v>
      </c>
      <c r="X56" s="136">
        <f t="shared" si="36"/>
        <v>75864560</v>
      </c>
      <c r="Y56" s="136">
        <f t="shared" si="36"/>
        <v>77370370</v>
      </c>
      <c r="Z56" s="136">
        <f t="shared" si="36"/>
        <v>72695200</v>
      </c>
      <c r="AA56" s="136">
        <f t="shared" si="36"/>
        <v>72405638</v>
      </c>
      <c r="AB56" s="136">
        <f t="shared" si="36"/>
        <v>72913900</v>
      </c>
      <c r="AC56" s="136">
        <f t="shared" si="36"/>
        <v>69667654</v>
      </c>
      <c r="AD56" s="136">
        <f t="shared" si="36"/>
        <v>77924614</v>
      </c>
      <c r="AE56" s="136">
        <f t="shared" si="36"/>
        <v>76451608</v>
      </c>
      <c r="AF56" s="136">
        <f t="shared" si="36"/>
        <v>76277592</v>
      </c>
      <c r="AG56" s="136">
        <f t="shared" si="36"/>
        <v>74262795</v>
      </c>
      <c r="AH56" s="136">
        <f t="shared" si="36"/>
        <v>69645767</v>
      </c>
      <c r="AI56" s="136">
        <f t="shared" si="36"/>
        <v>72711266</v>
      </c>
      <c r="AJ56" s="136">
        <f t="shared" si="36"/>
        <v>71562615</v>
      </c>
      <c r="AK56" s="136">
        <f t="shared" ref="AK56:BP56" si="37">SUBTOTAL(9,AK54:AK55)</f>
        <v>71893221</v>
      </c>
      <c r="AL56" s="136">
        <f t="shared" si="37"/>
        <v>71961000</v>
      </c>
      <c r="AM56" s="136">
        <f t="shared" si="37"/>
        <v>72323446</v>
      </c>
      <c r="AN56" s="136">
        <f t="shared" si="37"/>
        <v>73160729</v>
      </c>
      <c r="AO56" s="135">
        <f t="shared" si="37"/>
        <v>70001038</v>
      </c>
      <c r="AP56" s="135">
        <f t="shared" si="37"/>
        <v>78264154</v>
      </c>
      <c r="AQ56" s="135">
        <f t="shared" si="37"/>
        <v>76725952</v>
      </c>
      <c r="AR56" s="135">
        <f t="shared" si="37"/>
        <v>76559269</v>
      </c>
      <c r="AS56" s="135">
        <f t="shared" si="37"/>
        <v>74614240</v>
      </c>
      <c r="AT56" s="135">
        <f t="shared" si="37"/>
        <v>69952299</v>
      </c>
      <c r="AU56" s="135">
        <f t="shared" si="37"/>
        <v>73049341</v>
      </c>
      <c r="AV56" s="135">
        <f t="shared" si="37"/>
        <v>72028275</v>
      </c>
      <c r="AW56" s="135">
        <f t="shared" si="37"/>
        <v>72421023</v>
      </c>
      <c r="AX56" s="135">
        <f t="shared" si="37"/>
        <v>72708602</v>
      </c>
      <c r="AY56" s="135">
        <f t="shared" si="37"/>
        <v>73249147</v>
      </c>
      <c r="AZ56" s="135">
        <f t="shared" si="37"/>
        <v>74271786</v>
      </c>
      <c r="BA56" s="135">
        <f t="shared" si="37"/>
        <v>71094031</v>
      </c>
      <c r="BB56" s="135">
        <f t="shared" si="37"/>
        <v>79438350</v>
      </c>
      <c r="BC56" s="135">
        <f t="shared" si="37"/>
        <v>77894419</v>
      </c>
      <c r="BD56" s="135">
        <f t="shared" si="37"/>
        <v>77616803</v>
      </c>
      <c r="BE56" s="135">
        <f t="shared" si="37"/>
        <v>75498388</v>
      </c>
      <c r="BF56" s="135">
        <f t="shared" si="37"/>
        <v>70715551</v>
      </c>
      <c r="BG56" s="135">
        <f t="shared" si="37"/>
        <v>73978141</v>
      </c>
      <c r="BH56" s="135">
        <f t="shared" si="37"/>
        <v>72832688</v>
      </c>
      <c r="BI56" s="135">
        <f t="shared" si="37"/>
        <v>73364458</v>
      </c>
      <c r="BJ56" s="135">
        <f t="shared" si="37"/>
        <v>73688798</v>
      </c>
      <c r="BK56" s="135">
        <f t="shared" si="37"/>
        <v>74496533</v>
      </c>
      <c r="BL56" s="135">
        <f t="shared" si="37"/>
        <v>75665045</v>
      </c>
      <c r="BM56" s="135">
        <f t="shared" si="37"/>
        <v>73928971</v>
      </c>
      <c r="BN56" s="135">
        <f t="shared" si="37"/>
        <v>81146640</v>
      </c>
      <c r="BO56" s="135">
        <f t="shared" si="37"/>
        <v>79379348</v>
      </c>
      <c r="BP56" s="135">
        <f t="shared" si="37"/>
        <v>79018469</v>
      </c>
      <c r="BQ56" s="135">
        <f t="shared" ref="BQ56:CD56" si="38">SUBTOTAL(9,BQ54:BQ55)</f>
        <v>77028567</v>
      </c>
      <c r="BR56" s="135">
        <f t="shared" si="38"/>
        <v>72315944</v>
      </c>
      <c r="BS56" s="135">
        <f t="shared" si="38"/>
        <v>75199295</v>
      </c>
      <c r="BT56" s="135">
        <f t="shared" si="38"/>
        <v>73839172</v>
      </c>
      <c r="BU56" s="135">
        <f t="shared" si="38"/>
        <v>74344456</v>
      </c>
      <c r="BV56" s="135">
        <f t="shared" si="38"/>
        <v>74849151</v>
      </c>
      <c r="BW56" s="135">
        <f t="shared" si="38"/>
        <v>75440252</v>
      </c>
      <c r="BX56" s="135">
        <f t="shared" si="38"/>
        <v>77267225</v>
      </c>
      <c r="BY56" s="134">
        <f t="shared" si="38"/>
        <v>1420263737</v>
      </c>
      <c r="BZ56" s="134">
        <f t="shared" si="38"/>
        <v>1012410051</v>
      </c>
      <c r="CA56" s="134">
        <f t="shared" si="38"/>
        <v>877842307</v>
      </c>
      <c r="CB56" s="134">
        <f t="shared" si="38"/>
        <v>883845126</v>
      </c>
      <c r="CC56" s="134">
        <f t="shared" si="38"/>
        <v>896283205</v>
      </c>
      <c r="CD56" s="134">
        <f t="shared" si="38"/>
        <v>913757490</v>
      </c>
      <c r="CF56" s="145">
        <f>SUM(Z56:AK56)</f>
        <v>878411870</v>
      </c>
      <c r="CG56" s="145">
        <f>SUM(AL56:AW56)</f>
        <v>881060766</v>
      </c>
    </row>
    <row r="57" spans="1:85" s="98" customFormat="1" outlineLevel="2">
      <c r="A57" s="10">
        <v>2</v>
      </c>
      <c r="B57" s="10">
        <v>164</v>
      </c>
      <c r="C57" s="10" t="s">
        <v>327</v>
      </c>
      <c r="D57" s="10" t="s">
        <v>327</v>
      </c>
      <c r="E57" s="121">
        <v>428555306</v>
      </c>
      <c r="F57" s="121">
        <v>373612787</v>
      </c>
      <c r="G57" s="121">
        <v>368575715</v>
      </c>
      <c r="H57" s="121">
        <v>390235462</v>
      </c>
      <c r="I57" s="121">
        <v>410603027</v>
      </c>
      <c r="J57" s="121">
        <v>442287385</v>
      </c>
      <c r="K57" s="121">
        <v>465060181</v>
      </c>
      <c r="L57" s="121">
        <v>456022873</v>
      </c>
      <c r="M57" s="121">
        <v>467588594</v>
      </c>
      <c r="N57" s="121">
        <v>445761105</v>
      </c>
      <c r="O57" s="121">
        <v>427010308</v>
      </c>
      <c r="P57" s="121">
        <v>432483802</v>
      </c>
      <c r="Q57" s="121">
        <v>409885937</v>
      </c>
      <c r="R57" s="121">
        <v>366168216</v>
      </c>
      <c r="S57" s="121">
        <v>352721917</v>
      </c>
      <c r="T57" s="121">
        <v>333119270</v>
      </c>
      <c r="U57" s="121">
        <v>274018909</v>
      </c>
      <c r="V57" s="121">
        <v>218429815</v>
      </c>
      <c r="W57" s="121">
        <v>192733891</v>
      </c>
      <c r="X57" s="121">
        <v>172890502</v>
      </c>
      <c r="Y57" s="121">
        <v>168600882</v>
      </c>
      <c r="Z57" s="121">
        <v>164453058</v>
      </c>
      <c r="AA57" s="121">
        <v>151158913</v>
      </c>
      <c r="AB57" s="121">
        <v>160990890</v>
      </c>
      <c r="AC57" s="121">
        <v>151555342</v>
      </c>
      <c r="AD57" s="121">
        <v>151007937</v>
      </c>
      <c r="AE57" s="121">
        <v>147153135</v>
      </c>
      <c r="AF57" s="121">
        <v>151189337</v>
      </c>
      <c r="AG57" s="121">
        <v>154713719</v>
      </c>
      <c r="AH57" s="121">
        <v>156452924</v>
      </c>
      <c r="AI57" s="121">
        <v>167950435</v>
      </c>
      <c r="AJ57" s="121">
        <v>162109463</v>
      </c>
      <c r="AK57" s="121">
        <v>168955755</v>
      </c>
      <c r="AL57" s="121">
        <v>163060499</v>
      </c>
      <c r="AM57" s="121">
        <v>151023721</v>
      </c>
      <c r="AN57" s="121">
        <v>161335778</v>
      </c>
      <c r="AO57" s="130">
        <v>152517493</v>
      </c>
      <c r="AP57" s="130">
        <v>151908621</v>
      </c>
      <c r="AQ57" s="130">
        <v>147933181</v>
      </c>
      <c r="AR57" s="130">
        <v>152006756</v>
      </c>
      <c r="AS57" s="130">
        <v>155475801</v>
      </c>
      <c r="AT57" s="130">
        <v>157568710</v>
      </c>
      <c r="AU57" s="130">
        <v>169112166</v>
      </c>
      <c r="AV57" s="130">
        <v>163293432</v>
      </c>
      <c r="AW57" s="130">
        <v>169908582</v>
      </c>
      <c r="AX57" s="130">
        <v>164649458</v>
      </c>
      <c r="AY57" s="130">
        <v>152854326</v>
      </c>
      <c r="AZ57" s="130">
        <v>163690830</v>
      </c>
      <c r="BA57" s="130">
        <v>154774378</v>
      </c>
      <c r="BB57" s="130">
        <v>154440320</v>
      </c>
      <c r="BC57" s="130">
        <v>150199550</v>
      </c>
      <c r="BD57" s="130">
        <v>154125406</v>
      </c>
      <c r="BE57" s="130">
        <v>157725647</v>
      </c>
      <c r="BF57" s="130">
        <v>159061160</v>
      </c>
      <c r="BG57" s="130">
        <v>171266122</v>
      </c>
      <c r="BH57" s="130">
        <v>165363471</v>
      </c>
      <c r="BI57" s="130">
        <v>172546311</v>
      </c>
      <c r="BJ57" s="130">
        <v>166869796</v>
      </c>
      <c r="BK57" s="130">
        <v>155613003</v>
      </c>
      <c r="BL57" s="130">
        <v>166902331</v>
      </c>
      <c r="BM57" s="130">
        <v>161266954</v>
      </c>
      <c r="BN57" s="130">
        <v>157665936</v>
      </c>
      <c r="BO57" s="130">
        <v>152981416</v>
      </c>
      <c r="BP57" s="130">
        <v>156969328</v>
      </c>
      <c r="BQ57" s="130">
        <v>160982080</v>
      </c>
      <c r="BR57" s="130">
        <v>162718587</v>
      </c>
      <c r="BS57" s="130">
        <v>174149414</v>
      </c>
      <c r="BT57" s="130">
        <v>167449425</v>
      </c>
      <c r="BU57" s="130">
        <v>174645395</v>
      </c>
      <c r="BV57" s="130">
        <v>169301494</v>
      </c>
      <c r="BW57" s="130">
        <v>157402091</v>
      </c>
      <c r="BX57" s="130">
        <v>170649622</v>
      </c>
      <c r="BY57" s="132">
        <f>SUM(E57:P57)</f>
        <v>5107796545</v>
      </c>
      <c r="BZ57" s="132">
        <f>SUM(Q57:AB57)</f>
        <v>2965172200</v>
      </c>
      <c r="CA57" s="132">
        <f>SUM(AC57:AN57)</f>
        <v>1886508045</v>
      </c>
      <c r="CB57" s="132">
        <f>SUM(AO57:AZ57)</f>
        <v>1900919356</v>
      </c>
      <c r="CC57" s="132">
        <f>SUM(BA57:BL57)</f>
        <v>1928887495</v>
      </c>
      <c r="CD57" s="132">
        <f>SUM(BM57:BX57)</f>
        <v>1966181742</v>
      </c>
    </row>
    <row r="58" spans="1:85" s="98" customFormat="1" outlineLevel="2">
      <c r="A58" s="10">
        <v>3</v>
      </c>
      <c r="B58" s="10">
        <v>164</v>
      </c>
      <c r="C58" s="10" t="s">
        <v>327</v>
      </c>
      <c r="D58" s="10" t="s">
        <v>327</v>
      </c>
      <c r="E58" s="121">
        <v>12617380</v>
      </c>
      <c r="F58" s="121">
        <v>11395320</v>
      </c>
      <c r="G58" s="121">
        <v>11808220</v>
      </c>
      <c r="H58" s="121">
        <v>11459940</v>
      </c>
      <c r="I58" s="121">
        <v>11663640</v>
      </c>
      <c r="J58" s="121">
        <v>11910741</v>
      </c>
      <c r="K58" s="121">
        <v>11803180</v>
      </c>
      <c r="L58" s="121">
        <v>9804280</v>
      </c>
      <c r="M58" s="121">
        <v>10151718</v>
      </c>
      <c r="N58" s="121">
        <v>10485250</v>
      </c>
      <c r="O58" s="121">
        <v>9858810</v>
      </c>
      <c r="P58" s="121">
        <v>10308360</v>
      </c>
      <c r="Q58" s="121">
        <v>9738821</v>
      </c>
      <c r="R58" s="121">
        <v>10517467</v>
      </c>
      <c r="S58" s="121">
        <v>9259600</v>
      </c>
      <c r="T58" s="121">
        <v>8484080</v>
      </c>
      <c r="U58" s="121">
        <v>5042280</v>
      </c>
      <c r="V58" s="121">
        <v>1122040</v>
      </c>
      <c r="W58" s="121">
        <v>2998720</v>
      </c>
      <c r="X58" s="121">
        <v>2112120</v>
      </c>
      <c r="Y58" s="121">
        <v>1824581</v>
      </c>
      <c r="Z58" s="121">
        <v>2075793</v>
      </c>
      <c r="AA58" s="121">
        <v>2347397</v>
      </c>
      <c r="AB58" s="121">
        <v>1408153</v>
      </c>
      <c r="AC58" s="121">
        <v>1972180</v>
      </c>
      <c r="AD58" s="121">
        <v>2166708</v>
      </c>
      <c r="AE58" s="121">
        <v>2631313</v>
      </c>
      <c r="AF58" s="121">
        <v>2062020</v>
      </c>
      <c r="AG58" s="121">
        <v>1946895</v>
      </c>
      <c r="AH58" s="121">
        <v>1667910</v>
      </c>
      <c r="AI58" s="121">
        <v>1929975</v>
      </c>
      <c r="AJ58" s="121">
        <v>1779984</v>
      </c>
      <c r="AK58" s="121">
        <v>1873028</v>
      </c>
      <c r="AL58" s="121">
        <v>2012777</v>
      </c>
      <c r="AM58" s="121">
        <v>2276448</v>
      </c>
      <c r="AN58" s="121">
        <v>1338554</v>
      </c>
      <c r="AO58" s="130">
        <v>1832485</v>
      </c>
      <c r="AP58" s="130">
        <v>1995751</v>
      </c>
      <c r="AQ58" s="130">
        <v>2432359</v>
      </c>
      <c r="AR58" s="130">
        <v>1860945</v>
      </c>
      <c r="AS58" s="130">
        <v>1757890</v>
      </c>
      <c r="AT58" s="130">
        <v>1484002</v>
      </c>
      <c r="AU58" s="130">
        <v>1727376</v>
      </c>
      <c r="AV58" s="130">
        <v>1584305</v>
      </c>
      <c r="AW58" s="130">
        <v>1664646</v>
      </c>
      <c r="AX58" s="130">
        <v>1787468</v>
      </c>
      <c r="AY58" s="130">
        <v>2046295</v>
      </c>
      <c r="AZ58" s="130">
        <v>1149369</v>
      </c>
      <c r="BA58" s="130">
        <v>1675202</v>
      </c>
      <c r="BB58" s="130">
        <v>1836338</v>
      </c>
      <c r="BC58" s="130">
        <v>2263609</v>
      </c>
      <c r="BD58" s="130">
        <v>1716391</v>
      </c>
      <c r="BE58" s="130">
        <v>1626031</v>
      </c>
      <c r="BF58" s="130">
        <v>1376632</v>
      </c>
      <c r="BG58" s="130">
        <v>1620554</v>
      </c>
      <c r="BH58" s="130">
        <v>1481621</v>
      </c>
      <c r="BI58" s="130">
        <v>1571186</v>
      </c>
      <c r="BJ58" s="130">
        <v>1689725</v>
      </c>
      <c r="BK58" s="130">
        <v>1956859</v>
      </c>
      <c r="BL58" s="130">
        <v>1092120</v>
      </c>
      <c r="BM58" s="130">
        <v>1623240</v>
      </c>
      <c r="BN58" s="130">
        <v>1776775</v>
      </c>
      <c r="BO58" s="130">
        <v>2194491</v>
      </c>
      <c r="BP58" s="130">
        <v>1655586</v>
      </c>
      <c r="BQ58" s="130">
        <v>1569619</v>
      </c>
      <c r="BR58" s="130">
        <v>1238587</v>
      </c>
      <c r="BS58" s="130">
        <v>1462558</v>
      </c>
      <c r="BT58" s="130">
        <v>1342635</v>
      </c>
      <c r="BU58" s="130">
        <v>1419938</v>
      </c>
      <c r="BV58" s="130">
        <v>1535542</v>
      </c>
      <c r="BW58" s="130">
        <v>1778409</v>
      </c>
      <c r="BX58" s="130">
        <v>982777</v>
      </c>
      <c r="BY58" s="132">
        <f>SUM(E58:P58)</f>
        <v>133266839</v>
      </c>
      <c r="BZ58" s="132">
        <f>SUM(Q58:AB58)</f>
        <v>56931052</v>
      </c>
      <c r="CA58" s="132">
        <f>SUM(AC58:AN58)</f>
        <v>23657792</v>
      </c>
      <c r="CB58" s="132">
        <f>SUM(AO58:AZ58)</f>
        <v>21322891</v>
      </c>
      <c r="CC58" s="132">
        <f>SUM(BA58:BL58)</f>
        <v>19906268</v>
      </c>
      <c r="CD58" s="132">
        <f>SUM(BM58:BX58)</f>
        <v>18580157</v>
      </c>
    </row>
    <row r="59" spans="1:85" s="98" customFormat="1" outlineLevel="1">
      <c r="A59" s="10"/>
      <c r="B59" s="10"/>
      <c r="C59" s="10"/>
      <c r="D59" s="137" t="s">
        <v>372</v>
      </c>
      <c r="E59" s="136">
        <f t="shared" ref="E59:AJ59" si="39">SUBTOTAL(9,E57:E58)</f>
        <v>441172686</v>
      </c>
      <c r="F59" s="136">
        <f t="shared" si="39"/>
        <v>385008107</v>
      </c>
      <c r="G59" s="136">
        <f t="shared" si="39"/>
        <v>380383935</v>
      </c>
      <c r="H59" s="136">
        <f t="shared" si="39"/>
        <v>401695402</v>
      </c>
      <c r="I59" s="136">
        <f t="shared" si="39"/>
        <v>422266667</v>
      </c>
      <c r="J59" s="136">
        <f t="shared" si="39"/>
        <v>454198126</v>
      </c>
      <c r="K59" s="136">
        <f t="shared" si="39"/>
        <v>476863361</v>
      </c>
      <c r="L59" s="136">
        <f t="shared" si="39"/>
        <v>465827153</v>
      </c>
      <c r="M59" s="136">
        <f t="shared" si="39"/>
        <v>477740312</v>
      </c>
      <c r="N59" s="136">
        <f t="shared" si="39"/>
        <v>456246355</v>
      </c>
      <c r="O59" s="136">
        <f t="shared" si="39"/>
        <v>436869118</v>
      </c>
      <c r="P59" s="136">
        <f t="shared" si="39"/>
        <v>442792162</v>
      </c>
      <c r="Q59" s="136">
        <f t="shared" si="39"/>
        <v>419624758</v>
      </c>
      <c r="R59" s="136">
        <f t="shared" si="39"/>
        <v>376685683</v>
      </c>
      <c r="S59" s="136">
        <f t="shared" si="39"/>
        <v>361981517</v>
      </c>
      <c r="T59" s="136">
        <f t="shared" si="39"/>
        <v>341603350</v>
      </c>
      <c r="U59" s="136">
        <f t="shared" si="39"/>
        <v>279061189</v>
      </c>
      <c r="V59" s="136">
        <f t="shared" si="39"/>
        <v>219551855</v>
      </c>
      <c r="W59" s="136">
        <f t="shared" si="39"/>
        <v>195732611</v>
      </c>
      <c r="X59" s="136">
        <f t="shared" si="39"/>
        <v>175002622</v>
      </c>
      <c r="Y59" s="136">
        <f t="shared" si="39"/>
        <v>170425463</v>
      </c>
      <c r="Z59" s="136">
        <f t="shared" si="39"/>
        <v>166528851</v>
      </c>
      <c r="AA59" s="136">
        <f t="shared" si="39"/>
        <v>153506310</v>
      </c>
      <c r="AB59" s="136">
        <f t="shared" si="39"/>
        <v>162399043</v>
      </c>
      <c r="AC59" s="136">
        <f t="shared" si="39"/>
        <v>153527522</v>
      </c>
      <c r="AD59" s="136">
        <f t="shared" si="39"/>
        <v>153174645</v>
      </c>
      <c r="AE59" s="136">
        <f t="shared" si="39"/>
        <v>149784448</v>
      </c>
      <c r="AF59" s="136">
        <f t="shared" si="39"/>
        <v>153251357</v>
      </c>
      <c r="AG59" s="136">
        <f t="shared" si="39"/>
        <v>156660614</v>
      </c>
      <c r="AH59" s="136">
        <f t="shared" si="39"/>
        <v>158120834</v>
      </c>
      <c r="AI59" s="136">
        <f t="shared" si="39"/>
        <v>169880410</v>
      </c>
      <c r="AJ59" s="136">
        <f t="shared" si="39"/>
        <v>163889447</v>
      </c>
      <c r="AK59" s="136">
        <f t="shared" ref="AK59:BP59" si="40">SUBTOTAL(9,AK57:AK58)</f>
        <v>170828783</v>
      </c>
      <c r="AL59" s="136">
        <f t="shared" si="40"/>
        <v>165073276</v>
      </c>
      <c r="AM59" s="136">
        <f t="shared" si="40"/>
        <v>153300169</v>
      </c>
      <c r="AN59" s="136">
        <f t="shared" si="40"/>
        <v>162674332</v>
      </c>
      <c r="AO59" s="135">
        <f t="shared" si="40"/>
        <v>154349978</v>
      </c>
      <c r="AP59" s="135">
        <f t="shared" si="40"/>
        <v>153904372</v>
      </c>
      <c r="AQ59" s="135">
        <f t="shared" si="40"/>
        <v>150365540</v>
      </c>
      <c r="AR59" s="135">
        <f t="shared" si="40"/>
        <v>153867701</v>
      </c>
      <c r="AS59" s="135">
        <f t="shared" si="40"/>
        <v>157233691</v>
      </c>
      <c r="AT59" s="135">
        <f t="shared" si="40"/>
        <v>159052712</v>
      </c>
      <c r="AU59" s="135">
        <f t="shared" si="40"/>
        <v>170839542</v>
      </c>
      <c r="AV59" s="135">
        <f t="shared" si="40"/>
        <v>164877737</v>
      </c>
      <c r="AW59" s="135">
        <f t="shared" si="40"/>
        <v>171573228</v>
      </c>
      <c r="AX59" s="135">
        <f t="shared" si="40"/>
        <v>166436926</v>
      </c>
      <c r="AY59" s="135">
        <f t="shared" si="40"/>
        <v>154900621</v>
      </c>
      <c r="AZ59" s="135">
        <f t="shared" si="40"/>
        <v>164840199</v>
      </c>
      <c r="BA59" s="135">
        <f t="shared" si="40"/>
        <v>156449580</v>
      </c>
      <c r="BB59" s="135">
        <f t="shared" si="40"/>
        <v>156276658</v>
      </c>
      <c r="BC59" s="135">
        <f t="shared" si="40"/>
        <v>152463159</v>
      </c>
      <c r="BD59" s="135">
        <f t="shared" si="40"/>
        <v>155841797</v>
      </c>
      <c r="BE59" s="135">
        <f t="shared" si="40"/>
        <v>159351678</v>
      </c>
      <c r="BF59" s="135">
        <f t="shared" si="40"/>
        <v>160437792</v>
      </c>
      <c r="BG59" s="135">
        <f t="shared" si="40"/>
        <v>172886676</v>
      </c>
      <c r="BH59" s="135">
        <f t="shared" si="40"/>
        <v>166845092</v>
      </c>
      <c r="BI59" s="135">
        <f t="shared" si="40"/>
        <v>174117497</v>
      </c>
      <c r="BJ59" s="135">
        <f t="shared" si="40"/>
        <v>168559521</v>
      </c>
      <c r="BK59" s="135">
        <f t="shared" si="40"/>
        <v>157569862</v>
      </c>
      <c r="BL59" s="135">
        <f t="shared" si="40"/>
        <v>167994451</v>
      </c>
      <c r="BM59" s="135">
        <f t="shared" si="40"/>
        <v>162890194</v>
      </c>
      <c r="BN59" s="135">
        <f t="shared" si="40"/>
        <v>159442711</v>
      </c>
      <c r="BO59" s="135">
        <f t="shared" si="40"/>
        <v>155175907</v>
      </c>
      <c r="BP59" s="135">
        <f t="shared" si="40"/>
        <v>158624914</v>
      </c>
      <c r="BQ59" s="135">
        <f t="shared" ref="BQ59:CD59" si="41">SUBTOTAL(9,BQ57:BQ58)</f>
        <v>162551699</v>
      </c>
      <c r="BR59" s="135">
        <f t="shared" si="41"/>
        <v>163957174</v>
      </c>
      <c r="BS59" s="135">
        <f t="shared" si="41"/>
        <v>175611972</v>
      </c>
      <c r="BT59" s="135">
        <f t="shared" si="41"/>
        <v>168792060</v>
      </c>
      <c r="BU59" s="135">
        <f t="shared" si="41"/>
        <v>176065333</v>
      </c>
      <c r="BV59" s="135">
        <f t="shared" si="41"/>
        <v>170837036</v>
      </c>
      <c r="BW59" s="135">
        <f t="shared" si="41"/>
        <v>159180500</v>
      </c>
      <c r="BX59" s="135">
        <f t="shared" si="41"/>
        <v>171632399</v>
      </c>
      <c r="BY59" s="134">
        <f t="shared" si="41"/>
        <v>5241063384</v>
      </c>
      <c r="BZ59" s="134">
        <f t="shared" si="41"/>
        <v>3022103252</v>
      </c>
      <c r="CA59" s="134">
        <f t="shared" si="41"/>
        <v>1910165837</v>
      </c>
      <c r="CB59" s="134">
        <f t="shared" si="41"/>
        <v>1922242247</v>
      </c>
      <c r="CC59" s="134">
        <f t="shared" si="41"/>
        <v>1948793763</v>
      </c>
      <c r="CD59" s="134">
        <f t="shared" si="41"/>
        <v>1984761899</v>
      </c>
      <c r="CF59" s="145">
        <f>SUM(Z59:AK59)</f>
        <v>1911552264</v>
      </c>
      <c r="CG59" s="145">
        <f>SUM(AL59:AW59)</f>
        <v>1917112278</v>
      </c>
    </row>
    <row r="60" spans="1:85" s="98" customFormat="1" outlineLevel="2">
      <c r="A60" s="10">
        <v>2</v>
      </c>
      <c r="B60" s="10">
        <v>165</v>
      </c>
      <c r="C60" s="10" t="s">
        <v>328</v>
      </c>
      <c r="D60" s="10" t="s">
        <v>328</v>
      </c>
      <c r="E60" s="121">
        <v>84036620</v>
      </c>
      <c r="F60" s="121">
        <v>73020080</v>
      </c>
      <c r="G60" s="121">
        <v>71187772</v>
      </c>
      <c r="H60" s="121">
        <v>77198580</v>
      </c>
      <c r="I60" s="121">
        <v>82492180</v>
      </c>
      <c r="J60" s="121">
        <v>103342153</v>
      </c>
      <c r="K60" s="121">
        <v>108729343</v>
      </c>
      <c r="L60" s="121">
        <v>112163080</v>
      </c>
      <c r="M60" s="121">
        <v>114155187</v>
      </c>
      <c r="N60" s="121">
        <v>105466725</v>
      </c>
      <c r="O60" s="121">
        <v>100479280</v>
      </c>
      <c r="P60" s="121">
        <v>105576354</v>
      </c>
      <c r="Q60" s="121">
        <v>100352883</v>
      </c>
      <c r="R60" s="121">
        <v>81921836</v>
      </c>
      <c r="S60" s="121">
        <v>77890870</v>
      </c>
      <c r="T60" s="121">
        <v>72635584</v>
      </c>
      <c r="U60" s="121">
        <v>73614859</v>
      </c>
      <c r="V60" s="121">
        <v>66316741</v>
      </c>
      <c r="W60" s="121">
        <v>64358093</v>
      </c>
      <c r="X60" s="121">
        <v>68256097</v>
      </c>
      <c r="Y60" s="121">
        <v>63543620</v>
      </c>
      <c r="Z60" s="121">
        <v>64695411</v>
      </c>
      <c r="AA60" s="121">
        <v>62091389</v>
      </c>
      <c r="AB60" s="121">
        <v>62193613</v>
      </c>
      <c r="AC60" s="121">
        <v>60118290</v>
      </c>
      <c r="AD60" s="121">
        <v>55717585</v>
      </c>
      <c r="AE60" s="121">
        <v>55561994</v>
      </c>
      <c r="AF60" s="121">
        <v>58639991</v>
      </c>
      <c r="AG60" s="121">
        <v>55724462</v>
      </c>
      <c r="AH60" s="121">
        <v>57788875</v>
      </c>
      <c r="AI60" s="121">
        <v>66366131</v>
      </c>
      <c r="AJ60" s="121">
        <v>63921422</v>
      </c>
      <c r="AK60" s="121">
        <v>66535037</v>
      </c>
      <c r="AL60" s="121">
        <v>64147582</v>
      </c>
      <c r="AM60" s="121">
        <v>62035857</v>
      </c>
      <c r="AN60" s="121">
        <v>62326849</v>
      </c>
      <c r="AO60" s="130">
        <v>60348323</v>
      </c>
      <c r="AP60" s="130">
        <v>55909436</v>
      </c>
      <c r="AQ60" s="130">
        <v>55716532</v>
      </c>
      <c r="AR60" s="130">
        <v>58809271</v>
      </c>
      <c r="AS60" s="130">
        <v>55858599</v>
      </c>
      <c r="AT60" s="130">
        <v>57910007</v>
      </c>
      <c r="AU60" s="130">
        <v>66491067</v>
      </c>
      <c r="AV60" s="130">
        <v>64066331</v>
      </c>
      <c r="AW60" s="130">
        <v>66742986</v>
      </c>
      <c r="AX60" s="130">
        <v>64449619</v>
      </c>
      <c r="AY60" s="130">
        <v>62474656</v>
      </c>
      <c r="AZ60" s="130">
        <v>62921252</v>
      </c>
      <c r="BA60" s="130">
        <v>60935887</v>
      </c>
      <c r="BB60" s="130">
        <v>56417030</v>
      </c>
      <c r="BC60" s="130">
        <v>56147956</v>
      </c>
      <c r="BD60" s="130">
        <v>59183955</v>
      </c>
      <c r="BE60" s="130">
        <v>56104462</v>
      </c>
      <c r="BF60" s="130">
        <v>58023341</v>
      </c>
      <c r="BG60" s="130">
        <v>66671241</v>
      </c>
      <c r="BH60" s="130">
        <v>64236127</v>
      </c>
      <c r="BI60" s="130">
        <v>66942352</v>
      </c>
      <c r="BJ60" s="130">
        <v>66633421</v>
      </c>
      <c r="BK60" s="130">
        <v>64722508</v>
      </c>
      <c r="BL60" s="130">
        <v>65285799</v>
      </c>
      <c r="BM60" s="130">
        <v>64451703</v>
      </c>
      <c r="BN60" s="130">
        <v>58611660</v>
      </c>
      <c r="BO60" s="130">
        <v>58197003</v>
      </c>
      <c r="BP60" s="130">
        <v>61189290</v>
      </c>
      <c r="BQ60" s="130">
        <v>58132545</v>
      </c>
      <c r="BR60" s="130">
        <v>60259076</v>
      </c>
      <c r="BS60" s="130">
        <v>68825849</v>
      </c>
      <c r="BT60" s="130">
        <v>66036784</v>
      </c>
      <c r="BU60" s="130">
        <v>68790839</v>
      </c>
      <c r="BV60" s="130">
        <v>66617506</v>
      </c>
      <c r="BW60" s="130">
        <v>64513228</v>
      </c>
      <c r="BX60" s="130">
        <v>65620213</v>
      </c>
      <c r="BY60" s="132">
        <f>SUM(E60:P60)</f>
        <v>1137847354</v>
      </c>
      <c r="BZ60" s="132">
        <f>SUM(Q60:AB60)</f>
        <v>857870996</v>
      </c>
      <c r="CA60" s="132">
        <f>SUM(AC60:AN60)</f>
        <v>728884075</v>
      </c>
      <c r="CB60" s="132">
        <f>SUM(AO60:AZ60)</f>
        <v>731698079</v>
      </c>
      <c r="CC60" s="132">
        <f>SUM(BA60:BL60)</f>
        <v>741304079</v>
      </c>
      <c r="CD60" s="132">
        <f>SUM(BM60:BX60)</f>
        <v>761245696</v>
      </c>
    </row>
    <row r="61" spans="1:85" s="98" customFormat="1" outlineLevel="2">
      <c r="A61" s="10">
        <v>3</v>
      </c>
      <c r="B61" s="10">
        <v>165</v>
      </c>
      <c r="C61" s="10" t="s">
        <v>328</v>
      </c>
      <c r="D61" s="10" t="s">
        <v>328</v>
      </c>
      <c r="E61" s="121">
        <v>9777080</v>
      </c>
      <c r="F61" s="121">
        <v>9115280</v>
      </c>
      <c r="G61" s="121">
        <v>7916400</v>
      </c>
      <c r="H61" s="121">
        <v>7808600</v>
      </c>
      <c r="I61" s="121">
        <v>8662800</v>
      </c>
      <c r="J61" s="121">
        <v>9593200</v>
      </c>
      <c r="K61" s="121">
        <v>8481800</v>
      </c>
      <c r="L61" s="121">
        <v>8830400</v>
      </c>
      <c r="M61" s="121">
        <v>8760600</v>
      </c>
      <c r="N61" s="121">
        <v>8259000</v>
      </c>
      <c r="O61" s="121">
        <v>8323908</v>
      </c>
      <c r="P61" s="121">
        <v>9169800</v>
      </c>
      <c r="Q61" s="121">
        <v>10745200</v>
      </c>
      <c r="R61" s="121">
        <v>10391800</v>
      </c>
      <c r="S61" s="121">
        <v>9534529</v>
      </c>
      <c r="T61" s="121">
        <v>9976200</v>
      </c>
      <c r="U61" s="121">
        <v>6783400</v>
      </c>
      <c r="V61" s="121">
        <v>7383000</v>
      </c>
      <c r="W61" s="121">
        <v>7372000</v>
      </c>
      <c r="X61" s="121">
        <v>6898200</v>
      </c>
      <c r="Y61" s="121">
        <v>5799499</v>
      </c>
      <c r="Z61" s="121">
        <v>5896734</v>
      </c>
      <c r="AA61" s="121">
        <v>6668283</v>
      </c>
      <c r="AB61" s="121">
        <v>4000160</v>
      </c>
      <c r="AC61" s="121">
        <v>5602400</v>
      </c>
      <c r="AD61" s="121">
        <v>6154999</v>
      </c>
      <c r="AE61" s="121">
        <v>7474808</v>
      </c>
      <c r="AF61" s="121">
        <v>5857608</v>
      </c>
      <c r="AG61" s="121">
        <v>5530573</v>
      </c>
      <c r="AH61" s="121">
        <v>4738055</v>
      </c>
      <c r="AI61" s="121">
        <v>5482507</v>
      </c>
      <c r="AJ61" s="121">
        <v>5056424</v>
      </c>
      <c r="AK61" s="121">
        <v>5320735</v>
      </c>
      <c r="AL61" s="121">
        <v>5717725</v>
      </c>
      <c r="AM61" s="121">
        <v>6466737</v>
      </c>
      <c r="AN61" s="121">
        <v>3802449</v>
      </c>
      <c r="AO61" s="130">
        <v>5205565</v>
      </c>
      <c r="AP61" s="130">
        <v>5669358</v>
      </c>
      <c r="AQ61" s="130">
        <v>6909635</v>
      </c>
      <c r="AR61" s="130">
        <v>5286412</v>
      </c>
      <c r="AS61" s="130">
        <v>4993661</v>
      </c>
      <c r="AT61" s="130">
        <v>4215626</v>
      </c>
      <c r="AU61" s="130">
        <v>4906981</v>
      </c>
      <c r="AV61" s="130">
        <v>4500558</v>
      </c>
      <c r="AW61" s="130">
        <v>4728784</v>
      </c>
      <c r="AX61" s="130">
        <v>5077685</v>
      </c>
      <c r="AY61" s="130">
        <v>5812939</v>
      </c>
      <c r="AZ61" s="130">
        <v>3265028</v>
      </c>
      <c r="BA61" s="130">
        <v>4758770</v>
      </c>
      <c r="BB61" s="130">
        <v>5216512</v>
      </c>
      <c r="BC61" s="130">
        <v>6430265</v>
      </c>
      <c r="BD61" s="130">
        <v>4875776</v>
      </c>
      <c r="BE61" s="130">
        <v>4619089</v>
      </c>
      <c r="BF61" s="130">
        <v>3910617</v>
      </c>
      <c r="BG61" s="130">
        <v>4603529</v>
      </c>
      <c r="BH61" s="130">
        <v>4208863</v>
      </c>
      <c r="BI61" s="130">
        <v>4463291</v>
      </c>
      <c r="BJ61" s="130">
        <v>4800026</v>
      </c>
      <c r="BK61" s="130">
        <v>5558875</v>
      </c>
      <c r="BL61" s="130">
        <v>3102399</v>
      </c>
      <c r="BM61" s="130">
        <v>4611161</v>
      </c>
      <c r="BN61" s="130">
        <v>5047310</v>
      </c>
      <c r="BO61" s="130">
        <v>6233921</v>
      </c>
      <c r="BP61" s="130">
        <v>4703047</v>
      </c>
      <c r="BQ61" s="130">
        <v>4458840</v>
      </c>
      <c r="BR61" s="130">
        <v>4398089</v>
      </c>
      <c r="BS61" s="130">
        <v>5193388</v>
      </c>
      <c r="BT61" s="130">
        <v>4767552</v>
      </c>
      <c r="BU61" s="130">
        <v>5042049</v>
      </c>
      <c r="BV61" s="130">
        <v>5452543</v>
      </c>
      <c r="BW61" s="130">
        <v>6314939</v>
      </c>
      <c r="BX61" s="130">
        <v>3489737</v>
      </c>
      <c r="BY61" s="132">
        <f>SUM(E61:P61)</f>
        <v>104698868</v>
      </c>
      <c r="BZ61" s="132">
        <f>SUM(Q61:AB61)</f>
        <v>91449005</v>
      </c>
      <c r="CA61" s="132">
        <f>SUM(AC61:AN61)</f>
        <v>67205020</v>
      </c>
      <c r="CB61" s="132">
        <f>SUM(AO61:AZ61)</f>
        <v>60572232</v>
      </c>
      <c r="CC61" s="132">
        <f>SUM(BA61:BL61)</f>
        <v>56548012</v>
      </c>
      <c r="CD61" s="132">
        <f>SUM(BM61:BX61)</f>
        <v>59712576</v>
      </c>
    </row>
    <row r="62" spans="1:85" s="98" customFormat="1" outlineLevel="1">
      <c r="A62" s="10"/>
      <c r="B62" s="10"/>
      <c r="C62" s="10"/>
      <c r="D62" s="137" t="s">
        <v>371</v>
      </c>
      <c r="E62" s="136">
        <f t="shared" ref="E62:AJ62" si="42">SUBTOTAL(9,E60:E61)</f>
        <v>93813700</v>
      </c>
      <c r="F62" s="136">
        <f t="shared" si="42"/>
        <v>82135360</v>
      </c>
      <c r="G62" s="136">
        <f t="shared" si="42"/>
        <v>79104172</v>
      </c>
      <c r="H62" s="136">
        <f t="shared" si="42"/>
        <v>85007180</v>
      </c>
      <c r="I62" s="136">
        <f t="shared" si="42"/>
        <v>91154980</v>
      </c>
      <c r="J62" s="136">
        <f t="shared" si="42"/>
        <v>112935353</v>
      </c>
      <c r="K62" s="136">
        <f t="shared" si="42"/>
        <v>117211143</v>
      </c>
      <c r="L62" s="136">
        <f t="shared" si="42"/>
        <v>120993480</v>
      </c>
      <c r="M62" s="136">
        <f t="shared" si="42"/>
        <v>122915787</v>
      </c>
      <c r="N62" s="136">
        <f t="shared" si="42"/>
        <v>113725725</v>
      </c>
      <c r="O62" s="136">
        <f t="shared" si="42"/>
        <v>108803188</v>
      </c>
      <c r="P62" s="136">
        <f t="shared" si="42"/>
        <v>114746154</v>
      </c>
      <c r="Q62" s="136">
        <f t="shared" si="42"/>
        <v>111098083</v>
      </c>
      <c r="R62" s="136">
        <f t="shared" si="42"/>
        <v>92313636</v>
      </c>
      <c r="S62" s="136">
        <f t="shared" si="42"/>
        <v>87425399</v>
      </c>
      <c r="T62" s="136">
        <f t="shared" si="42"/>
        <v>82611784</v>
      </c>
      <c r="U62" s="136">
        <f t="shared" si="42"/>
        <v>80398259</v>
      </c>
      <c r="V62" s="136">
        <f t="shared" si="42"/>
        <v>73699741</v>
      </c>
      <c r="W62" s="136">
        <f t="shared" si="42"/>
        <v>71730093</v>
      </c>
      <c r="X62" s="136">
        <f t="shared" si="42"/>
        <v>75154297</v>
      </c>
      <c r="Y62" s="136">
        <f t="shared" si="42"/>
        <v>69343119</v>
      </c>
      <c r="Z62" s="136">
        <f t="shared" si="42"/>
        <v>70592145</v>
      </c>
      <c r="AA62" s="136">
        <f t="shared" si="42"/>
        <v>68759672</v>
      </c>
      <c r="AB62" s="136">
        <f t="shared" si="42"/>
        <v>66193773</v>
      </c>
      <c r="AC62" s="136">
        <f t="shared" si="42"/>
        <v>65720690</v>
      </c>
      <c r="AD62" s="136">
        <f t="shared" si="42"/>
        <v>61872584</v>
      </c>
      <c r="AE62" s="136">
        <f t="shared" si="42"/>
        <v>63036802</v>
      </c>
      <c r="AF62" s="136">
        <f t="shared" si="42"/>
        <v>64497599</v>
      </c>
      <c r="AG62" s="136">
        <f t="shared" si="42"/>
        <v>61255035</v>
      </c>
      <c r="AH62" s="136">
        <f t="shared" si="42"/>
        <v>62526930</v>
      </c>
      <c r="AI62" s="136">
        <f t="shared" si="42"/>
        <v>71848638</v>
      </c>
      <c r="AJ62" s="136">
        <f t="shared" si="42"/>
        <v>68977846</v>
      </c>
      <c r="AK62" s="136">
        <f t="shared" ref="AK62:BP62" si="43">SUBTOTAL(9,AK60:AK61)</f>
        <v>71855772</v>
      </c>
      <c r="AL62" s="136">
        <f t="shared" si="43"/>
        <v>69865307</v>
      </c>
      <c r="AM62" s="136">
        <f t="shared" si="43"/>
        <v>68502594</v>
      </c>
      <c r="AN62" s="136">
        <f t="shared" si="43"/>
        <v>66129298</v>
      </c>
      <c r="AO62" s="135">
        <f t="shared" si="43"/>
        <v>65553888</v>
      </c>
      <c r="AP62" s="135">
        <f t="shared" si="43"/>
        <v>61578794</v>
      </c>
      <c r="AQ62" s="135">
        <f t="shared" si="43"/>
        <v>62626167</v>
      </c>
      <c r="AR62" s="135">
        <f t="shared" si="43"/>
        <v>64095683</v>
      </c>
      <c r="AS62" s="135">
        <f t="shared" si="43"/>
        <v>60852260</v>
      </c>
      <c r="AT62" s="135">
        <f t="shared" si="43"/>
        <v>62125633</v>
      </c>
      <c r="AU62" s="135">
        <f t="shared" si="43"/>
        <v>71398048</v>
      </c>
      <c r="AV62" s="135">
        <f t="shared" si="43"/>
        <v>68566889</v>
      </c>
      <c r="AW62" s="135">
        <f t="shared" si="43"/>
        <v>71471770</v>
      </c>
      <c r="AX62" s="135">
        <f t="shared" si="43"/>
        <v>69527304</v>
      </c>
      <c r="AY62" s="135">
        <f t="shared" si="43"/>
        <v>68287595</v>
      </c>
      <c r="AZ62" s="135">
        <f t="shared" si="43"/>
        <v>66186280</v>
      </c>
      <c r="BA62" s="135">
        <f t="shared" si="43"/>
        <v>65694657</v>
      </c>
      <c r="BB62" s="135">
        <f t="shared" si="43"/>
        <v>61633542</v>
      </c>
      <c r="BC62" s="135">
        <f t="shared" si="43"/>
        <v>62578221</v>
      </c>
      <c r="BD62" s="135">
        <f t="shared" si="43"/>
        <v>64059731</v>
      </c>
      <c r="BE62" s="135">
        <f t="shared" si="43"/>
        <v>60723551</v>
      </c>
      <c r="BF62" s="135">
        <f t="shared" si="43"/>
        <v>61933958</v>
      </c>
      <c r="BG62" s="135">
        <f t="shared" si="43"/>
        <v>71274770</v>
      </c>
      <c r="BH62" s="135">
        <f t="shared" si="43"/>
        <v>68444990</v>
      </c>
      <c r="BI62" s="135">
        <f t="shared" si="43"/>
        <v>71405643</v>
      </c>
      <c r="BJ62" s="135">
        <f t="shared" si="43"/>
        <v>71433447</v>
      </c>
      <c r="BK62" s="135">
        <f t="shared" si="43"/>
        <v>70281383</v>
      </c>
      <c r="BL62" s="135">
        <f t="shared" si="43"/>
        <v>68388198</v>
      </c>
      <c r="BM62" s="135">
        <f t="shared" si="43"/>
        <v>69062864</v>
      </c>
      <c r="BN62" s="135">
        <f t="shared" si="43"/>
        <v>63658970</v>
      </c>
      <c r="BO62" s="135">
        <f t="shared" si="43"/>
        <v>64430924</v>
      </c>
      <c r="BP62" s="135">
        <f t="shared" si="43"/>
        <v>65892337</v>
      </c>
      <c r="BQ62" s="135">
        <f t="shared" ref="BQ62:CD62" si="44">SUBTOTAL(9,BQ60:BQ61)</f>
        <v>62591385</v>
      </c>
      <c r="BR62" s="135">
        <f t="shared" si="44"/>
        <v>64657165</v>
      </c>
      <c r="BS62" s="135">
        <f t="shared" si="44"/>
        <v>74019237</v>
      </c>
      <c r="BT62" s="135">
        <f t="shared" si="44"/>
        <v>70804336</v>
      </c>
      <c r="BU62" s="135">
        <f t="shared" si="44"/>
        <v>73832888</v>
      </c>
      <c r="BV62" s="135">
        <f t="shared" si="44"/>
        <v>72070049</v>
      </c>
      <c r="BW62" s="135">
        <f t="shared" si="44"/>
        <v>70828167</v>
      </c>
      <c r="BX62" s="135">
        <f t="shared" si="44"/>
        <v>69109950</v>
      </c>
      <c r="BY62" s="134">
        <f t="shared" si="44"/>
        <v>1242546222</v>
      </c>
      <c r="BZ62" s="134">
        <f t="shared" si="44"/>
        <v>949320001</v>
      </c>
      <c r="CA62" s="134">
        <f t="shared" si="44"/>
        <v>796089095</v>
      </c>
      <c r="CB62" s="134">
        <f t="shared" si="44"/>
        <v>792270311</v>
      </c>
      <c r="CC62" s="134">
        <f t="shared" si="44"/>
        <v>797852091</v>
      </c>
      <c r="CD62" s="134">
        <f t="shared" si="44"/>
        <v>820958272</v>
      </c>
      <c r="CF62" s="145">
        <f>SUM(Z62:AK62)</f>
        <v>797137486</v>
      </c>
      <c r="CG62" s="145">
        <f>SUM(AL62:AW62)</f>
        <v>792766331</v>
      </c>
    </row>
    <row r="63" spans="1:85" s="98" customFormat="1" outlineLevel="2">
      <c r="A63" s="10">
        <v>4</v>
      </c>
      <c r="B63" s="131">
        <v>80</v>
      </c>
      <c r="C63" s="131" t="s">
        <v>370</v>
      </c>
      <c r="D63" s="131" t="s">
        <v>370</v>
      </c>
      <c r="E63" s="121">
        <v>6947750</v>
      </c>
      <c r="F63" s="121">
        <v>6121850</v>
      </c>
      <c r="G63" s="121">
        <v>6439300</v>
      </c>
      <c r="H63" s="121">
        <v>6235950</v>
      </c>
      <c r="I63" s="121">
        <v>6382950</v>
      </c>
      <c r="J63" s="121">
        <v>6609750</v>
      </c>
      <c r="K63" s="121">
        <v>7192850</v>
      </c>
      <c r="L63" s="121">
        <v>6833750</v>
      </c>
      <c r="M63" s="121">
        <v>6932800</v>
      </c>
      <c r="N63" s="121">
        <v>7126350</v>
      </c>
      <c r="O63" s="121">
        <v>6592600</v>
      </c>
      <c r="P63" s="121">
        <v>6512450</v>
      </c>
      <c r="Q63" s="121">
        <v>6842150</v>
      </c>
      <c r="R63" s="121">
        <v>6651050</v>
      </c>
      <c r="S63" s="121">
        <v>5934600</v>
      </c>
      <c r="T63" s="121">
        <v>6091400</v>
      </c>
      <c r="U63" s="121">
        <v>6478150</v>
      </c>
      <c r="V63" s="121">
        <v>7249200</v>
      </c>
      <c r="W63" s="121">
        <v>7318500</v>
      </c>
      <c r="X63" s="121">
        <v>6916350</v>
      </c>
      <c r="Y63" s="121">
        <v>7544250</v>
      </c>
      <c r="Z63" s="121">
        <v>6883917</v>
      </c>
      <c r="AA63" s="121">
        <v>6743800</v>
      </c>
      <c r="AB63" s="121">
        <v>6649067</v>
      </c>
      <c r="AC63" s="121">
        <v>6668550</v>
      </c>
      <c r="AD63" s="121">
        <v>6475933</v>
      </c>
      <c r="AE63" s="121">
        <v>6225683</v>
      </c>
      <c r="AF63" s="121">
        <v>6168050</v>
      </c>
      <c r="AG63" s="121">
        <v>6606250</v>
      </c>
      <c r="AH63" s="121">
        <v>7015283</v>
      </c>
      <c r="AI63" s="121">
        <v>7161350</v>
      </c>
      <c r="AJ63" s="121">
        <v>6986467</v>
      </c>
      <c r="AK63" s="121">
        <v>6964300</v>
      </c>
      <c r="AL63" s="121">
        <v>6883917</v>
      </c>
      <c r="AM63" s="121">
        <v>7037009</v>
      </c>
      <c r="AN63" s="121">
        <v>6938157</v>
      </c>
      <c r="AO63" s="130">
        <v>6958487</v>
      </c>
      <c r="AP63" s="130">
        <v>7320620</v>
      </c>
      <c r="AQ63" s="130">
        <v>7037729</v>
      </c>
      <c r="AR63" s="130">
        <v>6972578</v>
      </c>
      <c r="AS63" s="130">
        <v>7467935</v>
      </c>
      <c r="AT63" s="130">
        <v>7930320</v>
      </c>
      <c r="AU63" s="130">
        <v>8095439</v>
      </c>
      <c r="AV63" s="130">
        <v>7897745</v>
      </c>
      <c r="AW63" s="130">
        <v>7872687</v>
      </c>
      <c r="AX63" s="130">
        <v>7781819</v>
      </c>
      <c r="AY63" s="130">
        <v>7623426</v>
      </c>
      <c r="AZ63" s="130">
        <v>7516336</v>
      </c>
      <c r="BA63" s="130">
        <v>7538361</v>
      </c>
      <c r="BB63" s="130">
        <v>7320620</v>
      </c>
      <c r="BC63" s="130">
        <v>7037729</v>
      </c>
      <c r="BD63" s="130">
        <v>6972578</v>
      </c>
      <c r="BE63" s="130">
        <v>7467935</v>
      </c>
      <c r="BF63" s="130">
        <v>7930320</v>
      </c>
      <c r="BG63" s="130">
        <v>8095439</v>
      </c>
      <c r="BH63" s="130">
        <v>7897745</v>
      </c>
      <c r="BI63" s="130">
        <v>7872687</v>
      </c>
      <c r="BJ63" s="130">
        <v>7781819</v>
      </c>
      <c r="BK63" s="130">
        <v>7623426</v>
      </c>
      <c r="BL63" s="130">
        <v>7516336</v>
      </c>
      <c r="BM63" s="130">
        <v>7538361</v>
      </c>
      <c r="BN63" s="130">
        <v>7320620</v>
      </c>
      <c r="BO63" s="130">
        <v>7037729</v>
      </c>
      <c r="BP63" s="130">
        <v>6972578</v>
      </c>
      <c r="BQ63" s="130">
        <v>7467935</v>
      </c>
      <c r="BR63" s="130">
        <v>7930320</v>
      </c>
      <c r="BS63" s="130">
        <v>8095439</v>
      </c>
      <c r="BT63" s="130">
        <v>7897745</v>
      </c>
      <c r="BU63" s="130">
        <v>7872687</v>
      </c>
      <c r="BV63" s="130">
        <v>7781819</v>
      </c>
      <c r="BW63" s="130">
        <v>7623426</v>
      </c>
      <c r="BX63" s="130">
        <v>7516336</v>
      </c>
      <c r="BY63" s="132">
        <f>SUM(E63:P63)</f>
        <v>79928350</v>
      </c>
      <c r="BZ63" s="132">
        <f>SUM(Q63:AB63)</f>
        <v>81302434</v>
      </c>
      <c r="CA63" s="132">
        <f>SUM(AC63:AN63)</f>
        <v>81130949</v>
      </c>
      <c r="CB63" s="132">
        <f>SUM(AO63:AZ63)</f>
        <v>90475121</v>
      </c>
      <c r="CC63" s="132">
        <f>SUM(BA63:BL63)</f>
        <v>91054995</v>
      </c>
      <c r="CD63" s="132">
        <f>SUM(BM63:BX63)</f>
        <v>91054995</v>
      </c>
    </row>
    <row r="64" spans="1:85" s="98" customFormat="1" outlineLevel="1">
      <c r="A64" s="10"/>
      <c r="B64" s="10"/>
      <c r="C64" s="10"/>
      <c r="D64" s="137" t="s">
        <v>369</v>
      </c>
      <c r="E64" s="136">
        <f t="shared" ref="E64:AJ64" si="45">SUBTOTAL(9,E63:E63)</f>
        <v>6947750</v>
      </c>
      <c r="F64" s="136">
        <f t="shared" si="45"/>
        <v>6121850</v>
      </c>
      <c r="G64" s="136">
        <f t="shared" si="45"/>
        <v>6439300</v>
      </c>
      <c r="H64" s="136">
        <f t="shared" si="45"/>
        <v>6235950</v>
      </c>
      <c r="I64" s="136">
        <f t="shared" si="45"/>
        <v>6382950</v>
      </c>
      <c r="J64" s="136">
        <f t="shared" si="45"/>
        <v>6609750</v>
      </c>
      <c r="K64" s="136">
        <f t="shared" si="45"/>
        <v>7192850</v>
      </c>
      <c r="L64" s="136">
        <f t="shared" si="45"/>
        <v>6833750</v>
      </c>
      <c r="M64" s="136">
        <f t="shared" si="45"/>
        <v>6932800</v>
      </c>
      <c r="N64" s="136">
        <f t="shared" si="45"/>
        <v>7126350</v>
      </c>
      <c r="O64" s="136">
        <f t="shared" si="45"/>
        <v>6592600</v>
      </c>
      <c r="P64" s="136">
        <f t="shared" si="45"/>
        <v>6512450</v>
      </c>
      <c r="Q64" s="136">
        <f t="shared" si="45"/>
        <v>6842150</v>
      </c>
      <c r="R64" s="136">
        <f t="shared" si="45"/>
        <v>6651050</v>
      </c>
      <c r="S64" s="136">
        <f t="shared" si="45"/>
        <v>5934600</v>
      </c>
      <c r="T64" s="136">
        <f t="shared" si="45"/>
        <v>6091400</v>
      </c>
      <c r="U64" s="136">
        <f t="shared" si="45"/>
        <v>6478150</v>
      </c>
      <c r="V64" s="136">
        <f t="shared" si="45"/>
        <v>7249200</v>
      </c>
      <c r="W64" s="136">
        <f t="shared" si="45"/>
        <v>7318500</v>
      </c>
      <c r="X64" s="136">
        <f t="shared" si="45"/>
        <v>6916350</v>
      </c>
      <c r="Y64" s="136">
        <f t="shared" si="45"/>
        <v>7544250</v>
      </c>
      <c r="Z64" s="136">
        <f t="shared" si="45"/>
        <v>6883917</v>
      </c>
      <c r="AA64" s="136">
        <f t="shared" si="45"/>
        <v>6743800</v>
      </c>
      <c r="AB64" s="136">
        <f t="shared" si="45"/>
        <v>6649067</v>
      </c>
      <c r="AC64" s="136">
        <f t="shared" si="45"/>
        <v>6668550</v>
      </c>
      <c r="AD64" s="136">
        <f t="shared" si="45"/>
        <v>6475933</v>
      </c>
      <c r="AE64" s="136">
        <f t="shared" si="45"/>
        <v>6225683</v>
      </c>
      <c r="AF64" s="136">
        <f t="shared" si="45"/>
        <v>6168050</v>
      </c>
      <c r="AG64" s="136">
        <f t="shared" si="45"/>
        <v>6606250</v>
      </c>
      <c r="AH64" s="136">
        <f t="shared" si="45"/>
        <v>7015283</v>
      </c>
      <c r="AI64" s="136">
        <f t="shared" si="45"/>
        <v>7161350</v>
      </c>
      <c r="AJ64" s="136">
        <f t="shared" si="45"/>
        <v>6986467</v>
      </c>
      <c r="AK64" s="136">
        <f t="shared" ref="AK64:BP64" si="46">SUBTOTAL(9,AK63:AK63)</f>
        <v>6964300</v>
      </c>
      <c r="AL64" s="136">
        <f t="shared" si="46"/>
        <v>6883917</v>
      </c>
      <c r="AM64" s="136">
        <f t="shared" si="46"/>
        <v>7037009</v>
      </c>
      <c r="AN64" s="136">
        <f t="shared" si="46"/>
        <v>6938157</v>
      </c>
      <c r="AO64" s="135">
        <f t="shared" si="46"/>
        <v>6958487</v>
      </c>
      <c r="AP64" s="135">
        <f t="shared" si="46"/>
        <v>7320620</v>
      </c>
      <c r="AQ64" s="135">
        <f t="shared" si="46"/>
        <v>7037729</v>
      </c>
      <c r="AR64" s="135">
        <f t="shared" si="46"/>
        <v>6972578</v>
      </c>
      <c r="AS64" s="135">
        <f t="shared" si="46"/>
        <v>7467935</v>
      </c>
      <c r="AT64" s="135">
        <f t="shared" si="46"/>
        <v>7930320</v>
      </c>
      <c r="AU64" s="135">
        <f t="shared" si="46"/>
        <v>8095439</v>
      </c>
      <c r="AV64" s="135">
        <f t="shared" si="46"/>
        <v>7897745</v>
      </c>
      <c r="AW64" s="135">
        <f t="shared" si="46"/>
        <v>7872687</v>
      </c>
      <c r="AX64" s="135">
        <f t="shared" si="46"/>
        <v>7781819</v>
      </c>
      <c r="AY64" s="135">
        <f t="shared" si="46"/>
        <v>7623426</v>
      </c>
      <c r="AZ64" s="135">
        <f t="shared" si="46"/>
        <v>7516336</v>
      </c>
      <c r="BA64" s="135">
        <f t="shared" si="46"/>
        <v>7538361</v>
      </c>
      <c r="BB64" s="135">
        <f t="shared" si="46"/>
        <v>7320620</v>
      </c>
      <c r="BC64" s="135">
        <f t="shared" si="46"/>
        <v>7037729</v>
      </c>
      <c r="BD64" s="135">
        <f t="shared" si="46"/>
        <v>6972578</v>
      </c>
      <c r="BE64" s="135">
        <f t="shared" si="46"/>
        <v>7467935</v>
      </c>
      <c r="BF64" s="135">
        <f t="shared" si="46"/>
        <v>7930320</v>
      </c>
      <c r="BG64" s="135">
        <f t="shared" si="46"/>
        <v>8095439</v>
      </c>
      <c r="BH64" s="135">
        <f t="shared" si="46"/>
        <v>7897745</v>
      </c>
      <c r="BI64" s="135">
        <f t="shared" si="46"/>
        <v>7872687</v>
      </c>
      <c r="BJ64" s="135">
        <f t="shared" si="46"/>
        <v>7781819</v>
      </c>
      <c r="BK64" s="135">
        <f t="shared" si="46"/>
        <v>7623426</v>
      </c>
      <c r="BL64" s="135">
        <f t="shared" si="46"/>
        <v>7516336</v>
      </c>
      <c r="BM64" s="135">
        <f t="shared" si="46"/>
        <v>7538361</v>
      </c>
      <c r="BN64" s="135">
        <f t="shared" si="46"/>
        <v>7320620</v>
      </c>
      <c r="BO64" s="135">
        <f t="shared" si="46"/>
        <v>7037729</v>
      </c>
      <c r="BP64" s="135">
        <f t="shared" si="46"/>
        <v>6972578</v>
      </c>
      <c r="BQ64" s="135">
        <f t="shared" ref="BQ64:CD64" si="47">SUBTOTAL(9,BQ63:BQ63)</f>
        <v>7467935</v>
      </c>
      <c r="BR64" s="135">
        <f t="shared" si="47"/>
        <v>7930320</v>
      </c>
      <c r="BS64" s="135">
        <f t="shared" si="47"/>
        <v>8095439</v>
      </c>
      <c r="BT64" s="135">
        <f t="shared" si="47"/>
        <v>7897745</v>
      </c>
      <c r="BU64" s="135">
        <f t="shared" si="47"/>
        <v>7872687</v>
      </c>
      <c r="BV64" s="135">
        <f t="shared" si="47"/>
        <v>7781819</v>
      </c>
      <c r="BW64" s="135">
        <f t="shared" si="47"/>
        <v>7623426</v>
      </c>
      <c r="BX64" s="135">
        <f t="shared" si="47"/>
        <v>7516336</v>
      </c>
      <c r="BY64" s="134">
        <f t="shared" si="47"/>
        <v>79928350</v>
      </c>
      <c r="BZ64" s="134">
        <f t="shared" si="47"/>
        <v>81302434</v>
      </c>
      <c r="CA64" s="134">
        <f t="shared" si="47"/>
        <v>81130949</v>
      </c>
      <c r="CB64" s="134">
        <f t="shared" si="47"/>
        <v>90475121</v>
      </c>
      <c r="CC64" s="134">
        <f t="shared" si="47"/>
        <v>91054995</v>
      </c>
      <c r="CD64" s="134">
        <f t="shared" si="47"/>
        <v>91054995</v>
      </c>
      <c r="CF64" s="145">
        <f>SUM(Z64:AK64)</f>
        <v>80548650</v>
      </c>
      <c r="CG64" s="145">
        <f>SUM(AL64:AW64)</f>
        <v>88412623</v>
      </c>
    </row>
    <row r="65" spans="1:85" s="98" customFormat="1" outlineLevel="2">
      <c r="A65" s="10">
        <v>1</v>
      </c>
      <c r="B65" s="10">
        <v>11</v>
      </c>
      <c r="C65" s="10" t="s">
        <v>56</v>
      </c>
      <c r="D65" s="131" t="s">
        <v>56</v>
      </c>
      <c r="E65" s="121">
        <v>2872579</v>
      </c>
      <c r="F65" s="121">
        <v>2870388</v>
      </c>
      <c r="G65" s="121">
        <v>2865506</v>
      </c>
      <c r="H65" s="121">
        <v>2844242</v>
      </c>
      <c r="I65" s="121">
        <v>2856943</v>
      </c>
      <c r="J65" s="121">
        <v>2846627</v>
      </c>
      <c r="K65" s="121">
        <v>2843333</v>
      </c>
      <c r="L65" s="121">
        <v>2808788</v>
      </c>
      <c r="M65" s="121">
        <v>2814245</v>
      </c>
      <c r="N65" s="121">
        <v>2819682</v>
      </c>
      <c r="O65" s="121">
        <v>2814060</v>
      </c>
      <c r="P65" s="121">
        <v>2804967</v>
      </c>
      <c r="Q65" s="121">
        <v>2806712</v>
      </c>
      <c r="R65" s="121">
        <v>2808983</v>
      </c>
      <c r="S65" s="121">
        <v>2777913</v>
      </c>
      <c r="T65" s="121">
        <v>2809044</v>
      </c>
      <c r="U65" s="121">
        <v>2809188</v>
      </c>
      <c r="V65" s="121">
        <v>2809006</v>
      </c>
      <c r="W65" s="121">
        <v>2811603</v>
      </c>
      <c r="X65" s="121">
        <v>2876145</v>
      </c>
      <c r="Y65" s="121">
        <v>2793852</v>
      </c>
      <c r="Z65" s="121">
        <v>2787574</v>
      </c>
      <c r="AA65" s="121">
        <v>2781295</v>
      </c>
      <c r="AB65" s="121">
        <v>2775017</v>
      </c>
      <c r="AC65" s="121">
        <v>2768739</v>
      </c>
      <c r="AD65" s="121">
        <v>2762460</v>
      </c>
      <c r="AE65" s="121">
        <v>2756182</v>
      </c>
      <c r="AF65" s="121">
        <v>2749904</v>
      </c>
      <c r="AG65" s="121">
        <v>2743625</v>
      </c>
      <c r="AH65" s="121">
        <v>2737347</v>
      </c>
      <c r="AI65" s="121">
        <v>2731069</v>
      </c>
      <c r="AJ65" s="121">
        <v>2724790</v>
      </c>
      <c r="AK65" s="121">
        <v>2718512</v>
      </c>
      <c r="AL65" s="121">
        <v>2712234</v>
      </c>
      <c r="AM65" s="121">
        <v>2705956</v>
      </c>
      <c r="AN65" s="121">
        <v>2699677</v>
      </c>
      <c r="AO65" s="130">
        <v>2693399</v>
      </c>
      <c r="AP65" s="130">
        <v>2687121</v>
      </c>
      <c r="AQ65" s="130">
        <v>2680842</v>
      </c>
      <c r="AR65" s="130">
        <v>2674564</v>
      </c>
      <c r="AS65" s="130">
        <v>2668286</v>
      </c>
      <c r="AT65" s="130">
        <v>2662007</v>
      </c>
      <c r="AU65" s="130">
        <v>2655729</v>
      </c>
      <c r="AV65" s="130">
        <v>2649451</v>
      </c>
      <c r="AW65" s="130">
        <v>2643172</v>
      </c>
      <c r="AX65" s="130">
        <v>2636894</v>
      </c>
      <c r="AY65" s="130">
        <v>2630616</v>
      </c>
      <c r="AZ65" s="130">
        <v>2624337</v>
      </c>
      <c r="BA65" s="130">
        <v>2618059</v>
      </c>
      <c r="BB65" s="130">
        <v>2611781</v>
      </c>
      <c r="BC65" s="130">
        <v>2605502</v>
      </c>
      <c r="BD65" s="130">
        <v>2599224</v>
      </c>
      <c r="BE65" s="130">
        <v>2592946</v>
      </c>
      <c r="BF65" s="130">
        <v>2586667</v>
      </c>
      <c r="BG65" s="130">
        <v>2580389</v>
      </c>
      <c r="BH65" s="130">
        <v>2574111</v>
      </c>
      <c r="BI65" s="130">
        <v>2567833</v>
      </c>
      <c r="BJ65" s="130">
        <v>2561554</v>
      </c>
      <c r="BK65" s="130">
        <v>2555276</v>
      </c>
      <c r="BL65" s="130">
        <v>2548998</v>
      </c>
      <c r="BM65" s="130">
        <v>2542719</v>
      </c>
      <c r="BN65" s="130">
        <v>2536441</v>
      </c>
      <c r="BO65" s="130">
        <v>2530163</v>
      </c>
      <c r="BP65" s="130">
        <v>2523884</v>
      </c>
      <c r="BQ65" s="130">
        <v>2517606</v>
      </c>
      <c r="BR65" s="130">
        <v>2511328</v>
      </c>
      <c r="BS65" s="130">
        <v>2505049</v>
      </c>
      <c r="BT65" s="130">
        <v>2498771</v>
      </c>
      <c r="BU65" s="130">
        <v>2492493</v>
      </c>
      <c r="BV65" s="130">
        <v>2486214</v>
      </c>
      <c r="BW65" s="130">
        <v>2479936</v>
      </c>
      <c r="BX65" s="130">
        <v>2473658</v>
      </c>
      <c r="BY65" s="132">
        <f>SUM(E65:P65)</f>
        <v>34061360</v>
      </c>
      <c r="BZ65" s="132">
        <f>SUM(Q65:AB65)</f>
        <v>33646332</v>
      </c>
      <c r="CA65" s="132">
        <f>SUM(AC65:AN65)</f>
        <v>32810495</v>
      </c>
      <c r="CB65" s="132">
        <f>SUM(AO65:AZ65)</f>
        <v>31906418</v>
      </c>
      <c r="CC65" s="132">
        <f>SUM(BA65:BL65)</f>
        <v>31002340</v>
      </c>
      <c r="CD65" s="132">
        <f>SUM(BM65:BX65)</f>
        <v>30098262</v>
      </c>
    </row>
    <row r="66" spans="1:85" s="98" customFormat="1" outlineLevel="2">
      <c r="A66" s="10">
        <v>2</v>
      </c>
      <c r="B66" s="10">
        <v>11</v>
      </c>
      <c r="C66" s="10" t="s">
        <v>56</v>
      </c>
      <c r="D66" s="131" t="s">
        <v>56</v>
      </c>
      <c r="E66" s="121">
        <v>5792004</v>
      </c>
      <c r="F66" s="121">
        <v>5758108</v>
      </c>
      <c r="G66" s="121">
        <v>5728478</v>
      </c>
      <c r="H66" s="121">
        <v>5693568</v>
      </c>
      <c r="I66" s="121">
        <v>5726313</v>
      </c>
      <c r="J66" s="121">
        <v>5724794</v>
      </c>
      <c r="K66" s="121">
        <v>5721713</v>
      </c>
      <c r="L66" s="121">
        <v>5691782</v>
      </c>
      <c r="M66" s="121">
        <v>5524539</v>
      </c>
      <c r="N66" s="121">
        <v>5669813</v>
      </c>
      <c r="O66" s="121">
        <v>5661010</v>
      </c>
      <c r="P66" s="121">
        <v>5655344</v>
      </c>
      <c r="Q66" s="121">
        <v>5651756</v>
      </c>
      <c r="R66" s="121">
        <v>5644740</v>
      </c>
      <c r="S66" s="121">
        <v>5674863</v>
      </c>
      <c r="T66" s="121">
        <v>5669095</v>
      </c>
      <c r="U66" s="121">
        <v>5608459</v>
      </c>
      <c r="V66" s="121">
        <v>5709542</v>
      </c>
      <c r="W66" s="121">
        <v>5660834</v>
      </c>
      <c r="X66" s="121">
        <v>5638214</v>
      </c>
      <c r="Y66" s="121">
        <v>5671473</v>
      </c>
      <c r="Z66" s="121">
        <v>5662764</v>
      </c>
      <c r="AA66" s="121">
        <v>5654056</v>
      </c>
      <c r="AB66" s="121">
        <v>5645347</v>
      </c>
      <c r="AC66" s="121">
        <v>5636639</v>
      </c>
      <c r="AD66" s="121">
        <v>5627930</v>
      </c>
      <c r="AE66" s="121">
        <v>5619221</v>
      </c>
      <c r="AF66" s="121">
        <v>5610513</v>
      </c>
      <c r="AG66" s="121">
        <v>5601804</v>
      </c>
      <c r="AH66" s="121">
        <v>5593096</v>
      </c>
      <c r="AI66" s="121">
        <v>5584387</v>
      </c>
      <c r="AJ66" s="121">
        <v>5575678</v>
      </c>
      <c r="AK66" s="121">
        <v>5566970</v>
      </c>
      <c r="AL66" s="121">
        <v>5558261</v>
      </c>
      <c r="AM66" s="121">
        <v>5549553</v>
      </c>
      <c r="AN66" s="121">
        <v>5540844</v>
      </c>
      <c r="AO66" s="130">
        <v>5532135</v>
      </c>
      <c r="AP66" s="130">
        <v>5523427</v>
      </c>
      <c r="AQ66" s="130">
        <v>5514718</v>
      </c>
      <c r="AR66" s="130">
        <v>5506010</v>
      </c>
      <c r="AS66" s="130">
        <v>5497301</v>
      </c>
      <c r="AT66" s="130">
        <v>5488592</v>
      </c>
      <c r="AU66" s="130">
        <v>5479884</v>
      </c>
      <c r="AV66" s="130">
        <v>5471175</v>
      </c>
      <c r="AW66" s="130">
        <v>5462467</v>
      </c>
      <c r="AX66" s="130">
        <v>5453758</v>
      </c>
      <c r="AY66" s="130">
        <v>5445050</v>
      </c>
      <c r="AZ66" s="130">
        <v>5436341</v>
      </c>
      <c r="BA66" s="130">
        <v>5427632</v>
      </c>
      <c r="BB66" s="130">
        <v>5418924</v>
      </c>
      <c r="BC66" s="130">
        <v>5410215</v>
      </c>
      <c r="BD66" s="130">
        <v>5401507</v>
      </c>
      <c r="BE66" s="130">
        <v>5392798</v>
      </c>
      <c r="BF66" s="130">
        <v>5384089</v>
      </c>
      <c r="BG66" s="130">
        <v>5375381</v>
      </c>
      <c r="BH66" s="130">
        <v>5366672</v>
      </c>
      <c r="BI66" s="130">
        <v>5357964</v>
      </c>
      <c r="BJ66" s="130">
        <v>5349255</v>
      </c>
      <c r="BK66" s="130">
        <v>5340546</v>
      </c>
      <c r="BL66" s="130">
        <v>5331838</v>
      </c>
      <c r="BM66" s="130">
        <v>5323129</v>
      </c>
      <c r="BN66" s="130">
        <v>5314421</v>
      </c>
      <c r="BO66" s="130">
        <v>5305712</v>
      </c>
      <c r="BP66" s="130">
        <v>5297003</v>
      </c>
      <c r="BQ66" s="130">
        <v>5288295</v>
      </c>
      <c r="BR66" s="130">
        <v>5279586</v>
      </c>
      <c r="BS66" s="130">
        <v>5270878</v>
      </c>
      <c r="BT66" s="130">
        <v>5262169</v>
      </c>
      <c r="BU66" s="130">
        <v>5253460</v>
      </c>
      <c r="BV66" s="130">
        <v>5244752</v>
      </c>
      <c r="BW66" s="130">
        <v>5236043</v>
      </c>
      <c r="BX66" s="130">
        <v>5227335</v>
      </c>
      <c r="BY66" s="132">
        <f>SUM(E66:P66)</f>
        <v>68347466</v>
      </c>
      <c r="BZ66" s="132">
        <f>SUM(Q66:AB66)</f>
        <v>67891143</v>
      </c>
      <c r="CA66" s="132">
        <f>SUM(AC66:AN66)</f>
        <v>67064896</v>
      </c>
      <c r="CB66" s="132">
        <f>SUM(AO66:AZ66)</f>
        <v>65810858</v>
      </c>
      <c r="CC66" s="132">
        <f>SUM(BA66:BL66)</f>
        <v>64556821</v>
      </c>
      <c r="CD66" s="132">
        <f>SUM(BM66:BX66)</f>
        <v>63302783</v>
      </c>
    </row>
    <row r="67" spans="1:85" s="98" customFormat="1" outlineLevel="2">
      <c r="A67" s="10">
        <v>3</v>
      </c>
      <c r="B67" s="10">
        <v>11</v>
      </c>
      <c r="C67" s="10" t="s">
        <v>56</v>
      </c>
      <c r="D67" s="131" t="s">
        <v>56</v>
      </c>
      <c r="E67" s="121">
        <v>43275</v>
      </c>
      <c r="F67" s="121">
        <v>43120</v>
      </c>
      <c r="G67" s="121">
        <v>42832</v>
      </c>
      <c r="H67" s="121">
        <v>42618</v>
      </c>
      <c r="I67" s="121">
        <v>42571</v>
      </c>
      <c r="J67" s="121">
        <v>42492</v>
      </c>
      <c r="K67" s="121">
        <v>42522</v>
      </c>
      <c r="L67" s="121">
        <v>42578</v>
      </c>
      <c r="M67" s="121">
        <v>42234</v>
      </c>
      <c r="N67" s="121">
        <v>41870</v>
      </c>
      <c r="O67" s="121">
        <v>41800</v>
      </c>
      <c r="P67" s="121">
        <v>41857</v>
      </c>
      <c r="Q67" s="121">
        <v>40925</v>
      </c>
      <c r="R67" s="121">
        <v>36729</v>
      </c>
      <c r="S67" s="121">
        <v>40704</v>
      </c>
      <c r="T67" s="121">
        <v>40780</v>
      </c>
      <c r="U67" s="121">
        <v>40106</v>
      </c>
      <c r="V67" s="121">
        <v>41119</v>
      </c>
      <c r="W67" s="121">
        <v>41024</v>
      </c>
      <c r="X67" s="121">
        <v>41136</v>
      </c>
      <c r="Y67" s="121">
        <v>41136</v>
      </c>
      <c r="Z67" s="121">
        <v>41136</v>
      </c>
      <c r="AA67" s="121">
        <v>41136</v>
      </c>
      <c r="AB67" s="121">
        <v>41136</v>
      </c>
      <c r="AC67" s="121">
        <v>41136</v>
      </c>
      <c r="AD67" s="121">
        <v>41136</v>
      </c>
      <c r="AE67" s="121">
        <v>41136</v>
      </c>
      <c r="AF67" s="121">
        <v>41136</v>
      </c>
      <c r="AG67" s="121">
        <v>41136</v>
      </c>
      <c r="AH67" s="121">
        <v>41136</v>
      </c>
      <c r="AI67" s="121">
        <v>41136</v>
      </c>
      <c r="AJ67" s="121">
        <v>41136</v>
      </c>
      <c r="AK67" s="121">
        <v>41136</v>
      </c>
      <c r="AL67" s="121">
        <v>41136</v>
      </c>
      <c r="AM67" s="121">
        <v>41136</v>
      </c>
      <c r="AN67" s="121">
        <v>41136</v>
      </c>
      <c r="AO67" s="130">
        <v>41136</v>
      </c>
      <c r="AP67" s="130">
        <v>41136</v>
      </c>
      <c r="AQ67" s="130">
        <v>41136</v>
      </c>
      <c r="AR67" s="130">
        <v>41136</v>
      </c>
      <c r="AS67" s="130">
        <v>41136</v>
      </c>
      <c r="AT67" s="130">
        <v>41136</v>
      </c>
      <c r="AU67" s="130">
        <v>41136</v>
      </c>
      <c r="AV67" s="130">
        <v>41136</v>
      </c>
      <c r="AW67" s="130">
        <v>41136</v>
      </c>
      <c r="AX67" s="130">
        <v>41136</v>
      </c>
      <c r="AY67" s="130">
        <v>41136</v>
      </c>
      <c r="AZ67" s="130">
        <v>41136</v>
      </c>
      <c r="BA67" s="130">
        <v>41136</v>
      </c>
      <c r="BB67" s="130">
        <v>41136</v>
      </c>
      <c r="BC67" s="130">
        <v>41136</v>
      </c>
      <c r="BD67" s="130">
        <v>41136</v>
      </c>
      <c r="BE67" s="130">
        <v>41136</v>
      </c>
      <c r="BF67" s="130">
        <v>41136</v>
      </c>
      <c r="BG67" s="130">
        <v>41136</v>
      </c>
      <c r="BH67" s="130">
        <v>41136</v>
      </c>
      <c r="BI67" s="130">
        <v>41136</v>
      </c>
      <c r="BJ67" s="130">
        <v>41136</v>
      </c>
      <c r="BK67" s="130">
        <v>41136</v>
      </c>
      <c r="BL67" s="130">
        <v>41136</v>
      </c>
      <c r="BM67" s="130">
        <v>41136</v>
      </c>
      <c r="BN67" s="130">
        <v>41136</v>
      </c>
      <c r="BO67" s="130">
        <v>41136</v>
      </c>
      <c r="BP67" s="130">
        <v>41136</v>
      </c>
      <c r="BQ67" s="130">
        <v>41136</v>
      </c>
      <c r="BR67" s="130">
        <v>41136</v>
      </c>
      <c r="BS67" s="130">
        <v>41136</v>
      </c>
      <c r="BT67" s="130">
        <v>41136</v>
      </c>
      <c r="BU67" s="130">
        <v>41136</v>
      </c>
      <c r="BV67" s="130">
        <v>41136</v>
      </c>
      <c r="BW67" s="130">
        <v>41136</v>
      </c>
      <c r="BX67" s="130">
        <v>41136</v>
      </c>
      <c r="BY67" s="132">
        <f>SUM(E67:P67)</f>
        <v>509769</v>
      </c>
      <c r="BZ67" s="132">
        <f>SUM(Q67:AB67)</f>
        <v>487067</v>
      </c>
      <c r="CA67" s="132">
        <f>SUM(AC67:AN67)</f>
        <v>493632</v>
      </c>
      <c r="CB67" s="132">
        <f>SUM(AO67:AZ67)</f>
        <v>493632</v>
      </c>
      <c r="CC67" s="132">
        <f>SUM(BA67:BL67)</f>
        <v>493632</v>
      </c>
      <c r="CD67" s="132">
        <f>SUM(BM67:BX67)</f>
        <v>493632</v>
      </c>
    </row>
    <row r="68" spans="1:85" s="98" customFormat="1" outlineLevel="1">
      <c r="A68" s="10"/>
      <c r="B68" s="10"/>
      <c r="C68" s="10"/>
      <c r="D68" s="137" t="s">
        <v>368</v>
      </c>
      <c r="E68" s="136">
        <f t="shared" ref="E68:AJ68" si="48">SUBTOTAL(9,E65:E67)</f>
        <v>8707858</v>
      </c>
      <c r="F68" s="136">
        <f t="shared" si="48"/>
        <v>8671616</v>
      </c>
      <c r="G68" s="136">
        <f t="shared" si="48"/>
        <v>8636816</v>
      </c>
      <c r="H68" s="136">
        <f t="shared" si="48"/>
        <v>8580428</v>
      </c>
      <c r="I68" s="136">
        <f t="shared" si="48"/>
        <v>8625827</v>
      </c>
      <c r="J68" s="136">
        <f t="shared" si="48"/>
        <v>8613913</v>
      </c>
      <c r="K68" s="136">
        <f t="shared" si="48"/>
        <v>8607568</v>
      </c>
      <c r="L68" s="136">
        <f t="shared" si="48"/>
        <v>8543148</v>
      </c>
      <c r="M68" s="136">
        <f t="shared" si="48"/>
        <v>8381018</v>
      </c>
      <c r="N68" s="136">
        <f t="shared" si="48"/>
        <v>8531365</v>
      </c>
      <c r="O68" s="136">
        <f t="shared" si="48"/>
        <v>8516870</v>
      </c>
      <c r="P68" s="136">
        <f t="shared" si="48"/>
        <v>8502168</v>
      </c>
      <c r="Q68" s="136">
        <f t="shared" si="48"/>
        <v>8499393</v>
      </c>
      <c r="R68" s="136">
        <f t="shared" si="48"/>
        <v>8490452</v>
      </c>
      <c r="S68" s="136">
        <f t="shared" si="48"/>
        <v>8493480</v>
      </c>
      <c r="T68" s="136">
        <f t="shared" si="48"/>
        <v>8518919</v>
      </c>
      <c r="U68" s="136">
        <f t="shared" si="48"/>
        <v>8457753</v>
      </c>
      <c r="V68" s="136">
        <f t="shared" si="48"/>
        <v>8559667</v>
      </c>
      <c r="W68" s="136">
        <f t="shared" si="48"/>
        <v>8513461</v>
      </c>
      <c r="X68" s="136">
        <f t="shared" si="48"/>
        <v>8555495</v>
      </c>
      <c r="Y68" s="136">
        <f t="shared" si="48"/>
        <v>8506461</v>
      </c>
      <c r="Z68" s="136">
        <f t="shared" si="48"/>
        <v>8491474</v>
      </c>
      <c r="AA68" s="136">
        <f t="shared" si="48"/>
        <v>8476487</v>
      </c>
      <c r="AB68" s="136">
        <f t="shared" si="48"/>
        <v>8461500</v>
      </c>
      <c r="AC68" s="136">
        <f t="shared" si="48"/>
        <v>8446514</v>
      </c>
      <c r="AD68" s="136">
        <f t="shared" si="48"/>
        <v>8431526</v>
      </c>
      <c r="AE68" s="136">
        <f t="shared" si="48"/>
        <v>8416539</v>
      </c>
      <c r="AF68" s="136">
        <f t="shared" si="48"/>
        <v>8401553</v>
      </c>
      <c r="AG68" s="136">
        <f t="shared" si="48"/>
        <v>8386565</v>
      </c>
      <c r="AH68" s="136">
        <f t="shared" si="48"/>
        <v>8371579</v>
      </c>
      <c r="AI68" s="136">
        <f t="shared" si="48"/>
        <v>8356592</v>
      </c>
      <c r="AJ68" s="136">
        <f t="shared" si="48"/>
        <v>8341604</v>
      </c>
      <c r="AK68" s="136">
        <f t="shared" ref="AK68:BP68" si="49">SUBTOTAL(9,AK65:AK67)</f>
        <v>8326618</v>
      </c>
      <c r="AL68" s="136">
        <f t="shared" si="49"/>
        <v>8311631</v>
      </c>
      <c r="AM68" s="136">
        <f t="shared" si="49"/>
        <v>8296645</v>
      </c>
      <c r="AN68" s="136">
        <f t="shared" si="49"/>
        <v>8281657</v>
      </c>
      <c r="AO68" s="135">
        <f t="shared" si="49"/>
        <v>8266670</v>
      </c>
      <c r="AP68" s="135">
        <f t="shared" si="49"/>
        <v>8251684</v>
      </c>
      <c r="AQ68" s="135">
        <f t="shared" si="49"/>
        <v>8236696</v>
      </c>
      <c r="AR68" s="135">
        <f t="shared" si="49"/>
        <v>8221710</v>
      </c>
      <c r="AS68" s="135">
        <f t="shared" si="49"/>
        <v>8206723</v>
      </c>
      <c r="AT68" s="135">
        <f t="shared" si="49"/>
        <v>8191735</v>
      </c>
      <c r="AU68" s="135">
        <f t="shared" si="49"/>
        <v>8176749</v>
      </c>
      <c r="AV68" s="135">
        <f t="shared" si="49"/>
        <v>8161762</v>
      </c>
      <c r="AW68" s="135">
        <f t="shared" si="49"/>
        <v>8146775</v>
      </c>
      <c r="AX68" s="135">
        <f t="shared" si="49"/>
        <v>8131788</v>
      </c>
      <c r="AY68" s="135">
        <f t="shared" si="49"/>
        <v>8116802</v>
      </c>
      <c r="AZ68" s="135">
        <f t="shared" si="49"/>
        <v>8101814</v>
      </c>
      <c r="BA68" s="135">
        <f t="shared" si="49"/>
        <v>8086827</v>
      </c>
      <c r="BB68" s="135">
        <f t="shared" si="49"/>
        <v>8071841</v>
      </c>
      <c r="BC68" s="135">
        <f t="shared" si="49"/>
        <v>8056853</v>
      </c>
      <c r="BD68" s="135">
        <f t="shared" si="49"/>
        <v>8041867</v>
      </c>
      <c r="BE68" s="135">
        <f t="shared" si="49"/>
        <v>8026880</v>
      </c>
      <c r="BF68" s="135">
        <f t="shared" si="49"/>
        <v>8011892</v>
      </c>
      <c r="BG68" s="135">
        <f t="shared" si="49"/>
        <v>7996906</v>
      </c>
      <c r="BH68" s="135">
        <f t="shared" si="49"/>
        <v>7981919</v>
      </c>
      <c r="BI68" s="135">
        <f t="shared" si="49"/>
        <v>7966933</v>
      </c>
      <c r="BJ68" s="135">
        <f t="shared" si="49"/>
        <v>7951945</v>
      </c>
      <c r="BK68" s="135">
        <f t="shared" si="49"/>
        <v>7936958</v>
      </c>
      <c r="BL68" s="135">
        <f t="shared" si="49"/>
        <v>7921972</v>
      </c>
      <c r="BM68" s="135">
        <f t="shared" si="49"/>
        <v>7906984</v>
      </c>
      <c r="BN68" s="135">
        <f t="shared" si="49"/>
        <v>7891998</v>
      </c>
      <c r="BO68" s="135">
        <f t="shared" si="49"/>
        <v>7877011</v>
      </c>
      <c r="BP68" s="135">
        <f t="shared" si="49"/>
        <v>7862023</v>
      </c>
      <c r="BQ68" s="135">
        <f t="shared" ref="BQ68:CD68" si="50">SUBTOTAL(9,BQ65:BQ67)</f>
        <v>7847037</v>
      </c>
      <c r="BR68" s="135">
        <f t="shared" si="50"/>
        <v>7832050</v>
      </c>
      <c r="BS68" s="135">
        <f t="shared" si="50"/>
        <v>7817063</v>
      </c>
      <c r="BT68" s="135">
        <f t="shared" si="50"/>
        <v>7802076</v>
      </c>
      <c r="BU68" s="135">
        <f t="shared" si="50"/>
        <v>7787089</v>
      </c>
      <c r="BV68" s="135">
        <f t="shared" si="50"/>
        <v>7772102</v>
      </c>
      <c r="BW68" s="135">
        <f t="shared" si="50"/>
        <v>7757115</v>
      </c>
      <c r="BX68" s="135">
        <f t="shared" si="50"/>
        <v>7742129</v>
      </c>
      <c r="BY68" s="134">
        <f t="shared" si="50"/>
        <v>102918595</v>
      </c>
      <c r="BZ68" s="134">
        <f t="shared" si="50"/>
        <v>102024542</v>
      </c>
      <c r="CA68" s="134">
        <f t="shared" si="50"/>
        <v>100369023</v>
      </c>
      <c r="CB68" s="134">
        <f t="shared" si="50"/>
        <v>98210908</v>
      </c>
      <c r="CC68" s="134">
        <f t="shared" si="50"/>
        <v>96052793</v>
      </c>
      <c r="CD68" s="134">
        <f t="shared" si="50"/>
        <v>93894677</v>
      </c>
      <c r="CF68" s="145">
        <f>SUM(Z68:AK68)</f>
        <v>100908551</v>
      </c>
      <c r="CG68" s="145">
        <f>SUM(AL68:AW68)</f>
        <v>98750437</v>
      </c>
    </row>
    <row r="69" spans="1:85" s="98" customFormat="1" outlineLevel="2">
      <c r="A69" s="10">
        <v>5</v>
      </c>
      <c r="B69" s="131">
        <v>19</v>
      </c>
      <c r="C69" s="131" t="s">
        <v>57</v>
      </c>
      <c r="D69" s="131" t="s">
        <v>57</v>
      </c>
      <c r="E69" s="121">
        <v>1133956</v>
      </c>
      <c r="F69" s="121">
        <v>1388309</v>
      </c>
      <c r="G69" s="121">
        <v>1240286</v>
      </c>
      <c r="H69" s="121">
        <v>1078244</v>
      </c>
      <c r="I69" s="121">
        <v>1012297</v>
      </c>
      <c r="J69" s="121">
        <v>903727</v>
      </c>
      <c r="K69" s="121">
        <v>903192</v>
      </c>
      <c r="L69" s="121">
        <v>885006</v>
      </c>
      <c r="M69" s="121">
        <v>1046067</v>
      </c>
      <c r="N69" s="121">
        <v>1221775</v>
      </c>
      <c r="O69" s="121">
        <v>1276332</v>
      </c>
      <c r="P69" s="121">
        <v>1249154</v>
      </c>
      <c r="Q69" s="121">
        <v>1052839</v>
      </c>
      <c r="R69" s="121">
        <v>1154601</v>
      </c>
      <c r="S69" s="121">
        <v>1167379</v>
      </c>
      <c r="T69" s="121">
        <v>989193</v>
      </c>
      <c r="U69" s="121">
        <v>973329</v>
      </c>
      <c r="V69" s="121">
        <v>959596</v>
      </c>
      <c r="W69" s="121">
        <v>954026</v>
      </c>
      <c r="X69" s="121">
        <v>921784</v>
      </c>
      <c r="Y69" s="121">
        <v>1045861</v>
      </c>
      <c r="Z69" s="121">
        <v>1129139</v>
      </c>
      <c r="AA69" s="121">
        <v>1281987</v>
      </c>
      <c r="AB69" s="121">
        <v>1295047</v>
      </c>
      <c r="AC69" s="121">
        <v>1129040</v>
      </c>
      <c r="AD69" s="121">
        <v>1222730</v>
      </c>
      <c r="AE69" s="121">
        <v>1057727</v>
      </c>
      <c r="AF69" s="121">
        <v>967625</v>
      </c>
      <c r="AG69" s="121">
        <v>1306529</v>
      </c>
      <c r="AH69" s="121">
        <v>1038931</v>
      </c>
      <c r="AI69" s="121">
        <v>1188443</v>
      </c>
      <c r="AJ69" s="121">
        <v>1061181</v>
      </c>
      <c r="AK69" s="121">
        <v>1183286</v>
      </c>
      <c r="AL69" s="121">
        <v>1136753</v>
      </c>
      <c r="AM69" s="121">
        <v>1189859</v>
      </c>
      <c r="AN69" s="121">
        <v>1304629</v>
      </c>
      <c r="AO69" s="130">
        <v>1246854</v>
      </c>
      <c r="AP69" s="130">
        <v>1230431</v>
      </c>
      <c r="AQ69" s="130">
        <v>1046250</v>
      </c>
      <c r="AR69" s="130">
        <v>928052</v>
      </c>
      <c r="AS69" s="130">
        <v>1209622</v>
      </c>
      <c r="AT69" s="130">
        <v>1309051</v>
      </c>
      <c r="AU69" s="130">
        <v>1516473</v>
      </c>
      <c r="AV69" s="130">
        <v>942780</v>
      </c>
      <c r="AW69" s="130">
        <v>1152357</v>
      </c>
      <c r="AX69" s="130">
        <v>1128211</v>
      </c>
      <c r="AY69" s="130">
        <v>1228892</v>
      </c>
      <c r="AZ69" s="130">
        <v>1290803</v>
      </c>
      <c r="BA69" s="130">
        <v>1178435</v>
      </c>
      <c r="BB69" s="130">
        <v>1218577</v>
      </c>
      <c r="BC69" s="130">
        <v>1044829</v>
      </c>
      <c r="BD69" s="130">
        <v>941498</v>
      </c>
      <c r="BE69" s="130">
        <v>1252832</v>
      </c>
      <c r="BF69" s="130">
        <v>1171224</v>
      </c>
      <c r="BG69" s="130">
        <v>1348511</v>
      </c>
      <c r="BH69" s="130">
        <v>999408</v>
      </c>
      <c r="BI69" s="130">
        <v>1165119</v>
      </c>
      <c r="BJ69" s="130">
        <v>1128731</v>
      </c>
      <c r="BK69" s="130">
        <v>1203620</v>
      </c>
      <c r="BL69" s="130">
        <v>1290977</v>
      </c>
      <c r="BM69" s="130">
        <v>1185357</v>
      </c>
      <c r="BN69" s="130">
        <v>1216750</v>
      </c>
      <c r="BO69" s="130">
        <v>1039640</v>
      </c>
      <c r="BP69" s="130">
        <v>931026</v>
      </c>
      <c r="BQ69" s="130">
        <v>1224541</v>
      </c>
      <c r="BR69" s="130">
        <v>1227098</v>
      </c>
      <c r="BS69" s="130">
        <v>1429689</v>
      </c>
      <c r="BT69" s="130">
        <v>974252</v>
      </c>
      <c r="BU69" s="130">
        <v>1162075</v>
      </c>
      <c r="BV69" s="130">
        <v>1129726</v>
      </c>
      <c r="BW69" s="130">
        <v>1220782</v>
      </c>
      <c r="BX69" s="130">
        <v>1286475</v>
      </c>
      <c r="BY69" s="132">
        <f>SUM(E69:P69)</f>
        <v>13338345</v>
      </c>
      <c r="BZ69" s="132">
        <f>SUM(Q69:AB69)</f>
        <v>12924781</v>
      </c>
      <c r="CA69" s="132">
        <f>SUM(AC69:AN69)</f>
        <v>13786733</v>
      </c>
      <c r="CB69" s="132">
        <f>SUM(AO69:AZ69)</f>
        <v>14229776</v>
      </c>
      <c r="CC69" s="132">
        <f>SUM(BA69:BL69)</f>
        <v>13943761</v>
      </c>
      <c r="CD69" s="132">
        <f>SUM(BM69:BX69)</f>
        <v>14027411</v>
      </c>
    </row>
    <row r="70" spans="1:85" s="98" customFormat="1" outlineLevel="1">
      <c r="A70" s="10"/>
      <c r="B70" s="10"/>
      <c r="C70" s="10"/>
      <c r="D70" s="137" t="s">
        <v>367</v>
      </c>
      <c r="E70" s="136">
        <f t="shared" ref="E70:AJ70" si="51">SUBTOTAL(9,E69:E69)</f>
        <v>1133956</v>
      </c>
      <c r="F70" s="136">
        <f t="shared" si="51"/>
        <v>1388309</v>
      </c>
      <c r="G70" s="136">
        <f t="shared" si="51"/>
        <v>1240286</v>
      </c>
      <c r="H70" s="136">
        <f t="shared" si="51"/>
        <v>1078244</v>
      </c>
      <c r="I70" s="136">
        <f t="shared" si="51"/>
        <v>1012297</v>
      </c>
      <c r="J70" s="136">
        <f t="shared" si="51"/>
        <v>903727</v>
      </c>
      <c r="K70" s="136">
        <f t="shared" si="51"/>
        <v>903192</v>
      </c>
      <c r="L70" s="136">
        <f t="shared" si="51"/>
        <v>885006</v>
      </c>
      <c r="M70" s="136">
        <f t="shared" si="51"/>
        <v>1046067</v>
      </c>
      <c r="N70" s="136">
        <f t="shared" si="51"/>
        <v>1221775</v>
      </c>
      <c r="O70" s="136">
        <f t="shared" si="51"/>
        <v>1276332</v>
      </c>
      <c r="P70" s="136">
        <f t="shared" si="51"/>
        <v>1249154</v>
      </c>
      <c r="Q70" s="136">
        <f t="shared" si="51"/>
        <v>1052839</v>
      </c>
      <c r="R70" s="136">
        <f t="shared" si="51"/>
        <v>1154601</v>
      </c>
      <c r="S70" s="136">
        <f t="shared" si="51"/>
        <v>1167379</v>
      </c>
      <c r="T70" s="136">
        <f t="shared" si="51"/>
        <v>989193</v>
      </c>
      <c r="U70" s="136">
        <f t="shared" si="51"/>
        <v>973329</v>
      </c>
      <c r="V70" s="136">
        <f t="shared" si="51"/>
        <v>959596</v>
      </c>
      <c r="W70" s="136">
        <f t="shared" si="51"/>
        <v>954026</v>
      </c>
      <c r="X70" s="136">
        <f t="shared" si="51"/>
        <v>921784</v>
      </c>
      <c r="Y70" s="136">
        <f t="shared" si="51"/>
        <v>1045861</v>
      </c>
      <c r="Z70" s="136">
        <f t="shared" si="51"/>
        <v>1129139</v>
      </c>
      <c r="AA70" s="136">
        <f t="shared" si="51"/>
        <v>1281987</v>
      </c>
      <c r="AB70" s="136">
        <f t="shared" si="51"/>
        <v>1295047</v>
      </c>
      <c r="AC70" s="136">
        <f t="shared" si="51"/>
        <v>1129040</v>
      </c>
      <c r="AD70" s="136">
        <f t="shared" si="51"/>
        <v>1222730</v>
      </c>
      <c r="AE70" s="136">
        <f t="shared" si="51"/>
        <v>1057727</v>
      </c>
      <c r="AF70" s="136">
        <f t="shared" si="51"/>
        <v>967625</v>
      </c>
      <c r="AG70" s="136">
        <f t="shared" si="51"/>
        <v>1306529</v>
      </c>
      <c r="AH70" s="136">
        <f t="shared" si="51"/>
        <v>1038931</v>
      </c>
      <c r="AI70" s="136">
        <f t="shared" si="51"/>
        <v>1188443</v>
      </c>
      <c r="AJ70" s="136">
        <f t="shared" si="51"/>
        <v>1061181</v>
      </c>
      <c r="AK70" s="136">
        <f t="shared" ref="AK70:BP70" si="52">SUBTOTAL(9,AK69:AK69)</f>
        <v>1183286</v>
      </c>
      <c r="AL70" s="136">
        <f t="shared" si="52"/>
        <v>1136753</v>
      </c>
      <c r="AM70" s="136">
        <f t="shared" si="52"/>
        <v>1189859</v>
      </c>
      <c r="AN70" s="136">
        <f t="shared" si="52"/>
        <v>1304629</v>
      </c>
      <c r="AO70" s="135">
        <f t="shared" si="52"/>
        <v>1246854</v>
      </c>
      <c r="AP70" s="135">
        <f t="shared" si="52"/>
        <v>1230431</v>
      </c>
      <c r="AQ70" s="135">
        <f t="shared" si="52"/>
        <v>1046250</v>
      </c>
      <c r="AR70" s="135">
        <f t="shared" si="52"/>
        <v>928052</v>
      </c>
      <c r="AS70" s="135">
        <f t="shared" si="52"/>
        <v>1209622</v>
      </c>
      <c r="AT70" s="135">
        <f t="shared" si="52"/>
        <v>1309051</v>
      </c>
      <c r="AU70" s="135">
        <f t="shared" si="52"/>
        <v>1516473</v>
      </c>
      <c r="AV70" s="135">
        <f t="shared" si="52"/>
        <v>942780</v>
      </c>
      <c r="AW70" s="135">
        <f t="shared" si="52"/>
        <v>1152357</v>
      </c>
      <c r="AX70" s="135">
        <f t="shared" si="52"/>
        <v>1128211</v>
      </c>
      <c r="AY70" s="135">
        <f t="shared" si="52"/>
        <v>1228892</v>
      </c>
      <c r="AZ70" s="135">
        <f t="shared" si="52"/>
        <v>1290803</v>
      </c>
      <c r="BA70" s="135">
        <f t="shared" si="52"/>
        <v>1178435</v>
      </c>
      <c r="BB70" s="135">
        <f t="shared" si="52"/>
        <v>1218577</v>
      </c>
      <c r="BC70" s="135">
        <f t="shared" si="52"/>
        <v>1044829</v>
      </c>
      <c r="BD70" s="135">
        <f t="shared" si="52"/>
        <v>941498</v>
      </c>
      <c r="BE70" s="135">
        <f t="shared" si="52"/>
        <v>1252832</v>
      </c>
      <c r="BF70" s="135">
        <f t="shared" si="52"/>
        <v>1171224</v>
      </c>
      <c r="BG70" s="135">
        <f t="shared" si="52"/>
        <v>1348511</v>
      </c>
      <c r="BH70" s="135">
        <f t="shared" si="52"/>
        <v>999408</v>
      </c>
      <c r="BI70" s="135">
        <f t="shared" si="52"/>
        <v>1165119</v>
      </c>
      <c r="BJ70" s="135">
        <f t="shared" si="52"/>
        <v>1128731</v>
      </c>
      <c r="BK70" s="135">
        <f t="shared" si="52"/>
        <v>1203620</v>
      </c>
      <c r="BL70" s="135">
        <f t="shared" si="52"/>
        <v>1290977</v>
      </c>
      <c r="BM70" s="135">
        <f t="shared" si="52"/>
        <v>1185357</v>
      </c>
      <c r="BN70" s="135">
        <f t="shared" si="52"/>
        <v>1216750</v>
      </c>
      <c r="BO70" s="135">
        <f t="shared" si="52"/>
        <v>1039640</v>
      </c>
      <c r="BP70" s="135">
        <f t="shared" si="52"/>
        <v>931026</v>
      </c>
      <c r="BQ70" s="135">
        <f t="shared" ref="BQ70:CD70" si="53">SUBTOTAL(9,BQ69:BQ69)</f>
        <v>1224541</v>
      </c>
      <c r="BR70" s="135">
        <f t="shared" si="53"/>
        <v>1227098</v>
      </c>
      <c r="BS70" s="135">
        <f t="shared" si="53"/>
        <v>1429689</v>
      </c>
      <c r="BT70" s="135">
        <f t="shared" si="53"/>
        <v>974252</v>
      </c>
      <c r="BU70" s="135">
        <f t="shared" si="53"/>
        <v>1162075</v>
      </c>
      <c r="BV70" s="135">
        <f t="shared" si="53"/>
        <v>1129726</v>
      </c>
      <c r="BW70" s="135">
        <f t="shared" si="53"/>
        <v>1220782</v>
      </c>
      <c r="BX70" s="135">
        <f t="shared" si="53"/>
        <v>1286475</v>
      </c>
      <c r="BY70" s="134">
        <f t="shared" si="53"/>
        <v>13338345</v>
      </c>
      <c r="BZ70" s="134">
        <f t="shared" si="53"/>
        <v>12924781</v>
      </c>
      <c r="CA70" s="134">
        <f t="shared" si="53"/>
        <v>13786733</v>
      </c>
      <c r="CB70" s="134">
        <f t="shared" si="53"/>
        <v>14229776</v>
      </c>
      <c r="CC70" s="134">
        <f t="shared" si="53"/>
        <v>13943761</v>
      </c>
      <c r="CD70" s="134">
        <f t="shared" si="53"/>
        <v>14027411</v>
      </c>
      <c r="CF70" s="145">
        <f>SUM(Z70:AK70)</f>
        <v>13861665</v>
      </c>
      <c r="CG70" s="145">
        <f>SUM(AL70:AW70)</f>
        <v>14213111</v>
      </c>
    </row>
    <row r="71" spans="1:85" s="98" customFormat="1" outlineLevel="2">
      <c r="A71" s="10">
        <v>1</v>
      </c>
      <c r="B71" s="10">
        <v>44</v>
      </c>
      <c r="C71" s="10" t="s">
        <v>366</v>
      </c>
      <c r="D71" s="131" t="s">
        <v>48</v>
      </c>
      <c r="E71" s="121">
        <v>3928381758</v>
      </c>
      <c r="F71" s="121">
        <v>3839811218</v>
      </c>
      <c r="G71" s="121">
        <v>3351036003</v>
      </c>
      <c r="H71" s="121">
        <v>3692080102</v>
      </c>
      <c r="I71" s="121">
        <v>4229480426</v>
      </c>
      <c r="J71" s="121">
        <v>4854044465</v>
      </c>
      <c r="K71" s="121">
        <v>5572610933</v>
      </c>
      <c r="L71" s="121">
        <v>5522559121</v>
      </c>
      <c r="M71" s="121">
        <v>5487183558</v>
      </c>
      <c r="N71" s="121">
        <v>5137109351</v>
      </c>
      <c r="O71" s="121">
        <v>4353541772</v>
      </c>
      <c r="P71" s="121">
        <v>3942008745</v>
      </c>
      <c r="Q71" s="121">
        <v>5213121581</v>
      </c>
      <c r="R71" s="121">
        <v>3984188100</v>
      </c>
      <c r="S71" s="121">
        <v>3847487786</v>
      </c>
      <c r="T71" s="121">
        <v>3332331969</v>
      </c>
      <c r="U71" s="121">
        <v>4296406117</v>
      </c>
      <c r="V71" s="121">
        <v>5500001543</v>
      </c>
      <c r="W71" s="121">
        <v>5918895719</v>
      </c>
      <c r="X71" s="121">
        <v>5847464505</v>
      </c>
      <c r="Y71" s="121">
        <v>5642906716</v>
      </c>
      <c r="Z71" s="121">
        <v>5096709117</v>
      </c>
      <c r="AA71" s="121">
        <v>4178954929</v>
      </c>
      <c r="AB71" s="121">
        <v>3789947915</v>
      </c>
      <c r="AC71" s="121">
        <v>4165389102</v>
      </c>
      <c r="AD71" s="121">
        <v>3692308992</v>
      </c>
      <c r="AE71" s="121">
        <v>3452474625</v>
      </c>
      <c r="AF71" s="121">
        <v>3689849485</v>
      </c>
      <c r="AG71" s="121">
        <v>4285297870</v>
      </c>
      <c r="AH71" s="121">
        <v>4916932112</v>
      </c>
      <c r="AI71" s="121">
        <v>5522285892</v>
      </c>
      <c r="AJ71" s="121">
        <v>5475296177</v>
      </c>
      <c r="AK71" s="121">
        <v>5521482775</v>
      </c>
      <c r="AL71" s="121">
        <v>5022285477</v>
      </c>
      <c r="AM71" s="121">
        <v>4219963596</v>
      </c>
      <c r="AN71" s="121">
        <v>3832472432</v>
      </c>
      <c r="AO71" s="130">
        <v>4230737872</v>
      </c>
      <c r="AP71" s="130">
        <v>3756397001</v>
      </c>
      <c r="AQ71" s="130">
        <v>3509584528</v>
      </c>
      <c r="AR71" s="130">
        <v>3747512448</v>
      </c>
      <c r="AS71" s="130">
        <v>4345786520</v>
      </c>
      <c r="AT71" s="130">
        <v>4980509087</v>
      </c>
      <c r="AU71" s="130">
        <v>5593191848</v>
      </c>
      <c r="AV71" s="130">
        <v>5549128233</v>
      </c>
      <c r="AW71" s="130">
        <v>5604816153</v>
      </c>
      <c r="AX71" s="130">
        <v>5118025578</v>
      </c>
      <c r="AY71" s="130">
        <v>4327415399</v>
      </c>
      <c r="AZ71" s="130">
        <v>3954752011</v>
      </c>
      <c r="BA71" s="130">
        <v>4356381079</v>
      </c>
      <c r="BB71" s="130">
        <v>3881223046</v>
      </c>
      <c r="BC71" s="130">
        <v>3623673762</v>
      </c>
      <c r="BD71" s="130">
        <v>3861145875</v>
      </c>
      <c r="BE71" s="130">
        <v>4464973655</v>
      </c>
      <c r="BF71" s="130">
        <v>5090953874</v>
      </c>
      <c r="BG71" s="130">
        <v>5712957533</v>
      </c>
      <c r="BH71" s="130">
        <v>5663222609</v>
      </c>
      <c r="BI71" s="130">
        <v>5722555438</v>
      </c>
      <c r="BJ71" s="130">
        <v>5239329376</v>
      </c>
      <c r="BK71" s="130">
        <v>4452404322</v>
      </c>
      <c r="BL71" s="130">
        <v>4086257692</v>
      </c>
      <c r="BM71" s="130">
        <v>4560904759</v>
      </c>
      <c r="BN71" s="130">
        <v>4009688177</v>
      </c>
      <c r="BO71" s="130">
        <v>3736304830</v>
      </c>
      <c r="BP71" s="130">
        <v>3967248306</v>
      </c>
      <c r="BQ71" s="130">
        <v>4587529088</v>
      </c>
      <c r="BR71" s="130">
        <v>5227145301</v>
      </c>
      <c r="BS71" s="130">
        <v>5825813631</v>
      </c>
      <c r="BT71" s="130">
        <v>5748591776</v>
      </c>
      <c r="BU71" s="130">
        <v>5806156001</v>
      </c>
      <c r="BV71" s="130">
        <v>5332342000</v>
      </c>
      <c r="BW71" s="130">
        <v>4530466249</v>
      </c>
      <c r="BX71" s="130">
        <v>4201603756</v>
      </c>
      <c r="BY71" s="132">
        <f>SUM(E71:P71)</f>
        <v>53909847452</v>
      </c>
      <c r="BZ71" s="132">
        <f>SUM(Q71:AB71)</f>
        <v>56648415997</v>
      </c>
      <c r="CA71" s="132">
        <f>SUM(AC71:AN71)</f>
        <v>53796038535</v>
      </c>
      <c r="CB71" s="132">
        <f>SUM(AO71:AZ71)</f>
        <v>54717856678</v>
      </c>
      <c r="CC71" s="132">
        <f>SUM(BA71:BL71)</f>
        <v>56155078261</v>
      </c>
      <c r="CD71" s="132">
        <f>SUM(BM71:BX71)</f>
        <v>57533793874</v>
      </c>
    </row>
    <row r="72" spans="1:85" s="98" customFormat="1" outlineLevel="2">
      <c r="A72" s="10">
        <v>1</v>
      </c>
      <c r="B72" s="10">
        <v>45</v>
      </c>
      <c r="C72" s="10" t="s">
        <v>365</v>
      </c>
      <c r="D72" s="131" t="s">
        <v>48</v>
      </c>
      <c r="E72" s="121">
        <v>460190</v>
      </c>
      <c r="F72" s="121">
        <v>437294</v>
      </c>
      <c r="G72" s="121">
        <v>406657</v>
      </c>
      <c r="H72" s="121">
        <v>422768</v>
      </c>
      <c r="I72" s="121">
        <v>466407</v>
      </c>
      <c r="J72" s="121">
        <v>477954</v>
      </c>
      <c r="K72" s="121">
        <v>531355</v>
      </c>
      <c r="L72" s="121">
        <v>517281</v>
      </c>
      <c r="M72" s="121">
        <v>524375</v>
      </c>
      <c r="N72" s="121">
        <v>467782</v>
      </c>
      <c r="O72" s="121">
        <v>452700</v>
      </c>
      <c r="P72" s="121">
        <v>454264</v>
      </c>
      <c r="Q72" s="121">
        <v>514500</v>
      </c>
      <c r="R72" s="121">
        <v>395000</v>
      </c>
      <c r="S72" s="121">
        <v>377634</v>
      </c>
      <c r="T72" s="121">
        <v>364304</v>
      </c>
      <c r="U72" s="121">
        <v>415337</v>
      </c>
      <c r="V72" s="121">
        <v>527158</v>
      </c>
      <c r="W72" s="121">
        <v>548159</v>
      </c>
      <c r="X72" s="121">
        <v>541405</v>
      </c>
      <c r="Y72" s="121">
        <v>514114</v>
      </c>
      <c r="Z72" s="121">
        <v>470086</v>
      </c>
      <c r="AA72" s="121">
        <v>454930</v>
      </c>
      <c r="AB72" s="121">
        <v>456502</v>
      </c>
      <c r="AC72" s="121">
        <v>517034</v>
      </c>
      <c r="AD72" s="121">
        <v>393073</v>
      </c>
      <c r="AE72" s="121">
        <v>373968</v>
      </c>
      <c r="AF72" s="121">
        <v>364304</v>
      </c>
      <c r="AG72" s="121">
        <v>413311</v>
      </c>
      <c r="AH72" s="121">
        <v>522040</v>
      </c>
      <c r="AI72" s="121">
        <v>545485</v>
      </c>
      <c r="AJ72" s="121">
        <v>538764</v>
      </c>
      <c r="AK72" s="121">
        <v>514114</v>
      </c>
      <c r="AL72" s="121">
        <v>470086</v>
      </c>
      <c r="AM72" s="121">
        <v>454930</v>
      </c>
      <c r="AN72" s="121">
        <v>456502</v>
      </c>
      <c r="AO72" s="130">
        <v>517034</v>
      </c>
      <c r="AP72" s="130">
        <v>393073</v>
      </c>
      <c r="AQ72" s="130">
        <v>373968</v>
      </c>
      <c r="AR72" s="130">
        <v>364304</v>
      </c>
      <c r="AS72" s="130">
        <v>413311</v>
      </c>
      <c r="AT72" s="130">
        <v>522040</v>
      </c>
      <c r="AU72" s="130">
        <v>545485</v>
      </c>
      <c r="AV72" s="130">
        <v>538764</v>
      </c>
      <c r="AW72" s="130">
        <v>514114</v>
      </c>
      <c r="AX72" s="130">
        <v>470086</v>
      </c>
      <c r="AY72" s="130">
        <v>454930</v>
      </c>
      <c r="AZ72" s="130">
        <v>456502</v>
      </c>
      <c r="BA72" s="130">
        <v>517034</v>
      </c>
      <c r="BB72" s="130">
        <v>393073</v>
      </c>
      <c r="BC72" s="130">
        <v>373968</v>
      </c>
      <c r="BD72" s="130">
        <v>364304</v>
      </c>
      <c r="BE72" s="130">
        <v>413311</v>
      </c>
      <c r="BF72" s="130">
        <v>522040</v>
      </c>
      <c r="BG72" s="130">
        <v>545485</v>
      </c>
      <c r="BH72" s="130">
        <v>538764</v>
      </c>
      <c r="BI72" s="130">
        <v>514114</v>
      </c>
      <c r="BJ72" s="130">
        <v>470086</v>
      </c>
      <c r="BK72" s="130">
        <v>454930</v>
      </c>
      <c r="BL72" s="130">
        <v>456502</v>
      </c>
      <c r="BM72" s="130">
        <v>517034</v>
      </c>
      <c r="BN72" s="130">
        <v>393073</v>
      </c>
      <c r="BO72" s="130">
        <v>373968</v>
      </c>
      <c r="BP72" s="130">
        <v>364304</v>
      </c>
      <c r="BQ72" s="130">
        <v>413311</v>
      </c>
      <c r="BR72" s="130">
        <v>522040</v>
      </c>
      <c r="BS72" s="130">
        <v>545485</v>
      </c>
      <c r="BT72" s="130">
        <v>538764</v>
      </c>
      <c r="BU72" s="130">
        <v>514114</v>
      </c>
      <c r="BV72" s="130">
        <v>470086</v>
      </c>
      <c r="BW72" s="130">
        <v>454930</v>
      </c>
      <c r="BX72" s="130">
        <v>456502</v>
      </c>
      <c r="BY72" s="132">
        <f>SUM(E72:P72)</f>
        <v>5619027</v>
      </c>
      <c r="BZ72" s="132">
        <f>SUM(Q72:AB72)</f>
        <v>5579129</v>
      </c>
      <c r="CA72" s="132">
        <f>SUM(AC72:AN72)</f>
        <v>5563611</v>
      </c>
      <c r="CB72" s="132">
        <f>SUM(AO72:AZ72)</f>
        <v>5563611</v>
      </c>
      <c r="CC72" s="132">
        <f>SUM(BA72:BL72)</f>
        <v>5563611</v>
      </c>
      <c r="CD72" s="132">
        <f>SUM(BM72:BX72)</f>
        <v>5563611</v>
      </c>
    </row>
    <row r="73" spans="1:85" s="98" customFormat="1" outlineLevel="1">
      <c r="A73" s="10"/>
      <c r="B73" s="10"/>
      <c r="C73" s="10"/>
      <c r="D73" s="137" t="s">
        <v>364</v>
      </c>
      <c r="E73" s="136">
        <f t="shared" ref="E73:AJ73" si="54">SUBTOTAL(9,E71:E72)</f>
        <v>3928841948</v>
      </c>
      <c r="F73" s="136">
        <f t="shared" si="54"/>
        <v>3840248512</v>
      </c>
      <c r="G73" s="136">
        <f t="shared" si="54"/>
        <v>3351442660</v>
      </c>
      <c r="H73" s="136">
        <f t="shared" si="54"/>
        <v>3692502870</v>
      </c>
      <c r="I73" s="136">
        <f t="shared" si="54"/>
        <v>4229946833</v>
      </c>
      <c r="J73" s="136">
        <f t="shared" si="54"/>
        <v>4854522419</v>
      </c>
      <c r="K73" s="136">
        <f t="shared" si="54"/>
        <v>5573142288</v>
      </c>
      <c r="L73" s="136">
        <f t="shared" si="54"/>
        <v>5523076402</v>
      </c>
      <c r="M73" s="136">
        <f t="shared" si="54"/>
        <v>5487707933</v>
      </c>
      <c r="N73" s="136">
        <f t="shared" si="54"/>
        <v>5137577133</v>
      </c>
      <c r="O73" s="136">
        <f t="shared" si="54"/>
        <v>4353994472</v>
      </c>
      <c r="P73" s="136">
        <f t="shared" si="54"/>
        <v>3942463009</v>
      </c>
      <c r="Q73" s="136">
        <f t="shared" si="54"/>
        <v>5213636081</v>
      </c>
      <c r="R73" s="136">
        <f t="shared" si="54"/>
        <v>3984583100</v>
      </c>
      <c r="S73" s="136">
        <f t="shared" si="54"/>
        <v>3847865420</v>
      </c>
      <c r="T73" s="136">
        <f t="shared" si="54"/>
        <v>3332696273</v>
      </c>
      <c r="U73" s="136">
        <f t="shared" si="54"/>
        <v>4296821454</v>
      </c>
      <c r="V73" s="136">
        <f t="shared" si="54"/>
        <v>5500528701</v>
      </c>
      <c r="W73" s="136">
        <f t="shared" si="54"/>
        <v>5919443878</v>
      </c>
      <c r="X73" s="136">
        <f t="shared" si="54"/>
        <v>5848005910</v>
      </c>
      <c r="Y73" s="136">
        <f t="shared" si="54"/>
        <v>5643420830</v>
      </c>
      <c r="Z73" s="136">
        <f t="shared" si="54"/>
        <v>5097179203</v>
      </c>
      <c r="AA73" s="136">
        <f t="shared" si="54"/>
        <v>4179409859</v>
      </c>
      <c r="AB73" s="136">
        <f t="shared" si="54"/>
        <v>3790404417</v>
      </c>
      <c r="AC73" s="136">
        <f t="shared" si="54"/>
        <v>4165906136</v>
      </c>
      <c r="AD73" s="136">
        <f t="shared" si="54"/>
        <v>3692702065</v>
      </c>
      <c r="AE73" s="136">
        <f t="shared" si="54"/>
        <v>3452848593</v>
      </c>
      <c r="AF73" s="136">
        <f t="shared" si="54"/>
        <v>3690213789</v>
      </c>
      <c r="AG73" s="136">
        <f t="shared" si="54"/>
        <v>4285711181</v>
      </c>
      <c r="AH73" s="136">
        <f t="shared" si="54"/>
        <v>4917454152</v>
      </c>
      <c r="AI73" s="136">
        <f t="shared" si="54"/>
        <v>5522831377</v>
      </c>
      <c r="AJ73" s="136">
        <f t="shared" si="54"/>
        <v>5475834941</v>
      </c>
      <c r="AK73" s="136">
        <f t="shared" ref="AK73:BP73" si="55">SUBTOTAL(9,AK71:AK72)</f>
        <v>5521996889</v>
      </c>
      <c r="AL73" s="136">
        <f t="shared" si="55"/>
        <v>5022755563</v>
      </c>
      <c r="AM73" s="136">
        <f t="shared" si="55"/>
        <v>4220418526</v>
      </c>
      <c r="AN73" s="136">
        <f t="shared" si="55"/>
        <v>3832928934</v>
      </c>
      <c r="AO73" s="135">
        <f t="shared" si="55"/>
        <v>4231254906</v>
      </c>
      <c r="AP73" s="135">
        <f t="shared" si="55"/>
        <v>3756790074</v>
      </c>
      <c r="AQ73" s="135">
        <f t="shared" si="55"/>
        <v>3509958496</v>
      </c>
      <c r="AR73" s="135">
        <f t="shared" si="55"/>
        <v>3747876752</v>
      </c>
      <c r="AS73" s="135">
        <f t="shared" si="55"/>
        <v>4346199831</v>
      </c>
      <c r="AT73" s="135">
        <f t="shared" si="55"/>
        <v>4981031127</v>
      </c>
      <c r="AU73" s="135">
        <f t="shared" si="55"/>
        <v>5593737333</v>
      </c>
      <c r="AV73" s="135">
        <f t="shared" si="55"/>
        <v>5549666997</v>
      </c>
      <c r="AW73" s="135">
        <f t="shared" si="55"/>
        <v>5605330267</v>
      </c>
      <c r="AX73" s="135">
        <f t="shared" si="55"/>
        <v>5118495664</v>
      </c>
      <c r="AY73" s="135">
        <f t="shared" si="55"/>
        <v>4327870329</v>
      </c>
      <c r="AZ73" s="135">
        <f t="shared" si="55"/>
        <v>3955208513</v>
      </c>
      <c r="BA73" s="135">
        <f t="shared" si="55"/>
        <v>4356898113</v>
      </c>
      <c r="BB73" s="135">
        <f t="shared" si="55"/>
        <v>3881616119</v>
      </c>
      <c r="BC73" s="135">
        <f t="shared" si="55"/>
        <v>3624047730</v>
      </c>
      <c r="BD73" s="135">
        <f t="shared" si="55"/>
        <v>3861510179</v>
      </c>
      <c r="BE73" s="135">
        <f t="shared" si="55"/>
        <v>4465386966</v>
      </c>
      <c r="BF73" s="135">
        <f t="shared" si="55"/>
        <v>5091475914</v>
      </c>
      <c r="BG73" s="135">
        <f t="shared" si="55"/>
        <v>5713503018</v>
      </c>
      <c r="BH73" s="135">
        <f t="shared" si="55"/>
        <v>5663761373</v>
      </c>
      <c r="BI73" s="135">
        <f t="shared" si="55"/>
        <v>5723069552</v>
      </c>
      <c r="BJ73" s="135">
        <f t="shared" si="55"/>
        <v>5239799462</v>
      </c>
      <c r="BK73" s="135">
        <f t="shared" si="55"/>
        <v>4452859252</v>
      </c>
      <c r="BL73" s="135">
        <f t="shared" si="55"/>
        <v>4086714194</v>
      </c>
      <c r="BM73" s="135">
        <f t="shared" si="55"/>
        <v>4561421793</v>
      </c>
      <c r="BN73" s="135">
        <f t="shared" si="55"/>
        <v>4010081250</v>
      </c>
      <c r="BO73" s="135">
        <f t="shared" si="55"/>
        <v>3736678798</v>
      </c>
      <c r="BP73" s="135">
        <f t="shared" si="55"/>
        <v>3967612610</v>
      </c>
      <c r="BQ73" s="135">
        <f t="shared" ref="BQ73:CD73" si="56">SUBTOTAL(9,BQ71:BQ72)</f>
        <v>4587942399</v>
      </c>
      <c r="BR73" s="135">
        <f t="shared" si="56"/>
        <v>5227667341</v>
      </c>
      <c r="BS73" s="135">
        <f t="shared" si="56"/>
        <v>5826359116</v>
      </c>
      <c r="BT73" s="135">
        <f t="shared" si="56"/>
        <v>5749130540</v>
      </c>
      <c r="BU73" s="135">
        <f t="shared" si="56"/>
        <v>5806670115</v>
      </c>
      <c r="BV73" s="135">
        <f t="shared" si="56"/>
        <v>5332812086</v>
      </c>
      <c r="BW73" s="135">
        <f t="shared" si="56"/>
        <v>4530921179</v>
      </c>
      <c r="BX73" s="135">
        <f t="shared" si="56"/>
        <v>4202060258</v>
      </c>
      <c r="BY73" s="134">
        <f t="shared" si="56"/>
        <v>53915466479</v>
      </c>
      <c r="BZ73" s="134">
        <f t="shared" si="56"/>
        <v>56653995126</v>
      </c>
      <c r="CA73" s="134">
        <f t="shared" si="56"/>
        <v>53801602146</v>
      </c>
      <c r="CB73" s="134">
        <f t="shared" si="56"/>
        <v>54723420289</v>
      </c>
      <c r="CC73" s="134">
        <f t="shared" si="56"/>
        <v>56160641872</v>
      </c>
      <c r="CD73" s="134">
        <f t="shared" si="56"/>
        <v>57539357485</v>
      </c>
      <c r="CF73" s="145">
        <f>SUM(Z73:AK73)</f>
        <v>53792492602</v>
      </c>
      <c r="CG73" s="145">
        <f>SUM(AL73:AW73)</f>
        <v>54397948806</v>
      </c>
    </row>
    <row r="74" spans="1:85" s="98" customFormat="1" outlineLevel="2">
      <c r="A74" s="10">
        <v>2</v>
      </c>
      <c r="B74" s="10">
        <v>270</v>
      </c>
      <c r="C74" s="10" t="s">
        <v>363</v>
      </c>
      <c r="D74" s="10" t="s">
        <v>329</v>
      </c>
      <c r="E74" s="121">
        <v>33692351</v>
      </c>
      <c r="F74" s="121">
        <v>34675282</v>
      </c>
      <c r="G74" s="121">
        <v>36316858</v>
      </c>
      <c r="H74" s="121">
        <v>34016923</v>
      </c>
      <c r="I74" s="121">
        <v>39361758</v>
      </c>
      <c r="J74" s="121">
        <v>41603644</v>
      </c>
      <c r="K74" s="121">
        <v>40082956</v>
      </c>
      <c r="L74" s="121">
        <v>37754207</v>
      </c>
      <c r="M74" s="121">
        <v>49231667</v>
      </c>
      <c r="N74" s="121">
        <v>49681859</v>
      </c>
      <c r="O74" s="121">
        <v>46174540</v>
      </c>
      <c r="P74" s="121">
        <v>42484966</v>
      </c>
      <c r="Q74" s="121">
        <v>38422246</v>
      </c>
      <c r="R74" s="121">
        <v>39164990</v>
      </c>
      <c r="S74" s="121">
        <v>36166483</v>
      </c>
      <c r="T74" s="121">
        <v>36754638</v>
      </c>
      <c r="U74" s="121">
        <v>45423392</v>
      </c>
      <c r="V74" s="121">
        <v>49721397</v>
      </c>
      <c r="W74" s="121">
        <v>44686942</v>
      </c>
      <c r="X74" s="121">
        <v>44658395</v>
      </c>
      <c r="Y74" s="121">
        <v>53663718</v>
      </c>
      <c r="Z74" s="121">
        <v>57467587</v>
      </c>
      <c r="AA74" s="121">
        <v>53467846</v>
      </c>
      <c r="AB74" s="121">
        <v>50584281</v>
      </c>
      <c r="AC74" s="121">
        <v>44293377</v>
      </c>
      <c r="AD74" s="121">
        <v>50195832</v>
      </c>
      <c r="AE74" s="121">
        <v>43183376</v>
      </c>
      <c r="AF74" s="121">
        <v>44568354</v>
      </c>
      <c r="AG74" s="121">
        <v>44765405</v>
      </c>
      <c r="AH74" s="121">
        <v>43505312</v>
      </c>
      <c r="AI74" s="121">
        <v>43285366</v>
      </c>
      <c r="AJ74" s="121">
        <v>43445113</v>
      </c>
      <c r="AK74" s="121">
        <v>50972159</v>
      </c>
      <c r="AL74" s="121">
        <v>56980962</v>
      </c>
      <c r="AM74" s="121">
        <v>53420025</v>
      </c>
      <c r="AN74" s="121">
        <v>50692646</v>
      </c>
      <c r="AO74" s="130">
        <v>44495818</v>
      </c>
      <c r="AP74" s="130">
        <v>50443345</v>
      </c>
      <c r="AQ74" s="130">
        <v>43367685</v>
      </c>
      <c r="AR74" s="130">
        <v>44763280</v>
      </c>
      <c r="AS74" s="130">
        <v>44972954</v>
      </c>
      <c r="AT74" s="130">
        <v>43725774</v>
      </c>
      <c r="AU74" s="130">
        <v>43527588</v>
      </c>
      <c r="AV74" s="130">
        <v>43737274</v>
      </c>
      <c r="AW74" s="130">
        <v>51396790</v>
      </c>
      <c r="AX74" s="130">
        <v>57503696</v>
      </c>
      <c r="AY74" s="130">
        <v>54076834</v>
      </c>
      <c r="AZ74" s="130">
        <v>51479361</v>
      </c>
      <c r="BA74" s="130">
        <v>45228566</v>
      </c>
      <c r="BB74" s="130">
        <v>51240405</v>
      </c>
      <c r="BC74" s="130">
        <v>44026980</v>
      </c>
      <c r="BD74" s="130">
        <v>45415264</v>
      </c>
      <c r="BE74" s="130">
        <v>45538418</v>
      </c>
      <c r="BF74" s="130">
        <v>44199919</v>
      </c>
      <c r="BG74" s="130">
        <v>44064586</v>
      </c>
      <c r="BH74" s="130">
        <v>44273922</v>
      </c>
      <c r="BI74" s="130">
        <v>52082546</v>
      </c>
      <c r="BJ74" s="130">
        <v>58341865</v>
      </c>
      <c r="BK74" s="130">
        <v>55015928</v>
      </c>
      <c r="BL74" s="130">
        <v>52491921</v>
      </c>
      <c r="BM74" s="130">
        <v>47011929</v>
      </c>
      <c r="BN74" s="130">
        <v>52351808</v>
      </c>
      <c r="BO74" s="130">
        <v>44909844</v>
      </c>
      <c r="BP74" s="130">
        <v>46208819</v>
      </c>
      <c r="BQ74" s="130">
        <v>46468775</v>
      </c>
      <c r="BR74" s="130">
        <v>45205716</v>
      </c>
      <c r="BS74" s="130">
        <v>44796667</v>
      </c>
      <c r="BT74" s="130">
        <v>44854471</v>
      </c>
      <c r="BU74" s="130">
        <v>52742830</v>
      </c>
      <c r="BV74" s="130">
        <v>59263899</v>
      </c>
      <c r="BW74" s="130">
        <v>55716720</v>
      </c>
      <c r="BX74" s="130">
        <v>53604974</v>
      </c>
      <c r="BY74" s="132">
        <f>SUM(E74:P74)</f>
        <v>485077011</v>
      </c>
      <c r="BZ74" s="132">
        <f>SUM(Q74:AB74)</f>
        <v>550181915</v>
      </c>
      <c r="CA74" s="132">
        <f>SUM(AC74:AN74)</f>
        <v>569307927</v>
      </c>
      <c r="CB74" s="132">
        <f>SUM(AO74:AZ74)</f>
        <v>573490399</v>
      </c>
      <c r="CC74" s="132">
        <f>SUM(BA74:BL74)</f>
        <v>581920320</v>
      </c>
      <c r="CD74" s="132">
        <f>SUM(BM74:BX74)</f>
        <v>593136452</v>
      </c>
    </row>
    <row r="75" spans="1:85" s="98" customFormat="1" outlineLevel="2">
      <c r="A75" s="10">
        <v>3</v>
      </c>
      <c r="B75" s="10">
        <v>270</v>
      </c>
      <c r="C75" s="10" t="s">
        <v>363</v>
      </c>
      <c r="D75" s="10" t="s">
        <v>329</v>
      </c>
      <c r="E75" s="121">
        <v>468434</v>
      </c>
      <c r="F75" s="121">
        <v>482500</v>
      </c>
      <c r="G75" s="121">
        <v>455563</v>
      </c>
      <c r="H75" s="121">
        <v>472124</v>
      </c>
      <c r="I75" s="121">
        <v>433229</v>
      </c>
      <c r="J75" s="121">
        <v>489641</v>
      </c>
      <c r="K75" s="121">
        <v>481550</v>
      </c>
      <c r="L75" s="121">
        <v>455603</v>
      </c>
      <c r="M75" s="121">
        <v>491980</v>
      </c>
      <c r="N75" s="121">
        <v>497835</v>
      </c>
      <c r="O75" s="121">
        <v>513549</v>
      </c>
      <c r="P75" s="121">
        <v>574983</v>
      </c>
      <c r="Q75" s="121">
        <v>608498</v>
      </c>
      <c r="R75" s="121">
        <v>561719</v>
      </c>
      <c r="S75" s="121">
        <v>543025</v>
      </c>
      <c r="T75" s="121">
        <v>557261</v>
      </c>
      <c r="U75" s="121">
        <v>552171</v>
      </c>
      <c r="V75" s="121">
        <v>634280</v>
      </c>
      <c r="W75" s="121">
        <v>674810</v>
      </c>
      <c r="X75" s="121">
        <v>901769</v>
      </c>
      <c r="Y75" s="121">
        <v>966578</v>
      </c>
      <c r="Z75" s="121">
        <v>929987</v>
      </c>
      <c r="AA75" s="121">
        <v>1033071</v>
      </c>
      <c r="AB75" s="121">
        <v>678798</v>
      </c>
      <c r="AC75" s="121">
        <v>938885</v>
      </c>
      <c r="AD75" s="121">
        <v>980779</v>
      </c>
      <c r="AE75" s="121">
        <v>1107340</v>
      </c>
      <c r="AF75" s="121">
        <v>878701</v>
      </c>
      <c r="AG75" s="121">
        <v>796542</v>
      </c>
      <c r="AH75" s="121">
        <v>731023</v>
      </c>
      <c r="AI75" s="121">
        <v>839624</v>
      </c>
      <c r="AJ75" s="121">
        <v>804188</v>
      </c>
      <c r="AK75" s="121">
        <v>865791</v>
      </c>
      <c r="AL75" s="121">
        <v>914824</v>
      </c>
      <c r="AM75" s="121">
        <v>1030886</v>
      </c>
      <c r="AN75" s="121">
        <v>663951</v>
      </c>
      <c r="AO75" s="130">
        <v>910311</v>
      </c>
      <c r="AP75" s="130">
        <v>956535</v>
      </c>
      <c r="AQ75" s="130">
        <v>1083826</v>
      </c>
      <c r="AR75" s="130">
        <v>839664</v>
      </c>
      <c r="AS75" s="130">
        <v>760907</v>
      </c>
      <c r="AT75" s="130">
        <v>688124</v>
      </c>
      <c r="AU75" s="130">
        <v>795049</v>
      </c>
      <c r="AV75" s="130">
        <v>746458</v>
      </c>
      <c r="AW75" s="130">
        <v>813438</v>
      </c>
      <c r="AX75" s="130">
        <v>858843</v>
      </c>
      <c r="AY75" s="130">
        <v>965816</v>
      </c>
      <c r="AZ75" s="130">
        <v>594201</v>
      </c>
      <c r="BA75" s="130">
        <v>866852</v>
      </c>
      <c r="BB75" s="130">
        <v>916803</v>
      </c>
      <c r="BC75" s="130">
        <v>1064669</v>
      </c>
      <c r="BD75" s="130">
        <v>817465</v>
      </c>
      <c r="BE75" s="130">
        <v>732756</v>
      </c>
      <c r="BF75" s="130">
        <v>664570</v>
      </c>
      <c r="BG75" s="130">
        <v>776535</v>
      </c>
      <c r="BH75" s="130">
        <v>736328</v>
      </c>
      <c r="BI75" s="130">
        <v>798894</v>
      </c>
      <c r="BJ75" s="130">
        <v>844794</v>
      </c>
      <c r="BK75" s="130">
        <v>961047</v>
      </c>
      <c r="BL75" s="130">
        <v>587493</v>
      </c>
      <c r="BM75" s="130">
        <v>873563</v>
      </c>
      <c r="BN75" s="130">
        <v>922548</v>
      </c>
      <c r="BO75" s="130">
        <v>1072903</v>
      </c>
      <c r="BP75" s="130">
        <v>819631</v>
      </c>
      <c r="BQ75" s="130">
        <v>735256</v>
      </c>
      <c r="BR75" s="130">
        <v>621531</v>
      </c>
      <c r="BS75" s="130">
        <v>728491</v>
      </c>
      <c r="BT75" s="130">
        <v>684587</v>
      </c>
      <c r="BU75" s="130">
        <v>740743</v>
      </c>
      <c r="BV75" s="130">
        <v>787649</v>
      </c>
      <c r="BW75" s="130">
        <v>896093</v>
      </c>
      <c r="BX75" s="130">
        <v>542405</v>
      </c>
      <c r="BY75" s="132">
        <f>SUM(E75:P75)</f>
        <v>5816991</v>
      </c>
      <c r="BZ75" s="132">
        <f>SUM(Q75:AB75)</f>
        <v>8641967</v>
      </c>
      <c r="CA75" s="132">
        <f>SUM(AC75:AN75)</f>
        <v>10552534</v>
      </c>
      <c r="CB75" s="132">
        <f>SUM(AO75:AZ75)</f>
        <v>10013172</v>
      </c>
      <c r="CC75" s="132">
        <f>SUM(BA75:BL75)</f>
        <v>9768206</v>
      </c>
      <c r="CD75" s="132">
        <f>SUM(BM75:BX75)</f>
        <v>9425400</v>
      </c>
    </row>
    <row r="76" spans="1:85" s="98" customFormat="1" outlineLevel="2">
      <c r="A76" s="10">
        <v>2</v>
      </c>
      <c r="B76" s="10">
        <v>370</v>
      </c>
      <c r="C76" s="10" t="s">
        <v>362</v>
      </c>
      <c r="D76" s="10" t="s">
        <v>329</v>
      </c>
      <c r="E76" s="121">
        <v>497631</v>
      </c>
      <c r="F76" s="121">
        <v>395909</v>
      </c>
      <c r="G76" s="121">
        <v>422214</v>
      </c>
      <c r="H76" s="121">
        <v>406630</v>
      </c>
      <c r="I76" s="121">
        <v>548029</v>
      </c>
      <c r="J76" s="121">
        <v>435723</v>
      </c>
      <c r="K76" s="121">
        <v>487764</v>
      </c>
      <c r="L76" s="121">
        <v>455900</v>
      </c>
      <c r="M76" s="121">
        <v>476391</v>
      </c>
      <c r="N76" s="121">
        <v>572072</v>
      </c>
      <c r="O76" s="121">
        <v>516969</v>
      </c>
      <c r="P76" s="121">
        <v>421810</v>
      </c>
      <c r="Q76" s="121">
        <v>440228</v>
      </c>
      <c r="R76" s="121">
        <v>362832</v>
      </c>
      <c r="S76" s="121">
        <v>345482</v>
      </c>
      <c r="T76" s="121">
        <v>368957</v>
      </c>
      <c r="U76" s="121">
        <v>506327</v>
      </c>
      <c r="V76" s="121">
        <v>620826</v>
      </c>
      <c r="W76" s="121">
        <v>761739</v>
      </c>
      <c r="X76" s="121">
        <v>877901</v>
      </c>
      <c r="Y76" s="121">
        <v>986486</v>
      </c>
      <c r="Z76" s="121">
        <v>1013613</v>
      </c>
      <c r="AA76" s="121">
        <v>1054808</v>
      </c>
      <c r="AB76" s="121">
        <v>895306</v>
      </c>
      <c r="AC76" s="121">
        <v>958830</v>
      </c>
      <c r="AD76" s="121">
        <v>881304</v>
      </c>
      <c r="AE76" s="121">
        <v>766142</v>
      </c>
      <c r="AF76" s="121">
        <v>851137</v>
      </c>
      <c r="AG76" s="121">
        <v>1058448</v>
      </c>
      <c r="AH76" s="121">
        <v>909747</v>
      </c>
      <c r="AI76" s="121">
        <v>938633</v>
      </c>
      <c r="AJ76" s="121">
        <v>913832</v>
      </c>
      <c r="AK76" s="121">
        <v>997669</v>
      </c>
      <c r="AL76" s="121">
        <v>1005030</v>
      </c>
      <c r="AM76" s="121">
        <v>1053865</v>
      </c>
      <c r="AN76" s="121">
        <v>897224</v>
      </c>
      <c r="AO76" s="130">
        <v>962499</v>
      </c>
      <c r="AP76" s="130">
        <v>884338</v>
      </c>
      <c r="AQ76" s="130">
        <v>768273</v>
      </c>
      <c r="AR76" s="130">
        <v>853594</v>
      </c>
      <c r="AS76" s="130">
        <v>1060995</v>
      </c>
      <c r="AT76" s="130">
        <v>911654</v>
      </c>
      <c r="AU76" s="130">
        <v>940400</v>
      </c>
      <c r="AV76" s="130">
        <v>915904</v>
      </c>
      <c r="AW76" s="130">
        <v>1000787</v>
      </c>
      <c r="AX76" s="130">
        <v>1009762</v>
      </c>
      <c r="AY76" s="130">
        <v>1061319</v>
      </c>
      <c r="AZ76" s="130">
        <v>905781</v>
      </c>
      <c r="BA76" s="130">
        <v>971870</v>
      </c>
      <c r="BB76" s="130">
        <v>892367</v>
      </c>
      <c r="BC76" s="130">
        <v>774221</v>
      </c>
      <c r="BD76" s="130">
        <v>859032</v>
      </c>
      <c r="BE76" s="130">
        <v>1065665</v>
      </c>
      <c r="BF76" s="130">
        <v>930046</v>
      </c>
      <c r="BG76" s="130">
        <v>960093</v>
      </c>
      <c r="BH76" s="130">
        <v>935028</v>
      </c>
      <c r="BI76" s="130">
        <v>1022027</v>
      </c>
      <c r="BJ76" s="130">
        <v>1031695</v>
      </c>
      <c r="BK76" s="130">
        <v>1086570</v>
      </c>
      <c r="BL76" s="130">
        <v>928763</v>
      </c>
      <c r="BM76" s="130">
        <v>1015851</v>
      </c>
      <c r="BN76" s="130">
        <v>916173</v>
      </c>
      <c r="BO76" s="130">
        <v>793035</v>
      </c>
      <c r="BP76" s="130">
        <v>877690</v>
      </c>
      <c r="BQ76" s="130">
        <v>1091197</v>
      </c>
      <c r="BR76" s="130">
        <v>937474</v>
      </c>
      <c r="BS76" s="130">
        <v>961970</v>
      </c>
      <c r="BT76" s="130">
        <v>949627</v>
      </c>
      <c r="BU76" s="130">
        <v>1037561</v>
      </c>
      <c r="BV76" s="130">
        <v>1049867</v>
      </c>
      <c r="BW76" s="130">
        <v>1102397</v>
      </c>
      <c r="BX76" s="130">
        <v>950190</v>
      </c>
      <c r="BY76" s="132">
        <f>SUM(E76:P76)</f>
        <v>5637042</v>
      </c>
      <c r="BZ76" s="132">
        <f>SUM(Q76:AB76)</f>
        <v>8234505</v>
      </c>
      <c r="CA76" s="132">
        <f>SUM(AC76:AN76)</f>
        <v>11231861</v>
      </c>
      <c r="CB76" s="132">
        <f>SUM(AO76:AZ76)</f>
        <v>11275306</v>
      </c>
      <c r="CC76" s="132">
        <f>SUM(BA76:BL76)</f>
        <v>11457377</v>
      </c>
      <c r="CD76" s="132">
        <f>SUM(BM76:BX76)</f>
        <v>11683032</v>
      </c>
    </row>
    <row r="77" spans="1:85" s="98" customFormat="1" outlineLevel="2">
      <c r="A77" s="10">
        <v>3</v>
      </c>
      <c r="B77" s="10">
        <v>370</v>
      </c>
      <c r="C77" s="10" t="s">
        <v>362</v>
      </c>
      <c r="D77" s="10" t="s">
        <v>329</v>
      </c>
      <c r="E77" s="121">
        <v>13724</v>
      </c>
      <c r="F77" s="121">
        <v>55071</v>
      </c>
      <c r="G77" s="121">
        <v>55023</v>
      </c>
      <c r="H77" s="121">
        <v>77108</v>
      </c>
      <c r="I77" s="121">
        <v>89341</v>
      </c>
      <c r="J77" s="121">
        <v>87758</v>
      </c>
      <c r="K77" s="121">
        <v>101825</v>
      </c>
      <c r="L77" s="121">
        <v>95781</v>
      </c>
      <c r="M77" s="121">
        <v>133659</v>
      </c>
      <c r="N77" s="121">
        <v>115358</v>
      </c>
      <c r="O77" s="121">
        <v>90476</v>
      </c>
      <c r="P77" s="121">
        <v>81367</v>
      </c>
      <c r="Q77" s="121">
        <v>72536</v>
      </c>
      <c r="R77" s="121">
        <v>61258</v>
      </c>
      <c r="S77" s="121">
        <v>61228</v>
      </c>
      <c r="T77" s="121">
        <v>55487</v>
      </c>
      <c r="U77" s="121">
        <v>92569</v>
      </c>
      <c r="V77" s="121">
        <v>112556</v>
      </c>
      <c r="W77" s="121">
        <v>99548</v>
      </c>
      <c r="X77" s="121">
        <v>102378</v>
      </c>
      <c r="Y77" s="121">
        <v>9156</v>
      </c>
      <c r="Z77" s="121">
        <v>25783</v>
      </c>
      <c r="AA77" s="121">
        <v>24448</v>
      </c>
      <c r="AB77" s="121">
        <v>15867</v>
      </c>
      <c r="AC77" s="121">
        <v>19774</v>
      </c>
      <c r="AD77" s="121">
        <v>27137</v>
      </c>
      <c r="AE77" s="121">
        <v>15590</v>
      </c>
      <c r="AF77" s="121">
        <v>17120</v>
      </c>
      <c r="AG77" s="121">
        <v>18728</v>
      </c>
      <c r="AH77" s="121">
        <v>60640</v>
      </c>
      <c r="AI77" s="121">
        <v>62058</v>
      </c>
      <c r="AJ77" s="121">
        <v>58862</v>
      </c>
      <c r="AK77" s="121">
        <v>61083</v>
      </c>
      <c r="AL77" s="121">
        <v>25001</v>
      </c>
      <c r="AM77" s="121">
        <v>23709</v>
      </c>
      <c r="AN77" s="121">
        <v>15083</v>
      </c>
      <c r="AO77" s="130">
        <v>18373</v>
      </c>
      <c r="AP77" s="130">
        <v>24996</v>
      </c>
      <c r="AQ77" s="130">
        <v>14411</v>
      </c>
      <c r="AR77" s="130">
        <v>15451</v>
      </c>
      <c r="AS77" s="130">
        <v>16910</v>
      </c>
      <c r="AT77" s="130">
        <v>53953</v>
      </c>
      <c r="AU77" s="130">
        <v>55544</v>
      </c>
      <c r="AV77" s="130">
        <v>52392</v>
      </c>
      <c r="AW77" s="130">
        <v>54287</v>
      </c>
      <c r="AX77" s="130">
        <v>22202</v>
      </c>
      <c r="AY77" s="130">
        <v>21312</v>
      </c>
      <c r="AZ77" s="130">
        <v>12951</v>
      </c>
      <c r="BA77" s="130">
        <v>16796</v>
      </c>
      <c r="BB77" s="130">
        <v>23000</v>
      </c>
      <c r="BC77" s="130">
        <v>13411</v>
      </c>
      <c r="BD77" s="130">
        <v>14251</v>
      </c>
      <c r="BE77" s="130">
        <v>15642</v>
      </c>
      <c r="BF77" s="130">
        <v>50050</v>
      </c>
      <c r="BG77" s="130">
        <v>52109</v>
      </c>
      <c r="BH77" s="130">
        <v>48996</v>
      </c>
      <c r="BI77" s="130">
        <v>51240</v>
      </c>
      <c r="BJ77" s="130">
        <v>20988</v>
      </c>
      <c r="BK77" s="130">
        <v>20381</v>
      </c>
      <c r="BL77" s="130">
        <v>12306</v>
      </c>
      <c r="BM77" s="130">
        <v>16275</v>
      </c>
      <c r="BN77" s="130">
        <v>22254</v>
      </c>
      <c r="BO77" s="130">
        <v>13002</v>
      </c>
      <c r="BP77" s="130">
        <v>13746</v>
      </c>
      <c r="BQ77" s="130">
        <v>15099</v>
      </c>
      <c r="BR77" s="130">
        <v>45031</v>
      </c>
      <c r="BS77" s="130">
        <v>47029</v>
      </c>
      <c r="BT77" s="130">
        <v>44400</v>
      </c>
      <c r="BU77" s="130">
        <v>46307</v>
      </c>
      <c r="BV77" s="130">
        <v>19073</v>
      </c>
      <c r="BW77" s="130">
        <v>18522</v>
      </c>
      <c r="BX77" s="130">
        <v>11074</v>
      </c>
      <c r="BY77" s="132">
        <f>SUM(E77:P77)</f>
        <v>996491</v>
      </c>
      <c r="BZ77" s="132">
        <f>SUM(Q77:AB77)</f>
        <v>732814</v>
      </c>
      <c r="CA77" s="132">
        <f>SUM(AC77:AN77)</f>
        <v>404785</v>
      </c>
      <c r="CB77" s="132">
        <f>SUM(AO77:AZ77)</f>
        <v>362782</v>
      </c>
      <c r="CC77" s="132">
        <f>SUM(BA77:BL77)</f>
        <v>339170</v>
      </c>
      <c r="CD77" s="132">
        <f>SUM(BM77:BX77)</f>
        <v>311812</v>
      </c>
    </row>
    <row r="78" spans="1:85" s="98" customFormat="1" outlineLevel="1">
      <c r="A78" s="10"/>
      <c r="B78" s="10"/>
      <c r="C78" s="10"/>
      <c r="D78" s="137" t="s">
        <v>361</v>
      </c>
      <c r="E78" s="136">
        <f t="shared" ref="E78:AJ78" si="57">SUBTOTAL(9,E74:E77)</f>
        <v>34672140</v>
      </c>
      <c r="F78" s="136">
        <f t="shared" si="57"/>
        <v>35608762</v>
      </c>
      <c r="G78" s="136">
        <f t="shared" si="57"/>
        <v>37249658</v>
      </c>
      <c r="H78" s="136">
        <f t="shared" si="57"/>
        <v>34972785</v>
      </c>
      <c r="I78" s="136">
        <f t="shared" si="57"/>
        <v>40432357</v>
      </c>
      <c r="J78" s="136">
        <f t="shared" si="57"/>
        <v>42616766</v>
      </c>
      <c r="K78" s="136">
        <f t="shared" si="57"/>
        <v>41154095</v>
      </c>
      <c r="L78" s="136">
        <f t="shared" si="57"/>
        <v>38761491</v>
      </c>
      <c r="M78" s="136">
        <f t="shared" si="57"/>
        <v>50333697</v>
      </c>
      <c r="N78" s="136">
        <f t="shared" si="57"/>
        <v>50867124</v>
      </c>
      <c r="O78" s="136">
        <f t="shared" si="57"/>
        <v>47295534</v>
      </c>
      <c r="P78" s="136">
        <f t="shared" si="57"/>
        <v>43563126</v>
      </c>
      <c r="Q78" s="136">
        <f t="shared" si="57"/>
        <v>39543508</v>
      </c>
      <c r="R78" s="136">
        <f t="shared" si="57"/>
        <v>40150799</v>
      </c>
      <c r="S78" s="136">
        <f t="shared" si="57"/>
        <v>37116218</v>
      </c>
      <c r="T78" s="136">
        <f t="shared" si="57"/>
        <v>37736343</v>
      </c>
      <c r="U78" s="136">
        <f t="shared" si="57"/>
        <v>46574459</v>
      </c>
      <c r="V78" s="136">
        <f t="shared" si="57"/>
        <v>51089059</v>
      </c>
      <c r="W78" s="136">
        <f t="shared" si="57"/>
        <v>46223039</v>
      </c>
      <c r="X78" s="136">
        <f t="shared" si="57"/>
        <v>46540443</v>
      </c>
      <c r="Y78" s="136">
        <f t="shared" si="57"/>
        <v>55625938</v>
      </c>
      <c r="Z78" s="136">
        <f t="shared" si="57"/>
        <v>59436970</v>
      </c>
      <c r="AA78" s="136">
        <f t="shared" si="57"/>
        <v>55580173</v>
      </c>
      <c r="AB78" s="136">
        <f t="shared" si="57"/>
        <v>52174252</v>
      </c>
      <c r="AC78" s="136">
        <f t="shared" si="57"/>
        <v>46210866</v>
      </c>
      <c r="AD78" s="136">
        <f t="shared" si="57"/>
        <v>52085052</v>
      </c>
      <c r="AE78" s="136">
        <f t="shared" si="57"/>
        <v>45072448</v>
      </c>
      <c r="AF78" s="136">
        <f t="shared" si="57"/>
        <v>46315312</v>
      </c>
      <c r="AG78" s="136">
        <f t="shared" si="57"/>
        <v>46639123</v>
      </c>
      <c r="AH78" s="136">
        <f t="shared" si="57"/>
        <v>45206722</v>
      </c>
      <c r="AI78" s="136">
        <f t="shared" si="57"/>
        <v>45125681</v>
      </c>
      <c r="AJ78" s="136">
        <f t="shared" si="57"/>
        <v>45221995</v>
      </c>
      <c r="AK78" s="136">
        <f t="shared" ref="AK78:BP78" si="58">SUBTOTAL(9,AK74:AK77)</f>
        <v>52896702</v>
      </c>
      <c r="AL78" s="136">
        <f t="shared" si="58"/>
        <v>58925817</v>
      </c>
      <c r="AM78" s="136">
        <f t="shared" si="58"/>
        <v>55528485</v>
      </c>
      <c r="AN78" s="136">
        <f t="shared" si="58"/>
        <v>52268904</v>
      </c>
      <c r="AO78" s="135">
        <f t="shared" si="58"/>
        <v>46387001</v>
      </c>
      <c r="AP78" s="135">
        <f t="shared" si="58"/>
        <v>52309214</v>
      </c>
      <c r="AQ78" s="135">
        <f t="shared" si="58"/>
        <v>45234195</v>
      </c>
      <c r="AR78" s="135">
        <f t="shared" si="58"/>
        <v>46471989</v>
      </c>
      <c r="AS78" s="135">
        <f t="shared" si="58"/>
        <v>46811766</v>
      </c>
      <c r="AT78" s="135">
        <f t="shared" si="58"/>
        <v>45379505</v>
      </c>
      <c r="AU78" s="135">
        <f t="shared" si="58"/>
        <v>45318581</v>
      </c>
      <c r="AV78" s="135">
        <f t="shared" si="58"/>
        <v>45452028</v>
      </c>
      <c r="AW78" s="135">
        <f t="shared" si="58"/>
        <v>53265302</v>
      </c>
      <c r="AX78" s="135">
        <f t="shared" si="58"/>
        <v>59394503</v>
      </c>
      <c r="AY78" s="135">
        <f t="shared" si="58"/>
        <v>56125281</v>
      </c>
      <c r="AZ78" s="135">
        <f t="shared" si="58"/>
        <v>52992294</v>
      </c>
      <c r="BA78" s="135">
        <f t="shared" si="58"/>
        <v>47084084</v>
      </c>
      <c r="BB78" s="135">
        <f t="shared" si="58"/>
        <v>53072575</v>
      </c>
      <c r="BC78" s="135">
        <f t="shared" si="58"/>
        <v>45879281</v>
      </c>
      <c r="BD78" s="135">
        <f t="shared" si="58"/>
        <v>47106012</v>
      </c>
      <c r="BE78" s="135">
        <f t="shared" si="58"/>
        <v>47352481</v>
      </c>
      <c r="BF78" s="135">
        <f t="shared" si="58"/>
        <v>45844585</v>
      </c>
      <c r="BG78" s="135">
        <f t="shared" si="58"/>
        <v>45853323</v>
      </c>
      <c r="BH78" s="135">
        <f t="shared" si="58"/>
        <v>45994274</v>
      </c>
      <c r="BI78" s="135">
        <f t="shared" si="58"/>
        <v>53954707</v>
      </c>
      <c r="BJ78" s="135">
        <f t="shared" si="58"/>
        <v>60239342</v>
      </c>
      <c r="BK78" s="135">
        <f t="shared" si="58"/>
        <v>57083926</v>
      </c>
      <c r="BL78" s="135">
        <f t="shared" si="58"/>
        <v>54020483</v>
      </c>
      <c r="BM78" s="135">
        <f t="shared" si="58"/>
        <v>48917618</v>
      </c>
      <c r="BN78" s="135">
        <f t="shared" si="58"/>
        <v>54212783</v>
      </c>
      <c r="BO78" s="135">
        <f t="shared" si="58"/>
        <v>46788784</v>
      </c>
      <c r="BP78" s="135">
        <f t="shared" si="58"/>
        <v>47919886</v>
      </c>
      <c r="BQ78" s="135">
        <f t="shared" ref="BQ78:CD78" si="59">SUBTOTAL(9,BQ74:BQ77)</f>
        <v>48310327</v>
      </c>
      <c r="BR78" s="135">
        <f t="shared" si="59"/>
        <v>46809752</v>
      </c>
      <c r="BS78" s="135">
        <f t="shared" si="59"/>
        <v>46534157</v>
      </c>
      <c r="BT78" s="135">
        <f t="shared" si="59"/>
        <v>46533085</v>
      </c>
      <c r="BU78" s="135">
        <f t="shared" si="59"/>
        <v>54567441</v>
      </c>
      <c r="BV78" s="135">
        <f t="shared" si="59"/>
        <v>61120488</v>
      </c>
      <c r="BW78" s="135">
        <f t="shared" si="59"/>
        <v>57733732</v>
      </c>
      <c r="BX78" s="135">
        <f t="shared" si="59"/>
        <v>55108643</v>
      </c>
      <c r="BY78" s="134">
        <f t="shared" si="59"/>
        <v>497527535</v>
      </c>
      <c r="BZ78" s="134">
        <f t="shared" si="59"/>
        <v>567791201</v>
      </c>
      <c r="CA78" s="134">
        <f t="shared" si="59"/>
        <v>591497107</v>
      </c>
      <c r="CB78" s="134">
        <f t="shared" si="59"/>
        <v>595141659</v>
      </c>
      <c r="CC78" s="134">
        <f t="shared" si="59"/>
        <v>603485073</v>
      </c>
      <c r="CD78" s="134">
        <f t="shared" si="59"/>
        <v>614556696</v>
      </c>
      <c r="CF78" s="145">
        <f>SUM(Z78:AK78)</f>
        <v>591965296</v>
      </c>
      <c r="CG78" s="145">
        <f>SUM(AL78:AW78)</f>
        <v>593352787</v>
      </c>
    </row>
    <row r="79" spans="1:85" s="98" customFormat="1" outlineLevel="2">
      <c r="A79" s="10">
        <v>2</v>
      </c>
      <c r="B79" s="10">
        <v>264</v>
      </c>
      <c r="C79" s="10" t="s">
        <v>360</v>
      </c>
      <c r="D79" s="10" t="s">
        <v>330</v>
      </c>
      <c r="E79" s="121">
        <v>38573320</v>
      </c>
      <c r="F79" s="121">
        <v>39756057</v>
      </c>
      <c r="G79" s="121">
        <v>40437220</v>
      </c>
      <c r="H79" s="121">
        <v>38263636</v>
      </c>
      <c r="I79" s="121">
        <v>43631608</v>
      </c>
      <c r="J79" s="121">
        <v>47057220</v>
      </c>
      <c r="K79" s="121">
        <v>46168108</v>
      </c>
      <c r="L79" s="121">
        <v>45049600</v>
      </c>
      <c r="M79" s="121">
        <v>53900120</v>
      </c>
      <c r="N79" s="121">
        <v>56787941</v>
      </c>
      <c r="O79" s="121">
        <v>53674167</v>
      </c>
      <c r="P79" s="121">
        <v>47108927</v>
      </c>
      <c r="Q79" s="121">
        <v>50249560</v>
      </c>
      <c r="R79" s="121">
        <v>48266939</v>
      </c>
      <c r="S79" s="121">
        <v>46072144</v>
      </c>
      <c r="T79" s="121">
        <v>48632380</v>
      </c>
      <c r="U79" s="121">
        <v>61513904</v>
      </c>
      <c r="V79" s="121">
        <v>66561220</v>
      </c>
      <c r="W79" s="121">
        <v>59641378</v>
      </c>
      <c r="X79" s="121">
        <v>60945928</v>
      </c>
      <c r="Y79" s="121">
        <v>74859606</v>
      </c>
      <c r="Z79" s="121">
        <v>70912165</v>
      </c>
      <c r="AA79" s="121">
        <v>64500903</v>
      </c>
      <c r="AB79" s="121">
        <v>59729511</v>
      </c>
      <c r="AC79" s="121">
        <v>54857083</v>
      </c>
      <c r="AD79" s="121">
        <v>63984885</v>
      </c>
      <c r="AE79" s="121">
        <v>61091464</v>
      </c>
      <c r="AF79" s="121">
        <v>46348891</v>
      </c>
      <c r="AG79" s="121">
        <v>61168068</v>
      </c>
      <c r="AH79" s="121">
        <v>61473487</v>
      </c>
      <c r="AI79" s="121">
        <v>57455233</v>
      </c>
      <c r="AJ79" s="121">
        <v>61386119</v>
      </c>
      <c r="AK79" s="121">
        <v>71609601</v>
      </c>
      <c r="AL79" s="121">
        <v>70311693</v>
      </c>
      <c r="AM79" s="121">
        <v>64443215</v>
      </c>
      <c r="AN79" s="121">
        <v>59857468</v>
      </c>
      <c r="AO79" s="130">
        <v>55066985</v>
      </c>
      <c r="AP79" s="130">
        <v>64205202</v>
      </c>
      <c r="AQ79" s="130">
        <v>61457105</v>
      </c>
      <c r="AR79" s="130">
        <v>46631197</v>
      </c>
      <c r="AS79" s="130">
        <v>61511204</v>
      </c>
      <c r="AT79" s="130">
        <v>61799155</v>
      </c>
      <c r="AU79" s="130">
        <v>57746716</v>
      </c>
      <c r="AV79" s="130">
        <v>61721221</v>
      </c>
      <c r="AW79" s="130">
        <v>72062179</v>
      </c>
      <c r="AX79" s="130">
        <v>70867730</v>
      </c>
      <c r="AY79" s="130">
        <v>65105728</v>
      </c>
      <c r="AZ79" s="130">
        <v>60813215</v>
      </c>
      <c r="BA79" s="130">
        <v>55957289</v>
      </c>
      <c r="BB79" s="130">
        <v>65200776</v>
      </c>
      <c r="BC79" s="130">
        <v>62327457</v>
      </c>
      <c r="BD79" s="130">
        <v>47227198</v>
      </c>
      <c r="BE79" s="130">
        <v>62372221</v>
      </c>
      <c r="BF79" s="130">
        <v>62511693</v>
      </c>
      <c r="BG79" s="130">
        <v>58454654</v>
      </c>
      <c r="BH79" s="130">
        <v>62474180</v>
      </c>
      <c r="BI79" s="130">
        <v>72965789</v>
      </c>
      <c r="BJ79" s="130">
        <v>72017067</v>
      </c>
      <c r="BK79" s="130">
        <v>66295769</v>
      </c>
      <c r="BL79" s="130">
        <v>62017928</v>
      </c>
      <c r="BM79" s="130">
        <v>58172247</v>
      </c>
      <c r="BN79" s="130">
        <v>66577040</v>
      </c>
      <c r="BO79" s="130">
        <v>63694077</v>
      </c>
      <c r="BP79" s="130">
        <v>48141164</v>
      </c>
      <c r="BQ79" s="130">
        <v>63715452</v>
      </c>
      <c r="BR79" s="130">
        <v>64004812</v>
      </c>
      <c r="BS79" s="130">
        <v>59305628</v>
      </c>
      <c r="BT79" s="130">
        <v>63316596</v>
      </c>
      <c r="BU79" s="130">
        <v>73919556</v>
      </c>
      <c r="BV79" s="130">
        <v>73128391</v>
      </c>
      <c r="BW79" s="130">
        <v>67117160</v>
      </c>
      <c r="BX79" s="130">
        <v>63309596</v>
      </c>
      <c r="BY79" s="132">
        <f>SUM(E79:P79)</f>
        <v>550407924</v>
      </c>
      <c r="BZ79" s="132">
        <f>SUM(Q79:AB79)</f>
        <v>711885638</v>
      </c>
      <c r="CA79" s="132">
        <f>SUM(AC79:AN79)</f>
        <v>733987207</v>
      </c>
      <c r="CB79" s="132">
        <f>SUM(AO79:AZ79)</f>
        <v>738987637</v>
      </c>
      <c r="CC79" s="132">
        <f>SUM(BA79:BL79)</f>
        <v>749822021</v>
      </c>
      <c r="CD79" s="132">
        <f>SUM(BM79:BX79)</f>
        <v>764401719</v>
      </c>
    </row>
    <row r="80" spans="1:85" s="98" customFormat="1" outlineLevel="2">
      <c r="A80" s="10">
        <v>3</v>
      </c>
      <c r="B80" s="10">
        <v>264</v>
      </c>
      <c r="C80" s="10" t="s">
        <v>360</v>
      </c>
      <c r="D80" s="10" t="s">
        <v>330</v>
      </c>
      <c r="E80" s="121">
        <v>1261040</v>
      </c>
      <c r="F80" s="121">
        <v>1285600</v>
      </c>
      <c r="G80" s="121">
        <v>1331920</v>
      </c>
      <c r="H80" s="121">
        <v>1352400</v>
      </c>
      <c r="I80" s="121">
        <v>1326240</v>
      </c>
      <c r="J80" s="121">
        <v>972400</v>
      </c>
      <c r="K80" s="121">
        <v>1072000</v>
      </c>
      <c r="L80" s="121">
        <v>1198640</v>
      </c>
      <c r="M80" s="121">
        <v>1132920</v>
      </c>
      <c r="N80" s="121">
        <v>1185228</v>
      </c>
      <c r="O80" s="121">
        <v>1107280</v>
      </c>
      <c r="P80" s="121">
        <v>1065040</v>
      </c>
      <c r="Q80" s="121">
        <v>1048800</v>
      </c>
      <c r="R80" s="121">
        <v>1043080</v>
      </c>
      <c r="S80" s="121">
        <v>1000800</v>
      </c>
      <c r="T80" s="121">
        <v>938240</v>
      </c>
      <c r="U80" s="121">
        <v>1124880</v>
      </c>
      <c r="V80" s="121">
        <v>2171800</v>
      </c>
      <c r="W80" s="121">
        <v>2112680</v>
      </c>
      <c r="X80" s="121">
        <v>2280280</v>
      </c>
      <c r="Y80" s="121">
        <v>2261680</v>
      </c>
      <c r="Z80" s="121">
        <v>4056802</v>
      </c>
      <c r="AA80" s="121">
        <v>1813897</v>
      </c>
      <c r="AB80" s="121">
        <v>1132816</v>
      </c>
      <c r="AC80" s="121">
        <v>1554670</v>
      </c>
      <c r="AD80" s="121">
        <v>1711827</v>
      </c>
      <c r="AE80" s="121">
        <v>1535605</v>
      </c>
      <c r="AF80" s="121">
        <v>1276426</v>
      </c>
      <c r="AG80" s="121">
        <v>1071246</v>
      </c>
      <c r="AH80" s="121">
        <v>1849316</v>
      </c>
      <c r="AI80" s="121">
        <v>933548</v>
      </c>
      <c r="AJ80" s="121">
        <v>2837116</v>
      </c>
      <c r="AK80" s="121">
        <v>2041911</v>
      </c>
      <c r="AL80" s="121">
        <v>3933648</v>
      </c>
      <c r="AM80" s="121">
        <v>1759072</v>
      </c>
      <c r="AN80" s="121">
        <v>1076826</v>
      </c>
      <c r="AO80" s="130">
        <v>1444548</v>
      </c>
      <c r="AP80" s="130">
        <v>1576761</v>
      </c>
      <c r="AQ80" s="130">
        <v>1419498</v>
      </c>
      <c r="AR80" s="130">
        <v>1151958</v>
      </c>
      <c r="AS80" s="130">
        <v>967249</v>
      </c>
      <c r="AT80" s="130">
        <v>1645406</v>
      </c>
      <c r="AU80" s="130">
        <v>835549</v>
      </c>
      <c r="AV80" s="130">
        <v>2525225</v>
      </c>
      <c r="AW80" s="130">
        <v>1814741</v>
      </c>
      <c r="AX80" s="130">
        <v>3493317</v>
      </c>
      <c r="AY80" s="130">
        <v>1581227</v>
      </c>
      <c r="AZ80" s="130">
        <v>924632</v>
      </c>
      <c r="BA80" s="130">
        <v>1320562</v>
      </c>
      <c r="BB80" s="130">
        <v>1450816</v>
      </c>
      <c r="BC80" s="130">
        <v>1321017</v>
      </c>
      <c r="BD80" s="130">
        <v>1062476</v>
      </c>
      <c r="BE80" s="130">
        <v>1043812</v>
      </c>
      <c r="BF80" s="130">
        <v>1780751</v>
      </c>
      <c r="BG80" s="130">
        <v>914525</v>
      </c>
      <c r="BH80" s="130">
        <v>2755150</v>
      </c>
      <c r="BI80" s="130">
        <v>1998330</v>
      </c>
      <c r="BJ80" s="130">
        <v>3852678</v>
      </c>
      <c r="BK80" s="130">
        <v>1764137</v>
      </c>
      <c r="BL80" s="130">
        <v>1025006</v>
      </c>
      <c r="BM80" s="130">
        <v>1492867</v>
      </c>
      <c r="BN80" s="130">
        <v>1637717</v>
      </c>
      <c r="BO80" s="130">
        <v>1494127</v>
      </c>
      <c r="BP80" s="130">
        <v>1195643</v>
      </c>
      <c r="BQ80" s="130">
        <v>1007599</v>
      </c>
      <c r="BR80" s="130">
        <v>1602182</v>
      </c>
      <c r="BS80" s="130">
        <v>825363</v>
      </c>
      <c r="BT80" s="130">
        <v>2496697</v>
      </c>
      <c r="BU80" s="130">
        <v>1805964</v>
      </c>
      <c r="BV80" s="130">
        <v>3501129</v>
      </c>
      <c r="BW80" s="130">
        <v>1603262</v>
      </c>
      <c r="BX80" s="130">
        <v>922383</v>
      </c>
      <c r="BY80" s="132">
        <f>SUM(E80:P80)</f>
        <v>14290708</v>
      </c>
      <c r="BZ80" s="132">
        <f>SUM(Q80:AB80)</f>
        <v>20985755</v>
      </c>
      <c r="CA80" s="132">
        <f>SUM(AC80:AN80)</f>
        <v>21581211</v>
      </c>
      <c r="CB80" s="132">
        <f>SUM(AO80:AZ80)</f>
        <v>19380111</v>
      </c>
      <c r="CC80" s="132">
        <f>SUM(BA80:BL80)</f>
        <v>20289260</v>
      </c>
      <c r="CD80" s="132">
        <f>SUM(BM80:BX80)</f>
        <v>19584933</v>
      </c>
    </row>
    <row r="81" spans="1:85" s="98" customFormat="1" outlineLevel="2">
      <c r="A81" s="10">
        <v>2</v>
      </c>
      <c r="B81" s="10">
        <v>364</v>
      </c>
      <c r="C81" s="10" t="s">
        <v>359</v>
      </c>
      <c r="D81" s="10" t="s">
        <v>330</v>
      </c>
      <c r="E81" s="121">
        <v>1198360</v>
      </c>
      <c r="F81" s="121">
        <v>2309920</v>
      </c>
      <c r="G81" s="121">
        <v>1584640</v>
      </c>
      <c r="H81" s="121">
        <v>1650560</v>
      </c>
      <c r="I81" s="121">
        <v>1246280</v>
      </c>
      <c r="J81" s="121">
        <v>1888840</v>
      </c>
      <c r="K81" s="121">
        <v>2054193</v>
      </c>
      <c r="L81" s="121">
        <v>2178800</v>
      </c>
      <c r="M81" s="121">
        <v>2049480</v>
      </c>
      <c r="N81" s="121">
        <v>2286120</v>
      </c>
      <c r="O81" s="121">
        <v>1917200</v>
      </c>
      <c r="P81" s="121">
        <v>1353600</v>
      </c>
      <c r="Q81" s="121">
        <v>1461036</v>
      </c>
      <c r="R81" s="121">
        <v>1306320</v>
      </c>
      <c r="S81" s="121">
        <v>1000600</v>
      </c>
      <c r="T81" s="121">
        <v>1621640</v>
      </c>
      <c r="U81" s="121">
        <v>2243600</v>
      </c>
      <c r="V81" s="121">
        <v>2401080</v>
      </c>
      <c r="W81" s="121">
        <v>2246120</v>
      </c>
      <c r="X81" s="121">
        <v>2181640</v>
      </c>
      <c r="Y81" s="121">
        <v>2614240</v>
      </c>
      <c r="Z81" s="121">
        <v>2205971</v>
      </c>
      <c r="AA81" s="121">
        <v>2034485</v>
      </c>
      <c r="AB81" s="121">
        <v>1522364</v>
      </c>
      <c r="AC81" s="121">
        <v>1702397</v>
      </c>
      <c r="AD81" s="121">
        <v>1960960</v>
      </c>
      <c r="AE81" s="121">
        <v>2618179</v>
      </c>
      <c r="AF81" s="121">
        <v>2575247</v>
      </c>
      <c r="AG81" s="121">
        <v>2266375</v>
      </c>
      <c r="AH81" s="121">
        <v>2146582</v>
      </c>
      <c r="AI81" s="121">
        <v>1998365</v>
      </c>
      <c r="AJ81" s="121">
        <v>2386321</v>
      </c>
      <c r="AK81" s="121">
        <v>2395323</v>
      </c>
      <c r="AL81" s="121">
        <v>2187292</v>
      </c>
      <c r="AM81" s="121">
        <v>2032665</v>
      </c>
      <c r="AN81" s="121">
        <v>1525626</v>
      </c>
      <c r="AO81" s="130">
        <v>1708911</v>
      </c>
      <c r="AP81" s="130">
        <v>1967712</v>
      </c>
      <c r="AQ81" s="130">
        <v>2625461</v>
      </c>
      <c r="AR81" s="130">
        <v>2582681</v>
      </c>
      <c r="AS81" s="130">
        <v>2271830</v>
      </c>
      <c r="AT81" s="130">
        <v>2151081</v>
      </c>
      <c r="AU81" s="130">
        <v>2002127</v>
      </c>
      <c r="AV81" s="130">
        <v>2391731</v>
      </c>
      <c r="AW81" s="130">
        <v>2402810</v>
      </c>
      <c r="AX81" s="130">
        <v>2197590</v>
      </c>
      <c r="AY81" s="130">
        <v>2047043</v>
      </c>
      <c r="AZ81" s="130">
        <v>1540175</v>
      </c>
      <c r="BA81" s="130">
        <v>1725549</v>
      </c>
      <c r="BB81" s="130">
        <v>1985577</v>
      </c>
      <c r="BC81" s="130">
        <v>2645790</v>
      </c>
      <c r="BD81" s="130">
        <v>2599136</v>
      </c>
      <c r="BE81" s="130">
        <v>2281830</v>
      </c>
      <c r="BF81" s="130">
        <v>2155291</v>
      </c>
      <c r="BG81" s="130">
        <v>2007553</v>
      </c>
      <c r="BH81" s="130">
        <v>2398070</v>
      </c>
      <c r="BI81" s="130">
        <v>2409987</v>
      </c>
      <c r="BJ81" s="130">
        <v>2205228</v>
      </c>
      <c r="BK81" s="130">
        <v>2058322</v>
      </c>
      <c r="BL81" s="130">
        <v>1551053</v>
      </c>
      <c r="BM81" s="130">
        <v>1771428</v>
      </c>
      <c r="BN81" s="130">
        <v>2002145</v>
      </c>
      <c r="BO81" s="130">
        <v>2661688</v>
      </c>
      <c r="BP81" s="130">
        <v>2608167</v>
      </c>
      <c r="BQ81" s="130">
        <v>2294775</v>
      </c>
      <c r="BR81" s="130">
        <v>2172505</v>
      </c>
      <c r="BS81" s="130">
        <v>2011477</v>
      </c>
      <c r="BT81" s="130">
        <v>2392783</v>
      </c>
      <c r="BU81" s="130">
        <v>2403695</v>
      </c>
      <c r="BV81" s="130">
        <v>2204701</v>
      </c>
      <c r="BW81" s="130">
        <v>2051667</v>
      </c>
      <c r="BX81" s="130">
        <v>1558998</v>
      </c>
      <c r="BY81" s="132">
        <f>SUM(E81:P81)</f>
        <v>21717993</v>
      </c>
      <c r="BZ81" s="132">
        <f>SUM(Q81:AB81)</f>
        <v>22839096</v>
      </c>
      <c r="CA81" s="132">
        <f>SUM(AC81:AN81)</f>
        <v>25795332</v>
      </c>
      <c r="CB81" s="132">
        <f>SUM(AO81:AZ81)</f>
        <v>25889152</v>
      </c>
      <c r="CC81" s="132">
        <f>SUM(BA81:BL81)</f>
        <v>26023386</v>
      </c>
      <c r="CD81" s="132">
        <f>SUM(BM81:BX81)</f>
        <v>26134029</v>
      </c>
    </row>
    <row r="82" spans="1:85" s="98" customFormat="1" outlineLevel="2">
      <c r="A82" s="10">
        <v>3</v>
      </c>
      <c r="B82" s="10">
        <v>364</v>
      </c>
      <c r="C82" s="10" t="s">
        <v>359</v>
      </c>
      <c r="D82" s="10" t="s">
        <v>330</v>
      </c>
      <c r="E82" s="121">
        <v>157800</v>
      </c>
      <c r="F82" s="121">
        <v>97680</v>
      </c>
      <c r="G82" s="121">
        <v>226560</v>
      </c>
      <c r="H82" s="121">
        <v>231600</v>
      </c>
      <c r="I82" s="121">
        <v>168720</v>
      </c>
      <c r="J82" s="121">
        <v>88320</v>
      </c>
      <c r="K82" s="121">
        <v>81240</v>
      </c>
      <c r="L82" s="121">
        <v>83760</v>
      </c>
      <c r="M82" s="121">
        <v>139560</v>
      </c>
      <c r="N82" s="121">
        <v>102000</v>
      </c>
      <c r="O82" s="121">
        <v>198000</v>
      </c>
      <c r="P82" s="121">
        <v>183960</v>
      </c>
      <c r="Q82" s="121">
        <v>104880</v>
      </c>
      <c r="R82" s="121">
        <v>171960</v>
      </c>
      <c r="S82" s="121">
        <v>142200</v>
      </c>
      <c r="T82" s="121">
        <v>78000</v>
      </c>
      <c r="U82" s="121">
        <v>217680</v>
      </c>
      <c r="V82" s="121">
        <v>105840</v>
      </c>
      <c r="W82" s="121">
        <v>143400</v>
      </c>
      <c r="X82" s="121">
        <v>119040</v>
      </c>
      <c r="Y82" s="121">
        <v>289440</v>
      </c>
      <c r="Z82" s="121">
        <v>286784</v>
      </c>
      <c r="AA82" s="121">
        <v>713673</v>
      </c>
      <c r="AB82" s="121">
        <v>394304</v>
      </c>
      <c r="AC82" s="121">
        <v>731033</v>
      </c>
      <c r="AD82" s="121">
        <v>701602</v>
      </c>
      <c r="AE82" s="121">
        <v>525533</v>
      </c>
      <c r="AF82" s="121">
        <v>420995</v>
      </c>
      <c r="AG82" s="121">
        <v>289572</v>
      </c>
      <c r="AH82" s="121">
        <v>128298</v>
      </c>
      <c r="AI82" s="121">
        <v>157714</v>
      </c>
      <c r="AJ82" s="121">
        <v>153995</v>
      </c>
      <c r="AK82" s="121">
        <v>262669</v>
      </c>
      <c r="AL82" s="121">
        <v>278078</v>
      </c>
      <c r="AM82" s="121">
        <v>692103</v>
      </c>
      <c r="AN82" s="121">
        <v>374815</v>
      </c>
      <c r="AO82" s="130">
        <v>679252</v>
      </c>
      <c r="AP82" s="130">
        <v>646245</v>
      </c>
      <c r="AQ82" s="130">
        <v>485797</v>
      </c>
      <c r="AR82" s="130">
        <v>379942</v>
      </c>
      <c r="AS82" s="130">
        <v>261460</v>
      </c>
      <c r="AT82" s="130">
        <v>114152</v>
      </c>
      <c r="AU82" s="130">
        <v>141158</v>
      </c>
      <c r="AV82" s="130">
        <v>137066</v>
      </c>
      <c r="AW82" s="130">
        <v>233446</v>
      </c>
      <c r="AX82" s="130">
        <v>246950</v>
      </c>
      <c r="AY82" s="130">
        <v>622130</v>
      </c>
      <c r="AZ82" s="130">
        <v>321840</v>
      </c>
      <c r="BA82" s="130">
        <v>620951</v>
      </c>
      <c r="BB82" s="130">
        <v>594625</v>
      </c>
      <c r="BC82" s="130">
        <v>452094</v>
      </c>
      <c r="BD82" s="130">
        <v>350429</v>
      </c>
      <c r="BE82" s="130">
        <v>241848</v>
      </c>
      <c r="BF82" s="130">
        <v>105893</v>
      </c>
      <c r="BG82" s="130">
        <v>132429</v>
      </c>
      <c r="BH82" s="130">
        <v>128182</v>
      </c>
      <c r="BI82" s="130">
        <v>220340</v>
      </c>
      <c r="BJ82" s="130">
        <v>233446</v>
      </c>
      <c r="BK82" s="130">
        <v>594939</v>
      </c>
      <c r="BL82" s="130">
        <v>305810</v>
      </c>
      <c r="BM82" s="130">
        <v>601690</v>
      </c>
      <c r="BN82" s="130">
        <v>575338</v>
      </c>
      <c r="BO82" s="130">
        <v>438290</v>
      </c>
      <c r="BP82" s="130">
        <v>338015</v>
      </c>
      <c r="BQ82" s="130">
        <v>233458</v>
      </c>
      <c r="BR82" s="130">
        <v>95274</v>
      </c>
      <c r="BS82" s="130">
        <v>119518</v>
      </c>
      <c r="BT82" s="130">
        <v>116158</v>
      </c>
      <c r="BU82" s="130">
        <v>199129</v>
      </c>
      <c r="BV82" s="130">
        <v>212145</v>
      </c>
      <c r="BW82" s="130">
        <v>540685</v>
      </c>
      <c r="BX82" s="130">
        <v>275192</v>
      </c>
      <c r="BY82" s="132">
        <f>SUM(E82:P82)</f>
        <v>1759200</v>
      </c>
      <c r="BZ82" s="132">
        <f>SUM(Q82:AB82)</f>
        <v>2767201</v>
      </c>
      <c r="CA82" s="132">
        <f>SUM(AC82:AN82)</f>
        <v>4716407</v>
      </c>
      <c r="CB82" s="132">
        <f>SUM(AO82:AZ82)</f>
        <v>4269438</v>
      </c>
      <c r="CC82" s="132">
        <f>SUM(BA82:BL82)</f>
        <v>3980986</v>
      </c>
      <c r="CD82" s="132">
        <f>SUM(BM82:BX82)</f>
        <v>3744892</v>
      </c>
    </row>
    <row r="83" spans="1:85" s="98" customFormat="1" outlineLevel="1">
      <c r="A83" s="10"/>
      <c r="B83" s="10"/>
      <c r="C83" s="10"/>
      <c r="D83" s="137" t="s">
        <v>358</v>
      </c>
      <c r="E83" s="136">
        <f t="shared" ref="E83:AJ83" si="60">SUBTOTAL(9,E79:E82)</f>
        <v>41190520</v>
      </c>
      <c r="F83" s="136">
        <f t="shared" si="60"/>
        <v>43449257</v>
      </c>
      <c r="G83" s="136">
        <f t="shared" si="60"/>
        <v>43580340</v>
      </c>
      <c r="H83" s="136">
        <f t="shared" si="60"/>
        <v>41498196</v>
      </c>
      <c r="I83" s="136">
        <f t="shared" si="60"/>
        <v>46372848</v>
      </c>
      <c r="J83" s="136">
        <f t="shared" si="60"/>
        <v>50006780</v>
      </c>
      <c r="K83" s="136">
        <f t="shared" si="60"/>
        <v>49375541</v>
      </c>
      <c r="L83" s="136">
        <f t="shared" si="60"/>
        <v>48510800</v>
      </c>
      <c r="M83" s="136">
        <f t="shared" si="60"/>
        <v>57222080</v>
      </c>
      <c r="N83" s="136">
        <f t="shared" si="60"/>
        <v>60361289</v>
      </c>
      <c r="O83" s="136">
        <f t="shared" si="60"/>
        <v>56896647</v>
      </c>
      <c r="P83" s="136">
        <f t="shared" si="60"/>
        <v>49711527</v>
      </c>
      <c r="Q83" s="136">
        <f t="shared" si="60"/>
        <v>52864276</v>
      </c>
      <c r="R83" s="136">
        <f t="shared" si="60"/>
        <v>50788299</v>
      </c>
      <c r="S83" s="136">
        <f t="shared" si="60"/>
        <v>48215744</v>
      </c>
      <c r="T83" s="136">
        <f t="shared" si="60"/>
        <v>51270260</v>
      </c>
      <c r="U83" s="136">
        <f t="shared" si="60"/>
        <v>65100064</v>
      </c>
      <c r="V83" s="136">
        <f t="shared" si="60"/>
        <v>71239940</v>
      </c>
      <c r="W83" s="136">
        <f t="shared" si="60"/>
        <v>64143578</v>
      </c>
      <c r="X83" s="136">
        <f t="shared" si="60"/>
        <v>65526888</v>
      </c>
      <c r="Y83" s="136">
        <f t="shared" si="60"/>
        <v>80024966</v>
      </c>
      <c r="Z83" s="136">
        <f t="shared" si="60"/>
        <v>77461722</v>
      </c>
      <c r="AA83" s="136">
        <f t="shared" si="60"/>
        <v>69062958</v>
      </c>
      <c r="AB83" s="136">
        <f t="shared" si="60"/>
        <v>62778995</v>
      </c>
      <c r="AC83" s="136">
        <f t="shared" si="60"/>
        <v>58845183</v>
      </c>
      <c r="AD83" s="136">
        <f t="shared" si="60"/>
        <v>68359274</v>
      </c>
      <c r="AE83" s="136">
        <f t="shared" si="60"/>
        <v>65770781</v>
      </c>
      <c r="AF83" s="136">
        <f t="shared" si="60"/>
        <v>50621559</v>
      </c>
      <c r="AG83" s="136">
        <f t="shared" si="60"/>
        <v>64795261</v>
      </c>
      <c r="AH83" s="136">
        <f t="shared" si="60"/>
        <v>65597683</v>
      </c>
      <c r="AI83" s="136">
        <f t="shared" si="60"/>
        <v>60544860</v>
      </c>
      <c r="AJ83" s="136">
        <f t="shared" si="60"/>
        <v>66763551</v>
      </c>
      <c r="AK83" s="136">
        <f t="shared" ref="AK83:BP83" si="61">SUBTOTAL(9,AK79:AK82)</f>
        <v>76309504</v>
      </c>
      <c r="AL83" s="136">
        <f t="shared" si="61"/>
        <v>76710711</v>
      </c>
      <c r="AM83" s="136">
        <f t="shared" si="61"/>
        <v>68927055</v>
      </c>
      <c r="AN83" s="136">
        <f t="shared" si="61"/>
        <v>62834735</v>
      </c>
      <c r="AO83" s="135">
        <f t="shared" si="61"/>
        <v>58899696</v>
      </c>
      <c r="AP83" s="135">
        <f t="shared" si="61"/>
        <v>68395920</v>
      </c>
      <c r="AQ83" s="135">
        <f t="shared" si="61"/>
        <v>65987861</v>
      </c>
      <c r="AR83" s="135">
        <f t="shared" si="61"/>
        <v>50745778</v>
      </c>
      <c r="AS83" s="135">
        <f t="shared" si="61"/>
        <v>65011743</v>
      </c>
      <c r="AT83" s="135">
        <f t="shared" si="61"/>
        <v>65709794</v>
      </c>
      <c r="AU83" s="135">
        <f t="shared" si="61"/>
        <v>60725550</v>
      </c>
      <c r="AV83" s="135">
        <f t="shared" si="61"/>
        <v>66775243</v>
      </c>
      <c r="AW83" s="135">
        <f t="shared" si="61"/>
        <v>76513176</v>
      </c>
      <c r="AX83" s="135">
        <f t="shared" si="61"/>
        <v>76805587</v>
      </c>
      <c r="AY83" s="135">
        <f t="shared" si="61"/>
        <v>69356128</v>
      </c>
      <c r="AZ83" s="135">
        <f t="shared" si="61"/>
        <v>63599862</v>
      </c>
      <c r="BA83" s="135">
        <f t="shared" si="61"/>
        <v>59624351</v>
      </c>
      <c r="BB83" s="135">
        <f t="shared" si="61"/>
        <v>69231794</v>
      </c>
      <c r="BC83" s="135">
        <f t="shared" si="61"/>
        <v>66746358</v>
      </c>
      <c r="BD83" s="135">
        <f t="shared" si="61"/>
        <v>51239239</v>
      </c>
      <c r="BE83" s="135">
        <f t="shared" si="61"/>
        <v>65939711</v>
      </c>
      <c r="BF83" s="135">
        <f t="shared" si="61"/>
        <v>66553628</v>
      </c>
      <c r="BG83" s="135">
        <f t="shared" si="61"/>
        <v>61509161</v>
      </c>
      <c r="BH83" s="135">
        <f t="shared" si="61"/>
        <v>67755582</v>
      </c>
      <c r="BI83" s="135">
        <f t="shared" si="61"/>
        <v>77594446</v>
      </c>
      <c r="BJ83" s="135">
        <f t="shared" si="61"/>
        <v>78308419</v>
      </c>
      <c r="BK83" s="135">
        <f t="shared" si="61"/>
        <v>70713167</v>
      </c>
      <c r="BL83" s="135">
        <f t="shared" si="61"/>
        <v>64899797</v>
      </c>
      <c r="BM83" s="135">
        <f t="shared" si="61"/>
        <v>62038232</v>
      </c>
      <c r="BN83" s="135">
        <f t="shared" si="61"/>
        <v>70792240</v>
      </c>
      <c r="BO83" s="135">
        <f t="shared" si="61"/>
        <v>68288182</v>
      </c>
      <c r="BP83" s="135">
        <f t="shared" si="61"/>
        <v>52282989</v>
      </c>
      <c r="BQ83" s="135">
        <f t="shared" ref="BQ83:CD83" si="62">SUBTOTAL(9,BQ79:BQ82)</f>
        <v>67251284</v>
      </c>
      <c r="BR83" s="135">
        <f t="shared" si="62"/>
        <v>67874773</v>
      </c>
      <c r="BS83" s="135">
        <f t="shared" si="62"/>
        <v>62261986</v>
      </c>
      <c r="BT83" s="135">
        <f t="shared" si="62"/>
        <v>68322234</v>
      </c>
      <c r="BU83" s="135">
        <f t="shared" si="62"/>
        <v>78328344</v>
      </c>
      <c r="BV83" s="135">
        <f t="shared" si="62"/>
        <v>79046366</v>
      </c>
      <c r="BW83" s="135">
        <f t="shared" si="62"/>
        <v>71312774</v>
      </c>
      <c r="BX83" s="135">
        <f t="shared" si="62"/>
        <v>66066169</v>
      </c>
      <c r="BY83" s="134">
        <f t="shared" si="62"/>
        <v>588175825</v>
      </c>
      <c r="BZ83" s="134">
        <f t="shared" si="62"/>
        <v>758477690</v>
      </c>
      <c r="CA83" s="134">
        <f t="shared" si="62"/>
        <v>786080157</v>
      </c>
      <c r="CB83" s="134">
        <f t="shared" si="62"/>
        <v>788526338</v>
      </c>
      <c r="CC83" s="134">
        <f t="shared" si="62"/>
        <v>800115653</v>
      </c>
      <c r="CD83" s="134">
        <f t="shared" si="62"/>
        <v>813865573</v>
      </c>
      <c r="CF83" s="145">
        <f>SUM(Z83:AK83)</f>
        <v>786911331</v>
      </c>
      <c r="CG83" s="145">
        <f>SUM(AL83:AW83)</f>
        <v>787237262</v>
      </c>
    </row>
    <row r="84" spans="1:85" s="98" customFormat="1" outlineLevel="2">
      <c r="A84" s="10">
        <v>2</v>
      </c>
      <c r="B84" s="10">
        <v>265</v>
      </c>
      <c r="C84" s="10" t="s">
        <v>357</v>
      </c>
      <c r="D84" s="10" t="s">
        <v>331</v>
      </c>
      <c r="E84" s="121">
        <v>2412400</v>
      </c>
      <c r="F84" s="121">
        <v>2966000</v>
      </c>
      <c r="G84" s="121">
        <v>2162400</v>
      </c>
      <c r="H84" s="121">
        <v>2275600</v>
      </c>
      <c r="I84" s="121">
        <v>3866400</v>
      </c>
      <c r="J84" s="121">
        <v>2575200</v>
      </c>
      <c r="K84" s="121">
        <v>2516530</v>
      </c>
      <c r="L84" s="121">
        <v>2531200</v>
      </c>
      <c r="M84" s="121">
        <v>2823200</v>
      </c>
      <c r="N84" s="121">
        <v>3104000</v>
      </c>
      <c r="O84" s="121">
        <v>2950800</v>
      </c>
      <c r="P84" s="121">
        <v>3310800</v>
      </c>
      <c r="Q84" s="121">
        <v>3146400</v>
      </c>
      <c r="R84" s="121">
        <v>3492400</v>
      </c>
      <c r="S84" s="121">
        <v>2620000</v>
      </c>
      <c r="T84" s="121">
        <v>2821200</v>
      </c>
      <c r="U84" s="121">
        <v>3017200</v>
      </c>
      <c r="V84" s="121">
        <v>3211200</v>
      </c>
      <c r="W84" s="121">
        <v>2910800</v>
      </c>
      <c r="X84" s="121">
        <v>2412400</v>
      </c>
      <c r="Y84" s="121">
        <v>3441200</v>
      </c>
      <c r="Z84" s="121">
        <v>2810811</v>
      </c>
      <c r="AA84" s="121">
        <v>3117460</v>
      </c>
      <c r="AB84" s="121">
        <v>3082889</v>
      </c>
      <c r="AC84" s="121">
        <v>2882652</v>
      </c>
      <c r="AD84" s="121">
        <v>2270064</v>
      </c>
      <c r="AE84" s="121">
        <v>2204344</v>
      </c>
      <c r="AF84" s="121">
        <v>2268109</v>
      </c>
      <c r="AG84" s="121">
        <v>2414066</v>
      </c>
      <c r="AH84" s="121">
        <v>2458042</v>
      </c>
      <c r="AI84" s="121">
        <v>2331412</v>
      </c>
      <c r="AJ84" s="121">
        <v>2587476</v>
      </c>
      <c r="AK84" s="121">
        <v>3273449</v>
      </c>
      <c r="AL84" s="121">
        <v>2787009</v>
      </c>
      <c r="AM84" s="121">
        <v>3114672</v>
      </c>
      <c r="AN84" s="121">
        <v>3089493</v>
      </c>
      <c r="AO84" s="130">
        <v>2893682</v>
      </c>
      <c r="AP84" s="130">
        <v>2277881</v>
      </c>
      <c r="AQ84" s="130">
        <v>2210475</v>
      </c>
      <c r="AR84" s="130">
        <v>2274656</v>
      </c>
      <c r="AS84" s="130">
        <v>2419877</v>
      </c>
      <c r="AT84" s="130">
        <v>2463194</v>
      </c>
      <c r="AU84" s="130">
        <v>2335801</v>
      </c>
      <c r="AV84" s="130">
        <v>2593342</v>
      </c>
      <c r="AW84" s="130">
        <v>3283680</v>
      </c>
      <c r="AX84" s="130">
        <v>2800132</v>
      </c>
      <c r="AY84" s="130">
        <v>3136703</v>
      </c>
      <c r="AZ84" s="130">
        <v>3118957</v>
      </c>
      <c r="BA84" s="130">
        <v>2921855</v>
      </c>
      <c r="BB84" s="130">
        <v>2298562</v>
      </c>
      <c r="BC84" s="130">
        <v>2227591</v>
      </c>
      <c r="BD84" s="130">
        <v>2289149</v>
      </c>
      <c r="BE84" s="130">
        <v>2430528</v>
      </c>
      <c r="BF84" s="130">
        <v>2468015</v>
      </c>
      <c r="BG84" s="130">
        <v>2342130</v>
      </c>
      <c r="BH84" s="130">
        <v>2600215</v>
      </c>
      <c r="BI84" s="130">
        <v>3293488</v>
      </c>
      <c r="BJ84" s="130">
        <v>2809864</v>
      </c>
      <c r="BK84" s="130">
        <v>3153987</v>
      </c>
      <c r="BL84" s="130">
        <v>3140984</v>
      </c>
      <c r="BM84" s="130">
        <v>2999542</v>
      </c>
      <c r="BN84" s="130">
        <v>2317741</v>
      </c>
      <c r="BO84" s="130">
        <v>2240976</v>
      </c>
      <c r="BP84" s="130">
        <v>2297103</v>
      </c>
      <c r="BQ84" s="130">
        <v>2444317</v>
      </c>
      <c r="BR84" s="130">
        <v>2487726</v>
      </c>
      <c r="BS84" s="130">
        <v>2346708</v>
      </c>
      <c r="BT84" s="130">
        <v>2594483</v>
      </c>
      <c r="BU84" s="130">
        <v>3284890</v>
      </c>
      <c r="BV84" s="130">
        <v>2809193</v>
      </c>
      <c r="BW84" s="130">
        <v>3143788</v>
      </c>
      <c r="BX84" s="130">
        <v>3157074</v>
      </c>
      <c r="BY84" s="132">
        <f>SUM(E84:P84)</f>
        <v>33494530</v>
      </c>
      <c r="BZ84" s="132">
        <f>SUM(Q84:AB84)</f>
        <v>36083960</v>
      </c>
      <c r="CA84" s="132">
        <f>SUM(AC84:AN84)</f>
        <v>31680788</v>
      </c>
      <c r="CB84" s="132">
        <f>SUM(AO84:AZ84)</f>
        <v>31808380</v>
      </c>
      <c r="CC84" s="132">
        <f>SUM(BA84:BL84)</f>
        <v>31976368</v>
      </c>
      <c r="CD84" s="132">
        <f>SUM(BM84:BX84)</f>
        <v>32123541</v>
      </c>
    </row>
    <row r="85" spans="1:85" s="98" customFormat="1" outlineLevel="2">
      <c r="A85" s="10">
        <v>3</v>
      </c>
      <c r="B85" s="10">
        <v>265</v>
      </c>
      <c r="C85" s="10" t="s">
        <v>357</v>
      </c>
      <c r="D85" s="10" t="s">
        <v>331</v>
      </c>
      <c r="E85" s="121">
        <v>2793600</v>
      </c>
      <c r="F85" s="121">
        <v>3112560</v>
      </c>
      <c r="G85" s="121">
        <v>2960400</v>
      </c>
      <c r="H85" s="121">
        <v>908147</v>
      </c>
      <c r="I85" s="121">
        <v>138000</v>
      </c>
      <c r="J85" s="121">
        <v>1100960</v>
      </c>
      <c r="K85" s="121">
        <v>924480</v>
      </c>
      <c r="L85" s="121">
        <v>1009600</v>
      </c>
      <c r="M85" s="121">
        <v>1018720</v>
      </c>
      <c r="N85" s="121">
        <v>888487</v>
      </c>
      <c r="O85" s="121">
        <v>1156480</v>
      </c>
      <c r="P85" s="121">
        <v>2905680</v>
      </c>
      <c r="Q85" s="121">
        <v>3381760</v>
      </c>
      <c r="R85" s="121">
        <v>3110710</v>
      </c>
      <c r="S85" s="121">
        <v>2384800</v>
      </c>
      <c r="T85" s="121">
        <v>1388400</v>
      </c>
      <c r="U85" s="121">
        <v>899920</v>
      </c>
      <c r="V85" s="121">
        <v>159600</v>
      </c>
      <c r="W85" s="121">
        <v>159840</v>
      </c>
      <c r="X85" s="121">
        <v>153120</v>
      </c>
      <c r="Y85" s="121">
        <v>186480</v>
      </c>
      <c r="Z85" s="121">
        <v>173231</v>
      </c>
      <c r="AA85" s="121">
        <v>782131</v>
      </c>
      <c r="AB85" s="121">
        <v>1758511</v>
      </c>
      <c r="AC85" s="121">
        <v>2802972</v>
      </c>
      <c r="AD85" s="121">
        <v>2940840</v>
      </c>
      <c r="AE85" s="121">
        <v>3120060</v>
      </c>
      <c r="AF85" s="121">
        <v>1118244</v>
      </c>
      <c r="AG85" s="121">
        <v>136967</v>
      </c>
      <c r="AH85" s="121">
        <v>122512</v>
      </c>
      <c r="AI85" s="121">
        <v>143183</v>
      </c>
      <c r="AJ85" s="121">
        <v>118187</v>
      </c>
      <c r="AK85" s="121">
        <v>138159</v>
      </c>
      <c r="AL85" s="121">
        <v>167972</v>
      </c>
      <c r="AM85" s="121">
        <v>758492</v>
      </c>
      <c r="AN85" s="121">
        <v>1671595</v>
      </c>
      <c r="AO85" s="130">
        <v>2604428</v>
      </c>
      <c r="AP85" s="130">
        <v>2708803</v>
      </c>
      <c r="AQ85" s="130">
        <v>2884151</v>
      </c>
      <c r="AR85" s="130">
        <v>1009200</v>
      </c>
      <c r="AS85" s="130">
        <v>123670</v>
      </c>
      <c r="AT85" s="130">
        <v>109004</v>
      </c>
      <c r="AU85" s="130">
        <v>128152</v>
      </c>
      <c r="AV85" s="130">
        <v>105194</v>
      </c>
      <c r="AW85" s="130">
        <v>122788</v>
      </c>
      <c r="AX85" s="130">
        <v>149169</v>
      </c>
      <c r="AY85" s="130">
        <v>681807</v>
      </c>
      <c r="AZ85" s="130">
        <v>1435340</v>
      </c>
      <c r="BA85" s="130">
        <v>2380890</v>
      </c>
      <c r="BB85" s="130">
        <v>2492434</v>
      </c>
      <c r="BC85" s="130">
        <v>2684057</v>
      </c>
      <c r="BD85" s="130">
        <v>930808</v>
      </c>
      <c r="BE85" s="130">
        <v>114394</v>
      </c>
      <c r="BF85" s="130">
        <v>101117</v>
      </c>
      <c r="BG85" s="130">
        <v>120227</v>
      </c>
      <c r="BH85" s="130">
        <v>98376</v>
      </c>
      <c r="BI85" s="130">
        <v>115895</v>
      </c>
      <c r="BJ85" s="130">
        <v>141012</v>
      </c>
      <c r="BK85" s="130">
        <v>652007</v>
      </c>
      <c r="BL85" s="130">
        <v>1363846</v>
      </c>
      <c r="BM85" s="130">
        <v>2307039</v>
      </c>
      <c r="BN85" s="130">
        <v>2411590</v>
      </c>
      <c r="BO85" s="130">
        <v>2602101</v>
      </c>
      <c r="BP85" s="130">
        <v>897833</v>
      </c>
      <c r="BQ85" s="130">
        <v>110425</v>
      </c>
      <c r="BR85" s="130">
        <v>90977</v>
      </c>
      <c r="BS85" s="130">
        <v>108506</v>
      </c>
      <c r="BT85" s="130">
        <v>89148</v>
      </c>
      <c r="BU85" s="130">
        <v>104738</v>
      </c>
      <c r="BV85" s="130">
        <v>128145</v>
      </c>
      <c r="BW85" s="130">
        <v>592550</v>
      </c>
      <c r="BX85" s="130">
        <v>1227299</v>
      </c>
      <c r="BY85" s="132">
        <f>SUM(E85:P85)</f>
        <v>18917114</v>
      </c>
      <c r="BZ85" s="132">
        <f>SUM(Q85:AB85)</f>
        <v>14538503</v>
      </c>
      <c r="CA85" s="132">
        <f>SUM(AC85:AN85)</f>
        <v>13239183</v>
      </c>
      <c r="CB85" s="132">
        <f>SUM(AO85:AZ85)</f>
        <v>12061706</v>
      </c>
      <c r="CC85" s="132">
        <f>SUM(BA85:BL85)</f>
        <v>11195063</v>
      </c>
      <c r="CD85" s="132">
        <f>SUM(BM85:BX85)</f>
        <v>10670351</v>
      </c>
    </row>
    <row r="86" spans="1:85" s="98" customFormat="1" outlineLevel="2">
      <c r="A86" s="10">
        <v>2</v>
      </c>
      <c r="B86" s="10">
        <v>365</v>
      </c>
      <c r="C86" s="10" t="s">
        <v>356</v>
      </c>
      <c r="D86" s="10" t="s">
        <v>331</v>
      </c>
      <c r="E86" s="121">
        <v>2602600</v>
      </c>
      <c r="F86" s="121">
        <v>3025400</v>
      </c>
      <c r="G86" s="121">
        <v>3200400</v>
      </c>
      <c r="H86" s="121">
        <v>2317000</v>
      </c>
      <c r="I86" s="121">
        <v>2181200</v>
      </c>
      <c r="J86" s="121">
        <v>2247000</v>
      </c>
      <c r="K86" s="121">
        <v>3032400</v>
      </c>
      <c r="L86" s="121">
        <v>2251200</v>
      </c>
      <c r="M86" s="121">
        <v>2877000</v>
      </c>
      <c r="N86" s="121">
        <v>2970910</v>
      </c>
      <c r="O86" s="121">
        <v>2755449</v>
      </c>
      <c r="P86" s="121">
        <v>2909200</v>
      </c>
      <c r="Q86" s="121">
        <v>3229800</v>
      </c>
      <c r="R86" s="121">
        <v>3560200</v>
      </c>
      <c r="S86" s="121">
        <v>3411800</v>
      </c>
      <c r="T86" s="121">
        <v>2548896</v>
      </c>
      <c r="U86" s="121">
        <v>3834200</v>
      </c>
      <c r="V86" s="121">
        <v>4062600</v>
      </c>
      <c r="W86" s="121">
        <v>4539697</v>
      </c>
      <c r="X86" s="121">
        <v>3985600</v>
      </c>
      <c r="Y86" s="121">
        <v>4042400</v>
      </c>
      <c r="Z86" s="121">
        <v>3701753</v>
      </c>
      <c r="AA86" s="121">
        <v>3612678</v>
      </c>
      <c r="AB86" s="121">
        <v>3654550</v>
      </c>
      <c r="AC86" s="121">
        <v>3921817</v>
      </c>
      <c r="AD86" s="121">
        <v>4861823</v>
      </c>
      <c r="AE86" s="121">
        <v>5129116</v>
      </c>
      <c r="AF86" s="121">
        <v>4084814</v>
      </c>
      <c r="AG86" s="121">
        <v>3625839</v>
      </c>
      <c r="AH86" s="121">
        <v>3470121</v>
      </c>
      <c r="AI86" s="121">
        <v>4834400</v>
      </c>
      <c r="AJ86" s="121">
        <v>3723525</v>
      </c>
      <c r="AK86" s="121">
        <v>3719221</v>
      </c>
      <c r="AL86" s="121">
        <v>3670408</v>
      </c>
      <c r="AM86" s="121">
        <v>3609447</v>
      </c>
      <c r="AN86" s="121">
        <v>3662379</v>
      </c>
      <c r="AO86" s="130">
        <v>3936823</v>
      </c>
      <c r="AP86" s="130">
        <v>4878564</v>
      </c>
      <c r="AQ86" s="130">
        <v>5143382</v>
      </c>
      <c r="AR86" s="130">
        <v>4096606</v>
      </c>
      <c r="AS86" s="130">
        <v>3634567</v>
      </c>
      <c r="AT86" s="130">
        <v>3477395</v>
      </c>
      <c r="AU86" s="130">
        <v>4843501</v>
      </c>
      <c r="AV86" s="130">
        <v>3731966</v>
      </c>
      <c r="AW86" s="130">
        <v>3730845</v>
      </c>
      <c r="AX86" s="130">
        <v>3687690</v>
      </c>
      <c r="AY86" s="130">
        <v>3634978</v>
      </c>
      <c r="AZ86" s="130">
        <v>3697307</v>
      </c>
      <c r="BA86" s="130">
        <v>3975153</v>
      </c>
      <c r="BB86" s="130">
        <v>4922856</v>
      </c>
      <c r="BC86" s="130">
        <v>5183208</v>
      </c>
      <c r="BD86" s="130">
        <v>4122706</v>
      </c>
      <c r="BE86" s="130">
        <v>3650564</v>
      </c>
      <c r="BF86" s="130">
        <v>3484200</v>
      </c>
      <c r="BG86" s="130">
        <v>4856625</v>
      </c>
      <c r="BH86" s="130">
        <v>3741857</v>
      </c>
      <c r="BI86" s="130">
        <v>3741989</v>
      </c>
      <c r="BJ86" s="130">
        <v>3700506</v>
      </c>
      <c r="BK86" s="130">
        <v>3655007</v>
      </c>
      <c r="BL86" s="130">
        <v>3723419</v>
      </c>
      <c r="BM86" s="130">
        <v>4080845</v>
      </c>
      <c r="BN86" s="130">
        <v>4963933</v>
      </c>
      <c r="BO86" s="130">
        <v>5214352</v>
      </c>
      <c r="BP86" s="130">
        <v>4137032</v>
      </c>
      <c r="BQ86" s="130">
        <v>3671275</v>
      </c>
      <c r="BR86" s="130">
        <v>3512027</v>
      </c>
      <c r="BS86" s="130">
        <v>4866118</v>
      </c>
      <c r="BT86" s="130">
        <v>3733609</v>
      </c>
      <c r="BU86" s="130">
        <v>3732220</v>
      </c>
      <c r="BV86" s="130">
        <v>3699622</v>
      </c>
      <c r="BW86" s="130">
        <v>3643189</v>
      </c>
      <c r="BX86" s="130">
        <v>3742491</v>
      </c>
      <c r="BY86" s="132">
        <f>SUM(E86:P86)</f>
        <v>32369759</v>
      </c>
      <c r="BZ86" s="132">
        <f>SUM(Q86:AB86)</f>
        <v>44184174</v>
      </c>
      <c r="CA86" s="132">
        <f>SUM(AC86:AN86)</f>
        <v>48312910</v>
      </c>
      <c r="CB86" s="132">
        <f>SUM(AO86:AZ86)</f>
        <v>48493624</v>
      </c>
      <c r="CC86" s="132">
        <f>SUM(BA86:BL86)</f>
        <v>48758090</v>
      </c>
      <c r="CD86" s="132">
        <f>SUM(BM86:BX86)</f>
        <v>48996713</v>
      </c>
    </row>
    <row r="87" spans="1:85" s="98" customFormat="1" outlineLevel="2">
      <c r="A87" s="10">
        <v>3</v>
      </c>
      <c r="B87" s="10">
        <v>365</v>
      </c>
      <c r="C87" s="10" t="s">
        <v>356</v>
      </c>
      <c r="D87" s="10" t="s">
        <v>331</v>
      </c>
      <c r="E87" s="121">
        <v>125040</v>
      </c>
      <c r="F87" s="121">
        <v>138480</v>
      </c>
      <c r="G87" s="121">
        <v>0</v>
      </c>
      <c r="H87" s="121">
        <v>0</v>
      </c>
      <c r="I87" s="121">
        <v>0</v>
      </c>
      <c r="J87" s="121">
        <v>0</v>
      </c>
      <c r="K87" s="121">
        <v>0</v>
      </c>
      <c r="L87" s="121">
        <v>0</v>
      </c>
      <c r="M87" s="121">
        <v>0</v>
      </c>
      <c r="N87" s="121">
        <v>0</v>
      </c>
      <c r="O87" s="121">
        <v>0</v>
      </c>
      <c r="P87" s="121">
        <v>0</v>
      </c>
      <c r="Q87" s="121">
        <v>0</v>
      </c>
      <c r="R87" s="121">
        <v>0</v>
      </c>
      <c r="S87" s="121">
        <v>0</v>
      </c>
      <c r="T87" s="121">
        <v>0</v>
      </c>
      <c r="U87" s="121">
        <v>0</v>
      </c>
      <c r="V87" s="121">
        <v>0</v>
      </c>
      <c r="W87" s="121">
        <v>0</v>
      </c>
      <c r="X87" s="121">
        <v>0</v>
      </c>
      <c r="Y87" s="121">
        <v>0</v>
      </c>
      <c r="Z87" s="121">
        <v>0</v>
      </c>
      <c r="AA87" s="121">
        <v>0</v>
      </c>
      <c r="AB87" s="121">
        <v>0</v>
      </c>
      <c r="AC87" s="121">
        <v>0</v>
      </c>
      <c r="AD87" s="121">
        <v>0</v>
      </c>
      <c r="AE87" s="121">
        <v>0</v>
      </c>
      <c r="AF87" s="121">
        <v>0</v>
      </c>
      <c r="AG87" s="121">
        <v>0</v>
      </c>
      <c r="AH87" s="121">
        <v>0</v>
      </c>
      <c r="AI87" s="121">
        <v>0</v>
      </c>
      <c r="AJ87" s="121">
        <v>0</v>
      </c>
      <c r="AK87" s="121">
        <v>0</v>
      </c>
      <c r="AL87" s="121">
        <v>0</v>
      </c>
      <c r="AM87" s="121">
        <v>0</v>
      </c>
      <c r="AN87" s="121">
        <v>0</v>
      </c>
      <c r="AO87" s="130">
        <v>0</v>
      </c>
      <c r="AP87" s="130">
        <v>0</v>
      </c>
      <c r="AQ87" s="130">
        <v>0</v>
      </c>
      <c r="AR87" s="130">
        <v>0</v>
      </c>
      <c r="AS87" s="130">
        <v>0</v>
      </c>
      <c r="AT87" s="130">
        <v>0</v>
      </c>
      <c r="AU87" s="130">
        <v>0</v>
      </c>
      <c r="AV87" s="130">
        <v>0</v>
      </c>
      <c r="AW87" s="130">
        <v>0</v>
      </c>
      <c r="AX87" s="130">
        <v>0</v>
      </c>
      <c r="AY87" s="130">
        <v>0</v>
      </c>
      <c r="AZ87" s="130">
        <v>0</v>
      </c>
      <c r="BA87" s="130">
        <v>0</v>
      </c>
      <c r="BB87" s="130">
        <v>0</v>
      </c>
      <c r="BC87" s="130">
        <v>0</v>
      </c>
      <c r="BD87" s="130">
        <v>0</v>
      </c>
      <c r="BE87" s="130">
        <v>0</v>
      </c>
      <c r="BF87" s="130">
        <v>0</v>
      </c>
      <c r="BG87" s="130">
        <v>0</v>
      </c>
      <c r="BH87" s="130">
        <v>0</v>
      </c>
      <c r="BI87" s="130">
        <v>0</v>
      </c>
      <c r="BJ87" s="130">
        <v>0</v>
      </c>
      <c r="BK87" s="130">
        <v>0</v>
      </c>
      <c r="BL87" s="130">
        <v>0</v>
      </c>
      <c r="BM87" s="130">
        <v>0</v>
      </c>
      <c r="BN87" s="130">
        <v>0</v>
      </c>
      <c r="BO87" s="130">
        <v>0</v>
      </c>
      <c r="BP87" s="130">
        <v>0</v>
      </c>
      <c r="BQ87" s="130">
        <v>0</v>
      </c>
      <c r="BR87" s="130">
        <v>0</v>
      </c>
      <c r="BS87" s="130">
        <v>0</v>
      </c>
      <c r="BT87" s="130">
        <v>0</v>
      </c>
      <c r="BU87" s="130">
        <v>0</v>
      </c>
      <c r="BV87" s="130">
        <v>0</v>
      </c>
      <c r="BW87" s="130">
        <v>0</v>
      </c>
      <c r="BX87" s="130">
        <v>0</v>
      </c>
      <c r="BY87" s="132">
        <f>SUM(E87:P87)</f>
        <v>263520</v>
      </c>
      <c r="BZ87" s="132">
        <f>SUM(Q87:AB87)</f>
        <v>0</v>
      </c>
      <c r="CA87" s="132">
        <f>SUM(AC87:AN87)</f>
        <v>0</v>
      </c>
      <c r="CB87" s="132">
        <f>SUM(AO87:AZ87)</f>
        <v>0</v>
      </c>
      <c r="CC87" s="132">
        <f>SUM(BA87:BL87)</f>
        <v>0</v>
      </c>
      <c r="CD87" s="132">
        <f>SUM(BM87:BX87)</f>
        <v>0</v>
      </c>
    </row>
    <row r="88" spans="1:85" s="98" customFormat="1" outlineLevel="1">
      <c r="A88" s="10"/>
      <c r="B88" s="10"/>
      <c r="C88" s="10"/>
      <c r="D88" s="137" t="s">
        <v>355</v>
      </c>
      <c r="E88" s="136">
        <f t="shared" ref="E88:AJ88" si="63">SUBTOTAL(9,E84:E87)</f>
        <v>7933640</v>
      </c>
      <c r="F88" s="136">
        <f t="shared" si="63"/>
        <v>9242440</v>
      </c>
      <c r="G88" s="136">
        <f t="shared" si="63"/>
        <v>8323200</v>
      </c>
      <c r="H88" s="136">
        <f t="shared" si="63"/>
        <v>5500747</v>
      </c>
      <c r="I88" s="136">
        <f t="shared" si="63"/>
        <v>6185600</v>
      </c>
      <c r="J88" s="136">
        <f t="shared" si="63"/>
        <v>5923160</v>
      </c>
      <c r="K88" s="136">
        <f t="shared" si="63"/>
        <v>6473410</v>
      </c>
      <c r="L88" s="136">
        <f t="shared" si="63"/>
        <v>5792000</v>
      </c>
      <c r="M88" s="136">
        <f t="shared" si="63"/>
        <v>6718920</v>
      </c>
      <c r="N88" s="136">
        <f t="shared" si="63"/>
        <v>6963397</v>
      </c>
      <c r="O88" s="136">
        <f t="shared" si="63"/>
        <v>6862729</v>
      </c>
      <c r="P88" s="136">
        <f t="shared" si="63"/>
        <v>9125680</v>
      </c>
      <c r="Q88" s="136">
        <f t="shared" si="63"/>
        <v>9757960</v>
      </c>
      <c r="R88" s="136">
        <f t="shared" si="63"/>
        <v>10163310</v>
      </c>
      <c r="S88" s="136">
        <f t="shared" si="63"/>
        <v>8416600</v>
      </c>
      <c r="T88" s="136">
        <f t="shared" si="63"/>
        <v>6758496</v>
      </c>
      <c r="U88" s="136">
        <f t="shared" si="63"/>
        <v>7751320</v>
      </c>
      <c r="V88" s="136">
        <f t="shared" si="63"/>
        <v>7433400</v>
      </c>
      <c r="W88" s="136">
        <f t="shared" si="63"/>
        <v>7610337</v>
      </c>
      <c r="X88" s="136">
        <f t="shared" si="63"/>
        <v>6551120</v>
      </c>
      <c r="Y88" s="136">
        <f t="shared" si="63"/>
        <v>7670080</v>
      </c>
      <c r="Z88" s="136">
        <f t="shared" si="63"/>
        <v>6685795</v>
      </c>
      <c r="AA88" s="136">
        <f t="shared" si="63"/>
        <v>7512269</v>
      </c>
      <c r="AB88" s="136">
        <f t="shared" si="63"/>
        <v>8495950</v>
      </c>
      <c r="AC88" s="136">
        <f t="shared" si="63"/>
        <v>9607441</v>
      </c>
      <c r="AD88" s="136">
        <f t="shared" si="63"/>
        <v>10072727</v>
      </c>
      <c r="AE88" s="136">
        <f t="shared" si="63"/>
        <v>10453520</v>
      </c>
      <c r="AF88" s="136">
        <f t="shared" si="63"/>
        <v>7471167</v>
      </c>
      <c r="AG88" s="136">
        <f t="shared" si="63"/>
        <v>6176872</v>
      </c>
      <c r="AH88" s="136">
        <f t="shared" si="63"/>
        <v>6050675</v>
      </c>
      <c r="AI88" s="136">
        <f t="shared" si="63"/>
        <v>7308995</v>
      </c>
      <c r="AJ88" s="136">
        <f t="shared" si="63"/>
        <v>6429188</v>
      </c>
      <c r="AK88" s="136">
        <f t="shared" ref="AK88:BP88" si="64">SUBTOTAL(9,AK84:AK87)</f>
        <v>7130829</v>
      </c>
      <c r="AL88" s="136">
        <f t="shared" si="64"/>
        <v>6625389</v>
      </c>
      <c r="AM88" s="136">
        <f t="shared" si="64"/>
        <v>7482611</v>
      </c>
      <c r="AN88" s="136">
        <f t="shared" si="64"/>
        <v>8423467</v>
      </c>
      <c r="AO88" s="135">
        <f t="shared" si="64"/>
        <v>9434933</v>
      </c>
      <c r="AP88" s="135">
        <f t="shared" si="64"/>
        <v>9865248</v>
      </c>
      <c r="AQ88" s="135">
        <f t="shared" si="64"/>
        <v>10238008</v>
      </c>
      <c r="AR88" s="135">
        <f t="shared" si="64"/>
        <v>7380462</v>
      </c>
      <c r="AS88" s="135">
        <f t="shared" si="64"/>
        <v>6178114</v>
      </c>
      <c r="AT88" s="135">
        <f t="shared" si="64"/>
        <v>6049593</v>
      </c>
      <c r="AU88" s="135">
        <f t="shared" si="64"/>
        <v>7307454</v>
      </c>
      <c r="AV88" s="135">
        <f t="shared" si="64"/>
        <v>6430502</v>
      </c>
      <c r="AW88" s="135">
        <f t="shared" si="64"/>
        <v>7137313</v>
      </c>
      <c r="AX88" s="135">
        <f t="shared" si="64"/>
        <v>6636991</v>
      </c>
      <c r="AY88" s="135">
        <f t="shared" si="64"/>
        <v>7453488</v>
      </c>
      <c r="AZ88" s="135">
        <f t="shared" si="64"/>
        <v>8251604</v>
      </c>
      <c r="BA88" s="135">
        <f t="shared" si="64"/>
        <v>9277898</v>
      </c>
      <c r="BB88" s="135">
        <f t="shared" si="64"/>
        <v>9713852</v>
      </c>
      <c r="BC88" s="135">
        <f t="shared" si="64"/>
        <v>10094856</v>
      </c>
      <c r="BD88" s="135">
        <f t="shared" si="64"/>
        <v>7342663</v>
      </c>
      <c r="BE88" s="135">
        <f t="shared" si="64"/>
        <v>6195486</v>
      </c>
      <c r="BF88" s="135">
        <f t="shared" si="64"/>
        <v>6053332</v>
      </c>
      <c r="BG88" s="135">
        <f t="shared" si="64"/>
        <v>7318982</v>
      </c>
      <c r="BH88" s="135">
        <f t="shared" si="64"/>
        <v>6440448</v>
      </c>
      <c r="BI88" s="135">
        <f t="shared" si="64"/>
        <v>7151372</v>
      </c>
      <c r="BJ88" s="135">
        <f t="shared" si="64"/>
        <v>6651382</v>
      </c>
      <c r="BK88" s="135">
        <f t="shared" si="64"/>
        <v>7461001</v>
      </c>
      <c r="BL88" s="135">
        <f t="shared" si="64"/>
        <v>8228249</v>
      </c>
      <c r="BM88" s="135">
        <f t="shared" si="64"/>
        <v>9387426</v>
      </c>
      <c r="BN88" s="135">
        <f t="shared" si="64"/>
        <v>9693264</v>
      </c>
      <c r="BO88" s="135">
        <f t="shared" si="64"/>
        <v>10057429</v>
      </c>
      <c r="BP88" s="135">
        <f t="shared" si="64"/>
        <v>7331968</v>
      </c>
      <c r="BQ88" s="135">
        <f t="shared" ref="BQ88:CD88" si="65">SUBTOTAL(9,BQ84:BQ87)</f>
        <v>6226017</v>
      </c>
      <c r="BR88" s="135">
        <f t="shared" si="65"/>
        <v>6090730</v>
      </c>
      <c r="BS88" s="135">
        <f t="shared" si="65"/>
        <v>7321332</v>
      </c>
      <c r="BT88" s="135">
        <f t="shared" si="65"/>
        <v>6417240</v>
      </c>
      <c r="BU88" s="135">
        <f t="shared" si="65"/>
        <v>7121848</v>
      </c>
      <c r="BV88" s="135">
        <f t="shared" si="65"/>
        <v>6636960</v>
      </c>
      <c r="BW88" s="135">
        <f t="shared" si="65"/>
        <v>7379527</v>
      </c>
      <c r="BX88" s="135">
        <f t="shared" si="65"/>
        <v>8126864</v>
      </c>
      <c r="BY88" s="134">
        <f t="shared" si="65"/>
        <v>85044923</v>
      </c>
      <c r="BZ88" s="134">
        <f t="shared" si="65"/>
        <v>94806637</v>
      </c>
      <c r="CA88" s="134">
        <f t="shared" si="65"/>
        <v>93232881</v>
      </c>
      <c r="CB88" s="134">
        <f t="shared" si="65"/>
        <v>92363710</v>
      </c>
      <c r="CC88" s="134">
        <f t="shared" si="65"/>
        <v>91929521</v>
      </c>
      <c r="CD88" s="134">
        <f t="shared" si="65"/>
        <v>91790605</v>
      </c>
      <c r="CF88" s="145">
        <f>SUM(Z88:AK88)</f>
        <v>93395428</v>
      </c>
      <c r="CG88" s="145">
        <f>SUM(AL88:AW88)</f>
        <v>92553094</v>
      </c>
    </row>
    <row r="89" spans="1:85" s="98" customFormat="1" outlineLevel="2">
      <c r="A89" s="10">
        <v>2</v>
      </c>
      <c r="B89" s="10">
        <v>87</v>
      </c>
      <c r="C89" s="10" t="s">
        <v>53</v>
      </c>
      <c r="D89" s="131" t="s">
        <v>53</v>
      </c>
      <c r="E89" s="121">
        <v>8253428</v>
      </c>
      <c r="F89" s="121">
        <v>8050906</v>
      </c>
      <c r="G89" s="121">
        <v>8189761</v>
      </c>
      <c r="H89" s="121">
        <v>8143835</v>
      </c>
      <c r="I89" s="121">
        <v>8481021</v>
      </c>
      <c r="J89" s="121">
        <v>8256563</v>
      </c>
      <c r="K89" s="121">
        <v>8254388</v>
      </c>
      <c r="L89" s="121">
        <v>8243791</v>
      </c>
      <c r="M89" s="121">
        <v>8257354</v>
      </c>
      <c r="N89" s="121">
        <v>8221862</v>
      </c>
      <c r="O89" s="121">
        <v>8394325</v>
      </c>
      <c r="P89" s="121">
        <v>8272902</v>
      </c>
      <c r="Q89" s="121">
        <v>8272687</v>
      </c>
      <c r="R89" s="121">
        <v>7754568</v>
      </c>
      <c r="S89" s="121">
        <v>8780377</v>
      </c>
      <c r="T89" s="121">
        <v>7695936</v>
      </c>
      <c r="U89" s="121">
        <v>8849073</v>
      </c>
      <c r="V89" s="121">
        <v>8244857</v>
      </c>
      <c r="W89" s="121">
        <v>8192605</v>
      </c>
      <c r="X89" s="121">
        <v>8316840</v>
      </c>
      <c r="Y89" s="121">
        <v>8291900</v>
      </c>
      <c r="Z89" s="121">
        <v>7903784</v>
      </c>
      <c r="AA89" s="121">
        <v>8035959</v>
      </c>
      <c r="AB89" s="121">
        <v>8007574</v>
      </c>
      <c r="AC89" s="121">
        <v>7628045</v>
      </c>
      <c r="AD89" s="121">
        <v>7993214</v>
      </c>
      <c r="AE89" s="121">
        <v>8855298</v>
      </c>
      <c r="AF89" s="121">
        <v>7755850</v>
      </c>
      <c r="AG89" s="121">
        <v>8685724</v>
      </c>
      <c r="AH89" s="121">
        <v>7593916</v>
      </c>
      <c r="AI89" s="121">
        <v>7876818</v>
      </c>
      <c r="AJ89" s="121">
        <v>7863735</v>
      </c>
      <c r="AK89" s="121">
        <v>7878107</v>
      </c>
      <c r="AL89" s="121">
        <v>7832775</v>
      </c>
      <c r="AM89" s="121">
        <v>8028772</v>
      </c>
      <c r="AN89" s="121">
        <v>8027516</v>
      </c>
      <c r="AO89" s="130">
        <v>7665215</v>
      </c>
      <c r="AP89" s="130">
        <v>8031889</v>
      </c>
      <c r="AQ89" s="130">
        <v>8895363</v>
      </c>
      <c r="AR89" s="130">
        <v>7795819</v>
      </c>
      <c r="AS89" s="130">
        <v>8729332</v>
      </c>
      <c r="AT89" s="130">
        <v>7634966</v>
      </c>
      <c r="AU89" s="130">
        <v>7920448</v>
      </c>
      <c r="AV89" s="130">
        <v>7914431</v>
      </c>
      <c r="AW89" s="130">
        <v>7938426</v>
      </c>
      <c r="AX89" s="130">
        <v>7909297</v>
      </c>
      <c r="AY89" s="130">
        <v>8130498</v>
      </c>
      <c r="AZ89" s="130">
        <v>8151918</v>
      </c>
      <c r="BA89" s="130">
        <v>7788211</v>
      </c>
      <c r="BB89" s="130">
        <v>8159666</v>
      </c>
      <c r="BC89" s="130">
        <v>9029572</v>
      </c>
      <c r="BD89" s="130">
        <v>7904006</v>
      </c>
      <c r="BE89" s="130">
        <v>8839198</v>
      </c>
      <c r="BF89" s="130">
        <v>7716176</v>
      </c>
      <c r="BG89" s="130">
        <v>8016173</v>
      </c>
      <c r="BH89" s="130">
        <v>8013676</v>
      </c>
      <c r="BI89" s="130">
        <v>8046139</v>
      </c>
      <c r="BJ89" s="130">
        <v>8024576</v>
      </c>
      <c r="BK89" s="130">
        <v>8269900</v>
      </c>
      <c r="BL89" s="130">
        <v>8310108</v>
      </c>
      <c r="BM89" s="130">
        <v>8098727</v>
      </c>
      <c r="BN89" s="130">
        <v>8338383</v>
      </c>
      <c r="BO89" s="130">
        <v>9210578</v>
      </c>
      <c r="BP89" s="130">
        <v>8047547</v>
      </c>
      <c r="BQ89" s="130">
        <v>9020814</v>
      </c>
      <c r="BR89" s="130">
        <v>7894028</v>
      </c>
      <c r="BS89" s="130">
        <v>8154475</v>
      </c>
      <c r="BT89" s="130">
        <v>8119321</v>
      </c>
      <c r="BU89" s="130">
        <v>8150117</v>
      </c>
      <c r="BV89" s="130">
        <v>8150199</v>
      </c>
      <c r="BW89" s="130">
        <v>8375455</v>
      </c>
      <c r="BX89" s="130">
        <v>8487992</v>
      </c>
      <c r="BY89" s="132">
        <f>SUM(E89:P89)</f>
        <v>99020136</v>
      </c>
      <c r="BZ89" s="132">
        <f>SUM(Q89:AB89)</f>
        <v>98346160</v>
      </c>
      <c r="CA89" s="132">
        <f>SUM(AC89:AN89)</f>
        <v>96019770</v>
      </c>
      <c r="CB89" s="132">
        <f>SUM(AO89:AZ89)</f>
        <v>96717602</v>
      </c>
      <c r="CC89" s="132">
        <f>SUM(BA89:BL89)</f>
        <v>98117401</v>
      </c>
      <c r="CD89" s="132">
        <f>SUM(BM89:BX89)</f>
        <v>100047636</v>
      </c>
    </row>
    <row r="90" spans="1:85" s="98" customFormat="1" outlineLevel="2">
      <c r="A90" s="10">
        <v>4</v>
      </c>
      <c r="B90" s="131">
        <v>87</v>
      </c>
      <c r="C90" s="10" t="s">
        <v>53</v>
      </c>
      <c r="D90" s="131" t="s">
        <v>53</v>
      </c>
      <c r="E90" s="121">
        <v>30621779</v>
      </c>
      <c r="F90" s="121">
        <v>34297120</v>
      </c>
      <c r="G90" s="121">
        <v>33337142</v>
      </c>
      <c r="H90" s="121">
        <v>29734832</v>
      </c>
      <c r="I90" s="121">
        <v>34697100</v>
      </c>
      <c r="J90" s="121">
        <v>33683721</v>
      </c>
      <c r="K90" s="121">
        <v>32838079</v>
      </c>
      <c r="L90" s="121">
        <v>32161471</v>
      </c>
      <c r="M90" s="121">
        <v>33502768</v>
      </c>
      <c r="N90" s="121">
        <v>32316014</v>
      </c>
      <c r="O90" s="121">
        <v>31173896</v>
      </c>
      <c r="P90" s="121">
        <v>32709656</v>
      </c>
      <c r="Q90" s="121">
        <v>33345082</v>
      </c>
      <c r="R90" s="121">
        <v>32426415</v>
      </c>
      <c r="S90" s="121">
        <v>33293252</v>
      </c>
      <c r="T90" s="121">
        <v>33173589</v>
      </c>
      <c r="U90" s="121">
        <v>33191115</v>
      </c>
      <c r="V90" s="121">
        <v>33483995</v>
      </c>
      <c r="W90" s="121">
        <v>33888401</v>
      </c>
      <c r="X90" s="121">
        <v>33760525</v>
      </c>
      <c r="Y90" s="121">
        <v>33461110</v>
      </c>
      <c r="Z90" s="121">
        <v>33669908</v>
      </c>
      <c r="AA90" s="121">
        <v>33762479</v>
      </c>
      <c r="AB90" s="121">
        <v>34006238</v>
      </c>
      <c r="AC90" s="121">
        <v>33888419</v>
      </c>
      <c r="AD90" s="121">
        <v>34000385</v>
      </c>
      <c r="AE90" s="121">
        <v>33896350</v>
      </c>
      <c r="AF90" s="121">
        <v>33880271</v>
      </c>
      <c r="AG90" s="121">
        <v>34166180</v>
      </c>
      <c r="AH90" s="121">
        <v>34070135</v>
      </c>
      <c r="AI90" s="121">
        <v>34141892</v>
      </c>
      <c r="AJ90" s="121">
        <v>34152890</v>
      </c>
      <c r="AK90" s="121">
        <v>34333016</v>
      </c>
      <c r="AL90" s="121">
        <v>34456940</v>
      </c>
      <c r="AM90" s="121">
        <v>34552910</v>
      </c>
      <c r="AN90" s="121">
        <v>34806749</v>
      </c>
      <c r="AO90" s="130">
        <v>34684460</v>
      </c>
      <c r="AP90" s="130">
        <v>34800566</v>
      </c>
      <c r="AQ90" s="130">
        <v>34695556</v>
      </c>
      <c r="AR90" s="130">
        <v>34680692</v>
      </c>
      <c r="AS90" s="130">
        <v>34975014</v>
      </c>
      <c r="AT90" s="130">
        <v>34878331</v>
      </c>
      <c r="AU90" s="130">
        <v>34953558</v>
      </c>
      <c r="AV90" s="130">
        <v>34966645</v>
      </c>
      <c r="AW90" s="130">
        <v>35149783</v>
      </c>
      <c r="AX90" s="130">
        <v>35281716</v>
      </c>
      <c r="AY90" s="130">
        <v>35382000</v>
      </c>
      <c r="AZ90" s="130">
        <v>35640838</v>
      </c>
      <c r="BA90" s="130">
        <v>35517767</v>
      </c>
      <c r="BB90" s="130">
        <v>35641970</v>
      </c>
      <c r="BC90" s="130">
        <v>35533505</v>
      </c>
      <c r="BD90" s="130">
        <v>35520572</v>
      </c>
      <c r="BE90" s="130">
        <v>35824372</v>
      </c>
      <c r="BF90" s="130">
        <v>35724551</v>
      </c>
      <c r="BG90" s="130">
        <v>35807123</v>
      </c>
      <c r="BH90" s="130">
        <v>35822981</v>
      </c>
      <c r="BI90" s="130">
        <v>36013093</v>
      </c>
      <c r="BJ90" s="130">
        <v>36147623</v>
      </c>
      <c r="BK90" s="130">
        <v>36252939</v>
      </c>
      <c r="BL90" s="130">
        <v>36520766</v>
      </c>
      <c r="BM90" s="130">
        <v>36400440</v>
      </c>
      <c r="BN90" s="130">
        <v>36527274</v>
      </c>
      <c r="BO90" s="130">
        <v>36418854</v>
      </c>
      <c r="BP90" s="130">
        <v>36408362</v>
      </c>
      <c r="BQ90" s="130">
        <v>36722557</v>
      </c>
      <c r="BR90" s="130">
        <v>36623053</v>
      </c>
      <c r="BS90" s="130">
        <v>36707374</v>
      </c>
      <c r="BT90" s="130">
        <v>36726500</v>
      </c>
      <c r="BU90" s="130">
        <v>36924321</v>
      </c>
      <c r="BV90" s="130">
        <v>37065195</v>
      </c>
      <c r="BW90" s="130">
        <v>37176154</v>
      </c>
      <c r="BX90" s="130">
        <v>37456912</v>
      </c>
      <c r="BY90" s="132">
        <f>SUM(E90:P90)</f>
        <v>391073578</v>
      </c>
      <c r="BZ90" s="132">
        <f>SUM(Q90:AB90)</f>
        <v>401462109</v>
      </c>
      <c r="CA90" s="132">
        <f>SUM(AC90:AN90)</f>
        <v>410346137</v>
      </c>
      <c r="CB90" s="132">
        <f>SUM(AO90:AZ90)</f>
        <v>420089159</v>
      </c>
      <c r="CC90" s="132">
        <f>SUM(BA90:BL90)</f>
        <v>430327262</v>
      </c>
      <c r="CD90" s="132">
        <f>SUM(BM90:BX90)</f>
        <v>441156996</v>
      </c>
    </row>
    <row r="91" spans="1:85" s="98" customFormat="1" outlineLevel="1">
      <c r="A91" s="10"/>
      <c r="B91" s="10"/>
      <c r="C91" s="10"/>
      <c r="D91" s="137" t="s">
        <v>354</v>
      </c>
      <c r="E91" s="136">
        <f t="shared" ref="E91:AJ91" si="66">SUBTOTAL(9,E89:E90)</f>
        <v>38875207</v>
      </c>
      <c r="F91" s="136">
        <f t="shared" si="66"/>
        <v>42348026</v>
      </c>
      <c r="G91" s="136">
        <f t="shared" si="66"/>
        <v>41526903</v>
      </c>
      <c r="H91" s="136">
        <f t="shared" si="66"/>
        <v>37878667</v>
      </c>
      <c r="I91" s="136">
        <f t="shared" si="66"/>
        <v>43178121</v>
      </c>
      <c r="J91" s="136">
        <f t="shared" si="66"/>
        <v>41940284</v>
      </c>
      <c r="K91" s="136">
        <f t="shared" si="66"/>
        <v>41092467</v>
      </c>
      <c r="L91" s="136">
        <f t="shared" si="66"/>
        <v>40405262</v>
      </c>
      <c r="M91" s="136">
        <f t="shared" si="66"/>
        <v>41760122</v>
      </c>
      <c r="N91" s="136">
        <f t="shared" si="66"/>
        <v>40537876</v>
      </c>
      <c r="O91" s="136">
        <f t="shared" si="66"/>
        <v>39568221</v>
      </c>
      <c r="P91" s="136">
        <f t="shared" si="66"/>
        <v>40982558</v>
      </c>
      <c r="Q91" s="136">
        <f t="shared" si="66"/>
        <v>41617769</v>
      </c>
      <c r="R91" s="136">
        <f t="shared" si="66"/>
        <v>40180983</v>
      </c>
      <c r="S91" s="136">
        <f t="shared" si="66"/>
        <v>42073629</v>
      </c>
      <c r="T91" s="136">
        <f t="shared" si="66"/>
        <v>40869525</v>
      </c>
      <c r="U91" s="136">
        <f t="shared" si="66"/>
        <v>42040188</v>
      </c>
      <c r="V91" s="136">
        <f t="shared" si="66"/>
        <v>41728852</v>
      </c>
      <c r="W91" s="136">
        <f t="shared" si="66"/>
        <v>42081006</v>
      </c>
      <c r="X91" s="136">
        <f t="shared" si="66"/>
        <v>42077365</v>
      </c>
      <c r="Y91" s="136">
        <f t="shared" si="66"/>
        <v>41753010</v>
      </c>
      <c r="Z91" s="136">
        <f t="shared" si="66"/>
        <v>41573692</v>
      </c>
      <c r="AA91" s="136">
        <f t="shared" si="66"/>
        <v>41798438</v>
      </c>
      <c r="AB91" s="136">
        <f t="shared" si="66"/>
        <v>42013812</v>
      </c>
      <c r="AC91" s="136">
        <f t="shared" si="66"/>
        <v>41516464</v>
      </c>
      <c r="AD91" s="136">
        <f t="shared" si="66"/>
        <v>41993599</v>
      </c>
      <c r="AE91" s="136">
        <f t="shared" si="66"/>
        <v>42751648</v>
      </c>
      <c r="AF91" s="136">
        <f t="shared" si="66"/>
        <v>41636121</v>
      </c>
      <c r="AG91" s="136">
        <f t="shared" si="66"/>
        <v>42851904</v>
      </c>
      <c r="AH91" s="136">
        <f t="shared" si="66"/>
        <v>41664051</v>
      </c>
      <c r="AI91" s="136">
        <f t="shared" si="66"/>
        <v>42018710</v>
      </c>
      <c r="AJ91" s="136">
        <f t="shared" si="66"/>
        <v>42016625</v>
      </c>
      <c r="AK91" s="136">
        <f t="shared" ref="AK91:BP91" si="67">SUBTOTAL(9,AK89:AK90)</f>
        <v>42211123</v>
      </c>
      <c r="AL91" s="136">
        <f t="shared" si="67"/>
        <v>42289715</v>
      </c>
      <c r="AM91" s="136">
        <f t="shared" si="67"/>
        <v>42581682</v>
      </c>
      <c r="AN91" s="136">
        <f t="shared" si="67"/>
        <v>42834265</v>
      </c>
      <c r="AO91" s="135">
        <f t="shared" si="67"/>
        <v>42349675</v>
      </c>
      <c r="AP91" s="135">
        <f t="shared" si="67"/>
        <v>42832455</v>
      </c>
      <c r="AQ91" s="135">
        <f t="shared" si="67"/>
        <v>43590919</v>
      </c>
      <c r="AR91" s="135">
        <f t="shared" si="67"/>
        <v>42476511</v>
      </c>
      <c r="AS91" s="135">
        <f t="shared" si="67"/>
        <v>43704346</v>
      </c>
      <c r="AT91" s="135">
        <f t="shared" si="67"/>
        <v>42513297</v>
      </c>
      <c r="AU91" s="135">
        <f t="shared" si="67"/>
        <v>42874006</v>
      </c>
      <c r="AV91" s="135">
        <f t="shared" si="67"/>
        <v>42881076</v>
      </c>
      <c r="AW91" s="135">
        <f t="shared" si="67"/>
        <v>43088209</v>
      </c>
      <c r="AX91" s="135">
        <f t="shared" si="67"/>
        <v>43191013</v>
      </c>
      <c r="AY91" s="135">
        <f t="shared" si="67"/>
        <v>43512498</v>
      </c>
      <c r="AZ91" s="135">
        <f t="shared" si="67"/>
        <v>43792756</v>
      </c>
      <c r="BA91" s="135">
        <f t="shared" si="67"/>
        <v>43305978</v>
      </c>
      <c r="BB91" s="135">
        <f t="shared" si="67"/>
        <v>43801636</v>
      </c>
      <c r="BC91" s="135">
        <f t="shared" si="67"/>
        <v>44563077</v>
      </c>
      <c r="BD91" s="135">
        <f t="shared" si="67"/>
        <v>43424578</v>
      </c>
      <c r="BE91" s="135">
        <f t="shared" si="67"/>
        <v>44663570</v>
      </c>
      <c r="BF91" s="135">
        <f t="shared" si="67"/>
        <v>43440727</v>
      </c>
      <c r="BG91" s="135">
        <f t="shared" si="67"/>
        <v>43823296</v>
      </c>
      <c r="BH91" s="135">
        <f t="shared" si="67"/>
        <v>43836657</v>
      </c>
      <c r="BI91" s="135">
        <f t="shared" si="67"/>
        <v>44059232</v>
      </c>
      <c r="BJ91" s="135">
        <f t="shared" si="67"/>
        <v>44172199</v>
      </c>
      <c r="BK91" s="135">
        <f t="shared" si="67"/>
        <v>44522839</v>
      </c>
      <c r="BL91" s="135">
        <f t="shared" si="67"/>
        <v>44830874</v>
      </c>
      <c r="BM91" s="135">
        <f t="shared" si="67"/>
        <v>44499167</v>
      </c>
      <c r="BN91" s="135">
        <f t="shared" si="67"/>
        <v>44865657</v>
      </c>
      <c r="BO91" s="135">
        <f t="shared" si="67"/>
        <v>45629432</v>
      </c>
      <c r="BP91" s="135">
        <f t="shared" si="67"/>
        <v>44455909</v>
      </c>
      <c r="BQ91" s="135">
        <f t="shared" ref="BQ91:CD91" si="68">SUBTOTAL(9,BQ89:BQ90)</f>
        <v>45743371</v>
      </c>
      <c r="BR91" s="135">
        <f t="shared" si="68"/>
        <v>44517081</v>
      </c>
      <c r="BS91" s="135">
        <f t="shared" si="68"/>
        <v>44861849</v>
      </c>
      <c r="BT91" s="135">
        <f t="shared" si="68"/>
        <v>44845821</v>
      </c>
      <c r="BU91" s="135">
        <f t="shared" si="68"/>
        <v>45074438</v>
      </c>
      <c r="BV91" s="135">
        <f t="shared" si="68"/>
        <v>45215394</v>
      </c>
      <c r="BW91" s="135">
        <f t="shared" si="68"/>
        <v>45551609</v>
      </c>
      <c r="BX91" s="135">
        <f t="shared" si="68"/>
        <v>45944904</v>
      </c>
      <c r="BY91" s="134">
        <f t="shared" si="68"/>
        <v>490093714</v>
      </c>
      <c r="BZ91" s="134">
        <f t="shared" si="68"/>
        <v>499808269</v>
      </c>
      <c r="CA91" s="134">
        <f t="shared" si="68"/>
        <v>506365907</v>
      </c>
      <c r="CB91" s="134">
        <f t="shared" si="68"/>
        <v>516806761</v>
      </c>
      <c r="CC91" s="134">
        <f t="shared" si="68"/>
        <v>528444663</v>
      </c>
      <c r="CD91" s="134">
        <f t="shared" si="68"/>
        <v>541204632</v>
      </c>
      <c r="CF91" s="145">
        <f>SUM(Z91:AK91)</f>
        <v>504046187</v>
      </c>
      <c r="CG91" s="145">
        <f>SUM(AL91:AW91)</f>
        <v>514016156</v>
      </c>
    </row>
    <row r="92" spans="1:85" s="98" customFormat="1" outlineLevel="2">
      <c r="A92" s="10">
        <v>2</v>
      </c>
      <c r="B92" s="10">
        <v>86</v>
      </c>
      <c r="C92" s="10" t="s">
        <v>55</v>
      </c>
      <c r="D92" s="131" t="s">
        <v>55</v>
      </c>
      <c r="E92" s="121">
        <v>1737</v>
      </c>
      <c r="F92" s="121">
        <v>1737</v>
      </c>
      <c r="G92" s="121">
        <v>1737</v>
      </c>
      <c r="H92" s="121">
        <v>1737</v>
      </c>
      <c r="I92" s="121">
        <v>1737</v>
      </c>
      <c r="J92" s="121">
        <v>1737</v>
      </c>
      <c r="K92" s="121">
        <v>1737</v>
      </c>
      <c r="L92" s="121">
        <v>1737</v>
      </c>
      <c r="M92" s="121">
        <v>1737</v>
      </c>
      <c r="N92" s="121">
        <v>1737</v>
      </c>
      <c r="O92" s="121">
        <v>1737</v>
      </c>
      <c r="P92" s="121">
        <v>1737</v>
      </c>
      <c r="Q92" s="121">
        <v>1737</v>
      </c>
      <c r="R92" s="121">
        <v>1737</v>
      </c>
      <c r="S92" s="121">
        <v>1737</v>
      </c>
      <c r="T92" s="121">
        <v>1737</v>
      </c>
      <c r="U92" s="121">
        <v>1737</v>
      </c>
      <c r="V92" s="121">
        <v>1737</v>
      </c>
      <c r="W92" s="121">
        <v>1737</v>
      </c>
      <c r="X92" s="121">
        <v>1737</v>
      </c>
      <c r="Y92" s="121">
        <v>1737</v>
      </c>
      <c r="Z92" s="121">
        <v>1737</v>
      </c>
      <c r="AA92" s="121">
        <v>1737</v>
      </c>
      <c r="AB92" s="121">
        <v>1737</v>
      </c>
      <c r="AC92" s="121">
        <v>1737</v>
      </c>
      <c r="AD92" s="121">
        <v>1737</v>
      </c>
      <c r="AE92" s="121">
        <v>1737</v>
      </c>
      <c r="AF92" s="121">
        <v>1737</v>
      </c>
      <c r="AG92" s="121">
        <v>1737</v>
      </c>
      <c r="AH92" s="121">
        <v>1737</v>
      </c>
      <c r="AI92" s="121">
        <v>1737</v>
      </c>
      <c r="AJ92" s="121">
        <v>1737</v>
      </c>
      <c r="AK92" s="121">
        <v>1737</v>
      </c>
      <c r="AL92" s="121">
        <v>1737</v>
      </c>
      <c r="AM92" s="121">
        <v>1737</v>
      </c>
      <c r="AN92" s="121">
        <v>1737</v>
      </c>
      <c r="AO92" s="130">
        <v>1737</v>
      </c>
      <c r="AP92" s="130">
        <v>1737</v>
      </c>
      <c r="AQ92" s="130">
        <v>1737</v>
      </c>
      <c r="AR92" s="130">
        <v>1737</v>
      </c>
      <c r="AS92" s="130">
        <v>1737</v>
      </c>
      <c r="AT92" s="130">
        <v>1737</v>
      </c>
      <c r="AU92" s="130">
        <v>1737</v>
      </c>
      <c r="AV92" s="130">
        <v>1737</v>
      </c>
      <c r="AW92" s="130">
        <v>1737</v>
      </c>
      <c r="AX92" s="130">
        <v>1737</v>
      </c>
      <c r="AY92" s="130">
        <v>1737</v>
      </c>
      <c r="AZ92" s="130">
        <v>1737</v>
      </c>
      <c r="BA92" s="130">
        <v>1737</v>
      </c>
      <c r="BB92" s="130">
        <v>1737</v>
      </c>
      <c r="BC92" s="130">
        <v>1737</v>
      </c>
      <c r="BD92" s="130">
        <v>1737</v>
      </c>
      <c r="BE92" s="130">
        <v>1737</v>
      </c>
      <c r="BF92" s="130">
        <v>1737</v>
      </c>
      <c r="BG92" s="130">
        <v>1737</v>
      </c>
      <c r="BH92" s="130">
        <v>1737</v>
      </c>
      <c r="BI92" s="130">
        <v>1737</v>
      </c>
      <c r="BJ92" s="130">
        <v>1737</v>
      </c>
      <c r="BK92" s="130">
        <v>1737</v>
      </c>
      <c r="BL92" s="130">
        <v>1737</v>
      </c>
      <c r="BM92" s="130">
        <v>1737</v>
      </c>
      <c r="BN92" s="130">
        <v>1737</v>
      </c>
      <c r="BO92" s="130">
        <v>1737</v>
      </c>
      <c r="BP92" s="130">
        <v>1737</v>
      </c>
      <c r="BQ92" s="130">
        <v>1737</v>
      </c>
      <c r="BR92" s="130">
        <v>1737</v>
      </c>
      <c r="BS92" s="130">
        <v>1737</v>
      </c>
      <c r="BT92" s="130">
        <v>1737</v>
      </c>
      <c r="BU92" s="130">
        <v>1737</v>
      </c>
      <c r="BV92" s="130">
        <v>1737</v>
      </c>
      <c r="BW92" s="130">
        <v>1737</v>
      </c>
      <c r="BX92" s="130">
        <v>1737</v>
      </c>
      <c r="BY92" s="132">
        <f>SUM(E92:P92)</f>
        <v>20844</v>
      </c>
      <c r="BZ92" s="132">
        <f>SUM(Q92:AB92)</f>
        <v>20844</v>
      </c>
      <c r="CA92" s="132">
        <f>SUM(AC92:AN92)</f>
        <v>20844</v>
      </c>
      <c r="CB92" s="132">
        <f>SUM(AO92:AZ92)</f>
        <v>20844</v>
      </c>
      <c r="CC92" s="132">
        <f>SUM(BA92:BL92)</f>
        <v>20844</v>
      </c>
      <c r="CD92" s="132">
        <f>SUM(BM92:BX92)</f>
        <v>20844</v>
      </c>
    </row>
    <row r="93" spans="1:85" s="98" customFormat="1" outlineLevel="2">
      <c r="A93" s="10">
        <v>4</v>
      </c>
      <c r="B93" s="131">
        <v>86</v>
      </c>
      <c r="C93" s="10" t="s">
        <v>55</v>
      </c>
      <c r="D93" s="131" t="s">
        <v>55</v>
      </c>
      <c r="E93" s="121">
        <v>2767303</v>
      </c>
      <c r="F93" s="121">
        <v>2762825</v>
      </c>
      <c r="G93" s="121">
        <v>2542565</v>
      </c>
      <c r="H93" s="121">
        <v>2372126</v>
      </c>
      <c r="I93" s="121">
        <v>2454882</v>
      </c>
      <c r="J93" s="121">
        <v>1727406</v>
      </c>
      <c r="K93" s="121">
        <v>3205528</v>
      </c>
      <c r="L93" s="121">
        <v>2617818</v>
      </c>
      <c r="M93" s="121">
        <v>2539949</v>
      </c>
      <c r="N93" s="121">
        <v>2546530</v>
      </c>
      <c r="O93" s="121">
        <v>2543523</v>
      </c>
      <c r="P93" s="121">
        <v>2544383</v>
      </c>
      <c r="Q93" s="121">
        <v>2548067</v>
      </c>
      <c r="R93" s="121">
        <v>2538528</v>
      </c>
      <c r="S93" s="121">
        <v>2556416</v>
      </c>
      <c r="T93" s="121">
        <v>2566787</v>
      </c>
      <c r="U93" s="121">
        <v>2566220</v>
      </c>
      <c r="V93" s="121">
        <v>2562192</v>
      </c>
      <c r="W93" s="121">
        <v>2566210</v>
      </c>
      <c r="X93" s="121">
        <v>2634777</v>
      </c>
      <c r="Y93" s="121">
        <v>2573709</v>
      </c>
      <c r="Z93" s="121">
        <v>2578504</v>
      </c>
      <c r="AA93" s="121">
        <v>2584695</v>
      </c>
      <c r="AB93" s="121">
        <v>2590886</v>
      </c>
      <c r="AC93" s="121">
        <v>2593981</v>
      </c>
      <c r="AD93" s="121">
        <v>2600172</v>
      </c>
      <c r="AE93" s="121">
        <v>2603268</v>
      </c>
      <c r="AF93" s="121">
        <v>2609459</v>
      </c>
      <c r="AG93" s="121">
        <v>2615649</v>
      </c>
      <c r="AH93" s="121">
        <v>2618745</v>
      </c>
      <c r="AI93" s="121">
        <v>2624936</v>
      </c>
      <c r="AJ93" s="121">
        <v>2631127</v>
      </c>
      <c r="AK93" s="121">
        <v>2634222</v>
      </c>
      <c r="AL93" s="121">
        <v>2640413</v>
      </c>
      <c r="AM93" s="121">
        <v>2646604</v>
      </c>
      <c r="AN93" s="121">
        <v>2649699</v>
      </c>
      <c r="AO93" s="130">
        <v>2655890</v>
      </c>
      <c r="AP93" s="130">
        <v>2662081</v>
      </c>
      <c r="AQ93" s="130">
        <v>2665176</v>
      </c>
      <c r="AR93" s="130">
        <v>2671367</v>
      </c>
      <c r="AS93" s="130">
        <v>2677558</v>
      </c>
      <c r="AT93" s="130">
        <v>2680654</v>
      </c>
      <c r="AU93" s="130">
        <v>2686845</v>
      </c>
      <c r="AV93" s="130">
        <v>2693035</v>
      </c>
      <c r="AW93" s="130">
        <v>2699226</v>
      </c>
      <c r="AX93" s="130">
        <v>2702322</v>
      </c>
      <c r="AY93" s="130">
        <v>2708513</v>
      </c>
      <c r="AZ93" s="130">
        <v>2714704</v>
      </c>
      <c r="BA93" s="130">
        <v>2720894</v>
      </c>
      <c r="BB93" s="130">
        <v>2723990</v>
      </c>
      <c r="BC93" s="130">
        <v>2730181</v>
      </c>
      <c r="BD93" s="130">
        <v>2736372</v>
      </c>
      <c r="BE93" s="130">
        <v>2742563</v>
      </c>
      <c r="BF93" s="130">
        <v>2748753</v>
      </c>
      <c r="BG93" s="130">
        <v>2751849</v>
      </c>
      <c r="BH93" s="130">
        <v>2758040</v>
      </c>
      <c r="BI93" s="130">
        <v>2764231</v>
      </c>
      <c r="BJ93" s="130">
        <v>2770422</v>
      </c>
      <c r="BK93" s="130">
        <v>2776612</v>
      </c>
      <c r="BL93" s="130">
        <v>2782803</v>
      </c>
      <c r="BM93" s="130">
        <v>2785899</v>
      </c>
      <c r="BN93" s="130">
        <v>2792090</v>
      </c>
      <c r="BO93" s="130">
        <v>2798281</v>
      </c>
      <c r="BP93" s="130">
        <v>2804471</v>
      </c>
      <c r="BQ93" s="130">
        <v>2810662</v>
      </c>
      <c r="BR93" s="130">
        <v>2816853</v>
      </c>
      <c r="BS93" s="130">
        <v>2823044</v>
      </c>
      <c r="BT93" s="130">
        <v>2829235</v>
      </c>
      <c r="BU93" s="130">
        <v>2835426</v>
      </c>
      <c r="BV93" s="130">
        <v>2841617</v>
      </c>
      <c r="BW93" s="130">
        <v>2847808</v>
      </c>
      <c r="BX93" s="130">
        <v>2850903</v>
      </c>
      <c r="BY93" s="132">
        <f>SUM(E93:P93)</f>
        <v>30624838</v>
      </c>
      <c r="BZ93" s="132">
        <f>SUM(Q93:AB93)</f>
        <v>30866991</v>
      </c>
      <c r="CA93" s="132">
        <f>SUM(AC93:AN93)</f>
        <v>31468275</v>
      </c>
      <c r="CB93" s="132">
        <f>SUM(AO93:AZ93)</f>
        <v>32217371</v>
      </c>
      <c r="CC93" s="132">
        <f>SUM(BA93:BL93)</f>
        <v>33006710</v>
      </c>
      <c r="CD93" s="132">
        <f>SUM(BM93:BX93)</f>
        <v>33836289</v>
      </c>
    </row>
    <row r="94" spans="1:85" s="98" customFormat="1" outlineLevel="1">
      <c r="A94" s="10"/>
      <c r="B94" s="10"/>
      <c r="C94" s="10"/>
      <c r="D94" s="137" t="s">
        <v>353</v>
      </c>
      <c r="E94" s="136">
        <f t="shared" ref="E94:AJ94" si="69">SUBTOTAL(9,E92:E93)</f>
        <v>2769040</v>
      </c>
      <c r="F94" s="136">
        <f t="shared" si="69"/>
        <v>2764562</v>
      </c>
      <c r="G94" s="136">
        <f t="shared" si="69"/>
        <v>2544302</v>
      </c>
      <c r="H94" s="136">
        <f t="shared" si="69"/>
        <v>2373863</v>
      </c>
      <c r="I94" s="136">
        <f t="shared" si="69"/>
        <v>2456619</v>
      </c>
      <c r="J94" s="136">
        <f t="shared" si="69"/>
        <v>1729143</v>
      </c>
      <c r="K94" s="136">
        <f t="shared" si="69"/>
        <v>3207265</v>
      </c>
      <c r="L94" s="136">
        <f t="shared" si="69"/>
        <v>2619555</v>
      </c>
      <c r="M94" s="136">
        <f t="shared" si="69"/>
        <v>2541686</v>
      </c>
      <c r="N94" s="136">
        <f t="shared" si="69"/>
        <v>2548267</v>
      </c>
      <c r="O94" s="136">
        <f t="shared" si="69"/>
        <v>2545260</v>
      </c>
      <c r="P94" s="136">
        <f t="shared" si="69"/>
        <v>2546120</v>
      </c>
      <c r="Q94" s="136">
        <f t="shared" si="69"/>
        <v>2549804</v>
      </c>
      <c r="R94" s="136">
        <f t="shared" si="69"/>
        <v>2540265</v>
      </c>
      <c r="S94" s="136">
        <f t="shared" si="69"/>
        <v>2558153</v>
      </c>
      <c r="T94" s="136">
        <f t="shared" si="69"/>
        <v>2568524</v>
      </c>
      <c r="U94" s="136">
        <f t="shared" si="69"/>
        <v>2567957</v>
      </c>
      <c r="V94" s="136">
        <f t="shared" si="69"/>
        <v>2563929</v>
      </c>
      <c r="W94" s="136">
        <f t="shared" si="69"/>
        <v>2567947</v>
      </c>
      <c r="X94" s="136">
        <f t="shared" si="69"/>
        <v>2636514</v>
      </c>
      <c r="Y94" s="136">
        <f t="shared" si="69"/>
        <v>2575446</v>
      </c>
      <c r="Z94" s="136">
        <f t="shared" si="69"/>
        <v>2580241</v>
      </c>
      <c r="AA94" s="136">
        <f t="shared" si="69"/>
        <v>2586432</v>
      </c>
      <c r="AB94" s="136">
        <f t="shared" si="69"/>
        <v>2592623</v>
      </c>
      <c r="AC94" s="136">
        <f t="shared" si="69"/>
        <v>2595718</v>
      </c>
      <c r="AD94" s="136">
        <f t="shared" si="69"/>
        <v>2601909</v>
      </c>
      <c r="AE94" s="136">
        <f t="shared" si="69"/>
        <v>2605005</v>
      </c>
      <c r="AF94" s="136">
        <f t="shared" si="69"/>
        <v>2611196</v>
      </c>
      <c r="AG94" s="136">
        <f t="shared" si="69"/>
        <v>2617386</v>
      </c>
      <c r="AH94" s="136">
        <f t="shared" si="69"/>
        <v>2620482</v>
      </c>
      <c r="AI94" s="136">
        <f t="shared" si="69"/>
        <v>2626673</v>
      </c>
      <c r="AJ94" s="136">
        <f t="shared" si="69"/>
        <v>2632864</v>
      </c>
      <c r="AK94" s="136">
        <f t="shared" ref="AK94:BP94" si="70">SUBTOTAL(9,AK92:AK93)</f>
        <v>2635959</v>
      </c>
      <c r="AL94" s="136">
        <f t="shared" si="70"/>
        <v>2642150</v>
      </c>
      <c r="AM94" s="136">
        <f t="shared" si="70"/>
        <v>2648341</v>
      </c>
      <c r="AN94" s="136">
        <f t="shared" si="70"/>
        <v>2651436</v>
      </c>
      <c r="AO94" s="135">
        <f t="shared" si="70"/>
        <v>2657627</v>
      </c>
      <c r="AP94" s="135">
        <f t="shared" si="70"/>
        <v>2663818</v>
      </c>
      <c r="AQ94" s="135">
        <f t="shared" si="70"/>
        <v>2666913</v>
      </c>
      <c r="AR94" s="135">
        <f t="shared" si="70"/>
        <v>2673104</v>
      </c>
      <c r="AS94" s="135">
        <f t="shared" si="70"/>
        <v>2679295</v>
      </c>
      <c r="AT94" s="135">
        <f t="shared" si="70"/>
        <v>2682391</v>
      </c>
      <c r="AU94" s="135">
        <f t="shared" si="70"/>
        <v>2688582</v>
      </c>
      <c r="AV94" s="135">
        <f t="shared" si="70"/>
        <v>2694772</v>
      </c>
      <c r="AW94" s="135">
        <f t="shared" si="70"/>
        <v>2700963</v>
      </c>
      <c r="AX94" s="135">
        <f t="shared" si="70"/>
        <v>2704059</v>
      </c>
      <c r="AY94" s="135">
        <f t="shared" si="70"/>
        <v>2710250</v>
      </c>
      <c r="AZ94" s="135">
        <f t="shared" si="70"/>
        <v>2716441</v>
      </c>
      <c r="BA94" s="135">
        <f t="shared" si="70"/>
        <v>2722631</v>
      </c>
      <c r="BB94" s="135">
        <f t="shared" si="70"/>
        <v>2725727</v>
      </c>
      <c r="BC94" s="135">
        <f t="shared" si="70"/>
        <v>2731918</v>
      </c>
      <c r="BD94" s="135">
        <f t="shared" si="70"/>
        <v>2738109</v>
      </c>
      <c r="BE94" s="135">
        <f t="shared" si="70"/>
        <v>2744300</v>
      </c>
      <c r="BF94" s="135">
        <f t="shared" si="70"/>
        <v>2750490</v>
      </c>
      <c r="BG94" s="135">
        <f t="shared" si="70"/>
        <v>2753586</v>
      </c>
      <c r="BH94" s="135">
        <f t="shared" si="70"/>
        <v>2759777</v>
      </c>
      <c r="BI94" s="135">
        <f t="shared" si="70"/>
        <v>2765968</v>
      </c>
      <c r="BJ94" s="135">
        <f t="shared" si="70"/>
        <v>2772159</v>
      </c>
      <c r="BK94" s="135">
        <f t="shared" si="70"/>
        <v>2778349</v>
      </c>
      <c r="BL94" s="135">
        <f t="shared" si="70"/>
        <v>2784540</v>
      </c>
      <c r="BM94" s="135">
        <f t="shared" si="70"/>
        <v>2787636</v>
      </c>
      <c r="BN94" s="135">
        <f t="shared" si="70"/>
        <v>2793827</v>
      </c>
      <c r="BO94" s="135">
        <f t="shared" si="70"/>
        <v>2800018</v>
      </c>
      <c r="BP94" s="135">
        <f t="shared" si="70"/>
        <v>2806208</v>
      </c>
      <c r="BQ94" s="135">
        <f t="shared" ref="BQ94:CD94" si="71">SUBTOTAL(9,BQ92:BQ93)</f>
        <v>2812399</v>
      </c>
      <c r="BR94" s="135">
        <f t="shared" si="71"/>
        <v>2818590</v>
      </c>
      <c r="BS94" s="135">
        <f t="shared" si="71"/>
        <v>2824781</v>
      </c>
      <c r="BT94" s="135">
        <f t="shared" si="71"/>
        <v>2830972</v>
      </c>
      <c r="BU94" s="135">
        <f t="shared" si="71"/>
        <v>2837163</v>
      </c>
      <c r="BV94" s="135">
        <f t="shared" si="71"/>
        <v>2843354</v>
      </c>
      <c r="BW94" s="135">
        <f t="shared" si="71"/>
        <v>2849545</v>
      </c>
      <c r="BX94" s="135">
        <f t="shared" si="71"/>
        <v>2852640</v>
      </c>
      <c r="BY94" s="134">
        <f t="shared" si="71"/>
        <v>30645682</v>
      </c>
      <c r="BZ94" s="134">
        <f t="shared" si="71"/>
        <v>30887835</v>
      </c>
      <c r="CA94" s="134">
        <f t="shared" si="71"/>
        <v>31489119</v>
      </c>
      <c r="CB94" s="134">
        <f t="shared" si="71"/>
        <v>32238215</v>
      </c>
      <c r="CC94" s="134">
        <f t="shared" si="71"/>
        <v>33027554</v>
      </c>
      <c r="CD94" s="134">
        <f t="shared" si="71"/>
        <v>33857133</v>
      </c>
      <c r="CF94" s="145">
        <f>SUM(Z94:AK94)</f>
        <v>31306488</v>
      </c>
      <c r="CG94" s="145">
        <f>SUM(AL94:AW94)</f>
        <v>32049392</v>
      </c>
    </row>
    <row r="95" spans="1:85" s="98" customFormat="1" outlineLevel="2">
      <c r="A95" s="10">
        <v>2</v>
      </c>
      <c r="B95" s="10">
        <v>851</v>
      </c>
      <c r="C95" s="10" t="s">
        <v>348</v>
      </c>
      <c r="D95" s="131" t="s">
        <v>350</v>
      </c>
      <c r="E95" s="121">
        <v>3604</v>
      </c>
      <c r="F95" s="121">
        <v>5531</v>
      </c>
      <c r="G95" s="121">
        <v>1457</v>
      </c>
      <c r="H95" s="121">
        <v>3704</v>
      </c>
      <c r="I95" s="121">
        <v>6014</v>
      </c>
      <c r="J95" s="121">
        <v>2354</v>
      </c>
      <c r="K95" s="121">
        <v>6645</v>
      </c>
      <c r="L95" s="121">
        <v>5458</v>
      </c>
      <c r="M95" s="121">
        <v>9527</v>
      </c>
      <c r="N95" s="121">
        <v>7615</v>
      </c>
      <c r="O95" s="121">
        <v>3101</v>
      </c>
      <c r="P95" s="121">
        <v>22467</v>
      </c>
      <c r="Q95" s="121">
        <v>23053</v>
      </c>
      <c r="R95" s="121">
        <v>837</v>
      </c>
      <c r="S95" s="121">
        <v>1422</v>
      </c>
      <c r="T95" s="121">
        <v>1244</v>
      </c>
      <c r="U95" s="121">
        <v>2169</v>
      </c>
      <c r="V95" s="121">
        <v>2338</v>
      </c>
      <c r="W95" s="121">
        <v>1992</v>
      </c>
      <c r="X95" s="121">
        <v>3156</v>
      </c>
      <c r="Y95" s="121">
        <v>3102</v>
      </c>
      <c r="Z95" s="121">
        <v>7615</v>
      </c>
      <c r="AA95" s="121">
        <v>3101</v>
      </c>
      <c r="AB95" s="121">
        <v>22467</v>
      </c>
      <c r="AC95" s="121">
        <v>23053</v>
      </c>
      <c r="AD95" s="121">
        <v>837</v>
      </c>
      <c r="AE95" s="121">
        <v>1422</v>
      </c>
      <c r="AF95" s="121">
        <v>1244</v>
      </c>
      <c r="AG95" s="121">
        <v>2169</v>
      </c>
      <c r="AH95" s="121">
        <v>2338</v>
      </c>
      <c r="AI95" s="121">
        <v>1992</v>
      </c>
      <c r="AJ95" s="121">
        <v>3156</v>
      </c>
      <c r="AK95" s="121">
        <v>3102</v>
      </c>
      <c r="AL95" s="121">
        <v>7615</v>
      </c>
      <c r="AM95" s="121">
        <v>3101</v>
      </c>
      <c r="AN95" s="121">
        <v>22467</v>
      </c>
      <c r="AO95" s="130">
        <v>23053</v>
      </c>
      <c r="AP95" s="130">
        <v>837</v>
      </c>
      <c r="AQ95" s="130">
        <v>1422</v>
      </c>
      <c r="AR95" s="130">
        <v>1244</v>
      </c>
      <c r="AS95" s="130">
        <v>2169</v>
      </c>
      <c r="AT95" s="130">
        <v>2338</v>
      </c>
      <c r="AU95" s="130">
        <v>1992</v>
      </c>
      <c r="AV95" s="130">
        <v>3156</v>
      </c>
      <c r="AW95" s="130">
        <v>3102</v>
      </c>
      <c r="AX95" s="130">
        <v>7615</v>
      </c>
      <c r="AY95" s="130">
        <v>3101</v>
      </c>
      <c r="AZ95" s="130">
        <v>22467</v>
      </c>
      <c r="BA95" s="130">
        <v>23053</v>
      </c>
      <c r="BB95" s="130">
        <v>837</v>
      </c>
      <c r="BC95" s="130">
        <v>1422</v>
      </c>
      <c r="BD95" s="130">
        <v>1244</v>
      </c>
      <c r="BE95" s="130">
        <v>2169</v>
      </c>
      <c r="BF95" s="130">
        <v>2338</v>
      </c>
      <c r="BG95" s="130">
        <v>1992</v>
      </c>
      <c r="BH95" s="130">
        <v>3156</v>
      </c>
      <c r="BI95" s="130">
        <v>3102</v>
      </c>
      <c r="BJ95" s="130">
        <v>7615</v>
      </c>
      <c r="BK95" s="130">
        <v>3101</v>
      </c>
      <c r="BL95" s="130">
        <v>22467</v>
      </c>
      <c r="BM95" s="130">
        <v>23053</v>
      </c>
      <c r="BN95" s="130">
        <v>837</v>
      </c>
      <c r="BO95" s="130">
        <v>1422</v>
      </c>
      <c r="BP95" s="130">
        <v>1244</v>
      </c>
      <c r="BQ95" s="130">
        <v>2169</v>
      </c>
      <c r="BR95" s="130">
        <v>2338</v>
      </c>
      <c r="BS95" s="130">
        <v>1992</v>
      </c>
      <c r="BT95" s="130">
        <v>3156</v>
      </c>
      <c r="BU95" s="130">
        <v>3102</v>
      </c>
      <c r="BV95" s="130">
        <v>7615</v>
      </c>
      <c r="BW95" s="130">
        <v>3101</v>
      </c>
      <c r="BX95" s="130">
        <v>22467</v>
      </c>
      <c r="BY95" s="132">
        <f>SUM(E95:P95)</f>
        <v>77477</v>
      </c>
      <c r="BZ95" s="132">
        <f>SUM(Q95:AB95)</f>
        <v>72496</v>
      </c>
      <c r="CA95" s="132">
        <f>SUM(AC95:AN95)</f>
        <v>72496</v>
      </c>
      <c r="CB95" s="132">
        <f>SUM(AO95:AZ95)</f>
        <v>72496</v>
      </c>
      <c r="CC95" s="132">
        <f>SUM(BA95:BL95)</f>
        <v>72496</v>
      </c>
      <c r="CD95" s="132">
        <f>SUM(BM95:BX95)</f>
        <v>72496</v>
      </c>
    </row>
    <row r="96" spans="1:85" s="98" customFormat="1" outlineLevel="2">
      <c r="A96" s="10">
        <v>2</v>
      </c>
      <c r="B96" s="10">
        <v>852</v>
      </c>
      <c r="C96" s="10" t="s">
        <v>352</v>
      </c>
      <c r="D96" s="131" t="s">
        <v>350</v>
      </c>
      <c r="E96" s="121">
        <v>0</v>
      </c>
      <c r="F96" s="121">
        <v>0</v>
      </c>
      <c r="G96" s="121">
        <v>0</v>
      </c>
      <c r="H96" s="121">
        <v>0</v>
      </c>
      <c r="I96" s="121">
        <v>0</v>
      </c>
      <c r="J96" s="121">
        <v>0</v>
      </c>
      <c r="K96" s="121">
        <v>0</v>
      </c>
      <c r="L96" s="121">
        <v>0</v>
      </c>
      <c r="M96" s="121">
        <v>0</v>
      </c>
      <c r="N96" s="121">
        <v>0</v>
      </c>
      <c r="O96" s="121">
        <v>0</v>
      </c>
      <c r="P96" s="121">
        <v>0</v>
      </c>
      <c r="Q96" s="121">
        <v>0</v>
      </c>
      <c r="R96" s="121">
        <v>0</v>
      </c>
      <c r="S96" s="121">
        <v>0</v>
      </c>
      <c r="T96" s="121">
        <v>0</v>
      </c>
      <c r="U96" s="121">
        <v>0</v>
      </c>
      <c r="V96" s="121">
        <v>0</v>
      </c>
      <c r="W96" s="121">
        <v>0</v>
      </c>
      <c r="X96" s="121">
        <v>0</v>
      </c>
      <c r="Y96" s="121">
        <v>0</v>
      </c>
      <c r="Z96" s="121">
        <v>0</v>
      </c>
      <c r="AA96" s="121">
        <v>0</v>
      </c>
      <c r="AB96" s="121">
        <v>0</v>
      </c>
      <c r="AC96" s="121">
        <v>0</v>
      </c>
      <c r="AD96" s="121">
        <v>0</v>
      </c>
      <c r="AE96" s="121">
        <v>0</v>
      </c>
      <c r="AF96" s="121">
        <v>0</v>
      </c>
      <c r="AG96" s="121">
        <v>0</v>
      </c>
      <c r="AH96" s="121">
        <v>0</v>
      </c>
      <c r="AI96" s="121">
        <v>0</v>
      </c>
      <c r="AJ96" s="121">
        <v>0</v>
      </c>
      <c r="AK96" s="121">
        <v>0</v>
      </c>
      <c r="AL96" s="121">
        <v>0</v>
      </c>
      <c r="AM96" s="121">
        <v>0</v>
      </c>
      <c r="AN96" s="121">
        <v>0</v>
      </c>
      <c r="AO96" s="130">
        <v>0</v>
      </c>
      <c r="AP96" s="130">
        <v>0</v>
      </c>
      <c r="AQ96" s="130">
        <v>0</v>
      </c>
      <c r="AR96" s="130">
        <v>0</v>
      </c>
      <c r="AS96" s="130">
        <v>0</v>
      </c>
      <c r="AT96" s="130">
        <v>0</v>
      </c>
      <c r="AU96" s="130">
        <v>0</v>
      </c>
      <c r="AV96" s="130">
        <v>0</v>
      </c>
      <c r="AW96" s="130">
        <v>0</v>
      </c>
      <c r="AX96" s="130">
        <v>0</v>
      </c>
      <c r="AY96" s="130">
        <v>0</v>
      </c>
      <c r="AZ96" s="130">
        <v>0</v>
      </c>
      <c r="BA96" s="130">
        <v>0</v>
      </c>
      <c r="BB96" s="130">
        <v>0</v>
      </c>
      <c r="BC96" s="130">
        <v>0</v>
      </c>
      <c r="BD96" s="130">
        <v>0</v>
      </c>
      <c r="BE96" s="130">
        <v>0</v>
      </c>
      <c r="BF96" s="130">
        <v>0</v>
      </c>
      <c r="BG96" s="130">
        <v>0</v>
      </c>
      <c r="BH96" s="130">
        <v>0</v>
      </c>
      <c r="BI96" s="130">
        <v>0</v>
      </c>
      <c r="BJ96" s="130">
        <v>0</v>
      </c>
      <c r="BK96" s="130">
        <v>0</v>
      </c>
      <c r="BL96" s="130">
        <v>0</v>
      </c>
      <c r="BM96" s="130">
        <v>0</v>
      </c>
      <c r="BN96" s="130">
        <v>0</v>
      </c>
      <c r="BO96" s="130">
        <v>0</v>
      </c>
      <c r="BP96" s="130">
        <v>0</v>
      </c>
      <c r="BQ96" s="130">
        <v>0</v>
      </c>
      <c r="BR96" s="130">
        <v>0</v>
      </c>
      <c r="BS96" s="130">
        <v>0</v>
      </c>
      <c r="BT96" s="130">
        <v>0</v>
      </c>
      <c r="BU96" s="130">
        <v>0</v>
      </c>
      <c r="BV96" s="130">
        <v>0</v>
      </c>
      <c r="BW96" s="130">
        <v>0</v>
      </c>
      <c r="BX96" s="130">
        <v>0</v>
      </c>
      <c r="BY96" s="132">
        <f>SUM(E96:P96)</f>
        <v>0</v>
      </c>
      <c r="BZ96" s="132">
        <f>SUM(Q96:AB96)</f>
        <v>0</v>
      </c>
      <c r="CA96" s="132">
        <f>SUM(AC96:AN96)</f>
        <v>0</v>
      </c>
      <c r="CB96" s="132">
        <f>SUM(AO96:AZ96)</f>
        <v>0</v>
      </c>
      <c r="CC96" s="132">
        <f>SUM(BA96:BL96)</f>
        <v>0</v>
      </c>
      <c r="CD96" s="132">
        <f>SUM(BM96:BX96)</f>
        <v>0</v>
      </c>
    </row>
    <row r="97" spans="1:85" s="98" customFormat="1" outlineLevel="2">
      <c r="A97" s="10">
        <v>3</v>
      </c>
      <c r="B97" s="10">
        <v>852</v>
      </c>
      <c r="C97" s="10" t="s">
        <v>352</v>
      </c>
      <c r="D97" s="131" t="s">
        <v>350</v>
      </c>
      <c r="E97" s="121">
        <v>0</v>
      </c>
      <c r="F97" s="121">
        <v>0</v>
      </c>
      <c r="G97" s="121">
        <v>0</v>
      </c>
      <c r="H97" s="121">
        <v>0</v>
      </c>
      <c r="I97" s="121">
        <v>0</v>
      </c>
      <c r="J97" s="121">
        <v>0</v>
      </c>
      <c r="K97" s="121">
        <v>0</v>
      </c>
      <c r="L97" s="121">
        <v>0</v>
      </c>
      <c r="M97" s="121">
        <v>0</v>
      </c>
      <c r="N97" s="121">
        <v>0</v>
      </c>
      <c r="O97" s="121">
        <v>0</v>
      </c>
      <c r="P97" s="121">
        <v>0</v>
      </c>
      <c r="Q97" s="121">
        <v>0</v>
      </c>
      <c r="R97" s="121">
        <v>0</v>
      </c>
      <c r="S97" s="121">
        <v>0</v>
      </c>
      <c r="T97" s="121">
        <v>0</v>
      </c>
      <c r="U97" s="121">
        <v>0</v>
      </c>
      <c r="V97" s="121">
        <v>0</v>
      </c>
      <c r="W97" s="121">
        <v>0</v>
      </c>
      <c r="X97" s="121">
        <v>0</v>
      </c>
      <c r="Y97" s="121">
        <v>0</v>
      </c>
      <c r="Z97" s="121">
        <v>0</v>
      </c>
      <c r="AA97" s="121">
        <v>0</v>
      </c>
      <c r="AB97" s="121">
        <v>0</v>
      </c>
      <c r="AC97" s="121">
        <v>0</v>
      </c>
      <c r="AD97" s="121">
        <v>0</v>
      </c>
      <c r="AE97" s="121">
        <v>0</v>
      </c>
      <c r="AF97" s="121">
        <v>0</v>
      </c>
      <c r="AG97" s="121">
        <v>0</v>
      </c>
      <c r="AH97" s="121">
        <v>0</v>
      </c>
      <c r="AI97" s="121">
        <v>0</v>
      </c>
      <c r="AJ97" s="121">
        <v>0</v>
      </c>
      <c r="AK97" s="121">
        <v>0</v>
      </c>
      <c r="AL97" s="121">
        <v>0</v>
      </c>
      <c r="AM97" s="121">
        <v>0</v>
      </c>
      <c r="AN97" s="121">
        <v>0</v>
      </c>
      <c r="AO97" s="130">
        <v>0</v>
      </c>
      <c r="AP97" s="130">
        <v>0</v>
      </c>
      <c r="AQ97" s="130">
        <v>0</v>
      </c>
      <c r="AR97" s="130">
        <v>0</v>
      </c>
      <c r="AS97" s="130">
        <v>0</v>
      </c>
      <c r="AT97" s="130">
        <v>0</v>
      </c>
      <c r="AU97" s="130">
        <v>0</v>
      </c>
      <c r="AV97" s="130">
        <v>0</v>
      </c>
      <c r="AW97" s="130">
        <v>0</v>
      </c>
      <c r="AX97" s="130">
        <v>0</v>
      </c>
      <c r="AY97" s="130">
        <v>0</v>
      </c>
      <c r="AZ97" s="130">
        <v>0</v>
      </c>
      <c r="BA97" s="130">
        <v>0</v>
      </c>
      <c r="BB97" s="130">
        <v>0</v>
      </c>
      <c r="BC97" s="130">
        <v>0</v>
      </c>
      <c r="BD97" s="130">
        <v>0</v>
      </c>
      <c r="BE97" s="130">
        <v>0</v>
      </c>
      <c r="BF97" s="130">
        <v>0</v>
      </c>
      <c r="BG97" s="130">
        <v>0</v>
      </c>
      <c r="BH97" s="130">
        <v>0</v>
      </c>
      <c r="BI97" s="130">
        <v>0</v>
      </c>
      <c r="BJ97" s="130">
        <v>0</v>
      </c>
      <c r="BK97" s="130">
        <v>0</v>
      </c>
      <c r="BL97" s="130">
        <v>0</v>
      </c>
      <c r="BM97" s="130">
        <v>0</v>
      </c>
      <c r="BN97" s="130">
        <v>0</v>
      </c>
      <c r="BO97" s="130">
        <v>0</v>
      </c>
      <c r="BP97" s="130">
        <v>0</v>
      </c>
      <c r="BQ97" s="130">
        <v>0</v>
      </c>
      <c r="BR97" s="130">
        <v>0</v>
      </c>
      <c r="BS97" s="130">
        <v>0</v>
      </c>
      <c r="BT97" s="130">
        <v>0</v>
      </c>
      <c r="BU97" s="130">
        <v>0</v>
      </c>
      <c r="BV97" s="130">
        <v>0</v>
      </c>
      <c r="BW97" s="130">
        <v>0</v>
      </c>
      <c r="BX97" s="130">
        <v>0</v>
      </c>
      <c r="BY97" s="132">
        <f>SUM(E97:P97)</f>
        <v>0</v>
      </c>
      <c r="BZ97" s="132">
        <f>SUM(Q97:AB97)</f>
        <v>0</v>
      </c>
      <c r="CA97" s="132">
        <f>SUM(AC97:AN97)</f>
        <v>0</v>
      </c>
      <c r="CB97" s="132">
        <f>SUM(AO97:AZ97)</f>
        <v>0</v>
      </c>
      <c r="CC97" s="132">
        <f>SUM(BA97:BL97)</f>
        <v>0</v>
      </c>
      <c r="CD97" s="132">
        <f>SUM(BM97:BX97)</f>
        <v>0</v>
      </c>
    </row>
    <row r="98" spans="1:85" s="98" customFormat="1" outlineLevel="2">
      <c r="A98" s="10">
        <v>2</v>
      </c>
      <c r="B98" s="10">
        <v>853</v>
      </c>
      <c r="C98" s="10" t="s">
        <v>351</v>
      </c>
      <c r="D98" s="131" t="s">
        <v>350</v>
      </c>
      <c r="E98" s="121">
        <v>0</v>
      </c>
      <c r="F98" s="121">
        <v>0</v>
      </c>
      <c r="G98" s="121">
        <v>0</v>
      </c>
      <c r="H98" s="121">
        <v>0</v>
      </c>
      <c r="I98" s="121">
        <v>0</v>
      </c>
      <c r="J98" s="121">
        <v>0</v>
      </c>
      <c r="K98" s="121">
        <v>0</v>
      </c>
      <c r="L98" s="121">
        <v>0</v>
      </c>
      <c r="M98" s="121">
        <v>0</v>
      </c>
      <c r="N98" s="121">
        <v>0</v>
      </c>
      <c r="O98" s="121">
        <v>0</v>
      </c>
      <c r="P98" s="121">
        <v>0</v>
      </c>
      <c r="Q98" s="121">
        <v>0</v>
      </c>
      <c r="R98" s="121">
        <v>0</v>
      </c>
      <c r="S98" s="121">
        <v>0</v>
      </c>
      <c r="T98" s="121">
        <v>0</v>
      </c>
      <c r="U98" s="121">
        <v>0</v>
      </c>
      <c r="V98" s="121">
        <v>0</v>
      </c>
      <c r="W98" s="121">
        <v>0</v>
      </c>
      <c r="X98" s="121">
        <v>0</v>
      </c>
      <c r="Y98" s="121">
        <v>0</v>
      </c>
      <c r="Z98" s="121">
        <v>0</v>
      </c>
      <c r="AA98" s="121">
        <v>0</v>
      </c>
      <c r="AB98" s="121">
        <v>0</v>
      </c>
      <c r="AC98" s="121">
        <v>0</v>
      </c>
      <c r="AD98" s="121">
        <v>0</v>
      </c>
      <c r="AE98" s="121">
        <v>0</v>
      </c>
      <c r="AF98" s="121">
        <v>0</v>
      </c>
      <c r="AG98" s="121">
        <v>0</v>
      </c>
      <c r="AH98" s="121">
        <v>0</v>
      </c>
      <c r="AI98" s="121">
        <v>0</v>
      </c>
      <c r="AJ98" s="121">
        <v>0</v>
      </c>
      <c r="AK98" s="121">
        <v>0</v>
      </c>
      <c r="AL98" s="121">
        <v>0</v>
      </c>
      <c r="AM98" s="121">
        <v>0</v>
      </c>
      <c r="AN98" s="121">
        <v>0</v>
      </c>
      <c r="AO98" s="130">
        <v>0</v>
      </c>
      <c r="AP98" s="130">
        <v>0</v>
      </c>
      <c r="AQ98" s="130">
        <v>0</v>
      </c>
      <c r="AR98" s="130">
        <v>0</v>
      </c>
      <c r="AS98" s="130">
        <v>0</v>
      </c>
      <c r="AT98" s="130">
        <v>0</v>
      </c>
      <c r="AU98" s="130">
        <v>0</v>
      </c>
      <c r="AV98" s="130">
        <v>0</v>
      </c>
      <c r="AW98" s="130">
        <v>0</v>
      </c>
      <c r="AX98" s="130">
        <v>0</v>
      </c>
      <c r="AY98" s="130">
        <v>0</v>
      </c>
      <c r="AZ98" s="130">
        <v>0</v>
      </c>
      <c r="BA98" s="130">
        <v>0</v>
      </c>
      <c r="BB98" s="130">
        <v>0</v>
      </c>
      <c r="BC98" s="130">
        <v>0</v>
      </c>
      <c r="BD98" s="130">
        <v>0</v>
      </c>
      <c r="BE98" s="130">
        <v>0</v>
      </c>
      <c r="BF98" s="130">
        <v>0</v>
      </c>
      <c r="BG98" s="130">
        <v>0</v>
      </c>
      <c r="BH98" s="130">
        <v>0</v>
      </c>
      <c r="BI98" s="130">
        <v>0</v>
      </c>
      <c r="BJ98" s="130">
        <v>0</v>
      </c>
      <c r="BK98" s="130">
        <v>0</v>
      </c>
      <c r="BL98" s="130">
        <v>0</v>
      </c>
      <c r="BM98" s="130">
        <v>0</v>
      </c>
      <c r="BN98" s="130">
        <v>0</v>
      </c>
      <c r="BO98" s="130">
        <v>0</v>
      </c>
      <c r="BP98" s="130">
        <v>0</v>
      </c>
      <c r="BQ98" s="130">
        <v>0</v>
      </c>
      <c r="BR98" s="130">
        <v>0</v>
      </c>
      <c r="BS98" s="130">
        <v>0</v>
      </c>
      <c r="BT98" s="130">
        <v>0</v>
      </c>
      <c r="BU98" s="130">
        <v>0</v>
      </c>
      <c r="BV98" s="130">
        <v>0</v>
      </c>
      <c r="BW98" s="130">
        <v>0</v>
      </c>
      <c r="BX98" s="130">
        <v>0</v>
      </c>
      <c r="BY98" s="132">
        <f>SUM(E98:P98)</f>
        <v>0</v>
      </c>
      <c r="BZ98" s="132">
        <f>SUM(Q98:AB98)</f>
        <v>0</v>
      </c>
      <c r="CA98" s="132">
        <f>SUM(AC98:AN98)</f>
        <v>0</v>
      </c>
      <c r="CB98" s="132">
        <f>SUM(AO98:AZ98)</f>
        <v>0</v>
      </c>
      <c r="CC98" s="132">
        <f>SUM(BA98:BL98)</f>
        <v>0</v>
      </c>
      <c r="CD98" s="132">
        <f>SUM(BM98:BX98)</f>
        <v>0</v>
      </c>
    </row>
    <row r="99" spans="1:85" s="98" customFormat="1" outlineLevel="2">
      <c r="A99" s="10">
        <v>3</v>
      </c>
      <c r="B99" s="10">
        <v>853</v>
      </c>
      <c r="C99" s="10" t="s">
        <v>351</v>
      </c>
      <c r="D99" s="131" t="s">
        <v>350</v>
      </c>
      <c r="E99" s="121">
        <v>91810</v>
      </c>
      <c r="F99" s="121">
        <v>1283528</v>
      </c>
      <c r="G99" s="121">
        <v>1379183</v>
      </c>
      <c r="H99" s="121">
        <v>669840</v>
      </c>
      <c r="I99" s="121">
        <v>689051</v>
      </c>
      <c r="J99" s="121">
        <v>718609</v>
      </c>
      <c r="K99" s="121">
        <v>762417</v>
      </c>
      <c r="L99" s="121">
        <v>675708</v>
      </c>
      <c r="M99" s="121">
        <v>698702</v>
      </c>
      <c r="N99" s="121">
        <v>741424</v>
      </c>
      <c r="O99" s="121">
        <v>391683</v>
      </c>
      <c r="P99" s="121">
        <v>11647</v>
      </c>
      <c r="Q99" s="121">
        <v>17974</v>
      </c>
      <c r="R99" s="121">
        <v>1</v>
      </c>
      <c r="S99" s="121">
        <v>1</v>
      </c>
      <c r="T99" s="121">
        <v>733479</v>
      </c>
      <c r="U99" s="121">
        <v>704280</v>
      </c>
      <c r="V99" s="121">
        <v>774206</v>
      </c>
      <c r="W99" s="121">
        <v>752813</v>
      </c>
      <c r="X99" s="121">
        <v>720928</v>
      </c>
      <c r="Y99" s="121">
        <v>724267</v>
      </c>
      <c r="Z99" s="121">
        <v>725575</v>
      </c>
      <c r="AA99" s="121">
        <v>648615</v>
      </c>
      <c r="AB99" s="121">
        <v>499146</v>
      </c>
      <c r="AC99" s="121">
        <v>42584</v>
      </c>
      <c r="AD99" s="121">
        <v>431679</v>
      </c>
      <c r="AE99" s="121">
        <v>515434</v>
      </c>
      <c r="AF99" s="121">
        <v>710367</v>
      </c>
      <c r="AG99" s="121">
        <v>694204</v>
      </c>
      <c r="AH99" s="121">
        <v>732448</v>
      </c>
      <c r="AI99" s="121">
        <v>755733</v>
      </c>
      <c r="AJ99" s="121">
        <v>698484</v>
      </c>
      <c r="AK99" s="121">
        <v>724859</v>
      </c>
      <c r="AL99" s="121">
        <v>725575</v>
      </c>
      <c r="AM99" s="121">
        <v>648615</v>
      </c>
      <c r="AN99" s="121">
        <v>499146</v>
      </c>
      <c r="AO99" s="130">
        <v>42584</v>
      </c>
      <c r="AP99" s="130">
        <v>431679</v>
      </c>
      <c r="AQ99" s="130">
        <v>515434</v>
      </c>
      <c r="AR99" s="130">
        <v>710367</v>
      </c>
      <c r="AS99" s="130">
        <v>694204</v>
      </c>
      <c r="AT99" s="130">
        <v>732448</v>
      </c>
      <c r="AU99" s="130">
        <v>755733</v>
      </c>
      <c r="AV99" s="130">
        <v>698484</v>
      </c>
      <c r="AW99" s="130">
        <v>724859</v>
      </c>
      <c r="AX99" s="130">
        <v>725575</v>
      </c>
      <c r="AY99" s="130">
        <v>648615</v>
      </c>
      <c r="AZ99" s="130">
        <v>499146</v>
      </c>
      <c r="BA99" s="130">
        <v>42584</v>
      </c>
      <c r="BB99" s="130">
        <v>431679</v>
      </c>
      <c r="BC99" s="130">
        <v>515434</v>
      </c>
      <c r="BD99" s="130">
        <v>710367</v>
      </c>
      <c r="BE99" s="130">
        <v>694204</v>
      </c>
      <c r="BF99" s="130">
        <v>732448</v>
      </c>
      <c r="BG99" s="130">
        <v>755733</v>
      </c>
      <c r="BH99" s="130">
        <v>698484</v>
      </c>
      <c r="BI99" s="130">
        <v>724859</v>
      </c>
      <c r="BJ99" s="130">
        <v>725575</v>
      </c>
      <c r="BK99" s="130">
        <v>648615</v>
      </c>
      <c r="BL99" s="130">
        <v>499146</v>
      </c>
      <c r="BM99" s="130">
        <v>42584</v>
      </c>
      <c r="BN99" s="130">
        <v>431679</v>
      </c>
      <c r="BO99" s="130">
        <v>515434</v>
      </c>
      <c r="BP99" s="130">
        <v>710367</v>
      </c>
      <c r="BQ99" s="130">
        <v>694204</v>
      </c>
      <c r="BR99" s="130">
        <v>732448</v>
      </c>
      <c r="BS99" s="130">
        <v>755733</v>
      </c>
      <c r="BT99" s="130">
        <v>698484</v>
      </c>
      <c r="BU99" s="130">
        <v>724859</v>
      </c>
      <c r="BV99" s="130">
        <v>725575</v>
      </c>
      <c r="BW99" s="130">
        <v>648615</v>
      </c>
      <c r="BX99" s="130">
        <v>499146</v>
      </c>
      <c r="BY99" s="132">
        <f>SUM(E99:P99)</f>
        <v>8113602</v>
      </c>
      <c r="BZ99" s="132">
        <f>SUM(Q99:AB99)</f>
        <v>6301285</v>
      </c>
      <c r="CA99" s="132">
        <f>SUM(AC99:AN99)</f>
        <v>7179128</v>
      </c>
      <c r="CB99" s="132">
        <f>SUM(AO99:AZ99)</f>
        <v>7179128</v>
      </c>
      <c r="CC99" s="132">
        <f>SUM(BA99:BL99)</f>
        <v>7179128</v>
      </c>
      <c r="CD99" s="132">
        <f>SUM(BM99:BX99)</f>
        <v>7179128</v>
      </c>
    </row>
    <row r="100" spans="1:85" s="98" customFormat="1" outlineLevel="1">
      <c r="A100" s="10"/>
      <c r="B100" s="10"/>
      <c r="C100" s="10"/>
      <c r="D100" s="137" t="s">
        <v>349</v>
      </c>
      <c r="E100" s="136">
        <f t="shared" ref="E100:AJ100" si="72">SUBTOTAL(9,E95:E99)</f>
        <v>95414</v>
      </c>
      <c r="F100" s="136">
        <f t="shared" si="72"/>
        <v>1289059</v>
      </c>
      <c r="G100" s="136">
        <f t="shared" si="72"/>
        <v>1380640</v>
      </c>
      <c r="H100" s="136">
        <f t="shared" si="72"/>
        <v>673544</v>
      </c>
      <c r="I100" s="136">
        <f t="shared" si="72"/>
        <v>695065</v>
      </c>
      <c r="J100" s="136">
        <f t="shared" si="72"/>
        <v>720963</v>
      </c>
      <c r="K100" s="136">
        <f t="shared" si="72"/>
        <v>769062</v>
      </c>
      <c r="L100" s="136">
        <f t="shared" si="72"/>
        <v>681166</v>
      </c>
      <c r="M100" s="136">
        <f t="shared" si="72"/>
        <v>708229</v>
      </c>
      <c r="N100" s="136">
        <f t="shared" si="72"/>
        <v>749039</v>
      </c>
      <c r="O100" s="136">
        <f t="shared" si="72"/>
        <v>394784</v>
      </c>
      <c r="P100" s="136">
        <f t="shared" si="72"/>
        <v>34114</v>
      </c>
      <c r="Q100" s="136">
        <f t="shared" si="72"/>
        <v>41027</v>
      </c>
      <c r="R100" s="136">
        <f t="shared" si="72"/>
        <v>838</v>
      </c>
      <c r="S100" s="136">
        <f t="shared" si="72"/>
        <v>1423</v>
      </c>
      <c r="T100" s="136">
        <f t="shared" si="72"/>
        <v>734723</v>
      </c>
      <c r="U100" s="136">
        <f t="shared" si="72"/>
        <v>706449</v>
      </c>
      <c r="V100" s="136">
        <f t="shared" si="72"/>
        <v>776544</v>
      </c>
      <c r="W100" s="136">
        <f t="shared" si="72"/>
        <v>754805</v>
      </c>
      <c r="X100" s="136">
        <f t="shared" si="72"/>
        <v>724084</v>
      </c>
      <c r="Y100" s="136">
        <f t="shared" si="72"/>
        <v>727369</v>
      </c>
      <c r="Z100" s="136">
        <f t="shared" si="72"/>
        <v>733190</v>
      </c>
      <c r="AA100" s="136">
        <f t="shared" si="72"/>
        <v>651716</v>
      </c>
      <c r="AB100" s="136">
        <f t="shared" si="72"/>
        <v>521613</v>
      </c>
      <c r="AC100" s="136">
        <f t="shared" si="72"/>
        <v>65637</v>
      </c>
      <c r="AD100" s="136">
        <f t="shared" si="72"/>
        <v>432516</v>
      </c>
      <c r="AE100" s="136">
        <f t="shared" si="72"/>
        <v>516856</v>
      </c>
      <c r="AF100" s="136">
        <f t="shared" si="72"/>
        <v>711611</v>
      </c>
      <c r="AG100" s="136">
        <f t="shared" si="72"/>
        <v>696373</v>
      </c>
      <c r="AH100" s="136">
        <f t="shared" si="72"/>
        <v>734786</v>
      </c>
      <c r="AI100" s="136">
        <f t="shared" si="72"/>
        <v>757725</v>
      </c>
      <c r="AJ100" s="136">
        <f t="shared" si="72"/>
        <v>701640</v>
      </c>
      <c r="AK100" s="136">
        <f t="shared" ref="AK100:BP100" si="73">SUBTOTAL(9,AK95:AK99)</f>
        <v>727961</v>
      </c>
      <c r="AL100" s="136">
        <f t="shared" si="73"/>
        <v>733190</v>
      </c>
      <c r="AM100" s="136">
        <f t="shared" si="73"/>
        <v>651716</v>
      </c>
      <c r="AN100" s="136">
        <f t="shared" si="73"/>
        <v>521613</v>
      </c>
      <c r="AO100" s="135">
        <f t="shared" si="73"/>
        <v>65637</v>
      </c>
      <c r="AP100" s="135">
        <f t="shared" si="73"/>
        <v>432516</v>
      </c>
      <c r="AQ100" s="135">
        <f t="shared" si="73"/>
        <v>516856</v>
      </c>
      <c r="AR100" s="135">
        <f t="shared" si="73"/>
        <v>711611</v>
      </c>
      <c r="AS100" s="135">
        <f t="shared" si="73"/>
        <v>696373</v>
      </c>
      <c r="AT100" s="135">
        <f t="shared" si="73"/>
        <v>734786</v>
      </c>
      <c r="AU100" s="135">
        <f t="shared" si="73"/>
        <v>757725</v>
      </c>
      <c r="AV100" s="135">
        <f t="shared" si="73"/>
        <v>701640</v>
      </c>
      <c r="AW100" s="135">
        <f t="shared" si="73"/>
        <v>727961</v>
      </c>
      <c r="AX100" s="135">
        <f t="shared" si="73"/>
        <v>733190</v>
      </c>
      <c r="AY100" s="135">
        <f t="shared" si="73"/>
        <v>651716</v>
      </c>
      <c r="AZ100" s="135">
        <f t="shared" si="73"/>
        <v>521613</v>
      </c>
      <c r="BA100" s="135">
        <f t="shared" si="73"/>
        <v>65637</v>
      </c>
      <c r="BB100" s="135">
        <f t="shared" si="73"/>
        <v>432516</v>
      </c>
      <c r="BC100" s="135">
        <f t="shared" si="73"/>
        <v>516856</v>
      </c>
      <c r="BD100" s="135">
        <f t="shared" si="73"/>
        <v>711611</v>
      </c>
      <c r="BE100" s="135">
        <f t="shared" si="73"/>
        <v>696373</v>
      </c>
      <c r="BF100" s="135">
        <f t="shared" si="73"/>
        <v>734786</v>
      </c>
      <c r="BG100" s="135">
        <f t="shared" si="73"/>
        <v>757725</v>
      </c>
      <c r="BH100" s="135">
        <f t="shared" si="73"/>
        <v>701640</v>
      </c>
      <c r="BI100" s="135">
        <f t="shared" si="73"/>
        <v>727961</v>
      </c>
      <c r="BJ100" s="135">
        <f t="shared" si="73"/>
        <v>733190</v>
      </c>
      <c r="BK100" s="135">
        <f t="shared" si="73"/>
        <v>651716</v>
      </c>
      <c r="BL100" s="135">
        <f t="shared" si="73"/>
        <v>521613</v>
      </c>
      <c r="BM100" s="135">
        <f t="shared" si="73"/>
        <v>65637</v>
      </c>
      <c r="BN100" s="135">
        <f t="shared" si="73"/>
        <v>432516</v>
      </c>
      <c r="BO100" s="135">
        <f t="shared" si="73"/>
        <v>516856</v>
      </c>
      <c r="BP100" s="135">
        <f t="shared" si="73"/>
        <v>711611</v>
      </c>
      <c r="BQ100" s="135">
        <f t="shared" ref="BQ100:CD100" si="74">SUBTOTAL(9,BQ95:BQ99)</f>
        <v>696373</v>
      </c>
      <c r="BR100" s="135">
        <f t="shared" si="74"/>
        <v>734786</v>
      </c>
      <c r="BS100" s="135">
        <f t="shared" si="74"/>
        <v>757725</v>
      </c>
      <c r="BT100" s="135">
        <f t="shared" si="74"/>
        <v>701640</v>
      </c>
      <c r="BU100" s="135">
        <f t="shared" si="74"/>
        <v>727961</v>
      </c>
      <c r="BV100" s="135">
        <f t="shared" si="74"/>
        <v>733190</v>
      </c>
      <c r="BW100" s="135">
        <f t="shared" si="74"/>
        <v>651716</v>
      </c>
      <c r="BX100" s="135">
        <f t="shared" si="74"/>
        <v>521613</v>
      </c>
      <c r="BY100" s="134">
        <f t="shared" si="74"/>
        <v>8191079</v>
      </c>
      <c r="BZ100" s="134">
        <f t="shared" si="74"/>
        <v>6373781</v>
      </c>
      <c r="CA100" s="134">
        <f t="shared" si="74"/>
        <v>7251624</v>
      </c>
      <c r="CB100" s="134">
        <f t="shared" si="74"/>
        <v>7251624</v>
      </c>
      <c r="CC100" s="134">
        <f t="shared" si="74"/>
        <v>7251624</v>
      </c>
      <c r="CD100" s="134">
        <f t="shared" si="74"/>
        <v>7251624</v>
      </c>
      <c r="CF100" s="145">
        <f>SUM(Z100:AK100)</f>
        <v>7251624</v>
      </c>
      <c r="CG100" s="145">
        <f>SUM(AL100:AW100)</f>
        <v>7251624</v>
      </c>
    </row>
    <row r="101" spans="1:85" s="98" customFormat="1" outlineLevel="2">
      <c r="A101" s="10">
        <v>2</v>
      </c>
      <c r="B101" s="10">
        <v>85</v>
      </c>
      <c r="C101" s="10" t="s">
        <v>348</v>
      </c>
      <c r="D101" s="131" t="s">
        <v>88</v>
      </c>
      <c r="E101" s="121">
        <v>1228308</v>
      </c>
      <c r="F101" s="121">
        <v>1071614</v>
      </c>
      <c r="G101" s="121">
        <v>943140</v>
      </c>
      <c r="H101" s="121">
        <v>988470</v>
      </c>
      <c r="I101" s="121">
        <v>1333651</v>
      </c>
      <c r="J101" s="121">
        <v>1396372</v>
      </c>
      <c r="K101" s="121">
        <v>1064133</v>
      </c>
      <c r="L101" s="121">
        <v>1241260</v>
      </c>
      <c r="M101" s="121">
        <v>986839</v>
      </c>
      <c r="N101" s="121">
        <v>865489</v>
      </c>
      <c r="O101" s="121">
        <v>1138551</v>
      </c>
      <c r="P101" s="121">
        <v>2013223</v>
      </c>
      <c r="Q101" s="121">
        <v>1254150</v>
      </c>
      <c r="R101" s="121">
        <v>1188407</v>
      </c>
      <c r="S101" s="121">
        <v>1049331</v>
      </c>
      <c r="T101" s="121">
        <v>1269078</v>
      </c>
      <c r="U101" s="121">
        <v>1301629</v>
      </c>
      <c r="V101" s="121">
        <v>1469738</v>
      </c>
      <c r="W101" s="121">
        <v>1197172</v>
      </c>
      <c r="X101" s="121">
        <v>986831</v>
      </c>
      <c r="Y101" s="121">
        <v>1239037</v>
      </c>
      <c r="Z101" s="121">
        <v>865489</v>
      </c>
      <c r="AA101" s="121">
        <v>1138551</v>
      </c>
      <c r="AB101" s="121">
        <v>2013223</v>
      </c>
      <c r="AC101" s="121">
        <v>1254150</v>
      </c>
      <c r="AD101" s="121">
        <v>1188407</v>
      </c>
      <c r="AE101" s="121">
        <v>1049331</v>
      </c>
      <c r="AF101" s="121">
        <v>1269078</v>
      </c>
      <c r="AG101" s="121">
        <v>1301629</v>
      </c>
      <c r="AH101" s="121">
        <v>1469738</v>
      </c>
      <c r="AI101" s="121">
        <v>1197172</v>
      </c>
      <c r="AJ101" s="121">
        <v>986831</v>
      </c>
      <c r="AK101" s="121">
        <v>1239037</v>
      </c>
      <c r="AL101" s="121">
        <v>865489</v>
      </c>
      <c r="AM101" s="121">
        <v>1138551</v>
      </c>
      <c r="AN101" s="121">
        <v>2013223</v>
      </c>
      <c r="AO101" s="130">
        <v>1254150</v>
      </c>
      <c r="AP101" s="130">
        <v>1188407</v>
      </c>
      <c r="AQ101" s="130">
        <v>1049331</v>
      </c>
      <c r="AR101" s="130">
        <v>1269078</v>
      </c>
      <c r="AS101" s="130">
        <v>1301629</v>
      </c>
      <c r="AT101" s="130">
        <v>1469738</v>
      </c>
      <c r="AU101" s="130">
        <v>1197172</v>
      </c>
      <c r="AV101" s="130">
        <v>986831</v>
      </c>
      <c r="AW101" s="130">
        <v>1239037</v>
      </c>
      <c r="AX101" s="130">
        <v>865489</v>
      </c>
      <c r="AY101" s="130">
        <v>1138551</v>
      </c>
      <c r="AZ101" s="130">
        <v>2013223</v>
      </c>
      <c r="BA101" s="130">
        <v>1254150</v>
      </c>
      <c r="BB101" s="130">
        <v>1188407</v>
      </c>
      <c r="BC101" s="130">
        <v>1049331</v>
      </c>
      <c r="BD101" s="130">
        <v>1269078</v>
      </c>
      <c r="BE101" s="130">
        <v>1301629</v>
      </c>
      <c r="BF101" s="130">
        <v>1469738</v>
      </c>
      <c r="BG101" s="130">
        <v>1197172</v>
      </c>
      <c r="BH101" s="130">
        <v>986831</v>
      </c>
      <c r="BI101" s="130">
        <v>1239037</v>
      </c>
      <c r="BJ101" s="130">
        <v>865489</v>
      </c>
      <c r="BK101" s="130">
        <v>1138551</v>
      </c>
      <c r="BL101" s="130">
        <v>2013223</v>
      </c>
      <c r="BM101" s="130">
        <v>1254150</v>
      </c>
      <c r="BN101" s="130">
        <v>1188407</v>
      </c>
      <c r="BO101" s="130">
        <v>1049331</v>
      </c>
      <c r="BP101" s="130">
        <v>1269078</v>
      </c>
      <c r="BQ101" s="130">
        <v>1301629</v>
      </c>
      <c r="BR101" s="130">
        <v>1469738</v>
      </c>
      <c r="BS101" s="130">
        <v>1197172</v>
      </c>
      <c r="BT101" s="130">
        <v>986831</v>
      </c>
      <c r="BU101" s="130">
        <v>1239037</v>
      </c>
      <c r="BV101" s="130">
        <v>865489</v>
      </c>
      <c r="BW101" s="130">
        <v>1138551</v>
      </c>
      <c r="BX101" s="130">
        <v>2013223</v>
      </c>
      <c r="BY101" s="132">
        <f>SUM(E101:P101)</f>
        <v>14271050</v>
      </c>
      <c r="BZ101" s="132">
        <f>SUM(Q101:AB101)</f>
        <v>14972636</v>
      </c>
      <c r="CA101" s="132">
        <f>SUM(AC101:AN101)</f>
        <v>14972636</v>
      </c>
      <c r="CB101" s="132">
        <f>SUM(AO101:AZ101)</f>
        <v>14972636</v>
      </c>
      <c r="CC101" s="132">
        <f>SUM(BA101:BL101)</f>
        <v>14972636</v>
      </c>
      <c r="CD101" s="132">
        <f>SUM(BM101:BX101)</f>
        <v>14972636</v>
      </c>
    </row>
    <row r="102" spans="1:85" s="98" customFormat="1" outlineLevel="2">
      <c r="A102" s="10">
        <v>3</v>
      </c>
      <c r="B102" s="10">
        <v>85</v>
      </c>
      <c r="C102" s="10" t="s">
        <v>348</v>
      </c>
      <c r="D102" s="131" t="s">
        <v>88</v>
      </c>
      <c r="E102" s="121">
        <v>14645895</v>
      </c>
      <c r="F102" s="121">
        <v>4287109</v>
      </c>
      <c r="G102" s="121">
        <v>5966662</v>
      </c>
      <c r="H102" s="121">
        <v>5879718</v>
      </c>
      <c r="I102" s="121">
        <v>16160382</v>
      </c>
      <c r="J102" s="121">
        <v>11948693</v>
      </c>
      <c r="K102" s="121">
        <v>5762792</v>
      </c>
      <c r="L102" s="121">
        <v>6245285</v>
      </c>
      <c r="M102" s="121">
        <v>8756579</v>
      </c>
      <c r="N102" s="121">
        <v>7067475</v>
      </c>
      <c r="O102" s="121">
        <v>7139340</v>
      </c>
      <c r="P102" s="121">
        <v>15046850</v>
      </c>
      <c r="Q102" s="121">
        <v>5797290</v>
      </c>
      <c r="R102" s="121">
        <v>10859033</v>
      </c>
      <c r="S102" s="121">
        <v>5354413</v>
      </c>
      <c r="T102" s="121">
        <v>4384500</v>
      </c>
      <c r="U102" s="121">
        <v>13981502</v>
      </c>
      <c r="V102" s="121">
        <v>7599157</v>
      </c>
      <c r="W102" s="121">
        <v>5094900</v>
      </c>
      <c r="X102" s="121">
        <v>5713926</v>
      </c>
      <c r="Y102" s="121">
        <v>4679715</v>
      </c>
      <c r="Z102" s="121">
        <v>7067475</v>
      </c>
      <c r="AA102" s="121">
        <v>7139340</v>
      </c>
      <c r="AB102" s="121">
        <v>15046850</v>
      </c>
      <c r="AC102" s="121">
        <v>5797290</v>
      </c>
      <c r="AD102" s="121">
        <v>10859033</v>
      </c>
      <c r="AE102" s="121">
        <v>5354413</v>
      </c>
      <c r="AF102" s="121">
        <v>4384500</v>
      </c>
      <c r="AG102" s="121">
        <v>13981502</v>
      </c>
      <c r="AH102" s="121">
        <v>7599157</v>
      </c>
      <c r="AI102" s="121">
        <v>5094900</v>
      </c>
      <c r="AJ102" s="121">
        <v>5713926</v>
      </c>
      <c r="AK102" s="121">
        <v>4679715</v>
      </c>
      <c r="AL102" s="121">
        <v>7067475</v>
      </c>
      <c r="AM102" s="121">
        <v>7139340</v>
      </c>
      <c r="AN102" s="121">
        <v>15046850</v>
      </c>
      <c r="AO102" s="130">
        <v>5797290</v>
      </c>
      <c r="AP102" s="130">
        <v>10859033</v>
      </c>
      <c r="AQ102" s="130">
        <v>5354413</v>
      </c>
      <c r="AR102" s="130">
        <v>4384500</v>
      </c>
      <c r="AS102" s="130">
        <v>13981502</v>
      </c>
      <c r="AT102" s="130">
        <v>7599157</v>
      </c>
      <c r="AU102" s="130">
        <v>5094900</v>
      </c>
      <c r="AV102" s="130">
        <v>5713926</v>
      </c>
      <c r="AW102" s="130">
        <v>4679715</v>
      </c>
      <c r="AX102" s="130">
        <v>7067475</v>
      </c>
      <c r="AY102" s="130">
        <v>7139340</v>
      </c>
      <c r="AZ102" s="130">
        <v>15046850</v>
      </c>
      <c r="BA102" s="130">
        <v>5797290</v>
      </c>
      <c r="BB102" s="130">
        <v>10859033</v>
      </c>
      <c r="BC102" s="130">
        <v>5354413</v>
      </c>
      <c r="BD102" s="130">
        <v>4384500</v>
      </c>
      <c r="BE102" s="130">
        <v>13981502</v>
      </c>
      <c r="BF102" s="130">
        <v>7599157</v>
      </c>
      <c r="BG102" s="130">
        <v>5094900</v>
      </c>
      <c r="BH102" s="130">
        <v>5713926</v>
      </c>
      <c r="BI102" s="130">
        <v>4679715</v>
      </c>
      <c r="BJ102" s="130">
        <v>7067475</v>
      </c>
      <c r="BK102" s="130">
        <v>7139340</v>
      </c>
      <c r="BL102" s="130">
        <v>15046850</v>
      </c>
      <c r="BM102" s="130">
        <v>5797290</v>
      </c>
      <c r="BN102" s="130">
        <v>10859033</v>
      </c>
      <c r="BO102" s="130">
        <v>5354413</v>
      </c>
      <c r="BP102" s="130">
        <v>4384500</v>
      </c>
      <c r="BQ102" s="130">
        <v>13981502</v>
      </c>
      <c r="BR102" s="130">
        <v>7599157</v>
      </c>
      <c r="BS102" s="130">
        <v>5094900</v>
      </c>
      <c r="BT102" s="130">
        <v>5713926</v>
      </c>
      <c r="BU102" s="130">
        <v>4679715</v>
      </c>
      <c r="BV102" s="130">
        <v>7067475</v>
      </c>
      <c r="BW102" s="130">
        <v>7139340</v>
      </c>
      <c r="BX102" s="130">
        <v>15046850</v>
      </c>
      <c r="BY102" s="132">
        <f>SUM(E102:P102)</f>
        <v>108906780</v>
      </c>
      <c r="BZ102" s="132">
        <f>SUM(Q102:AB102)</f>
        <v>92718101</v>
      </c>
      <c r="CA102" s="132">
        <f>SUM(AC102:AN102)</f>
        <v>92718101</v>
      </c>
      <c r="CB102" s="132">
        <f>SUM(AO102:AZ102)</f>
        <v>92718101</v>
      </c>
      <c r="CC102" s="132">
        <f>SUM(BA102:BL102)</f>
        <v>92718101</v>
      </c>
      <c r="CD102" s="132">
        <f>SUM(BM102:BX102)</f>
        <v>92718101</v>
      </c>
    </row>
    <row r="103" spans="1:85" s="98" customFormat="1" outlineLevel="1">
      <c r="A103" s="10"/>
      <c r="B103" s="10"/>
      <c r="C103" s="10"/>
      <c r="D103" s="137" t="s">
        <v>347</v>
      </c>
      <c r="E103" s="136">
        <f t="shared" ref="E103:AJ103" si="75">SUBTOTAL(9,E101:E102)</f>
        <v>15874203</v>
      </c>
      <c r="F103" s="136">
        <f t="shared" si="75"/>
        <v>5358723</v>
      </c>
      <c r="G103" s="136">
        <f t="shared" si="75"/>
        <v>6909802</v>
      </c>
      <c r="H103" s="136">
        <f t="shared" si="75"/>
        <v>6868188</v>
      </c>
      <c r="I103" s="136">
        <f t="shared" si="75"/>
        <v>17494033</v>
      </c>
      <c r="J103" s="136">
        <f t="shared" si="75"/>
        <v>13345065</v>
      </c>
      <c r="K103" s="136">
        <f t="shared" si="75"/>
        <v>6826925</v>
      </c>
      <c r="L103" s="136">
        <f t="shared" si="75"/>
        <v>7486545</v>
      </c>
      <c r="M103" s="136">
        <f t="shared" si="75"/>
        <v>9743418</v>
      </c>
      <c r="N103" s="136">
        <f t="shared" si="75"/>
        <v>7932964</v>
      </c>
      <c r="O103" s="136">
        <f t="shared" si="75"/>
        <v>8277891</v>
      </c>
      <c r="P103" s="136">
        <f t="shared" si="75"/>
        <v>17060073</v>
      </c>
      <c r="Q103" s="136">
        <f t="shared" si="75"/>
        <v>7051440</v>
      </c>
      <c r="R103" s="136">
        <f t="shared" si="75"/>
        <v>12047440</v>
      </c>
      <c r="S103" s="136">
        <f t="shared" si="75"/>
        <v>6403744</v>
      </c>
      <c r="T103" s="136">
        <f t="shared" si="75"/>
        <v>5653578</v>
      </c>
      <c r="U103" s="136">
        <f t="shared" si="75"/>
        <v>15283131</v>
      </c>
      <c r="V103" s="136">
        <f t="shared" si="75"/>
        <v>9068895</v>
      </c>
      <c r="W103" s="136">
        <f t="shared" si="75"/>
        <v>6292072</v>
      </c>
      <c r="X103" s="136">
        <f t="shared" si="75"/>
        <v>6700757</v>
      </c>
      <c r="Y103" s="136">
        <f t="shared" si="75"/>
        <v>5918752</v>
      </c>
      <c r="Z103" s="136">
        <f t="shared" si="75"/>
        <v>7932964</v>
      </c>
      <c r="AA103" s="136">
        <f t="shared" si="75"/>
        <v>8277891</v>
      </c>
      <c r="AB103" s="136">
        <f t="shared" si="75"/>
        <v>17060073</v>
      </c>
      <c r="AC103" s="136">
        <f t="shared" si="75"/>
        <v>7051440</v>
      </c>
      <c r="AD103" s="136">
        <f t="shared" si="75"/>
        <v>12047440</v>
      </c>
      <c r="AE103" s="136">
        <f t="shared" si="75"/>
        <v>6403744</v>
      </c>
      <c r="AF103" s="136">
        <f t="shared" si="75"/>
        <v>5653578</v>
      </c>
      <c r="AG103" s="136">
        <f t="shared" si="75"/>
        <v>15283131</v>
      </c>
      <c r="AH103" s="136">
        <f t="shared" si="75"/>
        <v>9068895</v>
      </c>
      <c r="AI103" s="136">
        <f t="shared" si="75"/>
        <v>6292072</v>
      </c>
      <c r="AJ103" s="136">
        <f t="shared" si="75"/>
        <v>6700757</v>
      </c>
      <c r="AK103" s="136">
        <f t="shared" ref="AK103:BP103" si="76">SUBTOTAL(9,AK101:AK102)</f>
        <v>5918752</v>
      </c>
      <c r="AL103" s="136">
        <f t="shared" si="76"/>
        <v>7932964</v>
      </c>
      <c r="AM103" s="136">
        <f t="shared" si="76"/>
        <v>8277891</v>
      </c>
      <c r="AN103" s="136">
        <f t="shared" si="76"/>
        <v>17060073</v>
      </c>
      <c r="AO103" s="135">
        <f t="shared" si="76"/>
        <v>7051440</v>
      </c>
      <c r="AP103" s="135">
        <f t="shared" si="76"/>
        <v>12047440</v>
      </c>
      <c r="AQ103" s="135">
        <f t="shared" si="76"/>
        <v>6403744</v>
      </c>
      <c r="AR103" s="135">
        <f t="shared" si="76"/>
        <v>5653578</v>
      </c>
      <c r="AS103" s="135">
        <f t="shared" si="76"/>
        <v>15283131</v>
      </c>
      <c r="AT103" s="135">
        <f t="shared" si="76"/>
        <v>9068895</v>
      </c>
      <c r="AU103" s="135">
        <f t="shared" si="76"/>
        <v>6292072</v>
      </c>
      <c r="AV103" s="135">
        <f t="shared" si="76"/>
        <v>6700757</v>
      </c>
      <c r="AW103" s="135">
        <f t="shared" si="76"/>
        <v>5918752</v>
      </c>
      <c r="AX103" s="135">
        <f t="shared" si="76"/>
        <v>7932964</v>
      </c>
      <c r="AY103" s="135">
        <f t="shared" si="76"/>
        <v>8277891</v>
      </c>
      <c r="AZ103" s="135">
        <f t="shared" si="76"/>
        <v>17060073</v>
      </c>
      <c r="BA103" s="135">
        <f t="shared" si="76"/>
        <v>7051440</v>
      </c>
      <c r="BB103" s="135">
        <f t="shared" si="76"/>
        <v>12047440</v>
      </c>
      <c r="BC103" s="135">
        <f t="shared" si="76"/>
        <v>6403744</v>
      </c>
      <c r="BD103" s="135">
        <f t="shared" si="76"/>
        <v>5653578</v>
      </c>
      <c r="BE103" s="135">
        <f t="shared" si="76"/>
        <v>15283131</v>
      </c>
      <c r="BF103" s="135">
        <f t="shared" si="76"/>
        <v>9068895</v>
      </c>
      <c r="BG103" s="135">
        <f t="shared" si="76"/>
        <v>6292072</v>
      </c>
      <c r="BH103" s="135">
        <f t="shared" si="76"/>
        <v>6700757</v>
      </c>
      <c r="BI103" s="135">
        <f t="shared" si="76"/>
        <v>5918752</v>
      </c>
      <c r="BJ103" s="135">
        <f t="shared" si="76"/>
        <v>7932964</v>
      </c>
      <c r="BK103" s="135">
        <f t="shared" si="76"/>
        <v>8277891</v>
      </c>
      <c r="BL103" s="135">
        <f t="shared" si="76"/>
        <v>17060073</v>
      </c>
      <c r="BM103" s="135">
        <f t="shared" si="76"/>
        <v>7051440</v>
      </c>
      <c r="BN103" s="135">
        <f t="shared" si="76"/>
        <v>12047440</v>
      </c>
      <c r="BO103" s="135">
        <f t="shared" si="76"/>
        <v>6403744</v>
      </c>
      <c r="BP103" s="135">
        <f t="shared" si="76"/>
        <v>5653578</v>
      </c>
      <c r="BQ103" s="135">
        <f t="shared" ref="BQ103:CD103" si="77">SUBTOTAL(9,BQ101:BQ102)</f>
        <v>15283131</v>
      </c>
      <c r="BR103" s="135">
        <f t="shared" si="77"/>
        <v>9068895</v>
      </c>
      <c r="BS103" s="135">
        <f t="shared" si="77"/>
        <v>6292072</v>
      </c>
      <c r="BT103" s="135">
        <f t="shared" si="77"/>
        <v>6700757</v>
      </c>
      <c r="BU103" s="135">
        <f t="shared" si="77"/>
        <v>5918752</v>
      </c>
      <c r="BV103" s="135">
        <f t="shared" si="77"/>
        <v>7932964</v>
      </c>
      <c r="BW103" s="135">
        <f t="shared" si="77"/>
        <v>8277891</v>
      </c>
      <c r="BX103" s="135">
        <f t="shared" si="77"/>
        <v>17060073</v>
      </c>
      <c r="BY103" s="134">
        <f t="shared" si="77"/>
        <v>123177830</v>
      </c>
      <c r="BZ103" s="134">
        <f t="shared" si="77"/>
        <v>107690737</v>
      </c>
      <c r="CA103" s="134">
        <f t="shared" si="77"/>
        <v>107690737</v>
      </c>
      <c r="CB103" s="134">
        <f t="shared" si="77"/>
        <v>107690737</v>
      </c>
      <c r="CC103" s="134">
        <f t="shared" si="77"/>
        <v>107690737</v>
      </c>
      <c r="CD103" s="134">
        <f t="shared" si="77"/>
        <v>107690737</v>
      </c>
      <c r="CF103" s="145">
        <f>SUM(Z103:AK103)</f>
        <v>107690737</v>
      </c>
      <c r="CG103" s="145">
        <f>SUM(AL103:AW103)</f>
        <v>107690737</v>
      </c>
    </row>
    <row r="104" spans="1:85" s="98" customFormat="1">
      <c r="A104" s="10"/>
      <c r="B104" s="10"/>
      <c r="C104" s="10"/>
      <c r="D104" s="133" t="s">
        <v>346</v>
      </c>
      <c r="E104" s="121">
        <f t="shared" ref="E104:AJ104" si="78">SUBTOTAL(9,E3:E102)</f>
        <v>7881414963</v>
      </c>
      <c r="F104" s="121">
        <f t="shared" si="78"/>
        <v>7403941924</v>
      </c>
      <c r="G104" s="121">
        <f t="shared" si="78"/>
        <v>6879255096</v>
      </c>
      <c r="H104" s="121">
        <f t="shared" si="78"/>
        <v>7434516018</v>
      </c>
      <c r="I104" s="121">
        <f t="shared" si="78"/>
        <v>8229579002</v>
      </c>
      <c r="J104" s="121">
        <f t="shared" si="78"/>
        <v>9108650181</v>
      </c>
      <c r="K104" s="121">
        <f t="shared" si="78"/>
        <v>9998657339</v>
      </c>
      <c r="L104" s="121">
        <f t="shared" si="78"/>
        <v>9877098692</v>
      </c>
      <c r="M104" s="121">
        <f t="shared" si="78"/>
        <v>9996147858</v>
      </c>
      <c r="N104" s="121">
        <f t="shared" si="78"/>
        <v>9480037166</v>
      </c>
      <c r="O104" s="121">
        <f t="shared" si="78"/>
        <v>8426285284</v>
      </c>
      <c r="P104" s="121">
        <f t="shared" si="78"/>
        <v>8038985040</v>
      </c>
      <c r="Q104" s="121">
        <f t="shared" si="78"/>
        <v>9116973254</v>
      </c>
      <c r="R104" s="121">
        <f t="shared" si="78"/>
        <v>7491191418</v>
      </c>
      <c r="S104" s="121">
        <f t="shared" si="78"/>
        <v>7202475549</v>
      </c>
      <c r="T104" s="121">
        <f t="shared" si="78"/>
        <v>6885209812</v>
      </c>
      <c r="U104" s="121">
        <f t="shared" si="78"/>
        <v>8296041541</v>
      </c>
      <c r="V104" s="121">
        <f t="shared" si="78"/>
        <v>9976346291</v>
      </c>
      <c r="W104" s="121">
        <f t="shared" si="78"/>
        <v>10473503945</v>
      </c>
      <c r="X104" s="121">
        <f t="shared" si="78"/>
        <v>10347574754</v>
      </c>
      <c r="Y104" s="121">
        <f t="shared" si="78"/>
        <v>10176323036</v>
      </c>
      <c r="Z104" s="121">
        <f t="shared" si="78"/>
        <v>9358101121</v>
      </c>
      <c r="AA104" s="121">
        <f t="shared" si="78"/>
        <v>8155658054</v>
      </c>
      <c r="AB104" s="121">
        <f t="shared" si="78"/>
        <v>7795720487</v>
      </c>
      <c r="AC104" s="121">
        <f t="shared" si="78"/>
        <v>7850152695</v>
      </c>
      <c r="AD104" s="121">
        <f t="shared" si="78"/>
        <v>7362267469</v>
      </c>
      <c r="AE104" s="121">
        <f t="shared" si="78"/>
        <v>6967507452</v>
      </c>
      <c r="AF104" s="121">
        <f t="shared" si="78"/>
        <v>7343568307</v>
      </c>
      <c r="AG104" s="121">
        <f t="shared" si="78"/>
        <v>8244802537</v>
      </c>
      <c r="AH104" s="121">
        <f t="shared" si="78"/>
        <v>9053587236</v>
      </c>
      <c r="AI104" s="121">
        <f t="shared" si="78"/>
        <v>9910677738</v>
      </c>
      <c r="AJ104" s="121">
        <f t="shared" si="78"/>
        <v>9739156677</v>
      </c>
      <c r="AK104" s="121">
        <f t="shared" ref="AK104:BP104" si="79">SUBTOTAL(9,AK3:AK102)</f>
        <v>9865473773</v>
      </c>
      <c r="AL104" s="121">
        <f t="shared" si="79"/>
        <v>9248784961</v>
      </c>
      <c r="AM104" s="121">
        <f t="shared" si="79"/>
        <v>8192141215</v>
      </c>
      <c r="AN104" s="121">
        <f t="shared" si="79"/>
        <v>7845519516</v>
      </c>
      <c r="AO104" s="130">
        <f t="shared" si="79"/>
        <v>7926950316</v>
      </c>
      <c r="AP104" s="130">
        <f t="shared" si="79"/>
        <v>7437961464</v>
      </c>
      <c r="AQ104" s="130">
        <f t="shared" si="79"/>
        <v>7034495626</v>
      </c>
      <c r="AR104" s="130">
        <f t="shared" si="79"/>
        <v>7412558958</v>
      </c>
      <c r="AS104" s="130">
        <f t="shared" si="79"/>
        <v>8318132996</v>
      </c>
      <c r="AT104" s="130">
        <f t="shared" si="79"/>
        <v>9131033067</v>
      </c>
      <c r="AU104" s="130">
        <f t="shared" si="79"/>
        <v>9997496654</v>
      </c>
      <c r="AV104" s="130">
        <f t="shared" si="79"/>
        <v>9831034088</v>
      </c>
      <c r="AW104" s="130">
        <f t="shared" si="79"/>
        <v>9971842516</v>
      </c>
      <c r="AX104" s="130">
        <f t="shared" si="79"/>
        <v>9374057632</v>
      </c>
      <c r="AY104" s="130">
        <f t="shared" si="79"/>
        <v>8336254199</v>
      </c>
      <c r="AZ104" s="130">
        <f t="shared" si="79"/>
        <v>8014980712</v>
      </c>
      <c r="BA104" s="130">
        <f t="shared" si="79"/>
        <v>8098819141</v>
      </c>
      <c r="BB104" s="130">
        <f t="shared" si="79"/>
        <v>7608367252</v>
      </c>
      <c r="BC104" s="130">
        <f t="shared" si="79"/>
        <v>7189286518</v>
      </c>
      <c r="BD104" s="130">
        <f t="shared" si="79"/>
        <v>7566485528</v>
      </c>
      <c r="BE104" s="130">
        <f t="shared" si="79"/>
        <v>8478691541</v>
      </c>
      <c r="BF104" s="130">
        <f t="shared" si="79"/>
        <v>9278314290</v>
      </c>
      <c r="BG104" s="130">
        <f t="shared" si="79"/>
        <v>10162133785</v>
      </c>
      <c r="BH104" s="130">
        <f t="shared" si="79"/>
        <v>9990792404</v>
      </c>
      <c r="BI104" s="130">
        <f t="shared" si="79"/>
        <v>10140154510</v>
      </c>
      <c r="BJ104" s="130">
        <f t="shared" si="79"/>
        <v>9550680737</v>
      </c>
      <c r="BK104" s="130">
        <f t="shared" si="79"/>
        <v>8522294367</v>
      </c>
      <c r="BL104" s="130">
        <f t="shared" si="79"/>
        <v>8216023181</v>
      </c>
      <c r="BM104" s="130">
        <f t="shared" si="79"/>
        <v>8433307092</v>
      </c>
      <c r="BN104" s="130">
        <f t="shared" si="79"/>
        <v>7808752199</v>
      </c>
      <c r="BO104" s="130">
        <f t="shared" si="79"/>
        <v>7364726088</v>
      </c>
      <c r="BP104" s="130">
        <f t="shared" si="79"/>
        <v>7732170436</v>
      </c>
      <c r="BQ104" s="130">
        <f t="shared" ref="BQ104:CD104" si="80">SUBTOTAL(9,BQ3:BQ102)</f>
        <v>8673288304</v>
      </c>
      <c r="BR104" s="130">
        <f t="shared" si="80"/>
        <v>9498876693</v>
      </c>
      <c r="BS104" s="130">
        <f t="shared" si="80"/>
        <v>10343191361</v>
      </c>
      <c r="BT104" s="130">
        <f t="shared" si="80"/>
        <v>10127504561</v>
      </c>
      <c r="BU104" s="130">
        <f t="shared" si="80"/>
        <v>10275143948</v>
      </c>
      <c r="BV104" s="130">
        <f t="shared" si="80"/>
        <v>9701330766</v>
      </c>
      <c r="BW104" s="130">
        <f t="shared" si="80"/>
        <v>8644107567</v>
      </c>
      <c r="BX104" s="130">
        <f t="shared" si="80"/>
        <v>8407719193</v>
      </c>
      <c r="BY104" s="132">
        <f t="shared" si="80"/>
        <v>102754568563</v>
      </c>
      <c r="BZ104" s="132">
        <f t="shared" si="80"/>
        <v>105275119262</v>
      </c>
      <c r="CA104" s="132">
        <f t="shared" si="80"/>
        <v>101623639576</v>
      </c>
      <c r="CB104" s="132">
        <f t="shared" si="80"/>
        <v>102786798228</v>
      </c>
      <c r="CC104" s="132">
        <f t="shared" si="80"/>
        <v>104802043254</v>
      </c>
      <c r="CD104" s="132">
        <f t="shared" si="80"/>
        <v>107010118208</v>
      </c>
    </row>
    <row r="105" spans="1:85" s="98" customFormat="1">
      <c r="A105" s="131"/>
      <c r="B105" s="131"/>
      <c r="C105" s="131"/>
      <c r="D105" s="13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row>
    <row r="106" spans="1:85" ht="13.8" thickBot="1">
      <c r="D106" s="128" t="s">
        <v>345</v>
      </c>
      <c r="E106" s="127">
        <v>7881414963</v>
      </c>
      <c r="F106" s="127">
        <v>7403941924</v>
      </c>
      <c r="G106" s="127">
        <v>6879255096</v>
      </c>
      <c r="H106" s="127">
        <v>7434516018</v>
      </c>
      <c r="I106" s="127">
        <v>8229579002</v>
      </c>
      <c r="J106" s="127">
        <v>9108650181</v>
      </c>
      <c r="K106" s="127">
        <v>9998657339</v>
      </c>
      <c r="L106" s="127">
        <v>9877098692</v>
      </c>
      <c r="M106" s="127">
        <v>9996147858</v>
      </c>
      <c r="N106" s="127">
        <v>9480037166</v>
      </c>
      <c r="O106" s="127">
        <v>8426285284</v>
      </c>
      <c r="P106" s="127">
        <v>8038985040</v>
      </c>
      <c r="Q106" s="127">
        <v>9116973254</v>
      </c>
      <c r="R106" s="127">
        <v>7491191418</v>
      </c>
      <c r="S106" s="127">
        <v>7202475549</v>
      </c>
      <c r="T106" s="127">
        <v>6885209812</v>
      </c>
      <c r="U106" s="127">
        <v>8296041541</v>
      </c>
      <c r="V106" s="127">
        <v>9976346291</v>
      </c>
      <c r="W106" s="127">
        <v>10473503945</v>
      </c>
      <c r="X106" s="127">
        <v>10347574754</v>
      </c>
      <c r="Y106" s="127">
        <v>10176323036</v>
      </c>
      <c r="Z106" s="127">
        <v>9358101121</v>
      </c>
      <c r="AA106" s="127">
        <v>8155658054</v>
      </c>
      <c r="AB106" s="127">
        <v>7795720487</v>
      </c>
      <c r="AC106" s="127">
        <v>7850152695</v>
      </c>
      <c r="AD106" s="127">
        <v>7362267469</v>
      </c>
      <c r="AE106" s="127">
        <v>6967507452</v>
      </c>
      <c r="AF106" s="127">
        <v>7343568307</v>
      </c>
      <c r="AG106" s="127">
        <v>8244802537</v>
      </c>
      <c r="AH106" s="127">
        <v>9053587236</v>
      </c>
      <c r="AI106" s="127">
        <v>9910677738</v>
      </c>
      <c r="AJ106" s="127">
        <v>9739156677</v>
      </c>
      <c r="AK106" s="127">
        <v>9865473773</v>
      </c>
      <c r="AL106" s="127">
        <v>9248784961</v>
      </c>
      <c r="AM106" s="127">
        <v>8192141215</v>
      </c>
      <c r="AN106" s="127">
        <v>7845519516</v>
      </c>
      <c r="AO106" s="129">
        <v>7926950316</v>
      </c>
      <c r="AP106" s="129">
        <v>7437961464</v>
      </c>
      <c r="AQ106" s="129">
        <v>7034495626</v>
      </c>
      <c r="AR106" s="129">
        <v>7412558958</v>
      </c>
      <c r="AS106" s="129">
        <v>8318132996</v>
      </c>
      <c r="AT106" s="129">
        <v>9131033067</v>
      </c>
      <c r="AU106" s="129">
        <v>9997496654</v>
      </c>
      <c r="AV106" s="129">
        <v>9831034088</v>
      </c>
      <c r="AW106" s="129">
        <v>9971842516</v>
      </c>
      <c r="AX106" s="129">
        <v>9374057632</v>
      </c>
      <c r="AY106" s="129">
        <v>8336254199</v>
      </c>
      <c r="AZ106" s="129">
        <v>8014980712</v>
      </c>
      <c r="BA106" s="129">
        <v>8098819141</v>
      </c>
      <c r="BB106" s="129">
        <v>7608367252</v>
      </c>
      <c r="BC106" s="129">
        <v>7189286518</v>
      </c>
      <c r="BD106" s="129">
        <v>7566485528</v>
      </c>
      <c r="BE106" s="129">
        <v>8478691541</v>
      </c>
      <c r="BF106" s="129">
        <v>9278314290</v>
      </c>
      <c r="BG106" s="129">
        <v>10162133785</v>
      </c>
      <c r="BH106" s="129">
        <v>9990792404</v>
      </c>
      <c r="BI106" s="129">
        <v>10140154510</v>
      </c>
      <c r="BJ106" s="129">
        <v>9550680737</v>
      </c>
      <c r="BK106" s="129">
        <v>8522294367</v>
      </c>
      <c r="BL106" s="129">
        <v>8216023181</v>
      </c>
      <c r="BM106" s="129">
        <v>8433307092</v>
      </c>
      <c r="BN106" s="129">
        <v>7808752199</v>
      </c>
      <c r="BO106" s="129">
        <v>7364726088</v>
      </c>
      <c r="BP106" s="129">
        <v>7732170436</v>
      </c>
      <c r="BQ106" s="129">
        <v>8673288304</v>
      </c>
      <c r="BR106" s="129">
        <v>9498876693</v>
      </c>
      <c r="BS106" s="129">
        <v>10343191361</v>
      </c>
      <c r="BT106" s="129">
        <v>10127504561</v>
      </c>
      <c r="BU106" s="129">
        <v>10275143948</v>
      </c>
      <c r="BV106" s="129">
        <v>9701330766</v>
      </c>
      <c r="BW106" s="129">
        <v>8644107567</v>
      </c>
      <c r="BX106" s="129">
        <v>8407719193</v>
      </c>
      <c r="BY106" s="129">
        <v>102754568563</v>
      </c>
      <c r="BZ106" s="129">
        <v>105275119262</v>
      </c>
      <c r="CA106" s="129">
        <v>101623639576</v>
      </c>
      <c r="CB106" s="129">
        <v>102786798228</v>
      </c>
      <c r="CC106" s="129">
        <v>104802043254</v>
      </c>
      <c r="CD106" s="129">
        <v>107010118208</v>
      </c>
      <c r="CF106" s="143">
        <f>SUM(CF5:CF103)</f>
        <v>101646673546</v>
      </c>
      <c r="CG106" s="143">
        <f>SUM(CG5:CG103)</f>
        <v>102347951377</v>
      </c>
    </row>
    <row r="107" spans="1:85" ht="13.8" thickTop="1">
      <c r="D107" s="128" t="s">
        <v>344</v>
      </c>
      <c r="E107" s="127" t="b">
        <f t="shared" ref="E107:AJ107" si="81">E106=E104</f>
        <v>1</v>
      </c>
      <c r="F107" s="127" t="b">
        <f t="shared" si="81"/>
        <v>1</v>
      </c>
      <c r="G107" s="127" t="b">
        <f t="shared" si="81"/>
        <v>1</v>
      </c>
      <c r="H107" s="127" t="b">
        <f t="shared" si="81"/>
        <v>1</v>
      </c>
      <c r="I107" s="127" t="b">
        <f t="shared" si="81"/>
        <v>1</v>
      </c>
      <c r="J107" s="127" t="b">
        <f t="shared" si="81"/>
        <v>1</v>
      </c>
      <c r="K107" s="127" t="b">
        <f t="shared" si="81"/>
        <v>1</v>
      </c>
      <c r="L107" s="127" t="b">
        <f t="shared" si="81"/>
        <v>1</v>
      </c>
      <c r="M107" s="127" t="b">
        <f t="shared" si="81"/>
        <v>1</v>
      </c>
      <c r="N107" s="127" t="b">
        <f t="shared" si="81"/>
        <v>1</v>
      </c>
      <c r="O107" s="127" t="b">
        <f t="shared" si="81"/>
        <v>1</v>
      </c>
      <c r="P107" s="127" t="b">
        <f t="shared" si="81"/>
        <v>1</v>
      </c>
      <c r="Q107" s="127" t="b">
        <f t="shared" si="81"/>
        <v>1</v>
      </c>
      <c r="R107" s="127" t="b">
        <f t="shared" si="81"/>
        <v>1</v>
      </c>
      <c r="S107" s="127" t="b">
        <f t="shared" si="81"/>
        <v>1</v>
      </c>
      <c r="T107" s="127" t="b">
        <f t="shared" si="81"/>
        <v>1</v>
      </c>
      <c r="U107" s="127" t="b">
        <f t="shared" si="81"/>
        <v>1</v>
      </c>
      <c r="V107" s="127" t="b">
        <f t="shared" si="81"/>
        <v>1</v>
      </c>
      <c r="W107" s="127" t="b">
        <f t="shared" si="81"/>
        <v>1</v>
      </c>
      <c r="X107" s="127" t="b">
        <f t="shared" si="81"/>
        <v>1</v>
      </c>
      <c r="Y107" s="127" t="b">
        <f t="shared" si="81"/>
        <v>1</v>
      </c>
      <c r="Z107" s="127" t="b">
        <f t="shared" si="81"/>
        <v>1</v>
      </c>
      <c r="AA107" s="127" t="b">
        <f t="shared" si="81"/>
        <v>1</v>
      </c>
      <c r="AB107" s="127" t="b">
        <f t="shared" si="81"/>
        <v>1</v>
      </c>
      <c r="AC107" s="127" t="b">
        <f t="shared" si="81"/>
        <v>1</v>
      </c>
      <c r="AD107" s="127" t="b">
        <f t="shared" si="81"/>
        <v>1</v>
      </c>
      <c r="AE107" s="127" t="b">
        <f t="shared" si="81"/>
        <v>1</v>
      </c>
      <c r="AF107" s="127" t="b">
        <f t="shared" si="81"/>
        <v>1</v>
      </c>
      <c r="AG107" s="127" t="b">
        <f t="shared" si="81"/>
        <v>1</v>
      </c>
      <c r="AH107" s="127" t="b">
        <f t="shared" si="81"/>
        <v>1</v>
      </c>
      <c r="AI107" s="127" t="b">
        <f t="shared" si="81"/>
        <v>1</v>
      </c>
      <c r="AJ107" s="127" t="b">
        <f t="shared" si="81"/>
        <v>1</v>
      </c>
      <c r="AK107" s="127" t="b">
        <f t="shared" ref="AK107:BP107" si="82">AK106=AK104</f>
        <v>1</v>
      </c>
      <c r="AL107" s="127" t="b">
        <f t="shared" si="82"/>
        <v>1</v>
      </c>
      <c r="AM107" s="127" t="b">
        <f t="shared" si="82"/>
        <v>1</v>
      </c>
      <c r="AN107" s="127" t="b">
        <f t="shared" si="82"/>
        <v>1</v>
      </c>
      <c r="AO107" s="127" t="b">
        <f t="shared" si="82"/>
        <v>1</v>
      </c>
      <c r="AP107" s="127" t="b">
        <f t="shared" si="82"/>
        <v>1</v>
      </c>
      <c r="AQ107" s="127" t="b">
        <f t="shared" si="82"/>
        <v>1</v>
      </c>
      <c r="AR107" s="127" t="b">
        <f t="shared" si="82"/>
        <v>1</v>
      </c>
      <c r="AS107" s="127" t="b">
        <f t="shared" si="82"/>
        <v>1</v>
      </c>
      <c r="AT107" s="127" t="b">
        <f t="shared" si="82"/>
        <v>1</v>
      </c>
      <c r="AU107" s="127" t="b">
        <f t="shared" si="82"/>
        <v>1</v>
      </c>
      <c r="AV107" s="127" t="b">
        <f t="shared" si="82"/>
        <v>1</v>
      </c>
      <c r="AW107" s="127" t="b">
        <f t="shared" si="82"/>
        <v>1</v>
      </c>
      <c r="AX107" s="127" t="b">
        <f t="shared" si="82"/>
        <v>1</v>
      </c>
      <c r="AY107" s="127" t="b">
        <f t="shared" si="82"/>
        <v>1</v>
      </c>
      <c r="AZ107" s="127" t="b">
        <f t="shared" si="82"/>
        <v>1</v>
      </c>
      <c r="BA107" s="127" t="b">
        <f t="shared" si="82"/>
        <v>1</v>
      </c>
      <c r="BB107" s="127" t="b">
        <f t="shared" si="82"/>
        <v>1</v>
      </c>
      <c r="BC107" s="127" t="b">
        <f t="shared" si="82"/>
        <v>1</v>
      </c>
      <c r="BD107" s="127" t="b">
        <f t="shared" si="82"/>
        <v>1</v>
      </c>
      <c r="BE107" s="127" t="b">
        <f t="shared" si="82"/>
        <v>1</v>
      </c>
      <c r="BF107" s="127" t="b">
        <f t="shared" si="82"/>
        <v>1</v>
      </c>
      <c r="BG107" s="127" t="b">
        <f t="shared" si="82"/>
        <v>1</v>
      </c>
      <c r="BH107" s="127" t="b">
        <f t="shared" si="82"/>
        <v>1</v>
      </c>
      <c r="BI107" s="127" t="b">
        <f t="shared" si="82"/>
        <v>1</v>
      </c>
      <c r="BJ107" s="127" t="b">
        <f t="shared" si="82"/>
        <v>1</v>
      </c>
      <c r="BK107" s="127" t="b">
        <f t="shared" si="82"/>
        <v>1</v>
      </c>
      <c r="BL107" s="127" t="b">
        <f t="shared" si="82"/>
        <v>1</v>
      </c>
      <c r="BM107" s="127" t="b">
        <f t="shared" si="82"/>
        <v>1</v>
      </c>
      <c r="BN107" s="127" t="b">
        <f t="shared" si="82"/>
        <v>1</v>
      </c>
      <c r="BO107" s="127" t="b">
        <f t="shared" si="82"/>
        <v>1</v>
      </c>
      <c r="BP107" s="127" t="b">
        <f t="shared" si="82"/>
        <v>1</v>
      </c>
      <c r="BQ107" s="127" t="b">
        <f t="shared" ref="BQ107:CD107" si="83">BQ106=BQ104</f>
        <v>1</v>
      </c>
      <c r="BR107" s="127" t="b">
        <f t="shared" si="83"/>
        <v>1</v>
      </c>
      <c r="BS107" s="127" t="b">
        <f t="shared" si="83"/>
        <v>1</v>
      </c>
      <c r="BT107" s="127" t="b">
        <f t="shared" si="83"/>
        <v>1</v>
      </c>
      <c r="BU107" s="127" t="b">
        <f t="shared" si="83"/>
        <v>1</v>
      </c>
      <c r="BV107" s="127" t="b">
        <f t="shared" si="83"/>
        <v>1</v>
      </c>
      <c r="BW107" s="127" t="b">
        <f t="shared" si="83"/>
        <v>1</v>
      </c>
      <c r="BX107" s="127" t="b">
        <f t="shared" si="83"/>
        <v>1</v>
      </c>
      <c r="BY107" s="127" t="b">
        <f t="shared" si="83"/>
        <v>1</v>
      </c>
      <c r="BZ107" s="127" t="b">
        <f t="shared" si="83"/>
        <v>1</v>
      </c>
      <c r="CA107" s="127" t="b">
        <f t="shared" si="83"/>
        <v>1</v>
      </c>
      <c r="CB107" s="127" t="b">
        <f t="shared" si="83"/>
        <v>1</v>
      </c>
      <c r="CC107" s="127" t="b">
        <f t="shared" si="83"/>
        <v>1</v>
      </c>
      <c r="CD107" s="127" t="b">
        <f t="shared" si="83"/>
        <v>1</v>
      </c>
    </row>
    <row r="117" spans="1:1" customFormat="1">
      <c r="A117" s="126"/>
    </row>
    <row r="118" spans="1:1" customFormat="1">
      <c r="A118" s="126"/>
    </row>
  </sheetData>
  <mergeCells count="8">
    <mergeCell ref="CF1:CG1"/>
    <mergeCell ref="BY1:CD1"/>
    <mergeCell ref="BA1:BL1"/>
    <mergeCell ref="BM1:BX1"/>
    <mergeCell ref="E1:P1"/>
    <mergeCell ref="Q1:AB1"/>
    <mergeCell ref="AC1:AN1"/>
    <mergeCell ref="AO1:AZ1"/>
  </mergeCells>
  <pageMargins left="0" right="0" top="1" bottom="0.5" header="0.25" footer="0.25"/>
  <pageSetup scale="40" fitToWidth="3" orientation="landscape" r:id="rId1"/>
  <headerFooter alignWithMargins="0">
    <oddHeader>&amp;LPrivileged and Confirdential
Attorney-Cleint Communication/Attorney Work Product
Prepared at the request of Legal Counsel</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Q98"/>
  <sheetViews>
    <sheetView showGridLines="0" topLeftCell="A46" zoomScale="70" workbookViewId="0">
      <pane xSplit="1" topLeftCell="B1" activePane="topRight" state="frozen"/>
      <selection pane="topRight" activeCell="M82" sqref="M82"/>
    </sheetView>
  </sheetViews>
  <sheetFormatPr defaultRowHeight="13.2"/>
  <cols>
    <col min="3" max="14" width="12.6640625" customWidth="1"/>
    <col min="15" max="17" width="15.6640625" customWidth="1"/>
    <col min="259" max="270" width="12.6640625" customWidth="1"/>
    <col min="271" max="273" width="15.6640625" customWidth="1"/>
    <col min="515" max="526" width="12.6640625" customWidth="1"/>
    <col min="527" max="529" width="15.6640625" customWidth="1"/>
    <col min="771" max="782" width="12.6640625" customWidth="1"/>
    <col min="783" max="785" width="15.6640625" customWidth="1"/>
    <col min="1027" max="1038" width="12.6640625" customWidth="1"/>
    <col min="1039" max="1041" width="15.6640625" customWidth="1"/>
    <col min="1283" max="1294" width="12.6640625" customWidth="1"/>
    <col min="1295" max="1297" width="15.6640625" customWidth="1"/>
    <col min="1539" max="1550" width="12.6640625" customWidth="1"/>
    <col min="1551" max="1553" width="15.6640625" customWidth="1"/>
    <col min="1795" max="1806" width="12.6640625" customWidth="1"/>
    <col min="1807" max="1809" width="15.6640625" customWidth="1"/>
    <col min="2051" max="2062" width="12.6640625" customWidth="1"/>
    <col min="2063" max="2065" width="15.6640625" customWidth="1"/>
    <col min="2307" max="2318" width="12.6640625" customWidth="1"/>
    <col min="2319" max="2321" width="15.6640625" customWidth="1"/>
    <col min="2563" max="2574" width="12.6640625" customWidth="1"/>
    <col min="2575" max="2577" width="15.6640625" customWidth="1"/>
    <col min="2819" max="2830" width="12.6640625" customWidth="1"/>
    <col min="2831" max="2833" width="15.6640625" customWidth="1"/>
    <col min="3075" max="3086" width="12.6640625" customWidth="1"/>
    <col min="3087" max="3089" width="15.6640625" customWidth="1"/>
    <col min="3331" max="3342" width="12.6640625" customWidth="1"/>
    <col min="3343" max="3345" width="15.6640625" customWidth="1"/>
    <col min="3587" max="3598" width="12.6640625" customWidth="1"/>
    <col min="3599" max="3601" width="15.6640625" customWidth="1"/>
    <col min="3843" max="3854" width="12.6640625" customWidth="1"/>
    <col min="3855" max="3857" width="15.6640625" customWidth="1"/>
    <col min="4099" max="4110" width="12.6640625" customWidth="1"/>
    <col min="4111" max="4113" width="15.6640625" customWidth="1"/>
    <col min="4355" max="4366" width="12.6640625" customWidth="1"/>
    <col min="4367" max="4369" width="15.6640625" customWidth="1"/>
    <col min="4611" max="4622" width="12.6640625" customWidth="1"/>
    <col min="4623" max="4625" width="15.6640625" customWidth="1"/>
    <col min="4867" max="4878" width="12.6640625" customWidth="1"/>
    <col min="4879" max="4881" width="15.6640625" customWidth="1"/>
    <col min="5123" max="5134" width="12.6640625" customWidth="1"/>
    <col min="5135" max="5137" width="15.6640625" customWidth="1"/>
    <col min="5379" max="5390" width="12.6640625" customWidth="1"/>
    <col min="5391" max="5393" width="15.6640625" customWidth="1"/>
    <col min="5635" max="5646" width="12.6640625" customWidth="1"/>
    <col min="5647" max="5649" width="15.6640625" customWidth="1"/>
    <col min="5891" max="5902" width="12.6640625" customWidth="1"/>
    <col min="5903" max="5905" width="15.6640625" customWidth="1"/>
    <col min="6147" max="6158" width="12.6640625" customWidth="1"/>
    <col min="6159" max="6161" width="15.6640625" customWidth="1"/>
    <col min="6403" max="6414" width="12.6640625" customWidth="1"/>
    <col min="6415" max="6417" width="15.6640625" customWidth="1"/>
    <col min="6659" max="6670" width="12.6640625" customWidth="1"/>
    <col min="6671" max="6673" width="15.6640625" customWidth="1"/>
    <col min="6915" max="6926" width="12.6640625" customWidth="1"/>
    <col min="6927" max="6929" width="15.6640625" customWidth="1"/>
    <col min="7171" max="7182" width="12.6640625" customWidth="1"/>
    <col min="7183" max="7185" width="15.6640625" customWidth="1"/>
    <col min="7427" max="7438" width="12.6640625" customWidth="1"/>
    <col min="7439" max="7441" width="15.6640625" customWidth="1"/>
    <col min="7683" max="7694" width="12.6640625" customWidth="1"/>
    <col min="7695" max="7697" width="15.6640625" customWidth="1"/>
    <col min="7939" max="7950" width="12.6640625" customWidth="1"/>
    <col min="7951" max="7953" width="15.6640625" customWidth="1"/>
    <col min="8195" max="8206" width="12.6640625" customWidth="1"/>
    <col min="8207" max="8209" width="15.6640625" customWidth="1"/>
    <col min="8451" max="8462" width="12.6640625" customWidth="1"/>
    <col min="8463" max="8465" width="15.6640625" customWidth="1"/>
    <col min="8707" max="8718" width="12.6640625" customWidth="1"/>
    <col min="8719" max="8721" width="15.6640625" customWidth="1"/>
    <col min="8963" max="8974" width="12.6640625" customWidth="1"/>
    <col min="8975" max="8977" width="15.6640625" customWidth="1"/>
    <col min="9219" max="9230" width="12.6640625" customWidth="1"/>
    <col min="9231" max="9233" width="15.6640625" customWidth="1"/>
    <col min="9475" max="9486" width="12.6640625" customWidth="1"/>
    <col min="9487" max="9489" width="15.6640625" customWidth="1"/>
    <col min="9731" max="9742" width="12.6640625" customWidth="1"/>
    <col min="9743" max="9745" width="15.6640625" customWidth="1"/>
    <col min="9987" max="9998" width="12.6640625" customWidth="1"/>
    <col min="9999" max="10001" width="15.6640625" customWidth="1"/>
    <col min="10243" max="10254" width="12.6640625" customWidth="1"/>
    <col min="10255" max="10257" width="15.6640625" customWidth="1"/>
    <col min="10499" max="10510" width="12.6640625" customWidth="1"/>
    <col min="10511" max="10513" width="15.6640625" customWidth="1"/>
    <col min="10755" max="10766" width="12.6640625" customWidth="1"/>
    <col min="10767" max="10769" width="15.6640625" customWidth="1"/>
    <col min="11011" max="11022" width="12.6640625" customWidth="1"/>
    <col min="11023" max="11025" width="15.6640625" customWidth="1"/>
    <col min="11267" max="11278" width="12.6640625" customWidth="1"/>
    <col min="11279" max="11281" width="15.6640625" customWidth="1"/>
    <col min="11523" max="11534" width="12.6640625" customWidth="1"/>
    <col min="11535" max="11537" width="15.6640625" customWidth="1"/>
    <col min="11779" max="11790" width="12.6640625" customWidth="1"/>
    <col min="11791" max="11793" width="15.6640625" customWidth="1"/>
    <col min="12035" max="12046" width="12.6640625" customWidth="1"/>
    <col min="12047" max="12049" width="15.6640625" customWidth="1"/>
    <col min="12291" max="12302" width="12.6640625" customWidth="1"/>
    <col min="12303" max="12305" width="15.6640625" customWidth="1"/>
    <col min="12547" max="12558" width="12.6640625" customWidth="1"/>
    <col min="12559" max="12561" width="15.6640625" customWidth="1"/>
    <col min="12803" max="12814" width="12.6640625" customWidth="1"/>
    <col min="12815" max="12817" width="15.6640625" customWidth="1"/>
    <col min="13059" max="13070" width="12.6640625" customWidth="1"/>
    <col min="13071" max="13073" width="15.6640625" customWidth="1"/>
    <col min="13315" max="13326" width="12.6640625" customWidth="1"/>
    <col min="13327" max="13329" width="15.6640625" customWidth="1"/>
    <col min="13571" max="13582" width="12.6640625" customWidth="1"/>
    <col min="13583" max="13585" width="15.6640625" customWidth="1"/>
    <col min="13827" max="13838" width="12.6640625" customWidth="1"/>
    <col min="13839" max="13841" width="15.6640625" customWidth="1"/>
    <col min="14083" max="14094" width="12.6640625" customWidth="1"/>
    <col min="14095" max="14097" width="15.6640625" customWidth="1"/>
    <col min="14339" max="14350" width="12.6640625" customWidth="1"/>
    <col min="14351" max="14353" width="15.6640625" customWidth="1"/>
    <col min="14595" max="14606" width="12.6640625" customWidth="1"/>
    <col min="14607" max="14609" width="15.6640625" customWidth="1"/>
    <col min="14851" max="14862" width="12.6640625" customWidth="1"/>
    <col min="14863" max="14865" width="15.6640625" customWidth="1"/>
    <col min="15107" max="15118" width="12.6640625" customWidth="1"/>
    <col min="15119" max="15121" width="15.6640625" customWidth="1"/>
    <col min="15363" max="15374" width="12.6640625" customWidth="1"/>
    <col min="15375" max="15377" width="15.6640625" customWidth="1"/>
    <col min="15619" max="15630" width="12.6640625" customWidth="1"/>
    <col min="15631" max="15633" width="15.6640625" customWidth="1"/>
    <col min="15875" max="15886" width="12.6640625" customWidth="1"/>
    <col min="15887" max="15889" width="15.6640625" customWidth="1"/>
    <col min="16131" max="16142" width="12.6640625" customWidth="1"/>
    <col min="16143" max="16145" width="15.6640625" customWidth="1"/>
  </cols>
  <sheetData>
    <row r="1" spans="1:17" s="237" customFormat="1"/>
    <row r="2" spans="1:17">
      <c r="A2" s="8" t="s">
        <v>544</v>
      </c>
      <c r="B2" s="8"/>
    </row>
    <row r="3" spans="1:17">
      <c r="C3" s="50">
        <v>2010</v>
      </c>
      <c r="D3" s="50">
        <v>2010</v>
      </c>
      <c r="E3" s="50">
        <v>2010</v>
      </c>
      <c r="F3" s="50">
        <v>2010</v>
      </c>
      <c r="G3" s="50">
        <v>2010</v>
      </c>
      <c r="H3" s="50">
        <v>2010</v>
      </c>
      <c r="I3" s="50">
        <v>2010</v>
      </c>
      <c r="J3" s="50">
        <v>2010</v>
      </c>
      <c r="K3" s="50">
        <v>2010</v>
      </c>
      <c r="L3" s="50">
        <v>2010</v>
      </c>
      <c r="M3" s="50">
        <v>2010</v>
      </c>
      <c r="N3" s="50">
        <v>2010</v>
      </c>
    </row>
    <row r="4" spans="1:17">
      <c r="A4" s="50" t="s">
        <v>538</v>
      </c>
      <c r="B4" s="50"/>
      <c r="C4" s="50">
        <v>1</v>
      </c>
      <c r="D4" s="50">
        <v>2</v>
      </c>
      <c r="E4" s="50">
        <v>3</v>
      </c>
      <c r="F4" s="50">
        <v>4</v>
      </c>
      <c r="G4" s="50">
        <v>5</v>
      </c>
      <c r="H4" s="50">
        <v>6</v>
      </c>
      <c r="I4" s="50">
        <v>7</v>
      </c>
      <c r="J4" s="50">
        <v>8</v>
      </c>
      <c r="K4" s="50">
        <v>9</v>
      </c>
      <c r="L4" s="50">
        <v>10</v>
      </c>
      <c r="M4" s="50">
        <v>11</v>
      </c>
      <c r="N4" s="50">
        <v>12</v>
      </c>
      <c r="O4" s="50">
        <v>2010</v>
      </c>
      <c r="P4" s="50" t="s">
        <v>536</v>
      </c>
      <c r="Q4" s="50" t="s">
        <v>537</v>
      </c>
    </row>
    <row r="5" spans="1:17">
      <c r="A5" s="50">
        <v>54</v>
      </c>
      <c r="B5" s="50" t="s">
        <v>98</v>
      </c>
      <c r="C5" s="238">
        <v>554542</v>
      </c>
      <c r="D5" s="238">
        <v>575244</v>
      </c>
      <c r="E5" s="238">
        <v>575244</v>
      </c>
      <c r="F5" s="238">
        <v>564188</v>
      </c>
      <c r="G5" s="238">
        <v>577764</v>
      </c>
      <c r="H5" s="238">
        <v>584564</v>
      </c>
      <c r="I5" s="238">
        <v>593464</v>
      </c>
      <c r="J5" s="238">
        <v>596363</v>
      </c>
      <c r="K5" s="238">
        <v>581443</v>
      </c>
      <c r="L5" s="238">
        <v>568005</v>
      </c>
      <c r="M5" s="238">
        <v>567898</v>
      </c>
      <c r="N5" s="238">
        <v>568486</v>
      </c>
      <c r="O5" s="238">
        <v>6907205</v>
      </c>
      <c r="P5" s="44">
        <v>2355834</v>
      </c>
      <c r="Q5" s="44">
        <v>4551371</v>
      </c>
    </row>
    <row r="6" spans="1:17">
      <c r="A6" s="50">
        <v>55</v>
      </c>
      <c r="B6" s="50" t="s">
        <v>50</v>
      </c>
      <c r="C6" s="238">
        <v>262074</v>
      </c>
      <c r="D6" s="238">
        <v>249420</v>
      </c>
      <c r="E6" s="238">
        <v>242519</v>
      </c>
      <c r="F6" s="238">
        <v>304369</v>
      </c>
      <c r="G6" s="238">
        <v>251398</v>
      </c>
      <c r="H6" s="238">
        <v>260557</v>
      </c>
      <c r="I6" s="238">
        <v>269835</v>
      </c>
      <c r="J6" s="238">
        <v>282491</v>
      </c>
      <c r="K6" s="238">
        <v>257427</v>
      </c>
      <c r="L6" s="238">
        <v>256700</v>
      </c>
      <c r="M6" s="238">
        <v>256308</v>
      </c>
      <c r="N6" s="238">
        <v>254783</v>
      </c>
      <c r="O6" s="238">
        <v>3147881</v>
      </c>
      <c r="P6" s="44">
        <v>1070310</v>
      </c>
      <c r="Q6" s="44">
        <v>2077571</v>
      </c>
    </row>
    <row r="7" spans="1:17">
      <c r="A7" s="50">
        <v>56</v>
      </c>
      <c r="B7" s="50" t="s">
        <v>99</v>
      </c>
      <c r="C7" s="238">
        <v>38042</v>
      </c>
      <c r="D7" s="238">
        <v>36112</v>
      </c>
      <c r="E7" s="238">
        <v>36020</v>
      </c>
      <c r="F7" s="238">
        <v>36112</v>
      </c>
      <c r="G7" s="238">
        <v>37045</v>
      </c>
      <c r="H7" s="238">
        <v>37456</v>
      </c>
      <c r="I7" s="238">
        <v>39153</v>
      </c>
      <c r="J7" s="238">
        <v>38450</v>
      </c>
      <c r="K7" s="238">
        <v>37096</v>
      </c>
      <c r="L7" s="238">
        <v>39518</v>
      </c>
      <c r="M7" s="238">
        <v>36672</v>
      </c>
      <c r="N7" s="238">
        <v>37238</v>
      </c>
      <c r="O7" s="238">
        <v>448914</v>
      </c>
      <c r="P7" s="44">
        <v>152155</v>
      </c>
      <c r="Q7" s="44">
        <v>296759</v>
      </c>
    </row>
    <row r="8" spans="1:17">
      <c r="A8" s="50">
        <v>62</v>
      </c>
      <c r="B8" s="50" t="s">
        <v>382</v>
      </c>
      <c r="C8" s="238">
        <v>867884</v>
      </c>
      <c r="D8" s="238">
        <v>836772</v>
      </c>
      <c r="E8" s="238">
        <v>810725</v>
      </c>
      <c r="F8" s="238">
        <v>816439</v>
      </c>
      <c r="G8" s="238">
        <v>927504</v>
      </c>
      <c r="H8" s="238">
        <v>1016775</v>
      </c>
      <c r="I8" s="238">
        <v>982175</v>
      </c>
      <c r="J8" s="238">
        <v>991361</v>
      </c>
      <c r="K8" s="238">
        <v>983841</v>
      </c>
      <c r="L8" s="238">
        <v>964689</v>
      </c>
      <c r="M8" s="238">
        <v>928993</v>
      </c>
      <c r="N8" s="238">
        <v>901992</v>
      </c>
      <c r="O8" s="238">
        <v>11029150</v>
      </c>
      <c r="P8" s="44">
        <v>3974152</v>
      </c>
      <c r="Q8" s="44">
        <v>7054998</v>
      </c>
    </row>
    <row r="9" spans="1:17">
      <c r="A9" s="50">
        <v>63</v>
      </c>
      <c r="B9" s="50" t="s">
        <v>379</v>
      </c>
      <c r="C9" s="238">
        <v>87301</v>
      </c>
      <c r="D9" s="238">
        <v>89568</v>
      </c>
      <c r="E9" s="238">
        <v>93620</v>
      </c>
      <c r="F9" s="238">
        <v>93242</v>
      </c>
      <c r="G9" s="238">
        <v>93477</v>
      </c>
      <c r="H9" s="238">
        <v>105044</v>
      </c>
      <c r="I9" s="238">
        <v>94432</v>
      </c>
      <c r="J9" s="238">
        <v>91413</v>
      </c>
      <c r="K9" s="238">
        <v>91224</v>
      </c>
      <c r="L9" s="238">
        <v>82187</v>
      </c>
      <c r="M9" s="238">
        <v>83130</v>
      </c>
      <c r="N9" s="238">
        <v>74750</v>
      </c>
      <c r="O9" s="238">
        <v>1079388</v>
      </c>
      <c r="P9" s="44">
        <v>382113</v>
      </c>
      <c r="Q9" s="44">
        <v>697275</v>
      </c>
    </row>
    <row r="10" spans="1:17">
      <c r="A10" s="50">
        <v>64</v>
      </c>
      <c r="B10" s="50" t="s">
        <v>381</v>
      </c>
      <c r="C10" s="238">
        <v>92010</v>
      </c>
      <c r="D10" s="238">
        <v>84426</v>
      </c>
      <c r="E10" s="238">
        <v>96182</v>
      </c>
      <c r="F10" s="238">
        <v>200758</v>
      </c>
      <c r="G10" s="238">
        <v>383120</v>
      </c>
      <c r="H10" s="238">
        <v>580141</v>
      </c>
      <c r="I10" s="238">
        <v>620808</v>
      </c>
      <c r="J10" s="238">
        <v>632969</v>
      </c>
      <c r="K10" s="238">
        <v>636575</v>
      </c>
      <c r="L10" s="238">
        <v>603352</v>
      </c>
      <c r="M10" s="238">
        <v>574647</v>
      </c>
      <c r="N10" s="238">
        <v>547260</v>
      </c>
      <c r="O10" s="238">
        <v>5052248</v>
      </c>
      <c r="P10" s="44">
        <v>2470493</v>
      </c>
      <c r="Q10" s="44">
        <v>2581755</v>
      </c>
    </row>
    <row r="11" spans="1:17">
      <c r="A11" s="50">
        <v>65</v>
      </c>
      <c r="B11" s="50" t="s">
        <v>378</v>
      </c>
      <c r="C11" s="238">
        <v>40606</v>
      </c>
      <c r="D11" s="238">
        <v>47922</v>
      </c>
      <c r="E11" s="238">
        <v>38433</v>
      </c>
      <c r="F11" s="238">
        <v>68773</v>
      </c>
      <c r="G11" s="238">
        <v>87065</v>
      </c>
      <c r="H11" s="238">
        <v>136277</v>
      </c>
      <c r="I11" s="238">
        <v>147842</v>
      </c>
      <c r="J11" s="238">
        <v>159894</v>
      </c>
      <c r="K11" s="238">
        <v>167794</v>
      </c>
      <c r="L11" s="238">
        <v>166041</v>
      </c>
      <c r="M11" s="238">
        <v>145278</v>
      </c>
      <c r="N11" s="238">
        <v>136350</v>
      </c>
      <c r="O11" s="238">
        <v>1342275</v>
      </c>
      <c r="P11" s="44">
        <v>611807</v>
      </c>
      <c r="Q11" s="44">
        <v>730468</v>
      </c>
    </row>
    <row r="12" spans="1:17">
      <c r="A12" s="50">
        <v>70</v>
      </c>
      <c r="B12" s="50" t="s">
        <v>384</v>
      </c>
      <c r="C12" s="238">
        <v>71220</v>
      </c>
      <c r="D12" s="238">
        <v>68551</v>
      </c>
      <c r="E12" s="238">
        <v>78426</v>
      </c>
      <c r="F12" s="238">
        <v>158830</v>
      </c>
      <c r="G12" s="238">
        <v>194019</v>
      </c>
      <c r="H12" s="238">
        <v>286180</v>
      </c>
      <c r="I12" s="238">
        <v>307763</v>
      </c>
      <c r="J12" s="238">
        <v>321907</v>
      </c>
      <c r="K12" s="238">
        <v>310832</v>
      </c>
      <c r="L12" s="238">
        <v>294785</v>
      </c>
      <c r="M12" s="238">
        <v>297824</v>
      </c>
      <c r="N12" s="238">
        <v>297343</v>
      </c>
      <c r="O12" s="238">
        <v>2687680</v>
      </c>
      <c r="P12" s="44">
        <v>1226682</v>
      </c>
      <c r="Q12" s="44">
        <v>1460998</v>
      </c>
    </row>
    <row r="13" spans="1:17">
      <c r="A13" s="50">
        <v>71</v>
      </c>
      <c r="B13" s="50" t="s">
        <v>395</v>
      </c>
      <c r="C13" s="238">
        <v>10157</v>
      </c>
      <c r="D13" s="238">
        <v>8526</v>
      </c>
      <c r="E13" s="238">
        <v>8270</v>
      </c>
      <c r="F13" s="238">
        <v>9517</v>
      </c>
      <c r="G13" s="238">
        <v>8956</v>
      </c>
      <c r="H13" s="238">
        <v>6840</v>
      </c>
      <c r="I13" s="238">
        <v>7028</v>
      </c>
      <c r="J13" s="238">
        <v>8078</v>
      </c>
      <c r="K13" s="238">
        <v>7309</v>
      </c>
      <c r="L13" s="238">
        <v>7262</v>
      </c>
      <c r="M13" s="238">
        <v>8147</v>
      </c>
      <c r="N13" s="238">
        <v>4843</v>
      </c>
      <c r="O13" s="238">
        <v>94933</v>
      </c>
      <c r="P13" s="44">
        <v>29255</v>
      </c>
      <c r="Q13" s="44">
        <v>65678</v>
      </c>
    </row>
    <row r="14" spans="1:17">
      <c r="A14" s="50">
        <v>72</v>
      </c>
      <c r="B14" s="50" t="s">
        <v>385</v>
      </c>
      <c r="C14" s="238">
        <v>4995609</v>
      </c>
      <c r="D14" s="238">
        <v>5056511</v>
      </c>
      <c r="E14" s="238">
        <v>4772711</v>
      </c>
      <c r="F14" s="238">
        <v>4919836</v>
      </c>
      <c r="G14" s="238">
        <v>5363260</v>
      </c>
      <c r="H14" s="238">
        <v>5795808</v>
      </c>
      <c r="I14" s="238">
        <v>5728856</v>
      </c>
      <c r="J14" s="238">
        <v>5711397</v>
      </c>
      <c r="K14" s="238">
        <v>5581649</v>
      </c>
      <c r="L14" s="238">
        <v>5392504</v>
      </c>
      <c r="M14" s="238">
        <v>5299455</v>
      </c>
      <c r="N14" s="238">
        <v>5079490</v>
      </c>
      <c r="O14" s="238">
        <v>63697086</v>
      </c>
      <c r="P14" s="44">
        <v>22817710</v>
      </c>
      <c r="Q14" s="44">
        <v>40879376</v>
      </c>
    </row>
    <row r="15" spans="1:17">
      <c r="A15" s="50">
        <v>73</v>
      </c>
      <c r="B15" s="50" t="s">
        <v>398</v>
      </c>
      <c r="C15" s="238">
        <v>21933</v>
      </c>
      <c r="D15" s="238">
        <v>23176</v>
      </c>
      <c r="E15" s="238">
        <v>23795</v>
      </c>
      <c r="F15" s="238">
        <v>23043</v>
      </c>
      <c r="G15" s="238">
        <v>22210</v>
      </c>
      <c r="H15" s="238">
        <v>23849</v>
      </c>
      <c r="I15" s="238">
        <v>25835</v>
      </c>
      <c r="J15" s="238">
        <v>20825</v>
      </c>
      <c r="K15" s="238">
        <v>21107</v>
      </c>
      <c r="L15" s="238">
        <v>22085</v>
      </c>
      <c r="M15" s="238">
        <v>21655</v>
      </c>
      <c r="N15" s="238">
        <v>17472</v>
      </c>
      <c r="O15" s="238">
        <v>266985</v>
      </c>
      <c r="P15" s="44">
        <v>91616</v>
      </c>
      <c r="Q15" s="44">
        <v>175369</v>
      </c>
    </row>
    <row r="16" spans="1:17">
      <c r="A16" s="50">
        <v>74</v>
      </c>
      <c r="B16" s="50" t="s">
        <v>397</v>
      </c>
      <c r="C16" s="238">
        <v>8957</v>
      </c>
      <c r="D16" s="238">
        <v>9169</v>
      </c>
      <c r="E16" s="238">
        <v>8248</v>
      </c>
      <c r="F16" s="238">
        <v>9894</v>
      </c>
      <c r="G16" s="238">
        <v>9930</v>
      </c>
      <c r="H16" s="238">
        <v>9905</v>
      </c>
      <c r="I16" s="238">
        <v>10533</v>
      </c>
      <c r="J16" s="238">
        <v>9907</v>
      </c>
      <c r="K16" s="238">
        <v>9574</v>
      </c>
      <c r="L16" s="238">
        <v>9443</v>
      </c>
      <c r="M16" s="238">
        <v>9670</v>
      </c>
      <c r="N16" s="238">
        <v>8586</v>
      </c>
      <c r="O16" s="238">
        <v>113816</v>
      </c>
      <c r="P16" s="44">
        <v>39919</v>
      </c>
      <c r="Q16" s="44">
        <v>73897</v>
      </c>
    </row>
    <row r="17" spans="1:17">
      <c r="A17" s="50">
        <v>75</v>
      </c>
      <c r="B17" s="50" t="s">
        <v>394</v>
      </c>
      <c r="C17" s="238">
        <v>6071</v>
      </c>
      <c r="D17" s="238">
        <v>5457</v>
      </c>
      <c r="E17" s="238">
        <v>5637</v>
      </c>
      <c r="F17" s="238">
        <v>6465</v>
      </c>
      <c r="G17" s="238">
        <v>5920</v>
      </c>
      <c r="H17" s="238">
        <v>6530</v>
      </c>
      <c r="I17" s="238">
        <v>6315</v>
      </c>
      <c r="J17" s="238">
        <v>6189</v>
      </c>
      <c r="K17" s="238">
        <v>6472</v>
      </c>
      <c r="L17" s="238">
        <v>9308</v>
      </c>
      <c r="M17" s="238">
        <v>9808</v>
      </c>
      <c r="N17" s="238">
        <v>8391</v>
      </c>
      <c r="O17" s="238">
        <v>82563</v>
      </c>
      <c r="P17" s="44">
        <v>25506</v>
      </c>
      <c r="Q17" s="44">
        <v>57057</v>
      </c>
    </row>
    <row r="18" spans="1:17">
      <c r="A18" s="50">
        <v>80</v>
      </c>
      <c r="B18" s="50" t="s">
        <v>370</v>
      </c>
      <c r="C18" s="238">
        <v>15747</v>
      </c>
      <c r="D18" s="238">
        <v>16991</v>
      </c>
      <c r="E18" s="238">
        <v>14400</v>
      </c>
      <c r="F18" s="238">
        <v>15527</v>
      </c>
      <c r="G18" s="238">
        <v>16180</v>
      </c>
      <c r="H18" s="238">
        <v>17456</v>
      </c>
      <c r="I18" s="238">
        <v>17053</v>
      </c>
      <c r="J18" s="238">
        <v>16635</v>
      </c>
      <c r="K18" s="238">
        <v>17690</v>
      </c>
      <c r="L18" s="238">
        <v>15810</v>
      </c>
      <c r="M18" s="238">
        <v>17817</v>
      </c>
      <c r="N18" s="238">
        <v>16367</v>
      </c>
      <c r="O18" s="238">
        <v>197673</v>
      </c>
      <c r="P18" s="44">
        <v>68834</v>
      </c>
      <c r="Q18" s="44">
        <v>128839</v>
      </c>
    </row>
    <row r="19" spans="1:17">
      <c r="A19" s="50">
        <v>82</v>
      </c>
      <c r="B19" s="50" t="s">
        <v>392</v>
      </c>
      <c r="C19" s="238">
        <v>183</v>
      </c>
      <c r="D19" s="238">
        <v>200</v>
      </c>
      <c r="E19" s="238">
        <v>0</v>
      </c>
      <c r="F19" s="238">
        <v>1323</v>
      </c>
      <c r="G19" s="238">
        <v>394</v>
      </c>
      <c r="H19" s="238">
        <v>753</v>
      </c>
      <c r="I19" s="238">
        <v>556</v>
      </c>
      <c r="J19" s="238">
        <v>0</v>
      </c>
      <c r="K19" s="238">
        <v>721</v>
      </c>
      <c r="L19" s="238">
        <v>574</v>
      </c>
      <c r="M19" s="238">
        <v>296</v>
      </c>
      <c r="N19" s="238">
        <v>349</v>
      </c>
      <c r="O19" s="238">
        <v>5349</v>
      </c>
      <c r="P19" s="44">
        <v>2030</v>
      </c>
      <c r="Q19" s="44">
        <v>3319</v>
      </c>
    </row>
    <row r="20" spans="1:17">
      <c r="A20" s="50">
        <v>90</v>
      </c>
      <c r="B20" s="50" t="s">
        <v>375</v>
      </c>
      <c r="C20" s="238">
        <v>29874</v>
      </c>
      <c r="D20" s="238">
        <v>41716</v>
      </c>
      <c r="E20" s="238">
        <v>28185</v>
      </c>
      <c r="F20" s="238">
        <v>31133</v>
      </c>
      <c r="G20" s="238">
        <v>29814</v>
      </c>
      <c r="H20" s="238">
        <v>28823</v>
      </c>
      <c r="I20" s="238">
        <v>30270</v>
      </c>
      <c r="J20" s="238">
        <v>31844</v>
      </c>
      <c r="K20" s="238">
        <v>25349</v>
      </c>
      <c r="L20" s="238">
        <v>27956</v>
      </c>
      <c r="M20" s="238">
        <v>30397</v>
      </c>
      <c r="N20" s="238">
        <v>20346</v>
      </c>
      <c r="O20" s="238">
        <v>355707</v>
      </c>
      <c r="P20" s="44">
        <v>116286</v>
      </c>
      <c r="Q20" s="44">
        <v>239421</v>
      </c>
    </row>
    <row r="21" spans="1:17">
      <c r="A21" s="50">
        <v>91</v>
      </c>
      <c r="B21" s="50" t="s">
        <v>376</v>
      </c>
      <c r="C21" s="238">
        <v>10537</v>
      </c>
      <c r="D21" s="238">
        <v>8904</v>
      </c>
      <c r="E21" s="238">
        <v>14982</v>
      </c>
      <c r="F21" s="238">
        <v>397</v>
      </c>
      <c r="G21" s="238">
        <v>314</v>
      </c>
      <c r="H21" s="238">
        <v>376</v>
      </c>
      <c r="I21" s="238">
        <v>73</v>
      </c>
      <c r="J21" s="238">
        <v>84</v>
      </c>
      <c r="K21" s="238">
        <v>72</v>
      </c>
      <c r="L21" s="238">
        <v>2913</v>
      </c>
      <c r="M21" s="238">
        <v>10478</v>
      </c>
      <c r="N21" s="238">
        <v>6742</v>
      </c>
      <c r="O21" s="238">
        <v>55872</v>
      </c>
      <c r="P21" s="44">
        <v>605</v>
      </c>
      <c r="Q21" s="44">
        <v>55267</v>
      </c>
    </row>
    <row r="22" spans="1:17">
      <c r="A22" s="50">
        <v>164</v>
      </c>
      <c r="B22" s="50" t="s">
        <v>327</v>
      </c>
      <c r="C22" s="238">
        <v>698210</v>
      </c>
      <c r="D22" s="238">
        <v>703627</v>
      </c>
      <c r="E22" s="238">
        <v>675609</v>
      </c>
      <c r="F22" s="238">
        <v>660073</v>
      </c>
      <c r="G22" s="238">
        <v>518058</v>
      </c>
      <c r="H22" s="238">
        <v>393999</v>
      </c>
      <c r="I22" s="238">
        <v>348420</v>
      </c>
      <c r="J22" s="238">
        <v>315435</v>
      </c>
      <c r="K22" s="238">
        <v>296887</v>
      </c>
      <c r="L22" s="238">
        <v>302138</v>
      </c>
      <c r="M22" s="238">
        <v>288215</v>
      </c>
      <c r="N22" s="238">
        <v>275589</v>
      </c>
      <c r="O22" s="238">
        <v>5476260</v>
      </c>
      <c r="P22" s="44">
        <v>1354741</v>
      </c>
      <c r="Q22" s="44">
        <v>4121519</v>
      </c>
    </row>
    <row r="23" spans="1:17">
      <c r="A23" s="50">
        <v>165</v>
      </c>
      <c r="B23" s="50" t="s">
        <v>328</v>
      </c>
      <c r="C23" s="238">
        <v>178310</v>
      </c>
      <c r="D23" s="238">
        <v>167508</v>
      </c>
      <c r="E23" s="238">
        <v>160327</v>
      </c>
      <c r="F23" s="238">
        <v>151711</v>
      </c>
      <c r="G23" s="238">
        <v>140256</v>
      </c>
      <c r="H23" s="238">
        <v>123513</v>
      </c>
      <c r="I23" s="238">
        <v>119915</v>
      </c>
      <c r="J23" s="238">
        <v>125891</v>
      </c>
      <c r="K23" s="238">
        <v>115570</v>
      </c>
      <c r="L23" s="238">
        <v>120488</v>
      </c>
      <c r="M23" s="238">
        <v>123254</v>
      </c>
      <c r="N23" s="238">
        <v>109087</v>
      </c>
      <c r="O23" s="238">
        <v>1635830</v>
      </c>
      <c r="P23" s="44">
        <v>484889</v>
      </c>
      <c r="Q23" s="44">
        <v>1150941</v>
      </c>
    </row>
    <row r="24" spans="1:17">
      <c r="A24" s="50">
        <v>170</v>
      </c>
      <c r="B24" s="50" t="s">
        <v>326</v>
      </c>
      <c r="C24" s="238">
        <v>194262</v>
      </c>
      <c r="D24" s="238">
        <v>193714</v>
      </c>
      <c r="E24" s="238">
        <v>179403</v>
      </c>
      <c r="F24" s="238">
        <v>149455</v>
      </c>
      <c r="G24" s="238">
        <v>144179</v>
      </c>
      <c r="H24" s="238">
        <v>127286</v>
      </c>
      <c r="I24" s="238">
        <v>129272</v>
      </c>
      <c r="J24" s="238">
        <v>132654</v>
      </c>
      <c r="K24" s="238">
        <v>131635</v>
      </c>
      <c r="L24" s="238">
        <v>128080</v>
      </c>
      <c r="M24" s="238">
        <v>131757</v>
      </c>
      <c r="N24" s="238">
        <v>119926</v>
      </c>
      <c r="O24" s="238">
        <v>1761623</v>
      </c>
      <c r="P24" s="44">
        <v>520847</v>
      </c>
      <c r="Q24" s="44">
        <v>1240776</v>
      </c>
    </row>
    <row r="25" spans="1:17">
      <c r="A25" s="50">
        <v>264</v>
      </c>
      <c r="B25" s="50" t="s">
        <v>360</v>
      </c>
      <c r="C25" s="238">
        <v>163047</v>
      </c>
      <c r="D25" s="238">
        <v>152130</v>
      </c>
      <c r="E25" s="238">
        <v>142292</v>
      </c>
      <c r="F25" s="238">
        <v>159382</v>
      </c>
      <c r="G25" s="238">
        <v>180773</v>
      </c>
      <c r="H25" s="238">
        <v>157839</v>
      </c>
      <c r="I25" s="238">
        <v>149549</v>
      </c>
      <c r="J25" s="238">
        <v>158610</v>
      </c>
      <c r="K25" s="238">
        <v>184234</v>
      </c>
      <c r="L25" s="238">
        <v>213790</v>
      </c>
      <c r="M25" s="238">
        <v>200995</v>
      </c>
      <c r="N25" s="238">
        <v>179766</v>
      </c>
      <c r="O25" s="238">
        <v>2042407</v>
      </c>
      <c r="P25" s="44">
        <v>650232</v>
      </c>
      <c r="Q25" s="44">
        <v>1392175</v>
      </c>
    </row>
    <row r="26" spans="1:17">
      <c r="A26" s="50">
        <v>265</v>
      </c>
      <c r="B26" s="50" t="s">
        <v>357</v>
      </c>
      <c r="C26" s="238">
        <v>13187</v>
      </c>
      <c r="D26" s="238">
        <v>14740</v>
      </c>
      <c r="E26" s="238">
        <v>10243</v>
      </c>
      <c r="F26" s="238">
        <v>9698</v>
      </c>
      <c r="G26" s="238">
        <v>7294</v>
      </c>
      <c r="H26" s="238">
        <v>6264</v>
      </c>
      <c r="I26" s="238">
        <v>6578</v>
      </c>
      <c r="J26" s="238">
        <v>5331</v>
      </c>
      <c r="K26" s="238">
        <v>7343</v>
      </c>
      <c r="L26" s="238">
        <v>8272</v>
      </c>
      <c r="M26" s="238">
        <v>11970</v>
      </c>
      <c r="N26" s="238">
        <v>12681</v>
      </c>
      <c r="O26" s="238">
        <v>113601</v>
      </c>
      <c r="P26" s="44">
        <v>25516</v>
      </c>
      <c r="Q26" s="44">
        <v>88085</v>
      </c>
    </row>
    <row r="27" spans="1:17">
      <c r="A27" s="50">
        <v>270</v>
      </c>
      <c r="B27" s="50" t="s">
        <v>363</v>
      </c>
      <c r="C27" s="238">
        <v>159603</v>
      </c>
      <c r="D27" s="238">
        <v>161052</v>
      </c>
      <c r="E27" s="238">
        <v>144195</v>
      </c>
      <c r="F27" s="238">
        <v>151512</v>
      </c>
      <c r="G27" s="238">
        <v>167563</v>
      </c>
      <c r="H27" s="238">
        <v>123708</v>
      </c>
      <c r="I27" s="238">
        <v>117008</v>
      </c>
      <c r="J27" s="238">
        <v>127861</v>
      </c>
      <c r="K27" s="238">
        <v>145417</v>
      </c>
      <c r="L27" s="238">
        <v>197405</v>
      </c>
      <c r="M27" s="238">
        <v>197889</v>
      </c>
      <c r="N27" s="238">
        <v>189487</v>
      </c>
      <c r="O27" s="238">
        <v>1882700</v>
      </c>
      <c r="P27" s="44">
        <v>513994</v>
      </c>
      <c r="Q27" s="44">
        <v>1368706</v>
      </c>
    </row>
    <row r="28" spans="1:17">
      <c r="A28" s="50">
        <v>364</v>
      </c>
      <c r="B28" s="50" t="s">
        <v>359</v>
      </c>
      <c r="C28" s="238">
        <v>4070</v>
      </c>
      <c r="D28" s="238">
        <v>3938</v>
      </c>
      <c r="E28" s="238">
        <v>3144</v>
      </c>
      <c r="F28" s="238">
        <v>5262</v>
      </c>
      <c r="G28" s="238">
        <v>7735</v>
      </c>
      <c r="H28" s="238">
        <v>8503</v>
      </c>
      <c r="I28" s="238">
        <v>5265</v>
      </c>
      <c r="J28" s="238">
        <v>5633</v>
      </c>
      <c r="K28" s="238">
        <v>6045</v>
      </c>
      <c r="L28" s="238">
        <v>6220</v>
      </c>
      <c r="M28" s="238">
        <v>8011</v>
      </c>
      <c r="N28" s="238">
        <v>5257</v>
      </c>
      <c r="O28" s="238">
        <v>69083</v>
      </c>
      <c r="P28" s="44">
        <v>25446</v>
      </c>
      <c r="Q28" s="44">
        <v>43637</v>
      </c>
    </row>
    <row r="29" spans="1:17">
      <c r="A29" s="50">
        <v>365</v>
      </c>
      <c r="B29" s="50" t="s">
        <v>356</v>
      </c>
      <c r="C29" s="238">
        <v>8649</v>
      </c>
      <c r="D29" s="238">
        <v>11855</v>
      </c>
      <c r="E29" s="238">
        <v>14363</v>
      </c>
      <c r="F29" s="238">
        <v>5162</v>
      </c>
      <c r="G29" s="238">
        <v>7655</v>
      </c>
      <c r="H29" s="238">
        <v>7482</v>
      </c>
      <c r="I29" s="238">
        <v>11409</v>
      </c>
      <c r="J29" s="238">
        <v>7238</v>
      </c>
      <c r="K29" s="238">
        <v>10017</v>
      </c>
      <c r="L29" s="238">
        <v>6279</v>
      </c>
      <c r="M29" s="238">
        <v>8693</v>
      </c>
      <c r="N29" s="238">
        <v>8266</v>
      </c>
      <c r="O29" s="238">
        <v>107068</v>
      </c>
      <c r="P29" s="44">
        <v>36146</v>
      </c>
      <c r="Q29" s="44">
        <v>70922</v>
      </c>
    </row>
    <row r="30" spans="1:17">
      <c r="A30" s="50">
        <v>370</v>
      </c>
      <c r="B30" s="50" t="s">
        <v>362</v>
      </c>
      <c r="C30" s="238">
        <v>2197</v>
      </c>
      <c r="D30" s="238">
        <v>2318</v>
      </c>
      <c r="E30" s="238">
        <v>1709</v>
      </c>
      <c r="F30" s="238">
        <v>1851</v>
      </c>
      <c r="G30" s="238">
        <v>2688</v>
      </c>
      <c r="H30" s="238">
        <v>3372</v>
      </c>
      <c r="I30" s="238">
        <v>2546</v>
      </c>
      <c r="J30" s="238">
        <v>3280</v>
      </c>
      <c r="K30" s="238">
        <v>3088</v>
      </c>
      <c r="L30" s="238">
        <v>3916</v>
      </c>
      <c r="M30" s="238">
        <v>5000</v>
      </c>
      <c r="N30" s="238">
        <v>4536</v>
      </c>
      <c r="O30" s="238">
        <v>36501</v>
      </c>
      <c r="P30" s="44">
        <v>12286</v>
      </c>
      <c r="Q30" s="44">
        <v>24215</v>
      </c>
    </row>
    <row r="34" spans="1:17" s="237" customFormat="1"/>
    <row r="35" spans="1:17">
      <c r="A35" s="8" t="s">
        <v>545</v>
      </c>
      <c r="B35" s="8"/>
    </row>
    <row r="36" spans="1:17">
      <c r="C36" s="50">
        <v>2011</v>
      </c>
      <c r="D36" s="50">
        <v>2011</v>
      </c>
      <c r="E36" s="50">
        <v>2011</v>
      </c>
      <c r="F36" s="50">
        <v>2011</v>
      </c>
      <c r="G36" s="50">
        <v>2011</v>
      </c>
      <c r="H36" s="50">
        <v>2011</v>
      </c>
      <c r="I36" s="50">
        <v>2011</v>
      </c>
      <c r="J36" s="50">
        <v>2011</v>
      </c>
      <c r="K36" s="50">
        <v>2011</v>
      </c>
      <c r="L36" s="50">
        <v>2011</v>
      </c>
      <c r="M36" s="50">
        <v>2011</v>
      </c>
      <c r="N36" s="50">
        <v>2011</v>
      </c>
    </row>
    <row r="37" spans="1:17">
      <c r="A37" s="50" t="s">
        <v>538</v>
      </c>
      <c r="B37" s="50"/>
      <c r="C37" s="50">
        <v>1</v>
      </c>
      <c r="D37" s="50">
        <v>2</v>
      </c>
      <c r="E37" s="50">
        <v>3</v>
      </c>
      <c r="F37" s="50">
        <v>4</v>
      </c>
      <c r="G37" s="50">
        <v>5</v>
      </c>
      <c r="H37" s="50">
        <v>6</v>
      </c>
      <c r="I37" s="50">
        <v>7</v>
      </c>
      <c r="J37" s="50">
        <v>8</v>
      </c>
      <c r="K37" s="50">
        <v>9</v>
      </c>
      <c r="L37" s="50">
        <v>10</v>
      </c>
      <c r="M37" s="50">
        <v>11</v>
      </c>
      <c r="N37" s="50">
        <v>12</v>
      </c>
      <c r="O37" s="50">
        <v>2011</v>
      </c>
      <c r="P37" s="50" t="s">
        <v>540</v>
      </c>
      <c r="Q37" s="50" t="s">
        <v>541</v>
      </c>
    </row>
    <row r="38" spans="1:17">
      <c r="A38" s="50">
        <v>54</v>
      </c>
      <c r="B38" s="50" t="s">
        <v>98</v>
      </c>
      <c r="C38" s="238">
        <v>537121</v>
      </c>
      <c r="D38" s="238">
        <v>568431</v>
      </c>
      <c r="E38" s="238">
        <v>568434</v>
      </c>
      <c r="F38" s="238">
        <v>560676</v>
      </c>
      <c r="G38" s="238">
        <v>576102</v>
      </c>
      <c r="H38" s="238">
        <v>582869</v>
      </c>
      <c r="I38" s="238">
        <v>588155</v>
      </c>
      <c r="J38" s="238">
        <v>591059</v>
      </c>
      <c r="K38" s="238">
        <v>581443</v>
      </c>
      <c r="L38" s="238">
        <v>568005</v>
      </c>
      <c r="M38" s="238">
        <v>567898</v>
      </c>
      <c r="N38" s="238">
        <v>568486</v>
      </c>
      <c r="O38" s="238">
        <v>6858679</v>
      </c>
      <c r="P38" s="44">
        <v>2343526</v>
      </c>
      <c r="Q38" s="44">
        <v>4515153</v>
      </c>
    </row>
    <row r="39" spans="1:17">
      <c r="A39" s="50">
        <v>55</v>
      </c>
      <c r="B39" s="50" t="s">
        <v>50</v>
      </c>
      <c r="C39" s="238">
        <v>262074</v>
      </c>
      <c r="D39" s="238">
        <v>249420</v>
      </c>
      <c r="E39" s="238">
        <v>242519</v>
      </c>
      <c r="F39" s="238">
        <v>304369</v>
      </c>
      <c r="G39" s="238">
        <v>251398</v>
      </c>
      <c r="H39" s="238">
        <v>260557</v>
      </c>
      <c r="I39" s="238">
        <v>269835</v>
      </c>
      <c r="J39" s="238">
        <v>282491</v>
      </c>
      <c r="K39" s="238">
        <v>257427</v>
      </c>
      <c r="L39" s="238">
        <v>256700</v>
      </c>
      <c r="M39" s="238">
        <v>256308</v>
      </c>
      <c r="N39" s="238">
        <v>254783</v>
      </c>
      <c r="O39" s="238">
        <v>3147881</v>
      </c>
      <c r="P39" s="44">
        <v>1070310</v>
      </c>
      <c r="Q39" s="44">
        <v>2077571</v>
      </c>
    </row>
    <row r="40" spans="1:17">
      <c r="A40" s="50">
        <v>56</v>
      </c>
      <c r="B40" s="50" t="s">
        <v>99</v>
      </c>
      <c r="C40" s="238">
        <v>35841</v>
      </c>
      <c r="D40" s="238">
        <v>36089</v>
      </c>
      <c r="E40" s="238">
        <v>35644</v>
      </c>
      <c r="F40" s="238">
        <v>35749</v>
      </c>
      <c r="G40" s="238">
        <v>36315</v>
      </c>
      <c r="H40" s="238">
        <v>36721</v>
      </c>
      <c r="I40" s="238">
        <v>39075</v>
      </c>
      <c r="J40" s="238">
        <v>38846</v>
      </c>
      <c r="K40" s="238">
        <v>37096</v>
      </c>
      <c r="L40" s="238">
        <v>39518</v>
      </c>
      <c r="M40" s="238">
        <v>36672</v>
      </c>
      <c r="N40" s="238">
        <v>37238</v>
      </c>
      <c r="O40" s="238">
        <v>444804</v>
      </c>
      <c r="P40" s="44">
        <v>151738</v>
      </c>
      <c r="Q40" s="44">
        <v>293066</v>
      </c>
    </row>
    <row r="41" spans="1:17">
      <c r="A41" s="50">
        <v>62</v>
      </c>
      <c r="B41" s="50" t="s">
        <v>382</v>
      </c>
      <c r="C41" s="238">
        <v>804571</v>
      </c>
      <c r="D41" s="238">
        <v>871663</v>
      </c>
      <c r="E41" s="238">
        <v>842541</v>
      </c>
      <c r="F41" s="238">
        <v>849848</v>
      </c>
      <c r="G41" s="238">
        <v>921742</v>
      </c>
      <c r="H41" s="238">
        <v>945574</v>
      </c>
      <c r="I41" s="238">
        <v>952451</v>
      </c>
      <c r="J41" s="238">
        <v>937708</v>
      </c>
      <c r="K41" s="238">
        <v>933705</v>
      </c>
      <c r="L41" s="238">
        <v>956042</v>
      </c>
      <c r="M41" s="238">
        <v>927475</v>
      </c>
      <c r="N41" s="238">
        <v>904194</v>
      </c>
      <c r="O41" s="238">
        <v>10847514</v>
      </c>
      <c r="P41" s="44">
        <v>3769438</v>
      </c>
      <c r="Q41" s="44">
        <v>7078076</v>
      </c>
    </row>
    <row r="42" spans="1:17">
      <c r="A42" s="50">
        <v>63</v>
      </c>
      <c r="B42" s="50" t="s">
        <v>379</v>
      </c>
      <c r="C42" s="238">
        <v>78116</v>
      </c>
      <c r="D42" s="238">
        <v>84448</v>
      </c>
      <c r="E42" s="238">
        <v>90105</v>
      </c>
      <c r="F42" s="238">
        <v>85535</v>
      </c>
      <c r="G42" s="238">
        <v>85476</v>
      </c>
      <c r="H42" s="238">
        <v>89702</v>
      </c>
      <c r="I42" s="238">
        <v>96555</v>
      </c>
      <c r="J42" s="238">
        <v>85656</v>
      </c>
      <c r="K42" s="238">
        <v>86280</v>
      </c>
      <c r="L42" s="238">
        <v>81287</v>
      </c>
      <c r="M42" s="238">
        <v>82739</v>
      </c>
      <c r="N42" s="238">
        <v>74567</v>
      </c>
      <c r="O42" s="238">
        <v>1020466</v>
      </c>
      <c r="P42" s="44">
        <v>358193</v>
      </c>
      <c r="Q42" s="44">
        <v>662273</v>
      </c>
    </row>
    <row r="43" spans="1:17">
      <c r="A43" s="50">
        <v>64</v>
      </c>
      <c r="B43" s="50" t="s">
        <v>381</v>
      </c>
      <c r="C43" s="238">
        <v>516921</v>
      </c>
      <c r="D43" s="238">
        <v>578153</v>
      </c>
      <c r="E43" s="238">
        <v>580628</v>
      </c>
      <c r="F43" s="238">
        <v>607706</v>
      </c>
      <c r="G43" s="238">
        <v>586993</v>
      </c>
      <c r="H43" s="238">
        <v>575282</v>
      </c>
      <c r="I43" s="238">
        <v>611808</v>
      </c>
      <c r="J43" s="238">
        <v>590718</v>
      </c>
      <c r="K43" s="238">
        <v>603386</v>
      </c>
      <c r="L43" s="238">
        <v>597172</v>
      </c>
      <c r="M43" s="238">
        <v>573515</v>
      </c>
      <c r="N43" s="238">
        <v>547803</v>
      </c>
      <c r="O43" s="238">
        <v>6970085</v>
      </c>
      <c r="P43" s="44">
        <v>2381194</v>
      </c>
      <c r="Q43" s="44">
        <v>4588891</v>
      </c>
    </row>
    <row r="44" spans="1:17">
      <c r="A44" s="50">
        <v>65</v>
      </c>
      <c r="B44" s="50" t="s">
        <v>378</v>
      </c>
      <c r="C44" s="238">
        <v>127086</v>
      </c>
      <c r="D44" s="238">
        <v>140913</v>
      </c>
      <c r="E44" s="238">
        <v>137786</v>
      </c>
      <c r="F44" s="238">
        <v>139219</v>
      </c>
      <c r="G44" s="238">
        <v>132603</v>
      </c>
      <c r="H44" s="238">
        <v>136771</v>
      </c>
      <c r="I44" s="238">
        <v>145618</v>
      </c>
      <c r="J44" s="238">
        <v>149370</v>
      </c>
      <c r="K44" s="238">
        <v>162095</v>
      </c>
      <c r="L44" s="238">
        <v>164452</v>
      </c>
      <c r="M44" s="238">
        <v>144847</v>
      </c>
      <c r="N44" s="238">
        <v>136344</v>
      </c>
      <c r="O44" s="238">
        <v>1717104</v>
      </c>
      <c r="P44" s="44">
        <v>593854</v>
      </c>
      <c r="Q44" s="44">
        <v>1123250</v>
      </c>
    </row>
    <row r="45" spans="1:17">
      <c r="A45" s="50">
        <v>70</v>
      </c>
      <c r="B45" s="50" t="s">
        <v>384</v>
      </c>
      <c r="C45" s="238">
        <v>271821</v>
      </c>
      <c r="D45" s="238">
        <v>302013</v>
      </c>
      <c r="E45" s="238">
        <v>289548</v>
      </c>
      <c r="F45" s="238">
        <v>303520</v>
      </c>
      <c r="G45" s="238">
        <v>283396</v>
      </c>
      <c r="H45" s="238">
        <v>287143</v>
      </c>
      <c r="I45" s="238">
        <v>295980</v>
      </c>
      <c r="J45" s="238">
        <v>287002</v>
      </c>
      <c r="K45" s="238">
        <v>301185</v>
      </c>
      <c r="L45" s="238">
        <v>292122</v>
      </c>
      <c r="M45" s="238">
        <v>297540</v>
      </c>
      <c r="N45" s="238">
        <v>298050</v>
      </c>
      <c r="O45" s="238">
        <v>3509320</v>
      </c>
      <c r="P45" s="44">
        <v>1171310</v>
      </c>
      <c r="Q45" s="44">
        <v>2338010</v>
      </c>
    </row>
    <row r="46" spans="1:17">
      <c r="A46" s="50">
        <v>71</v>
      </c>
      <c r="B46" s="50" t="s">
        <v>395</v>
      </c>
      <c r="C46" s="238">
        <v>8518</v>
      </c>
      <c r="D46" s="238">
        <v>7664</v>
      </c>
      <c r="E46" s="238">
        <v>10543</v>
      </c>
      <c r="F46" s="238">
        <v>9508</v>
      </c>
      <c r="G46" s="238">
        <v>8449</v>
      </c>
      <c r="H46" s="238">
        <v>5528</v>
      </c>
      <c r="I46" s="238">
        <v>6572</v>
      </c>
      <c r="J46" s="238">
        <v>6967</v>
      </c>
      <c r="K46" s="238">
        <v>6633</v>
      </c>
      <c r="L46" s="238">
        <v>7042</v>
      </c>
      <c r="M46" s="238">
        <v>7901</v>
      </c>
      <c r="N46" s="238">
        <v>4604</v>
      </c>
      <c r="O46" s="238">
        <v>89929</v>
      </c>
      <c r="P46" s="44">
        <v>25700</v>
      </c>
      <c r="Q46" s="44">
        <v>64229</v>
      </c>
    </row>
    <row r="47" spans="1:17">
      <c r="A47" s="50">
        <v>72</v>
      </c>
      <c r="B47" s="50" t="s">
        <v>385</v>
      </c>
      <c r="C47" s="238">
        <v>4586029</v>
      </c>
      <c r="D47" s="238">
        <v>5192962</v>
      </c>
      <c r="E47" s="238">
        <v>4824614</v>
      </c>
      <c r="F47" s="238">
        <v>4961068</v>
      </c>
      <c r="G47" s="238">
        <v>5260797</v>
      </c>
      <c r="H47" s="238">
        <v>5322936</v>
      </c>
      <c r="I47" s="238">
        <v>5490917</v>
      </c>
      <c r="J47" s="238">
        <v>5387829</v>
      </c>
      <c r="K47" s="238">
        <v>5300895</v>
      </c>
      <c r="L47" s="238">
        <v>5343680</v>
      </c>
      <c r="M47" s="238">
        <v>5293919</v>
      </c>
      <c r="N47" s="238">
        <v>5091553</v>
      </c>
      <c r="O47" s="238">
        <v>62057199</v>
      </c>
      <c r="P47" s="44">
        <v>21502577</v>
      </c>
      <c r="Q47" s="44">
        <v>40554622</v>
      </c>
    </row>
    <row r="48" spans="1:17">
      <c r="A48" s="50">
        <v>73</v>
      </c>
      <c r="B48" s="50" t="s">
        <v>398</v>
      </c>
      <c r="C48" s="238">
        <v>15820</v>
      </c>
      <c r="D48" s="238">
        <v>19498</v>
      </c>
      <c r="E48" s="238">
        <v>20775</v>
      </c>
      <c r="F48" s="238">
        <v>21410</v>
      </c>
      <c r="G48" s="238">
        <v>19938</v>
      </c>
      <c r="H48" s="238">
        <v>19678</v>
      </c>
      <c r="I48" s="238">
        <v>22712</v>
      </c>
      <c r="J48" s="238">
        <v>18519</v>
      </c>
      <c r="K48" s="238">
        <v>19858</v>
      </c>
      <c r="L48" s="238">
        <v>21795</v>
      </c>
      <c r="M48" s="238">
        <v>21467</v>
      </c>
      <c r="N48" s="238">
        <v>17339</v>
      </c>
      <c r="O48" s="238">
        <v>238809</v>
      </c>
      <c r="P48" s="44">
        <v>80767</v>
      </c>
      <c r="Q48" s="44">
        <v>158042</v>
      </c>
    </row>
    <row r="49" spans="1:17">
      <c r="A49" s="50">
        <v>74</v>
      </c>
      <c r="B49" s="50" t="s">
        <v>397</v>
      </c>
      <c r="C49" s="238">
        <v>8824</v>
      </c>
      <c r="D49" s="238">
        <v>10046</v>
      </c>
      <c r="E49" s="238">
        <v>9596</v>
      </c>
      <c r="F49" s="238">
        <v>9959</v>
      </c>
      <c r="G49" s="238">
        <v>9666</v>
      </c>
      <c r="H49" s="238">
        <v>8895</v>
      </c>
      <c r="I49" s="238">
        <v>10071</v>
      </c>
      <c r="J49" s="238">
        <v>9195</v>
      </c>
      <c r="K49" s="238">
        <v>9017</v>
      </c>
      <c r="L49" s="238">
        <v>9318</v>
      </c>
      <c r="M49" s="238">
        <v>9592</v>
      </c>
      <c r="N49" s="238">
        <v>8531</v>
      </c>
      <c r="O49" s="238">
        <v>112710</v>
      </c>
      <c r="P49" s="44">
        <v>37178</v>
      </c>
      <c r="Q49" s="44">
        <v>75532</v>
      </c>
    </row>
    <row r="50" spans="1:17">
      <c r="A50" s="50">
        <v>75</v>
      </c>
      <c r="B50" s="50" t="s">
        <v>394</v>
      </c>
      <c r="C50" s="238">
        <v>7773</v>
      </c>
      <c r="D50" s="238">
        <v>8227</v>
      </c>
      <c r="E50" s="238">
        <v>6048</v>
      </c>
      <c r="F50" s="238">
        <v>6507</v>
      </c>
      <c r="G50" s="238">
        <v>5754</v>
      </c>
      <c r="H50" s="238">
        <v>5840</v>
      </c>
      <c r="I50" s="238">
        <v>6031</v>
      </c>
      <c r="J50" s="238">
        <v>5727</v>
      </c>
      <c r="K50" s="238">
        <v>6074</v>
      </c>
      <c r="L50" s="238">
        <v>9187</v>
      </c>
      <c r="M50" s="238">
        <v>9731</v>
      </c>
      <c r="N50" s="238">
        <v>8332</v>
      </c>
      <c r="O50" s="238">
        <v>85231</v>
      </c>
      <c r="P50" s="44">
        <v>23672</v>
      </c>
      <c r="Q50" s="44">
        <v>61559</v>
      </c>
    </row>
    <row r="51" spans="1:17">
      <c r="A51" s="50">
        <v>80</v>
      </c>
      <c r="B51" s="50" t="s">
        <v>370</v>
      </c>
      <c r="C51" s="238">
        <v>15347</v>
      </c>
      <c r="D51" s="238">
        <v>16544</v>
      </c>
      <c r="E51" s="238">
        <v>15107</v>
      </c>
      <c r="F51" s="238">
        <v>15722</v>
      </c>
      <c r="G51" s="238">
        <v>16500</v>
      </c>
      <c r="H51" s="238">
        <v>16893</v>
      </c>
      <c r="I51" s="238">
        <v>16687</v>
      </c>
      <c r="J51" s="238">
        <v>16803</v>
      </c>
      <c r="K51" s="238">
        <v>16330</v>
      </c>
      <c r="L51" s="238">
        <v>15810</v>
      </c>
      <c r="M51" s="238">
        <v>18592</v>
      </c>
      <c r="N51" s="238">
        <v>17079</v>
      </c>
      <c r="O51" s="238">
        <v>197414</v>
      </c>
      <c r="P51" s="44">
        <v>66713</v>
      </c>
      <c r="Q51" s="44">
        <v>130701</v>
      </c>
    </row>
    <row r="52" spans="1:17">
      <c r="A52" s="50">
        <v>82</v>
      </c>
      <c r="B52" s="50" t="s">
        <v>392</v>
      </c>
      <c r="C52" s="238">
        <v>175</v>
      </c>
      <c r="D52" s="238">
        <v>210</v>
      </c>
      <c r="E52" s="238">
        <v>340</v>
      </c>
      <c r="F52" s="238">
        <v>598</v>
      </c>
      <c r="G52" s="238">
        <v>372</v>
      </c>
      <c r="H52" s="238">
        <v>609</v>
      </c>
      <c r="I52" s="238">
        <v>520</v>
      </c>
      <c r="J52" s="238">
        <v>340</v>
      </c>
      <c r="K52" s="238">
        <v>352</v>
      </c>
      <c r="L52" s="238">
        <v>557</v>
      </c>
      <c r="M52" s="238">
        <v>287</v>
      </c>
      <c r="N52" s="238">
        <v>332</v>
      </c>
      <c r="O52" s="238">
        <v>4692</v>
      </c>
      <c r="P52" s="44">
        <v>1821</v>
      </c>
      <c r="Q52" s="44">
        <v>2871</v>
      </c>
    </row>
    <row r="53" spans="1:17">
      <c r="A53" s="50">
        <v>90</v>
      </c>
      <c r="B53" s="50" t="s">
        <v>375</v>
      </c>
      <c r="C53" s="238">
        <v>30010</v>
      </c>
      <c r="D53" s="238">
        <v>31283</v>
      </c>
      <c r="E53" s="238">
        <v>35296</v>
      </c>
      <c r="F53" s="238">
        <v>31258</v>
      </c>
      <c r="G53" s="238">
        <v>28422</v>
      </c>
      <c r="H53" s="238">
        <v>24836</v>
      </c>
      <c r="I53" s="238">
        <v>29636</v>
      </c>
      <c r="J53" s="238">
        <v>27750</v>
      </c>
      <c r="K53" s="238">
        <v>24605</v>
      </c>
      <c r="L53" s="238">
        <v>27211</v>
      </c>
      <c r="M53" s="238">
        <v>29776</v>
      </c>
      <c r="N53" s="238">
        <v>19496</v>
      </c>
      <c r="O53" s="238">
        <v>339579</v>
      </c>
      <c r="P53" s="44">
        <v>106827</v>
      </c>
      <c r="Q53" s="44">
        <v>232752</v>
      </c>
    </row>
    <row r="54" spans="1:17">
      <c r="A54" s="50">
        <v>91</v>
      </c>
      <c r="B54" s="50" t="s">
        <v>376</v>
      </c>
      <c r="C54" s="238">
        <v>10068</v>
      </c>
      <c r="D54" s="238">
        <v>9347</v>
      </c>
      <c r="E54" s="238">
        <v>19101</v>
      </c>
      <c r="F54" s="238">
        <v>396</v>
      </c>
      <c r="G54" s="238">
        <v>296</v>
      </c>
      <c r="H54" s="238">
        <v>304</v>
      </c>
      <c r="I54" s="238">
        <v>68</v>
      </c>
      <c r="J54" s="238">
        <v>73</v>
      </c>
      <c r="K54" s="238">
        <v>65</v>
      </c>
      <c r="L54" s="238">
        <v>2824</v>
      </c>
      <c r="M54" s="238">
        <v>10162</v>
      </c>
      <c r="N54" s="238">
        <v>6409</v>
      </c>
      <c r="O54" s="238">
        <v>59113</v>
      </c>
      <c r="P54" s="44">
        <v>510</v>
      </c>
      <c r="Q54" s="44">
        <v>58603</v>
      </c>
    </row>
    <row r="55" spans="1:17">
      <c r="A55" s="50">
        <v>164</v>
      </c>
      <c r="B55" s="50" t="s">
        <v>327</v>
      </c>
      <c r="C55" s="238">
        <v>255453</v>
      </c>
      <c r="D55" s="238">
        <v>286121</v>
      </c>
      <c r="E55" s="238">
        <v>279561</v>
      </c>
      <c r="F55" s="238">
        <v>296124</v>
      </c>
      <c r="G55" s="238">
        <v>290830</v>
      </c>
      <c r="H55" s="238">
        <v>283757</v>
      </c>
      <c r="I55" s="238">
        <v>302401</v>
      </c>
      <c r="J55" s="238">
        <v>295404</v>
      </c>
      <c r="K55" s="238">
        <v>297590</v>
      </c>
      <c r="L55" s="238">
        <v>299497</v>
      </c>
      <c r="M55" s="238">
        <v>287828</v>
      </c>
      <c r="N55" s="238">
        <v>276056</v>
      </c>
      <c r="O55" s="238">
        <v>3450622</v>
      </c>
      <c r="P55" s="44">
        <v>1179152</v>
      </c>
      <c r="Q55" s="44">
        <v>2271470</v>
      </c>
    </row>
    <row r="56" spans="1:17">
      <c r="A56" s="50">
        <v>165</v>
      </c>
      <c r="B56" s="50" t="s">
        <v>328</v>
      </c>
      <c r="C56" s="238">
        <v>105480</v>
      </c>
      <c r="D56" s="238">
        <v>112271</v>
      </c>
      <c r="E56" s="238">
        <v>115601</v>
      </c>
      <c r="F56" s="238">
        <v>118445</v>
      </c>
      <c r="G56" s="238">
        <v>106861</v>
      </c>
      <c r="H56" s="238">
        <v>104789</v>
      </c>
      <c r="I56" s="238">
        <v>120113</v>
      </c>
      <c r="J56" s="238">
        <v>115545</v>
      </c>
      <c r="K56" s="238">
        <v>119758</v>
      </c>
      <c r="L56" s="238">
        <v>119248</v>
      </c>
      <c r="M56" s="238">
        <v>122793</v>
      </c>
      <c r="N56" s="238">
        <v>108980</v>
      </c>
      <c r="O56" s="238">
        <v>1369884</v>
      </c>
      <c r="P56" s="44">
        <v>460205</v>
      </c>
      <c r="Q56" s="44">
        <v>909679</v>
      </c>
    </row>
    <row r="57" spans="1:17">
      <c r="A57" s="50">
        <v>170</v>
      </c>
      <c r="B57" s="50" t="s">
        <v>326</v>
      </c>
      <c r="C57" s="238">
        <v>110150</v>
      </c>
      <c r="D57" s="238">
        <v>138623</v>
      </c>
      <c r="E57" s="238">
        <v>137029</v>
      </c>
      <c r="F57" s="238">
        <v>141440</v>
      </c>
      <c r="G57" s="238">
        <v>132706</v>
      </c>
      <c r="H57" s="238">
        <v>121063</v>
      </c>
      <c r="I57" s="238">
        <v>125665</v>
      </c>
      <c r="J57" s="238">
        <v>125132</v>
      </c>
      <c r="K57" s="238">
        <v>122316</v>
      </c>
      <c r="L57" s="238">
        <v>126786</v>
      </c>
      <c r="M57" s="238">
        <v>131607</v>
      </c>
      <c r="N57" s="238">
        <v>120332</v>
      </c>
      <c r="O57" s="238">
        <v>1532849</v>
      </c>
      <c r="P57" s="44">
        <v>494176</v>
      </c>
      <c r="Q57" s="44">
        <v>1038673</v>
      </c>
    </row>
    <row r="58" spans="1:17">
      <c r="A58" s="50">
        <v>264</v>
      </c>
      <c r="B58" s="50" t="s">
        <v>360</v>
      </c>
      <c r="C58" s="238">
        <v>179300</v>
      </c>
      <c r="D58" s="238">
        <v>202685</v>
      </c>
      <c r="E58" s="238">
        <v>189310</v>
      </c>
      <c r="F58" s="238">
        <v>153127</v>
      </c>
      <c r="G58" s="238">
        <v>179620</v>
      </c>
      <c r="H58" s="238">
        <v>145415</v>
      </c>
      <c r="I58" s="238">
        <v>141399</v>
      </c>
      <c r="J58" s="238">
        <v>161112</v>
      </c>
      <c r="K58" s="238">
        <v>175945</v>
      </c>
      <c r="L58" s="238">
        <v>211727</v>
      </c>
      <c r="M58" s="238">
        <v>200654</v>
      </c>
      <c r="N58" s="238">
        <v>179978</v>
      </c>
      <c r="O58" s="238">
        <v>2120272</v>
      </c>
      <c r="P58" s="44">
        <v>623871</v>
      </c>
      <c r="Q58" s="44">
        <v>1496401</v>
      </c>
    </row>
    <row r="59" spans="1:17">
      <c r="A59" s="50">
        <v>265</v>
      </c>
      <c r="B59" s="50" t="s">
        <v>357</v>
      </c>
      <c r="C59" s="238">
        <v>11485</v>
      </c>
      <c r="D59" s="238">
        <v>11632</v>
      </c>
      <c r="E59" s="238">
        <v>10897</v>
      </c>
      <c r="F59" s="238">
        <v>7802</v>
      </c>
      <c r="G59" s="238">
        <v>4750</v>
      </c>
      <c r="H59" s="238">
        <v>4795</v>
      </c>
      <c r="I59" s="238">
        <v>5301</v>
      </c>
      <c r="J59" s="238">
        <v>5622</v>
      </c>
      <c r="K59" s="238">
        <v>6906</v>
      </c>
      <c r="L59" s="238">
        <v>8191</v>
      </c>
      <c r="M59" s="238">
        <v>11889</v>
      </c>
      <c r="N59" s="238">
        <v>12471</v>
      </c>
      <c r="O59" s="238">
        <v>101741</v>
      </c>
      <c r="P59" s="44">
        <v>22624</v>
      </c>
      <c r="Q59" s="44">
        <v>79117</v>
      </c>
    </row>
    <row r="60" spans="1:17">
      <c r="A60" s="50">
        <v>270</v>
      </c>
      <c r="B60" s="50" t="s">
        <v>363</v>
      </c>
      <c r="C60" s="238">
        <v>184962</v>
      </c>
      <c r="D60" s="238">
        <v>207469</v>
      </c>
      <c r="E60" s="238">
        <v>173974</v>
      </c>
      <c r="F60" s="238">
        <v>184546</v>
      </c>
      <c r="G60" s="238">
        <v>166055</v>
      </c>
      <c r="H60" s="238">
        <v>108675</v>
      </c>
      <c r="I60" s="238">
        <v>113818</v>
      </c>
      <c r="J60" s="238">
        <v>124182</v>
      </c>
      <c r="K60" s="238">
        <v>137984</v>
      </c>
      <c r="L60" s="238">
        <v>195709</v>
      </c>
      <c r="M60" s="238">
        <v>197707</v>
      </c>
      <c r="N60" s="238">
        <v>189832</v>
      </c>
      <c r="O60" s="238">
        <v>1984913</v>
      </c>
      <c r="P60" s="44">
        <v>484659</v>
      </c>
      <c r="Q60" s="44">
        <v>1500254</v>
      </c>
    </row>
    <row r="61" spans="1:17">
      <c r="A61" s="50">
        <v>364</v>
      </c>
      <c r="B61" s="50" t="s">
        <v>359</v>
      </c>
      <c r="C61" s="238">
        <v>6325</v>
      </c>
      <c r="D61" s="238">
        <v>7093</v>
      </c>
      <c r="E61" s="238">
        <v>8649</v>
      </c>
      <c r="F61" s="238">
        <v>9276</v>
      </c>
      <c r="G61" s="238">
        <v>8032</v>
      </c>
      <c r="H61" s="238">
        <v>7716</v>
      </c>
      <c r="I61" s="238">
        <v>4751</v>
      </c>
      <c r="J61" s="238">
        <v>6219</v>
      </c>
      <c r="K61" s="238">
        <v>5533</v>
      </c>
      <c r="L61" s="238">
        <v>6152</v>
      </c>
      <c r="M61" s="238">
        <v>7943</v>
      </c>
      <c r="N61" s="238">
        <v>5212</v>
      </c>
      <c r="O61" s="238">
        <v>82901</v>
      </c>
      <c r="P61" s="44">
        <v>24219</v>
      </c>
      <c r="Q61" s="44">
        <v>58682</v>
      </c>
    </row>
    <row r="62" spans="1:17">
      <c r="A62" s="50">
        <v>365</v>
      </c>
      <c r="B62" s="50" t="s">
        <v>356</v>
      </c>
      <c r="C62" s="238">
        <v>10502</v>
      </c>
      <c r="D62" s="238">
        <v>16189</v>
      </c>
      <c r="E62" s="238">
        <v>21592</v>
      </c>
      <c r="F62" s="238">
        <v>8272</v>
      </c>
      <c r="G62" s="238">
        <v>7239</v>
      </c>
      <c r="H62" s="238">
        <v>6390</v>
      </c>
      <c r="I62" s="238">
        <v>12150</v>
      </c>
      <c r="J62" s="238">
        <v>6762</v>
      </c>
      <c r="K62" s="238">
        <v>9216</v>
      </c>
      <c r="L62" s="238">
        <v>6225</v>
      </c>
      <c r="M62" s="238">
        <v>8685</v>
      </c>
      <c r="N62" s="238">
        <v>8284</v>
      </c>
      <c r="O62" s="238">
        <v>121506</v>
      </c>
      <c r="P62" s="44">
        <v>34518</v>
      </c>
      <c r="Q62" s="44">
        <v>86988</v>
      </c>
    </row>
    <row r="63" spans="1:17">
      <c r="A63" s="50">
        <v>370</v>
      </c>
      <c r="B63" s="50" t="s">
        <v>362</v>
      </c>
      <c r="C63" s="238">
        <v>4193</v>
      </c>
      <c r="D63" s="238">
        <v>4965</v>
      </c>
      <c r="E63" s="238">
        <v>3285</v>
      </c>
      <c r="F63" s="238">
        <v>3787</v>
      </c>
      <c r="G63" s="238">
        <v>4835</v>
      </c>
      <c r="H63" s="238">
        <v>4462</v>
      </c>
      <c r="I63" s="238">
        <v>2958</v>
      </c>
      <c r="J63" s="238">
        <v>3255</v>
      </c>
      <c r="K63" s="238">
        <v>3284</v>
      </c>
      <c r="L63" s="238">
        <v>3881</v>
      </c>
      <c r="M63" s="238">
        <v>4992</v>
      </c>
      <c r="N63" s="238">
        <v>4542</v>
      </c>
      <c r="O63" s="238">
        <v>48439</v>
      </c>
      <c r="P63" s="44">
        <v>13959</v>
      </c>
      <c r="Q63" s="44">
        <v>34480</v>
      </c>
    </row>
    <row r="67" spans="1:17" s="237" customFormat="1"/>
    <row r="68" spans="1:17">
      <c r="A68" s="8" t="s">
        <v>546</v>
      </c>
      <c r="B68" s="8"/>
    </row>
    <row r="69" spans="1:17">
      <c r="C69" s="50">
        <v>2012</v>
      </c>
      <c r="D69" s="50">
        <v>2012</v>
      </c>
      <c r="E69" s="50">
        <v>2012</v>
      </c>
      <c r="F69" s="50">
        <v>2012</v>
      </c>
      <c r="G69" s="50">
        <v>2012</v>
      </c>
      <c r="H69" s="50">
        <v>2012</v>
      </c>
      <c r="I69" s="50">
        <v>2012</v>
      </c>
      <c r="J69" s="50">
        <v>2012</v>
      </c>
      <c r="K69" s="50">
        <v>2012</v>
      </c>
      <c r="L69" s="50">
        <v>2012</v>
      </c>
      <c r="M69" s="50">
        <v>2012</v>
      </c>
      <c r="N69" s="50">
        <v>2012</v>
      </c>
    </row>
    <row r="70" spans="1:17">
      <c r="A70" s="50" t="s">
        <v>538</v>
      </c>
      <c r="B70" s="50"/>
      <c r="C70" s="50">
        <v>1</v>
      </c>
      <c r="D70" s="50">
        <v>2</v>
      </c>
      <c r="E70" s="50">
        <v>3</v>
      </c>
      <c r="F70" s="50">
        <v>4</v>
      </c>
      <c r="G70" s="50">
        <v>5</v>
      </c>
      <c r="H70" s="50">
        <v>6</v>
      </c>
      <c r="I70" s="50">
        <v>7</v>
      </c>
      <c r="J70" s="50">
        <v>8</v>
      </c>
      <c r="K70" s="50">
        <v>9</v>
      </c>
      <c r="L70" s="50">
        <v>10</v>
      </c>
      <c r="M70" s="50">
        <v>11</v>
      </c>
      <c r="N70" s="50">
        <v>12</v>
      </c>
      <c r="O70" s="50">
        <v>2012</v>
      </c>
      <c r="P70" s="50" t="s">
        <v>542</v>
      </c>
      <c r="Q70" s="50" t="s">
        <v>543</v>
      </c>
    </row>
    <row r="71" spans="1:17">
      <c r="A71" s="50">
        <v>54</v>
      </c>
      <c r="B71" s="50" t="s">
        <v>98</v>
      </c>
      <c r="C71" s="238">
        <v>537121</v>
      </c>
      <c r="D71" s="238">
        <v>568431</v>
      </c>
      <c r="E71" s="238">
        <v>568434</v>
      </c>
      <c r="F71" s="238">
        <v>560676</v>
      </c>
      <c r="G71" s="238">
        <v>576102</v>
      </c>
      <c r="H71" s="238">
        <v>582869</v>
      </c>
      <c r="I71" s="238">
        <v>588155</v>
      </c>
      <c r="J71" s="238">
        <v>591059</v>
      </c>
      <c r="K71" s="238">
        <v>581443</v>
      </c>
      <c r="L71" s="238">
        <v>568005</v>
      </c>
      <c r="M71" s="238">
        <v>567898</v>
      </c>
      <c r="N71" s="238">
        <v>568486</v>
      </c>
      <c r="O71" s="238">
        <v>6858679</v>
      </c>
      <c r="P71" s="44">
        <v>2343526</v>
      </c>
      <c r="Q71" s="44">
        <v>4515153</v>
      </c>
    </row>
    <row r="72" spans="1:17">
      <c r="A72" s="50">
        <v>55</v>
      </c>
      <c r="B72" s="50" t="s">
        <v>50</v>
      </c>
      <c r="C72" s="238">
        <v>262074</v>
      </c>
      <c r="D72" s="238">
        <v>249420</v>
      </c>
      <c r="E72" s="238">
        <v>242519</v>
      </c>
      <c r="F72" s="238">
        <v>304369</v>
      </c>
      <c r="G72" s="238">
        <v>251398</v>
      </c>
      <c r="H72" s="238">
        <v>260557</v>
      </c>
      <c r="I72" s="238">
        <v>269835</v>
      </c>
      <c r="J72" s="238">
        <v>282491</v>
      </c>
      <c r="K72" s="238">
        <v>257427</v>
      </c>
      <c r="L72" s="238">
        <v>256700</v>
      </c>
      <c r="M72" s="238">
        <v>256308</v>
      </c>
      <c r="N72" s="238">
        <v>254783</v>
      </c>
      <c r="O72" s="238">
        <v>3147881</v>
      </c>
      <c r="P72" s="44">
        <v>1070310</v>
      </c>
      <c r="Q72" s="44">
        <v>2077571</v>
      </c>
    </row>
    <row r="73" spans="1:17">
      <c r="A73" s="50">
        <v>56</v>
      </c>
      <c r="B73" s="50" t="s">
        <v>99</v>
      </c>
      <c r="C73" s="238">
        <v>35841</v>
      </c>
      <c r="D73" s="238">
        <v>36089</v>
      </c>
      <c r="E73" s="238">
        <v>35644</v>
      </c>
      <c r="F73" s="238">
        <v>35749</v>
      </c>
      <c r="G73" s="238">
        <v>36315</v>
      </c>
      <c r="H73" s="238">
        <v>36721</v>
      </c>
      <c r="I73" s="238">
        <v>39075</v>
      </c>
      <c r="J73" s="238">
        <v>38846</v>
      </c>
      <c r="K73" s="238">
        <v>37096</v>
      </c>
      <c r="L73" s="238">
        <v>39518</v>
      </c>
      <c r="M73" s="238">
        <v>36672</v>
      </c>
      <c r="N73" s="238">
        <v>37238</v>
      </c>
      <c r="O73" s="238">
        <v>444804</v>
      </c>
      <c r="P73" s="44">
        <v>151738</v>
      </c>
      <c r="Q73" s="44">
        <v>293066</v>
      </c>
    </row>
    <row r="74" spans="1:17">
      <c r="A74" s="50">
        <v>62</v>
      </c>
      <c r="B74" s="50" t="s">
        <v>382</v>
      </c>
      <c r="C74" s="238">
        <v>807757</v>
      </c>
      <c r="D74" s="238">
        <v>875221</v>
      </c>
      <c r="E74" s="238">
        <v>845325</v>
      </c>
      <c r="F74" s="238">
        <v>852405</v>
      </c>
      <c r="G74" s="238">
        <v>924617</v>
      </c>
      <c r="H74" s="238">
        <v>949322</v>
      </c>
      <c r="I74" s="238">
        <v>956303</v>
      </c>
      <c r="J74" s="238">
        <v>942528</v>
      </c>
      <c r="K74" s="238">
        <v>939904</v>
      </c>
      <c r="L74" s="238">
        <v>963691</v>
      </c>
      <c r="M74" s="238">
        <v>937783</v>
      </c>
      <c r="N74" s="238">
        <v>916192</v>
      </c>
      <c r="O74" s="238">
        <v>10911048</v>
      </c>
      <c r="P74" s="44">
        <v>3788057</v>
      </c>
      <c r="Q74" s="44">
        <v>7122991</v>
      </c>
    </row>
    <row r="75" spans="1:17">
      <c r="A75" s="50">
        <v>63</v>
      </c>
      <c r="B75" s="50" t="s">
        <v>379</v>
      </c>
      <c r="C75" s="238">
        <v>77592</v>
      </c>
      <c r="D75" s="238">
        <v>83640</v>
      </c>
      <c r="E75" s="238">
        <v>88968</v>
      </c>
      <c r="F75" s="238">
        <v>84500</v>
      </c>
      <c r="G75" s="238">
        <v>84540</v>
      </c>
      <c r="H75" s="238">
        <v>88808</v>
      </c>
      <c r="I75" s="238">
        <v>95597</v>
      </c>
      <c r="J75" s="238">
        <v>84793</v>
      </c>
      <c r="K75" s="238">
        <v>85371</v>
      </c>
      <c r="L75" s="238">
        <v>80616</v>
      </c>
      <c r="M75" s="238">
        <v>82192</v>
      </c>
      <c r="N75" s="238">
        <v>74326</v>
      </c>
      <c r="O75" s="238">
        <v>1010943</v>
      </c>
      <c r="P75" s="44">
        <v>354569</v>
      </c>
      <c r="Q75" s="44">
        <v>656374</v>
      </c>
    </row>
    <row r="76" spans="1:17">
      <c r="A76" s="50">
        <v>64</v>
      </c>
      <c r="B76" s="50" t="s">
        <v>381</v>
      </c>
      <c r="C76" s="238">
        <v>518866</v>
      </c>
      <c r="D76" s="238">
        <v>580744</v>
      </c>
      <c r="E76" s="238">
        <v>583581</v>
      </c>
      <c r="F76" s="238">
        <v>610384</v>
      </c>
      <c r="G76" s="238">
        <v>589201</v>
      </c>
      <c r="H76" s="238">
        <v>576366</v>
      </c>
      <c r="I76" s="238">
        <v>613502</v>
      </c>
      <c r="J76" s="238">
        <v>592591</v>
      </c>
      <c r="K76" s="238">
        <v>606476</v>
      </c>
      <c r="L76" s="238">
        <v>601254</v>
      </c>
      <c r="M76" s="238">
        <v>579341</v>
      </c>
      <c r="N76" s="238">
        <v>555442</v>
      </c>
      <c r="O76" s="238">
        <v>7007748</v>
      </c>
      <c r="P76" s="44">
        <v>2388935</v>
      </c>
      <c r="Q76" s="44">
        <v>4618813</v>
      </c>
    </row>
    <row r="77" spans="1:17">
      <c r="A77" s="50">
        <v>65</v>
      </c>
      <c r="B77" s="50" t="s">
        <v>378</v>
      </c>
      <c r="C77" s="238">
        <v>126981</v>
      </c>
      <c r="D77" s="238">
        <v>140531</v>
      </c>
      <c r="E77" s="238">
        <v>137180</v>
      </c>
      <c r="F77" s="238">
        <v>138609</v>
      </c>
      <c r="G77" s="238">
        <v>131995</v>
      </c>
      <c r="H77" s="238">
        <v>136126</v>
      </c>
      <c r="I77" s="238">
        <v>144963</v>
      </c>
      <c r="J77" s="238">
        <v>148412</v>
      </c>
      <c r="K77" s="238">
        <v>161470</v>
      </c>
      <c r="L77" s="238">
        <v>164283</v>
      </c>
      <c r="M77" s="238">
        <v>144797</v>
      </c>
      <c r="N77" s="238">
        <v>136816</v>
      </c>
      <c r="O77" s="238">
        <v>1712163</v>
      </c>
      <c r="P77" s="44">
        <v>590971</v>
      </c>
      <c r="Q77" s="44">
        <v>1121192</v>
      </c>
    </row>
    <row r="78" spans="1:17">
      <c r="A78" s="50">
        <v>70</v>
      </c>
      <c r="B78" s="50" t="s">
        <v>384</v>
      </c>
      <c r="C78" s="238">
        <v>272983</v>
      </c>
      <c r="D78" s="238">
        <v>303352</v>
      </c>
      <c r="E78" s="238">
        <v>290755</v>
      </c>
      <c r="F78" s="238">
        <v>304899</v>
      </c>
      <c r="G78" s="238">
        <v>284729</v>
      </c>
      <c r="H78" s="238">
        <v>288486</v>
      </c>
      <c r="I78" s="238">
        <v>297320</v>
      </c>
      <c r="J78" s="238">
        <v>288675</v>
      </c>
      <c r="K78" s="238">
        <v>303320</v>
      </c>
      <c r="L78" s="238">
        <v>294640</v>
      </c>
      <c r="M78" s="238">
        <v>301055</v>
      </c>
      <c r="N78" s="238">
        <v>302315</v>
      </c>
      <c r="O78" s="238">
        <v>3532529</v>
      </c>
      <c r="P78" s="44">
        <v>1177801</v>
      </c>
      <c r="Q78" s="44">
        <v>2354728</v>
      </c>
    </row>
    <row r="79" spans="1:17">
      <c r="A79" s="50">
        <v>71</v>
      </c>
      <c r="B79" s="50" t="s">
        <v>395</v>
      </c>
      <c r="C79" s="238">
        <v>7914</v>
      </c>
      <c r="D79" s="238">
        <v>7060</v>
      </c>
      <c r="E79" s="238">
        <v>9746</v>
      </c>
      <c r="F79" s="238">
        <v>8581</v>
      </c>
      <c r="G79" s="238">
        <v>7628</v>
      </c>
      <c r="H79" s="238">
        <v>4918</v>
      </c>
      <c r="I79" s="238">
        <v>5882</v>
      </c>
      <c r="J79" s="238">
        <v>6201</v>
      </c>
      <c r="K79" s="238">
        <v>5895</v>
      </c>
      <c r="L79" s="238">
        <v>6254</v>
      </c>
      <c r="M79" s="238">
        <v>7102</v>
      </c>
      <c r="N79" s="238">
        <v>3953</v>
      </c>
      <c r="O79" s="238">
        <v>81134</v>
      </c>
      <c r="P79" s="44">
        <v>22896</v>
      </c>
      <c r="Q79" s="44">
        <v>58238</v>
      </c>
    </row>
    <row r="80" spans="1:17">
      <c r="A80" s="50">
        <v>72</v>
      </c>
      <c r="B80" s="50" t="s">
        <v>385</v>
      </c>
      <c r="C80" s="238">
        <v>4606076</v>
      </c>
      <c r="D80" s="238">
        <v>5216107</v>
      </c>
      <c r="E80" s="238">
        <v>4844841</v>
      </c>
      <c r="F80" s="238">
        <v>4983843</v>
      </c>
      <c r="G80" s="238">
        <v>5285332</v>
      </c>
      <c r="H80" s="238">
        <v>5348406</v>
      </c>
      <c r="I80" s="238">
        <v>5518675</v>
      </c>
      <c r="J80" s="238">
        <v>5419407</v>
      </c>
      <c r="K80" s="238">
        <v>5338603</v>
      </c>
      <c r="L80" s="238">
        <v>5392022</v>
      </c>
      <c r="M80" s="238">
        <v>5356431</v>
      </c>
      <c r="N80" s="238">
        <v>5166397</v>
      </c>
      <c r="O80" s="238">
        <v>62476140</v>
      </c>
      <c r="P80" s="44">
        <v>21625091</v>
      </c>
      <c r="Q80" s="44">
        <v>40851049</v>
      </c>
    </row>
    <row r="81" spans="1:17">
      <c r="A81" s="50">
        <v>73</v>
      </c>
      <c r="B81" s="50" t="s">
        <v>398</v>
      </c>
      <c r="C81" s="238">
        <v>15570</v>
      </c>
      <c r="D81" s="238">
        <v>19071</v>
      </c>
      <c r="E81" s="238">
        <v>20300</v>
      </c>
      <c r="F81" s="238">
        <v>20938</v>
      </c>
      <c r="G81" s="238">
        <v>19512</v>
      </c>
      <c r="H81" s="238">
        <v>19253</v>
      </c>
      <c r="I81" s="238">
        <v>22257</v>
      </c>
      <c r="J81" s="238">
        <v>18097</v>
      </c>
      <c r="K81" s="238">
        <v>19804</v>
      </c>
      <c r="L81" s="238">
        <v>21772</v>
      </c>
      <c r="M81" s="238">
        <v>21517</v>
      </c>
      <c r="N81" s="238">
        <v>17300</v>
      </c>
      <c r="O81" s="238">
        <v>235391</v>
      </c>
      <c r="P81" s="44">
        <v>79411</v>
      </c>
      <c r="Q81" s="44">
        <v>155980</v>
      </c>
    </row>
    <row r="82" spans="1:17">
      <c r="A82" s="50">
        <v>74</v>
      </c>
      <c r="B82" s="50" t="s">
        <v>397</v>
      </c>
      <c r="C82" s="238">
        <v>8703</v>
      </c>
      <c r="D82" s="238">
        <v>9894</v>
      </c>
      <c r="E82" s="238">
        <v>9405</v>
      </c>
      <c r="F82" s="238">
        <v>9752</v>
      </c>
      <c r="G82" s="238">
        <v>9471</v>
      </c>
      <c r="H82" s="238">
        <v>8725</v>
      </c>
      <c r="I82" s="238">
        <v>9861</v>
      </c>
      <c r="J82" s="238">
        <v>9002</v>
      </c>
      <c r="K82" s="238">
        <v>8832</v>
      </c>
      <c r="L82" s="238">
        <v>9128</v>
      </c>
      <c r="M82" s="238">
        <v>9411</v>
      </c>
      <c r="N82" s="238">
        <v>8408</v>
      </c>
      <c r="O82" s="238">
        <v>110592</v>
      </c>
      <c r="P82" s="44">
        <v>36420</v>
      </c>
      <c r="Q82" s="44">
        <v>74172</v>
      </c>
    </row>
    <row r="83" spans="1:17">
      <c r="A83" s="50">
        <v>75</v>
      </c>
      <c r="B83" s="50" t="s">
        <v>394</v>
      </c>
      <c r="C83" s="238">
        <v>7655</v>
      </c>
      <c r="D83" s="238">
        <v>8134</v>
      </c>
      <c r="E83" s="238">
        <v>5930</v>
      </c>
      <c r="F83" s="238">
        <v>6365</v>
      </c>
      <c r="G83" s="238">
        <v>5618</v>
      </c>
      <c r="H83" s="238">
        <v>5708</v>
      </c>
      <c r="I83" s="238">
        <v>5880</v>
      </c>
      <c r="J83" s="238">
        <v>5586</v>
      </c>
      <c r="K83" s="238">
        <v>5895</v>
      </c>
      <c r="L83" s="238">
        <v>9016</v>
      </c>
      <c r="M83" s="238">
        <v>9553</v>
      </c>
      <c r="N83" s="238">
        <v>8197</v>
      </c>
      <c r="O83" s="238">
        <v>83537</v>
      </c>
      <c r="P83" s="44">
        <v>23069</v>
      </c>
      <c r="Q83" s="44">
        <v>60468</v>
      </c>
    </row>
    <row r="84" spans="1:17">
      <c r="A84" s="50">
        <v>80</v>
      </c>
      <c r="B84" s="50" t="s">
        <v>370</v>
      </c>
      <c r="C84" s="238">
        <v>16015</v>
      </c>
      <c r="D84" s="238">
        <v>18701</v>
      </c>
      <c r="E84" s="238">
        <v>17077</v>
      </c>
      <c r="F84" s="238">
        <v>17773</v>
      </c>
      <c r="G84" s="238">
        <v>18652</v>
      </c>
      <c r="H84" s="238">
        <v>19096</v>
      </c>
      <c r="I84" s="238">
        <v>18863</v>
      </c>
      <c r="J84" s="238">
        <v>18995</v>
      </c>
      <c r="K84" s="238">
        <v>18460</v>
      </c>
      <c r="L84" s="238">
        <v>17872</v>
      </c>
      <c r="M84" s="238">
        <v>20141</v>
      </c>
      <c r="N84" s="238">
        <v>18502</v>
      </c>
      <c r="O84" s="238">
        <v>220147</v>
      </c>
      <c r="P84" s="44">
        <v>75414</v>
      </c>
      <c r="Q84" s="44">
        <v>144733</v>
      </c>
    </row>
    <row r="85" spans="1:17">
      <c r="A85" s="50">
        <v>82</v>
      </c>
      <c r="B85" s="50" t="s">
        <v>392</v>
      </c>
      <c r="C85" s="238">
        <v>163</v>
      </c>
      <c r="D85" s="238">
        <v>193</v>
      </c>
      <c r="E85" s="238">
        <v>315</v>
      </c>
      <c r="F85" s="238">
        <v>539</v>
      </c>
      <c r="G85" s="238">
        <v>336</v>
      </c>
      <c r="H85" s="238">
        <v>541</v>
      </c>
      <c r="I85" s="238">
        <v>465</v>
      </c>
      <c r="J85" s="238">
        <v>302</v>
      </c>
      <c r="K85" s="238">
        <v>313</v>
      </c>
      <c r="L85" s="238">
        <v>495</v>
      </c>
      <c r="M85" s="238">
        <v>258</v>
      </c>
      <c r="N85" s="238">
        <v>285</v>
      </c>
      <c r="O85" s="238">
        <v>4205</v>
      </c>
      <c r="P85" s="44">
        <v>1621</v>
      </c>
      <c r="Q85" s="44">
        <v>2584</v>
      </c>
    </row>
    <row r="86" spans="1:17">
      <c r="A86" s="50">
        <v>90</v>
      </c>
      <c r="B86" s="50" t="s">
        <v>375</v>
      </c>
      <c r="C86" s="238">
        <v>27907</v>
      </c>
      <c r="D86" s="238">
        <v>29042</v>
      </c>
      <c r="E86" s="238">
        <v>32898</v>
      </c>
      <c r="F86" s="238">
        <v>28648</v>
      </c>
      <c r="G86" s="238">
        <v>26178</v>
      </c>
      <c r="H86" s="238">
        <v>22151</v>
      </c>
      <c r="I86" s="238">
        <v>26467</v>
      </c>
      <c r="J86" s="238">
        <v>25446</v>
      </c>
      <c r="K86" s="238">
        <v>22375</v>
      </c>
      <c r="L86" s="238">
        <v>24691</v>
      </c>
      <c r="M86" s="238">
        <v>27095</v>
      </c>
      <c r="N86" s="238">
        <v>17266</v>
      </c>
      <c r="O86" s="238">
        <v>310164</v>
      </c>
      <c r="P86" s="44">
        <v>96439</v>
      </c>
      <c r="Q86" s="44">
        <v>213725</v>
      </c>
    </row>
    <row r="87" spans="1:17">
      <c r="A87" s="50">
        <v>91</v>
      </c>
      <c r="B87" s="50" t="s">
        <v>376</v>
      </c>
      <c r="C87" s="238">
        <v>9355</v>
      </c>
      <c r="D87" s="238">
        <v>8610</v>
      </c>
      <c r="E87" s="238">
        <v>17656</v>
      </c>
      <c r="F87" s="238">
        <v>358</v>
      </c>
      <c r="G87" s="238">
        <v>267</v>
      </c>
      <c r="H87" s="238">
        <v>270</v>
      </c>
      <c r="I87" s="238">
        <v>61</v>
      </c>
      <c r="J87" s="238">
        <v>65</v>
      </c>
      <c r="K87" s="238">
        <v>58</v>
      </c>
      <c r="L87" s="238">
        <v>2508</v>
      </c>
      <c r="M87" s="238">
        <v>9134</v>
      </c>
      <c r="N87" s="238">
        <v>5503</v>
      </c>
      <c r="O87" s="238">
        <v>53845</v>
      </c>
      <c r="P87" s="44">
        <v>454</v>
      </c>
      <c r="Q87" s="44">
        <v>53391</v>
      </c>
    </row>
    <row r="88" spans="1:17">
      <c r="A88" s="50">
        <v>164</v>
      </c>
      <c r="B88" s="50" t="s">
        <v>327</v>
      </c>
      <c r="C88" s="238">
        <v>256822</v>
      </c>
      <c r="D88" s="238">
        <v>287484</v>
      </c>
      <c r="E88" s="238">
        <v>280645</v>
      </c>
      <c r="F88" s="238">
        <v>297315</v>
      </c>
      <c r="G88" s="238">
        <v>291894</v>
      </c>
      <c r="H88" s="238">
        <v>285430</v>
      </c>
      <c r="I88" s="238">
        <v>304108</v>
      </c>
      <c r="J88" s="238">
        <v>297185</v>
      </c>
      <c r="K88" s="238">
        <v>298887</v>
      </c>
      <c r="L88" s="238">
        <v>301971</v>
      </c>
      <c r="M88" s="238">
        <v>290833</v>
      </c>
      <c r="N88" s="238">
        <v>279731</v>
      </c>
      <c r="O88" s="238">
        <v>3472305</v>
      </c>
      <c r="P88" s="44">
        <v>1185610</v>
      </c>
      <c r="Q88" s="44">
        <v>2286695</v>
      </c>
    </row>
    <row r="89" spans="1:17">
      <c r="A89" s="50">
        <v>165</v>
      </c>
      <c r="B89" s="50" t="s">
        <v>328</v>
      </c>
      <c r="C89" s="238">
        <v>105213</v>
      </c>
      <c r="D89" s="238">
        <v>111738</v>
      </c>
      <c r="E89" s="238">
        <v>114848</v>
      </c>
      <c r="F89" s="238">
        <v>117707</v>
      </c>
      <c r="G89" s="238">
        <v>106158</v>
      </c>
      <c r="H89" s="238">
        <v>104116</v>
      </c>
      <c r="I89" s="238">
        <v>119360</v>
      </c>
      <c r="J89" s="238">
        <v>114857</v>
      </c>
      <c r="K89" s="238">
        <v>119118</v>
      </c>
      <c r="L89" s="238">
        <v>118671</v>
      </c>
      <c r="M89" s="238">
        <v>122408</v>
      </c>
      <c r="N89" s="238">
        <v>109074</v>
      </c>
      <c r="O89" s="238">
        <v>1363268</v>
      </c>
      <c r="P89" s="44">
        <v>457451</v>
      </c>
      <c r="Q89" s="44">
        <v>905817</v>
      </c>
    </row>
    <row r="90" spans="1:17">
      <c r="A90" s="50">
        <v>170</v>
      </c>
      <c r="B90" s="50" t="s">
        <v>326</v>
      </c>
      <c r="C90" s="238">
        <v>110677</v>
      </c>
      <c r="D90" s="238">
        <v>139227</v>
      </c>
      <c r="E90" s="238">
        <v>137520</v>
      </c>
      <c r="F90" s="238">
        <v>141962</v>
      </c>
      <c r="G90" s="238">
        <v>133334</v>
      </c>
      <c r="H90" s="238">
        <v>121596</v>
      </c>
      <c r="I90" s="238">
        <v>126249</v>
      </c>
      <c r="J90" s="238">
        <v>125946</v>
      </c>
      <c r="K90" s="238">
        <v>123214</v>
      </c>
      <c r="L90" s="238">
        <v>128104</v>
      </c>
      <c r="M90" s="238">
        <v>133291</v>
      </c>
      <c r="N90" s="238">
        <v>122160</v>
      </c>
      <c r="O90" s="238">
        <v>1543280</v>
      </c>
      <c r="P90" s="44">
        <v>497005</v>
      </c>
      <c r="Q90" s="44">
        <v>1046275</v>
      </c>
    </row>
    <row r="91" spans="1:17">
      <c r="A91" s="50">
        <v>264</v>
      </c>
      <c r="B91" s="50" t="s">
        <v>360</v>
      </c>
      <c r="C91" s="238">
        <v>179617</v>
      </c>
      <c r="D91" s="238">
        <v>202948</v>
      </c>
      <c r="E91" s="238">
        <v>190064</v>
      </c>
      <c r="F91" s="238">
        <v>153635</v>
      </c>
      <c r="G91" s="238">
        <v>180311</v>
      </c>
      <c r="H91" s="238">
        <v>145695</v>
      </c>
      <c r="I91" s="238">
        <v>141868</v>
      </c>
      <c r="J91" s="238">
        <v>161170</v>
      </c>
      <c r="K91" s="238">
        <v>176484</v>
      </c>
      <c r="L91" s="238">
        <v>212057</v>
      </c>
      <c r="M91" s="238">
        <v>202123</v>
      </c>
      <c r="N91" s="238">
        <v>182352</v>
      </c>
      <c r="O91" s="238">
        <v>2128324</v>
      </c>
      <c r="P91" s="44">
        <v>625217</v>
      </c>
      <c r="Q91" s="44">
        <v>1503107</v>
      </c>
    </row>
    <row r="92" spans="1:17">
      <c r="A92" s="50">
        <v>265</v>
      </c>
      <c r="B92" s="50" t="s">
        <v>357</v>
      </c>
      <c r="C92" s="238">
        <v>11106</v>
      </c>
      <c r="D92" s="238">
        <v>11132</v>
      </c>
      <c r="E92" s="238">
        <v>10426</v>
      </c>
      <c r="F92" s="238">
        <v>7566</v>
      </c>
      <c r="G92" s="238">
        <v>4736</v>
      </c>
      <c r="H92" s="238">
        <v>4780</v>
      </c>
      <c r="I92" s="238">
        <v>5278</v>
      </c>
      <c r="J92" s="238">
        <v>5607</v>
      </c>
      <c r="K92" s="238">
        <v>6896</v>
      </c>
      <c r="L92" s="238">
        <v>8175</v>
      </c>
      <c r="M92" s="238">
        <v>11722</v>
      </c>
      <c r="N92" s="238">
        <v>11929</v>
      </c>
      <c r="O92" s="238">
        <v>99353</v>
      </c>
      <c r="P92" s="44">
        <v>22561</v>
      </c>
      <c r="Q92" s="44">
        <v>76792</v>
      </c>
    </row>
    <row r="93" spans="1:17">
      <c r="A93" s="50">
        <v>270</v>
      </c>
      <c r="B93" s="50" t="s">
        <v>363</v>
      </c>
      <c r="C93" s="238">
        <v>185673</v>
      </c>
      <c r="D93" s="238">
        <v>208374</v>
      </c>
      <c r="E93" s="238">
        <v>174606</v>
      </c>
      <c r="F93" s="238">
        <v>185179</v>
      </c>
      <c r="G93" s="238">
        <v>166682</v>
      </c>
      <c r="H93" s="238">
        <v>109111</v>
      </c>
      <c r="I93" s="238">
        <v>114328</v>
      </c>
      <c r="J93" s="238">
        <v>124840</v>
      </c>
      <c r="K93" s="238">
        <v>138975</v>
      </c>
      <c r="L93" s="238">
        <v>197287</v>
      </c>
      <c r="M93" s="238">
        <v>199856</v>
      </c>
      <c r="N93" s="238">
        <v>192483</v>
      </c>
      <c r="O93" s="238">
        <v>1997394</v>
      </c>
      <c r="P93" s="44">
        <v>487254</v>
      </c>
      <c r="Q93" s="44">
        <v>1510140</v>
      </c>
    </row>
    <row r="94" spans="1:17">
      <c r="A94" s="50">
        <v>364</v>
      </c>
      <c r="B94" s="50" t="s">
        <v>359</v>
      </c>
      <c r="C94" s="238">
        <v>6207</v>
      </c>
      <c r="D94" s="238">
        <v>6964</v>
      </c>
      <c r="E94" s="238">
        <v>8559</v>
      </c>
      <c r="F94" s="238">
        <v>9172</v>
      </c>
      <c r="G94" s="238">
        <v>7961</v>
      </c>
      <c r="H94" s="238">
        <v>7683</v>
      </c>
      <c r="I94" s="238">
        <v>4723</v>
      </c>
      <c r="J94" s="238">
        <v>6191</v>
      </c>
      <c r="K94" s="238">
        <v>5488</v>
      </c>
      <c r="L94" s="238">
        <v>6100</v>
      </c>
      <c r="M94" s="238">
        <v>7781</v>
      </c>
      <c r="N94" s="238">
        <v>5107</v>
      </c>
      <c r="O94" s="238">
        <v>81936</v>
      </c>
      <c r="P94" s="44">
        <v>24085</v>
      </c>
      <c r="Q94" s="44">
        <v>57851</v>
      </c>
    </row>
    <row r="95" spans="1:17">
      <c r="A95" s="50">
        <v>365</v>
      </c>
      <c r="B95" s="50" t="s">
        <v>356</v>
      </c>
      <c r="C95" s="238">
        <v>10542</v>
      </c>
      <c r="D95" s="238">
        <v>16245</v>
      </c>
      <c r="E95" s="238">
        <v>21653</v>
      </c>
      <c r="F95" s="238">
        <v>8296</v>
      </c>
      <c r="G95" s="238">
        <v>7257</v>
      </c>
      <c r="H95" s="238">
        <v>6404</v>
      </c>
      <c r="I95" s="238">
        <v>12173</v>
      </c>
      <c r="J95" s="238">
        <v>6777</v>
      </c>
      <c r="K95" s="238">
        <v>9245</v>
      </c>
      <c r="L95" s="238">
        <v>6255</v>
      </c>
      <c r="M95" s="238">
        <v>8746</v>
      </c>
      <c r="N95" s="238">
        <v>8363</v>
      </c>
      <c r="O95" s="238">
        <v>121956</v>
      </c>
      <c r="P95" s="44">
        <v>34599</v>
      </c>
      <c r="Q95" s="44">
        <v>87357</v>
      </c>
    </row>
    <row r="96" spans="1:17">
      <c r="A96" s="50">
        <v>370</v>
      </c>
      <c r="B96" s="50" t="s">
        <v>362</v>
      </c>
      <c r="C96" s="238">
        <v>4203</v>
      </c>
      <c r="D96" s="238">
        <v>4970</v>
      </c>
      <c r="E96" s="238">
        <v>3289</v>
      </c>
      <c r="F96" s="238">
        <v>3791</v>
      </c>
      <c r="G96" s="238">
        <v>4838</v>
      </c>
      <c r="H96" s="238">
        <v>4440</v>
      </c>
      <c r="I96" s="238">
        <v>2944</v>
      </c>
      <c r="J96" s="238">
        <v>3240</v>
      </c>
      <c r="K96" s="238">
        <v>3273</v>
      </c>
      <c r="L96" s="238">
        <v>3888</v>
      </c>
      <c r="M96" s="238">
        <v>5016</v>
      </c>
      <c r="N96" s="238">
        <v>4574</v>
      </c>
      <c r="O96" s="238">
        <v>48466</v>
      </c>
      <c r="P96" s="44">
        <v>13897</v>
      </c>
      <c r="Q96" s="44">
        <v>34569</v>
      </c>
    </row>
    <row r="98" spans="1:1" s="237" customFormat="1">
      <c r="A98" s="237" t="s">
        <v>539</v>
      </c>
    </row>
  </sheetData>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U398"/>
  <sheetViews>
    <sheetView topLeftCell="A197" zoomScaleNormal="100" zoomScaleSheetLayoutView="100" workbookViewId="0">
      <selection activeCell="P257" sqref="P257"/>
    </sheetView>
  </sheetViews>
  <sheetFormatPr defaultColWidth="9.109375" defaultRowHeight="13.2"/>
  <cols>
    <col min="1" max="2" width="9.109375" style="173"/>
    <col min="3" max="3" width="2.33203125" style="173" customWidth="1"/>
    <col min="4" max="4" width="10.109375" style="173" bestFit="1" customWidth="1"/>
    <col min="5" max="5" width="10.88671875" style="173" customWidth="1"/>
    <col min="6" max="7" width="11.109375" style="173" customWidth="1"/>
    <col min="8" max="8" width="10.88671875" style="173" customWidth="1"/>
    <col min="9" max="9" width="10.109375" style="173" customWidth="1"/>
    <col min="10" max="10" width="11.44140625" style="173" customWidth="1"/>
    <col min="11" max="11" width="10.33203125" style="173" customWidth="1"/>
    <col min="12" max="12" width="10.44140625" style="173" customWidth="1"/>
    <col min="13" max="13" width="10.33203125" style="173" customWidth="1"/>
    <col min="14" max="14" width="10.44140625" style="173" customWidth="1"/>
    <col min="15" max="15" width="10.5546875" style="173" customWidth="1"/>
    <col min="16" max="16" width="11.44140625" style="173" customWidth="1"/>
    <col min="17" max="17" width="8.44140625" style="174" customWidth="1"/>
    <col min="18" max="18" width="10" style="173" customWidth="1"/>
    <col min="19" max="19" width="11.109375" style="173" bestFit="1" customWidth="1"/>
    <col min="20" max="20" width="9.109375" style="173"/>
    <col min="21" max="21" width="15.44140625" style="173" bestFit="1" customWidth="1"/>
    <col min="22" max="16384" width="9.109375" style="173"/>
  </cols>
  <sheetData>
    <row r="1" spans="1:17" hidden="1">
      <c r="A1" s="185" t="s">
        <v>482</v>
      </c>
      <c r="B1" s="184"/>
      <c r="C1" s="184"/>
      <c r="D1" s="183"/>
      <c r="E1" s="183"/>
      <c r="F1" s="183"/>
      <c r="G1" s="183"/>
      <c r="H1" s="183"/>
      <c r="I1" s="183"/>
      <c r="J1" s="184"/>
      <c r="K1" s="183"/>
      <c r="L1" s="183"/>
      <c r="M1" s="183"/>
      <c r="N1" s="183"/>
      <c r="O1" s="183"/>
      <c r="P1" s="183"/>
      <c r="Q1" s="175"/>
    </row>
    <row r="2" spans="1:17" hidden="1">
      <c r="A2" s="185" t="s">
        <v>474</v>
      </c>
      <c r="B2" s="184"/>
      <c r="C2" s="184"/>
      <c r="D2" s="183"/>
      <c r="E2" s="183"/>
      <c r="F2" s="183"/>
      <c r="G2" s="183"/>
      <c r="H2" s="183"/>
      <c r="I2" s="184"/>
      <c r="J2" s="183"/>
      <c r="K2" s="183"/>
      <c r="L2" s="183"/>
      <c r="M2" s="183"/>
      <c r="N2" s="183"/>
      <c r="O2" s="183"/>
      <c r="P2" s="183"/>
      <c r="Q2" s="182">
        <v>40269</v>
      </c>
    </row>
    <row r="3" spans="1:17" hidden="1">
      <c r="A3" s="185"/>
      <c r="B3" s="184"/>
      <c r="C3" s="184"/>
      <c r="D3" s="183"/>
      <c r="E3" s="183"/>
      <c r="F3" s="183"/>
      <c r="G3" s="183"/>
      <c r="H3" s="183"/>
      <c r="I3" s="184"/>
      <c r="J3" s="183"/>
      <c r="K3" s="183"/>
      <c r="L3" s="183"/>
      <c r="M3" s="183"/>
      <c r="N3" s="183"/>
      <c r="O3" s="183"/>
      <c r="P3" s="183"/>
      <c r="Q3" s="182"/>
    </row>
    <row r="4" spans="1:17" hidden="1">
      <c r="A4" s="177"/>
      <c r="B4" s="177"/>
      <c r="C4" s="177"/>
      <c r="D4" s="176"/>
      <c r="E4" s="176"/>
      <c r="F4" s="176"/>
      <c r="G4" s="176"/>
      <c r="H4" s="176"/>
      <c r="I4" s="176"/>
      <c r="J4" s="176"/>
      <c r="K4" s="176"/>
      <c r="L4" s="176"/>
      <c r="M4" s="176"/>
      <c r="N4" s="176"/>
      <c r="O4" s="176"/>
      <c r="P4" s="176"/>
      <c r="Q4" s="175"/>
    </row>
    <row r="5" spans="1:17" hidden="1">
      <c r="A5" s="177"/>
      <c r="B5" s="177"/>
      <c r="C5" s="177"/>
      <c r="D5" s="139" t="s">
        <v>413</v>
      </c>
      <c r="E5" s="139" t="s">
        <v>412</v>
      </c>
      <c r="F5" s="139" t="s">
        <v>411</v>
      </c>
      <c r="G5" s="139" t="s">
        <v>410</v>
      </c>
      <c r="H5" s="139" t="s">
        <v>409</v>
      </c>
      <c r="I5" s="139" t="s">
        <v>408</v>
      </c>
      <c r="J5" s="139" t="s">
        <v>407</v>
      </c>
      <c r="K5" s="139" t="s">
        <v>406</v>
      </c>
      <c r="L5" s="139" t="s">
        <v>405</v>
      </c>
      <c r="M5" s="139" t="s">
        <v>404</v>
      </c>
      <c r="N5" s="139" t="s">
        <v>403</v>
      </c>
      <c r="O5" s="139" t="s">
        <v>402</v>
      </c>
      <c r="P5" s="139" t="s">
        <v>93</v>
      </c>
      <c r="Q5" s="175"/>
    </row>
    <row r="6" spans="1:17" hidden="1">
      <c r="A6" s="180" t="s">
        <v>472</v>
      </c>
      <c r="B6" s="177"/>
      <c r="C6" s="177"/>
      <c r="D6" s="176"/>
      <c r="E6" s="176"/>
      <c r="F6" s="176"/>
      <c r="G6" s="176"/>
      <c r="H6" s="176"/>
      <c r="I6" s="176"/>
      <c r="J6" s="176"/>
      <c r="K6" s="176"/>
      <c r="L6" s="176"/>
      <c r="M6" s="176"/>
      <c r="N6" s="176"/>
      <c r="O6" s="176"/>
      <c r="P6" s="176"/>
      <c r="Q6" s="175"/>
    </row>
    <row r="7" spans="1:17" hidden="1">
      <c r="A7" s="179" t="s">
        <v>467</v>
      </c>
      <c r="B7" s="177"/>
      <c r="C7" s="177"/>
      <c r="D7" s="176">
        <v>4234067.5429999996</v>
      </c>
      <c r="E7" s="176">
        <v>3604218.0830000001</v>
      </c>
      <c r="F7" s="176">
        <v>3598528.1470000003</v>
      </c>
      <c r="G7" s="176">
        <v>3779246.62</v>
      </c>
      <c r="H7" s="176">
        <v>4283254.5109999999</v>
      </c>
      <c r="I7" s="176">
        <v>5282804.8379999995</v>
      </c>
      <c r="J7" s="176">
        <v>5301896</v>
      </c>
      <c r="K7" s="176">
        <v>5331470.6049999995</v>
      </c>
      <c r="L7" s="176">
        <v>5632132.7520000003</v>
      </c>
      <c r="M7" s="176">
        <v>4805005</v>
      </c>
      <c r="N7" s="176">
        <v>3672851.443</v>
      </c>
      <c r="O7" s="176">
        <v>3703339.3190000001</v>
      </c>
      <c r="P7" s="176">
        <f t="shared" ref="P7:P12" si="0">SUM(D7:O7)</f>
        <v>53228814.860999994</v>
      </c>
      <c r="Q7" s="175"/>
    </row>
    <row r="8" spans="1:17" hidden="1">
      <c r="A8" s="179" t="s">
        <v>466</v>
      </c>
      <c r="B8" s="177"/>
      <c r="C8" s="177"/>
      <c r="D8" s="176">
        <v>3783449.1209999993</v>
      </c>
      <c r="E8" s="176">
        <v>3491303.9850000003</v>
      </c>
      <c r="F8" s="176">
        <v>3442605.1940000001</v>
      </c>
      <c r="G8" s="176">
        <v>3509770.7960000001</v>
      </c>
      <c r="H8" s="176">
        <v>3717189.9610000001</v>
      </c>
      <c r="I8" s="176">
        <v>4108255.0940000005</v>
      </c>
      <c r="J8" s="176">
        <v>4103113</v>
      </c>
      <c r="K8" s="176">
        <v>4016555.7649999997</v>
      </c>
      <c r="L8" s="176">
        <v>4261070.784</v>
      </c>
      <c r="M8" s="176">
        <v>3926048</v>
      </c>
      <c r="N8" s="176">
        <v>3580327.432</v>
      </c>
      <c r="O8" s="176">
        <v>3621740.1220000004</v>
      </c>
      <c r="P8" s="176">
        <f t="shared" si="0"/>
        <v>45561429.254000001</v>
      </c>
      <c r="Q8" s="175"/>
    </row>
    <row r="9" spans="1:17" hidden="1">
      <c r="A9" s="179" t="s">
        <v>465</v>
      </c>
      <c r="B9" s="177"/>
      <c r="C9" s="177"/>
      <c r="D9" s="176">
        <v>332838.06800000003</v>
      </c>
      <c r="E9" s="176">
        <v>317151.71300000005</v>
      </c>
      <c r="F9" s="176">
        <v>282856.576</v>
      </c>
      <c r="G9" s="176">
        <v>296408.24100000004</v>
      </c>
      <c r="H9" s="176">
        <v>292755.94500000001</v>
      </c>
      <c r="I9" s="176">
        <v>323010.78099999996</v>
      </c>
      <c r="J9" s="176">
        <v>308290</v>
      </c>
      <c r="K9" s="176">
        <v>280429.54499999998</v>
      </c>
      <c r="L9" s="176">
        <v>300915.848</v>
      </c>
      <c r="M9" s="176">
        <v>288124</v>
      </c>
      <c r="N9" s="176">
        <v>275330.60599999997</v>
      </c>
      <c r="O9" s="176">
        <v>289108.89399999997</v>
      </c>
      <c r="P9" s="176">
        <f t="shared" si="0"/>
        <v>3587220.2170000002</v>
      </c>
      <c r="Q9" s="189"/>
    </row>
    <row r="10" spans="1:17" hidden="1">
      <c r="A10" s="179" t="s">
        <v>464</v>
      </c>
      <c r="B10" s="177"/>
      <c r="C10" s="177"/>
      <c r="D10" s="176">
        <v>36110.541000000005</v>
      </c>
      <c r="E10" s="176">
        <v>31206.652999999998</v>
      </c>
      <c r="F10" s="176">
        <v>37033.506000000001</v>
      </c>
      <c r="G10" s="176">
        <v>32584.448999999997</v>
      </c>
      <c r="H10" s="176">
        <v>34399.455999999998</v>
      </c>
      <c r="I10" s="176">
        <v>35669.650999999998</v>
      </c>
      <c r="J10" s="176">
        <v>34633</v>
      </c>
      <c r="K10" s="176">
        <v>35471.712</v>
      </c>
      <c r="L10" s="176">
        <v>35448.928</v>
      </c>
      <c r="M10" s="176">
        <v>37889</v>
      </c>
      <c r="N10" s="176">
        <v>36155.986999999994</v>
      </c>
      <c r="O10" s="176">
        <v>36251.615000000005</v>
      </c>
      <c r="P10" s="176">
        <f t="shared" si="0"/>
        <v>422854.49800000002</v>
      </c>
      <c r="Q10" s="175"/>
    </row>
    <row r="11" spans="1:17" hidden="1">
      <c r="A11" s="179" t="s">
        <v>463</v>
      </c>
      <c r="B11" s="177"/>
      <c r="C11" s="177"/>
      <c r="D11" s="176">
        <v>5750.3109999999997</v>
      </c>
      <c r="E11" s="176">
        <v>3526.2839999999997</v>
      </c>
      <c r="F11" s="176">
        <v>3601.8820000000001</v>
      </c>
      <c r="G11" s="176">
        <v>3497.6409999999996</v>
      </c>
      <c r="H11" s="176">
        <v>3486.6559999999999</v>
      </c>
      <c r="I11" s="176">
        <v>3342.0810000000001</v>
      </c>
      <c r="J11" s="176">
        <v>2394</v>
      </c>
      <c r="K11" s="176">
        <v>2229.4699999999998</v>
      </c>
      <c r="L11" s="176">
        <v>2461.7090000000003</v>
      </c>
      <c r="M11" s="176">
        <v>2465</v>
      </c>
      <c r="N11" s="176">
        <v>2280.2079999999996</v>
      </c>
      <c r="O11" s="176">
        <v>2358.6170000000002</v>
      </c>
      <c r="P11" s="176">
        <f t="shared" si="0"/>
        <v>37393.858999999997</v>
      </c>
      <c r="Q11" s="175"/>
    </row>
    <row r="12" spans="1:17" hidden="1">
      <c r="A12" s="179" t="s">
        <v>462</v>
      </c>
      <c r="B12" s="177"/>
      <c r="C12" s="177"/>
      <c r="D12" s="176">
        <v>7557.55</v>
      </c>
      <c r="E12" s="176">
        <v>6694.8</v>
      </c>
      <c r="F12" s="176">
        <v>6300</v>
      </c>
      <c r="G12" s="176">
        <v>6711.25</v>
      </c>
      <c r="H12" s="176">
        <v>6382.95</v>
      </c>
      <c r="I12" s="176">
        <v>6832.35</v>
      </c>
      <c r="J12" s="176">
        <v>7157.85</v>
      </c>
      <c r="K12" s="176">
        <v>6761.65</v>
      </c>
      <c r="L12" s="176">
        <v>6862.8</v>
      </c>
      <c r="M12" s="176">
        <v>6662</v>
      </c>
      <c r="N12" s="176">
        <v>6729.8</v>
      </c>
      <c r="O12" s="176">
        <v>6442.1</v>
      </c>
      <c r="P12" s="176">
        <f t="shared" si="0"/>
        <v>81095.100000000006</v>
      </c>
      <c r="Q12" s="175"/>
    </row>
    <row r="13" spans="1:17" hidden="1">
      <c r="A13" s="179"/>
      <c r="B13" s="177"/>
      <c r="C13" s="177"/>
      <c r="D13" s="176"/>
      <c r="E13" s="176"/>
      <c r="F13" s="176"/>
      <c r="G13" s="176"/>
      <c r="H13" s="176"/>
      <c r="I13" s="176"/>
      <c r="J13" s="176"/>
      <c r="K13" s="176"/>
      <c r="L13" s="176"/>
      <c r="M13" s="176"/>
      <c r="N13" s="176"/>
      <c r="O13" s="176"/>
      <c r="P13" s="176"/>
      <c r="Q13" s="175"/>
    </row>
    <row r="14" spans="1:17" hidden="1">
      <c r="A14" s="180" t="s">
        <v>461</v>
      </c>
      <c r="B14" s="177"/>
      <c r="C14" s="177"/>
      <c r="D14" s="176"/>
      <c r="E14" s="176"/>
      <c r="F14" s="176"/>
      <c r="G14" s="176"/>
      <c r="H14" s="176"/>
      <c r="I14" s="176"/>
      <c r="J14" s="176"/>
      <c r="K14" s="176"/>
      <c r="L14" s="176"/>
      <c r="M14" s="176"/>
      <c r="N14" s="176"/>
      <c r="O14" s="176"/>
      <c r="P14" s="176"/>
      <c r="Q14" s="175"/>
    </row>
    <row r="15" spans="1:17" hidden="1">
      <c r="A15" s="180" t="s">
        <v>471</v>
      </c>
      <c r="B15" s="177"/>
      <c r="C15" s="177"/>
      <c r="D15" s="176">
        <f t="shared" ref="D15:P15" si="1">SUM(D7:D14)</f>
        <v>8399773.1339999996</v>
      </c>
      <c r="E15" s="176">
        <f t="shared" si="1"/>
        <v>7454101.5180000002</v>
      </c>
      <c r="F15" s="176">
        <f t="shared" si="1"/>
        <v>7370925.3050000006</v>
      </c>
      <c r="G15" s="176">
        <f t="shared" si="1"/>
        <v>7628218.9970000004</v>
      </c>
      <c r="H15" s="176">
        <f t="shared" si="1"/>
        <v>8337469.4790000012</v>
      </c>
      <c r="I15" s="176">
        <f t="shared" si="1"/>
        <v>9759914.7949999999</v>
      </c>
      <c r="J15" s="176">
        <f t="shared" si="1"/>
        <v>9757483.8499999996</v>
      </c>
      <c r="K15" s="176">
        <f t="shared" si="1"/>
        <v>9672918.7469999995</v>
      </c>
      <c r="L15" s="176">
        <f t="shared" si="1"/>
        <v>10238892.821</v>
      </c>
      <c r="M15" s="176">
        <f t="shared" si="1"/>
        <v>9066193</v>
      </c>
      <c r="N15" s="176">
        <f t="shared" si="1"/>
        <v>7573675.4759999989</v>
      </c>
      <c r="O15" s="176">
        <f t="shared" si="1"/>
        <v>7659240.6670000004</v>
      </c>
      <c r="P15" s="176">
        <f t="shared" si="1"/>
        <v>102918807.78899997</v>
      </c>
      <c r="Q15" s="175"/>
    </row>
    <row r="16" spans="1:17" hidden="1">
      <c r="A16" s="180"/>
      <c r="B16" s="177"/>
      <c r="C16" s="177"/>
      <c r="D16" s="176"/>
      <c r="E16" s="176"/>
      <c r="F16" s="176"/>
      <c r="G16" s="176"/>
      <c r="H16" s="176"/>
      <c r="I16" s="176"/>
      <c r="J16" s="176"/>
      <c r="K16" s="176"/>
      <c r="L16" s="176"/>
      <c r="M16" s="176"/>
      <c r="N16" s="176"/>
      <c r="O16" s="176"/>
      <c r="P16" s="176"/>
      <c r="Q16" s="175"/>
    </row>
    <row r="17" spans="1:17" hidden="1">
      <c r="A17" s="179" t="s">
        <v>459</v>
      </c>
      <c r="B17" s="177"/>
      <c r="C17" s="177"/>
      <c r="D17" s="176">
        <v>70977.112999999998</v>
      </c>
      <c r="E17" s="176">
        <v>70732.137000000002</v>
      </c>
      <c r="F17" s="176">
        <v>75434.78</v>
      </c>
      <c r="G17" s="176">
        <v>83930.119000000006</v>
      </c>
      <c r="H17" s="176">
        <v>82919.672999999995</v>
      </c>
      <c r="I17" s="176">
        <v>94216.115999999995</v>
      </c>
      <c r="J17" s="176">
        <v>95495</v>
      </c>
      <c r="K17" s="176">
        <v>97640.126000000004</v>
      </c>
      <c r="L17" s="176">
        <v>97219.453999999998</v>
      </c>
      <c r="M17" s="176">
        <v>84715</v>
      </c>
      <c r="N17" s="176">
        <v>77558.36</v>
      </c>
      <c r="O17" s="176">
        <v>62338.103000000003</v>
      </c>
      <c r="P17" s="176">
        <f>SUM(D17:O17)</f>
        <v>993175.98100000003</v>
      </c>
      <c r="Q17" s="175"/>
    </row>
    <row r="18" spans="1:17" hidden="1">
      <c r="A18" s="177"/>
      <c r="B18" s="177"/>
      <c r="C18" s="177"/>
      <c r="D18" s="176"/>
      <c r="E18" s="176"/>
      <c r="F18" s="176"/>
      <c r="G18" s="176"/>
      <c r="H18" s="176"/>
      <c r="I18" s="176"/>
      <c r="J18" s="176"/>
      <c r="K18" s="176"/>
      <c r="L18" s="176"/>
      <c r="M18" s="176"/>
      <c r="N18" s="176"/>
      <c r="O18" s="176"/>
      <c r="P18" s="176"/>
      <c r="Q18" s="175"/>
    </row>
    <row r="19" spans="1:17" hidden="1">
      <c r="A19" s="180" t="s">
        <v>470</v>
      </c>
      <c r="B19" s="177"/>
      <c r="C19" s="177"/>
      <c r="D19" s="176">
        <f t="shared" ref="D19:P19" si="2">SUM(D15:D17)</f>
        <v>8470750.2469999995</v>
      </c>
      <c r="E19" s="176">
        <f t="shared" si="2"/>
        <v>7524833.6550000003</v>
      </c>
      <c r="F19" s="176">
        <f t="shared" si="2"/>
        <v>7446360.0850000009</v>
      </c>
      <c r="G19" s="176">
        <f t="shared" si="2"/>
        <v>7712149.1160000004</v>
      </c>
      <c r="H19" s="176">
        <f t="shared" si="2"/>
        <v>8420389.1520000007</v>
      </c>
      <c r="I19" s="176">
        <f t="shared" si="2"/>
        <v>9854130.9110000003</v>
      </c>
      <c r="J19" s="176">
        <f t="shared" si="2"/>
        <v>9852978.8499999996</v>
      </c>
      <c r="K19" s="176">
        <f t="shared" si="2"/>
        <v>9770558.8729999997</v>
      </c>
      <c r="L19" s="176">
        <f t="shared" si="2"/>
        <v>10336112.275</v>
      </c>
      <c r="M19" s="176">
        <f t="shared" si="2"/>
        <v>9150908</v>
      </c>
      <c r="N19" s="176">
        <f t="shared" si="2"/>
        <v>7651233.8359999992</v>
      </c>
      <c r="O19" s="176">
        <f t="shared" si="2"/>
        <v>7721578.7700000005</v>
      </c>
      <c r="P19" s="176">
        <f t="shared" si="2"/>
        <v>103911983.76999998</v>
      </c>
      <c r="Q19" s="175"/>
    </row>
    <row r="20" spans="1:17" hidden="1">
      <c r="A20" s="177"/>
      <c r="B20" s="177"/>
      <c r="C20" s="177"/>
      <c r="D20" s="176"/>
      <c r="E20" s="176"/>
      <c r="F20" s="176"/>
      <c r="G20" s="176"/>
      <c r="H20" s="176"/>
      <c r="I20" s="176"/>
      <c r="J20" s="176"/>
      <c r="K20" s="176"/>
      <c r="L20" s="176"/>
      <c r="M20" s="176"/>
      <c r="N20" s="176"/>
      <c r="O20" s="176"/>
      <c r="P20" s="176"/>
      <c r="Q20" s="175"/>
    </row>
    <row r="21" spans="1:17" hidden="1">
      <c r="A21" s="180" t="s">
        <v>469</v>
      </c>
      <c r="B21" s="177"/>
      <c r="C21" s="177"/>
      <c r="D21" s="176"/>
      <c r="E21" s="176"/>
      <c r="F21" s="176"/>
      <c r="G21" s="176"/>
      <c r="H21" s="176"/>
      <c r="I21" s="176"/>
      <c r="J21" s="176"/>
      <c r="K21" s="176"/>
      <c r="L21" s="176"/>
      <c r="M21" s="176"/>
      <c r="N21" s="176"/>
      <c r="O21" s="176"/>
      <c r="P21" s="176"/>
      <c r="Q21" s="175"/>
    </row>
    <row r="22" spans="1:17" hidden="1">
      <c r="A22" s="179" t="s">
        <v>467</v>
      </c>
      <c r="B22" s="177"/>
      <c r="C22" s="177"/>
      <c r="D22" s="181">
        <v>3995414</v>
      </c>
      <c r="E22" s="181">
        <v>4001651</v>
      </c>
      <c r="F22" s="181">
        <v>4003023</v>
      </c>
      <c r="G22" s="181">
        <v>4001785</v>
      </c>
      <c r="H22" s="181">
        <v>3996910</v>
      </c>
      <c r="I22" s="181">
        <v>3996829</v>
      </c>
      <c r="J22" s="181">
        <v>3991810</v>
      </c>
      <c r="K22" s="181">
        <v>3989187</v>
      </c>
      <c r="L22" s="181">
        <v>3985030</v>
      </c>
      <c r="M22" s="181">
        <v>3983523</v>
      </c>
      <c r="N22" s="181">
        <v>3981138</v>
      </c>
      <c r="O22" s="181">
        <v>3980785</v>
      </c>
      <c r="P22" s="176">
        <f>AVERAGE(C22:O22)</f>
        <v>3992257.0833333335</v>
      </c>
      <c r="Q22" s="175"/>
    </row>
    <row r="23" spans="1:17" hidden="1">
      <c r="A23" s="179" t="s">
        <v>466</v>
      </c>
      <c r="B23" s="177"/>
      <c r="C23" s="177"/>
      <c r="D23" s="181">
        <v>498674</v>
      </c>
      <c r="E23" s="181">
        <v>499460</v>
      </c>
      <c r="F23" s="181">
        <v>499080</v>
      </c>
      <c r="G23" s="181">
        <v>499289</v>
      </c>
      <c r="H23" s="181">
        <v>500326</v>
      </c>
      <c r="I23" s="181">
        <v>500723</v>
      </c>
      <c r="J23" s="181">
        <v>501265</v>
      </c>
      <c r="K23" s="181">
        <v>501848</v>
      </c>
      <c r="L23" s="181">
        <v>501941</v>
      </c>
      <c r="M23" s="181">
        <v>502471</v>
      </c>
      <c r="N23" s="181">
        <v>502192</v>
      </c>
      <c r="O23" s="181">
        <v>501710</v>
      </c>
      <c r="P23" s="176">
        <f>AVERAGE(D23:O23)</f>
        <v>500748.25</v>
      </c>
      <c r="Q23" s="175"/>
    </row>
    <row r="24" spans="1:17" hidden="1">
      <c r="A24" s="179" t="s">
        <v>465</v>
      </c>
      <c r="B24" s="177"/>
      <c r="C24" s="177"/>
      <c r="D24" s="181">
        <v>15142</v>
      </c>
      <c r="E24" s="181">
        <v>14695</v>
      </c>
      <c r="F24" s="181">
        <v>14221</v>
      </c>
      <c r="G24" s="181">
        <v>13923</v>
      </c>
      <c r="H24" s="181">
        <v>13597</v>
      </c>
      <c r="I24" s="181">
        <v>13372</v>
      </c>
      <c r="J24" s="181">
        <v>13155</v>
      </c>
      <c r="K24" s="181">
        <v>12920</v>
      </c>
      <c r="L24" s="181">
        <v>12797</v>
      </c>
      <c r="M24" s="181">
        <v>12548</v>
      </c>
      <c r="N24" s="181">
        <v>12249</v>
      </c>
      <c r="O24" s="181">
        <v>11902</v>
      </c>
      <c r="P24" s="176">
        <f>AVERAGE(D24:O24)</f>
        <v>13376.75</v>
      </c>
      <c r="Q24" s="189"/>
    </row>
    <row r="25" spans="1:17" hidden="1">
      <c r="A25" s="179" t="s">
        <v>464</v>
      </c>
      <c r="B25" s="177"/>
      <c r="C25" s="177"/>
      <c r="D25" s="181">
        <v>3073</v>
      </c>
      <c r="E25" s="181">
        <v>3083</v>
      </c>
      <c r="F25" s="181">
        <v>3095</v>
      </c>
      <c r="G25" s="181">
        <v>3095</v>
      </c>
      <c r="H25" s="181">
        <v>3099</v>
      </c>
      <c r="I25" s="181">
        <v>3107</v>
      </c>
      <c r="J25" s="181">
        <v>3113</v>
      </c>
      <c r="K25" s="181">
        <v>3132</v>
      </c>
      <c r="L25" s="181">
        <v>3141</v>
      </c>
      <c r="M25" s="181">
        <v>3150</v>
      </c>
      <c r="N25" s="181">
        <v>3155</v>
      </c>
      <c r="O25" s="181">
        <v>3170</v>
      </c>
      <c r="P25" s="176">
        <f>AVERAGE(D25:O25)</f>
        <v>3117.75</v>
      </c>
      <c r="Q25" s="175"/>
    </row>
    <row r="26" spans="1:17" hidden="1">
      <c r="A26" s="179" t="s">
        <v>463</v>
      </c>
      <c r="B26" s="177"/>
      <c r="C26" s="177"/>
      <c r="D26" s="181">
        <v>207</v>
      </c>
      <c r="E26" s="181">
        <v>207</v>
      </c>
      <c r="F26" s="181">
        <v>206</v>
      </c>
      <c r="G26" s="181">
        <v>205</v>
      </c>
      <c r="H26" s="181">
        <v>205</v>
      </c>
      <c r="I26" s="181">
        <v>204</v>
      </c>
      <c r="J26" s="181">
        <v>204</v>
      </c>
      <c r="K26" s="181">
        <v>204</v>
      </c>
      <c r="L26" s="181">
        <v>201</v>
      </c>
      <c r="M26" s="181">
        <v>199</v>
      </c>
      <c r="N26" s="181">
        <v>199</v>
      </c>
      <c r="O26" s="181">
        <v>199</v>
      </c>
      <c r="P26" s="176">
        <f>AVERAGE(D26:O26)</f>
        <v>203.33333333333334</v>
      </c>
      <c r="Q26" s="175"/>
    </row>
    <row r="27" spans="1:17" hidden="1">
      <c r="A27" s="179" t="s">
        <v>462</v>
      </c>
      <c r="B27" s="177"/>
      <c r="C27" s="177"/>
      <c r="D27" s="181">
        <v>23</v>
      </c>
      <c r="E27" s="181">
        <v>23</v>
      </c>
      <c r="F27" s="181">
        <v>23</v>
      </c>
      <c r="G27" s="181">
        <v>23</v>
      </c>
      <c r="H27" s="181">
        <v>23</v>
      </c>
      <c r="I27" s="181">
        <v>23</v>
      </c>
      <c r="J27" s="181">
        <v>23</v>
      </c>
      <c r="K27" s="181">
        <v>23</v>
      </c>
      <c r="L27" s="181">
        <v>23</v>
      </c>
      <c r="M27" s="181">
        <v>23</v>
      </c>
      <c r="N27" s="181">
        <v>23</v>
      </c>
      <c r="O27" s="181">
        <v>23</v>
      </c>
      <c r="P27" s="176">
        <f>AVERAGE(D27:O27)</f>
        <v>23</v>
      </c>
      <c r="Q27" s="175"/>
    </row>
    <row r="28" spans="1:17" hidden="1">
      <c r="A28" s="179"/>
      <c r="B28" s="177"/>
      <c r="C28" s="177"/>
      <c r="D28" s="176"/>
      <c r="E28" s="176"/>
      <c r="F28" s="176"/>
      <c r="G28" s="176"/>
      <c r="H28" s="176"/>
      <c r="I28" s="176"/>
      <c r="J28" s="176"/>
      <c r="K28" s="176"/>
      <c r="L28" s="176"/>
      <c r="M28" s="176"/>
      <c r="N28" s="176"/>
      <c r="O28" s="176"/>
      <c r="P28" s="176"/>
      <c r="Q28" s="175"/>
    </row>
    <row r="29" spans="1:17" hidden="1">
      <c r="A29" s="180" t="s">
        <v>461</v>
      </c>
      <c r="B29" s="177"/>
      <c r="C29" s="177"/>
      <c r="D29" s="176"/>
      <c r="E29" s="176"/>
      <c r="F29" s="176"/>
      <c r="G29" s="176"/>
      <c r="H29" s="176"/>
      <c r="I29" s="176"/>
      <c r="J29" s="176"/>
      <c r="K29" s="176"/>
      <c r="L29" s="176"/>
      <c r="M29" s="176"/>
      <c r="N29" s="176"/>
      <c r="O29" s="176"/>
      <c r="P29" s="176"/>
      <c r="Q29" s="175"/>
    </row>
    <row r="30" spans="1:17" hidden="1">
      <c r="A30" s="180" t="s">
        <v>469</v>
      </c>
      <c r="B30" s="177"/>
      <c r="C30" s="177"/>
      <c r="D30" s="176">
        <f t="shared" ref="D30:O30" si="3">SUM(D22:D29)</f>
        <v>4512533</v>
      </c>
      <c r="E30" s="176">
        <f t="shared" si="3"/>
        <v>4519119</v>
      </c>
      <c r="F30" s="176">
        <f t="shared" si="3"/>
        <v>4519648</v>
      </c>
      <c r="G30" s="176">
        <f t="shared" si="3"/>
        <v>4518320</v>
      </c>
      <c r="H30" s="176">
        <f t="shared" si="3"/>
        <v>4514160</v>
      </c>
      <c r="I30" s="176">
        <f t="shared" si="3"/>
        <v>4514258</v>
      </c>
      <c r="J30" s="176">
        <f t="shared" si="3"/>
        <v>4509570</v>
      </c>
      <c r="K30" s="176">
        <f t="shared" si="3"/>
        <v>4507314</v>
      </c>
      <c r="L30" s="176">
        <f t="shared" si="3"/>
        <v>4503133</v>
      </c>
      <c r="M30" s="176">
        <f t="shared" si="3"/>
        <v>4501914</v>
      </c>
      <c r="N30" s="176">
        <f t="shared" si="3"/>
        <v>4498956</v>
      </c>
      <c r="O30" s="176">
        <f t="shared" si="3"/>
        <v>4497789</v>
      </c>
      <c r="P30" s="176">
        <f>AVERAGE(D30:O30)</f>
        <v>4509726.166666667</v>
      </c>
      <c r="Q30" s="175"/>
    </row>
    <row r="31" spans="1:17" hidden="1">
      <c r="A31" s="180"/>
      <c r="B31" s="177"/>
      <c r="C31" s="177"/>
      <c r="D31" s="176"/>
      <c r="E31" s="176"/>
      <c r="F31" s="176"/>
      <c r="G31" s="176"/>
      <c r="H31" s="176"/>
      <c r="I31" s="176"/>
      <c r="J31" s="176"/>
      <c r="K31" s="176"/>
      <c r="L31" s="176"/>
      <c r="M31" s="176"/>
      <c r="N31" s="176"/>
      <c r="O31" s="176"/>
      <c r="P31" s="176"/>
      <c r="Q31" s="175"/>
    </row>
    <row r="32" spans="1:17" hidden="1">
      <c r="A32" s="179" t="s">
        <v>459</v>
      </c>
      <c r="B32" s="177"/>
      <c r="C32" s="177"/>
      <c r="D32" s="181">
        <v>4</v>
      </c>
      <c r="E32" s="181">
        <v>4</v>
      </c>
      <c r="F32" s="181">
        <v>4</v>
      </c>
      <c r="G32" s="181">
        <v>4</v>
      </c>
      <c r="H32" s="181">
        <v>4</v>
      </c>
      <c r="I32" s="181">
        <v>4</v>
      </c>
      <c r="J32" s="181">
        <v>4</v>
      </c>
      <c r="K32" s="181">
        <v>4</v>
      </c>
      <c r="L32" s="181">
        <v>4</v>
      </c>
      <c r="M32" s="181">
        <v>4</v>
      </c>
      <c r="N32" s="181">
        <v>4</v>
      </c>
      <c r="O32" s="181">
        <v>4</v>
      </c>
      <c r="P32" s="176">
        <f>AVERAGE(D32:O32)</f>
        <v>4</v>
      </c>
      <c r="Q32" s="175"/>
    </row>
    <row r="33" spans="1:17" hidden="1">
      <c r="A33" s="177"/>
      <c r="B33" s="177"/>
      <c r="C33" s="177"/>
      <c r="D33" s="176"/>
      <c r="E33" s="176"/>
      <c r="F33" s="176"/>
      <c r="G33" s="176"/>
      <c r="H33" s="176"/>
      <c r="I33" s="176"/>
      <c r="J33" s="176"/>
      <c r="K33" s="176"/>
      <c r="L33" s="176"/>
      <c r="M33" s="176"/>
      <c r="N33" s="176"/>
      <c r="O33" s="176"/>
      <c r="P33" s="176"/>
      <c r="Q33" s="175"/>
    </row>
    <row r="34" spans="1:17" hidden="1">
      <c r="A34" s="178" t="s">
        <v>468</v>
      </c>
      <c r="B34" s="177"/>
      <c r="C34" s="177"/>
      <c r="D34" s="176">
        <f t="shared" ref="D34:P34" si="4">SUM(D30:D32)</f>
        <v>4512537</v>
      </c>
      <c r="E34" s="176">
        <f t="shared" si="4"/>
        <v>4519123</v>
      </c>
      <c r="F34" s="176">
        <f t="shared" si="4"/>
        <v>4519652</v>
      </c>
      <c r="G34" s="176">
        <f t="shared" si="4"/>
        <v>4518324</v>
      </c>
      <c r="H34" s="176">
        <f t="shared" si="4"/>
        <v>4514164</v>
      </c>
      <c r="I34" s="176">
        <f t="shared" si="4"/>
        <v>4514262</v>
      </c>
      <c r="J34" s="176">
        <f t="shared" si="4"/>
        <v>4509574</v>
      </c>
      <c r="K34" s="176">
        <f t="shared" si="4"/>
        <v>4507318</v>
      </c>
      <c r="L34" s="176">
        <f t="shared" si="4"/>
        <v>4503137</v>
      </c>
      <c r="M34" s="176">
        <f t="shared" si="4"/>
        <v>4501918</v>
      </c>
      <c r="N34" s="176">
        <f t="shared" si="4"/>
        <v>4498960</v>
      </c>
      <c r="O34" s="176">
        <f t="shared" si="4"/>
        <v>4497793</v>
      </c>
      <c r="P34" s="176">
        <f t="shared" si="4"/>
        <v>4509730.166666667</v>
      </c>
      <c r="Q34" s="175"/>
    </row>
    <row r="35" spans="1:17" hidden="1">
      <c r="A35" s="177"/>
      <c r="B35" s="177"/>
      <c r="C35" s="177"/>
      <c r="D35" s="176"/>
      <c r="E35" s="176"/>
      <c r="F35" s="176"/>
      <c r="G35" s="176"/>
      <c r="H35" s="176"/>
      <c r="I35" s="176"/>
      <c r="J35" s="176"/>
      <c r="K35" s="176"/>
      <c r="L35" s="176"/>
      <c r="M35" s="176"/>
      <c r="N35" s="176"/>
      <c r="O35" s="176"/>
      <c r="P35" s="176"/>
      <c r="Q35" s="175"/>
    </row>
    <row r="36" spans="1:17" hidden="1">
      <c r="A36" s="180" t="s">
        <v>460</v>
      </c>
      <c r="B36" s="177"/>
      <c r="C36" s="177"/>
      <c r="D36" s="176"/>
      <c r="E36" s="176"/>
      <c r="F36" s="176"/>
      <c r="G36" s="176"/>
      <c r="H36" s="176"/>
      <c r="I36" s="176"/>
      <c r="J36" s="176"/>
      <c r="K36" s="176"/>
      <c r="L36" s="176"/>
      <c r="M36" s="176"/>
      <c r="N36" s="176"/>
      <c r="O36" s="176"/>
      <c r="P36" s="176"/>
      <c r="Q36" s="175"/>
    </row>
    <row r="37" spans="1:17" hidden="1">
      <c r="A37" s="179" t="s">
        <v>467</v>
      </c>
      <c r="B37" s="177"/>
      <c r="C37" s="177"/>
      <c r="D37" s="176">
        <f t="shared" ref="D37:P37" si="5">(D7/D22)*1000</f>
        <v>1059.7318683370484</v>
      </c>
      <c r="E37" s="176">
        <f t="shared" si="5"/>
        <v>900.68276393918416</v>
      </c>
      <c r="F37" s="176">
        <f t="shared" si="5"/>
        <v>898.95265328228197</v>
      </c>
      <c r="G37" s="176">
        <f t="shared" si="5"/>
        <v>944.39022086393959</v>
      </c>
      <c r="H37" s="176">
        <f t="shared" si="5"/>
        <v>1071.6414707861823</v>
      </c>
      <c r="I37" s="176">
        <f t="shared" si="5"/>
        <v>1321.7490260403933</v>
      </c>
      <c r="J37" s="176">
        <f t="shared" si="5"/>
        <v>1328.1934761424016</v>
      </c>
      <c r="K37" s="176">
        <f t="shared" si="5"/>
        <v>1336.4804921403784</v>
      </c>
      <c r="L37" s="176">
        <f t="shared" si="5"/>
        <v>1413.3225476345224</v>
      </c>
      <c r="M37" s="176">
        <f t="shared" si="5"/>
        <v>1206.2199716180878</v>
      </c>
      <c r="N37" s="176">
        <f t="shared" si="5"/>
        <v>922.56320755522665</v>
      </c>
      <c r="O37" s="176">
        <f t="shared" si="5"/>
        <v>930.30377651644096</v>
      </c>
      <c r="P37" s="176">
        <f t="shared" si="5"/>
        <v>13333.012817039482</v>
      </c>
      <c r="Q37" s="175"/>
    </row>
    <row r="38" spans="1:17" hidden="1">
      <c r="A38" s="179" t="s">
        <v>466</v>
      </c>
      <c r="B38" s="177"/>
      <c r="C38" s="177"/>
      <c r="D38" s="176">
        <f t="shared" ref="D38:P38" si="6">(D8/D23)*1000</f>
        <v>7587.0190164315745</v>
      </c>
      <c r="E38" s="176">
        <f t="shared" si="6"/>
        <v>6990.1573399271219</v>
      </c>
      <c r="F38" s="176">
        <f t="shared" si="6"/>
        <v>6897.9025286527212</v>
      </c>
      <c r="G38" s="176">
        <f t="shared" si="6"/>
        <v>7029.5375944593216</v>
      </c>
      <c r="H38" s="176">
        <f t="shared" si="6"/>
        <v>7429.5358646162704</v>
      </c>
      <c r="I38" s="176">
        <f t="shared" si="6"/>
        <v>8204.6462694943111</v>
      </c>
      <c r="J38" s="176">
        <f t="shared" si="6"/>
        <v>8185.516642893479</v>
      </c>
      <c r="K38" s="176">
        <f t="shared" si="6"/>
        <v>8003.530481340963</v>
      </c>
      <c r="L38" s="176">
        <f t="shared" si="6"/>
        <v>8489.1865458290922</v>
      </c>
      <c r="M38" s="176">
        <f t="shared" si="6"/>
        <v>7813.4817730774512</v>
      </c>
      <c r="N38" s="176">
        <f t="shared" si="6"/>
        <v>7129.399576257686</v>
      </c>
      <c r="O38" s="176">
        <f t="shared" si="6"/>
        <v>7218.7919754439827</v>
      </c>
      <c r="P38" s="176">
        <f t="shared" si="6"/>
        <v>90986.696916065121</v>
      </c>
      <c r="Q38" s="175"/>
    </row>
    <row r="39" spans="1:17" hidden="1">
      <c r="A39" s="179" t="s">
        <v>465</v>
      </c>
      <c r="B39" s="177"/>
      <c r="C39" s="177"/>
      <c r="D39" s="176">
        <f t="shared" ref="D39:P39" si="7">(D9/D24)*1000</f>
        <v>21981.116629243166</v>
      </c>
      <c r="E39" s="176">
        <f t="shared" si="7"/>
        <v>21582.287376658729</v>
      </c>
      <c r="F39" s="176">
        <f t="shared" si="7"/>
        <v>19890.062302229097</v>
      </c>
      <c r="G39" s="176">
        <f t="shared" si="7"/>
        <v>21289.107304460249</v>
      </c>
      <c r="H39" s="176">
        <f t="shared" si="7"/>
        <v>21530.921894535561</v>
      </c>
      <c r="I39" s="176">
        <f t="shared" si="7"/>
        <v>24155.756880047858</v>
      </c>
      <c r="J39" s="176">
        <f t="shared" si="7"/>
        <v>23435.195743063476</v>
      </c>
      <c r="K39" s="176">
        <f t="shared" si="7"/>
        <v>21705.073142414862</v>
      </c>
      <c r="L39" s="176">
        <f t="shared" si="7"/>
        <v>23514.561850433693</v>
      </c>
      <c r="M39" s="176">
        <f t="shared" si="7"/>
        <v>22961.746891934967</v>
      </c>
      <c r="N39" s="176">
        <f t="shared" si="7"/>
        <v>22477.802759408929</v>
      </c>
      <c r="O39" s="176">
        <f t="shared" si="7"/>
        <v>24290.78255755335</v>
      </c>
      <c r="P39" s="176">
        <f t="shared" si="7"/>
        <v>268168.29327003943</v>
      </c>
      <c r="Q39" s="189"/>
    </row>
    <row r="40" spans="1:17" hidden="1">
      <c r="A40" s="179" t="s">
        <v>464</v>
      </c>
      <c r="B40" s="177"/>
      <c r="C40" s="177"/>
      <c r="D40" s="176">
        <f t="shared" ref="D40:P40" si="8">(D10/D25)*1000</f>
        <v>11750.908232997073</v>
      </c>
      <c r="E40" s="176">
        <f t="shared" si="8"/>
        <v>10122.170937398638</v>
      </c>
      <c r="F40" s="176">
        <f t="shared" si="8"/>
        <v>11965.591599353796</v>
      </c>
      <c r="G40" s="176">
        <f t="shared" si="8"/>
        <v>10528.09337641357</v>
      </c>
      <c r="H40" s="176">
        <f t="shared" si="8"/>
        <v>11100.179412713778</v>
      </c>
      <c r="I40" s="176">
        <f t="shared" si="8"/>
        <v>11480.415513356935</v>
      </c>
      <c r="J40" s="176">
        <f t="shared" si="8"/>
        <v>11125.281079344682</v>
      </c>
      <c r="K40" s="176">
        <f t="shared" si="8"/>
        <v>11325.578544061304</v>
      </c>
      <c r="L40" s="176">
        <f t="shared" si="8"/>
        <v>11285.873288761541</v>
      </c>
      <c r="M40" s="176">
        <f t="shared" si="8"/>
        <v>12028.253968253968</v>
      </c>
      <c r="N40" s="176">
        <f t="shared" si="8"/>
        <v>11459.900792393026</v>
      </c>
      <c r="O40" s="176">
        <f t="shared" si="8"/>
        <v>11435.840694006311</v>
      </c>
      <c r="P40" s="176">
        <f t="shared" si="8"/>
        <v>135628.09654398204</v>
      </c>
      <c r="Q40" s="175"/>
    </row>
    <row r="41" spans="1:17" hidden="1">
      <c r="A41" s="179" t="s">
        <v>463</v>
      </c>
      <c r="B41" s="177"/>
      <c r="C41" s="177"/>
      <c r="D41" s="176">
        <f t="shared" ref="D41:P41" si="9">(D11/D26)*1000</f>
        <v>27779.280193236711</v>
      </c>
      <c r="E41" s="176">
        <f t="shared" si="9"/>
        <v>17035.1884057971</v>
      </c>
      <c r="F41" s="176">
        <f t="shared" si="9"/>
        <v>17484.864077669903</v>
      </c>
      <c r="G41" s="176">
        <f t="shared" si="9"/>
        <v>17061.663414634142</v>
      </c>
      <c r="H41" s="176">
        <f t="shared" si="9"/>
        <v>17008.078048780488</v>
      </c>
      <c r="I41" s="176">
        <f t="shared" si="9"/>
        <v>16382.750000000002</v>
      </c>
      <c r="J41" s="176">
        <f t="shared" si="9"/>
        <v>11735.294117647058</v>
      </c>
      <c r="K41" s="176">
        <f t="shared" si="9"/>
        <v>10928.774509803921</v>
      </c>
      <c r="L41" s="176">
        <f t="shared" si="9"/>
        <v>12247.308457711444</v>
      </c>
      <c r="M41" s="176">
        <f t="shared" si="9"/>
        <v>12386.934673366834</v>
      </c>
      <c r="N41" s="176">
        <f t="shared" si="9"/>
        <v>11458.331658291456</v>
      </c>
      <c r="O41" s="176">
        <f t="shared" si="9"/>
        <v>11852.346733668342</v>
      </c>
      <c r="P41" s="176">
        <f t="shared" si="9"/>
        <v>183904.22459016391</v>
      </c>
      <c r="Q41" s="175"/>
    </row>
    <row r="42" spans="1:17" hidden="1">
      <c r="A42" s="179" t="s">
        <v>462</v>
      </c>
      <c r="B42" s="177"/>
      <c r="C42" s="177"/>
      <c r="D42" s="176">
        <f t="shared" ref="D42:P42" si="10">(D12/D27)*1000</f>
        <v>328589.13043478259</v>
      </c>
      <c r="E42" s="176">
        <f t="shared" si="10"/>
        <v>291078.26086956519</v>
      </c>
      <c r="F42" s="176">
        <f t="shared" si="10"/>
        <v>273913.04347826086</v>
      </c>
      <c r="G42" s="176">
        <f t="shared" si="10"/>
        <v>291793.47826086957</v>
      </c>
      <c r="H42" s="176">
        <f t="shared" si="10"/>
        <v>277519.5652173913</v>
      </c>
      <c r="I42" s="176">
        <f t="shared" si="10"/>
        <v>297058.69565217395</v>
      </c>
      <c r="J42" s="176">
        <f t="shared" si="10"/>
        <v>311210.86956521741</v>
      </c>
      <c r="K42" s="176">
        <f t="shared" si="10"/>
        <v>293984.78260869562</v>
      </c>
      <c r="L42" s="176">
        <f t="shared" si="10"/>
        <v>298382.60869565222</v>
      </c>
      <c r="M42" s="176">
        <f t="shared" si="10"/>
        <v>289652.17391304352</v>
      </c>
      <c r="N42" s="176">
        <f t="shared" si="10"/>
        <v>292600</v>
      </c>
      <c r="O42" s="176">
        <f t="shared" si="10"/>
        <v>280091.30434782611</v>
      </c>
      <c r="P42" s="176">
        <f t="shared" si="10"/>
        <v>3525873.9130434785</v>
      </c>
      <c r="Q42" s="175"/>
    </row>
    <row r="43" spans="1:17" hidden="1">
      <c r="A43" s="179"/>
      <c r="B43" s="177"/>
      <c r="C43" s="177"/>
      <c r="D43" s="176"/>
      <c r="E43" s="176"/>
      <c r="F43" s="176"/>
      <c r="G43" s="176"/>
      <c r="H43" s="176"/>
      <c r="I43" s="176"/>
      <c r="J43" s="176"/>
      <c r="K43" s="176"/>
      <c r="L43" s="176"/>
      <c r="M43" s="176"/>
      <c r="N43" s="176"/>
      <c r="O43" s="176"/>
      <c r="P43" s="176"/>
      <c r="Q43" s="175"/>
    </row>
    <row r="44" spans="1:17" hidden="1">
      <c r="A44" s="180" t="s">
        <v>461</v>
      </c>
      <c r="B44" s="177"/>
      <c r="C44" s="177"/>
      <c r="D44" s="176"/>
      <c r="E44" s="176"/>
      <c r="F44" s="176"/>
      <c r="G44" s="176"/>
      <c r="H44" s="176"/>
      <c r="I44" s="176"/>
      <c r="J44" s="176"/>
      <c r="K44" s="176"/>
      <c r="L44" s="176"/>
      <c r="M44" s="176"/>
      <c r="N44" s="176"/>
      <c r="O44" s="176"/>
      <c r="P44" s="176"/>
      <c r="Q44" s="175"/>
    </row>
    <row r="45" spans="1:17" hidden="1">
      <c r="A45" s="180" t="s">
        <v>460</v>
      </c>
      <c r="B45" s="177"/>
      <c r="C45" s="177"/>
      <c r="D45" s="176">
        <f t="shared" ref="D45:P45" si="11">(D15/D30)*1000</f>
        <v>1861.4319571734986</v>
      </c>
      <c r="E45" s="176">
        <f t="shared" si="11"/>
        <v>1649.4590025179687</v>
      </c>
      <c r="F45" s="176">
        <f t="shared" si="11"/>
        <v>1630.8626921831083</v>
      </c>
      <c r="G45" s="176">
        <f t="shared" si="11"/>
        <v>1688.2865748773881</v>
      </c>
      <c r="H45" s="176">
        <f t="shared" si="11"/>
        <v>1846.959230288692</v>
      </c>
      <c r="I45" s="176">
        <f t="shared" si="11"/>
        <v>2162.0197150893905</v>
      </c>
      <c r="J45" s="176">
        <f t="shared" si="11"/>
        <v>2163.7282157722357</v>
      </c>
      <c r="K45" s="176">
        <f t="shared" si="11"/>
        <v>2146.0494536213805</v>
      </c>
      <c r="L45" s="176">
        <f t="shared" si="11"/>
        <v>2273.7264968634058</v>
      </c>
      <c r="M45" s="176">
        <f t="shared" si="11"/>
        <v>2013.8529967476059</v>
      </c>
      <c r="N45" s="176">
        <f t="shared" si="11"/>
        <v>1683.4295503223411</v>
      </c>
      <c r="O45" s="176">
        <f t="shared" si="11"/>
        <v>1702.8901682582264</v>
      </c>
      <c r="P45" s="176">
        <f t="shared" si="11"/>
        <v>22821.520417296579</v>
      </c>
      <c r="Q45" s="175"/>
    </row>
    <row r="46" spans="1:17" hidden="1">
      <c r="A46" s="180"/>
      <c r="B46" s="177"/>
      <c r="C46" s="177"/>
      <c r="D46" s="176"/>
      <c r="E46" s="176"/>
      <c r="F46" s="176"/>
      <c r="G46" s="176"/>
      <c r="H46" s="176"/>
      <c r="I46" s="176"/>
      <c r="J46" s="176"/>
      <c r="K46" s="176"/>
      <c r="L46" s="176"/>
      <c r="M46" s="176"/>
      <c r="N46" s="176"/>
      <c r="O46" s="176"/>
      <c r="P46" s="176"/>
      <c r="Q46" s="175"/>
    </row>
    <row r="47" spans="1:17" hidden="1">
      <c r="A47" s="179" t="s">
        <v>459</v>
      </c>
      <c r="B47" s="177"/>
      <c r="C47" s="177"/>
      <c r="D47" s="176">
        <f t="shared" ref="D47:P47" si="12">(D17/D32)*1000</f>
        <v>17744278.25</v>
      </c>
      <c r="E47" s="176">
        <f t="shared" si="12"/>
        <v>17683034.25</v>
      </c>
      <c r="F47" s="176">
        <f t="shared" si="12"/>
        <v>18858695</v>
      </c>
      <c r="G47" s="176">
        <f t="shared" si="12"/>
        <v>20982529.75</v>
      </c>
      <c r="H47" s="176">
        <f t="shared" si="12"/>
        <v>20729918.25</v>
      </c>
      <c r="I47" s="176">
        <f t="shared" si="12"/>
        <v>23554029</v>
      </c>
      <c r="J47" s="176">
        <f t="shared" si="12"/>
        <v>23873750</v>
      </c>
      <c r="K47" s="176">
        <f t="shared" si="12"/>
        <v>24410031.5</v>
      </c>
      <c r="L47" s="176">
        <f t="shared" si="12"/>
        <v>24304863.5</v>
      </c>
      <c r="M47" s="176">
        <f t="shared" si="12"/>
        <v>21178750</v>
      </c>
      <c r="N47" s="176">
        <f t="shared" si="12"/>
        <v>19389590</v>
      </c>
      <c r="O47" s="176">
        <f t="shared" si="12"/>
        <v>15584525.75</v>
      </c>
      <c r="P47" s="176">
        <f t="shared" si="12"/>
        <v>248293995.25</v>
      </c>
      <c r="Q47" s="175"/>
    </row>
    <row r="48" spans="1:17" hidden="1">
      <c r="A48" s="177"/>
      <c r="B48" s="177"/>
      <c r="C48" s="177"/>
      <c r="D48" s="176"/>
      <c r="E48" s="176"/>
      <c r="F48" s="176"/>
      <c r="G48" s="176"/>
      <c r="H48" s="176"/>
      <c r="I48" s="176"/>
      <c r="J48" s="176"/>
      <c r="K48" s="176"/>
      <c r="L48" s="176"/>
      <c r="M48" s="176"/>
      <c r="N48" s="176"/>
      <c r="O48" s="176"/>
      <c r="P48" s="176"/>
      <c r="Q48" s="175"/>
    </row>
    <row r="49" spans="1:18" hidden="1">
      <c r="A49" s="178" t="s">
        <v>458</v>
      </c>
      <c r="B49" s="177"/>
      <c r="C49" s="177"/>
      <c r="D49" s="176">
        <f t="shared" ref="D49:P49" si="13">(D19/D34)*1000</f>
        <v>1877.1591783070144</v>
      </c>
      <c r="E49" s="176">
        <f t="shared" si="13"/>
        <v>1665.1092822656078</v>
      </c>
      <c r="F49" s="176">
        <f t="shared" si="13"/>
        <v>1647.5516444628925</v>
      </c>
      <c r="G49" s="176">
        <f t="shared" si="13"/>
        <v>1706.8605783914568</v>
      </c>
      <c r="H49" s="176">
        <f t="shared" si="13"/>
        <v>1865.3263709515206</v>
      </c>
      <c r="I49" s="176">
        <f t="shared" si="13"/>
        <v>2182.8885676108303</v>
      </c>
      <c r="J49" s="176">
        <f t="shared" si="13"/>
        <v>2184.9023544130778</v>
      </c>
      <c r="K49" s="176">
        <f t="shared" si="13"/>
        <v>2167.7101267316839</v>
      </c>
      <c r="L49" s="176">
        <f t="shared" si="13"/>
        <v>2295.313750170159</v>
      </c>
      <c r="M49" s="176">
        <f t="shared" si="13"/>
        <v>2032.6687425226314</v>
      </c>
      <c r="N49" s="176">
        <f t="shared" si="13"/>
        <v>1700.667228870672</v>
      </c>
      <c r="O49" s="176">
        <f t="shared" si="13"/>
        <v>1716.748363030491</v>
      </c>
      <c r="P49" s="176">
        <f t="shared" si="13"/>
        <v>23041.729755375971</v>
      </c>
      <c r="Q49" s="175"/>
    </row>
    <row r="50" spans="1:18" hidden="1"/>
    <row r="51" spans="1:18" hidden="1">
      <c r="A51" s="185" t="s">
        <v>481</v>
      </c>
      <c r="B51" s="184"/>
      <c r="C51" s="184"/>
      <c r="D51" s="183"/>
      <c r="E51" s="183"/>
      <c r="F51" s="183"/>
      <c r="G51" s="183"/>
      <c r="H51" s="183"/>
      <c r="I51" s="183"/>
      <c r="J51" s="184"/>
      <c r="K51" s="183"/>
      <c r="L51" s="183"/>
      <c r="M51" s="183"/>
      <c r="N51" s="183"/>
      <c r="O51" s="183"/>
      <c r="P51" s="183"/>
      <c r="Q51" s="175"/>
    </row>
    <row r="52" spans="1:18" hidden="1">
      <c r="A52" s="185" t="s">
        <v>474</v>
      </c>
      <c r="B52" s="184"/>
      <c r="C52" s="184"/>
      <c r="D52" s="183"/>
      <c r="E52" s="183"/>
      <c r="F52" s="183"/>
      <c r="G52" s="183"/>
      <c r="H52" s="183"/>
      <c r="I52" s="184"/>
      <c r="J52" s="183"/>
      <c r="K52" s="183"/>
      <c r="L52" s="183"/>
      <c r="M52" s="183"/>
      <c r="N52" s="183"/>
      <c r="O52" s="183"/>
      <c r="P52" s="183"/>
      <c r="Q52" s="182">
        <f>Q2</f>
        <v>40269</v>
      </c>
    </row>
    <row r="53" spans="1:18" hidden="1">
      <c r="A53" s="185" t="s">
        <v>473</v>
      </c>
      <c r="B53" s="184"/>
      <c r="C53" s="184"/>
      <c r="D53" s="183"/>
      <c r="E53" s="183"/>
      <c r="F53" s="183"/>
      <c r="G53" s="183"/>
      <c r="H53" s="183"/>
      <c r="I53" s="184"/>
      <c r="J53" s="183"/>
      <c r="K53" s="183"/>
      <c r="L53" s="183"/>
      <c r="M53" s="183"/>
      <c r="N53" s="183"/>
      <c r="O53" s="183"/>
      <c r="P53" s="183"/>
      <c r="Q53" s="182"/>
    </row>
    <row r="54" spans="1:18" hidden="1">
      <c r="A54" s="177"/>
      <c r="B54" s="177"/>
      <c r="C54" s="177"/>
      <c r="D54" s="176"/>
      <c r="E54" s="176"/>
      <c r="F54" s="176"/>
      <c r="G54" s="176"/>
      <c r="H54" s="176"/>
      <c r="I54" s="176"/>
      <c r="J54" s="176"/>
      <c r="K54" s="176"/>
      <c r="L54" s="176"/>
      <c r="M54" s="176"/>
      <c r="N54" s="176"/>
      <c r="O54" s="176"/>
      <c r="P54" s="176"/>
      <c r="Q54" s="175"/>
    </row>
    <row r="55" spans="1:18" hidden="1">
      <c r="A55" s="177"/>
      <c r="B55" s="177"/>
      <c r="C55" s="177"/>
      <c r="D55" s="139" t="s">
        <v>413</v>
      </c>
      <c r="E55" s="139" t="s">
        <v>412</v>
      </c>
      <c r="F55" s="139" t="s">
        <v>411</v>
      </c>
      <c r="G55" s="139" t="s">
        <v>410</v>
      </c>
      <c r="H55" s="139" t="s">
        <v>409</v>
      </c>
      <c r="I55" s="139" t="s">
        <v>408</v>
      </c>
      <c r="J55" s="139" t="s">
        <v>407</v>
      </c>
      <c r="K55" s="139" t="s">
        <v>406</v>
      </c>
      <c r="L55" s="139" t="s">
        <v>405</v>
      </c>
      <c r="M55" s="139" t="s">
        <v>404</v>
      </c>
      <c r="N55" s="139" t="s">
        <v>403</v>
      </c>
      <c r="O55" s="139" t="s">
        <v>402</v>
      </c>
      <c r="P55" s="139" t="s">
        <v>93</v>
      </c>
      <c r="Q55" s="175"/>
    </row>
    <row r="56" spans="1:18" hidden="1">
      <c r="A56" s="180" t="s">
        <v>472</v>
      </c>
      <c r="B56" s="177"/>
      <c r="C56" s="177"/>
      <c r="D56" s="176"/>
      <c r="E56" s="176"/>
      <c r="F56" s="176"/>
      <c r="G56" s="176"/>
      <c r="H56" s="176"/>
      <c r="I56" s="176"/>
      <c r="J56" s="176"/>
      <c r="K56" s="176"/>
      <c r="L56" s="176"/>
      <c r="M56" s="176"/>
      <c r="N56" s="176"/>
      <c r="O56" s="176"/>
      <c r="P56" s="176"/>
      <c r="Q56" s="175"/>
    </row>
    <row r="57" spans="1:18" hidden="1">
      <c r="A57" s="179" t="s">
        <v>467</v>
      </c>
      <c r="B57" s="177"/>
      <c r="C57" s="177"/>
      <c r="D57" s="176">
        <v>3931714.5269999998</v>
      </c>
      <c r="E57" s="176">
        <v>3843118.9</v>
      </c>
      <c r="F57" s="176">
        <v>3354308.1660000002</v>
      </c>
      <c r="G57" s="176">
        <v>3695347.1120000002</v>
      </c>
      <c r="H57" s="176">
        <v>4232803.7760000005</v>
      </c>
      <c r="I57" s="176">
        <v>4857369.0460000001</v>
      </c>
      <c r="J57" s="176">
        <v>5575985.6209999993</v>
      </c>
      <c r="K57" s="176">
        <v>5525885.1899999995</v>
      </c>
      <c r="L57" s="176">
        <v>5490522.1780000003</v>
      </c>
      <c r="M57" s="176">
        <v>5140396.8150000004</v>
      </c>
      <c r="N57" s="176">
        <v>4356808.5319999997</v>
      </c>
      <c r="O57" s="176">
        <v>3945267.9760000003</v>
      </c>
      <c r="P57" s="176">
        <f t="shared" ref="P57:P62" si="14">SUM(D57:O57)</f>
        <v>53949527.839000002</v>
      </c>
      <c r="Q57" s="175"/>
      <c r="R57" s="186">
        <f t="shared" ref="R57:R62" si="15">P57/P7-1</f>
        <v>1.3539902774128088E-2</v>
      </c>
    </row>
    <row r="58" spans="1:18" hidden="1">
      <c r="A58" s="179" t="s">
        <v>466</v>
      </c>
      <c r="B58" s="177"/>
      <c r="C58" s="177"/>
      <c r="D58" s="176">
        <v>3616795.4580000001</v>
      </c>
      <c r="E58" s="176">
        <v>3244004.1589999995</v>
      </c>
      <c r="F58" s="176">
        <v>3225893.5020000003</v>
      </c>
      <c r="G58" s="176">
        <v>3434498.5440000002</v>
      </c>
      <c r="H58" s="176">
        <v>3668648.872</v>
      </c>
      <c r="I58" s="176">
        <v>3921149.5989999995</v>
      </c>
      <c r="J58" s="176">
        <v>4116634.5729999999</v>
      </c>
      <c r="K58" s="176">
        <v>4037452.7439999999</v>
      </c>
      <c r="L58" s="176">
        <v>4187546.25</v>
      </c>
      <c r="M58" s="176">
        <v>4035129.7820000001</v>
      </c>
      <c r="N58" s="176">
        <v>3776580.5959999999</v>
      </c>
      <c r="O58" s="176">
        <v>3760378.7629999998</v>
      </c>
      <c r="P58" s="176">
        <f t="shared" si="14"/>
        <v>45024712.841999993</v>
      </c>
      <c r="Q58" s="175"/>
      <c r="R58" s="186">
        <f t="shared" si="15"/>
        <v>-1.178006091529471E-2</v>
      </c>
    </row>
    <row r="59" spans="1:18" hidden="1">
      <c r="A59" s="179" t="s">
        <v>465</v>
      </c>
      <c r="B59" s="177"/>
      <c r="C59" s="177"/>
      <c r="D59" s="176">
        <v>289843.82200000004</v>
      </c>
      <c r="E59" s="176">
        <v>271299.56100000005</v>
      </c>
      <c r="F59" s="176">
        <v>254511.33499999999</v>
      </c>
      <c r="G59" s="176">
        <v>264216.01</v>
      </c>
      <c r="H59" s="176">
        <v>282419.92499999999</v>
      </c>
      <c r="I59" s="176">
        <v>283242.13199999998</v>
      </c>
      <c r="J59" s="176">
        <v>257991.49599999998</v>
      </c>
      <c r="K59" s="176">
        <v>269213.11300000001</v>
      </c>
      <c r="L59" s="176">
        <v>272856.64600000001</v>
      </c>
      <c r="M59" s="176">
        <v>260115.5</v>
      </c>
      <c r="N59" s="176">
        <v>250100.20499999999</v>
      </c>
      <c r="O59" s="176">
        <v>289045.85799999995</v>
      </c>
      <c r="P59" s="176">
        <f t="shared" si="14"/>
        <v>3244855.6030000006</v>
      </c>
      <c r="Q59" s="175"/>
      <c r="R59" s="186">
        <f t="shared" si="15"/>
        <v>-9.5440088226955822E-2</v>
      </c>
    </row>
    <row r="60" spans="1:18" hidden="1">
      <c r="A60" s="179" t="s">
        <v>464</v>
      </c>
      <c r="B60" s="177"/>
      <c r="C60" s="177"/>
      <c r="D60" s="176">
        <v>33389.081999999995</v>
      </c>
      <c r="E60" s="176">
        <v>37059.944999999992</v>
      </c>
      <c r="F60" s="176">
        <v>35879.706999999995</v>
      </c>
      <c r="G60" s="176">
        <v>32106.958000000006</v>
      </c>
      <c r="H60" s="176">
        <v>37151.982000000004</v>
      </c>
      <c r="I60" s="176">
        <v>35411.127</v>
      </c>
      <c r="J60" s="176">
        <v>36043.606999999996</v>
      </c>
      <c r="K60" s="176">
        <v>34779.288999999997</v>
      </c>
      <c r="L60" s="176">
        <v>36042.716999999997</v>
      </c>
      <c r="M60" s="176">
        <v>34862.544000000002</v>
      </c>
      <c r="N60" s="176">
        <v>33717.418999999994</v>
      </c>
      <c r="O60" s="176">
        <v>35254.038999999997</v>
      </c>
      <c r="P60" s="176">
        <f t="shared" si="14"/>
        <v>421698.41599999997</v>
      </c>
      <c r="Q60" s="175"/>
      <c r="R60" s="186">
        <f t="shared" si="15"/>
        <v>-2.7339948031014361E-3</v>
      </c>
    </row>
    <row r="61" spans="1:18" hidden="1">
      <c r="A61" s="179" t="s">
        <v>463</v>
      </c>
      <c r="B61" s="177"/>
      <c r="C61" s="177"/>
      <c r="D61" s="176">
        <v>2724.3240000000001</v>
      </c>
      <c r="E61" s="176">
        <v>2337.509</v>
      </c>
      <c r="F61" s="176">
        <v>2223.0859999999998</v>
      </c>
      <c r="G61" s="176">
        <v>2111.444</v>
      </c>
      <c r="H61" s="176">
        <v>2171.4970000000003</v>
      </c>
      <c r="I61" s="176">
        <v>4868.527000000001</v>
      </c>
      <c r="J61" s="176">
        <v>4809.1920000000009</v>
      </c>
      <c r="K61" s="176">
        <v>2934.6059999999998</v>
      </c>
      <c r="L61" s="176">
        <v>2247.2669999999998</v>
      </c>
      <c r="M61" s="176">
        <v>2406.1750000000002</v>
      </c>
      <c r="N61" s="176">
        <v>2485.9320000000002</v>
      </c>
      <c r="O61" s="176">
        <v>2525.9540000000002</v>
      </c>
      <c r="P61" s="176">
        <f t="shared" si="14"/>
        <v>33845.513000000006</v>
      </c>
      <c r="Q61" s="175"/>
      <c r="R61" s="186">
        <f t="shared" si="15"/>
        <v>-9.489114241993557E-2</v>
      </c>
    </row>
    <row r="62" spans="1:18" hidden="1">
      <c r="A62" s="179" t="s">
        <v>462</v>
      </c>
      <c r="B62" s="177"/>
      <c r="C62" s="177"/>
      <c r="D62" s="176">
        <v>6947.75</v>
      </c>
      <c r="E62" s="176">
        <v>6121.85</v>
      </c>
      <c r="F62" s="176">
        <v>6439.3</v>
      </c>
      <c r="G62" s="176">
        <v>6235.95</v>
      </c>
      <c r="H62" s="176">
        <v>6382.95</v>
      </c>
      <c r="I62" s="176">
        <v>6609.75</v>
      </c>
      <c r="J62" s="176">
        <v>7192.85</v>
      </c>
      <c r="K62" s="176">
        <v>6833.75</v>
      </c>
      <c r="L62" s="176">
        <v>6932.8</v>
      </c>
      <c r="M62" s="176">
        <v>7126.35</v>
      </c>
      <c r="N62" s="176">
        <v>6592.6</v>
      </c>
      <c r="O62" s="176">
        <v>6512.45</v>
      </c>
      <c r="P62" s="176">
        <f t="shared" si="14"/>
        <v>79928.350000000006</v>
      </c>
      <c r="Q62" s="175"/>
      <c r="R62" s="186">
        <f t="shared" si="15"/>
        <v>-1.4387429080178649E-2</v>
      </c>
    </row>
    <row r="63" spans="1:18" hidden="1">
      <c r="A63" s="179"/>
      <c r="B63" s="177"/>
      <c r="C63" s="177"/>
      <c r="D63" s="176"/>
      <c r="E63" s="176"/>
      <c r="F63" s="176"/>
      <c r="G63" s="176"/>
      <c r="H63" s="176"/>
      <c r="I63" s="176"/>
      <c r="J63" s="176"/>
      <c r="K63" s="176"/>
      <c r="L63" s="176"/>
      <c r="M63" s="176"/>
      <c r="N63" s="176"/>
      <c r="O63" s="176"/>
      <c r="P63" s="176"/>
      <c r="Q63" s="175"/>
      <c r="R63" s="186"/>
    </row>
    <row r="64" spans="1:18" hidden="1">
      <c r="A64" s="180" t="s">
        <v>461</v>
      </c>
      <c r="B64" s="177"/>
      <c r="C64" s="177"/>
      <c r="D64" s="176"/>
      <c r="E64" s="176"/>
      <c r="F64" s="176"/>
      <c r="G64" s="176"/>
      <c r="H64" s="176"/>
      <c r="I64" s="176"/>
      <c r="J64" s="176"/>
      <c r="K64" s="176"/>
      <c r="L64" s="176"/>
      <c r="M64" s="176"/>
      <c r="N64" s="176"/>
      <c r="O64" s="176"/>
      <c r="P64" s="176"/>
      <c r="Q64" s="175"/>
      <c r="R64" s="186"/>
    </row>
    <row r="65" spans="1:19" hidden="1">
      <c r="A65" s="180" t="s">
        <v>471</v>
      </c>
      <c r="B65" s="177"/>
      <c r="C65" s="177"/>
      <c r="D65" s="176">
        <f t="shared" ref="D65:P65" si="16">SUM(D57:D64)</f>
        <v>7881414.9629999995</v>
      </c>
      <c r="E65" s="176">
        <f t="shared" si="16"/>
        <v>7403941.9239999987</v>
      </c>
      <c r="F65" s="176">
        <f t="shared" si="16"/>
        <v>6879255.0960000008</v>
      </c>
      <c r="G65" s="176">
        <f t="shared" si="16"/>
        <v>7434516.0180000002</v>
      </c>
      <c r="H65" s="176">
        <f t="shared" si="16"/>
        <v>8229579.0020000003</v>
      </c>
      <c r="I65" s="176">
        <f t="shared" si="16"/>
        <v>9108650.1809999999</v>
      </c>
      <c r="J65" s="176">
        <f t="shared" si="16"/>
        <v>9998657.3389999978</v>
      </c>
      <c r="K65" s="176">
        <f t="shared" si="16"/>
        <v>9877098.6920000017</v>
      </c>
      <c r="L65" s="176">
        <f t="shared" si="16"/>
        <v>9996147.8580000009</v>
      </c>
      <c r="M65" s="176">
        <f t="shared" si="16"/>
        <v>9480037.1660000011</v>
      </c>
      <c r="N65" s="176">
        <f t="shared" si="16"/>
        <v>8426285.284</v>
      </c>
      <c r="O65" s="176">
        <f t="shared" si="16"/>
        <v>8038985.04</v>
      </c>
      <c r="P65" s="176">
        <f t="shared" si="16"/>
        <v>102754568.56299998</v>
      </c>
      <c r="Q65" s="175"/>
      <c r="R65" s="186">
        <f>P65/P15-1</f>
        <v>-1.5958135303774101E-3</v>
      </c>
    </row>
    <row r="66" spans="1:19" hidden="1">
      <c r="A66" s="180"/>
      <c r="B66" s="177"/>
      <c r="C66" s="177"/>
      <c r="D66" s="176"/>
      <c r="E66" s="176"/>
      <c r="F66" s="176"/>
      <c r="G66" s="176"/>
      <c r="H66" s="176"/>
      <c r="I66" s="176"/>
      <c r="J66" s="176"/>
      <c r="K66" s="176"/>
      <c r="L66" s="176"/>
      <c r="M66" s="176"/>
      <c r="N66" s="176"/>
      <c r="O66" s="176"/>
      <c r="P66" s="176"/>
      <c r="Q66" s="175"/>
      <c r="R66" s="186"/>
    </row>
    <row r="67" spans="1:19" hidden="1">
      <c r="A67" s="179" t="s">
        <v>459</v>
      </c>
      <c r="B67" s="177"/>
      <c r="C67" s="177"/>
      <c r="D67" s="176">
        <v>67619.698999999993</v>
      </c>
      <c r="E67" s="176">
        <v>65388.196000000004</v>
      </c>
      <c r="F67" s="176">
        <v>71605.937999999995</v>
      </c>
      <c r="G67" s="176">
        <v>88997.535000000003</v>
      </c>
      <c r="H67" s="176">
        <v>89939.281000000003</v>
      </c>
      <c r="I67" s="176">
        <v>103439.674</v>
      </c>
      <c r="J67" s="176">
        <v>110511.06399999998</v>
      </c>
      <c r="K67" s="176">
        <v>127988.302</v>
      </c>
      <c r="L67" s="176">
        <v>128086.37699999999</v>
      </c>
      <c r="M67" s="176">
        <v>118224.14200000001</v>
      </c>
      <c r="N67" s="176">
        <v>103069.236</v>
      </c>
      <c r="O67" s="176">
        <v>80051.517000000007</v>
      </c>
      <c r="P67" s="176">
        <f>SUM(D67:O67)</f>
        <v>1154920.9609999999</v>
      </c>
      <c r="Q67" s="175"/>
      <c r="R67" s="186">
        <f>P67/P17-1</f>
        <v>0.16285631458499794</v>
      </c>
    </row>
    <row r="68" spans="1:19" hidden="1">
      <c r="A68" s="177"/>
      <c r="B68" s="177"/>
      <c r="C68" s="177"/>
      <c r="D68" s="176"/>
      <c r="E68" s="176"/>
      <c r="F68" s="176"/>
      <c r="G68" s="176"/>
      <c r="H68" s="176"/>
      <c r="I68" s="176"/>
      <c r="J68" s="176"/>
      <c r="K68" s="176"/>
      <c r="L68" s="176"/>
      <c r="M68" s="176"/>
      <c r="N68" s="176"/>
      <c r="O68" s="176"/>
      <c r="P68" s="176"/>
      <c r="Q68" s="175"/>
      <c r="R68" s="186"/>
    </row>
    <row r="69" spans="1:19" hidden="1">
      <c r="A69" s="180" t="s">
        <v>470</v>
      </c>
      <c r="B69" s="177"/>
      <c r="C69" s="177"/>
      <c r="D69" s="176">
        <f t="shared" ref="D69:P69" si="17">SUM(D65:D67)</f>
        <v>7949034.6619999995</v>
      </c>
      <c r="E69" s="176">
        <f t="shared" si="17"/>
        <v>7469330.1199999992</v>
      </c>
      <c r="F69" s="176">
        <f t="shared" si="17"/>
        <v>6950861.0340000009</v>
      </c>
      <c r="G69" s="176">
        <f t="shared" si="17"/>
        <v>7523513.5530000003</v>
      </c>
      <c r="H69" s="176">
        <f t="shared" si="17"/>
        <v>8319518.2830000008</v>
      </c>
      <c r="I69" s="176">
        <f t="shared" si="17"/>
        <v>9212089.8550000004</v>
      </c>
      <c r="J69" s="176">
        <f t="shared" si="17"/>
        <v>10109168.402999997</v>
      </c>
      <c r="K69" s="176">
        <f t="shared" si="17"/>
        <v>10005086.994000001</v>
      </c>
      <c r="L69" s="176">
        <f t="shared" si="17"/>
        <v>10124234.235000001</v>
      </c>
      <c r="M69" s="176">
        <f t="shared" si="17"/>
        <v>9598261.3080000021</v>
      </c>
      <c r="N69" s="176">
        <f t="shared" si="17"/>
        <v>8529354.5199999996</v>
      </c>
      <c r="O69" s="176">
        <f t="shared" si="17"/>
        <v>8119036.557</v>
      </c>
      <c r="P69" s="176">
        <f t="shared" si="17"/>
        <v>103909489.52399997</v>
      </c>
      <c r="Q69" s="175"/>
      <c r="R69" s="186">
        <f>P69/P19-1</f>
        <v>-2.4003448972020891E-5</v>
      </c>
      <c r="S69" s="190">
        <v>0</v>
      </c>
    </row>
    <row r="70" spans="1:19" hidden="1">
      <c r="A70" s="177"/>
      <c r="B70" s="177"/>
      <c r="C70" s="177"/>
      <c r="D70" s="176"/>
      <c r="E70" s="176"/>
      <c r="F70" s="176"/>
      <c r="G70" s="176"/>
      <c r="H70" s="176"/>
      <c r="I70" s="176"/>
      <c r="J70" s="176"/>
      <c r="K70" s="176"/>
      <c r="L70" s="176"/>
      <c r="M70" s="176"/>
      <c r="N70" s="176"/>
      <c r="O70" s="176"/>
      <c r="P70" s="176"/>
      <c r="Q70" s="175"/>
      <c r="R70" s="186"/>
    </row>
    <row r="71" spans="1:19" hidden="1">
      <c r="A71" s="180" t="s">
        <v>469</v>
      </c>
      <c r="B71" s="177"/>
      <c r="C71" s="177"/>
      <c r="D71" s="176"/>
      <c r="E71" s="176"/>
      <c r="F71" s="176"/>
      <c r="G71" s="176"/>
      <c r="H71" s="176"/>
      <c r="I71" s="176"/>
      <c r="J71" s="176"/>
      <c r="K71" s="176"/>
      <c r="L71" s="176"/>
      <c r="M71" s="176"/>
      <c r="N71" s="176"/>
      <c r="O71" s="176"/>
      <c r="P71" s="176"/>
      <c r="Q71" s="175"/>
      <c r="R71" s="186"/>
    </row>
    <row r="72" spans="1:19" hidden="1">
      <c r="A72" s="179" t="s">
        <v>467</v>
      </c>
      <c r="B72" s="177"/>
      <c r="C72" s="177"/>
      <c r="D72" s="181">
        <v>3981732</v>
      </c>
      <c r="E72" s="181">
        <v>3986717</v>
      </c>
      <c r="F72" s="181">
        <v>3987693</v>
      </c>
      <c r="G72" s="181">
        <v>3987872</v>
      </c>
      <c r="H72" s="181">
        <v>3984699</v>
      </c>
      <c r="I72" s="181">
        <v>3984326</v>
      </c>
      <c r="J72" s="181">
        <v>3984488</v>
      </c>
      <c r="K72" s="181">
        <v>3984668</v>
      </c>
      <c r="L72" s="181">
        <v>3981876</v>
      </c>
      <c r="M72" s="181">
        <v>3980940</v>
      </c>
      <c r="N72" s="181">
        <v>3984445</v>
      </c>
      <c r="O72" s="181">
        <v>3984423</v>
      </c>
      <c r="P72" s="176">
        <f>AVERAGE(C72:O72)</f>
        <v>3984489.9166666665</v>
      </c>
      <c r="Q72" s="175"/>
      <c r="R72" s="186">
        <f t="shared" ref="R72:R77" si="18">P72/P22-1</f>
        <v>-1.9455577395285362E-3</v>
      </c>
    </row>
    <row r="73" spans="1:19" hidden="1">
      <c r="A73" s="179" t="s">
        <v>466</v>
      </c>
      <c r="B73" s="177"/>
      <c r="C73" s="177"/>
      <c r="D73" s="181">
        <v>501254</v>
      </c>
      <c r="E73" s="181">
        <v>501487</v>
      </c>
      <c r="F73" s="181">
        <v>501087</v>
      </c>
      <c r="G73" s="181">
        <v>500729</v>
      </c>
      <c r="H73" s="181">
        <v>500715</v>
      </c>
      <c r="I73" s="181">
        <v>500178</v>
      </c>
      <c r="J73" s="181">
        <v>500612</v>
      </c>
      <c r="K73" s="181">
        <v>501173</v>
      </c>
      <c r="L73" s="181">
        <v>501060</v>
      </c>
      <c r="M73" s="181">
        <v>501374</v>
      </c>
      <c r="N73" s="181">
        <v>501505</v>
      </c>
      <c r="O73" s="181">
        <v>501482</v>
      </c>
      <c r="P73" s="176">
        <f>AVERAGE(D73:O73)</f>
        <v>501054.66666666669</v>
      </c>
      <c r="Q73" s="175"/>
      <c r="R73" s="186">
        <f t="shared" si="18"/>
        <v>6.119175986469827E-4</v>
      </c>
    </row>
    <row r="74" spans="1:19" hidden="1">
      <c r="A74" s="179" t="s">
        <v>465</v>
      </c>
      <c r="B74" s="177"/>
      <c r="C74" s="177"/>
      <c r="D74" s="181">
        <v>11378</v>
      </c>
      <c r="E74" s="181">
        <v>11053</v>
      </c>
      <c r="F74" s="181">
        <v>10780</v>
      </c>
      <c r="G74" s="181">
        <v>10435</v>
      </c>
      <c r="H74" s="181">
        <v>10248</v>
      </c>
      <c r="I74" s="181">
        <v>9981</v>
      </c>
      <c r="J74" s="181">
        <v>9861</v>
      </c>
      <c r="K74" s="181">
        <v>9683</v>
      </c>
      <c r="L74" s="181">
        <v>9548</v>
      </c>
      <c r="M74" s="181">
        <v>9455</v>
      </c>
      <c r="N74" s="181">
        <v>9367</v>
      </c>
      <c r="O74" s="181">
        <v>9214</v>
      </c>
      <c r="P74" s="176">
        <f>AVERAGE(D74:O74)</f>
        <v>10083.583333333334</v>
      </c>
      <c r="Q74" s="175"/>
      <c r="R74" s="186">
        <f t="shared" si="18"/>
        <v>-0.24618585730215981</v>
      </c>
    </row>
    <row r="75" spans="1:19" hidden="1">
      <c r="A75" s="179" t="s">
        <v>464</v>
      </c>
      <c r="B75" s="177"/>
      <c r="C75" s="177"/>
      <c r="D75" s="181">
        <v>3191</v>
      </c>
      <c r="E75" s="181">
        <v>3202</v>
      </c>
      <c r="F75" s="181">
        <v>3203</v>
      </c>
      <c r="G75" s="181">
        <v>3206</v>
      </c>
      <c r="H75" s="181">
        <v>3212</v>
      </c>
      <c r="I75" s="181">
        <v>3210</v>
      </c>
      <c r="J75" s="181">
        <v>3210</v>
      </c>
      <c r="K75" s="181">
        <v>3214</v>
      </c>
      <c r="L75" s="181">
        <v>3219</v>
      </c>
      <c r="M75" s="181">
        <v>3228</v>
      </c>
      <c r="N75" s="181">
        <v>3247</v>
      </c>
      <c r="O75" s="181">
        <v>3259</v>
      </c>
      <c r="P75" s="176">
        <f>AVERAGE(D75:O75)</f>
        <v>3216.75</v>
      </c>
      <c r="Q75" s="175"/>
      <c r="R75" s="186">
        <f t="shared" si="18"/>
        <v>3.175366851094541E-2</v>
      </c>
    </row>
    <row r="76" spans="1:19" hidden="1">
      <c r="A76" s="179" t="s">
        <v>463</v>
      </c>
      <c r="B76" s="177"/>
      <c r="C76" s="177"/>
      <c r="D76" s="181">
        <v>198</v>
      </c>
      <c r="E76" s="181">
        <v>197</v>
      </c>
      <c r="F76" s="181">
        <v>196</v>
      </c>
      <c r="G76" s="181">
        <v>195</v>
      </c>
      <c r="H76" s="181">
        <v>195</v>
      </c>
      <c r="I76" s="181">
        <v>195</v>
      </c>
      <c r="J76" s="181">
        <v>195</v>
      </c>
      <c r="K76" s="181">
        <v>195</v>
      </c>
      <c r="L76" s="181">
        <v>193</v>
      </c>
      <c r="M76" s="181">
        <v>191</v>
      </c>
      <c r="N76" s="181">
        <v>191</v>
      </c>
      <c r="O76" s="181">
        <v>191</v>
      </c>
      <c r="P76" s="176">
        <f>AVERAGE(D76:O76)</f>
        <v>194.33333333333334</v>
      </c>
      <c r="Q76" s="175"/>
      <c r="R76" s="186">
        <f t="shared" si="18"/>
        <v>-4.4262295081967218E-2</v>
      </c>
    </row>
    <row r="77" spans="1:19" hidden="1">
      <c r="A77" s="179" t="s">
        <v>462</v>
      </c>
      <c r="B77" s="177"/>
      <c r="C77" s="177"/>
      <c r="D77" s="181">
        <v>23</v>
      </c>
      <c r="E77" s="181">
        <v>23</v>
      </c>
      <c r="F77" s="181">
        <v>23</v>
      </c>
      <c r="G77" s="181">
        <v>23</v>
      </c>
      <c r="H77" s="181">
        <v>23</v>
      </c>
      <c r="I77" s="181">
        <v>23</v>
      </c>
      <c r="J77" s="181">
        <v>23</v>
      </c>
      <c r="K77" s="181">
        <v>23</v>
      </c>
      <c r="L77" s="181">
        <v>23</v>
      </c>
      <c r="M77" s="181">
        <v>23</v>
      </c>
      <c r="N77" s="181">
        <v>23</v>
      </c>
      <c r="O77" s="181">
        <v>23</v>
      </c>
      <c r="P77" s="176">
        <f>AVERAGE(D77:O77)</f>
        <v>23</v>
      </c>
      <c r="Q77" s="175"/>
      <c r="R77" s="186">
        <f t="shared" si="18"/>
        <v>0</v>
      </c>
    </row>
    <row r="78" spans="1:19" hidden="1">
      <c r="A78" s="179"/>
      <c r="B78" s="177"/>
      <c r="C78" s="177"/>
      <c r="D78" s="176"/>
      <c r="E78" s="176"/>
      <c r="F78" s="176"/>
      <c r="G78" s="176"/>
      <c r="H78" s="176"/>
      <c r="I78" s="176"/>
      <c r="J78" s="176"/>
      <c r="K78" s="176"/>
      <c r="L78" s="176"/>
      <c r="M78" s="176"/>
      <c r="N78" s="176"/>
      <c r="O78" s="176"/>
      <c r="P78" s="176"/>
      <c r="Q78" s="175"/>
      <c r="R78" s="186"/>
    </row>
    <row r="79" spans="1:19" hidden="1">
      <c r="A79" s="180" t="s">
        <v>461</v>
      </c>
      <c r="B79" s="177"/>
      <c r="C79" s="177"/>
      <c r="D79" s="176"/>
      <c r="E79" s="176"/>
      <c r="F79" s="176"/>
      <c r="G79" s="176"/>
      <c r="H79" s="176"/>
      <c r="I79" s="176"/>
      <c r="J79" s="176"/>
      <c r="K79" s="176"/>
      <c r="L79" s="176"/>
      <c r="M79" s="176"/>
      <c r="N79" s="176"/>
      <c r="O79" s="176"/>
      <c r="P79" s="176"/>
      <c r="Q79" s="175"/>
      <c r="R79" s="186"/>
    </row>
    <row r="80" spans="1:19" hidden="1">
      <c r="A80" s="180" t="s">
        <v>469</v>
      </c>
      <c r="B80" s="177"/>
      <c r="C80" s="177"/>
      <c r="D80" s="176">
        <f t="shared" ref="D80:P80" si="19">SUM(D72:D79)</f>
        <v>4497776</v>
      </c>
      <c r="E80" s="176">
        <f t="shared" si="19"/>
        <v>4502679</v>
      </c>
      <c r="F80" s="176">
        <f t="shared" si="19"/>
        <v>4502982</v>
      </c>
      <c r="G80" s="176">
        <f t="shared" si="19"/>
        <v>4502460</v>
      </c>
      <c r="H80" s="176">
        <f t="shared" si="19"/>
        <v>4499092</v>
      </c>
      <c r="I80" s="176">
        <f t="shared" si="19"/>
        <v>4497913</v>
      </c>
      <c r="J80" s="176">
        <f t="shared" si="19"/>
        <v>4498389</v>
      </c>
      <c r="K80" s="176">
        <f t="shared" si="19"/>
        <v>4498956</v>
      </c>
      <c r="L80" s="176">
        <f t="shared" si="19"/>
        <v>4495919</v>
      </c>
      <c r="M80" s="176">
        <f t="shared" si="19"/>
        <v>4495211</v>
      </c>
      <c r="N80" s="176">
        <f t="shared" si="19"/>
        <v>4498778</v>
      </c>
      <c r="O80" s="176">
        <f t="shared" si="19"/>
        <v>4498592</v>
      </c>
      <c r="P80" s="176">
        <f t="shared" si="19"/>
        <v>4499062.2499999991</v>
      </c>
      <c r="Q80" s="175"/>
      <c r="R80" s="186">
        <f>P80/P30-1</f>
        <v>-2.3646483783182903E-3</v>
      </c>
    </row>
    <row r="81" spans="1:18" hidden="1">
      <c r="A81" s="180"/>
      <c r="B81" s="177"/>
      <c r="C81" s="177"/>
      <c r="D81" s="176"/>
      <c r="E81" s="176"/>
      <c r="F81" s="176"/>
      <c r="G81" s="176"/>
      <c r="H81" s="176"/>
      <c r="I81" s="176"/>
      <c r="J81" s="176"/>
      <c r="K81" s="176"/>
      <c r="L81" s="176"/>
      <c r="M81" s="176"/>
      <c r="N81" s="176"/>
      <c r="O81" s="176"/>
      <c r="P81" s="176"/>
      <c r="Q81" s="175"/>
      <c r="R81" s="186"/>
    </row>
    <row r="82" spans="1:18" hidden="1">
      <c r="A82" s="179" t="s">
        <v>459</v>
      </c>
      <c r="B82" s="177"/>
      <c r="C82" s="177"/>
      <c r="D82" s="181">
        <v>5</v>
      </c>
      <c r="E82" s="181">
        <v>5</v>
      </c>
      <c r="F82" s="181">
        <v>5</v>
      </c>
      <c r="G82" s="181">
        <v>5</v>
      </c>
      <c r="H82" s="181">
        <v>5</v>
      </c>
      <c r="I82" s="181">
        <v>5</v>
      </c>
      <c r="J82" s="181">
        <v>4</v>
      </c>
      <c r="K82" s="181">
        <v>4</v>
      </c>
      <c r="L82" s="181">
        <v>4</v>
      </c>
      <c r="M82" s="181">
        <v>4</v>
      </c>
      <c r="N82" s="181">
        <v>4</v>
      </c>
      <c r="O82" s="181">
        <v>4</v>
      </c>
      <c r="P82" s="176">
        <f>AVERAGE(D82:O82)</f>
        <v>4.5</v>
      </c>
      <c r="Q82" s="175"/>
      <c r="R82" s="186">
        <f>P82/P32-1</f>
        <v>0.125</v>
      </c>
    </row>
    <row r="83" spans="1:18" hidden="1">
      <c r="A83" s="177"/>
      <c r="B83" s="177"/>
      <c r="C83" s="177"/>
      <c r="D83" s="176"/>
      <c r="E83" s="176"/>
      <c r="F83" s="176"/>
      <c r="G83" s="176"/>
      <c r="H83" s="176"/>
      <c r="I83" s="176"/>
      <c r="J83" s="176"/>
      <c r="K83" s="176"/>
      <c r="L83" s="176"/>
      <c r="M83" s="176"/>
      <c r="N83" s="176"/>
      <c r="O83" s="176"/>
      <c r="P83" s="176"/>
      <c r="Q83" s="175"/>
      <c r="R83" s="186"/>
    </row>
    <row r="84" spans="1:18" hidden="1">
      <c r="A84" s="178" t="s">
        <v>468</v>
      </c>
      <c r="B84" s="177"/>
      <c r="C84" s="177"/>
      <c r="D84" s="176">
        <f t="shared" ref="D84:P84" si="20">SUM(D80:D82)</f>
        <v>4497781</v>
      </c>
      <c r="E84" s="176">
        <f t="shared" si="20"/>
        <v>4502684</v>
      </c>
      <c r="F84" s="176">
        <f t="shared" si="20"/>
        <v>4502987</v>
      </c>
      <c r="G84" s="176">
        <f t="shared" si="20"/>
        <v>4502465</v>
      </c>
      <c r="H84" s="176">
        <f t="shared" si="20"/>
        <v>4499097</v>
      </c>
      <c r="I84" s="176">
        <f t="shared" si="20"/>
        <v>4497918</v>
      </c>
      <c r="J84" s="176">
        <f t="shared" si="20"/>
        <v>4498393</v>
      </c>
      <c r="K84" s="176">
        <f t="shared" si="20"/>
        <v>4498960</v>
      </c>
      <c r="L84" s="176">
        <f t="shared" si="20"/>
        <v>4495923</v>
      </c>
      <c r="M84" s="176">
        <f t="shared" si="20"/>
        <v>4495215</v>
      </c>
      <c r="N84" s="176">
        <f t="shared" si="20"/>
        <v>4498782</v>
      </c>
      <c r="O84" s="176">
        <f t="shared" si="20"/>
        <v>4498596</v>
      </c>
      <c r="P84" s="176">
        <f t="shared" si="20"/>
        <v>4499066.7499999991</v>
      </c>
      <c r="Q84" s="175"/>
      <c r="R84" s="186">
        <f>P84/P34-1</f>
        <v>-2.3645354095652715E-3</v>
      </c>
    </row>
    <row r="85" spans="1:18" hidden="1">
      <c r="A85" s="177"/>
      <c r="B85" s="177"/>
      <c r="C85" s="177"/>
      <c r="D85" s="176"/>
      <c r="E85" s="176"/>
      <c r="F85" s="176"/>
      <c r="G85" s="176"/>
      <c r="H85" s="176"/>
      <c r="I85" s="176"/>
      <c r="J85" s="176"/>
      <c r="K85" s="176"/>
      <c r="L85" s="176"/>
      <c r="M85" s="176"/>
      <c r="N85" s="176"/>
      <c r="O85" s="176"/>
      <c r="P85" s="176"/>
      <c r="Q85" s="175"/>
      <c r="R85" s="186"/>
    </row>
    <row r="86" spans="1:18" hidden="1">
      <c r="A86" s="180" t="s">
        <v>460</v>
      </c>
      <c r="B86" s="177"/>
      <c r="C86" s="177"/>
      <c r="D86" s="176"/>
      <c r="E86" s="176"/>
      <c r="F86" s="176"/>
      <c r="G86" s="176"/>
      <c r="H86" s="176"/>
      <c r="I86" s="176"/>
      <c r="J86" s="176"/>
      <c r="K86" s="176"/>
      <c r="L86" s="176"/>
      <c r="M86" s="176"/>
      <c r="N86" s="176"/>
      <c r="O86" s="176"/>
      <c r="P86" s="176"/>
      <c r="Q86" s="175"/>
      <c r="R86" s="186"/>
    </row>
    <row r="87" spans="1:18" hidden="1">
      <c r="A87" s="179" t="s">
        <v>467</v>
      </c>
      <c r="B87" s="177"/>
      <c r="C87" s="177"/>
      <c r="D87" s="176">
        <f t="shared" ref="D87:P87" si="21">(D57/D72)*1000</f>
        <v>987.43826229389617</v>
      </c>
      <c r="E87" s="176">
        <f t="shared" si="21"/>
        <v>963.98086445564104</v>
      </c>
      <c r="F87" s="176">
        <f t="shared" si="21"/>
        <v>841.16509620976342</v>
      </c>
      <c r="G87" s="176">
        <f t="shared" si="21"/>
        <v>926.64636979321301</v>
      </c>
      <c r="H87" s="176">
        <f t="shared" si="21"/>
        <v>1062.2643707843429</v>
      </c>
      <c r="I87" s="176">
        <f t="shared" si="21"/>
        <v>1219.1193807936397</v>
      </c>
      <c r="J87" s="176">
        <f t="shared" si="21"/>
        <v>1399.4233690752737</v>
      </c>
      <c r="K87" s="176">
        <f t="shared" si="21"/>
        <v>1386.7868515018063</v>
      </c>
      <c r="L87" s="176">
        <f t="shared" si="21"/>
        <v>1378.8782418136577</v>
      </c>
      <c r="M87" s="176">
        <f t="shared" si="21"/>
        <v>1291.2520196235062</v>
      </c>
      <c r="N87" s="176">
        <f t="shared" si="21"/>
        <v>1093.4543034224339</v>
      </c>
      <c r="O87" s="176">
        <f t="shared" si="21"/>
        <v>990.17297510831554</v>
      </c>
      <c r="P87" s="176">
        <f t="shared" si="21"/>
        <v>13539.883138701214</v>
      </c>
      <c r="Q87" s="189"/>
      <c r="R87" s="186">
        <f t="shared" ref="R87:R92" si="22">P87/P37-1</f>
        <v>1.5515647100957874E-2</v>
      </c>
    </row>
    <row r="88" spans="1:18" hidden="1">
      <c r="A88" s="179" t="s">
        <v>466</v>
      </c>
      <c r="B88" s="177"/>
      <c r="C88" s="177"/>
      <c r="D88" s="176">
        <f t="shared" ref="D88:P88" si="23">(D58/D73)*1000</f>
        <v>7215.4944559045907</v>
      </c>
      <c r="E88" s="176">
        <f t="shared" si="23"/>
        <v>6468.7701954387639</v>
      </c>
      <c r="F88" s="176">
        <f t="shared" si="23"/>
        <v>6437.7912458315632</v>
      </c>
      <c r="G88" s="176">
        <f t="shared" si="23"/>
        <v>6858.996670853895</v>
      </c>
      <c r="H88" s="176">
        <f t="shared" si="23"/>
        <v>7326.8203908410969</v>
      </c>
      <c r="I88" s="176">
        <f t="shared" si="23"/>
        <v>7839.5083330334392</v>
      </c>
      <c r="J88" s="176">
        <f t="shared" si="23"/>
        <v>8223.2039443720878</v>
      </c>
      <c r="K88" s="176">
        <f t="shared" si="23"/>
        <v>8056.0060976948089</v>
      </c>
      <c r="L88" s="176">
        <f t="shared" si="23"/>
        <v>8357.3748652855938</v>
      </c>
      <c r="M88" s="176">
        <f t="shared" si="23"/>
        <v>8048.143266304196</v>
      </c>
      <c r="N88" s="176">
        <f t="shared" si="23"/>
        <v>7530.4944038444282</v>
      </c>
      <c r="O88" s="176">
        <f t="shared" si="23"/>
        <v>7498.5318775150454</v>
      </c>
      <c r="P88" s="176">
        <f t="shared" si="23"/>
        <v>89859.881241168609</v>
      </c>
      <c r="Q88" s="175"/>
      <c r="R88" s="186">
        <f t="shared" si="22"/>
        <v>-1.2384400281460928E-2</v>
      </c>
    </row>
    <row r="89" spans="1:18" hidden="1">
      <c r="A89" s="179" t="s">
        <v>465</v>
      </c>
      <c r="B89" s="177"/>
      <c r="C89" s="177"/>
      <c r="D89" s="176">
        <f t="shared" ref="D89:P89" si="24">(D59/D74)*1000</f>
        <v>25474.057127790478</v>
      </c>
      <c r="E89" s="176">
        <f t="shared" si="24"/>
        <v>24545.332579390215</v>
      </c>
      <c r="F89" s="176">
        <f t="shared" si="24"/>
        <v>23609.585807050091</v>
      </c>
      <c r="G89" s="176">
        <f t="shared" si="24"/>
        <v>25320.173454719694</v>
      </c>
      <c r="H89" s="176">
        <f t="shared" si="24"/>
        <v>27558.540690866506</v>
      </c>
      <c r="I89" s="176">
        <f t="shared" si="24"/>
        <v>28378.131650135256</v>
      </c>
      <c r="J89" s="176">
        <f t="shared" si="24"/>
        <v>26162.812696481087</v>
      </c>
      <c r="K89" s="176">
        <f t="shared" si="24"/>
        <v>27802.655478673965</v>
      </c>
      <c r="L89" s="176">
        <f t="shared" si="24"/>
        <v>28577.361332216169</v>
      </c>
      <c r="M89" s="176">
        <f t="shared" si="24"/>
        <v>27510.893707033316</v>
      </c>
      <c r="N89" s="176">
        <f t="shared" si="24"/>
        <v>26700.139318885449</v>
      </c>
      <c r="O89" s="176">
        <f t="shared" si="24"/>
        <v>31370.290644671146</v>
      </c>
      <c r="P89" s="176">
        <f t="shared" si="24"/>
        <v>321795.88304422208</v>
      </c>
      <c r="Q89" s="175"/>
      <c r="R89" s="186">
        <f t="shared" si="22"/>
        <v>0.19997736913730102</v>
      </c>
    </row>
    <row r="90" spans="1:18" hidden="1">
      <c r="A90" s="179" t="s">
        <v>464</v>
      </c>
      <c r="B90" s="177"/>
      <c r="C90" s="177"/>
      <c r="D90" s="176">
        <f t="shared" ref="D90:P90" si="25">(D60/D75)*1000</f>
        <v>10463.516765904104</v>
      </c>
      <c r="E90" s="176">
        <f t="shared" si="25"/>
        <v>11573.99906308557</v>
      </c>
      <c r="F90" s="176">
        <f t="shared" si="25"/>
        <v>11201.906650015608</v>
      </c>
      <c r="G90" s="176">
        <f t="shared" si="25"/>
        <v>10014.646912039927</v>
      </c>
      <c r="H90" s="176">
        <f t="shared" si="25"/>
        <v>11566.619551681197</v>
      </c>
      <c r="I90" s="176">
        <f t="shared" si="25"/>
        <v>11031.503738317759</v>
      </c>
      <c r="J90" s="176">
        <f t="shared" si="25"/>
        <v>11228.538006230528</v>
      </c>
      <c r="K90" s="176">
        <f t="shared" si="25"/>
        <v>10821.185127566894</v>
      </c>
      <c r="L90" s="176">
        <f t="shared" si="25"/>
        <v>11196.867660764212</v>
      </c>
      <c r="M90" s="176">
        <f t="shared" si="25"/>
        <v>10800.044609665427</v>
      </c>
      <c r="N90" s="176">
        <f t="shared" si="25"/>
        <v>10384.175854635047</v>
      </c>
      <c r="O90" s="176">
        <f t="shared" si="25"/>
        <v>10817.440625958883</v>
      </c>
      <c r="P90" s="176">
        <f t="shared" si="25"/>
        <v>131094.55692857696</v>
      </c>
      <c r="Q90" s="175"/>
      <c r="R90" s="186">
        <f t="shared" si="22"/>
        <v>-3.3426257028792872E-2</v>
      </c>
    </row>
    <row r="91" spans="1:18" hidden="1">
      <c r="A91" s="179" t="s">
        <v>463</v>
      </c>
      <c r="B91" s="177"/>
      <c r="C91" s="177"/>
      <c r="D91" s="176">
        <f t="shared" ref="D91:P91" si="26">(D61/D76)*1000</f>
        <v>13759.21212121212</v>
      </c>
      <c r="E91" s="176">
        <f t="shared" si="26"/>
        <v>11865.527918781727</v>
      </c>
      <c r="F91" s="176">
        <f t="shared" si="26"/>
        <v>11342.275510204081</v>
      </c>
      <c r="G91" s="176">
        <f t="shared" si="26"/>
        <v>10827.917948717948</v>
      </c>
      <c r="H91" s="176">
        <f t="shared" si="26"/>
        <v>11135.882051282053</v>
      </c>
      <c r="I91" s="176">
        <f t="shared" si="26"/>
        <v>24966.805128205135</v>
      </c>
      <c r="J91" s="176">
        <f t="shared" si="26"/>
        <v>24662.523076923084</v>
      </c>
      <c r="K91" s="176">
        <f t="shared" si="26"/>
        <v>15049.261538461538</v>
      </c>
      <c r="L91" s="176">
        <f t="shared" si="26"/>
        <v>11643.870466321243</v>
      </c>
      <c r="M91" s="176">
        <f t="shared" si="26"/>
        <v>12597.774869109948</v>
      </c>
      <c r="N91" s="176">
        <f t="shared" si="26"/>
        <v>13015.350785340315</v>
      </c>
      <c r="O91" s="176">
        <f t="shared" si="26"/>
        <v>13224.890052356022</v>
      </c>
      <c r="P91" s="176">
        <f t="shared" si="26"/>
        <v>174162.15951972557</v>
      </c>
      <c r="Q91" s="175"/>
      <c r="R91" s="186">
        <f t="shared" si="22"/>
        <v>-5.2973579547445526E-2</v>
      </c>
    </row>
    <row r="92" spans="1:18" hidden="1">
      <c r="A92" s="179" t="s">
        <v>462</v>
      </c>
      <c r="B92" s="177"/>
      <c r="C92" s="177"/>
      <c r="D92" s="176">
        <f t="shared" ref="D92:P92" si="27">(D62/D77)*1000</f>
        <v>302076.08695652173</v>
      </c>
      <c r="E92" s="176">
        <f t="shared" si="27"/>
        <v>266167.39130434784</v>
      </c>
      <c r="F92" s="176">
        <f t="shared" si="27"/>
        <v>279969.56521739135</v>
      </c>
      <c r="G92" s="176">
        <f t="shared" si="27"/>
        <v>271128.26086956525</v>
      </c>
      <c r="H92" s="176">
        <f t="shared" si="27"/>
        <v>277519.5652173913</v>
      </c>
      <c r="I92" s="176">
        <f t="shared" si="27"/>
        <v>287380.4347826087</v>
      </c>
      <c r="J92" s="176">
        <f t="shared" si="27"/>
        <v>312732.60869565216</v>
      </c>
      <c r="K92" s="176">
        <f t="shared" si="27"/>
        <v>297119.5652173913</v>
      </c>
      <c r="L92" s="176">
        <f t="shared" si="27"/>
        <v>301426.08695652179</v>
      </c>
      <c r="M92" s="176">
        <f t="shared" si="27"/>
        <v>309841.30434782611</v>
      </c>
      <c r="N92" s="176">
        <f t="shared" si="27"/>
        <v>286634.78260869568</v>
      </c>
      <c r="O92" s="176">
        <f t="shared" si="27"/>
        <v>283150</v>
      </c>
      <c r="P92" s="176">
        <f t="shared" si="27"/>
        <v>3475145.6521739131</v>
      </c>
      <c r="Q92" s="175"/>
      <c r="R92" s="186">
        <f t="shared" si="22"/>
        <v>-1.438742908017876E-2</v>
      </c>
    </row>
    <row r="93" spans="1:18" hidden="1">
      <c r="A93" s="179"/>
      <c r="B93" s="177"/>
      <c r="C93" s="177"/>
      <c r="D93" s="176"/>
      <c r="E93" s="176"/>
      <c r="F93" s="176"/>
      <c r="G93" s="176"/>
      <c r="H93" s="176"/>
      <c r="I93" s="176"/>
      <c r="J93" s="176"/>
      <c r="K93" s="176"/>
      <c r="L93" s="176"/>
      <c r="M93" s="176"/>
      <c r="N93" s="176"/>
      <c r="O93" s="176"/>
      <c r="P93" s="176"/>
      <c r="Q93" s="175"/>
      <c r="R93" s="186"/>
    </row>
    <row r="94" spans="1:18" hidden="1">
      <c r="A94" s="180" t="s">
        <v>461</v>
      </c>
      <c r="B94" s="177"/>
      <c r="C94" s="177"/>
      <c r="D94" s="176"/>
      <c r="E94" s="176"/>
      <c r="F94" s="176"/>
      <c r="G94" s="176"/>
      <c r="H94" s="176"/>
      <c r="I94" s="176"/>
      <c r="J94" s="176"/>
      <c r="K94" s="176"/>
      <c r="L94" s="176"/>
      <c r="M94" s="176"/>
      <c r="N94" s="176"/>
      <c r="O94" s="176"/>
      <c r="P94" s="176"/>
      <c r="Q94" s="175"/>
      <c r="R94" s="186"/>
    </row>
    <row r="95" spans="1:18" hidden="1">
      <c r="A95" s="180" t="s">
        <v>460</v>
      </c>
      <c r="B95" s="177"/>
      <c r="C95" s="177"/>
      <c r="D95" s="176">
        <f t="shared" ref="D95:P95" si="28">(D65/D80)*1000</f>
        <v>1752.2915687664301</v>
      </c>
      <c r="E95" s="176">
        <f t="shared" si="28"/>
        <v>1644.3414962514535</v>
      </c>
      <c r="F95" s="176">
        <f t="shared" si="28"/>
        <v>1527.7109915162887</v>
      </c>
      <c r="G95" s="176">
        <f t="shared" si="28"/>
        <v>1651.2120081022374</v>
      </c>
      <c r="H95" s="176">
        <f t="shared" si="28"/>
        <v>1829.1644185093348</v>
      </c>
      <c r="I95" s="176">
        <f t="shared" si="28"/>
        <v>2025.083673472564</v>
      </c>
      <c r="J95" s="176">
        <f t="shared" si="28"/>
        <v>2222.7195867231576</v>
      </c>
      <c r="K95" s="176">
        <f t="shared" si="28"/>
        <v>2195.4201579210821</v>
      </c>
      <c r="L95" s="176">
        <f t="shared" si="28"/>
        <v>2223.3825515984613</v>
      </c>
      <c r="M95" s="176">
        <f t="shared" si="28"/>
        <v>2108.919284545264</v>
      </c>
      <c r="N95" s="176">
        <f t="shared" si="28"/>
        <v>1873.0164689166702</v>
      </c>
      <c r="O95" s="176">
        <f t="shared" si="28"/>
        <v>1787.0002525234563</v>
      </c>
      <c r="P95" s="176">
        <f t="shared" si="28"/>
        <v>22839.107985891951</v>
      </c>
      <c r="Q95" s="175"/>
      <c r="R95" s="186">
        <f>P95/P45-1</f>
        <v>7.7065718119473381E-4</v>
      </c>
    </row>
    <row r="96" spans="1:18" hidden="1">
      <c r="A96" s="180"/>
      <c r="B96" s="177"/>
      <c r="C96" s="177"/>
      <c r="D96" s="176"/>
      <c r="E96" s="176"/>
      <c r="F96" s="176"/>
      <c r="G96" s="176"/>
      <c r="H96" s="176"/>
      <c r="I96" s="176"/>
      <c r="J96" s="176"/>
      <c r="K96" s="176"/>
      <c r="L96" s="176"/>
      <c r="M96" s="176"/>
      <c r="N96" s="176"/>
      <c r="O96" s="176"/>
      <c r="P96" s="176"/>
      <c r="Q96" s="175"/>
      <c r="R96" s="186"/>
    </row>
    <row r="97" spans="1:18" hidden="1">
      <c r="A97" s="179" t="s">
        <v>459</v>
      </c>
      <c r="B97" s="177"/>
      <c r="C97" s="177"/>
      <c r="D97" s="176">
        <f t="shared" ref="D97:P97" si="29">(D67/D82)*1000</f>
        <v>13523939.799999999</v>
      </c>
      <c r="E97" s="176">
        <f t="shared" si="29"/>
        <v>13077639.200000001</v>
      </c>
      <c r="F97" s="176">
        <f t="shared" si="29"/>
        <v>14321187.6</v>
      </c>
      <c r="G97" s="176">
        <f t="shared" si="29"/>
        <v>17799507</v>
      </c>
      <c r="H97" s="176">
        <f t="shared" si="29"/>
        <v>17987856.200000003</v>
      </c>
      <c r="I97" s="176">
        <f t="shared" si="29"/>
        <v>20687934.800000001</v>
      </c>
      <c r="J97" s="176">
        <f t="shared" si="29"/>
        <v>27627765.999999996</v>
      </c>
      <c r="K97" s="176">
        <f t="shared" si="29"/>
        <v>31997075.5</v>
      </c>
      <c r="L97" s="176">
        <f t="shared" si="29"/>
        <v>32021594.25</v>
      </c>
      <c r="M97" s="176">
        <f t="shared" si="29"/>
        <v>29556035.5</v>
      </c>
      <c r="N97" s="176">
        <f t="shared" si="29"/>
        <v>25767309</v>
      </c>
      <c r="O97" s="176">
        <f t="shared" si="29"/>
        <v>20012879.25</v>
      </c>
      <c r="P97" s="176">
        <f t="shared" si="29"/>
        <v>256649102.44444445</v>
      </c>
      <c r="Q97" s="175"/>
      <c r="R97" s="186">
        <f>P97/P47-1</f>
        <v>3.3650057408887157E-2</v>
      </c>
    </row>
    <row r="98" spans="1:18" hidden="1">
      <c r="A98" s="177"/>
      <c r="B98" s="177"/>
      <c r="C98" s="177"/>
      <c r="D98" s="176"/>
      <c r="E98" s="176"/>
      <c r="F98" s="176"/>
      <c r="G98" s="176"/>
      <c r="H98" s="176"/>
      <c r="I98" s="176"/>
      <c r="J98" s="176"/>
      <c r="K98" s="176"/>
      <c r="L98" s="176"/>
      <c r="M98" s="176"/>
      <c r="N98" s="176"/>
      <c r="O98" s="176"/>
      <c r="P98" s="176"/>
      <c r="Q98" s="175"/>
      <c r="R98" s="186"/>
    </row>
    <row r="99" spans="1:18" hidden="1">
      <c r="A99" s="178" t="s">
        <v>458</v>
      </c>
      <c r="B99" s="177"/>
      <c r="C99" s="177"/>
      <c r="D99" s="176">
        <f t="shared" ref="D99:P99" si="30">(D69/D84)*1000</f>
        <v>1767.3236340319813</v>
      </c>
      <c r="E99" s="176">
        <f t="shared" si="30"/>
        <v>1658.8617189214253</v>
      </c>
      <c r="F99" s="176">
        <f t="shared" si="30"/>
        <v>1543.6111705407991</v>
      </c>
      <c r="G99" s="176">
        <f t="shared" si="30"/>
        <v>1670.9765768306918</v>
      </c>
      <c r="H99" s="176">
        <f t="shared" si="30"/>
        <v>1849.1529040160729</v>
      </c>
      <c r="I99" s="176">
        <f t="shared" si="30"/>
        <v>2048.0786566140159</v>
      </c>
      <c r="J99" s="176">
        <f t="shared" si="30"/>
        <v>2247.2843975615287</v>
      </c>
      <c r="K99" s="176">
        <f t="shared" si="30"/>
        <v>2223.8666256201432</v>
      </c>
      <c r="L99" s="176">
        <f t="shared" si="30"/>
        <v>2251.8700242419632</v>
      </c>
      <c r="M99" s="176">
        <f t="shared" si="30"/>
        <v>2135.217405174169</v>
      </c>
      <c r="N99" s="176">
        <f t="shared" si="30"/>
        <v>1895.9252793311612</v>
      </c>
      <c r="O99" s="176">
        <f t="shared" si="30"/>
        <v>1804.7934415537648</v>
      </c>
      <c r="P99" s="176">
        <f t="shared" si="30"/>
        <v>23095.787481703843</v>
      </c>
      <c r="Q99" s="175"/>
      <c r="R99" s="186">
        <f>P99/P49-1</f>
        <v>2.346079348285901E-3</v>
      </c>
    </row>
    <row r="100" spans="1:18" hidden="1"/>
    <row r="101" spans="1:18">
      <c r="A101" s="185" t="s">
        <v>480</v>
      </c>
      <c r="B101" s="184"/>
      <c r="C101" s="184"/>
      <c r="D101" s="183"/>
      <c r="E101" s="183"/>
      <c r="F101" s="183"/>
      <c r="G101" s="183"/>
      <c r="H101" s="183"/>
      <c r="I101" s="183"/>
      <c r="J101" s="184"/>
      <c r="K101" s="183"/>
      <c r="L101" s="183"/>
      <c r="M101" s="183"/>
      <c r="N101" s="183"/>
      <c r="O101" s="183"/>
      <c r="P101" s="183"/>
      <c r="Q101" s="175"/>
    </row>
    <row r="102" spans="1:18">
      <c r="A102" s="185" t="s">
        <v>474</v>
      </c>
      <c r="B102" s="184"/>
      <c r="C102" s="184"/>
      <c r="D102" s="183"/>
      <c r="E102" s="183"/>
      <c r="F102" s="183"/>
      <c r="G102" s="183"/>
      <c r="H102" s="183"/>
      <c r="I102" s="184"/>
      <c r="J102" s="183"/>
      <c r="K102" s="183"/>
      <c r="L102" s="183"/>
      <c r="M102" s="183"/>
      <c r="N102" s="183"/>
      <c r="O102" s="183"/>
      <c r="P102" s="183"/>
      <c r="Q102" s="182">
        <v>40452</v>
      </c>
    </row>
    <row r="103" spans="1:18">
      <c r="A103" s="185" t="s">
        <v>473</v>
      </c>
      <c r="B103" s="184"/>
      <c r="C103" s="184"/>
      <c r="D103" s="183"/>
      <c r="E103" s="183"/>
      <c r="F103" s="183"/>
      <c r="G103" s="183"/>
      <c r="H103" s="183"/>
      <c r="I103" s="184"/>
      <c r="J103" s="183"/>
      <c r="K103" s="183"/>
      <c r="L103" s="183"/>
      <c r="M103" s="183"/>
      <c r="N103" s="183"/>
      <c r="O103" s="183"/>
      <c r="P103" s="183"/>
      <c r="Q103" s="182"/>
    </row>
    <row r="104" spans="1:18">
      <c r="A104" s="177"/>
      <c r="B104" s="177"/>
      <c r="C104" s="177"/>
      <c r="D104" s="176"/>
      <c r="E104" s="176"/>
      <c r="F104" s="176"/>
      <c r="G104" s="176"/>
      <c r="H104" s="176"/>
      <c r="I104" s="176"/>
      <c r="J104" s="176"/>
      <c r="K104" s="176"/>
      <c r="L104" s="176"/>
      <c r="M104" s="176"/>
      <c r="N104" s="176"/>
      <c r="O104" s="176"/>
      <c r="P104" s="176"/>
      <c r="Q104" s="175"/>
    </row>
    <row r="105" spans="1:18">
      <c r="A105" s="177"/>
      <c r="B105" s="177"/>
      <c r="C105" s="177"/>
      <c r="D105" s="139" t="s">
        <v>413</v>
      </c>
      <c r="E105" s="139" t="s">
        <v>412</v>
      </c>
      <c r="F105" s="139" t="s">
        <v>411</v>
      </c>
      <c r="G105" s="139" t="s">
        <v>410</v>
      </c>
      <c r="H105" s="139" t="s">
        <v>409</v>
      </c>
      <c r="I105" s="139" t="s">
        <v>408</v>
      </c>
      <c r="J105" s="139" t="s">
        <v>407</v>
      </c>
      <c r="K105" s="139" t="s">
        <v>406</v>
      </c>
      <c r="L105" s="139" t="s">
        <v>405</v>
      </c>
      <c r="M105" s="139" t="s">
        <v>404</v>
      </c>
      <c r="N105" s="139" t="s">
        <v>403</v>
      </c>
      <c r="O105" s="139" t="s">
        <v>402</v>
      </c>
      <c r="P105" s="139" t="s">
        <v>93</v>
      </c>
      <c r="Q105" s="175"/>
    </row>
    <row r="106" spans="1:18">
      <c r="A106" s="180" t="s">
        <v>472</v>
      </c>
      <c r="B106" s="177"/>
      <c r="C106" s="177"/>
      <c r="D106" s="176"/>
      <c r="E106" s="176"/>
      <c r="F106" s="176"/>
      <c r="G106" s="176"/>
      <c r="H106" s="176"/>
      <c r="I106" s="176"/>
      <c r="J106" s="176"/>
      <c r="K106" s="176"/>
      <c r="L106" s="176"/>
      <c r="M106" s="176"/>
      <c r="N106" s="176"/>
      <c r="O106" s="176"/>
      <c r="P106" s="176"/>
      <c r="Q106" s="175"/>
    </row>
    <row r="107" spans="1:18">
      <c r="A107" s="179" t="s">
        <v>467</v>
      </c>
      <c r="B107" s="177"/>
      <c r="C107" s="177"/>
      <c r="D107" s="176">
        <v>5216442.7929999996</v>
      </c>
      <c r="E107" s="176">
        <v>3987392.0829999996</v>
      </c>
      <c r="F107" s="176">
        <v>3850643.3329999996</v>
      </c>
      <c r="G107" s="176">
        <v>3335505.3164931396</v>
      </c>
      <c r="H107" s="176">
        <v>4299630.642</v>
      </c>
      <c r="I107" s="176">
        <v>5503337.7070000004</v>
      </c>
      <c r="J107" s="176">
        <v>5922255.4809999997</v>
      </c>
      <c r="K107" s="176">
        <v>5850882.0549999997</v>
      </c>
      <c r="L107" s="176">
        <v>5761619.8852230767</v>
      </c>
      <c r="M107" s="176">
        <v>5099966.7769903541</v>
      </c>
      <c r="N107" s="176">
        <v>4182191.1540753883</v>
      </c>
      <c r="O107" s="176">
        <v>3793179.4338451112</v>
      </c>
      <c r="P107" s="176">
        <f t="shared" ref="P107:P112" si="31">SUM(D107:O107)</f>
        <v>56803046.660627067</v>
      </c>
      <c r="Q107" s="175"/>
      <c r="R107" s="186">
        <f t="shared" ref="R107:R112" si="32">P107/P57-1</f>
        <v>5.2892378041615729E-2</v>
      </c>
    </row>
    <row r="108" spans="1:18">
      <c r="A108" s="179" t="s">
        <v>466</v>
      </c>
      <c r="B108" s="177"/>
      <c r="C108" s="177"/>
      <c r="D108" s="176">
        <v>3588072.0110000004</v>
      </c>
      <c r="E108" s="176">
        <v>3201547.929</v>
      </c>
      <c r="F108" s="176">
        <v>3072576.7620000001</v>
      </c>
      <c r="G108" s="176">
        <v>3245212.0115068611</v>
      </c>
      <c r="H108" s="176">
        <v>3686740.9049999993</v>
      </c>
      <c r="I108" s="176">
        <v>4150599.8140000002</v>
      </c>
      <c r="J108" s="176">
        <v>4239946.3930000002</v>
      </c>
      <c r="K108" s="176">
        <v>4182914.2820000001</v>
      </c>
      <c r="L108" s="176">
        <v>4107649.375941956</v>
      </c>
      <c r="M108" s="176">
        <v>3953063.0647522369</v>
      </c>
      <c r="N108" s="176">
        <v>3668039.3705798681</v>
      </c>
      <c r="O108" s="176">
        <v>3698099.2989506396</v>
      </c>
      <c r="P108" s="176">
        <f t="shared" si="31"/>
        <v>44794461.217731565</v>
      </c>
      <c r="Q108" s="175"/>
      <c r="R108" s="186">
        <f t="shared" si="32"/>
        <v>-5.1138943423453265E-3</v>
      </c>
    </row>
    <row r="109" spans="1:18">
      <c r="A109" s="179" t="s">
        <v>465</v>
      </c>
      <c r="B109" s="177"/>
      <c r="C109" s="177"/>
      <c r="D109" s="176">
        <v>267623.46800000005</v>
      </c>
      <c r="E109" s="176">
        <v>258540.01199999999</v>
      </c>
      <c r="F109" s="176">
        <v>235312.60699999996</v>
      </c>
      <c r="G109" s="176">
        <v>260571.114</v>
      </c>
      <c r="H109" s="176">
        <v>265217.98</v>
      </c>
      <c r="I109" s="176">
        <v>276650.18700000003</v>
      </c>
      <c r="J109" s="176">
        <v>265029.33400000003</v>
      </c>
      <c r="K109" s="176">
        <v>268116.98100000003</v>
      </c>
      <c r="L109" s="176">
        <v>261584.31850959026</v>
      </c>
      <c r="M109" s="176">
        <v>259603.98932785369</v>
      </c>
      <c r="N109" s="176">
        <v>259963.83067287956</v>
      </c>
      <c r="O109" s="176">
        <v>258830.23737650143</v>
      </c>
      <c r="P109" s="176">
        <f t="shared" si="31"/>
        <v>3137044.0588868246</v>
      </c>
      <c r="Q109" s="175"/>
      <c r="R109" s="186">
        <f t="shared" si="32"/>
        <v>-3.3225374963835042E-2</v>
      </c>
    </row>
    <row r="110" spans="1:18">
      <c r="A110" s="179" t="s">
        <v>464</v>
      </c>
      <c r="B110" s="177"/>
      <c r="C110" s="177"/>
      <c r="D110" s="176">
        <v>35893.148999999998</v>
      </c>
      <c r="E110" s="176">
        <v>34964.942999999999</v>
      </c>
      <c r="F110" s="176">
        <v>35849.667999999998</v>
      </c>
      <c r="G110" s="176">
        <v>35740.376000000004</v>
      </c>
      <c r="H110" s="176">
        <v>35757.335000000006</v>
      </c>
      <c r="I110" s="176">
        <v>36046.186999999998</v>
      </c>
      <c r="J110" s="176">
        <v>36454.610999999997</v>
      </c>
      <c r="K110" s="176">
        <v>36395.301999999996</v>
      </c>
      <c r="L110" s="176">
        <v>36122.299636198833</v>
      </c>
      <c r="M110" s="176">
        <v>36248.411555993225</v>
      </c>
      <c r="N110" s="176">
        <v>36347.174250233256</v>
      </c>
      <c r="O110" s="176">
        <v>36597.123743131102</v>
      </c>
      <c r="P110" s="176">
        <f t="shared" si="31"/>
        <v>432416.58018555644</v>
      </c>
      <c r="Q110" s="175"/>
      <c r="R110" s="186">
        <f t="shared" si="32"/>
        <v>2.5416657447336677E-2</v>
      </c>
    </row>
    <row r="111" spans="1:18">
      <c r="A111" s="179" t="s">
        <v>463</v>
      </c>
      <c r="B111" s="177"/>
      <c r="C111" s="177"/>
      <c r="D111" s="176">
        <v>2099.683</v>
      </c>
      <c r="E111" s="176">
        <v>2095.4010000000003</v>
      </c>
      <c r="F111" s="176">
        <v>2158.5790000000002</v>
      </c>
      <c r="G111" s="176">
        <v>2089.5930000000003</v>
      </c>
      <c r="H111" s="176">
        <v>2216.529</v>
      </c>
      <c r="I111" s="176">
        <v>2463.1959999999999</v>
      </c>
      <c r="J111" s="176">
        <v>2499.6260000000002</v>
      </c>
      <c r="K111" s="176">
        <v>2349.7840000000001</v>
      </c>
      <c r="L111" s="176">
        <v>2382.8556891809717</v>
      </c>
      <c r="M111" s="176">
        <v>2334.967099433466</v>
      </c>
      <c r="N111" s="176">
        <v>2372.7232747068674</v>
      </c>
      <c r="O111" s="176">
        <v>2365.3196813359732</v>
      </c>
      <c r="P111" s="176">
        <f t="shared" si="31"/>
        <v>27428.256744657279</v>
      </c>
      <c r="Q111" s="175"/>
      <c r="R111" s="186">
        <f t="shared" si="32"/>
        <v>-0.18960434298462914</v>
      </c>
    </row>
    <row r="112" spans="1:18">
      <c r="A112" s="179" t="s">
        <v>462</v>
      </c>
      <c r="B112" s="177"/>
      <c r="C112" s="177"/>
      <c r="D112" s="176">
        <v>6842.15</v>
      </c>
      <c r="E112" s="176">
        <v>6651.05</v>
      </c>
      <c r="F112" s="176">
        <v>5934.6</v>
      </c>
      <c r="G112" s="176">
        <v>6091.4</v>
      </c>
      <c r="H112" s="176">
        <v>6478.15</v>
      </c>
      <c r="I112" s="176">
        <v>7249.2</v>
      </c>
      <c r="J112" s="176">
        <v>7318.5</v>
      </c>
      <c r="K112" s="176">
        <v>6916.35</v>
      </c>
      <c r="L112" s="176">
        <v>6964.3000000000011</v>
      </c>
      <c r="M112" s="176">
        <v>6883.916666666667</v>
      </c>
      <c r="N112" s="176">
        <v>6743.8000000000011</v>
      </c>
      <c r="O112" s="176">
        <v>6649.0666666666666</v>
      </c>
      <c r="P112" s="176">
        <f t="shared" si="31"/>
        <v>80722.483333333337</v>
      </c>
      <c r="Q112" s="175"/>
      <c r="R112" s="186">
        <f t="shared" si="32"/>
        <v>9.9355652072554701E-3</v>
      </c>
    </row>
    <row r="113" spans="1:19">
      <c r="A113" s="179"/>
      <c r="B113" s="177"/>
      <c r="C113" s="177"/>
      <c r="D113" s="176"/>
      <c r="E113" s="176"/>
      <c r="F113" s="176"/>
      <c r="G113" s="176"/>
      <c r="H113" s="176"/>
      <c r="I113" s="176"/>
      <c r="J113" s="176"/>
      <c r="K113" s="176"/>
      <c r="L113" s="176"/>
      <c r="M113" s="176"/>
      <c r="N113" s="176"/>
      <c r="O113" s="176"/>
      <c r="P113" s="176"/>
      <c r="Q113" s="175"/>
      <c r="R113" s="186"/>
    </row>
    <row r="114" spans="1:19">
      <c r="A114" s="180" t="s">
        <v>461</v>
      </c>
      <c r="B114" s="177"/>
      <c r="C114" s="177"/>
      <c r="D114" s="176"/>
      <c r="E114" s="176"/>
      <c r="F114" s="176"/>
      <c r="G114" s="176"/>
      <c r="H114" s="176"/>
      <c r="I114" s="176"/>
      <c r="J114" s="176"/>
      <c r="K114" s="176"/>
      <c r="L114" s="176"/>
      <c r="M114" s="176"/>
      <c r="N114" s="176"/>
      <c r="O114" s="176"/>
      <c r="P114" s="176"/>
      <c r="Q114" s="175"/>
      <c r="R114" s="186"/>
    </row>
    <row r="115" spans="1:19">
      <c r="A115" s="180" t="s">
        <v>471</v>
      </c>
      <c r="B115" s="177"/>
      <c r="C115" s="177"/>
      <c r="D115" s="176">
        <f t="shared" ref="D115:P115" si="33">SUM(D107:D114)</f>
        <v>9116973.2540000007</v>
      </c>
      <c r="E115" s="176">
        <f t="shared" si="33"/>
        <v>7491191.4179999996</v>
      </c>
      <c r="F115" s="176">
        <f t="shared" si="33"/>
        <v>7202475.5489999987</v>
      </c>
      <c r="G115" s="176">
        <f t="shared" si="33"/>
        <v>6885209.8110000016</v>
      </c>
      <c r="H115" s="176">
        <f t="shared" si="33"/>
        <v>8296041.5409999993</v>
      </c>
      <c r="I115" s="176">
        <f t="shared" si="33"/>
        <v>9976346.291000003</v>
      </c>
      <c r="J115" s="176">
        <f t="shared" si="33"/>
        <v>10473503.945</v>
      </c>
      <c r="K115" s="176">
        <f t="shared" si="33"/>
        <v>10347574.753999999</v>
      </c>
      <c r="L115" s="176">
        <f t="shared" si="33"/>
        <v>10176323.035000002</v>
      </c>
      <c r="M115" s="176">
        <f t="shared" si="33"/>
        <v>9358101.1263925359</v>
      </c>
      <c r="N115" s="176">
        <f t="shared" si="33"/>
        <v>8155658.0528530758</v>
      </c>
      <c r="O115" s="176">
        <f t="shared" si="33"/>
        <v>7795720.4802633859</v>
      </c>
      <c r="P115" s="176">
        <f t="shared" si="33"/>
        <v>105275119.25750901</v>
      </c>
      <c r="Q115" s="175"/>
      <c r="R115" s="186">
        <f>P115/P65-1</f>
        <v>2.4529816335744359E-2</v>
      </c>
    </row>
    <row r="116" spans="1:19">
      <c r="A116" s="180"/>
      <c r="B116" s="177"/>
      <c r="C116" s="177"/>
      <c r="D116" s="176"/>
      <c r="E116" s="176"/>
      <c r="F116" s="176"/>
      <c r="G116" s="176"/>
      <c r="H116" s="176"/>
      <c r="I116" s="176"/>
      <c r="J116" s="176"/>
      <c r="K116" s="176"/>
      <c r="L116" s="176"/>
      <c r="M116" s="176"/>
      <c r="N116" s="176"/>
      <c r="O116" s="176"/>
      <c r="P116" s="176"/>
      <c r="Q116" s="175"/>
      <c r="R116" s="186"/>
    </row>
    <row r="117" spans="1:19">
      <c r="A117" s="179" t="s">
        <v>459</v>
      </c>
      <c r="B117" s="177"/>
      <c r="C117" s="177"/>
      <c r="D117" s="176">
        <v>73636.073999999993</v>
      </c>
      <c r="E117" s="176">
        <v>182623.63200000001</v>
      </c>
      <c r="F117" s="176">
        <v>147785.796</v>
      </c>
      <c r="G117" s="176">
        <v>155790.66800000001</v>
      </c>
      <c r="H117" s="176">
        <v>155933.51900000003</v>
      </c>
      <c r="I117" s="176">
        <v>197833.20799999998</v>
      </c>
      <c r="J117" s="176">
        <v>207968.77599999998</v>
      </c>
      <c r="K117" s="176">
        <v>208547.66700000002</v>
      </c>
      <c r="L117" s="176">
        <v>207109.834</v>
      </c>
      <c r="M117" s="176">
        <v>191847.98499999999</v>
      </c>
      <c r="N117" s="176">
        <v>181431.07164576679</v>
      </c>
      <c r="O117" s="176">
        <v>151001.70334191847</v>
      </c>
      <c r="P117" s="176">
        <f>SUM(D117:O117)</f>
        <v>2061509.9339876852</v>
      </c>
      <c r="Q117" s="175"/>
      <c r="R117" s="186">
        <f>P117/P67-1</f>
        <v>0.78497923546448245</v>
      </c>
    </row>
    <row r="118" spans="1:19">
      <c r="A118" s="177"/>
      <c r="B118" s="177"/>
      <c r="C118" s="177"/>
      <c r="D118" s="176"/>
      <c r="E118" s="176"/>
      <c r="F118" s="176"/>
      <c r="G118" s="176"/>
      <c r="H118" s="176"/>
      <c r="I118" s="176"/>
      <c r="J118" s="176"/>
      <c r="K118" s="176"/>
      <c r="L118" s="176"/>
      <c r="M118" s="176"/>
      <c r="N118" s="176"/>
      <c r="O118" s="176"/>
      <c r="P118" s="176"/>
      <c r="Q118" s="175"/>
      <c r="R118" s="186"/>
    </row>
    <row r="119" spans="1:19">
      <c r="A119" s="180" t="s">
        <v>470</v>
      </c>
      <c r="B119" s="177"/>
      <c r="C119" s="177"/>
      <c r="D119" s="176">
        <f t="shared" ref="D119:P119" si="34">SUM(D115:D117)</f>
        <v>9190609.3279999997</v>
      </c>
      <c r="E119" s="176">
        <f t="shared" si="34"/>
        <v>7673815.0499999998</v>
      </c>
      <c r="F119" s="176">
        <f t="shared" si="34"/>
        <v>7350261.3449999988</v>
      </c>
      <c r="G119" s="176">
        <f t="shared" si="34"/>
        <v>7041000.4790000012</v>
      </c>
      <c r="H119" s="176">
        <f t="shared" si="34"/>
        <v>8451975.0599999987</v>
      </c>
      <c r="I119" s="176">
        <f t="shared" si="34"/>
        <v>10174179.499000004</v>
      </c>
      <c r="J119" s="176">
        <f t="shared" si="34"/>
        <v>10681472.721000001</v>
      </c>
      <c r="K119" s="176">
        <f t="shared" si="34"/>
        <v>10556122.420999998</v>
      </c>
      <c r="L119" s="176">
        <f t="shared" si="34"/>
        <v>10383432.869000003</v>
      </c>
      <c r="M119" s="176">
        <f t="shared" si="34"/>
        <v>9549949.1113925353</v>
      </c>
      <c r="N119" s="176">
        <f t="shared" si="34"/>
        <v>8337089.1244988423</v>
      </c>
      <c r="O119" s="176">
        <f t="shared" si="34"/>
        <v>7946722.183605304</v>
      </c>
      <c r="P119" s="176">
        <f t="shared" si="34"/>
        <v>107336629.1914967</v>
      </c>
      <c r="Q119" s="175"/>
      <c r="R119" s="186">
        <f>P119/P69-1</f>
        <v>3.2981970012519124E-2</v>
      </c>
      <c r="S119" s="187">
        <v>0</v>
      </c>
    </row>
    <row r="120" spans="1:19">
      <c r="A120" s="177"/>
      <c r="B120" s="177"/>
      <c r="C120" s="177"/>
      <c r="D120" s="176"/>
      <c r="E120" s="176"/>
      <c r="F120" s="176"/>
      <c r="G120" s="176"/>
      <c r="H120" s="176"/>
      <c r="I120" s="188"/>
      <c r="J120" s="176"/>
      <c r="K120" s="176"/>
      <c r="L120" s="176"/>
      <c r="M120" s="176"/>
      <c r="N120" s="176"/>
      <c r="O120" s="176"/>
      <c r="P120" s="176"/>
      <c r="Q120" s="175"/>
      <c r="R120" s="186"/>
    </row>
    <row r="121" spans="1:19">
      <c r="A121" s="180" t="s">
        <v>469</v>
      </c>
      <c r="B121" s="177"/>
      <c r="C121" s="177"/>
      <c r="D121" s="176"/>
      <c r="E121" s="176"/>
      <c r="F121" s="176"/>
      <c r="G121" s="176"/>
      <c r="H121" s="176"/>
      <c r="I121" s="176"/>
      <c r="J121" s="176"/>
      <c r="K121" s="176"/>
      <c r="L121" s="176"/>
      <c r="M121" s="176"/>
      <c r="N121" s="176"/>
      <c r="O121" s="176"/>
      <c r="P121" s="176"/>
      <c r="Q121" s="175"/>
      <c r="R121" s="186"/>
    </row>
    <row r="122" spans="1:19">
      <c r="A122" s="179" t="s">
        <v>467</v>
      </c>
      <c r="B122" s="177"/>
      <c r="C122" s="177"/>
      <c r="D122" s="181">
        <v>3988092</v>
      </c>
      <c r="E122" s="181">
        <v>3996803</v>
      </c>
      <c r="F122" s="181">
        <v>4002154</v>
      </c>
      <c r="G122" s="181">
        <v>4005428</v>
      </c>
      <c r="H122" s="181">
        <v>4006527</v>
      </c>
      <c r="I122" s="181">
        <v>4006189</v>
      </c>
      <c r="J122" s="181">
        <v>4006320</v>
      </c>
      <c r="K122" s="181">
        <v>4009524</v>
      </c>
      <c r="L122" s="181">
        <v>4007696.42329492</v>
      </c>
      <c r="M122" s="181">
        <v>4007268.3725763108</v>
      </c>
      <c r="N122" s="181">
        <v>4010429.82330412</v>
      </c>
      <c r="O122" s="181">
        <v>4010583.6685429877</v>
      </c>
      <c r="P122" s="176">
        <f>AVERAGE(C122:O122)</f>
        <v>4004751.2739765276</v>
      </c>
      <c r="Q122" s="175"/>
      <c r="R122" s="186">
        <f t="shared" ref="R122:R127" si="35">P122/P72-1</f>
        <v>5.0850567409168601E-3</v>
      </c>
    </row>
    <row r="123" spans="1:19">
      <c r="A123" s="179" t="s">
        <v>466</v>
      </c>
      <c r="B123" s="177"/>
      <c r="C123" s="177"/>
      <c r="D123" s="181">
        <v>501516</v>
      </c>
      <c r="E123" s="181">
        <v>501369</v>
      </c>
      <c r="F123" s="181">
        <v>502122</v>
      </c>
      <c r="G123" s="181">
        <v>502350</v>
      </c>
      <c r="H123" s="181">
        <v>502833</v>
      </c>
      <c r="I123" s="181">
        <v>503340</v>
      </c>
      <c r="J123" s="181">
        <v>504091</v>
      </c>
      <c r="K123" s="181">
        <v>504878</v>
      </c>
      <c r="L123" s="181">
        <v>504838.89735493402</v>
      </c>
      <c r="M123" s="181">
        <v>504689.16156224598</v>
      </c>
      <c r="N123" s="181">
        <v>504536.48782479798</v>
      </c>
      <c r="O123" s="181">
        <v>504396.23042614001</v>
      </c>
      <c r="P123" s="176">
        <f>AVERAGE(D123:O123)</f>
        <v>503413.31476400985</v>
      </c>
      <c r="Q123" s="175"/>
      <c r="R123" s="186">
        <f t="shared" si="35"/>
        <v>4.7073667890060733E-3</v>
      </c>
    </row>
    <row r="124" spans="1:19">
      <c r="A124" s="179" t="s">
        <v>465</v>
      </c>
      <c r="B124" s="177"/>
      <c r="C124" s="177"/>
      <c r="D124" s="181">
        <v>9041</v>
      </c>
      <c r="E124" s="181">
        <v>8993</v>
      </c>
      <c r="F124" s="181">
        <v>8936</v>
      </c>
      <c r="G124" s="181">
        <v>8946</v>
      </c>
      <c r="H124" s="181">
        <v>8858</v>
      </c>
      <c r="I124" s="181">
        <v>8871</v>
      </c>
      <c r="J124" s="181">
        <v>8857</v>
      </c>
      <c r="K124" s="181">
        <v>8840</v>
      </c>
      <c r="L124" s="181">
        <v>8858.3411004532791</v>
      </c>
      <c r="M124" s="181">
        <v>8848.2983501587005</v>
      </c>
      <c r="N124" s="181">
        <v>8857.0171110832107</v>
      </c>
      <c r="O124" s="181">
        <v>8858.4069597984308</v>
      </c>
      <c r="P124" s="176">
        <f>AVERAGE(D124:O124)</f>
        <v>8897.0052934578034</v>
      </c>
      <c r="Q124" s="175"/>
      <c r="R124" s="186">
        <f t="shared" si="35"/>
        <v>-0.11767424343616573</v>
      </c>
    </row>
    <row r="125" spans="1:19">
      <c r="A125" s="179" t="s">
        <v>464</v>
      </c>
      <c r="B125" s="177"/>
      <c r="C125" s="177"/>
      <c r="D125" s="181">
        <v>3262</v>
      </c>
      <c r="E125" s="181">
        <v>3275</v>
      </c>
      <c r="F125" s="181">
        <v>3281</v>
      </c>
      <c r="G125" s="181">
        <v>3286</v>
      </c>
      <c r="H125" s="181">
        <v>3291</v>
      </c>
      <c r="I125" s="181">
        <v>3299</v>
      </c>
      <c r="J125" s="181">
        <v>3303</v>
      </c>
      <c r="K125" s="181">
        <v>3305</v>
      </c>
      <c r="L125" s="181">
        <v>3311.3382496926602</v>
      </c>
      <c r="M125" s="181">
        <v>3317.6993213422702</v>
      </c>
      <c r="N125" s="181">
        <v>3324.0838414693599</v>
      </c>
      <c r="O125" s="181">
        <v>3330.4922395039598</v>
      </c>
      <c r="P125" s="176">
        <f>AVERAGE(D125:O125)</f>
        <v>3298.8011376673544</v>
      </c>
      <c r="Q125" s="175"/>
      <c r="R125" s="186">
        <f t="shared" si="35"/>
        <v>2.5507464884543252E-2</v>
      </c>
    </row>
    <row r="126" spans="1:19">
      <c r="A126" s="179" t="s">
        <v>463</v>
      </c>
      <c r="B126" s="177"/>
      <c r="C126" s="177"/>
      <c r="D126" s="181">
        <v>191</v>
      </c>
      <c r="E126" s="181">
        <v>191</v>
      </c>
      <c r="F126" s="181">
        <v>191</v>
      </c>
      <c r="G126" s="181">
        <v>191</v>
      </c>
      <c r="H126" s="181">
        <v>191</v>
      </c>
      <c r="I126" s="181">
        <v>191</v>
      </c>
      <c r="J126" s="181">
        <v>191</v>
      </c>
      <c r="K126" s="181">
        <v>191</v>
      </c>
      <c r="L126" s="181">
        <v>191</v>
      </c>
      <c r="M126" s="181">
        <v>191</v>
      </c>
      <c r="N126" s="181">
        <v>191</v>
      </c>
      <c r="O126" s="181">
        <v>191</v>
      </c>
      <c r="P126" s="176">
        <f>AVERAGE(D126:O126)</f>
        <v>191</v>
      </c>
      <c r="Q126" s="175"/>
      <c r="R126" s="186">
        <f t="shared" si="35"/>
        <v>-1.7152658662092701E-2</v>
      </c>
    </row>
    <row r="127" spans="1:19">
      <c r="A127" s="179" t="s">
        <v>462</v>
      </c>
      <c r="B127" s="177"/>
      <c r="C127" s="177"/>
      <c r="D127" s="181">
        <v>23</v>
      </c>
      <c r="E127" s="181">
        <v>23</v>
      </c>
      <c r="F127" s="181">
        <v>23</v>
      </c>
      <c r="G127" s="181">
        <v>23</v>
      </c>
      <c r="H127" s="181">
        <v>23</v>
      </c>
      <c r="I127" s="181">
        <v>23</v>
      </c>
      <c r="J127" s="181">
        <v>23</v>
      </c>
      <c r="K127" s="181">
        <v>23</v>
      </c>
      <c r="L127" s="181">
        <v>23</v>
      </c>
      <c r="M127" s="181">
        <v>23</v>
      </c>
      <c r="N127" s="181">
        <v>23</v>
      </c>
      <c r="O127" s="181">
        <v>23</v>
      </c>
      <c r="P127" s="176">
        <f>AVERAGE(D127:O127)</f>
        <v>23</v>
      </c>
      <c r="Q127" s="175"/>
      <c r="R127" s="186">
        <f t="shared" si="35"/>
        <v>0</v>
      </c>
    </row>
    <row r="128" spans="1:19">
      <c r="A128" s="179"/>
      <c r="B128" s="177"/>
      <c r="C128" s="177"/>
      <c r="D128" s="176"/>
      <c r="E128" s="176"/>
      <c r="F128" s="176"/>
      <c r="G128" s="176"/>
      <c r="H128" s="176"/>
      <c r="I128" s="176"/>
      <c r="J128" s="176"/>
      <c r="K128" s="176"/>
      <c r="L128" s="176"/>
      <c r="M128" s="176"/>
      <c r="N128" s="176"/>
      <c r="O128" s="176"/>
      <c r="P128" s="176"/>
      <c r="Q128" s="175"/>
      <c r="R128" s="186"/>
    </row>
    <row r="129" spans="1:19">
      <c r="A129" s="180" t="s">
        <v>461</v>
      </c>
      <c r="B129" s="177"/>
      <c r="C129" s="177"/>
      <c r="D129" s="176"/>
      <c r="E129" s="176"/>
      <c r="F129" s="176"/>
      <c r="G129" s="176"/>
      <c r="H129" s="176"/>
      <c r="I129" s="176"/>
      <c r="J129" s="176"/>
      <c r="K129" s="176"/>
      <c r="L129" s="176"/>
      <c r="M129" s="176"/>
      <c r="N129" s="176"/>
      <c r="O129" s="176"/>
      <c r="P129" s="176"/>
      <c r="Q129" s="175"/>
      <c r="R129" s="186"/>
    </row>
    <row r="130" spans="1:19">
      <c r="A130" s="180" t="s">
        <v>469</v>
      </c>
      <c r="B130" s="177"/>
      <c r="C130" s="177"/>
      <c r="D130" s="176">
        <f t="shared" ref="D130:P130" si="36">SUM(D122:D129)</f>
        <v>4502125</v>
      </c>
      <c r="E130" s="176">
        <f t="shared" si="36"/>
        <v>4510654</v>
      </c>
      <c r="F130" s="176">
        <f t="shared" si="36"/>
        <v>4516707</v>
      </c>
      <c r="G130" s="176">
        <f t="shared" si="36"/>
        <v>4520224</v>
      </c>
      <c r="H130" s="176">
        <f t="shared" si="36"/>
        <v>4521723</v>
      </c>
      <c r="I130" s="176">
        <f t="shared" si="36"/>
        <v>4521913</v>
      </c>
      <c r="J130" s="176">
        <f t="shared" si="36"/>
        <v>4522785</v>
      </c>
      <c r="K130" s="176">
        <f t="shared" si="36"/>
        <v>4526761</v>
      </c>
      <c r="L130" s="176">
        <f t="shared" si="36"/>
        <v>4524919</v>
      </c>
      <c r="M130" s="176">
        <f t="shared" si="36"/>
        <v>4524337.5318100583</v>
      </c>
      <c r="N130" s="176">
        <f t="shared" si="36"/>
        <v>4527361.4120814707</v>
      </c>
      <c r="O130" s="176">
        <f t="shared" si="36"/>
        <v>4527382.7981684301</v>
      </c>
      <c r="P130" s="176">
        <f t="shared" si="36"/>
        <v>4520574.3951716628</v>
      </c>
      <c r="Q130" s="175"/>
      <c r="R130" s="186">
        <f>P130/P80-1</f>
        <v>4.7814731106829989E-3</v>
      </c>
    </row>
    <row r="131" spans="1:19">
      <c r="A131" s="180"/>
      <c r="B131" s="177"/>
      <c r="C131" s="177"/>
      <c r="D131" s="176"/>
      <c r="E131" s="176"/>
      <c r="F131" s="176"/>
      <c r="G131" s="176"/>
      <c r="H131" s="176"/>
      <c r="I131" s="176"/>
      <c r="J131" s="176"/>
      <c r="K131" s="176"/>
      <c r="L131" s="176"/>
      <c r="M131" s="176"/>
      <c r="N131" s="176"/>
      <c r="O131" s="176"/>
      <c r="P131" s="176"/>
      <c r="Q131" s="175"/>
      <c r="R131" s="186"/>
    </row>
    <row r="132" spans="1:19">
      <c r="A132" s="179" t="s">
        <v>459</v>
      </c>
      <c r="B132" s="177"/>
      <c r="C132" s="177"/>
      <c r="D132" s="181">
        <v>5</v>
      </c>
      <c r="E132" s="181">
        <v>5</v>
      </c>
      <c r="F132" s="181">
        <v>5</v>
      </c>
      <c r="G132" s="181">
        <v>5</v>
      </c>
      <c r="H132" s="181">
        <v>4</v>
      </c>
      <c r="I132" s="181">
        <v>5</v>
      </c>
      <c r="J132" s="181">
        <v>5</v>
      </c>
      <c r="K132" s="181">
        <v>5</v>
      </c>
      <c r="L132" s="181">
        <v>4</v>
      </c>
      <c r="M132" s="181">
        <v>4</v>
      </c>
      <c r="N132" s="181">
        <v>4</v>
      </c>
      <c r="O132" s="181">
        <v>4</v>
      </c>
      <c r="P132" s="176">
        <f>AVERAGE(D132:O132)</f>
        <v>4.583333333333333</v>
      </c>
      <c r="Q132" s="175"/>
      <c r="R132" s="186">
        <f>P132/P82-1</f>
        <v>1.8518518518518379E-2</v>
      </c>
    </row>
    <row r="133" spans="1:19">
      <c r="A133" s="177"/>
      <c r="B133" s="177"/>
      <c r="C133" s="177"/>
      <c r="D133" s="176"/>
      <c r="E133" s="176"/>
      <c r="F133" s="176"/>
      <c r="G133" s="176"/>
      <c r="H133" s="176"/>
      <c r="I133" s="176"/>
      <c r="J133" s="176"/>
      <c r="K133" s="176"/>
      <c r="L133" s="176"/>
      <c r="M133" s="176"/>
      <c r="N133" s="176"/>
      <c r="O133" s="176"/>
      <c r="P133" s="176"/>
      <c r="Q133" s="175"/>
      <c r="R133" s="186"/>
    </row>
    <row r="134" spans="1:19">
      <c r="A134" s="178" t="s">
        <v>468</v>
      </c>
      <c r="B134" s="177"/>
      <c r="C134" s="177"/>
      <c r="D134" s="176">
        <f t="shared" ref="D134:P134" si="37">SUM(D130:D132)</f>
        <v>4502130</v>
      </c>
      <c r="E134" s="176">
        <f t="shared" si="37"/>
        <v>4510659</v>
      </c>
      <c r="F134" s="176">
        <f t="shared" si="37"/>
        <v>4516712</v>
      </c>
      <c r="G134" s="176">
        <f t="shared" si="37"/>
        <v>4520229</v>
      </c>
      <c r="H134" s="176">
        <f t="shared" si="37"/>
        <v>4521727</v>
      </c>
      <c r="I134" s="176">
        <f t="shared" si="37"/>
        <v>4521918</v>
      </c>
      <c r="J134" s="176">
        <f t="shared" si="37"/>
        <v>4522790</v>
      </c>
      <c r="K134" s="176">
        <f t="shared" si="37"/>
        <v>4526766</v>
      </c>
      <c r="L134" s="176">
        <f t="shared" si="37"/>
        <v>4524923</v>
      </c>
      <c r="M134" s="176">
        <f t="shared" si="37"/>
        <v>4524341.5318100583</v>
      </c>
      <c r="N134" s="176">
        <f t="shared" si="37"/>
        <v>4527365.4120814707</v>
      </c>
      <c r="O134" s="176">
        <f t="shared" si="37"/>
        <v>4527386.7981684301</v>
      </c>
      <c r="P134" s="176">
        <f t="shared" si="37"/>
        <v>4520578.9785049958</v>
      </c>
      <c r="Q134" s="175"/>
      <c r="R134" s="186">
        <f>P134/P84-1</f>
        <v>4.7814868505777763E-3</v>
      </c>
      <c r="S134" s="187">
        <v>-8.333333395421505E-2</v>
      </c>
    </row>
    <row r="135" spans="1:19">
      <c r="A135" s="177"/>
      <c r="B135" s="177"/>
      <c r="C135" s="177"/>
      <c r="D135" s="176"/>
      <c r="E135" s="176"/>
      <c r="F135" s="176"/>
      <c r="G135" s="176"/>
      <c r="H135" s="176"/>
      <c r="I135" s="176"/>
      <c r="J135" s="176"/>
      <c r="K135" s="176"/>
      <c r="L135" s="176"/>
      <c r="M135" s="176"/>
      <c r="N135" s="176"/>
      <c r="O135" s="176"/>
      <c r="P135" s="176"/>
      <c r="Q135" s="175"/>
      <c r="R135" s="186"/>
    </row>
    <row r="136" spans="1:19">
      <c r="A136" s="180" t="s">
        <v>460</v>
      </c>
      <c r="B136" s="177"/>
      <c r="C136" s="177"/>
      <c r="D136" s="176"/>
      <c r="E136" s="176"/>
      <c r="F136" s="176"/>
      <c r="G136" s="176"/>
      <c r="H136" s="176"/>
      <c r="I136" s="176"/>
      <c r="J136" s="176"/>
      <c r="K136" s="176"/>
      <c r="L136" s="176"/>
      <c r="M136" s="176"/>
      <c r="N136" s="176"/>
      <c r="O136" s="176"/>
      <c r="P136" s="176"/>
      <c r="Q136" s="175"/>
      <c r="R136" s="186"/>
    </row>
    <row r="137" spans="1:19">
      <c r="A137" s="179" t="s">
        <v>467</v>
      </c>
      <c r="B137" s="177"/>
      <c r="C137" s="177"/>
      <c r="D137" s="176">
        <f t="shared" ref="D137:P137" si="38">(D107/D122)*1000</f>
        <v>1308.0046280276383</v>
      </c>
      <c r="E137" s="176">
        <f t="shared" si="38"/>
        <v>997.64538882701993</v>
      </c>
      <c r="F137" s="176">
        <f t="shared" si="38"/>
        <v>962.14271939560535</v>
      </c>
      <c r="G137" s="176">
        <f t="shared" si="38"/>
        <v>832.74629240449201</v>
      </c>
      <c r="H137" s="176">
        <f t="shared" si="38"/>
        <v>1073.1565373202277</v>
      </c>
      <c r="I137" s="176">
        <f t="shared" si="38"/>
        <v>1373.7089555684968</v>
      </c>
      <c r="J137" s="176">
        <f t="shared" si="38"/>
        <v>1478.2282695840572</v>
      </c>
      <c r="K137" s="176">
        <f t="shared" si="38"/>
        <v>1459.2460489075509</v>
      </c>
      <c r="L137" s="176">
        <f t="shared" si="38"/>
        <v>1437.6388021142011</v>
      </c>
      <c r="M137" s="176">
        <f t="shared" si="38"/>
        <v>1272.6791177481175</v>
      </c>
      <c r="N137" s="176">
        <f t="shared" si="38"/>
        <v>1042.8286588567598</v>
      </c>
      <c r="O137" s="176">
        <f t="shared" si="38"/>
        <v>945.79237022204859</v>
      </c>
      <c r="P137" s="176">
        <f t="shared" si="38"/>
        <v>14183.913750085245</v>
      </c>
      <c r="Q137" s="175"/>
      <c r="R137" s="186">
        <f t="shared" ref="R137:R142" si="39">P137/P87-1</f>
        <v>4.7565448297200552E-2</v>
      </c>
    </row>
    <row r="138" spans="1:19">
      <c r="A138" s="179" t="s">
        <v>466</v>
      </c>
      <c r="B138" s="177"/>
      <c r="C138" s="177"/>
      <c r="D138" s="176">
        <f t="shared" ref="D138:P138" si="40">(D108/D123)*1000</f>
        <v>7154.4517243717055</v>
      </c>
      <c r="E138" s="176">
        <f t="shared" si="40"/>
        <v>6385.6120522010733</v>
      </c>
      <c r="F138" s="176">
        <f t="shared" si="40"/>
        <v>6119.1837083417977</v>
      </c>
      <c r="G138" s="176">
        <f t="shared" si="40"/>
        <v>6460.0617328692369</v>
      </c>
      <c r="H138" s="176">
        <f t="shared" si="40"/>
        <v>7331.9390433802064</v>
      </c>
      <c r="I138" s="176">
        <f t="shared" si="40"/>
        <v>8246.1155759526355</v>
      </c>
      <c r="J138" s="176">
        <f t="shared" si="40"/>
        <v>8411.0733835755855</v>
      </c>
      <c r="K138" s="176">
        <f t="shared" si="40"/>
        <v>8285.0001029951782</v>
      </c>
      <c r="L138" s="176">
        <f t="shared" si="40"/>
        <v>8136.5548444537071</v>
      </c>
      <c r="M138" s="176">
        <f t="shared" si="40"/>
        <v>7832.668830286907</v>
      </c>
      <c r="N138" s="176">
        <f t="shared" si="40"/>
        <v>7270.1171453304423</v>
      </c>
      <c r="O138" s="176">
        <f t="shared" si="40"/>
        <v>7331.7346083778102</v>
      </c>
      <c r="P138" s="176">
        <f t="shared" si="40"/>
        <v>88981.478844536163</v>
      </c>
      <c r="Q138" s="175"/>
      <c r="R138" s="186">
        <f t="shared" si="39"/>
        <v>-9.7752454654926879E-3</v>
      </c>
    </row>
    <row r="139" spans="1:19">
      <c r="A139" s="179" t="s">
        <v>465</v>
      </c>
      <c r="B139" s="177"/>
      <c r="C139" s="177"/>
      <c r="D139" s="176">
        <f t="shared" ref="D139:P139" si="41">(D109/D124)*1000</f>
        <v>29601.091472182285</v>
      </c>
      <c r="E139" s="176">
        <f t="shared" si="41"/>
        <v>28749.028355387523</v>
      </c>
      <c r="F139" s="176">
        <f t="shared" si="41"/>
        <v>26333.102842435088</v>
      </c>
      <c r="G139" s="176">
        <f t="shared" si="41"/>
        <v>29127.108651911469</v>
      </c>
      <c r="H139" s="176">
        <f t="shared" si="41"/>
        <v>29941.067961165045</v>
      </c>
      <c r="I139" s="176">
        <f t="shared" si="41"/>
        <v>31185.90767669936</v>
      </c>
      <c r="J139" s="176">
        <f t="shared" si="41"/>
        <v>29923.149373376993</v>
      </c>
      <c r="K139" s="176">
        <f t="shared" si="41"/>
        <v>30329.975226244347</v>
      </c>
      <c r="L139" s="176">
        <f t="shared" si="41"/>
        <v>29529.718436356561</v>
      </c>
      <c r="M139" s="176">
        <f t="shared" si="41"/>
        <v>29339.425396205985</v>
      </c>
      <c r="N139" s="176">
        <f t="shared" si="41"/>
        <v>29351.17177854092</v>
      </c>
      <c r="O139" s="176">
        <f t="shared" si="41"/>
        <v>29218.598620625013</v>
      </c>
      <c r="P139" s="176">
        <f t="shared" si="41"/>
        <v>352595.50325249037</v>
      </c>
      <c r="Q139" s="175"/>
      <c r="R139" s="186">
        <f t="shared" si="39"/>
        <v>9.5711666404494355E-2</v>
      </c>
    </row>
    <row r="140" spans="1:19">
      <c r="A140" s="179" t="s">
        <v>464</v>
      </c>
      <c r="B140" s="177"/>
      <c r="C140" s="177"/>
      <c r="D140" s="176">
        <f t="shared" ref="D140:P140" si="42">(D110/D125)*1000</f>
        <v>11003.417841814837</v>
      </c>
      <c r="E140" s="176">
        <f t="shared" si="42"/>
        <v>10676.318473282443</v>
      </c>
      <c r="F140" s="176">
        <f t="shared" si="42"/>
        <v>10926.445595854922</v>
      </c>
      <c r="G140" s="176">
        <f t="shared" si="42"/>
        <v>10876.559951308582</v>
      </c>
      <c r="H140" s="176">
        <f t="shared" si="42"/>
        <v>10865.188392585842</v>
      </c>
      <c r="I140" s="176">
        <f t="shared" si="42"/>
        <v>10926.397999393756</v>
      </c>
      <c r="J140" s="176">
        <f t="shared" si="42"/>
        <v>11036.81834695731</v>
      </c>
      <c r="K140" s="176">
        <f t="shared" si="42"/>
        <v>11012.194251134642</v>
      </c>
      <c r="L140" s="176">
        <f t="shared" si="42"/>
        <v>10908.671030376165</v>
      </c>
      <c r="M140" s="176">
        <f t="shared" si="42"/>
        <v>10925.76754102234</v>
      </c>
      <c r="N140" s="176">
        <f t="shared" si="42"/>
        <v>10934.493828581215</v>
      </c>
      <c r="O140" s="176">
        <f t="shared" si="42"/>
        <v>10988.502933302689</v>
      </c>
      <c r="P140" s="176">
        <f t="shared" si="42"/>
        <v>131082.94866520099</v>
      </c>
      <c r="Q140" s="175"/>
      <c r="R140" s="186">
        <f t="shared" si="39"/>
        <v>-8.8548782252617642E-5</v>
      </c>
    </row>
    <row r="141" spans="1:19">
      <c r="A141" s="179" t="s">
        <v>463</v>
      </c>
      <c r="B141" s="177"/>
      <c r="C141" s="177"/>
      <c r="D141" s="176">
        <f t="shared" ref="D141:P141" si="43">(D111/D126)*1000</f>
        <v>10993.104712041886</v>
      </c>
      <c r="E141" s="176">
        <f t="shared" si="43"/>
        <v>10970.685863874347</v>
      </c>
      <c r="F141" s="176">
        <f t="shared" si="43"/>
        <v>11301.460732984295</v>
      </c>
      <c r="G141" s="176">
        <f t="shared" si="43"/>
        <v>10940.277486910996</v>
      </c>
      <c r="H141" s="176">
        <f t="shared" si="43"/>
        <v>11604.86387434555</v>
      </c>
      <c r="I141" s="176">
        <f t="shared" si="43"/>
        <v>12896.314136125653</v>
      </c>
      <c r="J141" s="176">
        <f t="shared" si="43"/>
        <v>13087.047120418851</v>
      </c>
      <c r="K141" s="176">
        <f t="shared" si="43"/>
        <v>12302.534031413612</v>
      </c>
      <c r="L141" s="176">
        <f t="shared" si="43"/>
        <v>12475.68423654959</v>
      </c>
      <c r="M141" s="176">
        <f t="shared" si="43"/>
        <v>12224.95863577731</v>
      </c>
      <c r="N141" s="176">
        <f t="shared" si="43"/>
        <v>12422.634946109254</v>
      </c>
      <c r="O141" s="176">
        <f t="shared" si="43"/>
        <v>12383.872677151692</v>
      </c>
      <c r="P141" s="176">
        <f t="shared" si="43"/>
        <v>143603.43845370304</v>
      </c>
      <c r="Q141" s="175"/>
      <c r="R141" s="186">
        <f t="shared" si="39"/>
        <v>-0.17546131232118456</v>
      </c>
    </row>
    <row r="142" spans="1:19">
      <c r="A142" s="179" t="s">
        <v>462</v>
      </c>
      <c r="B142" s="177"/>
      <c r="C142" s="177"/>
      <c r="D142" s="176">
        <f t="shared" ref="D142:P142" si="44">(D112/D127)*1000</f>
        <v>297484.78260869562</v>
      </c>
      <c r="E142" s="176">
        <f t="shared" si="44"/>
        <v>289176.08695652179</v>
      </c>
      <c r="F142" s="176">
        <f t="shared" si="44"/>
        <v>258026.08695652173</v>
      </c>
      <c r="G142" s="176">
        <f t="shared" si="44"/>
        <v>264843.47826086957</v>
      </c>
      <c r="H142" s="176">
        <f t="shared" si="44"/>
        <v>281658.69565217389</v>
      </c>
      <c r="I142" s="176">
        <f t="shared" si="44"/>
        <v>315182.60869565216</v>
      </c>
      <c r="J142" s="176">
        <f t="shared" si="44"/>
        <v>318195.65217391308</v>
      </c>
      <c r="K142" s="176">
        <f t="shared" si="44"/>
        <v>300710.86956521741</v>
      </c>
      <c r="L142" s="176">
        <f t="shared" si="44"/>
        <v>302795.65217391308</v>
      </c>
      <c r="M142" s="176">
        <f t="shared" si="44"/>
        <v>299300.72463768121</v>
      </c>
      <c r="N142" s="176">
        <f t="shared" si="44"/>
        <v>293208.69565217395</v>
      </c>
      <c r="O142" s="176">
        <f t="shared" si="44"/>
        <v>289089.85507246375</v>
      </c>
      <c r="P142" s="176">
        <f t="shared" si="44"/>
        <v>3509673.1884057974</v>
      </c>
      <c r="Q142" s="175"/>
      <c r="R142" s="186">
        <f t="shared" si="39"/>
        <v>9.9355652072554701E-3</v>
      </c>
    </row>
    <row r="143" spans="1:19">
      <c r="A143" s="179"/>
      <c r="B143" s="177"/>
      <c r="C143" s="177"/>
      <c r="D143" s="176"/>
      <c r="E143" s="176"/>
      <c r="F143" s="176"/>
      <c r="G143" s="176"/>
      <c r="H143" s="176"/>
      <c r="I143" s="176"/>
      <c r="J143" s="176"/>
      <c r="K143" s="176"/>
      <c r="L143" s="176"/>
      <c r="M143" s="176"/>
      <c r="N143" s="176"/>
      <c r="O143" s="176"/>
      <c r="P143" s="176"/>
      <c r="Q143" s="175"/>
      <c r="R143" s="186"/>
    </row>
    <row r="144" spans="1:19">
      <c r="A144" s="180" t="s">
        <v>461</v>
      </c>
      <c r="B144" s="177"/>
      <c r="C144" s="177"/>
      <c r="D144" s="176"/>
      <c r="E144" s="176"/>
      <c r="F144" s="176"/>
      <c r="G144" s="176"/>
      <c r="H144" s="176"/>
      <c r="I144" s="176"/>
      <c r="J144" s="176"/>
      <c r="K144" s="176"/>
      <c r="L144" s="176"/>
      <c r="M144" s="176"/>
      <c r="N144" s="176"/>
      <c r="O144" s="176"/>
      <c r="P144" s="176"/>
      <c r="Q144" s="175"/>
      <c r="R144" s="186"/>
    </row>
    <row r="145" spans="1:18">
      <c r="A145" s="180" t="s">
        <v>460</v>
      </c>
      <c r="B145" s="177"/>
      <c r="C145" s="177"/>
      <c r="D145" s="176">
        <f t="shared" ref="D145:P145" si="45">(D115/D130)*1000</f>
        <v>2025.0377885998278</v>
      </c>
      <c r="E145" s="176">
        <f t="shared" si="45"/>
        <v>1660.7772216623132</v>
      </c>
      <c r="F145" s="176">
        <f t="shared" si="45"/>
        <v>1594.6297931214044</v>
      </c>
      <c r="G145" s="176">
        <f t="shared" si="45"/>
        <v>1523.2010207901205</v>
      </c>
      <c r="H145" s="176">
        <f t="shared" si="45"/>
        <v>1834.7080396123333</v>
      </c>
      <c r="I145" s="176">
        <f t="shared" si="45"/>
        <v>2206.2225193187051</v>
      </c>
      <c r="J145" s="176">
        <f t="shared" si="45"/>
        <v>2315.7200585479964</v>
      </c>
      <c r="K145" s="176">
        <f t="shared" si="45"/>
        <v>2285.8672578472774</v>
      </c>
      <c r="L145" s="176">
        <f t="shared" si="45"/>
        <v>2248.951425428831</v>
      </c>
      <c r="M145" s="176">
        <f t="shared" si="45"/>
        <v>2068.3914629704091</v>
      </c>
      <c r="N145" s="176">
        <f t="shared" si="45"/>
        <v>1801.4152859741503</v>
      </c>
      <c r="O145" s="176">
        <f t="shared" si="45"/>
        <v>1721.9044264198676</v>
      </c>
      <c r="P145" s="176">
        <f t="shared" si="45"/>
        <v>23287.996182509753</v>
      </c>
      <c r="Q145" s="175"/>
      <c r="R145" s="186">
        <f>P145/P95-1</f>
        <v>1.9654366400609247E-2</v>
      </c>
    </row>
    <row r="146" spans="1:18">
      <c r="A146" s="180"/>
      <c r="B146" s="177"/>
      <c r="C146" s="177"/>
      <c r="D146" s="176"/>
      <c r="E146" s="176"/>
      <c r="F146" s="176"/>
      <c r="G146" s="176"/>
      <c r="H146" s="176"/>
      <c r="I146" s="176"/>
      <c r="J146" s="176"/>
      <c r="K146" s="176"/>
      <c r="L146" s="176"/>
      <c r="M146" s="176"/>
      <c r="N146" s="176"/>
      <c r="O146" s="176"/>
      <c r="P146" s="176"/>
      <c r="Q146" s="175"/>
      <c r="R146" s="186"/>
    </row>
    <row r="147" spans="1:18">
      <c r="A147" s="179" t="s">
        <v>459</v>
      </c>
      <c r="B147" s="177"/>
      <c r="C147" s="177"/>
      <c r="D147" s="176">
        <f t="shared" ref="D147:P147" si="46">(D117/D132)*1000</f>
        <v>14727214.799999997</v>
      </c>
      <c r="E147" s="176">
        <f t="shared" si="46"/>
        <v>36524726.399999999</v>
      </c>
      <c r="F147" s="176">
        <f t="shared" si="46"/>
        <v>29557159.200000003</v>
      </c>
      <c r="G147" s="176">
        <f t="shared" si="46"/>
        <v>31158133.600000001</v>
      </c>
      <c r="H147" s="176">
        <f t="shared" si="46"/>
        <v>38983379.750000007</v>
      </c>
      <c r="I147" s="176">
        <f t="shared" si="46"/>
        <v>39566641.599999994</v>
      </c>
      <c r="J147" s="176">
        <f t="shared" si="46"/>
        <v>41593755.200000003</v>
      </c>
      <c r="K147" s="176">
        <f t="shared" si="46"/>
        <v>41709533.399999999</v>
      </c>
      <c r="L147" s="176">
        <f t="shared" si="46"/>
        <v>51777458.5</v>
      </c>
      <c r="M147" s="176">
        <f t="shared" si="46"/>
        <v>47961996.25</v>
      </c>
      <c r="N147" s="176">
        <f t="shared" si="46"/>
        <v>45357767.911441699</v>
      </c>
      <c r="O147" s="176">
        <f t="shared" si="46"/>
        <v>37750425.835479617</v>
      </c>
      <c r="P147" s="176">
        <f t="shared" si="46"/>
        <v>449783985.59731317</v>
      </c>
      <c r="Q147" s="175"/>
      <c r="R147" s="186">
        <f>P147/P97-1</f>
        <v>0.75252506754694637</v>
      </c>
    </row>
    <row r="148" spans="1:18">
      <c r="A148" s="177"/>
      <c r="B148" s="177"/>
      <c r="C148" s="177"/>
      <c r="D148" s="176"/>
      <c r="E148" s="176"/>
      <c r="F148" s="176"/>
      <c r="G148" s="176"/>
      <c r="H148" s="176"/>
      <c r="I148" s="176"/>
      <c r="J148" s="176"/>
      <c r="K148" s="176"/>
      <c r="L148" s="176"/>
      <c r="M148" s="176"/>
      <c r="N148" s="176"/>
      <c r="O148" s="176"/>
      <c r="P148" s="176"/>
      <c r="Q148" s="175"/>
      <c r="R148" s="186"/>
    </row>
    <row r="149" spans="1:18">
      <c r="A149" s="178" t="s">
        <v>458</v>
      </c>
      <c r="B149" s="177"/>
      <c r="C149" s="177"/>
      <c r="D149" s="176">
        <f t="shared" ref="D149:P149" si="47">(D119/D134)*1000</f>
        <v>2041.3913698627093</v>
      </c>
      <c r="E149" s="176">
        <f t="shared" si="47"/>
        <v>1701.2625095357464</v>
      </c>
      <c r="F149" s="176">
        <f t="shared" si="47"/>
        <v>1627.3478018966005</v>
      </c>
      <c r="G149" s="176">
        <f t="shared" si="47"/>
        <v>1557.6645517295697</v>
      </c>
      <c r="H149" s="176">
        <f t="shared" si="47"/>
        <v>1869.1918065818654</v>
      </c>
      <c r="I149" s="176">
        <f t="shared" si="47"/>
        <v>2249.9699240455056</v>
      </c>
      <c r="J149" s="176">
        <f t="shared" si="47"/>
        <v>2361.6999066947619</v>
      </c>
      <c r="K149" s="176">
        <f t="shared" si="47"/>
        <v>2331.9346352340722</v>
      </c>
      <c r="L149" s="176">
        <f t="shared" si="47"/>
        <v>2294.7203452964841</v>
      </c>
      <c r="M149" s="176">
        <f t="shared" si="47"/>
        <v>2110.7931495109469</v>
      </c>
      <c r="N149" s="176">
        <f t="shared" si="47"/>
        <v>1841.4880102787724</v>
      </c>
      <c r="O149" s="176">
        <f t="shared" si="47"/>
        <v>1755.2558546179835</v>
      </c>
      <c r="P149" s="176">
        <f t="shared" si="47"/>
        <v>23744.000426023766</v>
      </c>
      <c r="Q149" s="175"/>
      <c r="R149" s="186">
        <f>P149/P99-1</f>
        <v>2.8066284591223845E-2</v>
      </c>
    </row>
    <row r="151" spans="1:18">
      <c r="A151" s="185" t="s">
        <v>479</v>
      </c>
      <c r="B151" s="184"/>
      <c r="C151" s="184"/>
      <c r="D151" s="183"/>
      <c r="E151" s="183"/>
      <c r="F151" s="183"/>
      <c r="G151" s="183"/>
      <c r="H151" s="183"/>
      <c r="I151" s="183"/>
      <c r="J151" s="184"/>
      <c r="K151" s="183"/>
      <c r="L151" s="183"/>
      <c r="M151" s="183"/>
      <c r="N151" s="183"/>
      <c r="O151" s="183"/>
      <c r="P151" s="183"/>
      <c r="Q151" s="175"/>
    </row>
    <row r="152" spans="1:18">
      <c r="A152" s="185" t="s">
        <v>474</v>
      </c>
      <c r="B152" s="184"/>
      <c r="C152" s="184"/>
      <c r="D152" s="183"/>
      <c r="E152" s="183"/>
      <c r="F152" s="183"/>
      <c r="G152" s="183"/>
      <c r="H152" s="183"/>
      <c r="I152" s="184"/>
      <c r="J152" s="183"/>
      <c r="K152" s="183"/>
      <c r="L152" s="183"/>
      <c r="M152" s="183"/>
      <c r="N152" s="183"/>
      <c r="O152" s="183"/>
      <c r="P152" s="183"/>
      <c r="Q152" s="182">
        <f>Q2</f>
        <v>40269</v>
      </c>
    </row>
    <row r="153" spans="1:18">
      <c r="A153" s="185" t="s">
        <v>473</v>
      </c>
      <c r="B153" s="184"/>
      <c r="C153" s="184"/>
      <c r="D153" s="183"/>
      <c r="E153" s="183"/>
      <c r="F153" s="183"/>
      <c r="G153" s="183"/>
      <c r="H153" s="183"/>
      <c r="I153" s="184"/>
      <c r="J153" s="183"/>
      <c r="K153" s="183"/>
      <c r="L153" s="183"/>
      <c r="M153" s="183"/>
      <c r="N153" s="183"/>
      <c r="O153" s="183"/>
      <c r="P153" s="183"/>
      <c r="Q153" s="182"/>
    </row>
    <row r="154" spans="1:18">
      <c r="A154" s="177"/>
      <c r="B154" s="177"/>
      <c r="C154" s="177"/>
      <c r="D154" s="176"/>
      <c r="E154" s="176"/>
      <c r="F154" s="176"/>
      <c r="G154" s="176"/>
      <c r="H154" s="176"/>
      <c r="I154" s="176"/>
      <c r="J154" s="176"/>
      <c r="K154" s="176"/>
      <c r="L154" s="176"/>
      <c r="M154" s="176"/>
      <c r="N154" s="176"/>
      <c r="O154" s="176"/>
      <c r="P154" s="176"/>
      <c r="Q154" s="175"/>
    </row>
    <row r="155" spans="1:18">
      <c r="A155" s="177"/>
      <c r="B155" s="177"/>
      <c r="C155" s="177"/>
      <c r="D155" s="139" t="s">
        <v>413</v>
      </c>
      <c r="E155" s="139" t="s">
        <v>412</v>
      </c>
      <c r="F155" s="139" t="s">
        <v>411</v>
      </c>
      <c r="G155" s="139" t="s">
        <v>410</v>
      </c>
      <c r="H155" s="139" t="s">
        <v>409</v>
      </c>
      <c r="I155" s="139" t="s">
        <v>408</v>
      </c>
      <c r="J155" s="139" t="s">
        <v>407</v>
      </c>
      <c r="K155" s="139" t="s">
        <v>406</v>
      </c>
      <c r="L155" s="139" t="s">
        <v>405</v>
      </c>
      <c r="M155" s="139" t="s">
        <v>404</v>
      </c>
      <c r="N155" s="139" t="s">
        <v>403</v>
      </c>
      <c r="O155" s="139" t="s">
        <v>402</v>
      </c>
      <c r="P155" s="139" t="s">
        <v>93</v>
      </c>
      <c r="Q155" s="175"/>
    </row>
    <row r="156" spans="1:18">
      <c r="A156" s="180" t="s">
        <v>472</v>
      </c>
      <c r="B156" s="177"/>
      <c r="C156" s="177"/>
      <c r="D156" s="176"/>
      <c r="E156" s="176"/>
      <c r="F156" s="176"/>
      <c r="G156" s="176"/>
      <c r="H156" s="176"/>
      <c r="I156" s="176"/>
      <c r="J156" s="176"/>
      <c r="K156" s="176"/>
      <c r="L156" s="176"/>
      <c r="M156" s="176"/>
      <c r="N156" s="176"/>
      <c r="O156" s="176"/>
      <c r="P156" s="176"/>
      <c r="Q156" s="175"/>
    </row>
    <row r="157" spans="1:18">
      <c r="A157" s="179" t="s">
        <v>467</v>
      </c>
      <c r="B157" s="177"/>
      <c r="C157" s="177"/>
      <c r="D157" s="176">
        <v>4168674.8748145443</v>
      </c>
      <c r="E157" s="176">
        <v>3695464.5251314691</v>
      </c>
      <c r="F157" s="176">
        <v>3455604.7754084272</v>
      </c>
      <c r="G157" s="176">
        <v>3692963.6931880233</v>
      </c>
      <c r="H157" s="176">
        <v>4288454.8060381664</v>
      </c>
      <c r="I157" s="176">
        <v>4920191.4992894381</v>
      </c>
      <c r="J157" s="176">
        <v>5525562.4456515862</v>
      </c>
      <c r="K157" s="176">
        <v>5478559.7306741932</v>
      </c>
      <c r="L157" s="176">
        <v>5524715.4006502181</v>
      </c>
      <c r="M157" s="176">
        <v>5025467.796663383</v>
      </c>
      <c r="N157" s="176">
        <v>4223124.4824735234</v>
      </c>
      <c r="O157" s="176">
        <v>3835628.6107150465</v>
      </c>
      <c r="P157" s="176">
        <f t="shared" ref="P157:P162" si="48">SUM(D157:O157)</f>
        <v>53834412.640698016</v>
      </c>
      <c r="Q157" s="175"/>
      <c r="R157" s="186">
        <f t="shared" ref="R157:R162" si="49">P157/P107-1</f>
        <v>-5.2261880206273426E-2</v>
      </c>
    </row>
    <row r="158" spans="1:18">
      <c r="A158" s="179" t="s">
        <v>466</v>
      </c>
      <c r="B158" s="177"/>
      <c r="C158" s="177"/>
      <c r="D158" s="176">
        <v>3375642.9947653441</v>
      </c>
      <c r="E158" s="176">
        <v>3361357.5545146894</v>
      </c>
      <c r="F158" s="176">
        <v>3207019.3450700669</v>
      </c>
      <c r="G158" s="176">
        <v>3346806.7809780193</v>
      </c>
      <c r="H158" s="176">
        <v>3651668.6947818901</v>
      </c>
      <c r="I158" s="176">
        <v>3828356.5070572598</v>
      </c>
      <c r="J158" s="176">
        <v>4079908.4673826424</v>
      </c>
      <c r="K158" s="176">
        <v>3955736.8987429636</v>
      </c>
      <c r="L158" s="176">
        <v>4034917.4699446317</v>
      </c>
      <c r="M158" s="176">
        <v>3919556.5624141581</v>
      </c>
      <c r="N158" s="176">
        <v>3664786.885637207</v>
      </c>
      <c r="O158" s="176">
        <v>3706868.5875251577</v>
      </c>
      <c r="P158" s="176">
        <f t="shared" si="48"/>
        <v>44132626.748814031</v>
      </c>
      <c r="Q158" s="175"/>
      <c r="R158" s="186">
        <f t="shared" si="49"/>
        <v>-1.4774917499299045E-2</v>
      </c>
    </row>
    <row r="159" spans="1:18">
      <c r="A159" s="179" t="s">
        <v>465</v>
      </c>
      <c r="B159" s="177"/>
      <c r="C159" s="177"/>
      <c r="D159" s="176">
        <v>260370.67856237065</v>
      </c>
      <c r="E159" s="176">
        <v>260133.17441406965</v>
      </c>
      <c r="F159" s="176">
        <v>260017.29823270795</v>
      </c>
      <c r="G159" s="176">
        <v>259002.36231654312</v>
      </c>
      <c r="H159" s="176">
        <v>258668.78322694215</v>
      </c>
      <c r="I159" s="176">
        <v>258204.1459578819</v>
      </c>
      <c r="J159" s="176">
        <v>258000.94830576956</v>
      </c>
      <c r="K159" s="176">
        <v>258739.77971776712</v>
      </c>
      <c r="L159" s="176">
        <v>259526.51049374751</v>
      </c>
      <c r="M159" s="176">
        <v>257444.36421296466</v>
      </c>
      <c r="N159" s="176">
        <v>257620.60068779284</v>
      </c>
      <c r="O159" s="176">
        <v>256262.3863379992</v>
      </c>
      <c r="P159" s="176">
        <f t="shared" si="48"/>
        <v>3103991.0324665564</v>
      </c>
      <c r="Q159" s="175"/>
      <c r="R159" s="186">
        <f t="shared" si="49"/>
        <v>-1.053636028051097E-2</v>
      </c>
    </row>
    <row r="160" spans="1:18">
      <c r="A160" s="179" t="s">
        <v>464</v>
      </c>
      <c r="B160" s="177"/>
      <c r="C160" s="177"/>
      <c r="D160" s="176">
        <v>36482.40007692029</v>
      </c>
      <c r="E160" s="176">
        <v>36600.556622825519</v>
      </c>
      <c r="F160" s="176">
        <v>36499.617681358352</v>
      </c>
      <c r="G160" s="176">
        <v>36489.729642481732</v>
      </c>
      <c r="H160" s="176">
        <v>36781.8286732876</v>
      </c>
      <c r="I160" s="176">
        <v>36688.880174084683</v>
      </c>
      <c r="J160" s="176">
        <v>36766.828171457426</v>
      </c>
      <c r="K160" s="176">
        <v>36784.016879339775</v>
      </c>
      <c r="L160" s="176">
        <v>36967.237780685995</v>
      </c>
      <c r="M160" s="176">
        <v>37097.352736745299</v>
      </c>
      <c r="N160" s="176">
        <v>37199.513961268894</v>
      </c>
      <c r="O160" s="176">
        <v>37456.448190868883</v>
      </c>
      <c r="P160" s="176">
        <f t="shared" si="48"/>
        <v>441814.4105913245</v>
      </c>
      <c r="Q160" s="175"/>
      <c r="R160" s="186">
        <f t="shared" si="49"/>
        <v>2.1733279518873383E-2</v>
      </c>
    </row>
    <row r="161" spans="1:21">
      <c r="A161" s="179" t="s">
        <v>463</v>
      </c>
      <c r="B161" s="177"/>
      <c r="C161" s="177"/>
      <c r="D161" s="176">
        <v>2313.1935956282464</v>
      </c>
      <c r="E161" s="176">
        <v>2235.7271616813009</v>
      </c>
      <c r="F161" s="176">
        <v>2140.7326305235692</v>
      </c>
      <c r="G161" s="176">
        <v>2137.6935704081634</v>
      </c>
      <c r="H161" s="176">
        <v>2622.1772632478633</v>
      </c>
      <c r="I161" s="176">
        <v>3130.9176931623938</v>
      </c>
      <c r="J161" s="176">
        <v>3277.7027735042739</v>
      </c>
      <c r="K161" s="176">
        <v>2349.7840000000001</v>
      </c>
      <c r="L161" s="176">
        <v>2382.8556891809717</v>
      </c>
      <c r="M161" s="176">
        <v>2334.967099433466</v>
      </c>
      <c r="N161" s="176">
        <v>2372.7232747068674</v>
      </c>
      <c r="O161" s="176">
        <v>2365.3196813359732</v>
      </c>
      <c r="P161" s="176">
        <f t="shared" si="48"/>
        <v>29663.794432813087</v>
      </c>
      <c r="Q161" s="175"/>
      <c r="R161" s="186">
        <f t="shared" si="49"/>
        <v>8.150491330774301E-2</v>
      </c>
    </row>
    <row r="162" spans="1:21">
      <c r="A162" s="179" t="s">
        <v>462</v>
      </c>
      <c r="B162" s="177"/>
      <c r="C162" s="177"/>
      <c r="D162" s="176">
        <v>6668.5499999999993</v>
      </c>
      <c r="E162" s="176">
        <v>6475.9333333333343</v>
      </c>
      <c r="F162" s="176">
        <v>6225.6833333333325</v>
      </c>
      <c r="G162" s="176">
        <v>6168.0499999999993</v>
      </c>
      <c r="H162" s="176">
        <v>6606.2499999999991</v>
      </c>
      <c r="I162" s="176">
        <v>7015.2833333333319</v>
      </c>
      <c r="J162" s="176">
        <v>7161.3499999999995</v>
      </c>
      <c r="K162" s="176">
        <v>6986.4666666666672</v>
      </c>
      <c r="L162" s="176">
        <v>6964.3000000000011</v>
      </c>
      <c r="M162" s="176">
        <v>6883.916666666667</v>
      </c>
      <c r="N162" s="176">
        <v>7037.0086956521754</v>
      </c>
      <c r="O162" s="176">
        <v>6938.1565217391308</v>
      </c>
      <c r="P162" s="176">
        <f t="shared" si="48"/>
        <v>81130.948550724628</v>
      </c>
      <c r="Q162" s="175"/>
      <c r="R162" s="186">
        <f t="shared" si="49"/>
        <v>5.06011708912113E-3</v>
      </c>
    </row>
    <row r="163" spans="1:21">
      <c r="A163" s="179"/>
      <c r="B163" s="177"/>
      <c r="C163" s="177"/>
      <c r="D163" s="176"/>
      <c r="E163" s="176"/>
      <c r="F163" s="176"/>
      <c r="G163" s="176"/>
      <c r="H163" s="176"/>
      <c r="I163" s="176"/>
      <c r="J163" s="176"/>
      <c r="K163" s="176"/>
      <c r="L163" s="176"/>
      <c r="M163" s="176"/>
      <c r="N163" s="176"/>
      <c r="O163" s="176"/>
      <c r="P163" s="176"/>
      <c r="Q163" s="175"/>
      <c r="R163" s="186"/>
    </row>
    <row r="164" spans="1:21">
      <c r="A164" s="180" t="s">
        <v>461</v>
      </c>
      <c r="B164" s="177"/>
      <c r="C164" s="177"/>
      <c r="D164" s="176"/>
      <c r="E164" s="176"/>
      <c r="F164" s="176"/>
      <c r="G164" s="176"/>
      <c r="H164" s="176"/>
      <c r="I164" s="176"/>
      <c r="J164" s="176"/>
      <c r="K164" s="176"/>
      <c r="L164" s="176"/>
      <c r="M164" s="176"/>
      <c r="N164" s="176"/>
      <c r="O164" s="176"/>
      <c r="P164" s="176"/>
      <c r="Q164" s="175"/>
      <c r="R164" s="186"/>
    </row>
    <row r="165" spans="1:21">
      <c r="A165" s="180" t="s">
        <v>471</v>
      </c>
      <c r="B165" s="177"/>
      <c r="C165" s="177"/>
      <c r="D165" s="176">
        <f t="shared" ref="D165:P165" si="50">SUM(D157:D164)</f>
        <v>7850152.6918148082</v>
      </c>
      <c r="E165" s="176">
        <f t="shared" si="50"/>
        <v>7362267.4711780688</v>
      </c>
      <c r="F165" s="176">
        <f t="shared" si="50"/>
        <v>6967507.4523564177</v>
      </c>
      <c r="G165" s="176">
        <f t="shared" si="50"/>
        <v>7343568.3096954757</v>
      </c>
      <c r="H165" s="176">
        <f t="shared" si="50"/>
        <v>8244802.5399835333</v>
      </c>
      <c r="I165" s="176">
        <f t="shared" si="50"/>
        <v>9053587.2335051615</v>
      </c>
      <c r="J165" s="176">
        <f t="shared" si="50"/>
        <v>9910677.7422849592</v>
      </c>
      <c r="K165" s="176">
        <f t="shared" si="50"/>
        <v>9739156.6766809318</v>
      </c>
      <c r="L165" s="176">
        <f t="shared" si="50"/>
        <v>9865473.7745584659</v>
      </c>
      <c r="M165" s="176">
        <f t="shared" si="50"/>
        <v>9248784.9597933516</v>
      </c>
      <c r="N165" s="176">
        <f t="shared" si="50"/>
        <v>8192141.2147301501</v>
      </c>
      <c r="O165" s="176">
        <f t="shared" si="50"/>
        <v>7845519.5089721475</v>
      </c>
      <c r="P165" s="176">
        <f t="shared" si="50"/>
        <v>101623639.57555348</v>
      </c>
      <c r="Q165" s="175"/>
      <c r="R165" s="186">
        <f>P165/P115-1</f>
        <v>-3.4685115606697181E-2</v>
      </c>
    </row>
    <row r="166" spans="1:21">
      <c r="A166" s="180"/>
      <c r="B166" s="177"/>
      <c r="C166" s="177"/>
      <c r="D166" s="176"/>
      <c r="E166" s="176"/>
      <c r="F166" s="176"/>
      <c r="G166" s="176"/>
      <c r="H166" s="176"/>
      <c r="I166" s="176"/>
      <c r="J166" s="176"/>
      <c r="K166" s="176"/>
      <c r="L166" s="176"/>
      <c r="M166" s="176"/>
      <c r="N166" s="176"/>
      <c r="O166" s="176"/>
      <c r="P166" s="176"/>
      <c r="Q166" s="175"/>
      <c r="R166" s="186"/>
    </row>
    <row r="167" spans="1:21">
      <c r="A167" s="179" t="s">
        <v>459</v>
      </c>
      <c r="B167" s="177"/>
      <c r="C167" s="177"/>
      <c r="D167" s="176">
        <v>154487.09482428062</v>
      </c>
      <c r="E167" s="176">
        <v>158177.12609941317</v>
      </c>
      <c r="F167" s="176">
        <v>148251.75904785597</v>
      </c>
      <c r="G167" s="176">
        <v>159351.5986257694</v>
      </c>
      <c r="H167" s="176">
        <v>161332.71924531029</v>
      </c>
      <c r="I167" s="176">
        <v>187951.35088594645</v>
      </c>
      <c r="J167" s="176">
        <v>199457.99345194784</v>
      </c>
      <c r="K167" s="176">
        <v>212383.72415440273</v>
      </c>
      <c r="L167" s="176">
        <v>214427.01189083245</v>
      </c>
      <c r="M167" s="176">
        <v>197331.97269055987</v>
      </c>
      <c r="N167" s="176">
        <v>188132.79137701812</v>
      </c>
      <c r="O167" s="176">
        <v>148497.56028443592</v>
      </c>
      <c r="P167" s="176">
        <f>SUM(D167:O167)</f>
        <v>2129782.702577773</v>
      </c>
      <c r="Q167" s="175"/>
      <c r="R167" s="186">
        <f>P167/P117-1</f>
        <v>3.3117846033380083E-2</v>
      </c>
    </row>
    <row r="168" spans="1:21" ht="13.8" thickBot="1">
      <c r="A168" s="177"/>
      <c r="B168" s="177"/>
      <c r="C168" s="177"/>
      <c r="D168" s="176"/>
      <c r="E168" s="176"/>
      <c r="F168" s="176"/>
      <c r="G168" s="176"/>
      <c r="H168" s="176"/>
      <c r="I168" s="176"/>
      <c r="J168" s="176"/>
      <c r="K168" s="176"/>
      <c r="L168" s="176"/>
      <c r="M168" s="176"/>
      <c r="N168" s="176"/>
      <c r="O168" s="176"/>
      <c r="P168" s="176"/>
      <c r="Q168" s="175"/>
      <c r="R168" s="186"/>
    </row>
    <row r="169" spans="1:21" ht="13.8" thickBot="1">
      <c r="A169" s="180" t="s">
        <v>470</v>
      </c>
      <c r="B169" s="177"/>
      <c r="C169" s="177"/>
      <c r="D169" s="194">
        <f t="shared" ref="D169:P169" si="51">SUM(D165:D167)</f>
        <v>8004639.7866390888</v>
      </c>
      <c r="E169" s="194">
        <f t="shared" si="51"/>
        <v>7520444.597277482</v>
      </c>
      <c r="F169" s="176">
        <f t="shared" si="51"/>
        <v>7115759.2114042733</v>
      </c>
      <c r="G169" s="176">
        <f t="shared" si="51"/>
        <v>7502919.9083212456</v>
      </c>
      <c r="H169" s="176">
        <f t="shared" si="51"/>
        <v>8406135.2592288442</v>
      </c>
      <c r="I169" s="176">
        <f t="shared" si="51"/>
        <v>9241538.5843911078</v>
      </c>
      <c r="J169" s="176">
        <f t="shared" si="51"/>
        <v>10110135.735736907</v>
      </c>
      <c r="K169" s="176">
        <f t="shared" si="51"/>
        <v>9951540.4008353353</v>
      </c>
      <c r="L169" s="176">
        <f t="shared" si="51"/>
        <v>10079900.786449298</v>
      </c>
      <c r="M169" s="176">
        <f t="shared" si="51"/>
        <v>9446116.9324839115</v>
      </c>
      <c r="N169" s="176">
        <f t="shared" si="51"/>
        <v>8380274.0061071683</v>
      </c>
      <c r="O169" s="176">
        <f t="shared" si="51"/>
        <v>7994017.0692565832</v>
      </c>
      <c r="P169" s="176">
        <f t="shared" si="51"/>
        <v>103753422.27813125</v>
      </c>
      <c r="Q169" s="175"/>
      <c r="R169" s="186">
        <f>P169/P119-1</f>
        <v>-3.3382890261746012E-2</v>
      </c>
      <c r="S169" s="187">
        <v>0</v>
      </c>
      <c r="U169" s="193">
        <f>+P169-M169-N169-O169+M119+N119+O119</f>
        <v>103766774.68978025</v>
      </c>
    </row>
    <row r="170" spans="1:21">
      <c r="A170" s="177"/>
      <c r="B170" s="177"/>
      <c r="C170" s="177"/>
      <c r="D170" s="176"/>
      <c r="E170" s="176"/>
      <c r="F170" s="176"/>
      <c r="G170" s="176"/>
      <c r="H170" s="176"/>
      <c r="I170" s="176"/>
      <c r="J170" s="176"/>
      <c r="K170" s="176"/>
      <c r="L170" s="176"/>
      <c r="M170" s="176"/>
      <c r="N170" s="176"/>
      <c r="O170" s="176"/>
      <c r="P170" s="176"/>
      <c r="Q170" s="175"/>
      <c r="R170" s="186"/>
    </row>
    <row r="171" spans="1:21">
      <c r="A171" s="180" t="s">
        <v>469</v>
      </c>
      <c r="B171" s="177"/>
      <c r="C171" s="177"/>
      <c r="D171" s="176"/>
      <c r="E171" s="176"/>
      <c r="F171" s="176"/>
      <c r="G171" s="176"/>
      <c r="H171" s="176"/>
      <c r="I171" s="176"/>
      <c r="J171" s="176"/>
      <c r="K171" s="176"/>
      <c r="L171" s="176"/>
      <c r="M171" s="176"/>
      <c r="N171" s="176"/>
      <c r="O171" s="176"/>
      <c r="P171" s="176"/>
      <c r="Q171" s="175"/>
      <c r="R171" s="186"/>
    </row>
    <row r="172" spans="1:21">
      <c r="A172" s="179" t="s">
        <v>467</v>
      </c>
      <c r="B172" s="177"/>
      <c r="C172" s="177"/>
      <c r="D172" s="181">
        <v>4013932.5753573282</v>
      </c>
      <c r="E172" s="181">
        <v>4021473.9389780108</v>
      </c>
      <c r="F172" s="181">
        <v>4026909.2678305493</v>
      </c>
      <c r="G172" s="181">
        <v>4030310.2332073334</v>
      </c>
      <c r="H172" s="181">
        <v>4032537.4514929065</v>
      </c>
      <c r="I172" s="181">
        <v>4033727.3728993745</v>
      </c>
      <c r="J172" s="181">
        <v>4035511.486594242</v>
      </c>
      <c r="K172" s="181">
        <v>4039875.1203613919</v>
      </c>
      <c r="L172" s="181">
        <v>4039484.0935127619</v>
      </c>
      <c r="M172" s="181">
        <v>4040176.3941371143</v>
      </c>
      <c r="N172" s="181">
        <v>4043845.772473468</v>
      </c>
      <c r="O172" s="181">
        <v>4045085.0596456304</v>
      </c>
      <c r="P172" s="176">
        <f>AVERAGE(C172:O172)</f>
        <v>4033572.3972075093</v>
      </c>
      <c r="Q172" s="175"/>
      <c r="R172" s="186">
        <f t="shared" ref="R172:R177" si="52">P172/P122-1</f>
        <v>7.1967323959081231E-3</v>
      </c>
    </row>
    <row r="173" spans="1:21">
      <c r="A173" s="179" t="s">
        <v>466</v>
      </c>
      <c r="B173" s="177"/>
      <c r="C173" s="177"/>
      <c r="D173" s="181">
        <v>504269.77697800699</v>
      </c>
      <c r="E173" s="181">
        <v>504156.46098516101</v>
      </c>
      <c r="F173" s="181">
        <v>504055.36821225903</v>
      </c>
      <c r="G173" s="181">
        <v>503965.60661322402</v>
      </c>
      <c r="H173" s="181">
        <v>504012.41480377701</v>
      </c>
      <c r="I173" s="181">
        <v>504068.94804831297</v>
      </c>
      <c r="J173" s="181">
        <v>504134.49020410702</v>
      </c>
      <c r="K173" s="181">
        <v>504208.37784238899</v>
      </c>
      <c r="L173" s="181">
        <v>504289.99638685398</v>
      </c>
      <c r="M173" s="181">
        <v>504378.77651919198</v>
      </c>
      <c r="N173" s="181">
        <v>504474.190846671</v>
      </c>
      <c r="O173" s="181">
        <v>504575.75081474002</v>
      </c>
      <c r="P173" s="176">
        <f>AVERAGE(D173:O173)</f>
        <v>504215.84652122454</v>
      </c>
      <c r="Q173" s="175"/>
      <c r="R173" s="186">
        <f t="shared" si="52"/>
        <v>1.5941806338413134E-3</v>
      </c>
    </row>
    <row r="174" spans="1:21">
      <c r="A174" s="179" t="s">
        <v>465</v>
      </c>
      <c r="B174" s="177"/>
      <c r="C174" s="177"/>
      <c r="D174" s="181">
        <v>8786.7311507384602</v>
      </c>
      <c r="E174" s="181">
        <v>8687.6953293659208</v>
      </c>
      <c r="F174" s="181">
        <v>8712.3076999225596</v>
      </c>
      <c r="G174" s="181">
        <v>8735.4445493704006</v>
      </c>
      <c r="H174" s="181">
        <v>8765.3720687218593</v>
      </c>
      <c r="I174" s="181">
        <v>8798.3516143660108</v>
      </c>
      <c r="J174" s="181">
        <v>8836.7454606746105</v>
      </c>
      <c r="K174" s="181">
        <v>8883.7120587916597</v>
      </c>
      <c r="L174" s="181">
        <v>8933.8052347557295</v>
      </c>
      <c r="M174" s="181">
        <v>8968.4071398781198</v>
      </c>
      <c r="N174" s="181">
        <v>9017.6041214058605</v>
      </c>
      <c r="O174" s="181">
        <v>9055.1463802661292</v>
      </c>
      <c r="P174" s="176">
        <f>AVERAGE(D174:O174)</f>
        <v>8848.4435673547778</v>
      </c>
      <c r="Q174" s="175"/>
      <c r="R174" s="186">
        <f t="shared" si="52"/>
        <v>-5.4582103192334364E-3</v>
      </c>
      <c r="U174" s="173" t="s">
        <v>577</v>
      </c>
    </row>
    <row r="175" spans="1:21">
      <c r="A175" s="179" t="s">
        <v>464</v>
      </c>
      <c r="B175" s="177"/>
      <c r="C175" s="177"/>
      <c r="D175" s="181">
        <v>3336.8706969742998</v>
      </c>
      <c r="E175" s="181">
        <v>3343.2736527273501</v>
      </c>
      <c r="F175" s="181">
        <v>3349.70119383259</v>
      </c>
      <c r="G175" s="181">
        <v>3356.1534575277701</v>
      </c>
      <c r="H175" s="181">
        <v>3362.63063093346</v>
      </c>
      <c r="I175" s="181">
        <v>3369.1329507691598</v>
      </c>
      <c r="J175" s="181">
        <v>3375.6607030710002</v>
      </c>
      <c r="K175" s="181">
        <v>3382.21422291109</v>
      </c>
      <c r="L175" s="181">
        <v>3388.7938941184898</v>
      </c>
      <c r="M175" s="181">
        <v>3395.4001490017099</v>
      </c>
      <c r="N175" s="181">
        <v>3402.0334680728101</v>
      </c>
      <c r="O175" s="181">
        <v>3408.6943797730801</v>
      </c>
      <c r="P175" s="176">
        <f>AVERAGE(D175:O175)</f>
        <v>3372.5466166427341</v>
      </c>
      <c r="Q175" s="175"/>
      <c r="R175" s="186">
        <f t="shared" si="52"/>
        <v>2.235523631094849E-2</v>
      </c>
    </row>
    <row r="176" spans="1:21">
      <c r="A176" s="179" t="s">
        <v>463</v>
      </c>
      <c r="B176" s="177"/>
      <c r="C176" s="177"/>
      <c r="D176" s="181">
        <v>191</v>
      </c>
      <c r="E176" s="181">
        <v>191</v>
      </c>
      <c r="F176" s="181">
        <v>191</v>
      </c>
      <c r="G176" s="181">
        <v>191</v>
      </c>
      <c r="H176" s="181">
        <v>191</v>
      </c>
      <c r="I176" s="181">
        <v>191</v>
      </c>
      <c r="J176" s="181">
        <v>191</v>
      </c>
      <c r="K176" s="181">
        <v>191</v>
      </c>
      <c r="L176" s="181">
        <v>191</v>
      </c>
      <c r="M176" s="181">
        <v>191</v>
      </c>
      <c r="N176" s="181">
        <v>191</v>
      </c>
      <c r="O176" s="181">
        <v>191</v>
      </c>
      <c r="P176" s="176">
        <f>AVERAGE(D176:O176)</f>
        <v>191</v>
      </c>
      <c r="Q176" s="175"/>
      <c r="R176" s="186">
        <f t="shared" si="52"/>
        <v>0</v>
      </c>
    </row>
    <row r="177" spans="1:19">
      <c r="A177" s="179" t="s">
        <v>462</v>
      </c>
      <c r="B177" s="177"/>
      <c r="C177" s="177"/>
      <c r="D177" s="181">
        <v>23</v>
      </c>
      <c r="E177" s="181">
        <v>23</v>
      </c>
      <c r="F177" s="181">
        <v>23</v>
      </c>
      <c r="G177" s="181">
        <v>23</v>
      </c>
      <c r="H177" s="181">
        <v>23</v>
      </c>
      <c r="I177" s="181">
        <v>23</v>
      </c>
      <c r="J177" s="181">
        <v>23</v>
      </c>
      <c r="K177" s="181">
        <v>23</v>
      </c>
      <c r="L177" s="181">
        <v>23</v>
      </c>
      <c r="M177" s="181">
        <v>23</v>
      </c>
      <c r="N177" s="181">
        <v>24</v>
      </c>
      <c r="O177" s="181">
        <v>24</v>
      </c>
      <c r="P177" s="176">
        <f>AVERAGE(D177:O177)</f>
        <v>23.166666666666668</v>
      </c>
      <c r="Q177" s="175"/>
      <c r="R177" s="186">
        <f t="shared" si="52"/>
        <v>7.2463768115942351E-3</v>
      </c>
    </row>
    <row r="178" spans="1:19">
      <c r="A178" s="179"/>
      <c r="B178" s="177"/>
      <c r="C178" s="177"/>
      <c r="D178" s="176"/>
      <c r="E178" s="176"/>
      <c r="F178" s="176"/>
      <c r="G178" s="176"/>
      <c r="H178" s="176"/>
      <c r="I178" s="176"/>
      <c r="J178" s="176"/>
      <c r="K178" s="176"/>
      <c r="L178" s="176"/>
      <c r="M178" s="176"/>
      <c r="N178" s="176"/>
      <c r="O178" s="176"/>
      <c r="P178" s="176"/>
      <c r="Q178" s="175"/>
      <c r="R178" s="186"/>
    </row>
    <row r="179" spans="1:19">
      <c r="A179" s="180" t="s">
        <v>461</v>
      </c>
      <c r="B179" s="177"/>
      <c r="C179" s="177"/>
      <c r="D179" s="176"/>
      <c r="E179" s="176"/>
      <c r="F179" s="176"/>
      <c r="G179" s="176"/>
      <c r="H179" s="176"/>
      <c r="I179" s="176"/>
      <c r="J179" s="176"/>
      <c r="K179" s="176"/>
      <c r="L179" s="176"/>
      <c r="M179" s="176"/>
      <c r="N179" s="176"/>
      <c r="O179" s="176"/>
      <c r="P179" s="176"/>
      <c r="Q179" s="175"/>
      <c r="R179" s="186"/>
    </row>
    <row r="180" spans="1:19">
      <c r="A180" s="180" t="s">
        <v>469</v>
      </c>
      <c r="B180" s="177"/>
      <c r="C180" s="177"/>
      <c r="D180" s="176">
        <f t="shared" ref="D180:P180" si="53">SUM(D172:D179)</f>
        <v>4530539.9541830476</v>
      </c>
      <c r="E180" s="176">
        <f t="shared" si="53"/>
        <v>4537875.3689452661</v>
      </c>
      <c r="F180" s="176">
        <f t="shared" si="53"/>
        <v>4543240.6449365634</v>
      </c>
      <c r="G180" s="176">
        <f t="shared" si="53"/>
        <v>4546581.4378274558</v>
      </c>
      <c r="H180" s="176">
        <f t="shared" si="53"/>
        <v>4548891.8689963389</v>
      </c>
      <c r="I180" s="176">
        <f t="shared" si="53"/>
        <v>4550177.8055128222</v>
      </c>
      <c r="J180" s="176">
        <f t="shared" si="53"/>
        <v>4552072.3829620946</v>
      </c>
      <c r="K180" s="176">
        <f t="shared" si="53"/>
        <v>4556563.4244854832</v>
      </c>
      <c r="L180" s="176">
        <f t="shared" si="53"/>
        <v>4556310.6890284903</v>
      </c>
      <c r="M180" s="176">
        <f t="shared" si="53"/>
        <v>4557132.9779451862</v>
      </c>
      <c r="N180" s="176">
        <f t="shared" si="53"/>
        <v>4560954.6009096177</v>
      </c>
      <c r="O180" s="176">
        <f t="shared" si="53"/>
        <v>4562339.6512204092</v>
      </c>
      <c r="P180" s="176">
        <f t="shared" si="53"/>
        <v>4550223.4005793985</v>
      </c>
      <c r="Q180" s="175"/>
      <c r="R180" s="186">
        <f>P180/P130-1</f>
        <v>6.558681002883926E-3</v>
      </c>
    </row>
    <row r="181" spans="1:19">
      <c r="A181" s="180"/>
      <c r="B181" s="177"/>
      <c r="C181" s="177"/>
      <c r="D181" s="176"/>
      <c r="E181" s="176"/>
      <c r="F181" s="176"/>
      <c r="G181" s="176"/>
      <c r="H181" s="176"/>
      <c r="I181" s="176"/>
      <c r="J181" s="176"/>
      <c r="K181" s="176"/>
      <c r="L181" s="176"/>
      <c r="M181" s="176"/>
      <c r="N181" s="176"/>
      <c r="O181" s="176"/>
      <c r="P181" s="176"/>
      <c r="Q181" s="175"/>
      <c r="R181" s="186"/>
    </row>
    <row r="182" spans="1:19">
      <c r="A182" s="179" t="s">
        <v>459</v>
      </c>
      <c r="B182" s="177"/>
      <c r="C182" s="177"/>
      <c r="D182" s="181">
        <v>4</v>
      </c>
      <c r="E182" s="181">
        <v>4</v>
      </c>
      <c r="F182" s="181">
        <v>4</v>
      </c>
      <c r="G182" s="181">
        <v>4</v>
      </c>
      <c r="H182" s="181">
        <v>4</v>
      </c>
      <c r="I182" s="181">
        <v>4</v>
      </c>
      <c r="J182" s="181">
        <v>4</v>
      </c>
      <c r="K182" s="181">
        <v>4</v>
      </c>
      <c r="L182" s="181">
        <v>4</v>
      </c>
      <c r="M182" s="181">
        <v>4</v>
      </c>
      <c r="N182" s="181">
        <v>4</v>
      </c>
      <c r="O182" s="181">
        <v>4</v>
      </c>
      <c r="P182" s="176">
        <f>AVERAGE(D182:O182)</f>
        <v>4</v>
      </c>
      <c r="Q182" s="175"/>
      <c r="R182" s="186">
        <f>P182/P132-1</f>
        <v>-0.1272727272727272</v>
      </c>
    </row>
    <row r="183" spans="1:19">
      <c r="A183" s="177"/>
      <c r="B183" s="177"/>
      <c r="C183" s="177"/>
      <c r="D183" s="176"/>
      <c r="E183" s="176"/>
      <c r="F183" s="176"/>
      <c r="G183" s="176"/>
      <c r="H183" s="176"/>
      <c r="I183" s="176"/>
      <c r="J183" s="176"/>
      <c r="K183" s="176"/>
      <c r="L183" s="176"/>
      <c r="M183" s="176"/>
      <c r="N183" s="176"/>
      <c r="O183" s="176"/>
      <c r="P183" s="176"/>
      <c r="Q183" s="175"/>
      <c r="R183" s="186"/>
    </row>
    <row r="184" spans="1:19">
      <c r="A184" s="178" t="s">
        <v>468</v>
      </c>
      <c r="B184" s="177"/>
      <c r="C184" s="177"/>
      <c r="D184" s="176">
        <f t="shared" ref="D184:P184" si="54">SUM(D180:D182)</f>
        <v>4530543.9541830476</v>
      </c>
      <c r="E184" s="176">
        <f t="shared" si="54"/>
        <v>4537879.3689452661</v>
      </c>
      <c r="F184" s="176">
        <f t="shared" si="54"/>
        <v>4543244.6449365634</v>
      </c>
      <c r="G184" s="176">
        <f t="shared" si="54"/>
        <v>4546585.4378274558</v>
      </c>
      <c r="H184" s="176">
        <f t="shared" si="54"/>
        <v>4548895.8689963389</v>
      </c>
      <c r="I184" s="176">
        <f t="shared" si="54"/>
        <v>4550181.8055128222</v>
      </c>
      <c r="J184" s="176">
        <f t="shared" si="54"/>
        <v>4552076.3829620946</v>
      </c>
      <c r="K184" s="176">
        <f t="shared" si="54"/>
        <v>4556567.4244854832</v>
      </c>
      <c r="L184" s="176">
        <f t="shared" si="54"/>
        <v>4556314.6890284903</v>
      </c>
      <c r="M184" s="176">
        <f t="shared" si="54"/>
        <v>4557136.9779451862</v>
      </c>
      <c r="N184" s="176">
        <f t="shared" si="54"/>
        <v>4560958.6009096177</v>
      </c>
      <c r="O184" s="176">
        <f t="shared" si="54"/>
        <v>4562343.6512204092</v>
      </c>
      <c r="P184" s="176">
        <f t="shared" si="54"/>
        <v>4550227.4005793985</v>
      </c>
      <c r="Q184" s="175"/>
      <c r="R184" s="186">
        <f>P184/P134-1</f>
        <v>6.5585453136376426E-3</v>
      </c>
      <c r="S184" s="187">
        <v>0</v>
      </c>
    </row>
    <row r="185" spans="1:19">
      <c r="A185" s="177"/>
      <c r="B185" s="177"/>
      <c r="C185" s="177"/>
      <c r="D185" s="176"/>
      <c r="E185" s="176"/>
      <c r="F185" s="176"/>
      <c r="G185" s="176"/>
      <c r="H185" s="176"/>
      <c r="I185" s="176"/>
      <c r="J185" s="176"/>
      <c r="K185" s="176"/>
      <c r="L185" s="176"/>
      <c r="M185" s="176"/>
      <c r="N185" s="176"/>
      <c r="O185" s="176"/>
      <c r="P185" s="176"/>
      <c r="Q185" s="175"/>
      <c r="R185" s="186"/>
    </row>
    <row r="186" spans="1:19">
      <c r="A186" s="180" t="s">
        <v>460</v>
      </c>
      <c r="B186" s="177"/>
      <c r="C186" s="177"/>
      <c r="D186" s="176"/>
      <c r="E186" s="176"/>
      <c r="F186" s="176"/>
      <c r="G186" s="176"/>
      <c r="H186" s="176"/>
      <c r="I186" s="176"/>
      <c r="J186" s="176"/>
      <c r="K186" s="176"/>
      <c r="L186" s="176"/>
      <c r="M186" s="176"/>
      <c r="N186" s="176"/>
      <c r="O186" s="176"/>
      <c r="P186" s="176"/>
      <c r="Q186" s="175"/>
      <c r="R186" s="186"/>
    </row>
    <row r="187" spans="1:19">
      <c r="A187" s="179" t="s">
        <v>467</v>
      </c>
      <c r="B187" s="177"/>
      <c r="C187" s="177"/>
      <c r="D187" s="176">
        <f t="shared" ref="D187:P187" si="55">(D157/D172)*1000</f>
        <v>1038.5512951580761</v>
      </c>
      <c r="E187" s="176">
        <f t="shared" si="55"/>
        <v>918.9328542734778</v>
      </c>
      <c r="F187" s="176">
        <f t="shared" si="55"/>
        <v>858.1282928358836</v>
      </c>
      <c r="G187" s="176">
        <f t="shared" si="55"/>
        <v>916.29762462458166</v>
      </c>
      <c r="H187" s="176">
        <f t="shared" si="55"/>
        <v>1063.4631066973764</v>
      </c>
      <c r="I187" s="176">
        <f t="shared" si="55"/>
        <v>1219.7630242305861</v>
      </c>
      <c r="J187" s="176">
        <f t="shared" si="55"/>
        <v>1369.2347213004389</v>
      </c>
      <c r="K187" s="176">
        <f t="shared" si="55"/>
        <v>1356.1210600450695</v>
      </c>
      <c r="L187" s="176">
        <f t="shared" si="55"/>
        <v>1367.6784640698731</v>
      </c>
      <c r="M187" s="176">
        <f t="shared" si="55"/>
        <v>1243.8733625482469</v>
      </c>
      <c r="N187" s="176">
        <f t="shared" si="55"/>
        <v>1044.3337159939206</v>
      </c>
      <c r="O187" s="176">
        <f t="shared" si="55"/>
        <v>948.21951928275803</v>
      </c>
      <c r="P187" s="176">
        <f t="shared" si="55"/>
        <v>13346.583955693524</v>
      </c>
      <c r="Q187" s="175"/>
      <c r="R187" s="186">
        <f t="shared" ref="R187:R192" si="56">P187/P137-1</f>
        <v>-5.9033762411780599E-2</v>
      </c>
    </row>
    <row r="188" spans="1:19">
      <c r="A188" s="179" t="s">
        <v>466</v>
      </c>
      <c r="B188" s="177"/>
      <c r="C188" s="177"/>
      <c r="D188" s="176">
        <f t="shared" ref="D188:P188" si="57">(D158/D173)*1000</f>
        <v>6694.121180521528</v>
      </c>
      <c r="E188" s="176">
        <f t="shared" si="57"/>
        <v>6667.2904438164587</v>
      </c>
      <c r="F188" s="176">
        <f t="shared" si="57"/>
        <v>6362.4346595979168</v>
      </c>
      <c r="G188" s="176">
        <f t="shared" si="57"/>
        <v>6640.9428283596671</v>
      </c>
      <c r="H188" s="176">
        <f t="shared" si="57"/>
        <v>7245.1959267780421</v>
      </c>
      <c r="I188" s="176">
        <f t="shared" si="57"/>
        <v>7594.9064545240099</v>
      </c>
      <c r="J188" s="176">
        <f t="shared" si="57"/>
        <v>8092.8969286168558</v>
      </c>
      <c r="K188" s="176">
        <f t="shared" si="57"/>
        <v>7845.4406403764506</v>
      </c>
      <c r="L188" s="176">
        <f t="shared" si="57"/>
        <v>8001.1848318508819</v>
      </c>
      <c r="M188" s="176">
        <f t="shared" si="57"/>
        <v>7771.0576750745113</v>
      </c>
      <c r="N188" s="176">
        <f t="shared" si="57"/>
        <v>7264.5676471307843</v>
      </c>
      <c r="O188" s="176">
        <f t="shared" si="57"/>
        <v>7346.5056169260324</v>
      </c>
      <c r="P188" s="176">
        <f t="shared" si="57"/>
        <v>87527.250587822025</v>
      </c>
      <c r="Q188" s="175"/>
      <c r="R188" s="186">
        <f t="shared" si="56"/>
        <v>-1.6343044368310466E-2</v>
      </c>
    </row>
    <row r="189" spans="1:19">
      <c r="A189" s="179" t="s">
        <v>465</v>
      </c>
      <c r="B189" s="177"/>
      <c r="C189" s="177"/>
      <c r="D189" s="176">
        <f t="shared" ref="D189:P189" si="58">(D159/D174)*1000</f>
        <v>29632.257331611701</v>
      </c>
      <c r="E189" s="176">
        <f t="shared" si="58"/>
        <v>29942.713752262272</v>
      </c>
      <c r="F189" s="176">
        <f t="shared" si="58"/>
        <v>29844.82495206398</v>
      </c>
      <c r="G189" s="176">
        <f t="shared" si="58"/>
        <v>29649.591483608066</v>
      </c>
      <c r="H189" s="176">
        <f t="shared" si="58"/>
        <v>29510.302722912304</v>
      </c>
      <c r="I189" s="176">
        <f t="shared" si="58"/>
        <v>29346.877378290308</v>
      </c>
      <c r="J189" s="176">
        <f t="shared" si="58"/>
        <v>29196.376590672262</v>
      </c>
      <c r="K189" s="176">
        <f t="shared" si="58"/>
        <v>29125.187534833298</v>
      </c>
      <c r="L189" s="176">
        <f t="shared" si="58"/>
        <v>29049.940498377517</v>
      </c>
      <c r="M189" s="176">
        <f t="shared" si="58"/>
        <v>28705.695470518451</v>
      </c>
      <c r="N189" s="176">
        <f t="shared" si="58"/>
        <v>28568.630560777969</v>
      </c>
      <c r="O189" s="176">
        <f t="shared" si="58"/>
        <v>28300.19257297392</v>
      </c>
      <c r="P189" s="176">
        <f t="shared" si="58"/>
        <v>350795.14367005083</v>
      </c>
      <c r="Q189" s="175"/>
      <c r="R189" s="186">
        <f t="shared" si="56"/>
        <v>-5.106019690643393E-3</v>
      </c>
    </row>
    <row r="190" spans="1:19">
      <c r="A190" s="179" t="s">
        <v>464</v>
      </c>
      <c r="B190" s="177"/>
      <c r="C190" s="177"/>
      <c r="D190" s="176">
        <f t="shared" ref="D190:P190" si="59">(D160/D175)*1000</f>
        <v>10933.117699166654</v>
      </c>
      <c r="E190" s="176">
        <f t="shared" si="59"/>
        <v>10947.520431947829</v>
      </c>
      <c r="F190" s="176">
        <f t="shared" si="59"/>
        <v>10896.380175211088</v>
      </c>
      <c r="G190" s="176">
        <f t="shared" si="59"/>
        <v>10872.485452247769</v>
      </c>
      <c r="H190" s="176">
        <f t="shared" si="59"/>
        <v>10938.408856127333</v>
      </c>
      <c r="I190" s="176">
        <f t="shared" si="59"/>
        <v>10889.709818577732</v>
      </c>
      <c r="J190" s="176">
        <f t="shared" si="59"/>
        <v>10891.742804011339</v>
      </c>
      <c r="K190" s="176">
        <f t="shared" si="59"/>
        <v>10875.720594563514</v>
      </c>
      <c r="L190" s="176">
        <f t="shared" si="59"/>
        <v>10908.671030376163</v>
      </c>
      <c r="M190" s="176">
        <f t="shared" si="59"/>
        <v>10925.76754102234</v>
      </c>
      <c r="N190" s="176">
        <f t="shared" si="59"/>
        <v>10934.493828581215</v>
      </c>
      <c r="O190" s="176">
        <f t="shared" si="59"/>
        <v>10988.502933302689</v>
      </c>
      <c r="P190" s="176">
        <f t="shared" si="59"/>
        <v>131003.20345790715</v>
      </c>
      <c r="Q190" s="175"/>
      <c r="R190" s="186">
        <f t="shared" si="56"/>
        <v>-6.0835683134896623E-4</v>
      </c>
    </row>
    <row r="191" spans="1:19">
      <c r="A191" s="179" t="s">
        <v>463</v>
      </c>
      <c r="B191" s="177"/>
      <c r="C191" s="177"/>
      <c r="D191" s="176">
        <f t="shared" ref="D191:P191" si="60">(D161/D176)*1000</f>
        <v>12110.96123365574</v>
      </c>
      <c r="E191" s="176">
        <f t="shared" si="60"/>
        <v>11705.377809849742</v>
      </c>
      <c r="F191" s="176">
        <f t="shared" si="60"/>
        <v>11208.024243578895</v>
      </c>
      <c r="G191" s="176">
        <f t="shared" si="60"/>
        <v>11192.112934074155</v>
      </c>
      <c r="H191" s="176">
        <f t="shared" si="60"/>
        <v>13728.676770931221</v>
      </c>
      <c r="I191" s="176">
        <f t="shared" si="60"/>
        <v>16392.239231216721</v>
      </c>
      <c r="J191" s="176">
        <f t="shared" si="60"/>
        <v>17160.747505257979</v>
      </c>
      <c r="K191" s="176">
        <f t="shared" si="60"/>
        <v>12302.534031413612</v>
      </c>
      <c r="L191" s="176">
        <f t="shared" si="60"/>
        <v>12475.68423654959</v>
      </c>
      <c r="M191" s="176">
        <f t="shared" si="60"/>
        <v>12224.95863577731</v>
      </c>
      <c r="N191" s="176">
        <f t="shared" si="60"/>
        <v>12422.634946109254</v>
      </c>
      <c r="O191" s="176">
        <f t="shared" si="60"/>
        <v>12383.872677151692</v>
      </c>
      <c r="P191" s="176">
        <f t="shared" si="60"/>
        <v>155307.82425556588</v>
      </c>
      <c r="Q191" s="175"/>
      <c r="R191" s="186">
        <f t="shared" si="56"/>
        <v>8.1504913307742788E-2</v>
      </c>
    </row>
    <row r="192" spans="1:19">
      <c r="A192" s="179" t="s">
        <v>462</v>
      </c>
      <c r="B192" s="177"/>
      <c r="C192" s="177"/>
      <c r="D192" s="176">
        <f t="shared" ref="D192:P192" si="61">(D162/D177)*1000</f>
        <v>289936.95652173908</v>
      </c>
      <c r="E192" s="176">
        <f t="shared" si="61"/>
        <v>281562.31884057971</v>
      </c>
      <c r="F192" s="176">
        <f t="shared" si="61"/>
        <v>270681.88405797101</v>
      </c>
      <c r="G192" s="176">
        <f t="shared" si="61"/>
        <v>268176.08695652173</v>
      </c>
      <c r="H192" s="176">
        <f t="shared" si="61"/>
        <v>287228.26086956519</v>
      </c>
      <c r="I192" s="176">
        <f t="shared" si="61"/>
        <v>305012.31884057965</v>
      </c>
      <c r="J192" s="176">
        <f t="shared" si="61"/>
        <v>311363.04347826086</v>
      </c>
      <c r="K192" s="176">
        <f t="shared" si="61"/>
        <v>303759.4202898551</v>
      </c>
      <c r="L192" s="176">
        <f t="shared" si="61"/>
        <v>302795.65217391308</v>
      </c>
      <c r="M192" s="176">
        <f t="shared" si="61"/>
        <v>299300.72463768121</v>
      </c>
      <c r="N192" s="176">
        <f t="shared" si="61"/>
        <v>293208.69565217395</v>
      </c>
      <c r="O192" s="176">
        <f t="shared" si="61"/>
        <v>289089.85507246375</v>
      </c>
      <c r="P192" s="176">
        <f t="shared" si="61"/>
        <v>3502055.3331248038</v>
      </c>
      <c r="Q192" s="175"/>
      <c r="R192" s="186">
        <f t="shared" si="56"/>
        <v>-2.1705312352612305E-3</v>
      </c>
    </row>
    <row r="193" spans="1:18">
      <c r="A193" s="179"/>
      <c r="B193" s="177"/>
      <c r="C193" s="177"/>
      <c r="D193" s="176"/>
      <c r="E193" s="176"/>
      <c r="F193" s="176"/>
      <c r="G193" s="176"/>
      <c r="H193" s="176"/>
      <c r="I193" s="176"/>
      <c r="J193" s="176"/>
      <c r="K193" s="176"/>
      <c r="L193" s="176"/>
      <c r="M193" s="176"/>
      <c r="N193" s="176"/>
      <c r="O193" s="176"/>
      <c r="P193" s="176"/>
      <c r="Q193" s="175"/>
      <c r="R193" s="186"/>
    </row>
    <row r="194" spans="1:18">
      <c r="A194" s="180" t="s">
        <v>461</v>
      </c>
      <c r="B194" s="177"/>
      <c r="C194" s="177"/>
      <c r="D194" s="176"/>
      <c r="E194" s="176"/>
      <c r="F194" s="176"/>
      <c r="G194" s="176"/>
      <c r="H194" s="176"/>
      <c r="I194" s="176"/>
      <c r="J194" s="176"/>
      <c r="K194" s="176"/>
      <c r="L194" s="176"/>
      <c r="M194" s="176"/>
      <c r="N194" s="176"/>
      <c r="O194" s="176"/>
      <c r="P194" s="176"/>
      <c r="Q194" s="175"/>
      <c r="R194" s="186"/>
    </row>
    <row r="195" spans="1:18">
      <c r="A195" s="180" t="s">
        <v>460</v>
      </c>
      <c r="B195" s="177"/>
      <c r="C195" s="177"/>
      <c r="D195" s="176">
        <f t="shared" ref="D195:P195" si="62">(D165/D180)*1000</f>
        <v>1732.7190072712554</v>
      </c>
      <c r="E195" s="176">
        <f t="shared" si="62"/>
        <v>1622.4040707599411</v>
      </c>
      <c r="F195" s="176">
        <f t="shared" si="62"/>
        <v>1533.5985911557859</v>
      </c>
      <c r="G195" s="176">
        <f t="shared" si="62"/>
        <v>1615.1845975081742</v>
      </c>
      <c r="H195" s="176">
        <f t="shared" si="62"/>
        <v>1812.4859366689354</v>
      </c>
      <c r="I195" s="176">
        <f t="shared" si="62"/>
        <v>1989.7216373690233</v>
      </c>
      <c r="J195" s="176">
        <f t="shared" si="62"/>
        <v>2177.1792951666444</v>
      </c>
      <c r="K195" s="176">
        <f t="shared" si="62"/>
        <v>2137.3907854208469</v>
      </c>
      <c r="L195" s="176">
        <f t="shared" si="62"/>
        <v>2165.2328929882547</v>
      </c>
      <c r="M195" s="176">
        <f t="shared" si="62"/>
        <v>2029.518340709828</v>
      </c>
      <c r="N195" s="176">
        <f t="shared" si="62"/>
        <v>1796.14618683035</v>
      </c>
      <c r="O195" s="176">
        <f t="shared" si="62"/>
        <v>1719.626355936367</v>
      </c>
      <c r="P195" s="176">
        <f t="shared" si="62"/>
        <v>22333.769274408227</v>
      </c>
      <c r="Q195" s="175"/>
      <c r="R195" s="186">
        <f>P195/P145-1</f>
        <v>-4.0975054299355662E-2</v>
      </c>
    </row>
    <row r="196" spans="1:18">
      <c r="A196" s="180"/>
      <c r="B196" s="177"/>
      <c r="C196" s="177"/>
      <c r="D196" s="176"/>
      <c r="E196" s="176"/>
      <c r="F196" s="176"/>
      <c r="G196" s="176"/>
      <c r="H196" s="176"/>
      <c r="I196" s="176"/>
      <c r="J196" s="176"/>
      <c r="K196" s="176"/>
      <c r="L196" s="176"/>
      <c r="M196" s="176"/>
      <c r="N196" s="176"/>
      <c r="O196" s="176"/>
      <c r="P196" s="176"/>
      <c r="Q196" s="175"/>
      <c r="R196" s="186"/>
    </row>
    <row r="197" spans="1:18">
      <c r="A197" s="179" t="s">
        <v>459</v>
      </c>
      <c r="B197" s="177"/>
      <c r="C197" s="177"/>
      <c r="D197" s="176">
        <f t="shared" ref="D197:P197" si="63">(D167/D182)*1000</f>
        <v>38621773.706070155</v>
      </c>
      <c r="E197" s="176">
        <f t="shared" si="63"/>
        <v>39544281.524853297</v>
      </c>
      <c r="F197" s="176">
        <f t="shared" si="63"/>
        <v>37062939.761963993</v>
      </c>
      <c r="G197" s="176">
        <f t="shared" si="63"/>
        <v>39837899.656442352</v>
      </c>
      <c r="H197" s="176">
        <f t="shared" si="63"/>
        <v>40333179.811327569</v>
      </c>
      <c r="I197" s="176">
        <f t="shared" si="63"/>
        <v>46987837.721486613</v>
      </c>
      <c r="J197" s="176">
        <f t="shared" si="63"/>
        <v>49864498.36298696</v>
      </c>
      <c r="K197" s="176">
        <f t="shared" si="63"/>
        <v>53095931.038600683</v>
      </c>
      <c r="L197" s="176">
        <f t="shared" si="63"/>
        <v>53606752.972708113</v>
      </c>
      <c r="M197" s="176">
        <f t="shared" si="63"/>
        <v>49332993.172639966</v>
      </c>
      <c r="N197" s="176">
        <f t="shared" si="63"/>
        <v>47033197.844254531</v>
      </c>
      <c r="O197" s="176">
        <f t="shared" si="63"/>
        <v>37124390.071108982</v>
      </c>
      <c r="P197" s="176">
        <f t="shared" si="63"/>
        <v>532445675.64444327</v>
      </c>
      <c r="Q197" s="175"/>
      <c r="R197" s="186">
        <f>P197/P147-1</f>
        <v>0.18378086524658133</v>
      </c>
    </row>
    <row r="198" spans="1:18">
      <c r="A198" s="177"/>
      <c r="B198" s="177"/>
      <c r="C198" s="177"/>
      <c r="D198" s="176"/>
      <c r="E198" s="176"/>
      <c r="F198" s="176"/>
      <c r="G198" s="176"/>
      <c r="H198" s="176"/>
      <c r="I198" s="176"/>
      <c r="J198" s="176"/>
      <c r="K198" s="176"/>
      <c r="L198" s="176"/>
      <c r="M198" s="176"/>
      <c r="N198" s="176"/>
      <c r="O198" s="176"/>
      <c r="P198" s="176"/>
      <c r="Q198" s="175"/>
      <c r="R198" s="186"/>
    </row>
    <row r="199" spans="1:18">
      <c r="A199" s="178" t="s">
        <v>458</v>
      </c>
      <c r="B199" s="177"/>
      <c r="C199" s="177"/>
      <c r="D199" s="176">
        <f t="shared" ref="D199:P199" si="64">(D169/D184)*1000</f>
        <v>1766.8164943523859</v>
      </c>
      <c r="E199" s="176">
        <f t="shared" si="64"/>
        <v>1657.2596990442808</v>
      </c>
      <c r="F199" s="176">
        <f t="shared" si="64"/>
        <v>1566.2284925234594</v>
      </c>
      <c r="G199" s="176">
        <f t="shared" si="64"/>
        <v>1650.2318082262734</v>
      </c>
      <c r="H199" s="176">
        <f t="shared" si="64"/>
        <v>1847.9506898634636</v>
      </c>
      <c r="I199" s="176">
        <f t="shared" si="64"/>
        <v>2031.0262269508485</v>
      </c>
      <c r="J199" s="176">
        <f t="shared" si="64"/>
        <v>2220.9943079114396</v>
      </c>
      <c r="K199" s="176">
        <f t="shared" si="64"/>
        <v>2183.9993735984363</v>
      </c>
      <c r="L199" s="176">
        <f t="shared" si="64"/>
        <v>2212.2924939143222</v>
      </c>
      <c r="M199" s="176">
        <f t="shared" si="64"/>
        <v>2072.8183019732637</v>
      </c>
      <c r="N199" s="176">
        <f t="shared" si="64"/>
        <v>1837.3931314429917</v>
      </c>
      <c r="O199" s="176">
        <f t="shared" si="64"/>
        <v>1752.1733741206046</v>
      </c>
      <c r="P199" s="176">
        <f t="shared" si="64"/>
        <v>22801.81035895479</v>
      </c>
      <c r="Q199" s="175"/>
      <c r="R199" s="186">
        <f>P199/P149-1</f>
        <v>-3.9681184727251018E-2</v>
      </c>
    </row>
    <row r="201" spans="1:18">
      <c r="A201" s="185" t="s">
        <v>478</v>
      </c>
      <c r="B201" s="184"/>
      <c r="C201" s="184"/>
      <c r="D201" s="183"/>
      <c r="E201" s="183"/>
      <c r="F201" s="183"/>
      <c r="G201" s="183"/>
      <c r="H201" s="183"/>
      <c r="I201" s="183"/>
      <c r="J201" s="184"/>
      <c r="K201" s="183"/>
      <c r="L201" s="183"/>
      <c r="M201" s="183"/>
      <c r="N201" s="183"/>
      <c r="O201" s="183"/>
      <c r="P201" s="183"/>
      <c r="Q201" s="175"/>
    </row>
    <row r="202" spans="1:18">
      <c r="A202" s="185" t="s">
        <v>474</v>
      </c>
      <c r="B202" s="184"/>
      <c r="C202" s="184"/>
      <c r="D202" s="183"/>
      <c r="E202" s="183"/>
      <c r="F202" s="183"/>
      <c r="G202" s="183"/>
      <c r="H202" s="183"/>
      <c r="I202" s="184"/>
      <c r="J202" s="183"/>
      <c r="K202" s="183"/>
      <c r="L202" s="183"/>
      <c r="M202" s="183"/>
      <c r="N202" s="183"/>
      <c r="O202" s="183"/>
      <c r="P202" s="183"/>
      <c r="Q202" s="182">
        <f>Q2</f>
        <v>40269</v>
      </c>
    </row>
    <row r="203" spans="1:18">
      <c r="A203" s="185" t="s">
        <v>473</v>
      </c>
      <c r="B203" s="184"/>
      <c r="C203" s="184"/>
      <c r="D203" s="183"/>
      <c r="E203" s="183"/>
      <c r="F203" s="183"/>
      <c r="G203" s="183"/>
      <c r="H203" s="183"/>
      <c r="I203" s="184"/>
      <c r="J203" s="183"/>
      <c r="K203" s="183"/>
      <c r="L203" s="183"/>
      <c r="M203" s="183"/>
      <c r="N203" s="183"/>
      <c r="O203" s="183"/>
      <c r="P203" s="183"/>
      <c r="Q203" s="182"/>
    </row>
    <row r="204" spans="1:18">
      <c r="A204" s="177"/>
      <c r="B204" s="177"/>
      <c r="C204" s="177"/>
      <c r="D204" s="176"/>
      <c r="E204" s="176"/>
      <c r="F204" s="176"/>
      <c r="G204" s="176"/>
      <c r="H204" s="176"/>
      <c r="I204" s="176"/>
      <c r="J204" s="176"/>
      <c r="K204" s="176"/>
      <c r="L204" s="176"/>
      <c r="M204" s="176"/>
      <c r="N204" s="176"/>
      <c r="O204" s="176"/>
      <c r="P204" s="176"/>
      <c r="Q204" s="175"/>
    </row>
    <row r="205" spans="1:18">
      <c r="A205" s="177"/>
      <c r="B205" s="177"/>
      <c r="C205" s="177"/>
      <c r="D205" s="139" t="s">
        <v>413</v>
      </c>
      <c r="E205" s="139" t="s">
        <v>412</v>
      </c>
      <c r="F205" s="139" t="s">
        <v>411</v>
      </c>
      <c r="G205" s="139" t="s">
        <v>410</v>
      </c>
      <c r="H205" s="139" t="s">
        <v>409</v>
      </c>
      <c r="I205" s="139" t="s">
        <v>408</v>
      </c>
      <c r="J205" s="139" t="s">
        <v>407</v>
      </c>
      <c r="K205" s="139" t="s">
        <v>406</v>
      </c>
      <c r="L205" s="139" t="s">
        <v>405</v>
      </c>
      <c r="M205" s="139" t="s">
        <v>404</v>
      </c>
      <c r="N205" s="139" t="s">
        <v>403</v>
      </c>
      <c r="O205" s="139" t="s">
        <v>402</v>
      </c>
      <c r="P205" s="139" t="s">
        <v>93</v>
      </c>
      <c r="Q205" s="175"/>
    </row>
    <row r="206" spans="1:18">
      <c r="A206" s="180" t="s">
        <v>472</v>
      </c>
      <c r="B206" s="177"/>
      <c r="C206" s="177"/>
      <c r="D206" s="176"/>
      <c r="E206" s="176"/>
      <c r="F206" s="176"/>
      <c r="G206" s="176"/>
      <c r="H206" s="176"/>
      <c r="I206" s="176"/>
      <c r="J206" s="176"/>
      <c r="K206" s="176"/>
      <c r="L206" s="176"/>
      <c r="M206" s="176"/>
      <c r="N206" s="176"/>
      <c r="O206" s="176"/>
      <c r="P206" s="176"/>
      <c r="Q206" s="175"/>
    </row>
    <row r="207" spans="1:18">
      <c r="A207" s="179" t="s">
        <v>467</v>
      </c>
      <c r="B207" s="177"/>
      <c r="C207" s="177"/>
      <c r="D207" s="176">
        <v>4233948.3052315963</v>
      </c>
      <c r="E207" s="176">
        <v>3759477.1952667562</v>
      </c>
      <c r="F207" s="176">
        <v>3512639.3382718465</v>
      </c>
      <c r="G207" s="176">
        <v>3750551.3156137895</v>
      </c>
      <c r="H207" s="176">
        <v>4348868.1174986893</v>
      </c>
      <c r="I207" s="176">
        <v>4983693.1339215292</v>
      </c>
      <c r="J207" s="176">
        <v>5596393.0624971353</v>
      </c>
      <c r="K207" s="176">
        <v>5552316.4475617055</v>
      </c>
      <c r="L207" s="176">
        <v>5607973.4392734095</v>
      </c>
      <c r="M207" s="176">
        <v>5121132.5577291045</v>
      </c>
      <c r="N207" s="176">
        <v>4330500.9451161809</v>
      </c>
      <c r="O207" s="176">
        <v>3957832.8498319089</v>
      </c>
      <c r="P207" s="176">
        <f t="shared" ref="P207:P212" si="65">SUM(D207:O207)</f>
        <v>54755326.70781365</v>
      </c>
      <c r="Q207" s="175"/>
      <c r="R207" s="186">
        <f t="shared" ref="R207:R212" si="66">P207/P157-1</f>
        <v>1.7106419889114433E-2</v>
      </c>
    </row>
    <row r="208" spans="1:18">
      <c r="A208" s="179" t="s">
        <v>466</v>
      </c>
      <c r="B208" s="177"/>
      <c r="C208" s="177"/>
      <c r="D208" s="176">
        <v>3390691.210356826</v>
      </c>
      <c r="E208" s="176">
        <v>3376358.2982612792</v>
      </c>
      <c r="F208" s="176">
        <v>3220657.7219001213</v>
      </c>
      <c r="G208" s="176">
        <v>3362266.7569812983</v>
      </c>
      <c r="H208" s="176">
        <v>3668827.5714538693</v>
      </c>
      <c r="I208" s="176">
        <v>3846697.330361207</v>
      </c>
      <c r="J208" s="176">
        <v>4100509.3243994447</v>
      </c>
      <c r="K208" s="176">
        <v>3978739.1016387865</v>
      </c>
      <c r="L208" s="176">
        <v>4063042.4163600402</v>
      </c>
      <c r="M208" s="176">
        <v>3954347.8511468861</v>
      </c>
      <c r="N208" s="176">
        <v>3707187.6179108284</v>
      </c>
      <c r="O208" s="176">
        <v>3759899.4298789571</v>
      </c>
      <c r="P208" s="176">
        <f t="shared" si="65"/>
        <v>44429224.630649544</v>
      </c>
      <c r="Q208" s="175"/>
      <c r="R208" s="186">
        <f t="shared" si="66"/>
        <v>6.7206034103439727E-3</v>
      </c>
    </row>
    <row r="209" spans="1:21">
      <c r="A209" s="179" t="s">
        <v>465</v>
      </c>
      <c r="B209" s="177"/>
      <c r="C209" s="177"/>
      <c r="D209" s="176">
        <v>255698.77516467619</v>
      </c>
      <c r="E209" s="176">
        <v>255106.97732439413</v>
      </c>
      <c r="F209" s="176">
        <v>254659.37120568749</v>
      </c>
      <c r="G209" s="176">
        <v>253278.55533566937</v>
      </c>
      <c r="H209" s="176">
        <v>252694.62475309271</v>
      </c>
      <c r="I209" s="176">
        <v>252022.37899296294</v>
      </c>
      <c r="J209" s="176">
        <v>251580.72026948805</v>
      </c>
      <c r="K209" s="176">
        <v>252071.32760541784</v>
      </c>
      <c r="L209" s="176">
        <v>252722.11181100798</v>
      </c>
      <c r="M209" s="176">
        <v>250476.39959483664</v>
      </c>
      <c r="N209" s="176">
        <v>250478.97187816704</v>
      </c>
      <c r="O209" s="176">
        <v>249011.23417171644</v>
      </c>
      <c r="P209" s="176">
        <f t="shared" si="65"/>
        <v>3029801.4481071169</v>
      </c>
      <c r="Q209" s="175"/>
      <c r="R209" s="186">
        <f t="shared" si="66"/>
        <v>-2.3901352672557663E-2</v>
      </c>
    </row>
    <row r="210" spans="1:21">
      <c r="A210" s="179" t="s">
        <v>464</v>
      </c>
      <c r="B210" s="177"/>
      <c r="C210" s="177"/>
      <c r="D210" s="176">
        <v>37340.350083073507</v>
      </c>
      <c r="E210" s="176">
        <v>37462.646927219488</v>
      </c>
      <c r="F210" s="176">
        <v>37360.731553329089</v>
      </c>
      <c r="G210" s="176">
        <v>37352.058571952679</v>
      </c>
      <c r="H210" s="176">
        <v>37652.572082938008</v>
      </c>
      <c r="I210" s="176">
        <v>37558.985212261556</v>
      </c>
      <c r="J210" s="176">
        <v>37640.403469161858</v>
      </c>
      <c r="K210" s="176">
        <v>37659.680478870505</v>
      </c>
      <c r="L210" s="176">
        <v>37849.009407949787</v>
      </c>
      <c r="M210" s="176">
        <v>37984.038280834742</v>
      </c>
      <c r="N210" s="176">
        <v>38090.513317988414</v>
      </c>
      <c r="O210" s="176">
        <v>38355.541566444677</v>
      </c>
      <c r="P210" s="176">
        <f t="shared" si="65"/>
        <v>452306.53095202433</v>
      </c>
      <c r="Q210" s="175"/>
      <c r="R210" s="186">
        <f t="shared" si="66"/>
        <v>2.3747800228284044E-2</v>
      </c>
    </row>
    <row r="211" spans="1:21">
      <c r="A211" s="179" t="s">
        <v>463</v>
      </c>
      <c r="B211" s="177"/>
      <c r="C211" s="177"/>
      <c r="D211" s="176">
        <v>2313.1935956282464</v>
      </c>
      <c r="E211" s="176">
        <v>2235.7271616813009</v>
      </c>
      <c r="F211" s="176">
        <v>2140.7326305235692</v>
      </c>
      <c r="G211" s="176">
        <v>2137.6935704081634</v>
      </c>
      <c r="H211" s="176">
        <v>2622.1772632478633</v>
      </c>
      <c r="I211" s="176">
        <v>3130.9176931623938</v>
      </c>
      <c r="J211" s="176">
        <v>3277.7027735042739</v>
      </c>
      <c r="K211" s="176">
        <v>2349.7840000000001</v>
      </c>
      <c r="L211" s="176">
        <v>2382.8556891809717</v>
      </c>
      <c r="M211" s="176">
        <v>2334.967099433466</v>
      </c>
      <c r="N211" s="176">
        <v>2372.7232747068674</v>
      </c>
      <c r="O211" s="176">
        <v>2365.3196813359732</v>
      </c>
      <c r="P211" s="176">
        <f t="shared" si="65"/>
        <v>29663.794432813087</v>
      </c>
      <c r="Q211" s="175"/>
      <c r="R211" s="186">
        <f t="shared" si="66"/>
        <v>0</v>
      </c>
    </row>
    <row r="212" spans="1:21">
      <c r="A212" s="179" t="s">
        <v>462</v>
      </c>
      <c r="B212" s="177"/>
      <c r="C212" s="177"/>
      <c r="D212" s="176">
        <v>6958.4869565217377</v>
      </c>
      <c r="E212" s="176">
        <v>7320.6202898550728</v>
      </c>
      <c r="F212" s="176">
        <v>7037.7289855072459</v>
      </c>
      <c r="G212" s="176">
        <v>6972.5782608695645</v>
      </c>
      <c r="H212" s="176">
        <v>7467.9347826086951</v>
      </c>
      <c r="I212" s="176">
        <v>7930.3202898550717</v>
      </c>
      <c r="J212" s="176">
        <v>8095.4391304347828</v>
      </c>
      <c r="K212" s="176">
        <v>7897.7449275362324</v>
      </c>
      <c r="L212" s="176">
        <v>7872.6869565217403</v>
      </c>
      <c r="M212" s="176">
        <v>7781.8188405797109</v>
      </c>
      <c r="N212" s="176">
        <v>7623.4260869565232</v>
      </c>
      <c r="O212" s="176">
        <v>7516.3362318840582</v>
      </c>
      <c r="P212" s="176">
        <f t="shared" si="65"/>
        <v>90475.121739130424</v>
      </c>
      <c r="Q212" s="175"/>
      <c r="R212" s="186">
        <f t="shared" si="66"/>
        <v>0.11517396696728666</v>
      </c>
    </row>
    <row r="213" spans="1:21">
      <c r="A213" s="179"/>
      <c r="B213" s="177"/>
      <c r="C213" s="177"/>
      <c r="D213" s="176"/>
      <c r="E213" s="176"/>
      <c r="F213" s="176"/>
      <c r="G213" s="176"/>
      <c r="H213" s="176"/>
      <c r="I213" s="176"/>
      <c r="J213" s="176"/>
      <c r="K213" s="176"/>
      <c r="L213" s="176"/>
      <c r="M213" s="176"/>
      <c r="N213" s="176"/>
      <c r="O213" s="176"/>
      <c r="P213" s="176"/>
      <c r="Q213" s="175"/>
      <c r="R213" s="186"/>
    </row>
    <row r="214" spans="1:21">
      <c r="A214" s="180" t="s">
        <v>461</v>
      </c>
      <c r="B214" s="177"/>
      <c r="C214" s="177"/>
      <c r="D214" s="176"/>
      <c r="E214" s="176"/>
      <c r="F214" s="176"/>
      <c r="G214" s="176"/>
      <c r="H214" s="176"/>
      <c r="I214" s="176"/>
      <c r="J214" s="176"/>
      <c r="K214" s="176"/>
      <c r="L214" s="176"/>
      <c r="M214" s="176"/>
      <c r="N214" s="176"/>
      <c r="O214" s="176"/>
      <c r="P214" s="176"/>
      <c r="Q214" s="175"/>
      <c r="R214" s="186"/>
    </row>
    <row r="215" spans="1:21">
      <c r="A215" s="180" t="s">
        <v>471</v>
      </c>
      <c r="B215" s="177"/>
      <c r="C215" s="177"/>
      <c r="D215" s="176">
        <f t="shared" ref="D215:P215" si="67">SUM(D207:D214)</f>
        <v>7926950.3213883219</v>
      </c>
      <c r="E215" s="176">
        <f t="shared" si="67"/>
        <v>7437961.4652311858</v>
      </c>
      <c r="F215" s="176">
        <f t="shared" si="67"/>
        <v>7034495.6245470149</v>
      </c>
      <c r="G215" s="176">
        <f t="shared" si="67"/>
        <v>7412558.9583339877</v>
      </c>
      <c r="H215" s="176">
        <f t="shared" si="67"/>
        <v>8318132.997834445</v>
      </c>
      <c r="I215" s="176">
        <f t="shared" si="67"/>
        <v>9131033.0664709788</v>
      </c>
      <c r="J215" s="176">
        <f t="shared" si="67"/>
        <v>9997496.6525391694</v>
      </c>
      <c r="K215" s="176">
        <f t="shared" si="67"/>
        <v>9831034.0862123165</v>
      </c>
      <c r="L215" s="176">
        <f t="shared" si="67"/>
        <v>9971842.5194981098</v>
      </c>
      <c r="M215" s="176">
        <f t="shared" si="67"/>
        <v>9374057.6326916758</v>
      </c>
      <c r="N215" s="176">
        <f t="shared" si="67"/>
        <v>8336254.1975848284</v>
      </c>
      <c r="O215" s="176">
        <f t="shared" si="67"/>
        <v>8014980.7113622474</v>
      </c>
      <c r="P215" s="176">
        <f t="shared" si="67"/>
        <v>102786798.23369429</v>
      </c>
      <c r="Q215" s="175"/>
      <c r="R215" s="186">
        <f>P215/P165-1</f>
        <v>1.1445748872987771E-2</v>
      </c>
    </row>
    <row r="216" spans="1:21">
      <c r="A216" s="180"/>
      <c r="B216" s="177"/>
      <c r="C216" s="177"/>
      <c r="D216" s="176"/>
      <c r="E216" s="176"/>
      <c r="F216" s="176"/>
      <c r="G216" s="176"/>
      <c r="H216" s="176"/>
      <c r="I216" s="176"/>
      <c r="J216" s="176"/>
      <c r="K216" s="176"/>
      <c r="L216" s="176"/>
      <c r="M216" s="176"/>
      <c r="N216" s="176"/>
      <c r="O216" s="176"/>
      <c r="P216" s="176"/>
      <c r="Q216" s="175"/>
      <c r="R216" s="186"/>
    </row>
    <row r="217" spans="1:21">
      <c r="A217" s="179" t="s">
        <v>459</v>
      </c>
      <c r="B217" s="177"/>
      <c r="C217" s="177"/>
      <c r="D217" s="176">
        <v>147526.27187173511</v>
      </c>
      <c r="E217" s="176">
        <v>158684.91910398263</v>
      </c>
      <c r="F217" s="176">
        <v>151150.50814629369</v>
      </c>
      <c r="G217" s="176">
        <v>160838.65508453199</v>
      </c>
      <c r="H217" s="176">
        <v>163119.63143061163</v>
      </c>
      <c r="I217" s="176">
        <v>189417.71884320019</v>
      </c>
      <c r="J217" s="176">
        <v>201569.92788917734</v>
      </c>
      <c r="K217" s="176">
        <v>214651.05407657736</v>
      </c>
      <c r="L217" s="176">
        <v>216747.30896918406</v>
      </c>
      <c r="M217" s="176">
        <v>199931.08238256222</v>
      </c>
      <c r="N217" s="176">
        <v>190425.87031173654</v>
      </c>
      <c r="O217" s="176">
        <v>150789.51808990302</v>
      </c>
      <c r="P217" s="176">
        <f>SUM(D217:O217)</f>
        <v>2144852.4661994958</v>
      </c>
      <c r="Q217" s="175"/>
      <c r="R217" s="186">
        <f>P217/P167-1</f>
        <v>7.0757282437701186E-3</v>
      </c>
    </row>
    <row r="218" spans="1:21" ht="13.8" thickBot="1">
      <c r="A218" s="177"/>
      <c r="B218" s="177"/>
      <c r="C218" s="177"/>
      <c r="D218" s="176"/>
      <c r="E218" s="176"/>
      <c r="F218" s="176"/>
      <c r="G218" s="176"/>
      <c r="H218" s="176"/>
      <c r="I218" s="176"/>
      <c r="J218" s="176"/>
      <c r="K218" s="176"/>
      <c r="L218" s="176"/>
      <c r="M218" s="176"/>
      <c r="N218" s="176"/>
      <c r="O218" s="176"/>
      <c r="P218" s="176"/>
      <c r="Q218" s="175"/>
      <c r="R218" s="186"/>
    </row>
    <row r="219" spans="1:21" ht="13.8" thickBot="1">
      <c r="A219" s="180" t="s">
        <v>470</v>
      </c>
      <c r="B219" s="177"/>
      <c r="C219" s="177"/>
      <c r="D219" s="176">
        <f t="shared" ref="D219:P219" si="68">SUM(D215:D217)</f>
        <v>8074476.5932600573</v>
      </c>
      <c r="E219" s="176">
        <f t="shared" si="68"/>
        <v>7596646.3843351686</v>
      </c>
      <c r="F219" s="176">
        <f t="shared" si="68"/>
        <v>7185646.1326933084</v>
      </c>
      <c r="G219" s="176">
        <f t="shared" si="68"/>
        <v>7573397.6134185195</v>
      </c>
      <c r="H219" s="176">
        <f t="shared" si="68"/>
        <v>8481252.6292650569</v>
      </c>
      <c r="I219" s="176">
        <f t="shared" si="68"/>
        <v>9320450.7853141781</v>
      </c>
      <c r="J219" s="176">
        <f t="shared" si="68"/>
        <v>10199066.580428347</v>
      </c>
      <c r="K219" s="176">
        <f t="shared" si="68"/>
        <v>10045685.140288893</v>
      </c>
      <c r="L219" s="176">
        <f t="shared" si="68"/>
        <v>10188589.828467295</v>
      </c>
      <c r="M219" s="176">
        <f t="shared" si="68"/>
        <v>9573988.7150742374</v>
      </c>
      <c r="N219" s="176">
        <f t="shared" si="68"/>
        <v>8526680.0678965654</v>
      </c>
      <c r="O219" s="176">
        <f t="shared" si="68"/>
        <v>8165770.2294521499</v>
      </c>
      <c r="P219" s="176">
        <f t="shared" si="68"/>
        <v>104931650.69989379</v>
      </c>
      <c r="Q219" s="175"/>
      <c r="R219" s="186">
        <f>P219/P169-1</f>
        <v>1.1356043934667159E-2</v>
      </c>
      <c r="S219" s="187">
        <v>0</v>
      </c>
      <c r="U219" s="193">
        <f>+P219-M219-N219-O219+M169+N169+O169</f>
        <v>104485619.69531851</v>
      </c>
    </row>
    <row r="220" spans="1:21">
      <c r="A220" s="177"/>
      <c r="B220" s="177"/>
      <c r="C220" s="177"/>
      <c r="D220" s="176"/>
      <c r="E220" s="176"/>
      <c r="F220" s="176"/>
      <c r="G220" s="176"/>
      <c r="H220" s="176"/>
      <c r="I220" s="176"/>
      <c r="J220" s="176"/>
      <c r="K220" s="176"/>
      <c r="L220" s="176"/>
      <c r="M220" s="176"/>
      <c r="N220" s="176"/>
      <c r="O220" s="176"/>
      <c r="P220" s="176"/>
      <c r="Q220" s="175"/>
      <c r="R220" s="186"/>
    </row>
    <row r="221" spans="1:21">
      <c r="A221" s="180" t="s">
        <v>469</v>
      </c>
      <c r="B221" s="177"/>
      <c r="C221" s="177"/>
      <c r="D221" s="176"/>
      <c r="E221" s="176"/>
      <c r="F221" s="176"/>
      <c r="G221" s="176"/>
      <c r="H221" s="176"/>
      <c r="I221" s="176"/>
      <c r="J221" s="176"/>
      <c r="K221" s="176"/>
      <c r="L221" s="176"/>
      <c r="M221" s="176"/>
      <c r="N221" s="176"/>
      <c r="O221" s="176"/>
      <c r="P221" s="176"/>
      <c r="Q221" s="175"/>
      <c r="R221" s="186"/>
    </row>
    <row r="222" spans="1:21">
      <c r="A222" s="179" t="s">
        <v>467</v>
      </c>
      <c r="B222" s="177"/>
      <c r="C222" s="177"/>
      <c r="D222" s="181">
        <v>4048861.3458812493</v>
      </c>
      <c r="E222" s="181">
        <v>4056211.1668724963</v>
      </c>
      <c r="F222" s="181">
        <v>4061907.723942575</v>
      </c>
      <c r="G222" s="181">
        <v>4065966.1563654956</v>
      </c>
      <c r="H222" s="181">
        <v>4070218.3759725862</v>
      </c>
      <c r="I222" s="181">
        <v>4073646.0431582266</v>
      </c>
      <c r="J222" s="181">
        <v>4077587.7216171026</v>
      </c>
      <c r="K222" s="181">
        <v>4083672.930583436</v>
      </c>
      <c r="L222" s="181">
        <v>4085869.7080387133</v>
      </c>
      <c r="M222" s="181">
        <v>4088978.9242417552</v>
      </c>
      <c r="N222" s="181">
        <v>4094551.925413806</v>
      </c>
      <c r="O222" s="181">
        <v>4098143.0576777188</v>
      </c>
      <c r="P222" s="176">
        <f>AVERAGE(C222:O222)</f>
        <v>4075467.923313763</v>
      </c>
      <c r="Q222" s="175"/>
      <c r="R222" s="186">
        <f t="shared" ref="R222:R227" si="69">P222/P172-1</f>
        <v>1.0386704881077291E-2</v>
      </c>
    </row>
    <row r="223" spans="1:21">
      <c r="A223" s="179" t="s">
        <v>466</v>
      </c>
      <c r="B223" s="177"/>
      <c r="C223" s="177"/>
      <c r="D223" s="181">
        <v>504683.003846912</v>
      </c>
      <c r="E223" s="181">
        <v>504795.530695286</v>
      </c>
      <c r="F223" s="181">
        <v>504912.94298615702</v>
      </c>
      <c r="G223" s="181">
        <v>505034.88094638899</v>
      </c>
      <c r="H223" s="181">
        <v>505330.15192275099</v>
      </c>
      <c r="I223" s="181">
        <v>505629.30655421002</v>
      </c>
      <c r="J223" s="181">
        <v>505932.05884113</v>
      </c>
      <c r="K223" s="181">
        <v>506238.14384542598</v>
      </c>
      <c r="L223" s="181">
        <v>506547.31613954599</v>
      </c>
      <c r="M223" s="181">
        <v>506859.34836968599</v>
      </c>
      <c r="N223" s="181">
        <v>507174.02992479998</v>
      </c>
      <c r="O223" s="181">
        <v>507491.16570363502</v>
      </c>
      <c r="P223" s="176">
        <f>AVERAGE(D223:O223)</f>
        <v>505885.65664799395</v>
      </c>
      <c r="Q223" s="175"/>
      <c r="R223" s="186">
        <f t="shared" si="69"/>
        <v>3.3116970406426027E-3</v>
      </c>
    </row>
    <row r="224" spans="1:21">
      <c r="A224" s="179" t="s">
        <v>465</v>
      </c>
      <c r="B224" s="177"/>
      <c r="C224" s="177"/>
      <c r="D224" s="181">
        <v>9158.1235759654392</v>
      </c>
      <c r="E224" s="181">
        <v>9143.2895138903805</v>
      </c>
      <c r="F224" s="181">
        <v>9184.2616719219404</v>
      </c>
      <c r="G224" s="181">
        <v>9217.6407540714099</v>
      </c>
      <c r="H224" s="181">
        <v>9252.18083782961</v>
      </c>
      <c r="I224" s="181">
        <v>9284.990834444221</v>
      </c>
      <c r="J224" s="181">
        <v>9319.1007451944406</v>
      </c>
      <c r="K224" s="181">
        <v>9358.3194692001689</v>
      </c>
      <c r="L224" s="181">
        <v>9398.0933478981497</v>
      </c>
      <c r="M224" s="181">
        <v>9421.0428004707501</v>
      </c>
      <c r="N224" s="181">
        <v>9457.1702659953899</v>
      </c>
      <c r="O224" s="181">
        <v>9481.6640410382097</v>
      </c>
      <c r="P224" s="176">
        <f>AVERAGE(D224:O224)</f>
        <v>9306.3231548266758</v>
      </c>
      <c r="Q224" s="175"/>
      <c r="R224" s="186">
        <f t="shared" si="69"/>
        <v>5.1746907124003982E-2</v>
      </c>
    </row>
    <row r="225" spans="1:19">
      <c r="A225" s="179" t="s">
        <v>464</v>
      </c>
      <c r="B225" s="177"/>
      <c r="C225" s="177"/>
      <c r="D225" s="181">
        <v>3415.3432818087799</v>
      </c>
      <c r="E225" s="181">
        <v>3422.0211928441199</v>
      </c>
      <c r="F225" s="181">
        <v>3428.7287110561301</v>
      </c>
      <c r="G225" s="181">
        <v>3435.4664106936598</v>
      </c>
      <c r="H225" s="181">
        <v>3442.2348422134801</v>
      </c>
      <c r="I225" s="181">
        <v>3449.0345324157602</v>
      </c>
      <c r="J225" s="181">
        <v>3455.8659845786301</v>
      </c>
      <c r="K225" s="181">
        <v>3462.7296785921098</v>
      </c>
      <c r="L225" s="181">
        <v>3469.6260710911401</v>
      </c>
      <c r="M225" s="181">
        <v>3476.55559558798</v>
      </c>
      <c r="N225" s="181">
        <v>3483.5186626037698</v>
      </c>
      <c r="O225" s="181">
        <v>3490.5156597994001</v>
      </c>
      <c r="P225" s="176">
        <f>AVERAGE(D225:O225)</f>
        <v>3452.6367186070802</v>
      </c>
      <c r="Q225" s="175"/>
      <c r="R225" s="186">
        <f t="shared" si="69"/>
        <v>2.3747663433062671E-2</v>
      </c>
    </row>
    <row r="226" spans="1:19">
      <c r="A226" s="179" t="s">
        <v>463</v>
      </c>
      <c r="B226" s="177"/>
      <c r="C226" s="177"/>
      <c r="D226" s="181">
        <v>191</v>
      </c>
      <c r="E226" s="181">
        <v>191</v>
      </c>
      <c r="F226" s="181">
        <v>191</v>
      </c>
      <c r="G226" s="181">
        <v>191</v>
      </c>
      <c r="H226" s="181">
        <v>191</v>
      </c>
      <c r="I226" s="181">
        <v>191</v>
      </c>
      <c r="J226" s="181">
        <v>191</v>
      </c>
      <c r="K226" s="181">
        <v>191</v>
      </c>
      <c r="L226" s="181">
        <v>191</v>
      </c>
      <c r="M226" s="181">
        <v>191</v>
      </c>
      <c r="N226" s="181">
        <v>191</v>
      </c>
      <c r="O226" s="181">
        <v>191</v>
      </c>
      <c r="P226" s="176">
        <f>AVERAGE(D226:O226)</f>
        <v>191</v>
      </c>
      <c r="Q226" s="175"/>
      <c r="R226" s="186">
        <f t="shared" si="69"/>
        <v>0</v>
      </c>
    </row>
    <row r="227" spans="1:19">
      <c r="A227" s="179" t="s">
        <v>462</v>
      </c>
      <c r="B227" s="177"/>
      <c r="C227" s="177"/>
      <c r="D227" s="181">
        <v>24</v>
      </c>
      <c r="E227" s="181">
        <v>26</v>
      </c>
      <c r="F227" s="181">
        <v>26</v>
      </c>
      <c r="G227" s="181">
        <v>26</v>
      </c>
      <c r="H227" s="181">
        <v>26</v>
      </c>
      <c r="I227" s="181">
        <v>26</v>
      </c>
      <c r="J227" s="181">
        <v>26</v>
      </c>
      <c r="K227" s="181">
        <v>26</v>
      </c>
      <c r="L227" s="181">
        <v>26</v>
      </c>
      <c r="M227" s="181">
        <v>26</v>
      </c>
      <c r="N227" s="181">
        <v>26</v>
      </c>
      <c r="O227" s="181">
        <v>26</v>
      </c>
      <c r="P227" s="176">
        <f>AVERAGE(D227:O227)</f>
        <v>25.833333333333332</v>
      </c>
      <c r="Q227" s="175"/>
      <c r="R227" s="186">
        <f t="shared" si="69"/>
        <v>0.1151079136690647</v>
      </c>
    </row>
    <row r="228" spans="1:19">
      <c r="A228" s="179"/>
      <c r="B228" s="177"/>
      <c r="C228" s="177"/>
      <c r="D228" s="176"/>
      <c r="E228" s="176"/>
      <c r="F228" s="176"/>
      <c r="G228" s="176"/>
      <c r="H228" s="176"/>
      <c r="I228" s="176"/>
      <c r="J228" s="176"/>
      <c r="K228" s="176"/>
      <c r="L228" s="176"/>
      <c r="M228" s="176"/>
      <c r="N228" s="176"/>
      <c r="O228" s="176"/>
      <c r="P228" s="176"/>
      <c r="Q228" s="175"/>
      <c r="R228" s="186"/>
    </row>
    <row r="229" spans="1:19">
      <c r="A229" s="180" t="s">
        <v>461</v>
      </c>
      <c r="B229" s="177"/>
      <c r="C229" s="177"/>
      <c r="D229" s="176"/>
      <c r="E229" s="176"/>
      <c r="F229" s="176"/>
      <c r="G229" s="176"/>
      <c r="H229" s="176"/>
      <c r="I229" s="176"/>
      <c r="J229" s="176"/>
      <c r="K229" s="176"/>
      <c r="L229" s="176"/>
      <c r="M229" s="176"/>
      <c r="N229" s="176"/>
      <c r="O229" s="176"/>
      <c r="P229" s="176"/>
      <c r="Q229" s="175"/>
      <c r="R229" s="186"/>
    </row>
    <row r="230" spans="1:19">
      <c r="A230" s="180" t="s">
        <v>469</v>
      </c>
      <c r="B230" s="177"/>
      <c r="C230" s="177"/>
      <c r="D230" s="176">
        <f t="shared" ref="D230:P230" si="70">SUM(D222:D229)</f>
        <v>4566332.8165859366</v>
      </c>
      <c r="E230" s="176">
        <f t="shared" si="70"/>
        <v>4573789.008274517</v>
      </c>
      <c r="F230" s="176">
        <f t="shared" si="70"/>
        <v>4579650.6573117105</v>
      </c>
      <c r="G230" s="176">
        <f t="shared" si="70"/>
        <v>4583871.1444766494</v>
      </c>
      <c r="H230" s="176">
        <f t="shared" si="70"/>
        <v>4588459.9435753804</v>
      </c>
      <c r="I230" s="176">
        <f t="shared" si="70"/>
        <v>4592226.3750792965</v>
      </c>
      <c r="J230" s="176">
        <f t="shared" si="70"/>
        <v>4596511.7471880056</v>
      </c>
      <c r="K230" s="176">
        <f t="shared" si="70"/>
        <v>4602949.1235766541</v>
      </c>
      <c r="L230" s="176">
        <f t="shared" si="70"/>
        <v>4605501.7435972476</v>
      </c>
      <c r="M230" s="176">
        <f t="shared" si="70"/>
        <v>4608952.8710075002</v>
      </c>
      <c r="N230" s="176">
        <f t="shared" si="70"/>
        <v>4614883.6442672042</v>
      </c>
      <c r="O230" s="176">
        <f t="shared" si="70"/>
        <v>4618823.4030821919</v>
      </c>
      <c r="P230" s="176">
        <f t="shared" si="70"/>
        <v>4594329.3731685244</v>
      </c>
      <c r="Q230" s="175"/>
      <c r="R230" s="186">
        <f>P230/P180-1</f>
        <v>9.6931444252845722E-3</v>
      </c>
    </row>
    <row r="231" spans="1:19">
      <c r="A231" s="180"/>
      <c r="B231" s="177"/>
      <c r="C231" s="177"/>
      <c r="D231" s="176"/>
      <c r="E231" s="176"/>
      <c r="F231" s="176"/>
      <c r="G231" s="176"/>
      <c r="H231" s="176"/>
      <c r="I231" s="176"/>
      <c r="J231" s="176"/>
      <c r="K231" s="176"/>
      <c r="L231" s="176"/>
      <c r="M231" s="176"/>
      <c r="N231" s="176"/>
      <c r="O231" s="176"/>
      <c r="P231" s="176"/>
      <c r="Q231" s="175"/>
      <c r="R231" s="186"/>
    </row>
    <row r="232" spans="1:19">
      <c r="A232" s="179" t="s">
        <v>459</v>
      </c>
      <c r="B232" s="177"/>
      <c r="C232" s="177"/>
      <c r="D232" s="181">
        <v>4</v>
      </c>
      <c r="E232" s="181">
        <v>4</v>
      </c>
      <c r="F232" s="181">
        <v>4</v>
      </c>
      <c r="G232" s="181">
        <v>4</v>
      </c>
      <c r="H232" s="181">
        <v>4</v>
      </c>
      <c r="I232" s="181">
        <v>4</v>
      </c>
      <c r="J232" s="181">
        <v>4</v>
      </c>
      <c r="K232" s="181">
        <v>4</v>
      </c>
      <c r="L232" s="181">
        <v>4</v>
      </c>
      <c r="M232" s="181">
        <v>4</v>
      </c>
      <c r="N232" s="181">
        <v>4</v>
      </c>
      <c r="O232" s="181">
        <v>4</v>
      </c>
      <c r="P232" s="176">
        <f>AVERAGE(D232:O232)</f>
        <v>4</v>
      </c>
      <c r="Q232" s="175"/>
      <c r="R232" s="186">
        <f>P232/P182-1</f>
        <v>0</v>
      </c>
    </row>
    <row r="233" spans="1:19">
      <c r="A233" s="177"/>
      <c r="B233" s="177"/>
      <c r="C233" s="177"/>
      <c r="D233" s="176"/>
      <c r="E233" s="176"/>
      <c r="F233" s="176"/>
      <c r="G233" s="176"/>
      <c r="H233" s="176"/>
      <c r="I233" s="176"/>
      <c r="J233" s="176"/>
      <c r="K233" s="176"/>
      <c r="L233" s="176"/>
      <c r="M233" s="176"/>
      <c r="N233" s="176"/>
      <c r="O233" s="176"/>
      <c r="P233" s="176"/>
      <c r="Q233" s="175"/>
      <c r="R233" s="186"/>
    </row>
    <row r="234" spans="1:19">
      <c r="A234" s="178" t="s">
        <v>468</v>
      </c>
      <c r="B234" s="177"/>
      <c r="C234" s="177"/>
      <c r="D234" s="176">
        <f t="shared" ref="D234:P234" si="71">SUM(D230:D232)</f>
        <v>4566336.8165859366</v>
      </c>
      <c r="E234" s="176">
        <f t="shared" si="71"/>
        <v>4573793.008274517</v>
      </c>
      <c r="F234" s="176">
        <f t="shared" si="71"/>
        <v>4579654.6573117105</v>
      </c>
      <c r="G234" s="176">
        <f t="shared" si="71"/>
        <v>4583875.1444766494</v>
      </c>
      <c r="H234" s="176">
        <f t="shared" si="71"/>
        <v>4588463.9435753804</v>
      </c>
      <c r="I234" s="176">
        <f t="shared" si="71"/>
        <v>4592230.3750792965</v>
      </c>
      <c r="J234" s="176">
        <f t="shared" si="71"/>
        <v>4596515.7471880056</v>
      </c>
      <c r="K234" s="176">
        <f t="shared" si="71"/>
        <v>4602953.1235766541</v>
      </c>
      <c r="L234" s="176">
        <f t="shared" si="71"/>
        <v>4605505.7435972476</v>
      </c>
      <c r="M234" s="176">
        <f t="shared" si="71"/>
        <v>4608956.8710075002</v>
      </c>
      <c r="N234" s="176">
        <f t="shared" si="71"/>
        <v>4614887.6442672042</v>
      </c>
      <c r="O234" s="176">
        <f t="shared" si="71"/>
        <v>4618827.4030821919</v>
      </c>
      <c r="P234" s="176">
        <f t="shared" si="71"/>
        <v>4594333.3731685244</v>
      </c>
      <c r="Q234" s="175"/>
      <c r="R234" s="186">
        <f>P234/P184-1</f>
        <v>9.6931359042649046E-3</v>
      </c>
      <c r="S234" s="187">
        <v>0</v>
      </c>
    </row>
    <row r="235" spans="1:19">
      <c r="A235" s="177"/>
      <c r="B235" s="177"/>
      <c r="C235" s="177"/>
      <c r="D235" s="176"/>
      <c r="E235" s="176"/>
      <c r="F235" s="176"/>
      <c r="G235" s="176"/>
      <c r="H235" s="176"/>
      <c r="I235" s="176"/>
      <c r="J235" s="176"/>
      <c r="K235" s="176"/>
      <c r="L235" s="176"/>
      <c r="M235" s="176"/>
      <c r="N235" s="176"/>
      <c r="O235" s="176"/>
      <c r="P235" s="176"/>
      <c r="Q235" s="175"/>
      <c r="R235" s="186"/>
    </row>
    <row r="236" spans="1:19">
      <c r="A236" s="180" t="s">
        <v>460</v>
      </c>
      <c r="B236" s="177"/>
      <c r="C236" s="177"/>
      <c r="D236" s="176"/>
      <c r="E236" s="176"/>
      <c r="F236" s="176"/>
      <c r="G236" s="176"/>
      <c r="H236" s="176"/>
      <c r="I236" s="176"/>
      <c r="J236" s="176"/>
      <c r="K236" s="176"/>
      <c r="L236" s="176"/>
      <c r="M236" s="176"/>
      <c r="N236" s="176"/>
      <c r="O236" s="176"/>
      <c r="P236" s="176"/>
      <c r="Q236" s="175"/>
      <c r="R236" s="186"/>
    </row>
    <row r="237" spans="1:19">
      <c r="A237" s="179" t="s">
        <v>467</v>
      </c>
      <c r="B237" s="177"/>
      <c r="C237" s="177"/>
      <c r="D237" s="176">
        <f t="shared" ref="D237:P237" si="72">(D207/D222)*1000</f>
        <v>1045.7133360564765</v>
      </c>
      <c r="E237" s="176">
        <f t="shared" si="72"/>
        <v>926.84454546420125</v>
      </c>
      <c r="F237" s="176">
        <f t="shared" si="72"/>
        <v>864.77575981524342</v>
      </c>
      <c r="G237" s="176">
        <f t="shared" si="72"/>
        <v>922.42561088269099</v>
      </c>
      <c r="H237" s="176">
        <f t="shared" si="72"/>
        <v>1068.4606366997493</v>
      </c>
      <c r="I237" s="176">
        <f t="shared" si="72"/>
        <v>1223.3986657460694</v>
      </c>
      <c r="J237" s="176">
        <f t="shared" si="72"/>
        <v>1372.4764357191314</v>
      </c>
      <c r="K237" s="176">
        <f t="shared" si="72"/>
        <v>1359.6378901893213</v>
      </c>
      <c r="L237" s="176">
        <f t="shared" si="72"/>
        <v>1372.5287001296308</v>
      </c>
      <c r="M237" s="176">
        <f t="shared" si="72"/>
        <v>1252.4233195158245</v>
      </c>
      <c r="N237" s="176">
        <f t="shared" si="72"/>
        <v>1057.6251135656387</v>
      </c>
      <c r="O237" s="176">
        <f t="shared" si="72"/>
        <v>965.76249148185684</v>
      </c>
      <c r="P237" s="176">
        <f t="shared" si="72"/>
        <v>13435.347238187092</v>
      </c>
      <c r="Q237" s="175"/>
      <c r="R237" s="186">
        <f t="shared" ref="R237:R242" si="73">P237/P187-1</f>
        <v>6.6506368062595467E-3</v>
      </c>
    </row>
    <row r="238" spans="1:19">
      <c r="A238" s="179" t="s">
        <v>466</v>
      </c>
      <c r="B238" s="177"/>
      <c r="C238" s="177"/>
      <c r="D238" s="176">
        <f t="shared" ref="D238:P238" si="74">(D208/D223)*1000</f>
        <v>6718.4572979702352</v>
      </c>
      <c r="E238" s="176">
        <f t="shared" si="74"/>
        <v>6688.5661479823575</v>
      </c>
      <c r="F238" s="176">
        <f t="shared" si="74"/>
        <v>6378.639657863594</v>
      </c>
      <c r="G238" s="176">
        <f t="shared" si="74"/>
        <v>6657.4941332383205</v>
      </c>
      <c r="H238" s="176">
        <f t="shared" si="74"/>
        <v>7260.2585804433002</v>
      </c>
      <c r="I238" s="176">
        <f t="shared" si="74"/>
        <v>7607.7420365047428</v>
      </c>
      <c r="J238" s="176">
        <f t="shared" si="74"/>
        <v>8104.8616167789924</v>
      </c>
      <c r="K238" s="176">
        <f t="shared" si="74"/>
        <v>7859.421795868564</v>
      </c>
      <c r="L238" s="176">
        <f t="shared" si="74"/>
        <v>8021.0521049147856</v>
      </c>
      <c r="M238" s="176">
        <f t="shared" si="74"/>
        <v>7801.6669986773513</v>
      </c>
      <c r="N238" s="176">
        <f t="shared" si="74"/>
        <v>7309.4981193349013</v>
      </c>
      <c r="O238" s="176">
        <f t="shared" si="74"/>
        <v>7408.7977958510219</v>
      </c>
      <c r="P238" s="176">
        <f t="shared" si="74"/>
        <v>87824.637933082078</v>
      </c>
      <c r="Q238" s="175"/>
      <c r="R238" s="186">
        <f t="shared" si="73"/>
        <v>3.3976543677864957E-3</v>
      </c>
    </row>
    <row r="239" spans="1:19">
      <c r="A239" s="179" t="s">
        <v>465</v>
      </c>
      <c r="B239" s="177"/>
      <c r="C239" s="177"/>
      <c r="D239" s="176">
        <f t="shared" ref="D239:P239" si="75">(D209/D224)*1000</f>
        <v>27920.432940622417</v>
      </c>
      <c r="E239" s="176">
        <f t="shared" si="75"/>
        <v>27901.006190041178</v>
      </c>
      <c r="F239" s="176">
        <f t="shared" si="75"/>
        <v>27727.800045618293</v>
      </c>
      <c r="G239" s="176">
        <f t="shared" si="75"/>
        <v>27477.59020916462</v>
      </c>
      <c r="H239" s="176">
        <f t="shared" si="75"/>
        <v>27311.898587184354</v>
      </c>
      <c r="I239" s="176">
        <f t="shared" si="75"/>
        <v>27142.986297632509</v>
      </c>
      <c r="J239" s="176">
        <f t="shared" si="75"/>
        <v>26996.244288830134</v>
      </c>
      <c r="K239" s="176">
        <f t="shared" si="75"/>
        <v>26935.533504175375</v>
      </c>
      <c r="L239" s="176">
        <f t="shared" si="75"/>
        <v>26890.785445063535</v>
      </c>
      <c r="M239" s="176">
        <f t="shared" si="75"/>
        <v>26586.908148036524</v>
      </c>
      <c r="N239" s="176">
        <f t="shared" si="75"/>
        <v>26485.615129379668</v>
      </c>
      <c r="O239" s="176">
        <f t="shared" si="75"/>
        <v>26262.397939217699</v>
      </c>
      <c r="P239" s="176">
        <f t="shared" si="75"/>
        <v>325563.74818509567</v>
      </c>
      <c r="Q239" s="175"/>
      <c r="R239" s="186">
        <f t="shared" si="73"/>
        <v>-7.1926296416141899E-2</v>
      </c>
    </row>
    <row r="240" spans="1:19">
      <c r="A240" s="179" t="s">
        <v>464</v>
      </c>
      <c r="B240" s="177"/>
      <c r="C240" s="177"/>
      <c r="D240" s="176">
        <f t="shared" ref="D240:P240" si="76">(D210/D225)*1000</f>
        <v>10933.117699166656</v>
      </c>
      <c r="E240" s="176">
        <f t="shared" si="76"/>
        <v>10947.520431947829</v>
      </c>
      <c r="F240" s="176">
        <f t="shared" si="76"/>
        <v>10896.38017521109</v>
      </c>
      <c r="G240" s="176">
        <f t="shared" si="76"/>
        <v>10872.485452247769</v>
      </c>
      <c r="H240" s="176">
        <f t="shared" si="76"/>
        <v>10938.408856127335</v>
      </c>
      <c r="I240" s="176">
        <f t="shared" si="76"/>
        <v>10889.70981857773</v>
      </c>
      <c r="J240" s="176">
        <f t="shared" si="76"/>
        <v>10891.742804011339</v>
      </c>
      <c r="K240" s="176">
        <f t="shared" si="76"/>
        <v>10875.720594563514</v>
      </c>
      <c r="L240" s="176">
        <f t="shared" si="76"/>
        <v>10908.671030376165</v>
      </c>
      <c r="M240" s="176">
        <f t="shared" si="76"/>
        <v>10925.76754102234</v>
      </c>
      <c r="N240" s="176">
        <f t="shared" si="76"/>
        <v>10934.493828581215</v>
      </c>
      <c r="O240" s="176">
        <f t="shared" si="76"/>
        <v>10988.502933302689</v>
      </c>
      <c r="P240" s="176">
        <f t="shared" si="76"/>
        <v>131003.22096281862</v>
      </c>
      <c r="Q240" s="175"/>
      <c r="R240" s="186">
        <f t="shared" si="73"/>
        <v>1.3362201078948033E-7</v>
      </c>
    </row>
    <row r="241" spans="1:18">
      <c r="A241" s="179" t="s">
        <v>463</v>
      </c>
      <c r="B241" s="177"/>
      <c r="C241" s="177"/>
      <c r="D241" s="176">
        <f t="shared" ref="D241:P241" si="77">(D211/D226)*1000</f>
        <v>12110.96123365574</v>
      </c>
      <c r="E241" s="176">
        <f t="shared" si="77"/>
        <v>11705.377809849742</v>
      </c>
      <c r="F241" s="176">
        <f t="shared" si="77"/>
        <v>11208.024243578895</v>
      </c>
      <c r="G241" s="176">
        <f t="shared" si="77"/>
        <v>11192.112934074155</v>
      </c>
      <c r="H241" s="176">
        <f t="shared" si="77"/>
        <v>13728.676770931221</v>
      </c>
      <c r="I241" s="176">
        <f t="shared" si="77"/>
        <v>16392.239231216721</v>
      </c>
      <c r="J241" s="176">
        <f t="shared" si="77"/>
        <v>17160.747505257979</v>
      </c>
      <c r="K241" s="176">
        <f t="shared" si="77"/>
        <v>12302.534031413612</v>
      </c>
      <c r="L241" s="176">
        <f t="shared" si="77"/>
        <v>12475.68423654959</v>
      </c>
      <c r="M241" s="176">
        <f t="shared" si="77"/>
        <v>12224.95863577731</v>
      </c>
      <c r="N241" s="176">
        <f t="shared" si="77"/>
        <v>12422.634946109254</v>
      </c>
      <c r="O241" s="176">
        <f t="shared" si="77"/>
        <v>12383.872677151692</v>
      </c>
      <c r="P241" s="176">
        <f t="shared" si="77"/>
        <v>155307.82425556588</v>
      </c>
      <c r="Q241" s="175"/>
      <c r="R241" s="186">
        <f t="shared" si="73"/>
        <v>0</v>
      </c>
    </row>
    <row r="242" spans="1:18">
      <c r="A242" s="179" t="s">
        <v>462</v>
      </c>
      <c r="B242" s="177"/>
      <c r="C242" s="177"/>
      <c r="D242" s="176">
        <f t="shared" ref="D242:P242" si="78">(D212/D227)*1000</f>
        <v>289936.95652173908</v>
      </c>
      <c r="E242" s="176">
        <f t="shared" si="78"/>
        <v>281562.31884057971</v>
      </c>
      <c r="F242" s="176">
        <f t="shared" si="78"/>
        <v>270681.88405797101</v>
      </c>
      <c r="G242" s="176">
        <f t="shared" si="78"/>
        <v>268176.08695652173</v>
      </c>
      <c r="H242" s="176">
        <f t="shared" si="78"/>
        <v>287228.26086956519</v>
      </c>
      <c r="I242" s="176">
        <f t="shared" si="78"/>
        <v>305012.31884057965</v>
      </c>
      <c r="J242" s="176">
        <f t="shared" si="78"/>
        <v>311363.04347826086</v>
      </c>
      <c r="K242" s="176">
        <f t="shared" si="78"/>
        <v>303759.4202898551</v>
      </c>
      <c r="L242" s="176">
        <f t="shared" si="78"/>
        <v>302795.65217391308</v>
      </c>
      <c r="M242" s="176">
        <f t="shared" si="78"/>
        <v>299300.72463768121</v>
      </c>
      <c r="N242" s="176">
        <f t="shared" si="78"/>
        <v>293208.69565217395</v>
      </c>
      <c r="O242" s="176">
        <f t="shared" si="78"/>
        <v>289089.85507246375</v>
      </c>
      <c r="P242" s="176">
        <f t="shared" si="78"/>
        <v>3502262.7769985972</v>
      </c>
      <c r="Q242" s="175"/>
      <c r="R242" s="186">
        <f t="shared" si="73"/>
        <v>5.9234893244219933E-5</v>
      </c>
    </row>
    <row r="243" spans="1:18">
      <c r="A243" s="179"/>
      <c r="B243" s="177"/>
      <c r="C243" s="177"/>
      <c r="D243" s="176"/>
      <c r="E243" s="176"/>
      <c r="F243" s="176"/>
      <c r="G243" s="176"/>
      <c r="H243" s="176"/>
      <c r="I243" s="176"/>
      <c r="J243" s="176"/>
      <c r="K243" s="176"/>
      <c r="L243" s="176"/>
      <c r="M243" s="176"/>
      <c r="N243" s="176"/>
      <c r="O243" s="176"/>
      <c r="P243" s="176"/>
      <c r="Q243" s="175"/>
      <c r="R243" s="186"/>
    </row>
    <row r="244" spans="1:18">
      <c r="A244" s="180" t="s">
        <v>461</v>
      </c>
      <c r="B244" s="177"/>
      <c r="C244" s="177"/>
      <c r="D244" s="176"/>
      <c r="E244" s="176"/>
      <c r="F244" s="176"/>
      <c r="G244" s="176"/>
      <c r="H244" s="176"/>
      <c r="I244" s="176"/>
      <c r="J244" s="176"/>
      <c r="K244" s="176"/>
      <c r="L244" s="176"/>
      <c r="M244" s="176"/>
      <c r="N244" s="176"/>
      <c r="O244" s="176"/>
      <c r="P244" s="176"/>
      <c r="Q244" s="175"/>
      <c r="R244" s="186"/>
    </row>
    <row r="245" spans="1:18">
      <c r="A245" s="180" t="s">
        <v>460</v>
      </c>
      <c r="B245" s="177"/>
      <c r="C245" s="177"/>
      <c r="D245" s="176">
        <f t="shared" ref="D245:P245" si="79">(D215/D230)*1000</f>
        <v>1735.9554460410495</v>
      </c>
      <c r="E245" s="176">
        <f t="shared" si="79"/>
        <v>1626.2143819435148</v>
      </c>
      <c r="F245" s="176">
        <f t="shared" si="79"/>
        <v>1536.0332372330595</v>
      </c>
      <c r="G245" s="176">
        <f t="shared" si="79"/>
        <v>1617.0958398919602</v>
      </c>
      <c r="H245" s="176">
        <f t="shared" si="79"/>
        <v>1812.8376623361912</v>
      </c>
      <c r="I245" s="176">
        <f t="shared" si="79"/>
        <v>1988.3673670841865</v>
      </c>
      <c r="J245" s="176">
        <f t="shared" si="79"/>
        <v>2175.0181882283468</v>
      </c>
      <c r="K245" s="176">
        <f t="shared" si="79"/>
        <v>2135.812024481656</v>
      </c>
      <c r="L245" s="176">
        <f t="shared" si="79"/>
        <v>2165.2022026397804</v>
      </c>
      <c r="M245" s="176">
        <f t="shared" si="79"/>
        <v>2033.8801231097295</v>
      </c>
      <c r="N245" s="176">
        <f t="shared" si="79"/>
        <v>1806.3844812079849</v>
      </c>
      <c r="O245" s="176">
        <f t="shared" si="79"/>
        <v>1735.2862432483912</v>
      </c>
      <c r="P245" s="176">
        <f t="shared" si="79"/>
        <v>22372.535768545989</v>
      </c>
      <c r="Q245" s="175"/>
      <c r="R245" s="186">
        <f>P245/P195-1</f>
        <v>1.7357792883705425E-3</v>
      </c>
    </row>
    <row r="246" spans="1:18">
      <c r="A246" s="180"/>
      <c r="B246" s="177"/>
      <c r="C246" s="177"/>
      <c r="D246" s="176"/>
      <c r="E246" s="176"/>
      <c r="F246" s="176"/>
      <c r="G246" s="176"/>
      <c r="H246" s="176"/>
      <c r="I246" s="176"/>
      <c r="J246" s="176"/>
      <c r="K246" s="176"/>
      <c r="L246" s="176"/>
      <c r="M246" s="176"/>
      <c r="N246" s="176"/>
      <c r="O246" s="176"/>
      <c r="P246" s="176"/>
      <c r="Q246" s="175"/>
      <c r="R246" s="186"/>
    </row>
    <row r="247" spans="1:18">
      <c r="A247" s="179" t="s">
        <v>459</v>
      </c>
      <c r="B247" s="177"/>
      <c r="C247" s="177"/>
      <c r="D247" s="176">
        <f t="shared" ref="D247:P247" si="80">(D217/D232)*1000</f>
        <v>36881567.967933774</v>
      </c>
      <c r="E247" s="176">
        <f t="shared" si="80"/>
        <v>39671229.775995657</v>
      </c>
      <c r="F247" s="176">
        <f t="shared" si="80"/>
        <v>37787627.036573425</v>
      </c>
      <c r="G247" s="176">
        <f t="shared" si="80"/>
        <v>40209663.771132998</v>
      </c>
      <c r="H247" s="176">
        <f t="shared" si="80"/>
        <v>40779907.85765291</v>
      </c>
      <c r="I247" s="176">
        <f t="shared" si="80"/>
        <v>47354429.710800044</v>
      </c>
      <c r="J247" s="176">
        <f t="shared" si="80"/>
        <v>50392481.972294338</v>
      </c>
      <c r="K247" s="176">
        <f t="shared" si="80"/>
        <v>53662763.519144341</v>
      </c>
      <c r="L247" s="176">
        <f t="shared" si="80"/>
        <v>54186827.242296018</v>
      </c>
      <c r="M247" s="176">
        <f t="shared" si="80"/>
        <v>49982770.595640555</v>
      </c>
      <c r="N247" s="176">
        <f t="shared" si="80"/>
        <v>47606467.577934131</v>
      </c>
      <c r="O247" s="176">
        <f t="shared" si="80"/>
        <v>37697379.522475757</v>
      </c>
      <c r="P247" s="176">
        <f t="shared" si="80"/>
        <v>536213116.54987395</v>
      </c>
      <c r="Q247" s="175"/>
      <c r="R247" s="186">
        <f>P247/P197-1</f>
        <v>7.0757282437701186E-3</v>
      </c>
    </row>
    <row r="248" spans="1:18">
      <c r="A248" s="177"/>
      <c r="B248" s="177"/>
      <c r="C248" s="177"/>
      <c r="D248" s="176"/>
      <c r="E248" s="176"/>
      <c r="F248" s="176"/>
      <c r="G248" s="176"/>
      <c r="H248" s="176"/>
      <c r="I248" s="176"/>
      <c r="J248" s="176"/>
      <c r="K248" s="176"/>
      <c r="L248" s="176"/>
      <c r="M248" s="176"/>
      <c r="N248" s="176"/>
      <c r="O248" s="176"/>
      <c r="P248" s="176"/>
      <c r="Q248" s="175"/>
      <c r="R248" s="186"/>
    </row>
    <row r="249" spans="1:18">
      <c r="A249" s="178" t="s">
        <v>458</v>
      </c>
      <c r="B249" s="177"/>
      <c r="C249" s="177"/>
      <c r="D249" s="176">
        <f t="shared" ref="D249:P249" si="81">(D219/D234)*1000</f>
        <v>1768.2612819824828</v>
      </c>
      <c r="E249" s="176">
        <f t="shared" si="81"/>
        <v>1660.9073411481374</v>
      </c>
      <c r="F249" s="176">
        <f t="shared" si="81"/>
        <v>1569.0366786109007</v>
      </c>
      <c r="G249" s="176">
        <f t="shared" si="81"/>
        <v>1652.1823511148864</v>
      </c>
      <c r="H249" s="176">
        <f t="shared" si="81"/>
        <v>1848.3860249441939</v>
      </c>
      <c r="I249" s="176">
        <f t="shared" si="81"/>
        <v>2029.6130690423468</v>
      </c>
      <c r="J249" s="176">
        <f t="shared" si="81"/>
        <v>2218.8690611291381</v>
      </c>
      <c r="K249" s="176">
        <f t="shared" si="81"/>
        <v>2182.4435032445103</v>
      </c>
      <c r="L249" s="176">
        <f t="shared" si="81"/>
        <v>2212.2629729931109</v>
      </c>
      <c r="M249" s="176">
        <f t="shared" si="81"/>
        <v>2077.2571718557656</v>
      </c>
      <c r="N249" s="176">
        <f t="shared" si="81"/>
        <v>1847.6462971939836</v>
      </c>
      <c r="O249" s="176">
        <f t="shared" si="81"/>
        <v>1767.9314503077221</v>
      </c>
      <c r="P249" s="176">
        <f t="shared" si="81"/>
        <v>22839.363663226446</v>
      </c>
      <c r="Q249" s="175"/>
      <c r="R249" s="186">
        <f>P249/P199-1</f>
        <v>1.6469439785911089E-3</v>
      </c>
    </row>
    <row r="251" spans="1:18">
      <c r="A251" s="185" t="s">
        <v>477</v>
      </c>
      <c r="B251" s="184"/>
      <c r="C251" s="184"/>
      <c r="D251" s="183"/>
      <c r="E251" s="183"/>
      <c r="F251" s="183"/>
      <c r="G251" s="183"/>
      <c r="H251" s="183"/>
      <c r="I251" s="183"/>
      <c r="J251" s="184"/>
      <c r="K251" s="183"/>
      <c r="L251" s="183"/>
      <c r="M251" s="183"/>
      <c r="N251" s="183"/>
      <c r="O251" s="183"/>
      <c r="P251" s="183"/>
      <c r="Q251" s="175"/>
    </row>
    <row r="252" spans="1:18">
      <c r="A252" s="185" t="s">
        <v>474</v>
      </c>
      <c r="B252" s="184"/>
      <c r="C252" s="184"/>
      <c r="D252" s="183"/>
      <c r="E252" s="183"/>
      <c r="F252" s="183"/>
      <c r="G252" s="183"/>
      <c r="H252" s="183"/>
      <c r="I252" s="184"/>
      <c r="J252" s="183"/>
      <c r="K252" s="183"/>
      <c r="L252" s="183"/>
      <c r="M252" s="183"/>
      <c r="N252" s="183"/>
      <c r="O252" s="183"/>
      <c r="P252" s="183"/>
      <c r="Q252" s="182">
        <f>Q52</f>
        <v>40269</v>
      </c>
    </row>
    <row r="253" spans="1:18">
      <c r="A253" s="185" t="s">
        <v>473</v>
      </c>
      <c r="B253" s="184"/>
      <c r="C253" s="184"/>
      <c r="D253" s="183"/>
      <c r="E253" s="183"/>
      <c r="F253" s="183"/>
      <c r="G253" s="183"/>
      <c r="H253" s="183"/>
      <c r="I253" s="184"/>
      <c r="J253" s="183"/>
      <c r="K253" s="183"/>
      <c r="L253" s="183"/>
      <c r="M253" s="183"/>
      <c r="N253" s="183"/>
      <c r="O253" s="183"/>
      <c r="P253" s="183"/>
      <c r="Q253" s="182"/>
    </row>
    <row r="254" spans="1:18">
      <c r="A254" s="177"/>
      <c r="B254" s="177"/>
      <c r="C254" s="177"/>
      <c r="D254" s="176"/>
      <c r="E254" s="176"/>
      <c r="F254" s="176"/>
      <c r="G254" s="176"/>
      <c r="H254" s="176"/>
      <c r="I254" s="176"/>
      <c r="J254" s="176"/>
      <c r="K254" s="176"/>
      <c r="L254" s="176"/>
      <c r="M254" s="176"/>
      <c r="N254" s="176"/>
      <c r="O254" s="176"/>
      <c r="P254" s="176"/>
      <c r="Q254" s="175"/>
    </row>
    <row r="255" spans="1:18">
      <c r="A255" s="177"/>
      <c r="B255" s="177"/>
      <c r="C255" s="177"/>
      <c r="D255" s="139" t="s">
        <v>413</v>
      </c>
      <c r="E255" s="139" t="s">
        <v>412</v>
      </c>
      <c r="F255" s="139" t="s">
        <v>411</v>
      </c>
      <c r="G255" s="139" t="s">
        <v>410</v>
      </c>
      <c r="H255" s="139" t="s">
        <v>409</v>
      </c>
      <c r="I255" s="139" t="s">
        <v>408</v>
      </c>
      <c r="J255" s="139" t="s">
        <v>407</v>
      </c>
      <c r="K255" s="139" t="s">
        <v>406</v>
      </c>
      <c r="L255" s="139" t="s">
        <v>405</v>
      </c>
      <c r="M255" s="139" t="s">
        <v>404</v>
      </c>
      <c r="N255" s="139" t="s">
        <v>403</v>
      </c>
      <c r="O255" s="139" t="s">
        <v>402</v>
      </c>
      <c r="P255" s="139" t="s">
        <v>93</v>
      </c>
      <c r="Q255" s="175"/>
    </row>
    <row r="256" spans="1:18">
      <c r="A256" s="180" t="s">
        <v>472</v>
      </c>
      <c r="B256" s="177"/>
      <c r="C256" s="177"/>
      <c r="D256" s="176"/>
      <c r="E256" s="176"/>
      <c r="F256" s="176"/>
      <c r="G256" s="176"/>
      <c r="H256" s="176"/>
      <c r="I256" s="176"/>
      <c r="J256" s="176"/>
      <c r="K256" s="176"/>
      <c r="L256" s="176"/>
      <c r="M256" s="176"/>
      <c r="N256" s="176"/>
      <c r="O256" s="176"/>
      <c r="P256" s="176"/>
      <c r="Q256" s="175"/>
    </row>
    <row r="257" spans="1:19">
      <c r="A257" s="179" t="s">
        <v>467</v>
      </c>
      <c r="B257" s="177"/>
      <c r="C257" s="177"/>
      <c r="D257" s="176">
        <v>4359516.1715613287</v>
      </c>
      <c r="E257" s="176">
        <v>3884227.9001451833</v>
      </c>
      <c r="F257" s="176">
        <v>3626653.2320004273</v>
      </c>
      <c r="G257" s="176">
        <v>3864109.4027901003</v>
      </c>
      <c r="H257" s="176">
        <v>4467979.9120310126</v>
      </c>
      <c r="I257" s="176">
        <v>5094062.5811256804</v>
      </c>
      <c r="J257" s="176">
        <v>5716083.4072240656</v>
      </c>
      <c r="K257" s="176">
        <v>5666335.4842962911</v>
      </c>
      <c r="L257" s="176">
        <v>5725637.3845999697</v>
      </c>
      <c r="M257" s="176">
        <v>5242361.0163574647</v>
      </c>
      <c r="N257" s="176">
        <v>4455414.5275815586</v>
      </c>
      <c r="O257" s="176">
        <v>4089263.1922893953</v>
      </c>
      <c r="P257" s="176">
        <f t="shared" ref="P257:P262" si="82">SUM(D257:O257)</f>
        <v>56191644.212002479</v>
      </c>
      <c r="Q257" s="175"/>
      <c r="R257" s="186">
        <f t="shared" ref="R257:R262" si="83">P257/P207-1</f>
        <v>2.6231557558834995E-2</v>
      </c>
    </row>
    <row r="258" spans="1:19">
      <c r="A258" s="179" t="s">
        <v>466</v>
      </c>
      <c r="B258" s="177"/>
      <c r="C258" s="177"/>
      <c r="D258" s="176">
        <v>3440543.0382155366</v>
      </c>
      <c r="E258" s="176">
        <v>3425631.0347227356</v>
      </c>
      <c r="F258" s="176">
        <v>3264582.0245372453</v>
      </c>
      <c r="G258" s="176">
        <v>3405255.1334697185</v>
      </c>
      <c r="H258" s="176">
        <v>3712470.3415315696</v>
      </c>
      <c r="I258" s="176">
        <v>3885338.0446448061</v>
      </c>
      <c r="J258" s="176">
        <v>4146769.342911616</v>
      </c>
      <c r="K258" s="176">
        <v>4025402.4100144887</v>
      </c>
      <c r="L258" s="176">
        <v>4114367.6366137634</v>
      </c>
      <c r="M258" s="176">
        <v>4010174.9523847755</v>
      </c>
      <c r="N258" s="176">
        <v>3768521.5355616044</v>
      </c>
      <c r="O258" s="176">
        <v>3829463.495507251</v>
      </c>
      <c r="P258" s="176">
        <f t="shared" si="82"/>
        <v>45028518.990115114</v>
      </c>
      <c r="Q258" s="175"/>
      <c r="R258" s="186">
        <f t="shared" si="83"/>
        <v>1.3488742251246633E-2</v>
      </c>
    </row>
    <row r="259" spans="1:19">
      <c r="A259" s="179" t="s">
        <v>465</v>
      </c>
      <c r="B259" s="177"/>
      <c r="C259" s="177"/>
      <c r="D259" s="176">
        <v>250669.71523525583</v>
      </c>
      <c r="E259" s="176">
        <v>250586.00754189599</v>
      </c>
      <c r="F259" s="176">
        <v>250609.11505391813</v>
      </c>
      <c r="G259" s="176">
        <v>249753.78019650158</v>
      </c>
      <c r="H259" s="176">
        <v>249584.24166673981</v>
      </c>
      <c r="I259" s="176">
        <v>249379.11974387235</v>
      </c>
      <c r="J259" s="176">
        <v>249348.92001739558</v>
      </c>
      <c r="K259" s="176">
        <v>250225.96136561502</v>
      </c>
      <c r="L259" s="176">
        <v>251116.6180278823</v>
      </c>
      <c r="M259" s="176">
        <v>249109.94076805</v>
      </c>
      <c r="N259" s="176">
        <v>249332.59962078923</v>
      </c>
      <c r="O259" s="176">
        <v>248111.26847652139</v>
      </c>
      <c r="P259" s="176">
        <f t="shared" si="82"/>
        <v>2997827.2877144376</v>
      </c>
      <c r="Q259" s="175"/>
      <c r="R259" s="186">
        <f t="shared" si="83"/>
        <v>-1.0553219720934259E-2</v>
      </c>
    </row>
    <row r="260" spans="1:19">
      <c r="A260" s="179" t="s">
        <v>464</v>
      </c>
      <c r="B260" s="177"/>
      <c r="C260" s="177"/>
      <c r="D260" s="176">
        <v>38238.661108289023</v>
      </c>
      <c r="E260" s="176">
        <v>38365.959728446243</v>
      </c>
      <c r="F260" s="176">
        <v>38263.686117240235</v>
      </c>
      <c r="G260" s="176">
        <v>38256.94424134498</v>
      </c>
      <c r="H260" s="176">
        <v>38566.93534182346</v>
      </c>
      <c r="I260" s="176">
        <v>38473.304392769365</v>
      </c>
      <c r="J260" s="176">
        <v>38558.972393705473</v>
      </c>
      <c r="K260" s="176">
        <v>38581.020810218375</v>
      </c>
      <c r="L260" s="176">
        <v>38777.324407372398</v>
      </c>
      <c r="M260" s="176">
        <v>38918.044721609127</v>
      </c>
      <c r="N260" s="176">
        <v>39029.551182388997</v>
      </c>
      <c r="O260" s="176">
        <v>39303.568930721551</v>
      </c>
      <c r="P260" s="176">
        <f t="shared" si="82"/>
        <v>463333.97337592923</v>
      </c>
      <c r="Q260" s="175"/>
      <c r="R260" s="186">
        <f t="shared" si="83"/>
        <v>2.4380462516634616E-2</v>
      </c>
    </row>
    <row r="261" spans="1:19">
      <c r="A261" s="179" t="s">
        <v>463</v>
      </c>
      <c r="B261" s="177"/>
      <c r="C261" s="177"/>
      <c r="D261" s="176">
        <v>2313.1935956282464</v>
      </c>
      <c r="E261" s="176">
        <v>2235.7271616813009</v>
      </c>
      <c r="F261" s="176">
        <v>2140.7326305235692</v>
      </c>
      <c r="G261" s="176">
        <v>2137.6935704081634</v>
      </c>
      <c r="H261" s="176">
        <v>2622.1772632478633</v>
      </c>
      <c r="I261" s="176">
        <v>3130.9176931623938</v>
      </c>
      <c r="J261" s="176">
        <v>3277.7027735042739</v>
      </c>
      <c r="K261" s="176">
        <v>2349.7840000000001</v>
      </c>
      <c r="L261" s="176">
        <v>2382.8556891809717</v>
      </c>
      <c r="M261" s="176">
        <v>2334.967099433466</v>
      </c>
      <c r="N261" s="176">
        <v>2372.7232747068674</v>
      </c>
      <c r="O261" s="176">
        <v>2365.3196813359732</v>
      </c>
      <c r="P261" s="176">
        <f t="shared" si="82"/>
        <v>29663.794432813087</v>
      </c>
      <c r="Q261" s="175"/>
      <c r="R261" s="186">
        <f t="shared" si="83"/>
        <v>0</v>
      </c>
    </row>
    <row r="262" spans="1:19">
      <c r="A262" s="179" t="s">
        <v>462</v>
      </c>
      <c r="B262" s="177"/>
      <c r="C262" s="177"/>
      <c r="D262" s="176">
        <v>7538.3608695652165</v>
      </c>
      <c r="E262" s="176">
        <v>7320.6202898550728</v>
      </c>
      <c r="F262" s="176">
        <v>7037.7289855072459</v>
      </c>
      <c r="G262" s="176">
        <v>6972.5782608695645</v>
      </c>
      <c r="H262" s="176">
        <v>7467.9347826086951</v>
      </c>
      <c r="I262" s="176">
        <v>7930.3202898550717</v>
      </c>
      <c r="J262" s="176">
        <v>8095.4391304347828</v>
      </c>
      <c r="K262" s="176">
        <v>7897.7449275362324</v>
      </c>
      <c r="L262" s="176">
        <v>7872.6869565217403</v>
      </c>
      <c r="M262" s="176">
        <v>7781.8188405797109</v>
      </c>
      <c r="N262" s="176">
        <v>7623.4260869565232</v>
      </c>
      <c r="O262" s="176">
        <v>7516.3362318840582</v>
      </c>
      <c r="P262" s="176">
        <f t="shared" si="82"/>
        <v>91054.995652173908</v>
      </c>
      <c r="Q262" s="175"/>
      <c r="R262" s="186">
        <f t="shared" si="83"/>
        <v>6.409208430970148E-3</v>
      </c>
    </row>
    <row r="263" spans="1:19">
      <c r="A263" s="179"/>
      <c r="B263" s="177"/>
      <c r="C263" s="177"/>
      <c r="D263" s="176"/>
      <c r="E263" s="176"/>
      <c r="F263" s="176"/>
      <c r="G263" s="176"/>
      <c r="H263" s="176"/>
      <c r="I263" s="176"/>
      <c r="J263" s="176"/>
      <c r="K263" s="176"/>
      <c r="L263" s="176"/>
      <c r="M263" s="176"/>
      <c r="N263" s="176"/>
      <c r="O263" s="176"/>
      <c r="P263" s="176"/>
      <c r="Q263" s="175"/>
      <c r="R263" s="186"/>
    </row>
    <row r="264" spans="1:19">
      <c r="A264" s="180" t="s">
        <v>461</v>
      </c>
      <c r="B264" s="177"/>
      <c r="C264" s="177"/>
      <c r="D264" s="176"/>
      <c r="E264" s="176"/>
      <c r="F264" s="176"/>
      <c r="G264" s="176"/>
      <c r="H264" s="176"/>
      <c r="I264" s="176"/>
      <c r="J264" s="176"/>
      <c r="K264" s="176"/>
      <c r="L264" s="176"/>
      <c r="M264" s="176"/>
      <c r="N264" s="176"/>
      <c r="O264" s="176"/>
      <c r="P264" s="176"/>
      <c r="Q264" s="175"/>
      <c r="R264" s="186"/>
    </row>
    <row r="265" spans="1:19">
      <c r="A265" s="180" t="s">
        <v>471</v>
      </c>
      <c r="B265" s="177"/>
      <c r="C265" s="177"/>
      <c r="D265" s="176">
        <f t="shared" ref="D265:P265" si="84">SUM(D257:D264)</f>
        <v>8098819.1405856032</v>
      </c>
      <c r="E265" s="176">
        <f t="shared" si="84"/>
        <v>7608367.2495897962</v>
      </c>
      <c r="F265" s="176">
        <f t="shared" si="84"/>
        <v>7189286.5193248615</v>
      </c>
      <c r="G265" s="176">
        <f t="shared" si="84"/>
        <v>7566485.5325289434</v>
      </c>
      <c r="H265" s="176">
        <f t="shared" si="84"/>
        <v>8478691.5426170044</v>
      </c>
      <c r="I265" s="176">
        <f t="shared" si="84"/>
        <v>9278314.2878901474</v>
      </c>
      <c r="J265" s="176">
        <f t="shared" si="84"/>
        <v>10162133.784450721</v>
      </c>
      <c r="K265" s="176">
        <f t="shared" si="84"/>
        <v>9990792.4054141492</v>
      </c>
      <c r="L265" s="176">
        <f t="shared" si="84"/>
        <v>10140154.50629469</v>
      </c>
      <c r="M265" s="176">
        <f t="shared" si="84"/>
        <v>9550680.7401719131</v>
      </c>
      <c r="N265" s="176">
        <f t="shared" si="84"/>
        <v>8522294.363308005</v>
      </c>
      <c r="O265" s="176">
        <f t="shared" si="84"/>
        <v>8216023.18111711</v>
      </c>
      <c r="P265" s="176">
        <f t="shared" si="84"/>
        <v>104802043.25329295</v>
      </c>
      <c r="Q265" s="175"/>
      <c r="R265" s="186">
        <f>P265/P215-1</f>
        <v>1.9606068621933703E-2</v>
      </c>
    </row>
    <row r="266" spans="1:19">
      <c r="A266" s="180"/>
      <c r="B266" s="177"/>
      <c r="C266" s="177"/>
      <c r="D266" s="176"/>
      <c r="E266" s="176"/>
      <c r="F266" s="176"/>
      <c r="G266" s="176"/>
      <c r="H266" s="176"/>
      <c r="I266" s="176"/>
      <c r="J266" s="176"/>
      <c r="K266" s="176"/>
      <c r="L266" s="176"/>
      <c r="M266" s="176"/>
      <c r="N266" s="176"/>
      <c r="O266" s="176"/>
      <c r="P266" s="176"/>
      <c r="Q266" s="175"/>
      <c r="R266" s="186"/>
    </row>
    <row r="267" spans="1:19">
      <c r="A267" s="179" t="s">
        <v>459</v>
      </c>
      <c r="B267" s="177"/>
      <c r="C267" s="177"/>
      <c r="D267" s="176">
        <v>149226.96522002955</v>
      </c>
      <c r="E267" s="176">
        <v>160376.63412508866</v>
      </c>
      <c r="F267" s="176">
        <v>153267.54368254414</v>
      </c>
      <c r="G267" s="176">
        <v>163102.04001887803</v>
      </c>
      <c r="H267" s="176">
        <v>165543.95724005403</v>
      </c>
      <c r="I267" s="176">
        <v>191688.89153409735</v>
      </c>
      <c r="J267" s="176">
        <v>182643.09125082634</v>
      </c>
      <c r="K267" s="176">
        <v>194841.66149012998</v>
      </c>
      <c r="L267" s="176">
        <v>196364.78367057338</v>
      </c>
      <c r="M267" s="176">
        <v>181945.22890773002</v>
      </c>
      <c r="N267" s="176">
        <v>172315.78441846074</v>
      </c>
      <c r="O267" s="176">
        <v>135340.6873421054</v>
      </c>
      <c r="P267" s="176">
        <f>SUM(D267:O267)</f>
        <v>2046657.2689005176</v>
      </c>
      <c r="Q267" s="175"/>
      <c r="R267" s="186">
        <f>P267/P217-1</f>
        <v>-4.578179564628615E-2</v>
      </c>
    </row>
    <row r="268" spans="1:19">
      <c r="A268" s="177"/>
      <c r="B268" s="177"/>
      <c r="C268" s="177"/>
      <c r="D268" s="176"/>
      <c r="E268" s="176"/>
      <c r="F268" s="176"/>
      <c r="G268" s="176"/>
      <c r="H268" s="176"/>
      <c r="I268" s="176"/>
      <c r="J268" s="176"/>
      <c r="K268" s="176"/>
      <c r="L268" s="176"/>
      <c r="M268" s="176"/>
      <c r="N268" s="176"/>
      <c r="O268" s="176"/>
      <c r="P268" s="176"/>
      <c r="Q268" s="175"/>
      <c r="R268" s="186"/>
    </row>
    <row r="269" spans="1:19">
      <c r="A269" s="180" t="s">
        <v>470</v>
      </c>
      <c r="B269" s="177"/>
      <c r="C269" s="177"/>
      <c r="D269" s="176">
        <f t="shared" ref="D269:P269" si="85">SUM(D265:D267)</f>
        <v>8248046.1058056327</v>
      </c>
      <c r="E269" s="176">
        <f t="shared" si="85"/>
        <v>7768743.8837148845</v>
      </c>
      <c r="F269" s="176">
        <f t="shared" si="85"/>
        <v>7342554.063007406</v>
      </c>
      <c r="G269" s="176">
        <f t="shared" si="85"/>
        <v>7729587.5725478213</v>
      </c>
      <c r="H269" s="176">
        <f t="shared" si="85"/>
        <v>8644235.4998570587</v>
      </c>
      <c r="I269" s="176">
        <f t="shared" si="85"/>
        <v>9470003.1794242449</v>
      </c>
      <c r="J269" s="176">
        <f t="shared" si="85"/>
        <v>10344776.875701547</v>
      </c>
      <c r="K269" s="176">
        <f t="shared" si="85"/>
        <v>10185634.066904278</v>
      </c>
      <c r="L269" s="176">
        <f t="shared" si="85"/>
        <v>10336519.289965263</v>
      </c>
      <c r="M269" s="176">
        <f t="shared" si="85"/>
        <v>9732625.9690796435</v>
      </c>
      <c r="N269" s="176">
        <f t="shared" si="85"/>
        <v>8694610.147726465</v>
      </c>
      <c r="O269" s="176">
        <f t="shared" si="85"/>
        <v>8351363.8684592154</v>
      </c>
      <c r="P269" s="176">
        <f t="shared" si="85"/>
        <v>106848700.52219346</v>
      </c>
      <c r="Q269" s="175"/>
      <c r="R269" s="186">
        <f>P269/P219-1</f>
        <v>1.8269509814369256E-2</v>
      </c>
      <c r="S269" s="187">
        <v>0</v>
      </c>
    </row>
    <row r="270" spans="1:19">
      <c r="A270" s="177"/>
      <c r="B270" s="177"/>
      <c r="C270" s="177"/>
      <c r="D270" s="176"/>
      <c r="E270" s="176"/>
      <c r="F270" s="176"/>
      <c r="G270" s="176"/>
      <c r="H270" s="176"/>
      <c r="I270" s="176"/>
      <c r="J270" s="176"/>
      <c r="K270" s="176"/>
      <c r="L270" s="176"/>
      <c r="M270" s="176"/>
      <c r="N270" s="176"/>
      <c r="O270" s="176"/>
      <c r="P270" s="176"/>
      <c r="Q270" s="175"/>
      <c r="R270" s="186"/>
    </row>
    <row r="271" spans="1:19">
      <c r="A271" s="180" t="s">
        <v>469</v>
      </c>
      <c r="B271" s="177"/>
      <c r="C271" s="177"/>
      <c r="D271" s="176"/>
      <c r="E271" s="176"/>
      <c r="F271" s="176"/>
      <c r="G271" s="176"/>
      <c r="H271" s="176"/>
      <c r="I271" s="176"/>
      <c r="J271" s="176"/>
      <c r="K271" s="176"/>
      <c r="L271" s="176"/>
      <c r="M271" s="176"/>
      <c r="N271" s="176"/>
      <c r="O271" s="176"/>
      <c r="P271" s="176"/>
      <c r="Q271" s="175"/>
      <c r="R271" s="186"/>
    </row>
    <row r="272" spans="1:19">
      <c r="A272" s="179" t="s">
        <v>467</v>
      </c>
      <c r="B272" s="177"/>
      <c r="C272" s="177"/>
      <c r="D272" s="181">
        <v>4103821.3404822014</v>
      </c>
      <c r="E272" s="181">
        <v>4112404.8979200656</v>
      </c>
      <c r="F272" s="181">
        <v>4119696.4059962253</v>
      </c>
      <c r="G272" s="181">
        <v>4125652.1409123121</v>
      </c>
      <c r="H272" s="181">
        <v>4130552.266000228</v>
      </c>
      <c r="I272" s="181">
        <v>4134784.5032652891</v>
      </c>
      <c r="J272" s="181">
        <v>4139446.5126158879</v>
      </c>
      <c r="K272" s="181">
        <v>4145878.1185733271</v>
      </c>
      <c r="L272" s="181">
        <v>4149119.8926850758</v>
      </c>
      <c r="M272" s="181">
        <v>4153121.6731103403</v>
      </c>
      <c r="N272" s="181">
        <v>4159154.0734025966</v>
      </c>
      <c r="O272" s="181">
        <v>4163565.2893665158</v>
      </c>
      <c r="P272" s="176">
        <f>AVERAGE(C272:O272)</f>
        <v>4136433.0928608389</v>
      </c>
      <c r="Q272" s="175"/>
      <c r="R272" s="186">
        <f t="shared" ref="R272:R277" si="86">P272/P222-1</f>
        <v>1.4959060086898068E-2</v>
      </c>
    </row>
    <row r="273" spans="1:19">
      <c r="A273" s="179" t="s">
        <v>466</v>
      </c>
      <c r="B273" s="177"/>
      <c r="C273" s="177"/>
      <c r="D273" s="181">
        <v>507810.574972559</v>
      </c>
      <c r="E273" s="181">
        <v>508132.090307504</v>
      </c>
      <c r="F273" s="181">
        <v>508455.55661382299</v>
      </c>
      <c r="G273" s="181">
        <v>508780.83021832898</v>
      </c>
      <c r="H273" s="181">
        <v>509383.31996675598</v>
      </c>
      <c r="I273" s="181">
        <v>509987.360628928</v>
      </c>
      <c r="J273" s="181">
        <v>510592.83799265098</v>
      </c>
      <c r="K273" s="181">
        <v>511199.64625653398</v>
      </c>
      <c r="L273" s="181">
        <v>511807.687410596</v>
      </c>
      <c r="M273" s="181">
        <v>512416.87066249299</v>
      </c>
      <c r="N273" s="181">
        <v>513027.11190600297</v>
      </c>
      <c r="O273" s="181">
        <v>513638.33322864102</v>
      </c>
      <c r="P273" s="176">
        <f>AVERAGE(D273:O273)</f>
        <v>510436.01834706805</v>
      </c>
      <c r="Q273" s="175"/>
      <c r="R273" s="186">
        <f t="shared" si="86"/>
        <v>8.9948422914871706E-3</v>
      </c>
    </row>
    <row r="274" spans="1:19">
      <c r="A274" s="179" t="s">
        <v>465</v>
      </c>
      <c r="B274" s="177"/>
      <c r="C274" s="177"/>
      <c r="D274" s="181">
        <v>9572.7335779183886</v>
      </c>
      <c r="E274" s="181">
        <v>9614.4508541591094</v>
      </c>
      <c r="F274" s="181">
        <v>9644.9369377260009</v>
      </c>
      <c r="G274" s="181">
        <v>9668.9792775218193</v>
      </c>
      <c r="H274" s="181">
        <v>9694.9010513409394</v>
      </c>
      <c r="I274" s="181">
        <v>9719.6687890067114</v>
      </c>
      <c r="J274" s="181">
        <v>9746.02802063325</v>
      </c>
      <c r="K274" s="181">
        <v>9777.4899415420696</v>
      </c>
      <c r="L274" s="181">
        <v>9809.3961530918696</v>
      </c>
      <c r="M274" s="181">
        <v>9824.5377103230585</v>
      </c>
      <c r="N274" s="181">
        <v>9852.0351747076784</v>
      </c>
      <c r="O274" s="181">
        <v>9867.4066510058201</v>
      </c>
      <c r="P274" s="176">
        <f>AVERAGE(D274:O274)</f>
        <v>9732.7136782480593</v>
      </c>
      <c r="Q274" s="175"/>
      <c r="R274" s="186">
        <f t="shared" si="86"/>
        <v>4.5817291784053138E-2</v>
      </c>
    </row>
    <row r="275" spans="1:19">
      <c r="A275" s="179" t="s">
        <v>464</v>
      </c>
      <c r="B275" s="177"/>
      <c r="C275" s="177"/>
      <c r="D275" s="181">
        <v>3497.5074960734801</v>
      </c>
      <c r="E275" s="181">
        <v>3504.5341972127299</v>
      </c>
      <c r="F275" s="181">
        <v>3511.5960990686499</v>
      </c>
      <c r="G275" s="181">
        <v>3518.69353234552</v>
      </c>
      <c r="H275" s="181">
        <v>3525.82682262965</v>
      </c>
      <c r="I275" s="181">
        <v>3532.99629041853</v>
      </c>
      <c r="J275" s="181">
        <v>3540.2022511497898</v>
      </c>
      <c r="K275" s="181">
        <v>3547.4450152299801</v>
      </c>
      <c r="L275" s="181">
        <v>3554.7248880632201</v>
      </c>
      <c r="M275" s="181">
        <v>3562.0421700796601</v>
      </c>
      <c r="N275" s="181">
        <v>3569.39715676379</v>
      </c>
      <c r="O275" s="181">
        <v>3576.7901386825702</v>
      </c>
      <c r="P275" s="176">
        <f>AVERAGE(D275:O275)</f>
        <v>3536.8130048097978</v>
      </c>
      <c r="Q275" s="175"/>
      <c r="R275" s="186">
        <f t="shared" si="86"/>
        <v>2.438029050350754E-2</v>
      </c>
    </row>
    <row r="276" spans="1:19">
      <c r="A276" s="179" t="s">
        <v>463</v>
      </c>
      <c r="B276" s="177"/>
      <c r="C276" s="177"/>
      <c r="D276" s="181">
        <v>191</v>
      </c>
      <c r="E276" s="181">
        <v>191</v>
      </c>
      <c r="F276" s="181">
        <v>191</v>
      </c>
      <c r="G276" s="181">
        <v>191</v>
      </c>
      <c r="H276" s="181">
        <v>191</v>
      </c>
      <c r="I276" s="181">
        <v>191</v>
      </c>
      <c r="J276" s="181">
        <v>191</v>
      </c>
      <c r="K276" s="181">
        <v>191</v>
      </c>
      <c r="L276" s="181">
        <v>191</v>
      </c>
      <c r="M276" s="181">
        <v>191</v>
      </c>
      <c r="N276" s="181">
        <v>191</v>
      </c>
      <c r="O276" s="181">
        <v>191</v>
      </c>
      <c r="P276" s="176">
        <f>AVERAGE(D276:O276)</f>
        <v>191</v>
      </c>
      <c r="Q276" s="175"/>
      <c r="R276" s="186">
        <f t="shared" si="86"/>
        <v>0</v>
      </c>
    </row>
    <row r="277" spans="1:19">
      <c r="A277" s="179" t="s">
        <v>462</v>
      </c>
      <c r="B277" s="177"/>
      <c r="C277" s="177"/>
      <c r="D277" s="181">
        <v>26</v>
      </c>
      <c r="E277" s="181">
        <v>26</v>
      </c>
      <c r="F277" s="181">
        <v>26</v>
      </c>
      <c r="G277" s="181">
        <v>26</v>
      </c>
      <c r="H277" s="181">
        <v>26</v>
      </c>
      <c r="I277" s="181">
        <v>26</v>
      </c>
      <c r="J277" s="181">
        <v>26</v>
      </c>
      <c r="K277" s="181">
        <v>26</v>
      </c>
      <c r="L277" s="181">
        <v>26</v>
      </c>
      <c r="M277" s="181">
        <v>26</v>
      </c>
      <c r="N277" s="181">
        <v>26</v>
      </c>
      <c r="O277" s="181">
        <v>26</v>
      </c>
      <c r="P277" s="176">
        <f>AVERAGE(D277:O277)</f>
        <v>26</v>
      </c>
      <c r="Q277" s="175"/>
      <c r="R277" s="186">
        <f t="shared" si="86"/>
        <v>6.4516129032259339E-3</v>
      </c>
    </row>
    <row r="278" spans="1:19">
      <c r="A278" s="179"/>
      <c r="B278" s="177"/>
      <c r="C278" s="177"/>
      <c r="D278" s="176"/>
      <c r="E278" s="176"/>
      <c r="F278" s="176"/>
      <c r="G278" s="176"/>
      <c r="H278" s="176"/>
      <c r="I278" s="176"/>
      <c r="J278" s="176"/>
      <c r="K278" s="176"/>
      <c r="L278" s="176"/>
      <c r="M278" s="176"/>
      <c r="N278" s="176"/>
      <c r="O278" s="176"/>
      <c r="P278" s="176"/>
      <c r="Q278" s="175"/>
      <c r="R278" s="186"/>
    </row>
    <row r="279" spans="1:19">
      <c r="A279" s="180" t="s">
        <v>461</v>
      </c>
      <c r="B279" s="177"/>
      <c r="C279" s="177"/>
      <c r="D279" s="176"/>
      <c r="E279" s="176"/>
      <c r="F279" s="176"/>
      <c r="G279" s="176"/>
      <c r="H279" s="176"/>
      <c r="I279" s="176"/>
      <c r="J279" s="176"/>
      <c r="K279" s="176"/>
      <c r="L279" s="176"/>
      <c r="M279" s="176"/>
      <c r="N279" s="176"/>
      <c r="O279" s="176"/>
      <c r="P279" s="176"/>
      <c r="Q279" s="175"/>
      <c r="R279" s="186"/>
    </row>
    <row r="280" spans="1:19">
      <c r="A280" s="180" t="s">
        <v>469</v>
      </c>
      <c r="B280" s="177"/>
      <c r="C280" s="177"/>
      <c r="D280" s="176">
        <f t="shared" ref="D280:P280" si="87">SUM(D272:D279)</f>
        <v>4624919.1565287523</v>
      </c>
      <c r="E280" s="176">
        <f t="shared" si="87"/>
        <v>4633872.9732789416</v>
      </c>
      <c r="F280" s="176">
        <f t="shared" si="87"/>
        <v>4641525.4956468428</v>
      </c>
      <c r="G280" s="176">
        <f t="shared" si="87"/>
        <v>4647837.6439405084</v>
      </c>
      <c r="H280" s="176">
        <f t="shared" si="87"/>
        <v>4653373.3138409536</v>
      </c>
      <c r="I280" s="176">
        <f t="shared" si="87"/>
        <v>4658241.5289736418</v>
      </c>
      <c r="J280" s="176">
        <f t="shared" si="87"/>
        <v>4663542.5808803216</v>
      </c>
      <c r="K280" s="176">
        <f t="shared" si="87"/>
        <v>4670619.6997866333</v>
      </c>
      <c r="L280" s="176">
        <f t="shared" si="87"/>
        <v>4674508.7011368265</v>
      </c>
      <c r="M280" s="176">
        <f t="shared" si="87"/>
        <v>4679142.1236532358</v>
      </c>
      <c r="N280" s="176">
        <f t="shared" si="87"/>
        <v>4685819.6176400715</v>
      </c>
      <c r="O280" s="176">
        <f t="shared" si="87"/>
        <v>4690864.819384845</v>
      </c>
      <c r="P280" s="176">
        <f t="shared" si="87"/>
        <v>4660355.6378909647</v>
      </c>
      <c r="Q280" s="175"/>
      <c r="R280" s="186">
        <f>P280/P230-1</f>
        <v>1.437125189762023E-2</v>
      </c>
    </row>
    <row r="281" spans="1:19">
      <c r="A281" s="180"/>
      <c r="B281" s="177"/>
      <c r="C281" s="177"/>
      <c r="D281" s="176"/>
      <c r="E281" s="176"/>
      <c r="F281" s="176"/>
      <c r="G281" s="176"/>
      <c r="H281" s="176"/>
      <c r="I281" s="176"/>
      <c r="J281" s="176"/>
      <c r="K281" s="176"/>
      <c r="L281" s="176"/>
      <c r="M281" s="176"/>
      <c r="N281" s="176"/>
      <c r="O281" s="176"/>
      <c r="P281" s="176"/>
      <c r="Q281" s="175"/>
      <c r="R281" s="186"/>
    </row>
    <row r="282" spans="1:19">
      <c r="A282" s="179" t="s">
        <v>459</v>
      </c>
      <c r="B282" s="177"/>
      <c r="C282" s="177"/>
      <c r="D282" s="181">
        <v>4</v>
      </c>
      <c r="E282" s="181">
        <v>4</v>
      </c>
      <c r="F282" s="181">
        <v>4</v>
      </c>
      <c r="G282" s="181">
        <v>4</v>
      </c>
      <c r="H282" s="181">
        <v>4</v>
      </c>
      <c r="I282" s="181">
        <v>3</v>
      </c>
      <c r="J282" s="181">
        <v>3</v>
      </c>
      <c r="K282" s="181">
        <v>3</v>
      </c>
      <c r="L282" s="181">
        <v>3</v>
      </c>
      <c r="M282" s="181">
        <v>3</v>
      </c>
      <c r="N282" s="181">
        <v>3</v>
      </c>
      <c r="O282" s="181">
        <v>3</v>
      </c>
      <c r="P282" s="176">
        <f>AVERAGE(D282:O282)</f>
        <v>3.4166666666666665</v>
      </c>
      <c r="Q282" s="175"/>
      <c r="R282" s="186">
        <f>P282/P232-1</f>
        <v>-0.14583333333333337</v>
      </c>
    </row>
    <row r="283" spans="1:19">
      <c r="A283" s="177"/>
      <c r="B283" s="177"/>
      <c r="C283" s="177"/>
      <c r="D283" s="176"/>
      <c r="E283" s="176"/>
      <c r="F283" s="176"/>
      <c r="G283" s="176"/>
      <c r="H283" s="176"/>
      <c r="I283" s="176"/>
      <c r="J283" s="176"/>
      <c r="K283" s="176"/>
      <c r="L283" s="176"/>
      <c r="M283" s="176"/>
      <c r="N283" s="176"/>
      <c r="O283" s="176"/>
      <c r="P283" s="176"/>
      <c r="Q283" s="175"/>
      <c r="R283" s="186"/>
    </row>
    <row r="284" spans="1:19">
      <c r="A284" s="178" t="s">
        <v>468</v>
      </c>
      <c r="B284" s="177"/>
      <c r="C284" s="177"/>
      <c r="D284" s="176">
        <f t="shared" ref="D284:P284" si="88">SUM(D280:D282)</f>
        <v>4624923.1565287523</v>
      </c>
      <c r="E284" s="176">
        <f t="shared" si="88"/>
        <v>4633876.9732789416</v>
      </c>
      <c r="F284" s="176">
        <f t="shared" si="88"/>
        <v>4641529.4956468428</v>
      </c>
      <c r="G284" s="176">
        <f t="shared" si="88"/>
        <v>4647841.6439405084</v>
      </c>
      <c r="H284" s="176">
        <f t="shared" si="88"/>
        <v>4653377.3138409536</v>
      </c>
      <c r="I284" s="176">
        <f t="shared" si="88"/>
        <v>4658244.5289736418</v>
      </c>
      <c r="J284" s="176">
        <f t="shared" si="88"/>
        <v>4663545.5808803216</v>
      </c>
      <c r="K284" s="176">
        <f t="shared" si="88"/>
        <v>4670622.6997866333</v>
      </c>
      <c r="L284" s="176">
        <f t="shared" si="88"/>
        <v>4674511.7011368265</v>
      </c>
      <c r="M284" s="176">
        <f t="shared" si="88"/>
        <v>4679145.1236532358</v>
      </c>
      <c r="N284" s="176">
        <f t="shared" si="88"/>
        <v>4685822.6176400715</v>
      </c>
      <c r="O284" s="176">
        <f t="shared" si="88"/>
        <v>4690867.819384845</v>
      </c>
      <c r="P284" s="176">
        <f t="shared" si="88"/>
        <v>4660359.0545576317</v>
      </c>
      <c r="Q284" s="175"/>
      <c r="R284" s="186">
        <f>P284/P234-1</f>
        <v>1.4371112417463028E-2</v>
      </c>
      <c r="S284" s="187">
        <v>0</v>
      </c>
    </row>
    <row r="285" spans="1:19">
      <c r="A285" s="177"/>
      <c r="B285" s="177"/>
      <c r="C285" s="177"/>
      <c r="D285" s="176"/>
      <c r="E285" s="176"/>
      <c r="F285" s="176"/>
      <c r="G285" s="176"/>
      <c r="H285" s="176"/>
      <c r="I285" s="176"/>
      <c r="J285" s="176"/>
      <c r="K285" s="176"/>
      <c r="L285" s="176"/>
      <c r="M285" s="176"/>
      <c r="N285" s="176"/>
      <c r="O285" s="176"/>
      <c r="P285" s="176"/>
      <c r="Q285" s="175"/>
      <c r="R285" s="186"/>
    </row>
    <row r="286" spans="1:19">
      <c r="A286" s="180" t="s">
        <v>460</v>
      </c>
      <c r="B286" s="177"/>
      <c r="C286" s="177"/>
      <c r="D286" s="176"/>
      <c r="E286" s="176"/>
      <c r="F286" s="176"/>
      <c r="G286" s="176"/>
      <c r="H286" s="176"/>
      <c r="I286" s="176"/>
      <c r="J286" s="176"/>
      <c r="K286" s="176"/>
      <c r="L286" s="176"/>
      <c r="M286" s="176"/>
      <c r="N286" s="176"/>
      <c r="O286" s="176"/>
      <c r="P286" s="176"/>
      <c r="Q286" s="175"/>
      <c r="R286" s="186"/>
    </row>
    <row r="287" spans="1:19">
      <c r="A287" s="179" t="s">
        <v>467</v>
      </c>
      <c r="B287" s="177"/>
      <c r="C287" s="177"/>
      <c r="D287" s="176">
        <f t="shared" ref="D287:P287" si="89">(D257/D272)*1000</f>
        <v>1062.3065211335645</v>
      </c>
      <c r="E287" s="176">
        <f t="shared" si="89"/>
        <v>944.51494844530328</v>
      </c>
      <c r="F287" s="176">
        <f t="shared" si="89"/>
        <v>880.32050777378333</v>
      </c>
      <c r="G287" s="176">
        <f t="shared" si="89"/>
        <v>936.60572215272225</v>
      </c>
      <c r="H287" s="176">
        <f t="shared" si="89"/>
        <v>1081.6906854824838</v>
      </c>
      <c r="I287" s="176">
        <f t="shared" si="89"/>
        <v>1232.0019524845461</v>
      </c>
      <c r="J287" s="176">
        <f t="shared" si="89"/>
        <v>1380.8810887646512</v>
      </c>
      <c r="K287" s="176">
        <f t="shared" si="89"/>
        <v>1366.7395235068275</v>
      </c>
      <c r="L287" s="176">
        <f t="shared" si="89"/>
        <v>1379.9643135630533</v>
      </c>
      <c r="M287" s="176">
        <f t="shared" si="89"/>
        <v>1262.2700293852395</v>
      </c>
      <c r="N287" s="176">
        <f t="shared" si="89"/>
        <v>1071.2309399821277</v>
      </c>
      <c r="O287" s="176">
        <f t="shared" si="89"/>
        <v>982.1542135374018</v>
      </c>
      <c r="P287" s="176">
        <f t="shared" si="89"/>
        <v>13584.56499852128</v>
      </c>
      <c r="Q287" s="175"/>
      <c r="R287" s="186">
        <f t="shared" ref="R287:R292" si="90">P287/P237-1</f>
        <v>1.110635681302452E-2</v>
      </c>
    </row>
    <row r="288" spans="1:19">
      <c r="A288" s="179" t="s">
        <v>466</v>
      </c>
      <c r="B288" s="177"/>
      <c r="C288" s="177"/>
      <c r="D288" s="176">
        <f t="shared" ref="D288:P288" si="91">(D258/D273)*1000</f>
        <v>6775.2488974879188</v>
      </c>
      <c r="E288" s="176">
        <f t="shared" si="91"/>
        <v>6741.6152218405696</v>
      </c>
      <c r="F288" s="176">
        <f t="shared" si="91"/>
        <v>6420.5848123255491</v>
      </c>
      <c r="G288" s="176">
        <f t="shared" si="91"/>
        <v>6692.9705901231555</v>
      </c>
      <c r="H288" s="176">
        <f t="shared" si="91"/>
        <v>7288.1662905135126</v>
      </c>
      <c r="I288" s="176">
        <f t="shared" si="91"/>
        <v>7618.4987013272621</v>
      </c>
      <c r="J288" s="176">
        <f t="shared" si="91"/>
        <v>8121.4796494487855</v>
      </c>
      <c r="K288" s="176">
        <f t="shared" si="91"/>
        <v>7874.4233089598647</v>
      </c>
      <c r="L288" s="176">
        <f t="shared" si="91"/>
        <v>8038.893783385136</v>
      </c>
      <c r="M288" s="176">
        <f t="shared" si="91"/>
        <v>7826.0010198339196</v>
      </c>
      <c r="N288" s="176">
        <f t="shared" si="91"/>
        <v>7345.6576623421697</v>
      </c>
      <c r="O288" s="176">
        <f t="shared" si="91"/>
        <v>7455.5640569813213</v>
      </c>
      <c r="P288" s="176">
        <f t="shared" si="91"/>
        <v>88215.794676735037</v>
      </c>
      <c r="Q288" s="175"/>
      <c r="R288" s="186">
        <f t="shared" si="90"/>
        <v>4.4538383858867547E-3</v>
      </c>
    </row>
    <row r="289" spans="1:18">
      <c r="A289" s="179" t="s">
        <v>465</v>
      </c>
      <c r="B289" s="177"/>
      <c r="C289" s="177"/>
      <c r="D289" s="176">
        <f t="shared" ref="D289:P289" si="92">(D259/D274)*1000</f>
        <v>26185.802957420707</v>
      </c>
      <c r="E289" s="176">
        <f t="shared" si="92"/>
        <v>26063.475838923776</v>
      </c>
      <c r="F289" s="176">
        <f t="shared" si="92"/>
        <v>25983.489230879775</v>
      </c>
      <c r="G289" s="176">
        <f t="shared" si="92"/>
        <v>25830.418395571745</v>
      </c>
      <c r="H289" s="176">
        <f t="shared" si="92"/>
        <v>25743.866837322577</v>
      </c>
      <c r="I289" s="176">
        <f t="shared" si="92"/>
        <v>25657.162312560376</v>
      </c>
      <c r="J289" s="176">
        <f t="shared" si="92"/>
        <v>25584.670954105681</v>
      </c>
      <c r="K289" s="176">
        <f t="shared" si="92"/>
        <v>25592.044876719177</v>
      </c>
      <c r="L289" s="176">
        <f t="shared" si="92"/>
        <v>25599.600027238343</v>
      </c>
      <c r="M289" s="176">
        <f t="shared" si="92"/>
        <v>25355.894405728588</v>
      </c>
      <c r="N289" s="176">
        <f t="shared" si="92"/>
        <v>25307.725276994581</v>
      </c>
      <c r="O289" s="176">
        <f t="shared" si="92"/>
        <v>25144.526546013032</v>
      </c>
      <c r="P289" s="176">
        <f t="shared" si="92"/>
        <v>308015.56347171438</v>
      </c>
      <c r="Q289" s="175"/>
      <c r="R289" s="186">
        <f t="shared" si="90"/>
        <v>-5.3900917443070018E-2</v>
      </c>
    </row>
    <row r="290" spans="1:18">
      <c r="A290" s="179" t="s">
        <v>464</v>
      </c>
      <c r="B290" s="177"/>
      <c r="C290" s="177"/>
      <c r="D290" s="176">
        <f t="shared" ref="D290:P290" si="93">(D260/D275)*1000</f>
        <v>10933.117699166658</v>
      </c>
      <c r="E290" s="176">
        <f t="shared" si="93"/>
        <v>10947.520431947829</v>
      </c>
      <c r="F290" s="176">
        <f t="shared" si="93"/>
        <v>10896.38017521109</v>
      </c>
      <c r="G290" s="176">
        <f t="shared" si="93"/>
        <v>10872.485452247769</v>
      </c>
      <c r="H290" s="176">
        <f t="shared" si="93"/>
        <v>10938.408856127333</v>
      </c>
      <c r="I290" s="176">
        <f t="shared" si="93"/>
        <v>10889.70981857773</v>
      </c>
      <c r="J290" s="176">
        <f t="shared" si="93"/>
        <v>10891.742804011339</v>
      </c>
      <c r="K290" s="176">
        <f t="shared" si="93"/>
        <v>10875.720594563514</v>
      </c>
      <c r="L290" s="176">
        <f t="shared" si="93"/>
        <v>10908.671030376165</v>
      </c>
      <c r="M290" s="176">
        <f t="shared" si="93"/>
        <v>10925.76754102234</v>
      </c>
      <c r="N290" s="176">
        <f t="shared" si="93"/>
        <v>10934.493828581215</v>
      </c>
      <c r="O290" s="176">
        <f t="shared" si="93"/>
        <v>10988.502933302689</v>
      </c>
      <c r="P290" s="176">
        <f t="shared" si="93"/>
        <v>131003.24296077574</v>
      </c>
      <c r="Q290" s="175"/>
      <c r="R290" s="186">
        <f t="shared" si="90"/>
        <v>1.6791920809389183E-7</v>
      </c>
    </row>
    <row r="291" spans="1:18">
      <c r="A291" s="179" t="s">
        <v>463</v>
      </c>
      <c r="B291" s="177"/>
      <c r="C291" s="177"/>
      <c r="D291" s="176">
        <f t="shared" ref="D291:P291" si="94">(D261/D276)*1000</f>
        <v>12110.96123365574</v>
      </c>
      <c r="E291" s="176">
        <f t="shared" si="94"/>
        <v>11705.377809849742</v>
      </c>
      <c r="F291" s="176">
        <f t="shared" si="94"/>
        <v>11208.024243578895</v>
      </c>
      <c r="G291" s="176">
        <f t="shared" si="94"/>
        <v>11192.112934074155</v>
      </c>
      <c r="H291" s="176">
        <f t="shared" si="94"/>
        <v>13728.676770931221</v>
      </c>
      <c r="I291" s="176">
        <f t="shared" si="94"/>
        <v>16392.239231216721</v>
      </c>
      <c r="J291" s="176">
        <f t="shared" si="94"/>
        <v>17160.747505257979</v>
      </c>
      <c r="K291" s="176">
        <f t="shared" si="94"/>
        <v>12302.534031413612</v>
      </c>
      <c r="L291" s="176">
        <f t="shared" si="94"/>
        <v>12475.68423654959</v>
      </c>
      <c r="M291" s="176">
        <f t="shared" si="94"/>
        <v>12224.95863577731</v>
      </c>
      <c r="N291" s="176">
        <f t="shared" si="94"/>
        <v>12422.634946109254</v>
      </c>
      <c r="O291" s="176">
        <f t="shared" si="94"/>
        <v>12383.872677151692</v>
      </c>
      <c r="P291" s="176">
        <f t="shared" si="94"/>
        <v>155307.82425556588</v>
      </c>
      <c r="Q291" s="175"/>
      <c r="R291" s="186">
        <f t="shared" si="90"/>
        <v>0</v>
      </c>
    </row>
    <row r="292" spans="1:18">
      <c r="A292" s="179" t="s">
        <v>462</v>
      </c>
      <c r="B292" s="177"/>
      <c r="C292" s="177"/>
      <c r="D292" s="176">
        <f t="shared" ref="D292:P292" si="95">(D262/D277)*1000</f>
        <v>289936.95652173908</v>
      </c>
      <c r="E292" s="176">
        <f t="shared" si="95"/>
        <v>281562.31884057971</v>
      </c>
      <c r="F292" s="176">
        <f t="shared" si="95"/>
        <v>270681.88405797101</v>
      </c>
      <c r="G292" s="176">
        <f t="shared" si="95"/>
        <v>268176.08695652173</v>
      </c>
      <c r="H292" s="176">
        <f t="shared" si="95"/>
        <v>287228.26086956519</v>
      </c>
      <c r="I292" s="176">
        <f t="shared" si="95"/>
        <v>305012.31884057965</v>
      </c>
      <c r="J292" s="176">
        <f t="shared" si="95"/>
        <v>311363.04347826086</v>
      </c>
      <c r="K292" s="176">
        <f t="shared" si="95"/>
        <v>303759.4202898551</v>
      </c>
      <c r="L292" s="176">
        <f t="shared" si="95"/>
        <v>302795.65217391308</v>
      </c>
      <c r="M292" s="176">
        <f t="shared" si="95"/>
        <v>299300.72463768121</v>
      </c>
      <c r="N292" s="176">
        <f t="shared" si="95"/>
        <v>293208.69565217395</v>
      </c>
      <c r="O292" s="176">
        <f t="shared" si="95"/>
        <v>289089.85507246375</v>
      </c>
      <c r="P292" s="176">
        <f t="shared" si="95"/>
        <v>3502115.2173913042</v>
      </c>
      <c r="Q292" s="175"/>
      <c r="R292" s="186">
        <f t="shared" si="90"/>
        <v>-4.2132648715553778E-5</v>
      </c>
    </row>
    <row r="293" spans="1:18">
      <c r="A293" s="179"/>
      <c r="B293" s="177"/>
      <c r="C293" s="177"/>
      <c r="D293" s="176"/>
      <c r="E293" s="176"/>
      <c r="F293" s="176"/>
      <c r="G293" s="176"/>
      <c r="H293" s="176"/>
      <c r="I293" s="176"/>
      <c r="J293" s="176"/>
      <c r="K293" s="176"/>
      <c r="L293" s="176"/>
      <c r="M293" s="176"/>
      <c r="N293" s="176"/>
      <c r="O293" s="176"/>
      <c r="P293" s="176"/>
      <c r="Q293" s="175"/>
      <c r="R293" s="186"/>
    </row>
    <row r="294" spans="1:18">
      <c r="A294" s="180" t="s">
        <v>461</v>
      </c>
      <c r="B294" s="177"/>
      <c r="C294" s="177"/>
      <c r="D294" s="176"/>
      <c r="E294" s="176"/>
      <c r="F294" s="176"/>
      <c r="G294" s="176"/>
      <c r="H294" s="176"/>
      <c r="I294" s="176"/>
      <c r="J294" s="176"/>
      <c r="K294" s="176"/>
      <c r="L294" s="176"/>
      <c r="M294" s="176"/>
      <c r="N294" s="176"/>
      <c r="O294" s="176"/>
      <c r="P294" s="176"/>
      <c r="Q294" s="175"/>
      <c r="R294" s="186"/>
    </row>
    <row r="295" spans="1:18">
      <c r="A295" s="180" t="s">
        <v>460</v>
      </c>
      <c r="B295" s="177"/>
      <c r="C295" s="177"/>
      <c r="D295" s="176">
        <f t="shared" ref="D295:P295" si="96">(D265/D280)*1000</f>
        <v>1751.1266395117266</v>
      </c>
      <c r="E295" s="176">
        <f t="shared" si="96"/>
        <v>1641.9024201705931</v>
      </c>
      <c r="F295" s="176">
        <f t="shared" si="96"/>
        <v>1548.9059633664606</v>
      </c>
      <c r="G295" s="176">
        <f t="shared" si="96"/>
        <v>1627.9582274982308</v>
      </c>
      <c r="H295" s="176">
        <f t="shared" si="96"/>
        <v>1822.0527283719225</v>
      </c>
      <c r="I295" s="176">
        <f t="shared" si="96"/>
        <v>1991.8061848404097</v>
      </c>
      <c r="J295" s="176">
        <f t="shared" si="96"/>
        <v>2179.0588609855577</v>
      </c>
      <c r="K295" s="176">
        <f t="shared" si="96"/>
        <v>2139.0721248125933</v>
      </c>
      <c r="L295" s="176">
        <f t="shared" si="96"/>
        <v>2169.2449740929214</v>
      </c>
      <c r="M295" s="176">
        <f t="shared" si="96"/>
        <v>2041.1178989184516</v>
      </c>
      <c r="N295" s="176">
        <f t="shared" si="96"/>
        <v>1818.7414494628167</v>
      </c>
      <c r="O295" s="176">
        <f t="shared" si="96"/>
        <v>1751.4943400553059</v>
      </c>
      <c r="P295" s="176">
        <f t="shared" si="96"/>
        <v>22487.992633266269</v>
      </c>
      <c r="Q295" s="175"/>
      <c r="R295" s="186">
        <f>P295/P245-1</f>
        <v>5.1606516987940942E-3</v>
      </c>
    </row>
    <row r="296" spans="1:18">
      <c r="A296" s="180"/>
      <c r="B296" s="177"/>
      <c r="C296" s="177"/>
      <c r="D296" s="176"/>
      <c r="E296" s="176"/>
      <c r="F296" s="176"/>
      <c r="G296" s="176"/>
      <c r="H296" s="176"/>
      <c r="I296" s="176"/>
      <c r="J296" s="176"/>
      <c r="K296" s="176"/>
      <c r="L296" s="176"/>
      <c r="M296" s="176"/>
      <c r="N296" s="176"/>
      <c r="O296" s="176"/>
      <c r="P296" s="176"/>
      <c r="Q296" s="175"/>
      <c r="R296" s="186"/>
    </row>
    <row r="297" spans="1:18">
      <c r="A297" s="179" t="s">
        <v>459</v>
      </c>
      <c r="B297" s="177"/>
      <c r="C297" s="177"/>
      <c r="D297" s="176">
        <f t="shared" ref="D297:P297" si="97">(D267/D282)*1000</f>
        <v>37306741.305007391</v>
      </c>
      <c r="E297" s="176">
        <f t="shared" si="97"/>
        <v>40094158.531272165</v>
      </c>
      <c r="F297" s="176">
        <f t="shared" si="97"/>
        <v>38316885.920636036</v>
      </c>
      <c r="G297" s="176">
        <f t="shared" si="97"/>
        <v>40775510.004719511</v>
      </c>
      <c r="H297" s="176">
        <f t="shared" si="97"/>
        <v>41385989.31001351</v>
      </c>
      <c r="I297" s="176">
        <f t="shared" si="97"/>
        <v>63896297.17803245</v>
      </c>
      <c r="J297" s="176">
        <f t="shared" si="97"/>
        <v>60881030.416942112</v>
      </c>
      <c r="K297" s="176">
        <f t="shared" si="97"/>
        <v>64947220.496709988</v>
      </c>
      <c r="L297" s="176">
        <f t="shared" si="97"/>
        <v>65454927.890191123</v>
      </c>
      <c r="M297" s="176">
        <f t="shared" si="97"/>
        <v>60648409.635910004</v>
      </c>
      <c r="N297" s="176">
        <f t="shared" si="97"/>
        <v>57438594.806153581</v>
      </c>
      <c r="O297" s="176">
        <f t="shared" si="97"/>
        <v>45113562.447368465</v>
      </c>
      <c r="P297" s="176">
        <f t="shared" si="97"/>
        <v>599021639.67820036</v>
      </c>
      <c r="Q297" s="175"/>
      <c r="R297" s="186">
        <f>P297/P247-1</f>
        <v>0.11713350753605534</v>
      </c>
    </row>
    <row r="298" spans="1:18">
      <c r="A298" s="177"/>
      <c r="B298" s="177"/>
      <c r="C298" s="177"/>
      <c r="D298" s="176"/>
      <c r="E298" s="176"/>
      <c r="F298" s="176"/>
      <c r="G298" s="176"/>
      <c r="H298" s="176"/>
      <c r="I298" s="176"/>
      <c r="J298" s="176"/>
      <c r="K298" s="176"/>
      <c r="L298" s="176"/>
      <c r="M298" s="176"/>
      <c r="N298" s="176"/>
      <c r="O298" s="176"/>
      <c r="P298" s="176"/>
      <c r="Q298" s="175"/>
      <c r="R298" s="186"/>
    </row>
    <row r="299" spans="1:18">
      <c r="A299" s="178" t="s">
        <v>458</v>
      </c>
      <c r="B299" s="177"/>
      <c r="C299" s="177"/>
      <c r="D299" s="176">
        <f t="shared" ref="D299:P299" si="98">(D269/D284)*1000</f>
        <v>1783.3909508663544</v>
      </c>
      <c r="E299" s="176">
        <f t="shared" si="98"/>
        <v>1676.5106040822884</v>
      </c>
      <c r="F299" s="176">
        <f t="shared" si="98"/>
        <v>1581.925541977871</v>
      </c>
      <c r="G299" s="176">
        <f t="shared" si="98"/>
        <v>1663.0488223765221</v>
      </c>
      <c r="H299" s="176">
        <f t="shared" si="98"/>
        <v>1857.6261748957561</v>
      </c>
      <c r="I299" s="176">
        <f t="shared" si="98"/>
        <v>2032.9553591534589</v>
      </c>
      <c r="J299" s="176">
        <f t="shared" si="98"/>
        <v>2218.2214575350627</v>
      </c>
      <c r="K299" s="176">
        <f t="shared" si="98"/>
        <v>2180.7871715627093</v>
      </c>
      <c r="L299" s="176">
        <f t="shared" si="98"/>
        <v>2211.2511318458037</v>
      </c>
      <c r="M299" s="176">
        <f t="shared" si="98"/>
        <v>2080.0008787675533</v>
      </c>
      <c r="N299" s="176">
        <f t="shared" si="98"/>
        <v>1855.5141449433152</v>
      </c>
      <c r="O299" s="176">
        <f t="shared" si="98"/>
        <v>1780.3451706627718</v>
      </c>
      <c r="P299" s="176">
        <f t="shared" si="98"/>
        <v>22927.139147722966</v>
      </c>
      <c r="Q299" s="175"/>
      <c r="R299" s="186">
        <f>P299/P249-1</f>
        <v>3.843166814574861E-3</v>
      </c>
    </row>
    <row r="301" spans="1:18">
      <c r="A301" s="185" t="s">
        <v>476</v>
      </c>
      <c r="B301" s="184"/>
      <c r="C301" s="184"/>
      <c r="D301" s="183"/>
      <c r="E301" s="183"/>
      <c r="F301" s="183"/>
      <c r="G301" s="183"/>
      <c r="H301" s="183"/>
      <c r="I301" s="183"/>
      <c r="J301" s="184"/>
      <c r="K301" s="183"/>
      <c r="L301" s="183"/>
      <c r="M301" s="183"/>
      <c r="N301" s="183"/>
      <c r="O301" s="183"/>
      <c r="P301" s="183"/>
      <c r="Q301" s="175"/>
    </row>
    <row r="302" spans="1:18">
      <c r="A302" s="185" t="s">
        <v>474</v>
      </c>
      <c r="B302" s="184"/>
      <c r="C302" s="184"/>
      <c r="D302" s="183"/>
      <c r="E302" s="183"/>
      <c r="F302" s="183"/>
      <c r="G302" s="183"/>
      <c r="H302" s="183"/>
      <c r="I302" s="184"/>
      <c r="J302" s="183"/>
      <c r="K302" s="183"/>
      <c r="L302" s="183"/>
      <c r="M302" s="183"/>
      <c r="N302" s="183"/>
      <c r="O302" s="183"/>
      <c r="P302" s="183"/>
      <c r="Q302" s="182">
        <f>Q102</f>
        <v>40452</v>
      </c>
    </row>
    <row r="303" spans="1:18">
      <c r="A303" s="185" t="s">
        <v>473</v>
      </c>
      <c r="B303" s="184"/>
      <c r="C303" s="184"/>
      <c r="D303" s="183"/>
      <c r="E303" s="183"/>
      <c r="F303" s="183"/>
      <c r="G303" s="183"/>
      <c r="H303" s="183"/>
      <c r="I303" s="184"/>
      <c r="J303" s="183"/>
      <c r="K303" s="183"/>
      <c r="L303" s="183"/>
      <c r="M303" s="183"/>
      <c r="N303" s="183"/>
      <c r="O303" s="183"/>
      <c r="P303" s="183"/>
      <c r="Q303" s="182"/>
    </row>
    <row r="304" spans="1:18">
      <c r="A304" s="177"/>
      <c r="B304" s="177"/>
      <c r="C304" s="177"/>
      <c r="D304" s="176"/>
      <c r="E304" s="176"/>
      <c r="F304" s="176"/>
      <c r="G304" s="176"/>
      <c r="H304" s="176"/>
      <c r="I304" s="176"/>
      <c r="J304" s="176"/>
      <c r="K304" s="176"/>
      <c r="L304" s="176"/>
      <c r="M304" s="176"/>
      <c r="N304" s="176"/>
      <c r="O304" s="176"/>
      <c r="P304" s="176"/>
      <c r="Q304" s="175"/>
    </row>
    <row r="305" spans="1:19">
      <c r="A305" s="177"/>
      <c r="B305" s="177"/>
      <c r="C305" s="177"/>
      <c r="D305" s="139" t="s">
        <v>413</v>
      </c>
      <c r="E305" s="139" t="s">
        <v>412</v>
      </c>
      <c r="F305" s="139" t="s">
        <v>411</v>
      </c>
      <c r="G305" s="139" t="s">
        <v>410</v>
      </c>
      <c r="H305" s="139" t="s">
        <v>409</v>
      </c>
      <c r="I305" s="139" t="s">
        <v>408</v>
      </c>
      <c r="J305" s="139" t="s">
        <v>407</v>
      </c>
      <c r="K305" s="139" t="s">
        <v>406</v>
      </c>
      <c r="L305" s="139" t="s">
        <v>405</v>
      </c>
      <c r="M305" s="139" t="s">
        <v>404</v>
      </c>
      <c r="N305" s="139" t="s">
        <v>403</v>
      </c>
      <c r="O305" s="139" t="s">
        <v>402</v>
      </c>
      <c r="P305" s="139" t="s">
        <v>93</v>
      </c>
      <c r="Q305" s="175"/>
    </row>
    <row r="306" spans="1:19">
      <c r="A306" s="180" t="s">
        <v>472</v>
      </c>
      <c r="B306" s="177"/>
      <c r="C306" s="177"/>
      <c r="D306" s="176"/>
      <c r="E306" s="176"/>
      <c r="F306" s="176"/>
      <c r="G306" s="176"/>
      <c r="H306" s="176"/>
      <c r="I306" s="176"/>
      <c r="J306" s="176"/>
      <c r="K306" s="176"/>
      <c r="L306" s="176"/>
      <c r="M306" s="176"/>
      <c r="N306" s="176"/>
      <c r="O306" s="176"/>
      <c r="P306" s="176"/>
      <c r="Q306" s="175"/>
    </row>
    <row r="307" spans="1:19">
      <c r="A307" s="179" t="s">
        <v>467</v>
      </c>
      <c r="B307" s="177"/>
      <c r="C307" s="177"/>
      <c r="D307" s="176">
        <v>4563964.5115900422</v>
      </c>
      <c r="E307" s="176">
        <v>4012617.6911594733</v>
      </c>
      <c r="F307" s="176">
        <v>3739208.9612784646</v>
      </c>
      <c r="G307" s="176">
        <v>3970136.4941269075</v>
      </c>
      <c r="H307" s="176">
        <v>4590460.0054237274</v>
      </c>
      <c r="I307" s="176">
        <v>5230178.669110721</v>
      </c>
      <c r="J307" s="176">
        <v>5828864.1649264824</v>
      </c>
      <c r="K307" s="176">
        <v>5751629.310744714</v>
      </c>
      <c r="L307" s="176">
        <v>5809162.6083991416</v>
      </c>
      <c r="M307" s="176">
        <v>5335298.3004726237</v>
      </c>
      <c r="N307" s="176">
        <v>4533401.1152128279</v>
      </c>
      <c r="O307" s="176">
        <v>4204533.9157426283</v>
      </c>
      <c r="P307" s="176">
        <f t="shared" ref="P307:P312" si="99">SUM(D307:O307)</f>
        <v>57569455.748187751</v>
      </c>
      <c r="Q307" s="175"/>
      <c r="R307" s="186">
        <f t="shared" ref="R307:R312" si="100">P307/P257-1</f>
        <v>2.4519865106402694E-2</v>
      </c>
    </row>
    <row r="308" spans="1:19">
      <c r="A308" s="179" t="s">
        <v>466</v>
      </c>
      <c r="B308" s="177"/>
      <c r="C308" s="177"/>
      <c r="D308" s="176">
        <v>3570564.8255968145</v>
      </c>
      <c r="E308" s="176">
        <v>3497627.2162218154</v>
      </c>
      <c r="F308" s="176">
        <v>3327490.7737218309</v>
      </c>
      <c r="G308" s="176">
        <v>3464951.7480664793</v>
      </c>
      <c r="H308" s="176">
        <v>3784694.7350975731</v>
      </c>
      <c r="I308" s="176">
        <v>3969969.3762373729</v>
      </c>
      <c r="J308" s="176">
        <v>4215314.9759252742</v>
      </c>
      <c r="K308" s="176">
        <v>4077184.8984035049</v>
      </c>
      <c r="L308" s="176">
        <v>4166298.0852084421</v>
      </c>
      <c r="M308" s="176">
        <v>4068450.1472232491</v>
      </c>
      <c r="N308" s="176">
        <v>3813022.2971392153</v>
      </c>
      <c r="O308" s="176">
        <v>3906643.2252662349</v>
      </c>
      <c r="P308" s="176">
        <f t="shared" si="99"/>
        <v>45862212.3041078</v>
      </c>
      <c r="Q308" s="175"/>
      <c r="R308" s="186">
        <f t="shared" si="100"/>
        <v>1.8514784245417859E-2</v>
      </c>
    </row>
    <row r="309" spans="1:19">
      <c r="A309" s="179" t="s">
        <v>465</v>
      </c>
      <c r="B309" s="177"/>
      <c r="C309" s="177"/>
      <c r="D309" s="176">
        <v>249739.85816518587</v>
      </c>
      <c r="E309" s="176">
        <v>249631.58494796089</v>
      </c>
      <c r="F309" s="176">
        <v>249630.75665220807</v>
      </c>
      <c r="G309" s="176">
        <v>248759.08936004568</v>
      </c>
      <c r="H309" s="176">
        <v>248510.23366315398</v>
      </c>
      <c r="I309" s="176">
        <v>248227.50338874952</v>
      </c>
      <c r="J309" s="176">
        <v>248108.65954573115</v>
      </c>
      <c r="K309" s="176">
        <v>248887.08379896561</v>
      </c>
      <c r="L309" s="176">
        <v>249667.96500302988</v>
      </c>
      <c r="M309" s="176">
        <v>247558.72355938025</v>
      </c>
      <c r="N309" s="176">
        <v>247664.04138246429</v>
      </c>
      <c r="O309" s="176">
        <v>246352.5789180804</v>
      </c>
      <c r="P309" s="176">
        <f t="shared" si="99"/>
        <v>2982738.0783849549</v>
      </c>
      <c r="Q309" s="175"/>
      <c r="R309" s="186">
        <f t="shared" si="100"/>
        <v>-5.0333818066572444E-3</v>
      </c>
    </row>
    <row r="310" spans="1:19">
      <c r="A310" s="179" t="s">
        <v>464</v>
      </c>
      <c r="B310" s="177"/>
      <c r="C310" s="177"/>
      <c r="D310" s="176">
        <v>39186.339245154741</v>
      </c>
      <c r="E310" s="176">
        <v>39319.363865689193</v>
      </c>
      <c r="F310" s="176">
        <v>39217.135126302419</v>
      </c>
      <c r="G310" s="176">
        <v>39212.832697646096</v>
      </c>
      <c r="H310" s="176">
        <v>39533.219028975036</v>
      </c>
      <c r="I310" s="176">
        <v>39439.906432871547</v>
      </c>
      <c r="J310" s="176">
        <v>39530.417769969114</v>
      </c>
      <c r="K310" s="176">
        <v>39555.735131430047</v>
      </c>
      <c r="L310" s="176">
        <v>39759.746671747547</v>
      </c>
      <c r="M310" s="176">
        <v>39906.81233061463</v>
      </c>
      <c r="N310" s="176">
        <v>40023.962269237505</v>
      </c>
      <c r="O310" s="176">
        <v>40307.814999467511</v>
      </c>
      <c r="P310" s="176">
        <f t="shared" si="99"/>
        <v>474993.28556910536</v>
      </c>
      <c r="Q310" s="175"/>
      <c r="R310" s="186">
        <f t="shared" si="100"/>
        <v>2.5163948389591351E-2</v>
      </c>
    </row>
    <row r="311" spans="1:19">
      <c r="A311" s="179" t="s">
        <v>463</v>
      </c>
      <c r="B311" s="177"/>
      <c r="C311" s="177"/>
      <c r="D311" s="176">
        <v>2313.1935956282464</v>
      </c>
      <c r="E311" s="176">
        <v>2235.7271616813009</v>
      </c>
      <c r="F311" s="176">
        <v>2140.7326305235692</v>
      </c>
      <c r="G311" s="176">
        <v>2137.6935704081634</v>
      </c>
      <c r="H311" s="176">
        <v>2622.1772632478633</v>
      </c>
      <c r="I311" s="176">
        <v>3130.9176931623938</v>
      </c>
      <c r="J311" s="176">
        <v>3277.7027735042739</v>
      </c>
      <c r="K311" s="176">
        <v>2349.7840000000001</v>
      </c>
      <c r="L311" s="176">
        <v>2382.8556891809717</v>
      </c>
      <c r="M311" s="176">
        <v>2334.967099433466</v>
      </c>
      <c r="N311" s="176">
        <v>2372.7232747068674</v>
      </c>
      <c r="O311" s="176">
        <v>2365.3196813359732</v>
      </c>
      <c r="P311" s="176">
        <f t="shared" si="99"/>
        <v>29663.794432813087</v>
      </c>
      <c r="Q311" s="175"/>
      <c r="R311" s="186">
        <f t="shared" si="100"/>
        <v>0</v>
      </c>
    </row>
    <row r="312" spans="1:19">
      <c r="A312" s="179" t="s">
        <v>462</v>
      </c>
      <c r="B312" s="177"/>
      <c r="C312" s="177"/>
      <c r="D312" s="176">
        <v>7538.3608695652165</v>
      </c>
      <c r="E312" s="176">
        <v>7320.6202898550728</v>
      </c>
      <c r="F312" s="176">
        <v>7037.7289855072459</v>
      </c>
      <c r="G312" s="176">
        <v>6972.5782608695645</v>
      </c>
      <c r="H312" s="176">
        <v>7467.9347826086951</v>
      </c>
      <c r="I312" s="176">
        <v>7930.3202898550717</v>
      </c>
      <c r="J312" s="176">
        <v>8095.4391304347828</v>
      </c>
      <c r="K312" s="176">
        <v>7897.7449275362324</v>
      </c>
      <c r="L312" s="176">
        <v>7872.6869565217403</v>
      </c>
      <c r="M312" s="176">
        <v>7781.8188405797109</v>
      </c>
      <c r="N312" s="176">
        <v>7623.4260869565232</v>
      </c>
      <c r="O312" s="176">
        <v>7516.3362318840582</v>
      </c>
      <c r="P312" s="176">
        <f t="shared" si="99"/>
        <v>91054.995652173908</v>
      </c>
      <c r="Q312" s="175"/>
      <c r="R312" s="186">
        <f t="shared" si="100"/>
        <v>0</v>
      </c>
    </row>
    <row r="313" spans="1:19">
      <c r="A313" s="179"/>
      <c r="B313" s="177"/>
      <c r="C313" s="177"/>
      <c r="D313" s="176"/>
      <c r="E313" s="176"/>
      <c r="F313" s="176"/>
      <c r="G313" s="176"/>
      <c r="H313" s="176"/>
      <c r="I313" s="176"/>
      <c r="J313" s="176"/>
      <c r="K313" s="176"/>
      <c r="L313" s="176"/>
      <c r="M313" s="176"/>
      <c r="N313" s="176"/>
      <c r="O313" s="176"/>
      <c r="P313" s="176"/>
      <c r="Q313" s="175"/>
      <c r="R313" s="186"/>
    </row>
    <row r="314" spans="1:19">
      <c r="A314" s="180" t="s">
        <v>461</v>
      </c>
      <c r="B314" s="177"/>
      <c r="C314" s="177"/>
      <c r="D314" s="176"/>
      <c r="E314" s="176"/>
      <c r="F314" s="176"/>
      <c r="G314" s="176"/>
      <c r="H314" s="176"/>
      <c r="I314" s="176"/>
      <c r="J314" s="176"/>
      <c r="K314" s="176"/>
      <c r="L314" s="176"/>
      <c r="M314" s="176"/>
      <c r="N314" s="176"/>
      <c r="O314" s="176"/>
      <c r="P314" s="176"/>
      <c r="Q314" s="175"/>
      <c r="R314" s="186"/>
    </row>
    <row r="315" spans="1:19">
      <c r="A315" s="180" t="s">
        <v>471</v>
      </c>
      <c r="B315" s="177"/>
      <c r="C315" s="177"/>
      <c r="D315" s="176">
        <f t="shared" ref="D315:P315" si="101">SUM(D307:D314)</f>
        <v>8433307.0890623908</v>
      </c>
      <c r="E315" s="176">
        <f t="shared" si="101"/>
        <v>7808752.2036464745</v>
      </c>
      <c r="F315" s="176">
        <f t="shared" si="101"/>
        <v>7364726.0883948365</v>
      </c>
      <c r="G315" s="176">
        <f t="shared" si="101"/>
        <v>7732170.4360823557</v>
      </c>
      <c r="H315" s="176">
        <f t="shared" si="101"/>
        <v>8673288.3052592892</v>
      </c>
      <c r="I315" s="176">
        <f t="shared" si="101"/>
        <v>9498876.6931527313</v>
      </c>
      <c r="J315" s="176">
        <f t="shared" si="101"/>
        <v>10343191.360071395</v>
      </c>
      <c r="K315" s="176">
        <f t="shared" si="101"/>
        <v>10127504.55700615</v>
      </c>
      <c r="L315" s="176">
        <f t="shared" si="101"/>
        <v>10275143.947928064</v>
      </c>
      <c r="M315" s="176">
        <f t="shared" si="101"/>
        <v>9701330.7695258819</v>
      </c>
      <c r="N315" s="176">
        <f t="shared" si="101"/>
        <v>8644107.5653654095</v>
      </c>
      <c r="O315" s="176">
        <f t="shared" si="101"/>
        <v>8407719.1908396296</v>
      </c>
      <c r="P315" s="176">
        <f t="shared" si="101"/>
        <v>107010118.20633459</v>
      </c>
      <c r="Q315" s="175"/>
      <c r="R315" s="186">
        <f>P315/P265-1</f>
        <v>2.1069006714926397E-2</v>
      </c>
    </row>
    <row r="316" spans="1:19">
      <c r="A316" s="180"/>
      <c r="B316" s="177"/>
      <c r="C316" s="177"/>
      <c r="D316" s="176"/>
      <c r="E316" s="176"/>
      <c r="F316" s="176"/>
      <c r="G316" s="176"/>
      <c r="H316" s="176"/>
      <c r="I316" s="176"/>
      <c r="J316" s="176"/>
      <c r="K316" s="176"/>
      <c r="L316" s="176"/>
      <c r="M316" s="176"/>
      <c r="N316" s="176"/>
      <c r="O316" s="176"/>
      <c r="P316" s="176"/>
      <c r="Q316" s="175"/>
      <c r="R316" s="186"/>
    </row>
    <row r="317" spans="1:19">
      <c r="A317" s="179" t="s">
        <v>459</v>
      </c>
      <c r="B317" s="177"/>
      <c r="C317" s="177"/>
      <c r="D317" s="176">
        <v>133247.24804357992</v>
      </c>
      <c r="E317" s="176">
        <v>350572.04843532259</v>
      </c>
      <c r="F317" s="176">
        <v>332957.4625750035</v>
      </c>
      <c r="G317" s="176">
        <v>349612.83483820647</v>
      </c>
      <c r="H317" s="176">
        <v>351166.11720581428</v>
      </c>
      <c r="I317" s="176">
        <v>413348.35182421975</v>
      </c>
      <c r="J317" s="176">
        <v>512057.38707583421</v>
      </c>
      <c r="K317" s="176">
        <v>549184.73617013334</v>
      </c>
      <c r="L317" s="176">
        <v>547510.71260378044</v>
      </c>
      <c r="M317" s="176">
        <v>512614.97300087527</v>
      </c>
      <c r="N317" s="176">
        <v>496745.38135592075</v>
      </c>
      <c r="O317" s="176">
        <v>386104.83727183298</v>
      </c>
      <c r="P317" s="176">
        <f>SUM(D317:O317)</f>
        <v>4935122.0904005226</v>
      </c>
      <c r="Q317" s="175"/>
      <c r="R317" s="186">
        <f>P317/P267-1</f>
        <v>1.4113085104140146</v>
      </c>
    </row>
    <row r="318" spans="1:19">
      <c r="A318" s="177"/>
      <c r="B318" s="177"/>
      <c r="C318" s="177"/>
      <c r="D318" s="176"/>
      <c r="E318" s="176"/>
      <c r="F318" s="176"/>
      <c r="G318" s="176"/>
      <c r="H318" s="176"/>
      <c r="I318" s="176"/>
      <c r="J318" s="176"/>
      <c r="K318" s="176"/>
      <c r="L318" s="176"/>
      <c r="M318" s="176"/>
      <c r="N318" s="176"/>
      <c r="O318" s="176"/>
      <c r="P318" s="176"/>
      <c r="Q318" s="175"/>
      <c r="R318" s="186"/>
    </row>
    <row r="319" spans="1:19">
      <c r="A319" s="180" t="s">
        <v>470</v>
      </c>
      <c r="B319" s="177"/>
      <c r="C319" s="177"/>
      <c r="D319" s="176">
        <f t="shared" ref="D319:P319" si="102">SUM(D315:D317)</f>
        <v>8566554.3371059708</v>
      </c>
      <c r="E319" s="176">
        <f t="shared" si="102"/>
        <v>8159324.2520817975</v>
      </c>
      <c r="F319" s="176">
        <f t="shared" si="102"/>
        <v>7697683.55096984</v>
      </c>
      <c r="G319" s="176">
        <f t="shared" si="102"/>
        <v>8081783.2709205626</v>
      </c>
      <c r="H319" s="176">
        <f t="shared" si="102"/>
        <v>9024454.4224651027</v>
      </c>
      <c r="I319" s="176">
        <f t="shared" si="102"/>
        <v>9912225.0449769516</v>
      </c>
      <c r="J319" s="176">
        <f t="shared" si="102"/>
        <v>10855248.747147229</v>
      </c>
      <c r="K319" s="176">
        <f t="shared" si="102"/>
        <v>10676689.293176284</v>
      </c>
      <c r="L319" s="176">
        <f t="shared" si="102"/>
        <v>10822654.660531845</v>
      </c>
      <c r="M319" s="176">
        <f t="shared" si="102"/>
        <v>10213945.742526757</v>
      </c>
      <c r="N319" s="176">
        <f t="shared" si="102"/>
        <v>9140852.9467213303</v>
      </c>
      <c r="O319" s="176">
        <f t="shared" si="102"/>
        <v>8793824.0281114634</v>
      </c>
      <c r="P319" s="176">
        <f t="shared" si="102"/>
        <v>111945240.29673511</v>
      </c>
      <c r="Q319" s="175"/>
      <c r="R319" s="186">
        <f>P319/P269-1</f>
        <v>4.7698659409367794E-2</v>
      </c>
      <c r="S319" s="187">
        <v>0</v>
      </c>
    </row>
    <row r="320" spans="1:19">
      <c r="A320" s="177"/>
      <c r="B320" s="177"/>
      <c r="C320" s="177"/>
      <c r="D320" s="176"/>
      <c r="E320" s="176"/>
      <c r="F320" s="176"/>
      <c r="G320" s="176"/>
      <c r="H320" s="176"/>
      <c r="I320" s="176"/>
      <c r="J320" s="176"/>
      <c r="K320" s="176"/>
      <c r="L320" s="176"/>
      <c r="M320" s="176"/>
      <c r="N320" s="176"/>
      <c r="O320" s="176"/>
      <c r="P320" s="176"/>
      <c r="Q320" s="175"/>
      <c r="R320" s="186"/>
    </row>
    <row r="321" spans="1:19">
      <c r="A321" s="180" t="s">
        <v>469</v>
      </c>
      <c r="B321" s="177"/>
      <c r="C321" s="177"/>
      <c r="D321" s="176"/>
      <c r="E321" s="176"/>
      <c r="F321" s="176"/>
      <c r="G321" s="176"/>
      <c r="H321" s="176"/>
      <c r="I321" s="176"/>
      <c r="J321" s="176"/>
      <c r="K321" s="176"/>
      <c r="L321" s="176"/>
      <c r="M321" s="176"/>
      <c r="N321" s="176"/>
      <c r="O321" s="176"/>
      <c r="P321" s="176"/>
      <c r="Q321" s="175"/>
      <c r="R321" s="186"/>
    </row>
    <row r="322" spans="1:19">
      <c r="A322" s="179" t="s">
        <v>467</v>
      </c>
      <c r="B322" s="177"/>
      <c r="C322" s="177"/>
      <c r="D322" s="181">
        <v>4169685.5106343296</v>
      </c>
      <c r="E322" s="181">
        <v>4178199.3280778774</v>
      </c>
      <c r="F322" s="181">
        <v>4185670.1516355043</v>
      </c>
      <c r="G322" s="181">
        <v>4192048.5547871133</v>
      </c>
      <c r="H322" s="181">
        <v>4196559.0842968933</v>
      </c>
      <c r="I322" s="181">
        <v>4200522.5221487628</v>
      </c>
      <c r="J322" s="181">
        <v>4204844.0643727602</v>
      </c>
      <c r="K322" s="181">
        <v>4210622.4536491474</v>
      </c>
      <c r="L322" s="181">
        <v>4213780.058673312</v>
      </c>
      <c r="M322" s="181">
        <v>4217566.8562159017</v>
      </c>
      <c r="N322" s="181">
        <v>4223022.4694237607</v>
      </c>
      <c r="O322" s="181">
        <v>4227147.6787502076</v>
      </c>
      <c r="P322" s="176">
        <f>AVERAGE(C322:O322)</f>
        <v>4201639.0610554647</v>
      </c>
      <c r="Q322" s="175"/>
      <c r="R322" s="186">
        <f t="shared" ref="R322:R327" si="103">P322/P272-1</f>
        <v>1.5763815521920632E-2</v>
      </c>
    </row>
    <row r="323" spans="1:19">
      <c r="A323" s="179" t="s">
        <v>466</v>
      </c>
      <c r="B323" s="177"/>
      <c r="C323" s="177"/>
      <c r="D323" s="181">
        <v>514250.46245554602</v>
      </c>
      <c r="E323" s="181">
        <v>514863.43272694497</v>
      </c>
      <c r="F323" s="181">
        <v>515477.182106747</v>
      </c>
      <c r="G323" s="181">
        <v>516091.65321995103</v>
      </c>
      <c r="H323" s="181">
        <v>516809.02330384398</v>
      </c>
      <c r="I323" s="181">
        <v>517527.01273558999</v>
      </c>
      <c r="J323" s="181">
        <v>518245.57590525202</v>
      </c>
      <c r="K323" s="181">
        <v>518964.67056169698</v>
      </c>
      <c r="L323" s="181">
        <v>519684.25756524201</v>
      </c>
      <c r="M323" s="181">
        <v>520404.30065852299</v>
      </c>
      <c r="N323" s="181">
        <v>521124.76625424001</v>
      </c>
      <c r="O323" s="181">
        <v>521845.62323852099</v>
      </c>
      <c r="P323" s="176">
        <f>AVERAGE(D323:O323)</f>
        <v>517940.66339434142</v>
      </c>
      <c r="Q323" s="175"/>
      <c r="R323" s="186">
        <f t="shared" si="103"/>
        <v>1.4702420631630631E-2</v>
      </c>
    </row>
    <row r="324" spans="1:19">
      <c r="A324" s="179" t="s">
        <v>465</v>
      </c>
      <c r="B324" s="177"/>
      <c r="C324" s="177"/>
      <c r="D324" s="181">
        <v>9950.0500467206803</v>
      </c>
      <c r="E324" s="181">
        <v>9992.3390524387396</v>
      </c>
      <c r="F324" s="181">
        <v>10010.611825304881</v>
      </c>
      <c r="G324" s="181">
        <v>10021.93029933608</v>
      </c>
      <c r="H324" s="181">
        <v>10034.72828377342</v>
      </c>
      <c r="I324" s="181">
        <v>10046.312627548999</v>
      </c>
      <c r="J324" s="181">
        <v>10059.65606349361</v>
      </c>
      <c r="K324" s="181">
        <v>10078.48645533964</v>
      </c>
      <c r="L324" s="181">
        <v>10098.515689888791</v>
      </c>
      <c r="M324" s="181">
        <v>10103.12433238646</v>
      </c>
      <c r="N324" s="181">
        <v>10121.184556355749</v>
      </c>
      <c r="O324" s="181">
        <v>10128.93069269089</v>
      </c>
      <c r="P324" s="176">
        <f>AVERAGE(D324:O324)</f>
        <v>10053.822493773163</v>
      </c>
      <c r="Q324" s="175"/>
      <c r="R324" s="186">
        <f t="shared" si="103"/>
        <v>3.2992732154728754E-2</v>
      </c>
    </row>
    <row r="325" spans="1:19">
      <c r="A325" s="179" t="s">
        <v>464</v>
      </c>
      <c r="B325" s="177"/>
      <c r="C325" s="177"/>
      <c r="D325" s="181">
        <v>3584.1870839954099</v>
      </c>
      <c r="E325" s="181">
        <v>3591.6227889326101</v>
      </c>
      <c r="F325" s="181">
        <v>3599.0975439274898</v>
      </c>
      <c r="G325" s="181">
        <v>3606.6116501024399</v>
      </c>
      <c r="H325" s="181">
        <v>3614.1654192081</v>
      </c>
      <c r="I325" s="181">
        <v>3621.7591735628698</v>
      </c>
      <c r="J325" s="181">
        <v>3629.3932459927701</v>
      </c>
      <c r="K325" s="181">
        <v>3637.0679797716498</v>
      </c>
      <c r="L325" s="181">
        <v>3644.7837285617102</v>
      </c>
      <c r="M325" s="181">
        <v>3652.5408563543801</v>
      </c>
      <c r="N325" s="181">
        <v>3660.3397374115798</v>
      </c>
      <c r="O325" s="181">
        <v>3668.1807562072199</v>
      </c>
      <c r="P325" s="176">
        <f>AVERAGE(D325:O325)</f>
        <v>3625.8124970023528</v>
      </c>
      <c r="Q325" s="175"/>
      <c r="R325" s="186">
        <f t="shared" si="103"/>
        <v>2.5163753942185396E-2</v>
      </c>
    </row>
    <row r="326" spans="1:19">
      <c r="A326" s="179" t="s">
        <v>463</v>
      </c>
      <c r="B326" s="177"/>
      <c r="C326" s="177"/>
      <c r="D326" s="181">
        <v>191</v>
      </c>
      <c r="E326" s="181">
        <v>191</v>
      </c>
      <c r="F326" s="181">
        <v>191</v>
      </c>
      <c r="G326" s="181">
        <v>191</v>
      </c>
      <c r="H326" s="181">
        <v>191</v>
      </c>
      <c r="I326" s="181">
        <v>191</v>
      </c>
      <c r="J326" s="181">
        <v>191</v>
      </c>
      <c r="K326" s="181">
        <v>191</v>
      </c>
      <c r="L326" s="181">
        <v>191</v>
      </c>
      <c r="M326" s="181">
        <v>191</v>
      </c>
      <c r="N326" s="181">
        <v>191</v>
      </c>
      <c r="O326" s="181">
        <v>191</v>
      </c>
      <c r="P326" s="176">
        <f>AVERAGE(D326:O326)</f>
        <v>191</v>
      </c>
      <c r="Q326" s="175"/>
      <c r="R326" s="186">
        <f t="shared" si="103"/>
        <v>0</v>
      </c>
    </row>
    <row r="327" spans="1:19">
      <c r="A327" s="179" t="s">
        <v>462</v>
      </c>
      <c r="B327" s="177"/>
      <c r="C327" s="177"/>
      <c r="D327" s="181">
        <v>26</v>
      </c>
      <c r="E327" s="181">
        <v>26</v>
      </c>
      <c r="F327" s="181">
        <v>26</v>
      </c>
      <c r="G327" s="181">
        <v>26</v>
      </c>
      <c r="H327" s="181">
        <v>26</v>
      </c>
      <c r="I327" s="181">
        <v>26</v>
      </c>
      <c r="J327" s="181">
        <v>26</v>
      </c>
      <c r="K327" s="181">
        <v>26</v>
      </c>
      <c r="L327" s="181">
        <v>26</v>
      </c>
      <c r="M327" s="181">
        <v>26</v>
      </c>
      <c r="N327" s="181">
        <v>26</v>
      </c>
      <c r="O327" s="181">
        <v>26</v>
      </c>
      <c r="P327" s="176">
        <f>AVERAGE(D327:O327)</f>
        <v>26</v>
      </c>
      <c r="Q327" s="175"/>
      <c r="R327" s="186">
        <f t="shared" si="103"/>
        <v>0</v>
      </c>
    </row>
    <row r="328" spans="1:19">
      <c r="A328" s="179"/>
      <c r="B328" s="177"/>
      <c r="C328" s="177"/>
      <c r="D328" s="176"/>
      <c r="E328" s="176"/>
      <c r="F328" s="176"/>
      <c r="G328" s="176"/>
      <c r="H328" s="176"/>
      <c r="I328" s="176"/>
      <c r="J328" s="176"/>
      <c r="K328" s="176"/>
      <c r="L328" s="176"/>
      <c r="M328" s="176"/>
      <c r="N328" s="176"/>
      <c r="O328" s="176"/>
      <c r="P328" s="176"/>
      <c r="Q328" s="175"/>
      <c r="R328" s="186"/>
    </row>
    <row r="329" spans="1:19">
      <c r="A329" s="180" t="s">
        <v>461</v>
      </c>
      <c r="B329" s="177"/>
      <c r="C329" s="177"/>
      <c r="D329" s="176"/>
      <c r="E329" s="176"/>
      <c r="F329" s="176"/>
      <c r="G329" s="176"/>
      <c r="H329" s="176"/>
      <c r="I329" s="176"/>
      <c r="J329" s="176"/>
      <c r="K329" s="176"/>
      <c r="L329" s="176"/>
      <c r="M329" s="176"/>
      <c r="N329" s="176"/>
      <c r="O329" s="176"/>
      <c r="P329" s="176"/>
      <c r="Q329" s="175"/>
      <c r="R329" s="186"/>
    </row>
    <row r="330" spans="1:19">
      <c r="A330" s="180" t="s">
        <v>469</v>
      </c>
      <c r="B330" s="177"/>
      <c r="C330" s="177"/>
      <c r="D330" s="176">
        <f t="shared" ref="D330:P330" si="104">SUM(D322:D329)</f>
        <v>4697687.2102205912</v>
      </c>
      <c r="E330" s="176">
        <f t="shared" si="104"/>
        <v>4706863.7226461936</v>
      </c>
      <c r="F330" s="176">
        <f t="shared" si="104"/>
        <v>4714974.0431114845</v>
      </c>
      <c r="G330" s="176">
        <f t="shared" si="104"/>
        <v>4721985.7499565035</v>
      </c>
      <c r="H330" s="176">
        <f t="shared" si="104"/>
        <v>4727234.0013037184</v>
      </c>
      <c r="I330" s="176">
        <f t="shared" si="104"/>
        <v>4731934.6066854652</v>
      </c>
      <c r="J330" s="176">
        <f t="shared" si="104"/>
        <v>4736995.689587499</v>
      </c>
      <c r="K330" s="176">
        <f t="shared" si="104"/>
        <v>4743519.6786459563</v>
      </c>
      <c r="L330" s="176">
        <f t="shared" si="104"/>
        <v>4747424.6156570045</v>
      </c>
      <c r="M330" s="176">
        <f t="shared" si="104"/>
        <v>4751943.8220631648</v>
      </c>
      <c r="N330" s="176">
        <f t="shared" si="104"/>
        <v>4758145.7599717677</v>
      </c>
      <c r="O330" s="176">
        <f t="shared" si="104"/>
        <v>4763007.4134376273</v>
      </c>
      <c r="P330" s="176">
        <f t="shared" si="104"/>
        <v>4733476.3594405809</v>
      </c>
      <c r="Q330" s="175"/>
      <c r="R330" s="186">
        <f>P330/P280-1</f>
        <v>1.5689944551679602E-2</v>
      </c>
    </row>
    <row r="331" spans="1:19">
      <c r="A331" s="180"/>
      <c r="B331" s="177"/>
      <c r="C331" s="177"/>
      <c r="D331" s="176"/>
      <c r="E331" s="176"/>
      <c r="F331" s="176"/>
      <c r="G331" s="176"/>
      <c r="H331" s="176"/>
      <c r="I331" s="176"/>
      <c r="J331" s="176"/>
      <c r="K331" s="176"/>
      <c r="L331" s="176"/>
      <c r="M331" s="176"/>
      <c r="N331" s="176"/>
      <c r="O331" s="176"/>
      <c r="P331" s="176"/>
      <c r="Q331" s="175"/>
      <c r="R331" s="186"/>
    </row>
    <row r="332" spans="1:19">
      <c r="A332" s="179" t="s">
        <v>459</v>
      </c>
      <c r="B332" s="177"/>
      <c r="C332" s="177"/>
      <c r="D332" s="181">
        <v>3</v>
      </c>
      <c r="E332" s="181">
        <v>3</v>
      </c>
      <c r="F332" s="181">
        <v>3</v>
      </c>
      <c r="G332" s="181">
        <v>3</v>
      </c>
      <c r="H332" s="181">
        <v>3</v>
      </c>
      <c r="I332" s="181">
        <v>4</v>
      </c>
      <c r="J332" s="181">
        <v>4</v>
      </c>
      <c r="K332" s="181">
        <v>4</v>
      </c>
      <c r="L332" s="181">
        <v>4</v>
      </c>
      <c r="M332" s="181">
        <v>4</v>
      </c>
      <c r="N332" s="181">
        <v>4</v>
      </c>
      <c r="O332" s="181">
        <v>4</v>
      </c>
      <c r="P332" s="176">
        <f>AVERAGE(D332:O332)</f>
        <v>3.5833333333333335</v>
      </c>
      <c r="Q332" s="175"/>
      <c r="R332" s="186">
        <f>P332/P282-1</f>
        <v>4.8780487804878092E-2</v>
      </c>
    </row>
    <row r="333" spans="1:19">
      <c r="A333" s="177"/>
      <c r="B333" s="177"/>
      <c r="C333" s="177"/>
      <c r="D333" s="176"/>
      <c r="E333" s="176"/>
      <c r="F333" s="176"/>
      <c r="G333" s="176"/>
      <c r="H333" s="176"/>
      <c r="I333" s="176"/>
      <c r="J333" s="176"/>
      <c r="K333" s="176"/>
      <c r="L333" s="176"/>
      <c r="M333" s="176"/>
      <c r="N333" s="176"/>
      <c r="O333" s="176"/>
      <c r="P333" s="176"/>
      <c r="Q333" s="175"/>
      <c r="R333" s="186"/>
    </row>
    <row r="334" spans="1:19">
      <c r="A334" s="178" t="s">
        <v>468</v>
      </c>
      <c r="B334" s="177"/>
      <c r="C334" s="177"/>
      <c r="D334" s="176">
        <f t="shared" ref="D334:P334" si="105">SUM(D330:D332)</f>
        <v>4697690.2102205912</v>
      </c>
      <c r="E334" s="176">
        <f t="shared" si="105"/>
        <v>4706866.7226461936</v>
      </c>
      <c r="F334" s="176">
        <f t="shared" si="105"/>
        <v>4714977.0431114845</v>
      </c>
      <c r="G334" s="176">
        <f t="shared" si="105"/>
        <v>4721988.7499565035</v>
      </c>
      <c r="H334" s="176">
        <f t="shared" si="105"/>
        <v>4727237.0013037184</v>
      </c>
      <c r="I334" s="176">
        <f t="shared" si="105"/>
        <v>4731938.6066854652</v>
      </c>
      <c r="J334" s="176">
        <f t="shared" si="105"/>
        <v>4736999.689587499</v>
      </c>
      <c r="K334" s="176">
        <f t="shared" si="105"/>
        <v>4743523.6786459563</v>
      </c>
      <c r="L334" s="176">
        <f t="shared" si="105"/>
        <v>4747428.6156570045</v>
      </c>
      <c r="M334" s="176">
        <f t="shared" si="105"/>
        <v>4751947.8220631648</v>
      </c>
      <c r="N334" s="176">
        <f t="shared" si="105"/>
        <v>4758149.7599717677</v>
      </c>
      <c r="O334" s="176">
        <f t="shared" si="105"/>
        <v>4763011.4134376273</v>
      </c>
      <c r="P334" s="176">
        <f t="shared" si="105"/>
        <v>4733479.942773914</v>
      </c>
      <c r="Q334" s="175"/>
      <c r="R334" s="186">
        <f>P334/P284-1</f>
        <v>1.5689968811474442E-2</v>
      </c>
      <c r="S334" s="187">
        <v>0</v>
      </c>
    </row>
    <row r="335" spans="1:19">
      <c r="A335" s="177"/>
      <c r="B335" s="177"/>
      <c r="C335" s="177"/>
      <c r="D335" s="176"/>
      <c r="E335" s="176"/>
      <c r="F335" s="176"/>
      <c r="G335" s="176"/>
      <c r="H335" s="176"/>
      <c r="I335" s="176"/>
      <c r="J335" s="176"/>
      <c r="K335" s="176"/>
      <c r="L335" s="176"/>
      <c r="M335" s="176"/>
      <c r="N335" s="176"/>
      <c r="O335" s="176"/>
      <c r="P335" s="176"/>
      <c r="Q335" s="175"/>
      <c r="R335" s="186"/>
    </row>
    <row r="336" spans="1:19">
      <c r="A336" s="180" t="s">
        <v>460</v>
      </c>
      <c r="B336" s="177"/>
      <c r="C336" s="177"/>
      <c r="D336" s="176"/>
      <c r="E336" s="176"/>
      <c r="F336" s="176"/>
      <c r="G336" s="176"/>
      <c r="H336" s="176"/>
      <c r="I336" s="176"/>
      <c r="J336" s="176"/>
      <c r="K336" s="176"/>
      <c r="L336" s="176"/>
      <c r="M336" s="176"/>
      <c r="N336" s="176"/>
      <c r="O336" s="176"/>
      <c r="P336" s="176"/>
      <c r="Q336" s="175"/>
      <c r="R336" s="186"/>
    </row>
    <row r="337" spans="1:18">
      <c r="A337" s="179" t="s">
        <v>467</v>
      </c>
      <c r="B337" s="177"/>
      <c r="C337" s="177"/>
      <c r="D337" s="176">
        <f t="shared" ref="D337:P337" si="106">(D307/D322)*1000</f>
        <v>1094.5584504994795</v>
      </c>
      <c r="E337" s="176">
        <f t="shared" si="106"/>
        <v>960.37009632219304</v>
      </c>
      <c r="F337" s="176">
        <f t="shared" si="106"/>
        <v>893.33579231450187</v>
      </c>
      <c r="G337" s="176">
        <f t="shared" si="106"/>
        <v>947.0635757768614</v>
      </c>
      <c r="H337" s="176">
        <f t="shared" si="106"/>
        <v>1093.8628321952556</v>
      </c>
      <c r="I337" s="176">
        <f t="shared" si="106"/>
        <v>1245.1257293664601</v>
      </c>
      <c r="J337" s="176">
        <f t="shared" si="106"/>
        <v>1386.2259992740012</v>
      </c>
      <c r="K337" s="176">
        <f t="shared" si="106"/>
        <v>1365.980772215768</v>
      </c>
      <c r="L337" s="176">
        <f t="shared" si="106"/>
        <v>1378.6107788046556</v>
      </c>
      <c r="M337" s="176">
        <f t="shared" si="106"/>
        <v>1265.0180737762096</v>
      </c>
      <c r="N337" s="176">
        <f t="shared" si="106"/>
        <v>1073.4968018845088</v>
      </c>
      <c r="O337" s="176">
        <f t="shared" si="106"/>
        <v>994.65034942562852</v>
      </c>
      <c r="P337" s="176">
        <f t="shared" si="106"/>
        <v>13701.66616209202</v>
      </c>
      <c r="Q337" s="175"/>
      <c r="R337" s="186">
        <f t="shared" ref="R337:R342" si="107">P337/P287-1</f>
        <v>8.6201629263422674E-3</v>
      </c>
    </row>
    <row r="338" spans="1:18">
      <c r="A338" s="179" t="s">
        <v>466</v>
      </c>
      <c r="B338" s="177"/>
      <c r="C338" s="177"/>
      <c r="D338" s="176">
        <f t="shared" ref="D338:P338" si="108">(D308/D323)*1000</f>
        <v>6943.2408646700424</v>
      </c>
      <c r="E338" s="176">
        <f t="shared" si="108"/>
        <v>6793.3106021859649</v>
      </c>
      <c r="F338" s="176">
        <f t="shared" si="108"/>
        <v>6455.1659883807652</v>
      </c>
      <c r="G338" s="176">
        <f t="shared" si="108"/>
        <v>6713.8302401293931</v>
      </c>
      <c r="H338" s="176">
        <f t="shared" si="108"/>
        <v>7323.1978631156053</v>
      </c>
      <c r="I338" s="176">
        <f t="shared" si="108"/>
        <v>7671.0379913360621</v>
      </c>
      <c r="J338" s="176">
        <f t="shared" si="108"/>
        <v>8133.8175797489821</v>
      </c>
      <c r="K338" s="176">
        <f t="shared" si="108"/>
        <v>7856.3823891722695</v>
      </c>
      <c r="L338" s="176">
        <f t="shared" si="108"/>
        <v>8016.9795881981245</v>
      </c>
      <c r="M338" s="176">
        <f t="shared" si="108"/>
        <v>7817.8641915045773</v>
      </c>
      <c r="N338" s="176">
        <f t="shared" si="108"/>
        <v>7316.908625446069</v>
      </c>
      <c r="O338" s="176">
        <f t="shared" si="108"/>
        <v>7486.2048301219875</v>
      </c>
      <c r="P338" s="176">
        <f t="shared" si="108"/>
        <v>88547.232425328912</v>
      </c>
      <c r="Q338" s="175"/>
      <c r="R338" s="186">
        <f t="shared" si="107"/>
        <v>3.7571247848349199E-3</v>
      </c>
    </row>
    <row r="339" spans="1:18">
      <c r="A339" s="179" t="s">
        <v>465</v>
      </c>
      <c r="B339" s="177"/>
      <c r="C339" s="177"/>
      <c r="D339" s="176">
        <f t="shared" ref="D339:P339" si="109">(D309/D324)*1000</f>
        <v>25099.356987404772</v>
      </c>
      <c r="E339" s="176">
        <f t="shared" si="109"/>
        <v>24982.297301754945</v>
      </c>
      <c r="F339" s="176">
        <f t="shared" si="109"/>
        <v>24936.613366746482</v>
      </c>
      <c r="G339" s="176">
        <f t="shared" si="109"/>
        <v>24821.474698993381</v>
      </c>
      <c r="H339" s="176">
        <f t="shared" si="109"/>
        <v>24765.018706585761</v>
      </c>
      <c r="I339" s="176">
        <f t="shared" si="109"/>
        <v>24708.319618489677</v>
      </c>
      <c r="J339" s="176">
        <f t="shared" si="109"/>
        <v>24663.731839313565</v>
      </c>
      <c r="K339" s="176">
        <f t="shared" si="109"/>
        <v>24694.88696560224</v>
      </c>
      <c r="L339" s="176">
        <f t="shared" si="109"/>
        <v>24723.233856339069</v>
      </c>
      <c r="M339" s="176">
        <f t="shared" si="109"/>
        <v>24503.184897547864</v>
      </c>
      <c r="N339" s="176">
        <f t="shared" si="109"/>
        <v>24469.867138915073</v>
      </c>
      <c r="O339" s="176">
        <f t="shared" si="109"/>
        <v>24321.676827727748</v>
      </c>
      <c r="P339" s="176">
        <f t="shared" si="109"/>
        <v>296677.01814233488</v>
      </c>
      <c r="Q339" s="175"/>
      <c r="R339" s="186">
        <f t="shared" si="107"/>
        <v>-3.6811598743843099E-2</v>
      </c>
    </row>
    <row r="340" spans="1:18">
      <c r="A340" s="179" t="s">
        <v>464</v>
      </c>
      <c r="B340" s="177"/>
      <c r="C340" s="177"/>
      <c r="D340" s="176">
        <f t="shared" ref="D340:P340" si="110">(D310/D325)*1000</f>
        <v>10933.117699166656</v>
      </c>
      <c r="E340" s="176">
        <f t="shared" si="110"/>
        <v>10947.520431947829</v>
      </c>
      <c r="F340" s="176">
        <f t="shared" si="110"/>
        <v>10896.380175211088</v>
      </c>
      <c r="G340" s="176">
        <f t="shared" si="110"/>
        <v>10872.485452247769</v>
      </c>
      <c r="H340" s="176">
        <f t="shared" si="110"/>
        <v>10938.408856127333</v>
      </c>
      <c r="I340" s="176">
        <f t="shared" si="110"/>
        <v>10889.70981857773</v>
      </c>
      <c r="J340" s="176">
        <f t="shared" si="110"/>
        <v>10891.742804011339</v>
      </c>
      <c r="K340" s="176">
        <f t="shared" si="110"/>
        <v>10875.720594563514</v>
      </c>
      <c r="L340" s="176">
        <f t="shared" si="110"/>
        <v>10908.671030376165</v>
      </c>
      <c r="M340" s="176">
        <f t="shared" si="110"/>
        <v>10925.76754102234</v>
      </c>
      <c r="N340" s="176">
        <f t="shared" si="110"/>
        <v>10934.493828581215</v>
      </c>
      <c r="O340" s="176">
        <f t="shared" si="110"/>
        <v>10988.502933302689</v>
      </c>
      <c r="P340" s="176">
        <f t="shared" si="110"/>
        <v>131003.26780874823</v>
      </c>
      <c r="Q340" s="175"/>
      <c r="R340" s="186">
        <f t="shared" si="107"/>
        <v>1.8967448389695107E-7</v>
      </c>
    </row>
    <row r="341" spans="1:18">
      <c r="A341" s="179" t="s">
        <v>463</v>
      </c>
      <c r="B341" s="177"/>
      <c r="C341" s="177"/>
      <c r="D341" s="176">
        <f t="shared" ref="D341:P341" si="111">(D311/D326)*1000</f>
        <v>12110.96123365574</v>
      </c>
      <c r="E341" s="176">
        <f t="shared" si="111"/>
        <v>11705.377809849742</v>
      </c>
      <c r="F341" s="176">
        <f t="shared" si="111"/>
        <v>11208.024243578895</v>
      </c>
      <c r="G341" s="176">
        <f t="shared" si="111"/>
        <v>11192.112934074155</v>
      </c>
      <c r="H341" s="176">
        <f t="shared" si="111"/>
        <v>13728.676770931221</v>
      </c>
      <c r="I341" s="176">
        <f t="shared" si="111"/>
        <v>16392.239231216721</v>
      </c>
      <c r="J341" s="176">
        <f t="shared" si="111"/>
        <v>17160.747505257979</v>
      </c>
      <c r="K341" s="176">
        <f t="shared" si="111"/>
        <v>12302.534031413612</v>
      </c>
      <c r="L341" s="176">
        <f t="shared" si="111"/>
        <v>12475.68423654959</v>
      </c>
      <c r="M341" s="176">
        <f t="shared" si="111"/>
        <v>12224.95863577731</v>
      </c>
      <c r="N341" s="176">
        <f t="shared" si="111"/>
        <v>12422.634946109254</v>
      </c>
      <c r="O341" s="176">
        <f t="shared" si="111"/>
        <v>12383.872677151692</v>
      </c>
      <c r="P341" s="176">
        <f t="shared" si="111"/>
        <v>155307.82425556588</v>
      </c>
      <c r="Q341" s="175"/>
      <c r="R341" s="186">
        <f t="shared" si="107"/>
        <v>0</v>
      </c>
    </row>
    <row r="342" spans="1:18">
      <c r="A342" s="179" t="s">
        <v>462</v>
      </c>
      <c r="B342" s="177"/>
      <c r="C342" s="177"/>
      <c r="D342" s="176">
        <f t="shared" ref="D342:P342" si="112">(D312/D327)*1000</f>
        <v>289936.95652173908</v>
      </c>
      <c r="E342" s="176">
        <f t="shared" si="112"/>
        <v>281562.31884057971</v>
      </c>
      <c r="F342" s="176">
        <f t="shared" si="112"/>
        <v>270681.88405797101</v>
      </c>
      <c r="G342" s="176">
        <f t="shared" si="112"/>
        <v>268176.08695652173</v>
      </c>
      <c r="H342" s="176">
        <f t="shared" si="112"/>
        <v>287228.26086956519</v>
      </c>
      <c r="I342" s="176">
        <f t="shared" si="112"/>
        <v>305012.31884057965</v>
      </c>
      <c r="J342" s="176">
        <f t="shared" si="112"/>
        <v>311363.04347826086</v>
      </c>
      <c r="K342" s="176">
        <f t="shared" si="112"/>
        <v>303759.4202898551</v>
      </c>
      <c r="L342" s="176">
        <f t="shared" si="112"/>
        <v>302795.65217391308</v>
      </c>
      <c r="M342" s="176">
        <f t="shared" si="112"/>
        <v>299300.72463768121</v>
      </c>
      <c r="N342" s="176">
        <f t="shared" si="112"/>
        <v>293208.69565217395</v>
      </c>
      <c r="O342" s="176">
        <f t="shared" si="112"/>
        <v>289089.85507246375</v>
      </c>
      <c r="P342" s="176">
        <f t="shared" si="112"/>
        <v>3502115.2173913042</v>
      </c>
      <c r="Q342" s="175"/>
      <c r="R342" s="186">
        <f t="shared" si="107"/>
        <v>0</v>
      </c>
    </row>
    <row r="343" spans="1:18">
      <c r="A343" s="179"/>
      <c r="B343" s="177"/>
      <c r="C343" s="177"/>
      <c r="D343" s="176"/>
      <c r="E343" s="176"/>
      <c r="F343" s="176"/>
      <c r="G343" s="176"/>
      <c r="H343" s="176"/>
      <c r="I343" s="176"/>
      <c r="J343" s="176"/>
      <c r="K343" s="176"/>
      <c r="L343" s="176"/>
      <c r="M343" s="176"/>
      <c r="N343" s="176"/>
      <c r="O343" s="176"/>
      <c r="P343" s="176"/>
      <c r="Q343" s="175"/>
      <c r="R343" s="186"/>
    </row>
    <row r="344" spans="1:18">
      <c r="A344" s="180" t="s">
        <v>461</v>
      </c>
      <c r="B344" s="177"/>
      <c r="C344" s="177"/>
      <c r="D344" s="176"/>
      <c r="E344" s="176"/>
      <c r="F344" s="176"/>
      <c r="G344" s="176"/>
      <c r="H344" s="176"/>
      <c r="I344" s="176"/>
      <c r="J344" s="176"/>
      <c r="K344" s="176"/>
      <c r="L344" s="176"/>
      <c r="M344" s="176"/>
      <c r="N344" s="176"/>
      <c r="O344" s="176"/>
      <c r="P344" s="176"/>
      <c r="Q344" s="175"/>
      <c r="R344" s="186"/>
    </row>
    <row r="345" spans="1:18">
      <c r="A345" s="180" t="s">
        <v>460</v>
      </c>
      <c r="B345" s="177"/>
      <c r="C345" s="177"/>
      <c r="D345" s="176">
        <f t="shared" ref="D345:P345" si="113">(D315/D330)*1000</f>
        <v>1795.2040465176872</v>
      </c>
      <c r="E345" s="176">
        <f t="shared" si="113"/>
        <v>1659.0138707598703</v>
      </c>
      <c r="F345" s="176">
        <f t="shared" si="113"/>
        <v>1561.9865604890456</v>
      </c>
      <c r="G345" s="176">
        <f t="shared" si="113"/>
        <v>1637.4827976034405</v>
      </c>
      <c r="H345" s="176">
        <f t="shared" si="113"/>
        <v>1834.7490948972047</v>
      </c>
      <c r="I345" s="176">
        <f t="shared" si="113"/>
        <v>2007.3981326226149</v>
      </c>
      <c r="J345" s="176">
        <f t="shared" si="113"/>
        <v>2183.4918243238021</v>
      </c>
      <c r="K345" s="176">
        <f t="shared" si="113"/>
        <v>2135.0189823386713</v>
      </c>
      <c r="L345" s="176">
        <f t="shared" si="113"/>
        <v>2164.3616865533036</v>
      </c>
      <c r="M345" s="176">
        <f t="shared" si="113"/>
        <v>2041.5499704526869</v>
      </c>
      <c r="N345" s="176">
        <f t="shared" si="113"/>
        <v>1816.6966716498191</v>
      </c>
      <c r="O345" s="176">
        <f t="shared" si="113"/>
        <v>1765.2122831300587</v>
      </c>
      <c r="P345" s="176">
        <f t="shared" si="113"/>
        <v>22607.088338554928</v>
      </c>
      <c r="Q345" s="175"/>
      <c r="R345" s="186">
        <f>P345/P295-1</f>
        <v>5.2959687078730777E-3</v>
      </c>
    </row>
    <row r="346" spans="1:18">
      <c r="A346" s="180"/>
      <c r="B346" s="177"/>
      <c r="C346" s="177"/>
      <c r="D346" s="176"/>
      <c r="E346" s="176"/>
      <c r="F346" s="176"/>
      <c r="G346" s="176"/>
      <c r="H346" s="176"/>
      <c r="I346" s="176"/>
      <c r="J346" s="176"/>
      <c r="K346" s="176"/>
      <c r="L346" s="176"/>
      <c r="M346" s="176"/>
      <c r="N346" s="176"/>
      <c r="O346" s="176"/>
      <c r="P346" s="176"/>
      <c r="Q346" s="175"/>
      <c r="R346" s="186"/>
    </row>
    <row r="347" spans="1:18">
      <c r="A347" s="179" t="s">
        <v>459</v>
      </c>
      <c r="B347" s="177"/>
      <c r="C347" s="177"/>
      <c r="D347" s="176">
        <f t="shared" ref="D347:P347" si="114">(D317/D332)*1000</f>
        <v>44415749.347859971</v>
      </c>
      <c r="E347" s="176">
        <f t="shared" si="114"/>
        <v>116857349.47844087</v>
      </c>
      <c r="F347" s="176">
        <f t="shared" si="114"/>
        <v>110985820.8583345</v>
      </c>
      <c r="G347" s="176">
        <f t="shared" si="114"/>
        <v>116537611.61273549</v>
      </c>
      <c r="H347" s="176">
        <f t="shared" si="114"/>
        <v>117055372.4019381</v>
      </c>
      <c r="I347" s="176">
        <f t="shared" si="114"/>
        <v>103337087.95605494</v>
      </c>
      <c r="J347" s="176">
        <f t="shared" si="114"/>
        <v>128014346.76895855</v>
      </c>
      <c r="K347" s="176">
        <f t="shared" si="114"/>
        <v>137296184.04253334</v>
      </c>
      <c r="L347" s="176">
        <f t="shared" si="114"/>
        <v>136877678.1509451</v>
      </c>
      <c r="M347" s="176">
        <f t="shared" si="114"/>
        <v>128153743.25021882</v>
      </c>
      <c r="N347" s="176">
        <f t="shared" si="114"/>
        <v>124186345.33898018</v>
      </c>
      <c r="O347" s="176">
        <f t="shared" si="114"/>
        <v>96526209.317958251</v>
      </c>
      <c r="P347" s="176">
        <f t="shared" si="114"/>
        <v>1377243374.0652621</v>
      </c>
      <c r="Q347" s="175"/>
      <c r="R347" s="186">
        <f>P347/P297-1</f>
        <v>1.2991546262087112</v>
      </c>
    </row>
    <row r="348" spans="1:18">
      <c r="A348" s="177"/>
      <c r="B348" s="177"/>
      <c r="C348" s="177"/>
      <c r="D348" s="176"/>
      <c r="E348" s="176"/>
      <c r="F348" s="176"/>
      <c r="G348" s="176"/>
      <c r="H348" s="176"/>
      <c r="I348" s="176"/>
      <c r="J348" s="176"/>
      <c r="K348" s="176"/>
      <c r="L348" s="176"/>
      <c r="M348" s="176"/>
      <c r="N348" s="176"/>
      <c r="O348" s="176"/>
      <c r="P348" s="176"/>
      <c r="Q348" s="175"/>
      <c r="R348" s="186"/>
    </row>
    <row r="349" spans="1:18">
      <c r="A349" s="178" t="s">
        <v>458</v>
      </c>
      <c r="B349" s="177"/>
      <c r="C349" s="177"/>
      <c r="D349" s="176">
        <f t="shared" ref="D349:P349" si="115">(D319/D334)*1000</f>
        <v>1823.5673179274434</v>
      </c>
      <c r="E349" s="176">
        <f t="shared" si="115"/>
        <v>1733.4937938278051</v>
      </c>
      <c r="F349" s="176">
        <f t="shared" si="115"/>
        <v>1632.6025515258973</v>
      </c>
      <c r="G349" s="176">
        <f t="shared" si="115"/>
        <v>1711.5210770027793</v>
      </c>
      <c r="H349" s="176">
        <f t="shared" si="115"/>
        <v>1909.0336321145439</v>
      </c>
      <c r="I349" s="176">
        <f t="shared" si="115"/>
        <v>2094.7492917538229</v>
      </c>
      <c r="J349" s="176">
        <f t="shared" si="115"/>
        <v>2291.5873883226936</v>
      </c>
      <c r="K349" s="176">
        <f t="shared" si="115"/>
        <v>2250.7928739219356</v>
      </c>
      <c r="L349" s="176">
        <f t="shared" si="115"/>
        <v>2279.6877081708535</v>
      </c>
      <c r="M349" s="176">
        <f t="shared" si="115"/>
        <v>2149.4229576982484</v>
      </c>
      <c r="N349" s="176">
        <f t="shared" si="115"/>
        <v>1921.0939982636376</v>
      </c>
      <c r="O349" s="176">
        <f t="shared" si="115"/>
        <v>1846.2739776986302</v>
      </c>
      <c r="P349" s="176">
        <f t="shared" si="115"/>
        <v>23649.670358829695</v>
      </c>
      <c r="Q349" s="175"/>
      <c r="R349" s="186">
        <f>P349/P299-1</f>
        <v>3.1514233260911961E-2</v>
      </c>
    </row>
    <row r="350" spans="1:18">
      <c r="A350" s="185" t="s">
        <v>475</v>
      </c>
      <c r="B350" s="184"/>
      <c r="C350" s="184"/>
      <c r="D350" s="183"/>
      <c r="E350" s="183"/>
      <c r="F350" s="183"/>
      <c r="G350" s="183"/>
      <c r="H350" s="183"/>
      <c r="I350" s="183"/>
      <c r="J350" s="184"/>
      <c r="K350" s="183"/>
      <c r="L350" s="183"/>
      <c r="M350" s="183"/>
      <c r="N350" s="183"/>
      <c r="O350" s="183"/>
      <c r="P350" s="183"/>
      <c r="Q350" s="175"/>
    </row>
    <row r="351" spans="1:18">
      <c r="A351" s="185" t="s">
        <v>474</v>
      </c>
      <c r="B351" s="184"/>
      <c r="C351" s="184"/>
      <c r="D351" s="183"/>
      <c r="E351" s="183"/>
      <c r="F351" s="183"/>
      <c r="G351" s="183"/>
      <c r="H351" s="183"/>
      <c r="I351" s="184"/>
      <c r="J351" s="183"/>
      <c r="K351" s="183"/>
      <c r="L351" s="183"/>
      <c r="M351" s="183"/>
      <c r="N351" s="183"/>
      <c r="O351" s="183"/>
      <c r="P351" s="183"/>
      <c r="Q351" s="182"/>
    </row>
    <row r="352" spans="1:18">
      <c r="A352" s="185" t="s">
        <v>473</v>
      </c>
      <c r="B352" s="184"/>
      <c r="C352" s="184"/>
      <c r="D352" s="183"/>
      <c r="E352" s="183"/>
      <c r="F352" s="183"/>
      <c r="G352" s="183"/>
      <c r="H352" s="183"/>
      <c r="I352" s="184"/>
      <c r="J352" s="183"/>
      <c r="K352" s="183"/>
      <c r="L352" s="183"/>
      <c r="M352" s="183"/>
      <c r="N352" s="183"/>
      <c r="O352" s="183"/>
      <c r="P352" s="183"/>
      <c r="Q352" s="182"/>
    </row>
    <row r="353" spans="1:17">
      <c r="A353" s="177"/>
      <c r="B353" s="177"/>
      <c r="C353" s="177"/>
      <c r="D353" s="176"/>
      <c r="E353" s="176"/>
      <c r="F353" s="176"/>
      <c r="G353" s="176"/>
      <c r="H353" s="176"/>
      <c r="I353" s="176"/>
      <c r="J353" s="176"/>
      <c r="K353" s="176"/>
      <c r="L353" s="176"/>
      <c r="M353" s="176"/>
      <c r="N353" s="176"/>
      <c r="O353" s="176"/>
      <c r="P353" s="176"/>
      <c r="Q353" s="175"/>
    </row>
    <row r="354" spans="1:17">
      <c r="A354" s="177"/>
      <c r="B354" s="177"/>
      <c r="C354" s="177"/>
      <c r="D354" s="139" t="s">
        <v>413</v>
      </c>
      <c r="E354" s="139" t="s">
        <v>412</v>
      </c>
      <c r="F354" s="139" t="s">
        <v>411</v>
      </c>
      <c r="G354" s="139" t="s">
        <v>410</v>
      </c>
      <c r="H354" s="139" t="s">
        <v>409</v>
      </c>
      <c r="I354" s="139" t="s">
        <v>408</v>
      </c>
      <c r="J354" s="139" t="s">
        <v>407</v>
      </c>
      <c r="K354" s="139" t="s">
        <v>406</v>
      </c>
      <c r="L354" s="139" t="s">
        <v>405</v>
      </c>
      <c r="M354" s="139" t="s">
        <v>404</v>
      </c>
      <c r="N354" s="139" t="s">
        <v>403</v>
      </c>
      <c r="O354" s="139" t="s">
        <v>402</v>
      </c>
      <c r="P354" s="139" t="s">
        <v>93</v>
      </c>
      <c r="Q354" s="175"/>
    </row>
    <row r="355" spans="1:17">
      <c r="A355" s="180" t="s">
        <v>472</v>
      </c>
      <c r="B355" s="177"/>
      <c r="C355" s="177"/>
      <c r="D355" s="176"/>
      <c r="E355" s="176"/>
      <c r="F355" s="176"/>
      <c r="G355" s="176"/>
      <c r="H355" s="176"/>
      <c r="I355" s="176"/>
      <c r="J355" s="176"/>
      <c r="K355" s="176"/>
      <c r="L355" s="176"/>
      <c r="M355" s="176"/>
      <c r="N355" s="176"/>
      <c r="O355" s="176"/>
      <c r="P355" s="176"/>
      <c r="Q355" s="175"/>
    </row>
    <row r="356" spans="1:17">
      <c r="A356" s="179" t="s">
        <v>467</v>
      </c>
      <c r="B356" s="177"/>
      <c r="C356" s="177"/>
      <c r="D356" s="176">
        <v>4601650.1404625485</v>
      </c>
      <c r="E356" s="176">
        <v>4018759.3512999271</v>
      </c>
      <c r="F356" s="176">
        <v>3747774.8376786048</v>
      </c>
      <c r="G356" s="176">
        <v>3960369.5446112114</v>
      </c>
      <c r="H356" s="176">
        <v>4555372.3181601726</v>
      </c>
      <c r="I356" s="176">
        <v>5148050.2684768988</v>
      </c>
      <c r="J356" s="176">
        <v>5751884.5805019177</v>
      </c>
      <c r="K356" s="176">
        <v>5669734.0560926385</v>
      </c>
      <c r="L356" s="176">
        <v>5723871.4290806111</v>
      </c>
      <c r="M356" s="176">
        <v>5251204.9254013384</v>
      </c>
      <c r="N356" s="176">
        <v>4451930.2221263647</v>
      </c>
      <c r="O356" s="176">
        <v>4133223.7508291323</v>
      </c>
      <c r="P356" s="176">
        <f t="shared" ref="P356:P361" si="116">SUM(D356:O356)</f>
        <v>57013825.424721368</v>
      </c>
      <c r="Q356" s="175"/>
    </row>
    <row r="357" spans="1:17">
      <c r="A357" s="179" t="s">
        <v>466</v>
      </c>
      <c r="B357" s="177"/>
      <c r="C357" s="177"/>
      <c r="D357" s="176">
        <v>3536230.7698867498</v>
      </c>
      <c r="E357" s="176">
        <v>3544321.0335321142</v>
      </c>
      <c r="F357" s="176">
        <v>3358246.796625908</v>
      </c>
      <c r="G357" s="176">
        <v>3479090.0843502022</v>
      </c>
      <c r="H357" s="176">
        <v>3783770.8332102443</v>
      </c>
      <c r="I357" s="176">
        <v>3952491.3367154524</v>
      </c>
      <c r="J357" s="176">
        <v>4207040.187278959</v>
      </c>
      <c r="K357" s="176">
        <v>4068736.3767835703</v>
      </c>
      <c r="L357" s="176">
        <v>4158553.1132734152</v>
      </c>
      <c r="M357" s="176">
        <v>4058480.2274118345</v>
      </c>
      <c r="N357" s="176">
        <v>3816807.7811947619</v>
      </c>
      <c r="O357" s="176">
        <v>3917995.7972230562</v>
      </c>
      <c r="P357" s="176">
        <f t="shared" si="116"/>
        <v>45881764.337486267</v>
      </c>
      <c r="Q357" s="175"/>
    </row>
    <row r="358" spans="1:17">
      <c r="A358" s="179" t="s">
        <v>465</v>
      </c>
      <c r="B358" s="177"/>
      <c r="C358" s="177"/>
      <c r="D358" s="176">
        <v>247641.39588694365</v>
      </c>
      <c r="E358" s="176">
        <v>247211.20194638628</v>
      </c>
      <c r="F358" s="176">
        <v>246889.60923607298</v>
      </c>
      <c r="G358" s="176">
        <v>245710.99532223254</v>
      </c>
      <c r="H358" s="176">
        <v>245167.36645051042</v>
      </c>
      <c r="I358" s="176">
        <v>244589.21261638892</v>
      </c>
      <c r="J358" s="176">
        <v>244167.17404915873</v>
      </c>
      <c r="K358" s="176">
        <v>244621.87622287372</v>
      </c>
      <c r="L358" s="176">
        <v>245066.48979261611</v>
      </c>
      <c r="M358" s="176">
        <v>242672.37020129597</v>
      </c>
      <c r="N358" s="176">
        <v>242434.39506218</v>
      </c>
      <c r="O358" s="176">
        <v>240843.27465590148</v>
      </c>
      <c r="P358" s="176">
        <f t="shared" si="116"/>
        <v>2937015.3614425608</v>
      </c>
      <c r="Q358" s="175"/>
    </row>
    <row r="359" spans="1:17">
      <c r="A359" s="179" t="s">
        <v>464</v>
      </c>
      <c r="B359" s="177"/>
      <c r="C359" s="177"/>
      <c r="D359" s="176">
        <v>40190.449857293235</v>
      </c>
      <c r="E359" s="176">
        <v>40329.777795548303</v>
      </c>
      <c r="F359" s="176">
        <v>40227.834362495676</v>
      </c>
      <c r="G359" s="176">
        <v>40226.357485250403</v>
      </c>
      <c r="H359" s="176">
        <v>40558.008155849573</v>
      </c>
      <c r="I359" s="176">
        <v>40465.273439895187</v>
      </c>
      <c r="J359" s="176">
        <v>40561.158620287861</v>
      </c>
      <c r="K359" s="176">
        <v>40590.171652303667</v>
      </c>
      <c r="L359" s="176">
        <v>40802.577449779616</v>
      </c>
      <c r="M359" s="176">
        <v>40956.572805571093</v>
      </c>
      <c r="N359" s="176">
        <v>41079.881147159773</v>
      </c>
      <c r="O359" s="176">
        <v>41374.308791814226</v>
      </c>
      <c r="P359" s="176">
        <f t="shared" si="116"/>
        <v>487362.37156324857</v>
      </c>
      <c r="Q359" s="175"/>
    </row>
    <row r="360" spans="1:17">
      <c r="A360" s="179" t="s">
        <v>463</v>
      </c>
      <c r="B360" s="177"/>
      <c r="C360" s="177"/>
      <c r="D360" s="176">
        <v>2313.1935956282464</v>
      </c>
      <c r="E360" s="176">
        <v>2235.7271616813009</v>
      </c>
      <c r="F360" s="176">
        <v>2140.7326305235692</v>
      </c>
      <c r="G360" s="176">
        <v>2137.6935704081634</v>
      </c>
      <c r="H360" s="176">
        <v>2622.1772632478633</v>
      </c>
      <c r="I360" s="176">
        <v>3130.9176931623938</v>
      </c>
      <c r="J360" s="176">
        <v>3277.7027735042739</v>
      </c>
      <c r="K360" s="176">
        <v>2349.7840000000001</v>
      </c>
      <c r="L360" s="176">
        <v>2382.8556891809717</v>
      </c>
      <c r="M360" s="176">
        <v>2334.967099433466</v>
      </c>
      <c r="N360" s="176">
        <v>2372.7232747068674</v>
      </c>
      <c r="O360" s="176">
        <v>2365.3196813359732</v>
      </c>
      <c r="P360" s="176">
        <f t="shared" si="116"/>
        <v>29663.794432813087</v>
      </c>
      <c r="Q360" s="175"/>
    </row>
    <row r="361" spans="1:17">
      <c r="A361" s="179" t="s">
        <v>462</v>
      </c>
      <c r="B361" s="177"/>
      <c r="C361" s="177"/>
      <c r="D361" s="176">
        <v>7538.3608695652165</v>
      </c>
      <c r="E361" s="176">
        <v>7320.6202898550728</v>
      </c>
      <c r="F361" s="176">
        <v>7037.7289855072459</v>
      </c>
      <c r="G361" s="176">
        <v>6972.5782608695645</v>
      </c>
      <c r="H361" s="176">
        <v>7467.9347826086951</v>
      </c>
      <c r="I361" s="176">
        <v>7930.3202898550717</v>
      </c>
      <c r="J361" s="176">
        <v>8095.4391304347828</v>
      </c>
      <c r="K361" s="176">
        <v>7897.7449275362324</v>
      </c>
      <c r="L361" s="176">
        <v>7872.6869565217403</v>
      </c>
      <c r="M361" s="176">
        <v>7781.8188405797109</v>
      </c>
      <c r="N361" s="176">
        <v>7623.4260869565232</v>
      </c>
      <c r="O361" s="176">
        <v>7516.3362318840582</v>
      </c>
      <c r="P361" s="176">
        <f t="shared" si="116"/>
        <v>91054.995652173908</v>
      </c>
      <c r="Q361" s="175"/>
    </row>
    <row r="362" spans="1:17">
      <c r="A362" s="179"/>
      <c r="B362" s="177"/>
      <c r="C362" s="177"/>
      <c r="D362" s="176"/>
      <c r="E362" s="176"/>
      <c r="F362" s="176"/>
      <c r="G362" s="176"/>
      <c r="H362" s="176"/>
      <c r="I362" s="176"/>
      <c r="J362" s="176"/>
      <c r="K362" s="176"/>
      <c r="L362" s="176"/>
      <c r="M362" s="176"/>
      <c r="N362" s="176"/>
      <c r="O362" s="176"/>
      <c r="P362" s="176"/>
      <c r="Q362" s="175"/>
    </row>
    <row r="363" spans="1:17">
      <c r="A363" s="180" t="s">
        <v>461</v>
      </c>
      <c r="B363" s="177"/>
      <c r="C363" s="177"/>
      <c r="D363" s="176"/>
      <c r="E363" s="176"/>
      <c r="F363" s="176"/>
      <c r="G363" s="176"/>
      <c r="H363" s="176"/>
      <c r="I363" s="176"/>
      <c r="J363" s="176"/>
      <c r="K363" s="176"/>
      <c r="L363" s="176"/>
      <c r="M363" s="176"/>
      <c r="N363" s="176"/>
      <c r="O363" s="176"/>
      <c r="P363" s="176"/>
      <c r="Q363" s="175"/>
    </row>
    <row r="364" spans="1:17">
      <c r="A364" s="180" t="s">
        <v>471</v>
      </c>
      <c r="B364" s="177"/>
      <c r="C364" s="177"/>
      <c r="D364" s="176">
        <f t="shared" ref="D364:P364" si="117">SUM(D356:D363)</f>
        <v>8435564.3105587289</v>
      </c>
      <c r="E364" s="176">
        <f t="shared" si="117"/>
        <v>7860177.712025512</v>
      </c>
      <c r="F364" s="176">
        <f t="shared" si="117"/>
        <v>7402317.5395191116</v>
      </c>
      <c r="G364" s="176">
        <f t="shared" si="117"/>
        <v>7734507.2536001746</v>
      </c>
      <c r="H364" s="176">
        <f t="shared" si="117"/>
        <v>8634958.6380226351</v>
      </c>
      <c r="I364" s="176">
        <f t="shared" si="117"/>
        <v>9396657.3292316552</v>
      </c>
      <c r="J364" s="176">
        <f t="shared" si="117"/>
        <v>10255026.242354264</v>
      </c>
      <c r="K364" s="176">
        <f t="shared" si="117"/>
        <v>10033930.009678923</v>
      </c>
      <c r="L364" s="176">
        <f t="shared" si="117"/>
        <v>10178549.152242126</v>
      </c>
      <c r="M364" s="176">
        <f t="shared" si="117"/>
        <v>9603430.8817600533</v>
      </c>
      <c r="N364" s="176">
        <f t="shared" si="117"/>
        <v>8562248.42889213</v>
      </c>
      <c r="O364" s="176">
        <f t="shared" si="117"/>
        <v>8343318.787413124</v>
      </c>
      <c r="P364" s="176">
        <f t="shared" si="117"/>
        <v>106440686.28529844</v>
      </c>
      <c r="Q364" s="175"/>
    </row>
    <row r="365" spans="1:17">
      <c r="A365" s="180"/>
      <c r="B365" s="177"/>
      <c r="C365" s="177"/>
      <c r="D365" s="176"/>
      <c r="E365" s="176"/>
      <c r="F365" s="176"/>
      <c r="G365" s="176"/>
      <c r="H365" s="176"/>
      <c r="I365" s="176"/>
      <c r="J365" s="176"/>
      <c r="K365" s="176"/>
      <c r="L365" s="176"/>
      <c r="M365" s="176"/>
      <c r="N365" s="176"/>
      <c r="O365" s="176"/>
      <c r="P365" s="176"/>
      <c r="Q365" s="175"/>
    </row>
    <row r="366" spans="1:17">
      <c r="A366" s="179" t="s">
        <v>459</v>
      </c>
      <c r="B366" s="177"/>
      <c r="C366" s="177"/>
      <c r="D366" s="176">
        <v>390661.02467433253</v>
      </c>
      <c r="E366" s="176">
        <v>422985.05232533033</v>
      </c>
      <c r="F366" s="176">
        <v>399397.56647991517</v>
      </c>
      <c r="G366" s="176">
        <v>422274.75087398139</v>
      </c>
      <c r="H366" s="176">
        <v>423914.46851130517</v>
      </c>
      <c r="I366" s="176">
        <v>483046.90917287668</v>
      </c>
      <c r="J366" s="176">
        <v>518029.63622993126</v>
      </c>
      <c r="K366" s="176">
        <v>552087.51573437476</v>
      </c>
      <c r="L366" s="176">
        <v>550459.39259519847</v>
      </c>
      <c r="M366" s="176">
        <v>515454.2513571991</v>
      </c>
      <c r="N366" s="176">
        <v>496248.04575754114</v>
      </c>
      <c r="O366" s="176">
        <v>391631.84744215594</v>
      </c>
      <c r="P366" s="176">
        <f>SUM(D366:O366)</f>
        <v>5566190.4611541424</v>
      </c>
      <c r="Q366" s="175"/>
    </row>
    <row r="367" spans="1:17">
      <c r="A367" s="177"/>
      <c r="B367" s="177"/>
      <c r="C367" s="177"/>
      <c r="D367" s="176"/>
      <c r="E367" s="176"/>
      <c r="F367" s="176"/>
      <c r="G367" s="176"/>
      <c r="H367" s="176"/>
      <c r="I367" s="176"/>
      <c r="J367" s="176"/>
      <c r="K367" s="176"/>
      <c r="L367" s="176"/>
      <c r="M367" s="176"/>
      <c r="N367" s="176"/>
      <c r="O367" s="176"/>
      <c r="P367" s="176"/>
      <c r="Q367" s="175"/>
    </row>
    <row r="368" spans="1:17">
      <c r="A368" s="180" t="s">
        <v>470</v>
      </c>
      <c r="B368" s="177"/>
      <c r="C368" s="177"/>
      <c r="D368" s="176">
        <f t="shared" ref="D368:P368" si="118">SUM(D364:D366)</f>
        <v>8826225.3352330606</v>
      </c>
      <c r="E368" s="176">
        <f t="shared" si="118"/>
        <v>8283162.7643508427</v>
      </c>
      <c r="F368" s="176">
        <f t="shared" si="118"/>
        <v>7801715.1059990264</v>
      </c>
      <c r="G368" s="176">
        <f t="shared" si="118"/>
        <v>8156782.0044741556</v>
      </c>
      <c r="H368" s="176">
        <f t="shared" si="118"/>
        <v>9058873.1065339409</v>
      </c>
      <c r="I368" s="176">
        <f t="shared" si="118"/>
        <v>9879704.238404531</v>
      </c>
      <c r="J368" s="176">
        <f t="shared" si="118"/>
        <v>10773055.878584195</v>
      </c>
      <c r="K368" s="176">
        <f t="shared" si="118"/>
        <v>10586017.525413297</v>
      </c>
      <c r="L368" s="176">
        <f t="shared" si="118"/>
        <v>10729008.544837324</v>
      </c>
      <c r="M368" s="176">
        <f t="shared" si="118"/>
        <v>10118885.133117253</v>
      </c>
      <c r="N368" s="176">
        <f t="shared" si="118"/>
        <v>9058496.4746496715</v>
      </c>
      <c r="O368" s="176">
        <f t="shared" si="118"/>
        <v>8734950.6348552797</v>
      </c>
      <c r="P368" s="176">
        <f t="shared" si="118"/>
        <v>112006876.74645258</v>
      </c>
      <c r="Q368" s="175"/>
    </row>
    <row r="369" spans="1:17">
      <c r="A369" s="177"/>
      <c r="B369" s="177"/>
      <c r="C369" s="177"/>
      <c r="D369" s="176"/>
      <c r="E369" s="176"/>
      <c r="F369" s="176"/>
      <c r="G369" s="176"/>
      <c r="H369" s="176"/>
      <c r="I369" s="176"/>
      <c r="J369" s="176"/>
      <c r="K369" s="176"/>
      <c r="L369" s="176"/>
      <c r="M369" s="176"/>
      <c r="N369" s="176"/>
      <c r="O369" s="176"/>
      <c r="P369" s="176"/>
      <c r="Q369" s="175"/>
    </row>
    <row r="370" spans="1:17">
      <c r="A370" s="180" t="s">
        <v>469</v>
      </c>
      <c r="B370" s="177"/>
      <c r="C370" s="177"/>
      <c r="D370" s="176"/>
      <c r="E370" s="176"/>
      <c r="F370" s="176"/>
      <c r="G370" s="176"/>
      <c r="H370" s="176"/>
      <c r="I370" s="176"/>
      <c r="J370" s="176"/>
      <c r="K370" s="176"/>
      <c r="L370" s="176"/>
      <c r="M370" s="176"/>
      <c r="N370" s="176"/>
      <c r="O370" s="176"/>
      <c r="P370" s="176"/>
      <c r="Q370" s="175"/>
    </row>
    <row r="371" spans="1:17">
      <c r="A371" s="179" t="s">
        <v>467</v>
      </c>
      <c r="B371" s="177"/>
      <c r="C371" s="177"/>
      <c r="D371" s="181">
        <v>4232725.0353800869</v>
      </c>
      <c r="E371" s="181">
        <v>4240230.6962240767</v>
      </c>
      <c r="F371" s="181">
        <v>4246871.1536682956</v>
      </c>
      <c r="G371" s="181">
        <v>4252614.5819807574</v>
      </c>
      <c r="H371" s="181">
        <v>4257018.6580474209</v>
      </c>
      <c r="I371" s="181">
        <v>4260974.4157851236</v>
      </c>
      <c r="J371" s="181">
        <v>4265224.2435362674</v>
      </c>
      <c r="K371" s="181">
        <v>4270672.0210243268</v>
      </c>
      <c r="L371" s="181">
        <v>4273965.8807334919</v>
      </c>
      <c r="M371" s="181">
        <v>4277781.0511080762</v>
      </c>
      <c r="N371" s="181">
        <v>4282967.9007511688</v>
      </c>
      <c r="O371" s="181">
        <v>4287064.4846086763</v>
      </c>
      <c r="P371" s="176">
        <f>AVERAGE(C371:O371)</f>
        <v>4262342.5102373138</v>
      </c>
      <c r="Q371" s="175"/>
    </row>
    <row r="372" spans="1:17">
      <c r="A372" s="179" t="s">
        <v>466</v>
      </c>
      <c r="B372" s="177"/>
      <c r="C372" s="177"/>
      <c r="D372" s="181">
        <v>522566.84278877801</v>
      </c>
      <c r="E372" s="181">
        <v>523288.39820497599</v>
      </c>
      <c r="F372" s="181">
        <v>524010.26475331502</v>
      </c>
      <c r="G372" s="181">
        <v>524732.41952144401</v>
      </c>
      <c r="H372" s="181">
        <v>525409.93285326695</v>
      </c>
      <c r="I372" s="181">
        <v>526087.69351784</v>
      </c>
      <c r="J372" s="181">
        <v>526765.68330111797</v>
      </c>
      <c r="K372" s="181">
        <v>527443.88533036795</v>
      </c>
      <c r="L372" s="181">
        <v>528122.28397540096</v>
      </c>
      <c r="M372" s="181">
        <v>528800.86475706205</v>
      </c>
      <c r="N372" s="181">
        <v>529479.61426246795</v>
      </c>
      <c r="O372" s="181">
        <v>530158.52006648597</v>
      </c>
      <c r="P372" s="176">
        <f>AVERAGE(D372:O372)</f>
        <v>526405.53361104359</v>
      </c>
      <c r="Q372" s="175"/>
    </row>
    <row r="373" spans="1:17">
      <c r="A373" s="179" t="s">
        <v>465</v>
      </c>
      <c r="B373" s="177"/>
      <c r="C373" s="177"/>
      <c r="D373" s="181">
        <v>10147.155360485649</v>
      </c>
      <c r="E373" s="181">
        <v>10173.93954726455</v>
      </c>
      <c r="F373" s="181">
        <v>10190.367077956</v>
      </c>
      <c r="G373" s="181">
        <v>10201.51636651339</v>
      </c>
      <c r="H373" s="181">
        <v>10215.35093459159</v>
      </c>
      <c r="I373" s="181">
        <v>10228.890196179011</v>
      </c>
      <c r="J373" s="181">
        <v>10244.72939804003</v>
      </c>
      <c r="K373" s="181">
        <v>10266.210531555749</v>
      </c>
      <c r="L373" s="181">
        <v>10288.781904554869</v>
      </c>
      <c r="M373" s="181">
        <v>10295.73502651494</v>
      </c>
      <c r="N373" s="181">
        <v>10315.185970682729</v>
      </c>
      <c r="O373" s="181">
        <v>10323.380889792121</v>
      </c>
      <c r="P373" s="176">
        <f>AVERAGE(D373:O373)</f>
        <v>10240.936933677551</v>
      </c>
      <c r="Q373" s="175"/>
    </row>
    <row r="374" spans="1:17">
      <c r="A374" s="179" t="s">
        <v>464</v>
      </c>
      <c r="B374" s="177"/>
      <c r="C374" s="177"/>
      <c r="D374" s="181">
        <v>3676.0282806025798</v>
      </c>
      <c r="E374" s="181">
        <v>3683.9189336294899</v>
      </c>
      <c r="F374" s="181">
        <v>3691.8530480436698</v>
      </c>
      <c r="G374" s="181">
        <v>3699.8308861322998</v>
      </c>
      <c r="H374" s="181">
        <v>3707.8526401150498</v>
      </c>
      <c r="I374" s="181">
        <v>3715.91843254279</v>
      </c>
      <c r="J374" s="181">
        <v>3724.0283166941399</v>
      </c>
      <c r="K374" s="181">
        <v>3732.18227696964</v>
      </c>
      <c r="L374" s="181">
        <v>3740.3802292837699</v>
      </c>
      <c r="M374" s="181">
        <v>3748.6220214546802</v>
      </c>
      <c r="N374" s="181">
        <v>3756.9074335917398</v>
      </c>
      <c r="O374" s="181">
        <v>3765.23617848085</v>
      </c>
      <c r="P374" s="176">
        <f>AVERAGE(D374:O374)</f>
        <v>3720.2298897950582</v>
      </c>
      <c r="Q374" s="175"/>
    </row>
    <row r="375" spans="1:17">
      <c r="A375" s="179" t="s">
        <v>463</v>
      </c>
      <c r="B375" s="177"/>
      <c r="C375" s="177"/>
      <c r="D375" s="181">
        <v>191</v>
      </c>
      <c r="E375" s="181">
        <v>191</v>
      </c>
      <c r="F375" s="181">
        <v>191</v>
      </c>
      <c r="G375" s="181">
        <v>191</v>
      </c>
      <c r="H375" s="181">
        <v>191</v>
      </c>
      <c r="I375" s="181">
        <v>191</v>
      </c>
      <c r="J375" s="181">
        <v>191</v>
      </c>
      <c r="K375" s="181">
        <v>191</v>
      </c>
      <c r="L375" s="181">
        <v>191</v>
      </c>
      <c r="M375" s="181">
        <v>191</v>
      </c>
      <c r="N375" s="181">
        <v>191</v>
      </c>
      <c r="O375" s="181">
        <v>191</v>
      </c>
      <c r="P375" s="176">
        <f>AVERAGE(D375:O375)</f>
        <v>191</v>
      </c>
      <c r="Q375" s="175"/>
    </row>
    <row r="376" spans="1:17">
      <c r="A376" s="179" t="s">
        <v>462</v>
      </c>
      <c r="B376" s="177"/>
      <c r="C376" s="177"/>
      <c r="D376" s="181">
        <v>26</v>
      </c>
      <c r="E376" s="181">
        <v>26</v>
      </c>
      <c r="F376" s="181">
        <v>26</v>
      </c>
      <c r="G376" s="181">
        <v>26</v>
      </c>
      <c r="H376" s="181">
        <v>26</v>
      </c>
      <c r="I376" s="181">
        <v>26</v>
      </c>
      <c r="J376" s="181">
        <v>26</v>
      </c>
      <c r="K376" s="181">
        <v>26</v>
      </c>
      <c r="L376" s="181">
        <v>26</v>
      </c>
      <c r="M376" s="181">
        <v>26</v>
      </c>
      <c r="N376" s="181">
        <v>26</v>
      </c>
      <c r="O376" s="181">
        <v>26</v>
      </c>
      <c r="P376" s="176">
        <f>AVERAGE(D376:O376)</f>
        <v>26</v>
      </c>
      <c r="Q376" s="175"/>
    </row>
    <row r="377" spans="1:17">
      <c r="A377" s="179"/>
      <c r="B377" s="177"/>
      <c r="C377" s="177"/>
      <c r="D377" s="176"/>
      <c r="E377" s="176"/>
      <c r="F377" s="176"/>
      <c r="G377" s="176"/>
      <c r="H377" s="176"/>
      <c r="I377" s="176"/>
      <c r="J377" s="176"/>
      <c r="K377" s="176"/>
      <c r="L377" s="176"/>
      <c r="M377" s="176"/>
      <c r="N377" s="176"/>
      <c r="O377" s="176"/>
      <c r="P377" s="176"/>
      <c r="Q377" s="175"/>
    </row>
    <row r="378" spans="1:17">
      <c r="A378" s="180" t="s">
        <v>461</v>
      </c>
      <c r="B378" s="177"/>
      <c r="C378" s="177"/>
      <c r="D378" s="176"/>
      <c r="E378" s="176"/>
      <c r="F378" s="176"/>
      <c r="G378" s="176"/>
      <c r="H378" s="176"/>
      <c r="I378" s="176"/>
      <c r="J378" s="176"/>
      <c r="K378" s="176"/>
      <c r="L378" s="176"/>
      <c r="M378" s="176"/>
      <c r="N378" s="176"/>
      <c r="O378" s="176"/>
      <c r="P378" s="176"/>
      <c r="Q378" s="175"/>
    </row>
    <row r="379" spans="1:17">
      <c r="A379" s="180" t="s">
        <v>469</v>
      </c>
      <c r="B379" s="177"/>
      <c r="C379" s="177"/>
      <c r="D379" s="176">
        <f t="shared" ref="D379:P379" si="119">SUM(D371:D378)</f>
        <v>4769332.0618099533</v>
      </c>
      <c r="E379" s="176">
        <f t="shared" si="119"/>
        <v>4777593.9529099464</v>
      </c>
      <c r="F379" s="176">
        <f t="shared" si="119"/>
        <v>4784980.6385476096</v>
      </c>
      <c r="G379" s="176">
        <f t="shared" si="119"/>
        <v>4791465.3487548465</v>
      </c>
      <c r="H379" s="176">
        <f t="shared" si="119"/>
        <v>4796568.7944753934</v>
      </c>
      <c r="I379" s="176">
        <f t="shared" si="119"/>
        <v>4801223.9179316862</v>
      </c>
      <c r="J379" s="176">
        <f t="shared" si="119"/>
        <v>4806175.68455212</v>
      </c>
      <c r="K379" s="176">
        <f t="shared" si="119"/>
        <v>4812331.2991632205</v>
      </c>
      <c r="L379" s="176">
        <f t="shared" si="119"/>
        <v>4816334.3268427318</v>
      </c>
      <c r="M379" s="176">
        <f t="shared" si="119"/>
        <v>4820843.2729131076</v>
      </c>
      <c r="N379" s="176">
        <f t="shared" si="119"/>
        <v>4826736.6084179115</v>
      </c>
      <c r="O379" s="176">
        <f t="shared" si="119"/>
        <v>4831528.621743435</v>
      </c>
      <c r="P379" s="176">
        <f t="shared" si="119"/>
        <v>4802926.21067183</v>
      </c>
      <c r="Q379" s="175"/>
    </row>
    <row r="380" spans="1:17">
      <c r="A380" s="180"/>
      <c r="B380" s="177"/>
      <c r="C380" s="177"/>
      <c r="D380" s="176"/>
      <c r="E380" s="176"/>
      <c r="F380" s="176"/>
      <c r="G380" s="176"/>
      <c r="H380" s="176"/>
      <c r="I380" s="176"/>
      <c r="J380" s="176"/>
      <c r="K380" s="176"/>
      <c r="L380" s="176"/>
      <c r="M380" s="176"/>
      <c r="N380" s="176"/>
      <c r="O380" s="176"/>
      <c r="P380" s="176"/>
      <c r="Q380" s="175"/>
    </row>
    <row r="381" spans="1:17">
      <c r="A381" s="179" t="s">
        <v>459</v>
      </c>
      <c r="B381" s="177"/>
      <c r="C381" s="177"/>
      <c r="D381" s="181">
        <v>4</v>
      </c>
      <c r="E381" s="181">
        <v>4</v>
      </c>
      <c r="F381" s="181">
        <v>4</v>
      </c>
      <c r="G381" s="181">
        <v>4</v>
      </c>
      <c r="H381" s="181">
        <v>4</v>
      </c>
      <c r="I381" s="181">
        <v>4</v>
      </c>
      <c r="J381" s="181">
        <v>4</v>
      </c>
      <c r="K381" s="181">
        <v>4</v>
      </c>
      <c r="L381" s="181">
        <v>4</v>
      </c>
      <c r="M381" s="181">
        <v>4</v>
      </c>
      <c r="N381" s="181">
        <v>4</v>
      </c>
      <c r="O381" s="181">
        <v>4</v>
      </c>
      <c r="P381" s="176">
        <f>AVERAGE(D381:O381)</f>
        <v>4</v>
      </c>
      <c r="Q381" s="175"/>
    </row>
    <row r="382" spans="1:17">
      <c r="A382" s="177"/>
      <c r="B382" s="177"/>
      <c r="C382" s="177"/>
      <c r="D382" s="176"/>
      <c r="E382" s="176"/>
      <c r="F382" s="176"/>
      <c r="G382" s="176"/>
      <c r="H382" s="176"/>
      <c r="I382" s="176"/>
      <c r="J382" s="176"/>
      <c r="K382" s="176"/>
      <c r="L382" s="176"/>
      <c r="M382" s="176"/>
      <c r="N382" s="176"/>
      <c r="O382" s="176"/>
      <c r="P382" s="176"/>
      <c r="Q382" s="175"/>
    </row>
    <row r="383" spans="1:17">
      <c r="A383" s="178" t="s">
        <v>468</v>
      </c>
      <c r="B383" s="177"/>
      <c r="C383" s="177"/>
      <c r="D383" s="176">
        <f t="shared" ref="D383:P383" si="120">SUM(D379:D381)</f>
        <v>4769336.0618099533</v>
      </c>
      <c r="E383" s="176">
        <f t="shared" si="120"/>
        <v>4777597.9529099464</v>
      </c>
      <c r="F383" s="176">
        <f t="shared" si="120"/>
        <v>4784984.6385476096</v>
      </c>
      <c r="G383" s="176">
        <f t="shared" si="120"/>
        <v>4791469.3487548465</v>
      </c>
      <c r="H383" s="176">
        <f t="shared" si="120"/>
        <v>4796572.7944753934</v>
      </c>
      <c r="I383" s="176">
        <f t="shared" si="120"/>
        <v>4801227.9179316862</v>
      </c>
      <c r="J383" s="176">
        <f t="shared" si="120"/>
        <v>4806179.68455212</v>
      </c>
      <c r="K383" s="176">
        <f t="shared" si="120"/>
        <v>4812335.2991632205</v>
      </c>
      <c r="L383" s="176">
        <f t="shared" si="120"/>
        <v>4816338.3268427318</v>
      </c>
      <c r="M383" s="176">
        <f t="shared" si="120"/>
        <v>4820847.2729131076</v>
      </c>
      <c r="N383" s="176">
        <f t="shared" si="120"/>
        <v>4826740.6084179115</v>
      </c>
      <c r="O383" s="176">
        <f t="shared" si="120"/>
        <v>4831532.621743435</v>
      </c>
      <c r="P383" s="176">
        <f t="shared" si="120"/>
        <v>4802930.21067183</v>
      </c>
      <c r="Q383" s="175"/>
    </row>
    <row r="384" spans="1:17">
      <c r="A384" s="177"/>
      <c r="B384" s="177"/>
      <c r="C384" s="177"/>
      <c r="D384" s="176"/>
      <c r="E384" s="176"/>
      <c r="F384" s="176"/>
      <c r="G384" s="176"/>
      <c r="H384" s="176"/>
      <c r="I384" s="176"/>
      <c r="J384" s="176"/>
      <c r="K384" s="176"/>
      <c r="L384" s="176"/>
      <c r="M384" s="176"/>
      <c r="N384" s="176"/>
      <c r="O384" s="176"/>
      <c r="P384" s="176"/>
      <c r="Q384" s="175"/>
    </row>
    <row r="385" spans="1:17">
      <c r="A385" s="180" t="s">
        <v>460</v>
      </c>
      <c r="B385" s="177"/>
      <c r="C385" s="177"/>
      <c r="D385" s="176"/>
      <c r="E385" s="176"/>
      <c r="F385" s="176"/>
      <c r="G385" s="176"/>
      <c r="H385" s="176"/>
      <c r="I385" s="176"/>
      <c r="J385" s="176"/>
      <c r="K385" s="176"/>
      <c r="L385" s="176"/>
      <c r="M385" s="176"/>
      <c r="N385" s="176"/>
      <c r="O385" s="176"/>
      <c r="P385" s="176"/>
      <c r="Q385" s="175"/>
    </row>
    <row r="386" spans="1:17">
      <c r="A386" s="179" t="s">
        <v>467</v>
      </c>
      <c r="B386" s="177"/>
      <c r="C386" s="177"/>
      <c r="D386" s="176">
        <f t="shared" ref="D386:P386" si="121">(D356/D371)*1000</f>
        <v>1087.1601868769474</v>
      </c>
      <c r="E386" s="176">
        <f t="shared" si="121"/>
        <v>947.76903409492081</v>
      </c>
      <c r="F386" s="176">
        <f t="shared" si="121"/>
        <v>882.47905388921697</v>
      </c>
      <c r="G386" s="176">
        <f t="shared" si="121"/>
        <v>931.27873882391054</v>
      </c>
      <c r="H386" s="176">
        <f t="shared" si="121"/>
        <v>1070.085119206313</v>
      </c>
      <c r="I386" s="176">
        <f t="shared" si="121"/>
        <v>1208.1861485498555</v>
      </c>
      <c r="J386" s="176">
        <f t="shared" si="121"/>
        <v>1348.5538513522729</v>
      </c>
      <c r="K386" s="176">
        <f t="shared" si="121"/>
        <v>1327.5976305791671</v>
      </c>
      <c r="L386" s="176">
        <f t="shared" si="121"/>
        <v>1339.2412547987603</v>
      </c>
      <c r="M386" s="176">
        <f t="shared" si="121"/>
        <v>1227.5534588291086</v>
      </c>
      <c r="N386" s="176">
        <f t="shared" si="121"/>
        <v>1039.44982201374</v>
      </c>
      <c r="O386" s="176">
        <f t="shared" si="121"/>
        <v>964.11513418287507</v>
      </c>
      <c r="P386" s="176">
        <f t="shared" si="121"/>
        <v>13376.171738377501</v>
      </c>
      <c r="Q386" s="175"/>
    </row>
    <row r="387" spans="1:17">
      <c r="A387" s="179" t="s">
        <v>466</v>
      </c>
      <c r="B387" s="177"/>
      <c r="C387" s="177"/>
      <c r="D387" s="176">
        <f t="shared" ref="D387:P387" si="122">(D357/D372)*1000</f>
        <v>6767.0400804899473</v>
      </c>
      <c r="E387" s="176">
        <f t="shared" si="122"/>
        <v>6773.1695288680512</v>
      </c>
      <c r="F387" s="176">
        <f t="shared" si="122"/>
        <v>6408.7423902026967</v>
      </c>
      <c r="G387" s="176">
        <f t="shared" si="122"/>
        <v>6630.2175259594833</v>
      </c>
      <c r="H387" s="176">
        <f t="shared" si="122"/>
        <v>7201.55938556828</v>
      </c>
      <c r="I387" s="176">
        <f t="shared" si="122"/>
        <v>7512.9895365655811</v>
      </c>
      <c r="J387" s="176">
        <f t="shared" si="122"/>
        <v>7986.5494671452716</v>
      </c>
      <c r="K387" s="176">
        <f t="shared" si="122"/>
        <v>7714.0649269923579</v>
      </c>
      <c r="L387" s="176">
        <f t="shared" si="122"/>
        <v>7874.223905058916</v>
      </c>
      <c r="M387" s="176">
        <f t="shared" si="122"/>
        <v>7674.8744147314374</v>
      </c>
      <c r="N387" s="176">
        <f t="shared" si="122"/>
        <v>7208.6019525252859</v>
      </c>
      <c r="O387" s="176">
        <f t="shared" si="122"/>
        <v>7390.2345221797232</v>
      </c>
      <c r="P387" s="176">
        <f t="shared" si="122"/>
        <v>87160.490169519951</v>
      </c>
      <c r="Q387" s="175"/>
    </row>
    <row r="388" spans="1:17">
      <c r="A388" s="179" t="s">
        <v>465</v>
      </c>
      <c r="B388" s="177"/>
      <c r="C388" s="177"/>
      <c r="D388" s="176">
        <f t="shared" ref="D388:P388" si="123">(D358/D373)*1000</f>
        <v>24405.006830908653</v>
      </c>
      <c r="E388" s="176">
        <f t="shared" si="123"/>
        <v>24298.473644150316</v>
      </c>
      <c r="F388" s="176">
        <f t="shared" si="123"/>
        <v>24227.744432303069</v>
      </c>
      <c r="G388" s="176">
        <f t="shared" si="123"/>
        <v>24085.732600379106</v>
      </c>
      <c r="H388" s="176">
        <f t="shared" si="123"/>
        <v>23999.896628153601</v>
      </c>
      <c r="I388" s="176">
        <f t="shared" si="123"/>
        <v>23911.607997097763</v>
      </c>
      <c r="J388" s="176">
        <f t="shared" si="123"/>
        <v>23833.442989316201</v>
      </c>
      <c r="K388" s="176">
        <f t="shared" si="123"/>
        <v>23827.864767721996</v>
      </c>
      <c r="L388" s="176">
        <f t="shared" si="123"/>
        <v>23818.804992272657</v>
      </c>
      <c r="M388" s="176">
        <f t="shared" si="123"/>
        <v>23570.184117630644</v>
      </c>
      <c r="N388" s="176">
        <f t="shared" si="123"/>
        <v>23502.668371778669</v>
      </c>
      <c r="O388" s="176">
        <f t="shared" si="123"/>
        <v>23329.883613424565</v>
      </c>
      <c r="P388" s="176">
        <f t="shared" si="123"/>
        <v>286791.66569067718</v>
      </c>
      <c r="Q388" s="175"/>
    </row>
    <row r="389" spans="1:17">
      <c r="A389" s="179" t="s">
        <v>464</v>
      </c>
      <c r="B389" s="177"/>
      <c r="C389" s="177"/>
      <c r="D389" s="176">
        <f t="shared" ref="D389:P389" si="124">(D359/D374)*1000</f>
        <v>10933.117699166656</v>
      </c>
      <c r="E389" s="176">
        <f t="shared" si="124"/>
        <v>10947.520431947831</v>
      </c>
      <c r="F389" s="176">
        <f t="shared" si="124"/>
        <v>10896.380175211088</v>
      </c>
      <c r="G389" s="176">
        <f t="shared" si="124"/>
        <v>10872.485452247769</v>
      </c>
      <c r="H389" s="176">
        <f t="shared" si="124"/>
        <v>10938.408856127333</v>
      </c>
      <c r="I389" s="176">
        <f t="shared" si="124"/>
        <v>10889.70981857773</v>
      </c>
      <c r="J389" s="176">
        <f t="shared" si="124"/>
        <v>10891.742804011339</v>
      </c>
      <c r="K389" s="176">
        <f t="shared" si="124"/>
        <v>10875.720594563514</v>
      </c>
      <c r="L389" s="176">
        <f t="shared" si="124"/>
        <v>10908.671030376165</v>
      </c>
      <c r="M389" s="176">
        <f t="shared" si="124"/>
        <v>10925.76754102234</v>
      </c>
      <c r="N389" s="176">
        <f t="shared" si="124"/>
        <v>10934.493828581215</v>
      </c>
      <c r="O389" s="176">
        <f t="shared" si="124"/>
        <v>10988.502933302689</v>
      </c>
      <c r="P389" s="176">
        <f t="shared" si="124"/>
        <v>131003.29442009203</v>
      </c>
      <c r="Q389" s="175"/>
    </row>
    <row r="390" spans="1:17">
      <c r="A390" s="179" t="s">
        <v>463</v>
      </c>
      <c r="B390" s="177"/>
      <c r="C390" s="177"/>
      <c r="D390" s="176">
        <f t="shared" ref="D390:P390" si="125">(D360/D375)*1000</f>
        <v>12110.96123365574</v>
      </c>
      <c r="E390" s="176">
        <f t="shared" si="125"/>
        <v>11705.377809849742</v>
      </c>
      <c r="F390" s="176">
        <f t="shared" si="125"/>
        <v>11208.024243578895</v>
      </c>
      <c r="G390" s="176">
        <f t="shared" si="125"/>
        <v>11192.112934074155</v>
      </c>
      <c r="H390" s="176">
        <f t="shared" si="125"/>
        <v>13728.676770931221</v>
      </c>
      <c r="I390" s="176">
        <f t="shared" si="125"/>
        <v>16392.239231216721</v>
      </c>
      <c r="J390" s="176">
        <f t="shared" si="125"/>
        <v>17160.747505257979</v>
      </c>
      <c r="K390" s="176">
        <f t="shared" si="125"/>
        <v>12302.534031413612</v>
      </c>
      <c r="L390" s="176">
        <f t="shared" si="125"/>
        <v>12475.68423654959</v>
      </c>
      <c r="M390" s="176">
        <f t="shared" si="125"/>
        <v>12224.95863577731</v>
      </c>
      <c r="N390" s="176">
        <f t="shared" si="125"/>
        <v>12422.634946109254</v>
      </c>
      <c r="O390" s="176">
        <f t="shared" si="125"/>
        <v>12383.872677151692</v>
      </c>
      <c r="P390" s="176">
        <f t="shared" si="125"/>
        <v>155307.82425556588</v>
      </c>
      <c r="Q390" s="175"/>
    </row>
    <row r="391" spans="1:17">
      <c r="A391" s="179" t="s">
        <v>462</v>
      </c>
      <c r="B391" s="177"/>
      <c r="C391" s="177"/>
      <c r="D391" s="176">
        <f t="shared" ref="D391:P391" si="126">(D361/D376)*1000</f>
        <v>289936.95652173908</v>
      </c>
      <c r="E391" s="176">
        <f t="shared" si="126"/>
        <v>281562.31884057971</v>
      </c>
      <c r="F391" s="176">
        <f t="shared" si="126"/>
        <v>270681.88405797101</v>
      </c>
      <c r="G391" s="176">
        <f t="shared" si="126"/>
        <v>268176.08695652173</v>
      </c>
      <c r="H391" s="176">
        <f t="shared" si="126"/>
        <v>287228.26086956519</v>
      </c>
      <c r="I391" s="176">
        <f t="shared" si="126"/>
        <v>305012.31884057965</v>
      </c>
      <c r="J391" s="176">
        <f t="shared" si="126"/>
        <v>311363.04347826086</v>
      </c>
      <c r="K391" s="176">
        <f t="shared" si="126"/>
        <v>303759.4202898551</v>
      </c>
      <c r="L391" s="176">
        <f t="shared" si="126"/>
        <v>302795.65217391308</v>
      </c>
      <c r="M391" s="176">
        <f t="shared" si="126"/>
        <v>299300.72463768121</v>
      </c>
      <c r="N391" s="176">
        <f t="shared" si="126"/>
        <v>293208.69565217395</v>
      </c>
      <c r="O391" s="176">
        <f t="shared" si="126"/>
        <v>289089.85507246375</v>
      </c>
      <c r="P391" s="176">
        <f t="shared" si="126"/>
        <v>3502115.2173913042</v>
      </c>
      <c r="Q391" s="175"/>
    </row>
    <row r="392" spans="1:17">
      <c r="A392" s="179"/>
      <c r="B392" s="177"/>
      <c r="C392" s="177"/>
      <c r="D392" s="176"/>
      <c r="E392" s="176"/>
      <c r="F392" s="176"/>
      <c r="G392" s="176"/>
      <c r="H392" s="176"/>
      <c r="I392" s="176"/>
      <c r="J392" s="176"/>
      <c r="K392" s="176"/>
      <c r="L392" s="176"/>
      <c r="M392" s="176"/>
      <c r="N392" s="176"/>
      <c r="O392" s="176"/>
      <c r="P392" s="176"/>
      <c r="Q392" s="175"/>
    </row>
    <row r="393" spans="1:17">
      <c r="A393" s="180" t="s">
        <v>461</v>
      </c>
      <c r="B393" s="177"/>
      <c r="C393" s="177"/>
      <c r="D393" s="176"/>
      <c r="E393" s="176"/>
      <c r="F393" s="176"/>
      <c r="G393" s="176"/>
      <c r="H393" s="176"/>
      <c r="I393" s="176"/>
      <c r="J393" s="176"/>
      <c r="K393" s="176"/>
      <c r="L393" s="176"/>
      <c r="M393" s="176"/>
      <c r="N393" s="176"/>
      <c r="O393" s="176"/>
      <c r="P393" s="176"/>
      <c r="Q393" s="175"/>
    </row>
    <row r="394" spans="1:17">
      <c r="A394" s="180" t="s">
        <v>460</v>
      </c>
      <c r="B394" s="177"/>
      <c r="C394" s="177"/>
      <c r="D394" s="176">
        <f t="shared" ref="D394:P394" si="127">(D364/D379)*1000</f>
        <v>1768.7097902253101</v>
      </c>
      <c r="E394" s="176">
        <f t="shared" si="127"/>
        <v>1645.2167742798692</v>
      </c>
      <c r="F394" s="176">
        <f t="shared" si="127"/>
        <v>1546.9900713675499</v>
      </c>
      <c r="G394" s="176">
        <f t="shared" si="127"/>
        <v>1614.2258558981614</v>
      </c>
      <c r="H394" s="176">
        <f t="shared" si="127"/>
        <v>1800.2365874473089</v>
      </c>
      <c r="I394" s="176">
        <f t="shared" si="127"/>
        <v>1957.1379068859655</v>
      </c>
      <c r="J394" s="176">
        <f t="shared" si="127"/>
        <v>2133.7185561725701</v>
      </c>
      <c r="K394" s="176">
        <f t="shared" si="127"/>
        <v>2085.0455602305778</v>
      </c>
      <c r="L394" s="176">
        <f t="shared" si="127"/>
        <v>2113.339411575796</v>
      </c>
      <c r="M394" s="176">
        <f t="shared" si="127"/>
        <v>1992.064528568869</v>
      </c>
      <c r="N394" s="176">
        <f t="shared" si="127"/>
        <v>1773.9207923546983</v>
      </c>
      <c r="O394" s="176">
        <f t="shared" si="127"/>
        <v>1726.8486726675906</v>
      </c>
      <c r="P394" s="176">
        <f t="shared" si="127"/>
        <v>22161.632641532837</v>
      </c>
      <c r="Q394" s="175"/>
    </row>
    <row r="395" spans="1:17">
      <c r="A395" s="180"/>
      <c r="B395" s="177"/>
      <c r="C395" s="177"/>
      <c r="D395" s="176"/>
      <c r="E395" s="176"/>
      <c r="F395" s="176"/>
      <c r="G395" s="176"/>
      <c r="H395" s="176"/>
      <c r="I395" s="176"/>
      <c r="J395" s="176"/>
      <c r="K395" s="176"/>
      <c r="L395" s="176"/>
      <c r="M395" s="176"/>
      <c r="N395" s="176"/>
      <c r="O395" s="176"/>
      <c r="P395" s="176"/>
      <c r="Q395" s="175"/>
    </row>
    <row r="396" spans="1:17">
      <c r="A396" s="179" t="s">
        <v>459</v>
      </c>
      <c r="B396" s="177"/>
      <c r="C396" s="177"/>
      <c r="D396" s="176">
        <f t="shared" ref="D396:P396" si="128">(D366/D381)*1000</f>
        <v>97665256.168583125</v>
      </c>
      <c r="E396" s="176">
        <f t="shared" si="128"/>
        <v>105746263.08133258</v>
      </c>
      <c r="F396" s="176">
        <f t="shared" si="128"/>
        <v>99849391.619978786</v>
      </c>
      <c r="G396" s="176">
        <f t="shared" si="128"/>
        <v>105568687.71849535</v>
      </c>
      <c r="H396" s="176">
        <f t="shared" si="128"/>
        <v>105978617.12782629</v>
      </c>
      <c r="I396" s="176">
        <f t="shared" si="128"/>
        <v>120761727.29321916</v>
      </c>
      <c r="J396" s="176">
        <f t="shared" si="128"/>
        <v>129507409.05748281</v>
      </c>
      <c r="K396" s="176">
        <f t="shared" si="128"/>
        <v>138021878.93359369</v>
      </c>
      <c r="L396" s="176">
        <f t="shared" si="128"/>
        <v>137614848.14879963</v>
      </c>
      <c r="M396" s="176">
        <f t="shared" si="128"/>
        <v>128863562.83929977</v>
      </c>
      <c r="N396" s="176">
        <f t="shared" si="128"/>
        <v>124062011.43938528</v>
      </c>
      <c r="O396" s="176">
        <f t="shared" si="128"/>
        <v>97907961.860538989</v>
      </c>
      <c r="P396" s="176">
        <f t="shared" si="128"/>
        <v>1391547615.2885356</v>
      </c>
      <c r="Q396" s="175"/>
    </row>
    <row r="397" spans="1:17">
      <c r="A397" s="177"/>
      <c r="B397" s="177"/>
      <c r="C397" s="177"/>
      <c r="D397" s="176"/>
      <c r="E397" s="176"/>
      <c r="F397" s="176"/>
      <c r="G397" s="176"/>
      <c r="H397" s="176"/>
      <c r="I397" s="176"/>
      <c r="J397" s="176"/>
      <c r="K397" s="176"/>
      <c r="L397" s="176"/>
      <c r="M397" s="176"/>
      <c r="N397" s="176"/>
      <c r="O397" s="176"/>
      <c r="P397" s="176"/>
      <c r="Q397" s="175"/>
    </row>
    <row r="398" spans="1:17">
      <c r="A398" s="178" t="s">
        <v>458</v>
      </c>
      <c r="B398" s="177"/>
      <c r="C398" s="177"/>
      <c r="D398" s="176">
        <f t="shared" ref="D398:P398" si="129">(D368/D383)*1000</f>
        <v>1850.6192939323983</v>
      </c>
      <c r="E398" s="176">
        <f t="shared" si="129"/>
        <v>1733.7504842377373</v>
      </c>
      <c r="F398" s="176">
        <f t="shared" si="129"/>
        <v>1630.4577120580032</v>
      </c>
      <c r="G398" s="176">
        <f t="shared" si="129"/>
        <v>1702.3550420068636</v>
      </c>
      <c r="H398" s="176">
        <f t="shared" si="129"/>
        <v>1888.6137028854828</v>
      </c>
      <c r="I398" s="176">
        <f t="shared" si="129"/>
        <v>2057.7453116744759</v>
      </c>
      <c r="J398" s="176">
        <f t="shared" si="129"/>
        <v>2241.5008563268311</v>
      </c>
      <c r="K398" s="176">
        <f t="shared" si="129"/>
        <v>2199.7672371777621</v>
      </c>
      <c r="L398" s="176">
        <f t="shared" si="129"/>
        <v>2227.6276741278143</v>
      </c>
      <c r="M398" s="176">
        <f t="shared" si="129"/>
        <v>2098.9847967124429</v>
      </c>
      <c r="N398" s="176">
        <f t="shared" si="129"/>
        <v>1876.7315688876074</v>
      </c>
      <c r="O398" s="176">
        <f t="shared" si="129"/>
        <v>1807.9047206563857</v>
      </c>
      <c r="P398" s="176">
        <f t="shared" si="129"/>
        <v>23320.529725287255</v>
      </c>
      <c r="Q398" s="175"/>
    </row>
  </sheetData>
  <pageMargins left="0.24" right="0.19" top="0.2" bottom="0.19" header="0.5" footer="0.5"/>
  <pageSetup scale="86" orientation="landscape" r:id="rId1"/>
  <headerFooter alignWithMargins="0"/>
  <rowBreaks count="7" manualBreakCount="7">
    <brk id="50" max="16383" man="1"/>
    <brk id="100" max="16383" man="1"/>
    <brk id="150" max="16383" man="1"/>
    <brk id="200" max="16383" man="1"/>
    <brk id="250" max="15" man="1"/>
    <brk id="300" max="15" man="1"/>
    <brk id="349" max="15"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O28"/>
  <sheetViews>
    <sheetView zoomScale="75" zoomScaleNormal="75" workbookViewId="0">
      <pane xSplit="2" ySplit="6" topLeftCell="C7" activePane="bottomRight" state="frozen"/>
      <selection activeCell="B3" sqref="A1:XFD3"/>
      <selection pane="topRight" activeCell="B3" sqref="A1:XFD3"/>
      <selection pane="bottomLeft" activeCell="B3" sqref="A1:XFD3"/>
      <selection pane="bottomRight" activeCell="B2" sqref="B2"/>
    </sheetView>
  </sheetViews>
  <sheetFormatPr defaultColWidth="9.109375" defaultRowHeight="10.199999999999999"/>
  <cols>
    <col min="1" max="1" width="9.109375" style="327"/>
    <col min="2" max="2" width="28" style="328" bestFit="1" customWidth="1"/>
    <col min="3" max="8" width="11.33203125" style="327" bestFit="1" customWidth="1"/>
    <col min="9" max="11" width="12.109375" style="327" bestFit="1" customWidth="1"/>
    <col min="12" max="20" width="11.33203125" style="327" bestFit="1" customWidth="1"/>
    <col min="21" max="23" width="12.109375" style="327" bestFit="1" customWidth="1"/>
    <col min="24" max="32" width="11.33203125" style="327" bestFit="1" customWidth="1"/>
    <col min="33" max="35" width="12.109375" style="327" bestFit="1" customWidth="1"/>
    <col min="36" max="38" width="11.33203125" style="327" bestFit="1" customWidth="1"/>
    <col min="39" max="41" width="13.6640625" style="327" customWidth="1"/>
    <col min="42" max="73" width="10.6640625" style="327" customWidth="1"/>
    <col min="74" max="16384" width="9.109375" style="327"/>
  </cols>
  <sheetData>
    <row r="1" spans="1:41" s="623" customFormat="1">
      <c r="B1" s="326" t="s">
        <v>1308</v>
      </c>
    </row>
    <row r="2" spans="1:41" s="623" customFormat="1">
      <c r="B2" s="326" t="s">
        <v>1267</v>
      </c>
    </row>
    <row r="3" spans="1:41" s="623" customFormat="1">
      <c r="B3" s="326"/>
    </row>
    <row r="4" spans="1:41" s="325" customFormat="1">
      <c r="B4" s="324"/>
    </row>
    <row r="5" spans="1:41" s="325" customFormat="1" ht="20.399999999999999">
      <c r="B5" s="324" t="s">
        <v>1012</v>
      </c>
      <c r="C5" s="325" t="s">
        <v>1013</v>
      </c>
      <c r="D5" s="325" t="s">
        <v>1014</v>
      </c>
      <c r="E5" s="325" t="s">
        <v>1015</v>
      </c>
      <c r="F5" s="325" t="s">
        <v>1016</v>
      </c>
      <c r="G5" s="325" t="s">
        <v>1017</v>
      </c>
      <c r="H5" s="325" t="s">
        <v>1018</v>
      </c>
      <c r="I5" s="325" t="s">
        <v>1019</v>
      </c>
      <c r="J5" s="325" t="s">
        <v>1020</v>
      </c>
      <c r="K5" s="325" t="s">
        <v>1021</v>
      </c>
      <c r="L5" s="325" t="s">
        <v>1022</v>
      </c>
      <c r="M5" s="325" t="s">
        <v>1023</v>
      </c>
      <c r="N5" s="325" t="s">
        <v>1024</v>
      </c>
      <c r="O5" s="325" t="s">
        <v>1025</v>
      </c>
      <c r="P5" s="325" t="s">
        <v>1026</v>
      </c>
      <c r="Q5" s="325" t="s">
        <v>1027</v>
      </c>
      <c r="R5" s="325" t="s">
        <v>1028</v>
      </c>
      <c r="S5" s="325" t="s">
        <v>1029</v>
      </c>
      <c r="T5" s="325" t="s">
        <v>1030</v>
      </c>
      <c r="U5" s="325" t="s">
        <v>1031</v>
      </c>
      <c r="V5" s="325" t="s">
        <v>1032</v>
      </c>
      <c r="W5" s="325" t="s">
        <v>1033</v>
      </c>
      <c r="X5" s="325" t="s">
        <v>1034</v>
      </c>
      <c r="Y5" s="325" t="s">
        <v>1035</v>
      </c>
      <c r="Z5" s="325" t="s">
        <v>1036</v>
      </c>
      <c r="AA5" s="325" t="s">
        <v>1037</v>
      </c>
      <c r="AB5" s="325" t="s">
        <v>1038</v>
      </c>
      <c r="AC5" s="325" t="s">
        <v>1039</v>
      </c>
      <c r="AD5" s="325" t="s">
        <v>1040</v>
      </c>
      <c r="AE5" s="325" t="s">
        <v>1041</v>
      </c>
      <c r="AF5" s="325" t="s">
        <v>1042</v>
      </c>
      <c r="AG5" s="325" t="s">
        <v>1043</v>
      </c>
      <c r="AH5" s="325" t="s">
        <v>1044</v>
      </c>
      <c r="AI5" s="325" t="s">
        <v>1045</v>
      </c>
      <c r="AJ5" s="325" t="s">
        <v>1046</v>
      </c>
      <c r="AK5" s="325" t="s">
        <v>1047</v>
      </c>
      <c r="AL5" s="325" t="s">
        <v>1048</v>
      </c>
      <c r="AM5" s="325" t="s">
        <v>1049</v>
      </c>
      <c r="AN5" s="325" t="s">
        <v>1050</v>
      </c>
      <c r="AO5" s="325" t="s">
        <v>1051</v>
      </c>
    </row>
    <row r="6" spans="1:41" s="325" customFormat="1">
      <c r="B6" s="324"/>
    </row>
    <row r="7" spans="1:41">
      <c r="A7" s="326" t="s">
        <v>98</v>
      </c>
      <c r="B7" s="326" t="s">
        <v>98</v>
      </c>
      <c r="C7" s="327">
        <v>230380345</v>
      </c>
      <c r="D7" s="327">
        <v>212389992</v>
      </c>
      <c r="E7" s="327">
        <v>213700912</v>
      </c>
      <c r="F7" s="327">
        <v>214408138</v>
      </c>
      <c r="G7" s="327">
        <v>222223124</v>
      </c>
      <c r="H7" s="327">
        <v>230063751</v>
      </c>
      <c r="I7" s="327">
        <v>237298897</v>
      </c>
      <c r="J7" s="327">
        <v>235681124</v>
      </c>
      <c r="K7" s="327">
        <v>233817820</v>
      </c>
      <c r="L7" s="327">
        <v>225569349</v>
      </c>
      <c r="M7" s="327">
        <v>214908646</v>
      </c>
      <c r="N7" s="327">
        <v>224070882</v>
      </c>
      <c r="O7" s="327">
        <v>230781253</v>
      </c>
      <c r="P7" s="327">
        <v>211833995</v>
      </c>
      <c r="Q7" s="327">
        <v>212923906</v>
      </c>
      <c r="R7" s="327">
        <v>214435548</v>
      </c>
      <c r="S7" s="327">
        <v>221455796</v>
      </c>
      <c r="T7" s="327">
        <v>229270200</v>
      </c>
      <c r="U7" s="327">
        <v>236317752</v>
      </c>
      <c r="V7" s="327">
        <v>234795889</v>
      </c>
      <c r="W7" s="327">
        <v>232721345</v>
      </c>
      <c r="X7" s="327">
        <v>224975757</v>
      </c>
      <c r="Y7" s="327">
        <v>214508903</v>
      </c>
      <c r="Z7" s="327">
        <v>223400047</v>
      </c>
      <c r="AA7" s="327">
        <v>230147593</v>
      </c>
      <c r="AB7" s="327">
        <v>211718578</v>
      </c>
      <c r="AC7" s="327">
        <v>213057450</v>
      </c>
      <c r="AD7" s="327">
        <v>214749441</v>
      </c>
      <c r="AE7" s="327">
        <v>221607313</v>
      </c>
      <c r="AF7" s="327">
        <v>229312876</v>
      </c>
      <c r="AG7" s="327">
        <v>236244446</v>
      </c>
      <c r="AH7" s="327">
        <v>234641096</v>
      </c>
      <c r="AI7" s="327">
        <v>232382963</v>
      </c>
      <c r="AJ7" s="327">
        <v>224910929</v>
      </c>
      <c r="AK7" s="327">
        <v>214593858</v>
      </c>
      <c r="AL7" s="327">
        <v>223591082</v>
      </c>
      <c r="AM7" s="327">
        <f>SUM(C7:N7)</f>
        <v>2694512980</v>
      </c>
      <c r="AN7" s="327">
        <f>SUM(O7:Z7)</f>
        <v>2687420391</v>
      </c>
      <c r="AO7" s="327">
        <f>SUM(AA7:AL7)</f>
        <v>2686957625</v>
      </c>
    </row>
    <row r="8" spans="1:41">
      <c r="A8" s="326" t="s">
        <v>99</v>
      </c>
      <c r="B8" s="326" t="s">
        <v>99</v>
      </c>
      <c r="C8" s="327">
        <v>8786487</v>
      </c>
      <c r="D8" s="327">
        <v>8137504</v>
      </c>
      <c r="E8" s="327">
        <v>8087909</v>
      </c>
      <c r="F8" s="327">
        <v>8080797</v>
      </c>
      <c r="G8" s="327">
        <v>8404830</v>
      </c>
      <c r="H8" s="327">
        <v>8614497</v>
      </c>
      <c r="I8" s="327">
        <v>8820657</v>
      </c>
      <c r="J8" s="327">
        <v>8841737</v>
      </c>
      <c r="K8" s="327">
        <v>8819404</v>
      </c>
      <c r="L8" s="327">
        <v>8538740</v>
      </c>
      <c r="M8" s="327">
        <v>8220488</v>
      </c>
      <c r="N8" s="327">
        <v>8673691</v>
      </c>
      <c r="O8" s="327">
        <v>8790697</v>
      </c>
      <c r="P8" s="327">
        <v>8102439</v>
      </c>
      <c r="Q8" s="327">
        <v>8043980</v>
      </c>
      <c r="R8" s="327">
        <v>8069797</v>
      </c>
      <c r="S8" s="327">
        <v>8363391</v>
      </c>
      <c r="T8" s="327">
        <v>8574093</v>
      </c>
      <c r="U8" s="327">
        <v>8775072</v>
      </c>
      <c r="V8" s="327">
        <v>8799193</v>
      </c>
      <c r="W8" s="327">
        <v>8768146</v>
      </c>
      <c r="X8" s="327">
        <v>8505733</v>
      </c>
      <c r="Y8" s="327">
        <v>8194398</v>
      </c>
      <c r="Z8" s="327">
        <v>8636563</v>
      </c>
      <c r="AA8" s="327">
        <v>8755599</v>
      </c>
      <c r="AB8" s="327">
        <v>8087536</v>
      </c>
      <c r="AC8" s="327">
        <v>8039075</v>
      </c>
      <c r="AD8" s="327">
        <v>8072692</v>
      </c>
      <c r="AE8" s="327">
        <v>8360935</v>
      </c>
      <c r="AF8" s="327">
        <v>8568523</v>
      </c>
      <c r="AG8" s="327">
        <v>8766288</v>
      </c>
      <c r="AH8" s="327">
        <v>8786960</v>
      </c>
      <c r="AI8" s="327">
        <v>8748441</v>
      </c>
      <c r="AJ8" s="327">
        <v>8495696</v>
      </c>
      <c r="AK8" s="327">
        <v>8190030</v>
      </c>
      <c r="AL8" s="327">
        <v>8636760</v>
      </c>
      <c r="AM8" s="327">
        <f t="shared" ref="AM8:AM24" si="0">SUM(C8:N8)</f>
        <v>102026741</v>
      </c>
      <c r="AN8" s="327">
        <f t="shared" ref="AN8:AN24" si="1">SUM(O8:Z8)</f>
        <v>101623502</v>
      </c>
      <c r="AO8" s="327">
        <f t="shared" ref="AO8:AO24" si="2">SUM(AA8:AL8)</f>
        <v>101508535</v>
      </c>
    </row>
    <row r="9" spans="1:41">
      <c r="A9" s="326" t="s">
        <v>50</v>
      </c>
      <c r="B9" s="326" t="s">
        <v>50</v>
      </c>
      <c r="C9" s="327">
        <v>122922076</v>
      </c>
      <c r="D9" s="327">
        <v>114714909</v>
      </c>
      <c r="E9" s="327">
        <v>116221637</v>
      </c>
      <c r="F9" s="327">
        <v>120806109</v>
      </c>
      <c r="G9" s="327">
        <v>120216919</v>
      </c>
      <c r="H9" s="327">
        <v>124953632</v>
      </c>
      <c r="I9" s="327">
        <v>125659936</v>
      </c>
      <c r="J9" s="327">
        <v>124952720</v>
      </c>
      <c r="K9" s="327">
        <v>128138566</v>
      </c>
      <c r="L9" s="327">
        <v>124447056</v>
      </c>
      <c r="M9" s="327">
        <v>127389485</v>
      </c>
      <c r="N9" s="327">
        <v>127855015</v>
      </c>
      <c r="O9" s="327">
        <v>125750423</v>
      </c>
      <c r="P9" s="327">
        <v>117221965</v>
      </c>
      <c r="Q9" s="327">
        <v>118767389</v>
      </c>
      <c r="R9" s="327">
        <v>123452460</v>
      </c>
      <c r="S9" s="327">
        <v>122801452</v>
      </c>
      <c r="T9" s="327">
        <v>127537356</v>
      </c>
      <c r="U9" s="327">
        <v>128193988</v>
      </c>
      <c r="V9" s="327">
        <v>127368729</v>
      </c>
      <c r="W9" s="327">
        <v>130512332</v>
      </c>
      <c r="X9" s="327">
        <v>126790722</v>
      </c>
      <c r="Y9" s="327">
        <v>129769170</v>
      </c>
      <c r="Z9" s="327">
        <v>130169328</v>
      </c>
      <c r="AA9" s="327">
        <v>127991407</v>
      </c>
      <c r="AB9" s="327">
        <v>119297338</v>
      </c>
      <c r="AC9" s="327">
        <v>120875493</v>
      </c>
      <c r="AD9" s="327">
        <v>125583003</v>
      </c>
      <c r="AE9" s="327">
        <v>124861170</v>
      </c>
      <c r="AF9" s="327">
        <v>129581872</v>
      </c>
      <c r="AG9" s="327">
        <v>130185341</v>
      </c>
      <c r="AH9" s="327">
        <v>129273135</v>
      </c>
      <c r="AI9" s="327">
        <v>132412807</v>
      </c>
      <c r="AJ9" s="327">
        <v>128676900</v>
      </c>
      <c r="AK9" s="327">
        <v>131665175</v>
      </c>
      <c r="AL9" s="327">
        <v>132017750</v>
      </c>
      <c r="AM9" s="327">
        <f t="shared" si="0"/>
        <v>1478278060</v>
      </c>
      <c r="AN9" s="327">
        <f t="shared" si="1"/>
        <v>1508335314</v>
      </c>
      <c r="AO9" s="327">
        <f t="shared" si="2"/>
        <v>1532421391</v>
      </c>
    </row>
    <row r="10" spans="1:41">
      <c r="A10" s="326" t="s">
        <v>49</v>
      </c>
      <c r="B10" s="326" t="s">
        <v>49</v>
      </c>
      <c r="C10" s="327">
        <v>470760059</v>
      </c>
      <c r="D10" s="327">
        <v>421592769</v>
      </c>
      <c r="E10" s="327">
        <v>436757867</v>
      </c>
      <c r="F10" s="327">
        <v>450298173</v>
      </c>
      <c r="G10" s="327">
        <v>505307392</v>
      </c>
      <c r="H10" s="327">
        <v>540288919</v>
      </c>
      <c r="I10" s="327">
        <v>570697968</v>
      </c>
      <c r="J10" s="327">
        <v>570537091</v>
      </c>
      <c r="K10" s="327">
        <v>555590633</v>
      </c>
      <c r="L10" s="327">
        <v>514010461</v>
      </c>
      <c r="M10" s="327">
        <v>462739213</v>
      </c>
      <c r="N10" s="327">
        <v>461311721</v>
      </c>
      <c r="O10" s="327">
        <v>474037478</v>
      </c>
      <c r="P10" s="327">
        <v>421493319</v>
      </c>
      <c r="Q10" s="327">
        <v>436128454</v>
      </c>
      <c r="R10" s="327">
        <v>452175041</v>
      </c>
      <c r="S10" s="327">
        <v>505437208</v>
      </c>
      <c r="T10" s="327">
        <v>540809617</v>
      </c>
      <c r="U10" s="327">
        <v>570905184</v>
      </c>
      <c r="V10" s="327">
        <v>571130874</v>
      </c>
      <c r="W10" s="327">
        <v>555576895</v>
      </c>
      <c r="X10" s="327">
        <v>515188641</v>
      </c>
      <c r="Y10" s="327">
        <v>464021202</v>
      </c>
      <c r="Z10" s="327">
        <v>461888209</v>
      </c>
      <c r="AA10" s="327">
        <v>474911913</v>
      </c>
      <c r="AB10" s="327">
        <v>423086514</v>
      </c>
      <c r="AC10" s="327">
        <v>438581362</v>
      </c>
      <c r="AD10" s="327">
        <v>455379730</v>
      </c>
      <c r="AE10" s="327">
        <v>508865785</v>
      </c>
      <c r="AF10" s="327">
        <v>544347197</v>
      </c>
      <c r="AG10" s="327">
        <v>574359053</v>
      </c>
      <c r="AH10" s="327">
        <v>574291634</v>
      </c>
      <c r="AI10" s="327">
        <v>558012811</v>
      </c>
      <c r="AJ10" s="327">
        <v>518024824</v>
      </c>
      <c r="AK10" s="327">
        <v>466858900</v>
      </c>
      <c r="AL10" s="327">
        <v>465071362</v>
      </c>
      <c r="AM10" s="327">
        <f t="shared" si="0"/>
        <v>5959892266</v>
      </c>
      <c r="AN10" s="327">
        <f t="shared" si="1"/>
        <v>5968792122</v>
      </c>
      <c r="AO10" s="327">
        <f t="shared" si="2"/>
        <v>6001791085</v>
      </c>
    </row>
    <row r="11" spans="1:41">
      <c r="A11" s="326" t="s">
        <v>325</v>
      </c>
      <c r="B11" s="326" t="s">
        <v>325</v>
      </c>
      <c r="C11" s="327">
        <v>5745840</v>
      </c>
      <c r="D11" s="327">
        <v>5751758</v>
      </c>
      <c r="E11" s="327">
        <v>5757676</v>
      </c>
      <c r="F11" s="327">
        <v>5764132</v>
      </c>
      <c r="G11" s="327">
        <v>5771126</v>
      </c>
      <c r="H11" s="327">
        <v>5777582</v>
      </c>
      <c r="I11" s="327">
        <v>5783500</v>
      </c>
      <c r="J11" s="327">
        <v>5789956</v>
      </c>
      <c r="K11" s="327">
        <v>5796412</v>
      </c>
      <c r="L11" s="327">
        <v>5802330</v>
      </c>
      <c r="M11" s="327">
        <v>5808248</v>
      </c>
      <c r="N11" s="327">
        <v>5814166</v>
      </c>
      <c r="O11" s="327">
        <v>5819546</v>
      </c>
      <c r="P11" s="327">
        <v>5825464</v>
      </c>
      <c r="Q11" s="327">
        <v>5831382</v>
      </c>
      <c r="R11" s="327">
        <v>5837838</v>
      </c>
      <c r="S11" s="327">
        <v>5844294</v>
      </c>
      <c r="T11" s="327">
        <v>5850750</v>
      </c>
      <c r="U11" s="327">
        <v>5857206</v>
      </c>
      <c r="V11" s="327">
        <v>5863124</v>
      </c>
      <c r="W11" s="327">
        <v>5869580</v>
      </c>
      <c r="X11" s="327">
        <v>5875498</v>
      </c>
      <c r="Y11" s="327">
        <v>5880878</v>
      </c>
      <c r="Z11" s="327">
        <v>5886258</v>
      </c>
      <c r="AA11" s="327">
        <v>5891638</v>
      </c>
      <c r="AB11" s="327">
        <v>5897018</v>
      </c>
      <c r="AC11" s="327">
        <v>5902398</v>
      </c>
      <c r="AD11" s="327">
        <v>5908854</v>
      </c>
      <c r="AE11" s="327">
        <v>5915310</v>
      </c>
      <c r="AF11" s="327">
        <v>5921228</v>
      </c>
      <c r="AG11" s="327">
        <v>5927146</v>
      </c>
      <c r="AH11" s="327">
        <v>5932526</v>
      </c>
      <c r="AI11" s="327">
        <v>5938444</v>
      </c>
      <c r="AJ11" s="327">
        <v>5943824</v>
      </c>
      <c r="AK11" s="327">
        <v>5949204</v>
      </c>
      <c r="AL11" s="327">
        <v>5954584</v>
      </c>
      <c r="AM11" s="327">
        <f t="shared" si="0"/>
        <v>69362726</v>
      </c>
      <c r="AN11" s="327">
        <f t="shared" si="1"/>
        <v>70241818</v>
      </c>
      <c r="AO11" s="327">
        <f t="shared" si="2"/>
        <v>71082174</v>
      </c>
    </row>
    <row r="12" spans="1:41">
      <c r="A12" s="326" t="s">
        <v>67</v>
      </c>
      <c r="B12" s="326" t="s">
        <v>67</v>
      </c>
      <c r="C12" s="327">
        <v>2112365487</v>
      </c>
      <c r="D12" s="327">
        <v>1871127005</v>
      </c>
      <c r="E12" s="327">
        <v>1926669163</v>
      </c>
      <c r="F12" s="327">
        <v>1972846408</v>
      </c>
      <c r="G12" s="327">
        <v>2177795095</v>
      </c>
      <c r="H12" s="327">
        <v>2294095328</v>
      </c>
      <c r="I12" s="327">
        <v>2384746771</v>
      </c>
      <c r="J12" s="327">
        <v>2377352624</v>
      </c>
      <c r="K12" s="327">
        <v>2360757443</v>
      </c>
      <c r="L12" s="327">
        <v>2223054052</v>
      </c>
      <c r="M12" s="327">
        <v>2043964770</v>
      </c>
      <c r="N12" s="327">
        <v>2071163198</v>
      </c>
      <c r="O12" s="327">
        <v>2125027898</v>
      </c>
      <c r="P12" s="327">
        <v>1868655365</v>
      </c>
      <c r="Q12" s="327">
        <v>1921617542</v>
      </c>
      <c r="R12" s="327">
        <v>1978696349</v>
      </c>
      <c r="S12" s="327">
        <v>2175878238</v>
      </c>
      <c r="T12" s="327">
        <v>2293502526</v>
      </c>
      <c r="U12" s="327">
        <v>2382585585</v>
      </c>
      <c r="V12" s="327">
        <v>2376881395</v>
      </c>
      <c r="W12" s="327">
        <v>2357807650</v>
      </c>
      <c r="X12" s="327">
        <v>2225515867</v>
      </c>
      <c r="Y12" s="327">
        <v>2047495255</v>
      </c>
      <c r="Z12" s="327">
        <v>2071765114</v>
      </c>
      <c r="AA12" s="327">
        <v>2126959738</v>
      </c>
      <c r="AB12" s="327">
        <v>1873797784</v>
      </c>
      <c r="AC12" s="327">
        <v>1930704311</v>
      </c>
      <c r="AD12" s="327">
        <v>1991087521</v>
      </c>
      <c r="AE12" s="327">
        <v>2189052499</v>
      </c>
      <c r="AF12" s="327">
        <v>2306918989</v>
      </c>
      <c r="AG12" s="327">
        <v>2395264761</v>
      </c>
      <c r="AH12" s="327">
        <v>2388332886</v>
      </c>
      <c r="AI12" s="327">
        <v>2366641005</v>
      </c>
      <c r="AJ12" s="327">
        <v>2236585324</v>
      </c>
      <c r="AK12" s="327">
        <v>2059115027</v>
      </c>
      <c r="AL12" s="327">
        <v>2085282411</v>
      </c>
      <c r="AM12" s="327">
        <f t="shared" si="0"/>
        <v>25815937344</v>
      </c>
      <c r="AN12" s="327">
        <f t="shared" si="1"/>
        <v>25825428784</v>
      </c>
      <c r="AO12" s="327">
        <f t="shared" si="2"/>
        <v>25949742256</v>
      </c>
    </row>
    <row r="13" spans="1:41">
      <c r="A13" s="326" t="s">
        <v>68</v>
      </c>
      <c r="B13" s="326" t="s">
        <v>68</v>
      </c>
      <c r="C13" s="327">
        <v>864051113</v>
      </c>
      <c r="D13" s="327">
        <v>782290115</v>
      </c>
      <c r="E13" s="327">
        <v>801428463</v>
      </c>
      <c r="F13" s="327">
        <v>811043342</v>
      </c>
      <c r="G13" s="327">
        <v>892700758</v>
      </c>
      <c r="H13" s="327">
        <v>918461617</v>
      </c>
      <c r="I13" s="327">
        <v>934371582</v>
      </c>
      <c r="J13" s="327">
        <v>940896934</v>
      </c>
      <c r="K13" s="327">
        <v>945979312</v>
      </c>
      <c r="L13" s="327">
        <v>908664346</v>
      </c>
      <c r="M13" s="327">
        <v>837707035</v>
      </c>
      <c r="N13" s="327">
        <v>861696302</v>
      </c>
      <c r="O13" s="327">
        <v>869348955</v>
      </c>
      <c r="P13" s="327">
        <v>781904160</v>
      </c>
      <c r="Q13" s="327">
        <v>799875142</v>
      </c>
      <c r="R13" s="327">
        <v>813282613</v>
      </c>
      <c r="S13" s="327">
        <v>891962736</v>
      </c>
      <c r="T13" s="327">
        <v>918624369</v>
      </c>
      <c r="U13" s="327">
        <v>934555629</v>
      </c>
      <c r="V13" s="327">
        <v>941225770</v>
      </c>
      <c r="W13" s="327">
        <v>945179485</v>
      </c>
      <c r="X13" s="327">
        <v>910044506</v>
      </c>
      <c r="Y13" s="327">
        <v>839334767</v>
      </c>
      <c r="Z13" s="327">
        <v>862159574</v>
      </c>
      <c r="AA13" s="327">
        <v>870597168</v>
      </c>
      <c r="AB13" s="327">
        <v>784006470</v>
      </c>
      <c r="AC13" s="327">
        <v>803735942</v>
      </c>
      <c r="AD13" s="327">
        <v>818611119</v>
      </c>
      <c r="AE13" s="327">
        <v>897899840</v>
      </c>
      <c r="AF13" s="327">
        <v>923960089</v>
      </c>
      <c r="AG13" s="327">
        <v>939148073</v>
      </c>
      <c r="AH13" s="327">
        <v>946418138</v>
      </c>
      <c r="AI13" s="327">
        <v>949043502</v>
      </c>
      <c r="AJ13" s="327">
        <v>915120924</v>
      </c>
      <c r="AK13" s="327">
        <v>844793003</v>
      </c>
      <c r="AL13" s="327">
        <v>868293213</v>
      </c>
      <c r="AM13" s="327">
        <f t="shared" si="0"/>
        <v>10499290919</v>
      </c>
      <c r="AN13" s="327">
        <f t="shared" si="1"/>
        <v>10507497706</v>
      </c>
      <c r="AO13" s="327">
        <f t="shared" si="2"/>
        <v>10561627481</v>
      </c>
    </row>
    <row r="14" spans="1:41">
      <c r="A14" s="326" t="s">
        <v>69</v>
      </c>
      <c r="B14" s="326" t="s">
        <v>69</v>
      </c>
      <c r="C14" s="327">
        <v>210472099</v>
      </c>
      <c r="D14" s="327">
        <v>186527721</v>
      </c>
      <c r="E14" s="327">
        <v>191178604</v>
      </c>
      <c r="F14" s="327">
        <v>192579721</v>
      </c>
      <c r="G14" s="327">
        <v>206847654</v>
      </c>
      <c r="H14" s="327">
        <v>218147951</v>
      </c>
      <c r="I14" s="327">
        <v>223831652</v>
      </c>
      <c r="J14" s="327">
        <v>226503406</v>
      </c>
      <c r="K14" s="327">
        <v>221401451</v>
      </c>
      <c r="L14" s="327">
        <v>214002591</v>
      </c>
      <c r="M14" s="327">
        <v>201615601</v>
      </c>
      <c r="N14" s="327">
        <v>207694974</v>
      </c>
      <c r="O14" s="327">
        <v>214054843</v>
      </c>
      <c r="P14" s="327">
        <v>188478613</v>
      </c>
      <c r="Q14" s="327">
        <v>192959738</v>
      </c>
      <c r="R14" s="327">
        <v>194210797</v>
      </c>
      <c r="S14" s="327">
        <v>207828810</v>
      </c>
      <c r="T14" s="327">
        <v>219261907</v>
      </c>
      <c r="U14" s="327">
        <v>226094447</v>
      </c>
      <c r="V14" s="327">
        <v>228910099</v>
      </c>
      <c r="W14" s="327">
        <v>222456184</v>
      </c>
      <c r="X14" s="327">
        <v>213252955</v>
      </c>
      <c r="Y14" s="327">
        <v>201077831</v>
      </c>
      <c r="Z14" s="327">
        <v>206884701</v>
      </c>
      <c r="AA14" s="327">
        <v>213349844</v>
      </c>
      <c r="AB14" s="327">
        <v>188241092</v>
      </c>
      <c r="AC14" s="327">
        <v>193060457</v>
      </c>
      <c r="AD14" s="327">
        <v>194555503</v>
      </c>
      <c r="AE14" s="327">
        <v>208135640</v>
      </c>
      <c r="AF14" s="327">
        <v>219534845</v>
      </c>
      <c r="AG14" s="327">
        <v>224959658</v>
      </c>
      <c r="AH14" s="327">
        <v>227679903</v>
      </c>
      <c r="AI14" s="327">
        <v>221058338</v>
      </c>
      <c r="AJ14" s="327">
        <v>212178164</v>
      </c>
      <c r="AK14" s="327">
        <v>201348538</v>
      </c>
      <c r="AL14" s="327">
        <v>207329605</v>
      </c>
      <c r="AM14" s="327">
        <f t="shared" si="0"/>
        <v>2500803425</v>
      </c>
      <c r="AN14" s="327">
        <f t="shared" si="1"/>
        <v>2515470925</v>
      </c>
      <c r="AO14" s="327">
        <f t="shared" si="2"/>
        <v>2511431587</v>
      </c>
    </row>
    <row r="15" spans="1:41">
      <c r="A15" s="326" t="s">
        <v>52</v>
      </c>
      <c r="B15" s="326" t="s">
        <v>52</v>
      </c>
      <c r="C15" s="327">
        <v>14816596</v>
      </c>
      <c r="D15" s="327">
        <v>16085768</v>
      </c>
      <c r="E15" s="327">
        <v>14598472</v>
      </c>
      <c r="F15" s="327">
        <v>14861473</v>
      </c>
      <c r="G15" s="327">
        <v>15954922</v>
      </c>
      <c r="H15" s="327">
        <v>15795233</v>
      </c>
      <c r="I15" s="327">
        <v>13524406</v>
      </c>
      <c r="J15" s="327">
        <v>13955305</v>
      </c>
      <c r="K15" s="327">
        <v>12638734</v>
      </c>
      <c r="L15" s="327">
        <v>12981288</v>
      </c>
      <c r="M15" s="327">
        <v>11802571</v>
      </c>
      <c r="N15" s="327">
        <v>12835667</v>
      </c>
      <c r="O15" s="327">
        <v>15148163</v>
      </c>
      <c r="P15" s="327">
        <v>16443605</v>
      </c>
      <c r="Q15" s="327">
        <v>14960739</v>
      </c>
      <c r="R15" s="327">
        <v>15206466</v>
      </c>
      <c r="S15" s="327">
        <v>16116480</v>
      </c>
      <c r="T15" s="327">
        <v>16104073</v>
      </c>
      <c r="U15" s="327">
        <v>13743742</v>
      </c>
      <c r="V15" s="327">
        <v>14208254</v>
      </c>
      <c r="W15" s="327">
        <v>12822301</v>
      </c>
      <c r="X15" s="327">
        <v>13194996</v>
      </c>
      <c r="Y15" s="327">
        <v>12004690</v>
      </c>
      <c r="Z15" s="327">
        <v>13038751</v>
      </c>
      <c r="AA15" s="327">
        <v>15425108</v>
      </c>
      <c r="AB15" s="327">
        <v>16748922</v>
      </c>
      <c r="AC15" s="327">
        <v>15198299</v>
      </c>
      <c r="AD15" s="327">
        <v>15447726</v>
      </c>
      <c r="AE15" s="327">
        <v>16458422</v>
      </c>
      <c r="AF15" s="327">
        <v>16352543</v>
      </c>
      <c r="AG15" s="327">
        <v>13949252</v>
      </c>
      <c r="AH15" s="327">
        <v>14409104</v>
      </c>
      <c r="AI15" s="327">
        <v>13006701</v>
      </c>
      <c r="AJ15" s="327">
        <v>13385730</v>
      </c>
      <c r="AK15" s="327">
        <v>12175178</v>
      </c>
      <c r="AL15" s="327">
        <v>13225543</v>
      </c>
      <c r="AM15" s="327">
        <f t="shared" si="0"/>
        <v>169850435</v>
      </c>
      <c r="AN15" s="327">
        <f t="shared" si="1"/>
        <v>172992260</v>
      </c>
      <c r="AO15" s="327">
        <f t="shared" si="2"/>
        <v>175782528</v>
      </c>
    </row>
    <row r="16" spans="1:41">
      <c r="A16" s="326" t="s">
        <v>15</v>
      </c>
      <c r="B16" s="326" t="s">
        <v>15</v>
      </c>
      <c r="C16" s="327">
        <v>7754425</v>
      </c>
      <c r="D16" s="327">
        <v>7096425</v>
      </c>
      <c r="E16" s="327">
        <v>6611500</v>
      </c>
      <c r="F16" s="327">
        <v>7592025</v>
      </c>
      <c r="G16" s="327">
        <v>7956550</v>
      </c>
      <c r="H16" s="327">
        <v>7737100</v>
      </c>
      <c r="I16" s="327">
        <v>8150808</v>
      </c>
      <c r="J16" s="327">
        <v>8111018</v>
      </c>
      <c r="K16" s="327">
        <v>8063404</v>
      </c>
      <c r="L16" s="327">
        <v>8004374</v>
      </c>
      <c r="M16" s="327">
        <v>7282462</v>
      </c>
      <c r="N16" s="327">
        <v>6913900</v>
      </c>
      <c r="O16" s="327">
        <v>7722488</v>
      </c>
      <c r="P16" s="327">
        <v>7033163</v>
      </c>
      <c r="Q16" s="327">
        <v>6654900</v>
      </c>
      <c r="R16" s="327">
        <v>7772538</v>
      </c>
      <c r="S16" s="327">
        <v>7766500</v>
      </c>
      <c r="T16" s="327">
        <v>7705775</v>
      </c>
      <c r="U16" s="327">
        <v>8084445</v>
      </c>
      <c r="V16" s="327">
        <v>8169352</v>
      </c>
      <c r="W16" s="327">
        <v>8099506</v>
      </c>
      <c r="X16" s="327">
        <v>8011486</v>
      </c>
      <c r="Y16" s="327">
        <v>7259718</v>
      </c>
      <c r="Z16" s="327">
        <v>6928425</v>
      </c>
      <c r="AA16" s="327">
        <v>7738456</v>
      </c>
      <c r="AB16" s="327">
        <v>7064794</v>
      </c>
      <c r="AC16" s="327">
        <v>6633200</v>
      </c>
      <c r="AD16" s="327">
        <v>7682281</v>
      </c>
      <c r="AE16" s="327">
        <v>7861525</v>
      </c>
      <c r="AF16" s="327">
        <v>7721438</v>
      </c>
      <c r="AG16" s="327">
        <v>8117627</v>
      </c>
      <c r="AH16" s="327">
        <v>8140185</v>
      </c>
      <c r="AI16" s="327">
        <v>8081455</v>
      </c>
      <c r="AJ16" s="327">
        <v>8007930</v>
      </c>
      <c r="AK16" s="327">
        <v>7271090</v>
      </c>
      <c r="AL16" s="327">
        <v>6921163</v>
      </c>
      <c r="AM16" s="327">
        <f t="shared" si="0"/>
        <v>91273991</v>
      </c>
      <c r="AN16" s="327">
        <f t="shared" si="1"/>
        <v>91208296</v>
      </c>
      <c r="AO16" s="327">
        <f t="shared" si="2"/>
        <v>91241144</v>
      </c>
    </row>
    <row r="17" spans="1:41">
      <c r="A17" s="326" t="s">
        <v>56</v>
      </c>
      <c r="B17" s="326" t="s">
        <v>56</v>
      </c>
      <c r="C17" s="327">
        <v>8229452</v>
      </c>
      <c r="D17" s="327">
        <v>8225388</v>
      </c>
      <c r="E17" s="327">
        <v>8221324</v>
      </c>
      <c r="F17" s="327">
        <v>8217260</v>
      </c>
      <c r="G17" s="327">
        <v>8213196</v>
      </c>
      <c r="H17" s="327">
        <v>8209132</v>
      </c>
      <c r="I17" s="327">
        <v>8205068</v>
      </c>
      <c r="J17" s="327">
        <v>8201004</v>
      </c>
      <c r="K17" s="327">
        <v>8196940</v>
      </c>
      <c r="L17" s="327">
        <v>8192876</v>
      </c>
      <c r="M17" s="327">
        <v>8188812</v>
      </c>
      <c r="N17" s="327">
        <v>8184748</v>
      </c>
      <c r="O17" s="327">
        <v>8180684</v>
      </c>
      <c r="P17" s="327">
        <v>8176620</v>
      </c>
      <c r="Q17" s="327">
        <v>8172556</v>
      </c>
      <c r="R17" s="327">
        <v>8168492</v>
      </c>
      <c r="S17" s="327">
        <v>8164428</v>
      </c>
      <c r="T17" s="327">
        <v>8160364</v>
      </c>
      <c r="U17" s="327">
        <v>8156300</v>
      </c>
      <c r="V17" s="327">
        <v>8152236</v>
      </c>
      <c r="W17" s="327">
        <v>8148172</v>
      </c>
      <c r="X17" s="327">
        <v>8144108</v>
      </c>
      <c r="Y17" s="327">
        <v>8140044</v>
      </c>
      <c r="Z17" s="327">
        <v>8135980</v>
      </c>
      <c r="AA17" s="327">
        <v>8131916</v>
      </c>
      <c r="AB17" s="327">
        <v>8127852</v>
      </c>
      <c r="AC17" s="327">
        <v>8123788</v>
      </c>
      <c r="AD17" s="327">
        <v>8119724</v>
      </c>
      <c r="AE17" s="327">
        <v>8115660</v>
      </c>
      <c r="AF17" s="327">
        <v>8111596</v>
      </c>
      <c r="AG17" s="327">
        <v>8107532</v>
      </c>
      <c r="AH17" s="327">
        <v>8103468</v>
      </c>
      <c r="AI17" s="327">
        <v>8099404</v>
      </c>
      <c r="AJ17" s="327">
        <v>8095340</v>
      </c>
      <c r="AK17" s="327">
        <v>8091276</v>
      </c>
      <c r="AL17" s="327">
        <v>8087212</v>
      </c>
      <c r="AM17" s="327">
        <f t="shared" si="0"/>
        <v>98485200</v>
      </c>
      <c r="AN17" s="327">
        <f t="shared" si="1"/>
        <v>97899984</v>
      </c>
      <c r="AO17" s="327">
        <f t="shared" si="2"/>
        <v>97314768</v>
      </c>
    </row>
    <row r="18" spans="1:41">
      <c r="A18" s="326" t="s">
        <v>57</v>
      </c>
      <c r="B18" s="326" t="s">
        <v>57</v>
      </c>
      <c r="C18" s="327">
        <v>876403</v>
      </c>
      <c r="D18" s="327">
        <v>999104</v>
      </c>
      <c r="E18" s="327">
        <v>1067306</v>
      </c>
      <c r="F18" s="327">
        <v>910716</v>
      </c>
      <c r="G18" s="327">
        <v>882804</v>
      </c>
      <c r="H18" s="327">
        <v>837955</v>
      </c>
      <c r="I18" s="327">
        <v>726491</v>
      </c>
      <c r="J18" s="327">
        <v>729042</v>
      </c>
      <c r="K18" s="327">
        <v>927091</v>
      </c>
      <c r="L18" s="327">
        <v>948179</v>
      </c>
      <c r="M18" s="327">
        <v>1095816</v>
      </c>
      <c r="N18" s="327">
        <v>953457</v>
      </c>
      <c r="O18" s="327">
        <v>868047</v>
      </c>
      <c r="P18" s="327">
        <v>980593</v>
      </c>
      <c r="Q18" s="327">
        <v>1051238</v>
      </c>
      <c r="R18" s="327">
        <v>908437</v>
      </c>
      <c r="S18" s="327">
        <v>861058</v>
      </c>
      <c r="T18" s="327">
        <v>823754</v>
      </c>
      <c r="U18" s="327">
        <v>714380</v>
      </c>
      <c r="V18" s="327">
        <v>720433</v>
      </c>
      <c r="W18" s="327">
        <v>908768</v>
      </c>
      <c r="X18" s="327">
        <v>936451</v>
      </c>
      <c r="Y18" s="327">
        <v>1075889</v>
      </c>
      <c r="Z18" s="327">
        <v>944265</v>
      </c>
      <c r="AA18" s="327">
        <v>867864</v>
      </c>
      <c r="AB18" s="327">
        <v>984899</v>
      </c>
      <c r="AC18" s="327">
        <v>1053975</v>
      </c>
      <c r="AD18" s="327">
        <v>905029</v>
      </c>
      <c r="AE18" s="327">
        <v>867571</v>
      </c>
      <c r="AF18" s="327">
        <v>826700</v>
      </c>
      <c r="AG18" s="327">
        <v>716833</v>
      </c>
      <c r="AH18" s="327">
        <v>721114</v>
      </c>
      <c r="AI18" s="327">
        <v>913339</v>
      </c>
      <c r="AJ18" s="327">
        <v>937603</v>
      </c>
      <c r="AK18" s="327">
        <v>1080423</v>
      </c>
      <c r="AL18" s="327">
        <v>944116</v>
      </c>
      <c r="AM18" s="327">
        <f t="shared" si="0"/>
        <v>10954364</v>
      </c>
      <c r="AN18" s="327">
        <f t="shared" si="1"/>
        <v>10793313</v>
      </c>
      <c r="AO18" s="327">
        <f t="shared" si="2"/>
        <v>10819466</v>
      </c>
    </row>
    <row r="19" spans="1:41">
      <c r="A19" s="326" t="s">
        <v>48</v>
      </c>
      <c r="B19" s="326" t="s">
        <v>48</v>
      </c>
      <c r="C19" s="327">
        <v>4412782486</v>
      </c>
      <c r="D19" s="327">
        <v>4011033989</v>
      </c>
      <c r="E19" s="327">
        <v>3919563463</v>
      </c>
      <c r="F19" s="327">
        <v>3982448080</v>
      </c>
      <c r="G19" s="327">
        <v>4652075043</v>
      </c>
      <c r="H19" s="327">
        <v>5313054838</v>
      </c>
      <c r="I19" s="327">
        <v>5780941741</v>
      </c>
      <c r="J19" s="327">
        <v>5909135128</v>
      </c>
      <c r="K19" s="327">
        <v>5714655770</v>
      </c>
      <c r="L19" s="327">
        <v>5150015263</v>
      </c>
      <c r="M19" s="327">
        <v>4257998507</v>
      </c>
      <c r="N19" s="327">
        <v>4094996381</v>
      </c>
      <c r="O19" s="327">
        <v>4459036218</v>
      </c>
      <c r="P19" s="327">
        <v>3960503996</v>
      </c>
      <c r="Q19" s="327">
        <v>3878065213</v>
      </c>
      <c r="R19" s="327">
        <v>3972698748</v>
      </c>
      <c r="S19" s="327">
        <v>4630611997</v>
      </c>
      <c r="T19" s="327">
        <v>5289857496</v>
      </c>
      <c r="U19" s="327">
        <v>5760290400</v>
      </c>
      <c r="V19" s="327">
        <v>5891589976</v>
      </c>
      <c r="W19" s="327">
        <v>5704211543</v>
      </c>
      <c r="X19" s="327">
        <v>5133789102</v>
      </c>
      <c r="Y19" s="327">
        <v>4240281030</v>
      </c>
      <c r="Z19" s="327">
        <v>4072742788</v>
      </c>
      <c r="AA19" s="327">
        <v>4480547058</v>
      </c>
      <c r="AB19" s="327">
        <v>3970626763</v>
      </c>
      <c r="AC19" s="327">
        <v>3898615460</v>
      </c>
      <c r="AD19" s="327">
        <v>4003806466</v>
      </c>
      <c r="AE19" s="327">
        <v>4668629145</v>
      </c>
      <c r="AF19" s="327">
        <v>5326911058</v>
      </c>
      <c r="AG19" s="327">
        <v>5797588974</v>
      </c>
      <c r="AH19" s="327">
        <v>5927891677</v>
      </c>
      <c r="AI19" s="327">
        <v>5743314788</v>
      </c>
      <c r="AJ19" s="327">
        <v>5166360566</v>
      </c>
      <c r="AK19" s="327">
        <v>4269989489</v>
      </c>
      <c r="AL19" s="327">
        <v>4106934435</v>
      </c>
      <c r="AM19" s="327">
        <f t="shared" si="0"/>
        <v>57198700689</v>
      </c>
      <c r="AN19" s="327">
        <f t="shared" si="1"/>
        <v>56993678507</v>
      </c>
      <c r="AO19" s="327">
        <f t="shared" si="2"/>
        <v>57361215879</v>
      </c>
    </row>
    <row r="20" spans="1:41">
      <c r="A20" s="326" t="s">
        <v>53</v>
      </c>
      <c r="B20" s="326" t="s">
        <v>53</v>
      </c>
      <c r="C20" s="327">
        <v>48174083</v>
      </c>
      <c r="D20" s="327">
        <v>44675133</v>
      </c>
      <c r="E20" s="327">
        <v>44932085</v>
      </c>
      <c r="F20" s="327">
        <v>46308634</v>
      </c>
      <c r="G20" s="327">
        <v>46167749</v>
      </c>
      <c r="H20" s="327">
        <v>43695955</v>
      </c>
      <c r="I20" s="327">
        <v>45197734</v>
      </c>
      <c r="J20" s="327">
        <v>51483554</v>
      </c>
      <c r="K20" s="327">
        <v>45694635</v>
      </c>
      <c r="L20" s="327">
        <v>43097778</v>
      </c>
      <c r="M20" s="327">
        <v>42650157</v>
      </c>
      <c r="N20" s="327">
        <v>48984218</v>
      </c>
      <c r="O20" s="327">
        <v>49089770</v>
      </c>
      <c r="P20" s="327">
        <v>45452138</v>
      </c>
      <c r="Q20" s="327">
        <v>45698883</v>
      </c>
      <c r="R20" s="327">
        <v>47161001</v>
      </c>
      <c r="S20" s="327">
        <v>46982784</v>
      </c>
      <c r="T20" s="327">
        <v>44454046</v>
      </c>
      <c r="U20" s="327">
        <v>45978606</v>
      </c>
      <c r="V20" s="327">
        <v>52412648</v>
      </c>
      <c r="W20" s="327">
        <v>46488434</v>
      </c>
      <c r="X20" s="327">
        <v>43851383</v>
      </c>
      <c r="Y20" s="327">
        <v>43397174</v>
      </c>
      <c r="Z20" s="327">
        <v>49840091</v>
      </c>
      <c r="AA20" s="327">
        <v>49954501</v>
      </c>
      <c r="AB20" s="327">
        <v>46262213</v>
      </c>
      <c r="AC20" s="327">
        <v>46526540</v>
      </c>
      <c r="AD20" s="327">
        <v>48037603</v>
      </c>
      <c r="AE20" s="327">
        <v>47848318</v>
      </c>
      <c r="AF20" s="327">
        <v>45261755</v>
      </c>
      <c r="AG20" s="327">
        <v>46811116</v>
      </c>
      <c r="AH20" s="327">
        <v>53380049</v>
      </c>
      <c r="AI20" s="327">
        <v>47321203</v>
      </c>
      <c r="AJ20" s="327">
        <v>44630969</v>
      </c>
      <c r="AK20" s="327">
        <v>44174215</v>
      </c>
      <c r="AL20" s="327">
        <v>50751782</v>
      </c>
      <c r="AM20" s="327">
        <f t="shared" si="0"/>
        <v>551061715</v>
      </c>
      <c r="AN20" s="327">
        <f t="shared" si="1"/>
        <v>560806958</v>
      </c>
      <c r="AO20" s="327">
        <f t="shared" si="2"/>
        <v>570960264</v>
      </c>
    </row>
    <row r="21" spans="1:41">
      <c r="A21" s="326" t="s">
        <v>55</v>
      </c>
      <c r="B21" s="326" t="s">
        <v>55</v>
      </c>
      <c r="C21" s="327">
        <v>2639277</v>
      </c>
      <c r="D21" s="327">
        <v>2645291</v>
      </c>
      <c r="E21" s="327">
        <v>2653067</v>
      </c>
      <c r="F21" s="327">
        <v>2656076</v>
      </c>
      <c r="G21" s="327">
        <v>2664746</v>
      </c>
      <c r="H21" s="327">
        <v>2672542</v>
      </c>
      <c r="I21" s="327">
        <v>2675556</v>
      </c>
      <c r="J21" s="327">
        <v>2681584</v>
      </c>
      <c r="K21" s="327">
        <v>2682818</v>
      </c>
      <c r="L21" s="327">
        <v>2690626</v>
      </c>
      <c r="M21" s="327">
        <v>2697548</v>
      </c>
      <c r="N21" s="327">
        <v>2698773</v>
      </c>
      <c r="O21" s="327">
        <v>2699417</v>
      </c>
      <c r="P21" s="327">
        <v>2705431</v>
      </c>
      <c r="Q21" s="327">
        <v>2710238</v>
      </c>
      <c r="R21" s="327">
        <v>2716256</v>
      </c>
      <c r="S21" s="327">
        <v>2721974</v>
      </c>
      <c r="T21" s="327">
        <v>2729808</v>
      </c>
      <c r="U21" s="327">
        <v>2735836</v>
      </c>
      <c r="V21" s="327">
        <v>2738850</v>
      </c>
      <c r="W21" s="327">
        <v>2743058</v>
      </c>
      <c r="X21" s="327">
        <v>2747892</v>
      </c>
      <c r="Y21" s="327">
        <v>2754833</v>
      </c>
      <c r="Z21" s="327">
        <v>2759033</v>
      </c>
      <c r="AA21" s="327">
        <v>2756550</v>
      </c>
      <c r="AB21" s="327">
        <v>2762564</v>
      </c>
      <c r="AC21" s="327">
        <v>2767409</v>
      </c>
      <c r="AD21" s="327">
        <v>2773427</v>
      </c>
      <c r="AE21" s="327">
        <v>2782214</v>
      </c>
      <c r="AF21" s="327">
        <v>2787074</v>
      </c>
      <c r="AG21" s="327">
        <v>2793102</v>
      </c>
      <c r="AH21" s="327">
        <v>2796116</v>
      </c>
      <c r="AI21" s="327">
        <v>2800286</v>
      </c>
      <c r="AJ21" s="327">
        <v>2808172</v>
      </c>
      <c r="AK21" s="327">
        <v>2812118</v>
      </c>
      <c r="AL21" s="327">
        <v>2816280</v>
      </c>
      <c r="AM21" s="327">
        <f t="shared" si="0"/>
        <v>32057904</v>
      </c>
      <c r="AN21" s="327">
        <f t="shared" si="1"/>
        <v>32762626</v>
      </c>
      <c r="AO21" s="327">
        <f t="shared" si="2"/>
        <v>33455312</v>
      </c>
    </row>
    <row r="22" spans="1:41">
      <c r="A22" s="326" t="s">
        <v>87</v>
      </c>
      <c r="B22" s="326" t="s">
        <v>87</v>
      </c>
      <c r="C22" s="327">
        <v>602856</v>
      </c>
      <c r="D22" s="327">
        <v>685784</v>
      </c>
      <c r="E22" s="327">
        <v>666585</v>
      </c>
      <c r="F22" s="327">
        <v>1230699</v>
      </c>
      <c r="G22" s="327">
        <v>1462083</v>
      </c>
      <c r="H22" s="327">
        <v>1187857</v>
      </c>
      <c r="I22" s="327">
        <v>1087713</v>
      </c>
      <c r="J22" s="327">
        <v>1181803</v>
      </c>
      <c r="K22" s="327">
        <v>1205075</v>
      </c>
      <c r="L22" s="327">
        <v>1239312</v>
      </c>
      <c r="M22" s="327">
        <v>799615</v>
      </c>
      <c r="N22" s="327">
        <v>507544</v>
      </c>
      <c r="O22" s="327">
        <v>602856</v>
      </c>
      <c r="P22" s="327">
        <v>685784</v>
      </c>
      <c r="Q22" s="327">
        <v>666585</v>
      </c>
      <c r="R22" s="327">
        <v>1230699</v>
      </c>
      <c r="S22" s="327">
        <v>1462083</v>
      </c>
      <c r="T22" s="327">
        <v>1187857</v>
      </c>
      <c r="U22" s="327">
        <v>1087713</v>
      </c>
      <c r="V22" s="327">
        <v>1181803</v>
      </c>
      <c r="W22" s="327">
        <v>1205075</v>
      </c>
      <c r="X22" s="327">
        <v>1239312</v>
      </c>
      <c r="Y22" s="327">
        <v>799615</v>
      </c>
      <c r="Z22" s="327">
        <v>507544</v>
      </c>
      <c r="AA22" s="327">
        <v>602856</v>
      </c>
      <c r="AB22" s="327">
        <v>685784</v>
      </c>
      <c r="AC22" s="327">
        <v>666585</v>
      </c>
      <c r="AD22" s="327">
        <v>1230699</v>
      </c>
      <c r="AE22" s="327">
        <v>1462083</v>
      </c>
      <c r="AF22" s="327">
        <v>1187857</v>
      </c>
      <c r="AG22" s="327">
        <v>1087713</v>
      </c>
      <c r="AH22" s="327">
        <v>1181803</v>
      </c>
      <c r="AI22" s="327">
        <v>1205075</v>
      </c>
      <c r="AJ22" s="327">
        <v>1239312</v>
      </c>
      <c r="AK22" s="327">
        <v>799615</v>
      </c>
      <c r="AL22" s="327">
        <v>507544</v>
      </c>
      <c r="AM22" s="327">
        <f t="shared" si="0"/>
        <v>11856926</v>
      </c>
      <c r="AN22" s="327">
        <f t="shared" si="1"/>
        <v>11856926</v>
      </c>
      <c r="AO22" s="327">
        <f t="shared" si="2"/>
        <v>11856926</v>
      </c>
    </row>
    <row r="23" spans="1:41">
      <c r="A23" s="326" t="s">
        <v>1061</v>
      </c>
      <c r="B23" s="326" t="s">
        <v>88</v>
      </c>
      <c r="C23" s="327">
        <v>5811710</v>
      </c>
      <c r="D23" s="327">
        <v>6787344</v>
      </c>
      <c r="E23" s="327">
        <v>8318048</v>
      </c>
      <c r="F23" s="327">
        <v>7683818</v>
      </c>
      <c r="G23" s="327">
        <v>10687136</v>
      </c>
      <c r="H23" s="327">
        <v>7415962</v>
      </c>
      <c r="I23" s="327">
        <v>7202482</v>
      </c>
      <c r="J23" s="327">
        <v>6421378</v>
      </c>
      <c r="K23" s="327">
        <v>4740820</v>
      </c>
      <c r="L23" s="327">
        <v>9837782</v>
      </c>
      <c r="M23" s="327">
        <v>9758504</v>
      </c>
      <c r="N23" s="327">
        <v>5002770</v>
      </c>
      <c r="O23" s="327">
        <v>5811710</v>
      </c>
      <c r="P23" s="327">
        <v>6787344</v>
      </c>
      <c r="Q23" s="327">
        <v>8318048</v>
      </c>
      <c r="R23" s="327">
        <v>7683818</v>
      </c>
      <c r="S23" s="327">
        <v>10687136</v>
      </c>
      <c r="T23" s="327">
        <v>7415962</v>
      </c>
      <c r="U23" s="327">
        <v>7202482</v>
      </c>
      <c r="V23" s="327">
        <v>6421378</v>
      </c>
      <c r="W23" s="327">
        <v>4740820</v>
      </c>
      <c r="X23" s="327">
        <v>9837782</v>
      </c>
      <c r="Y23" s="327">
        <v>9758504</v>
      </c>
      <c r="Z23" s="327">
        <v>5002770</v>
      </c>
      <c r="AA23" s="327">
        <v>5811710</v>
      </c>
      <c r="AB23" s="327">
        <v>6787344</v>
      </c>
      <c r="AC23" s="327">
        <v>8318048</v>
      </c>
      <c r="AD23" s="327">
        <v>7683818</v>
      </c>
      <c r="AE23" s="327">
        <v>10687136</v>
      </c>
      <c r="AF23" s="327">
        <v>7415962</v>
      </c>
      <c r="AG23" s="327">
        <v>7202482</v>
      </c>
      <c r="AH23" s="327">
        <v>6421378</v>
      </c>
      <c r="AI23" s="327">
        <v>4740820</v>
      </c>
      <c r="AJ23" s="327">
        <v>9837782</v>
      </c>
      <c r="AK23" s="327">
        <v>9758504</v>
      </c>
      <c r="AL23" s="327">
        <v>5002770</v>
      </c>
      <c r="AM23" s="327">
        <f t="shared" si="0"/>
        <v>89667754</v>
      </c>
      <c r="AN23" s="327">
        <f t="shared" si="1"/>
        <v>89667754</v>
      </c>
      <c r="AO23" s="327">
        <f t="shared" si="2"/>
        <v>89667754</v>
      </c>
    </row>
    <row r="24" spans="1:41">
      <c r="B24" s="326" t="s">
        <v>1052</v>
      </c>
      <c r="C24" s="327">
        <v>8527170794</v>
      </c>
      <c r="D24" s="327">
        <v>7700765999</v>
      </c>
      <c r="E24" s="327">
        <v>7706434081</v>
      </c>
      <c r="F24" s="327">
        <v>7847735601</v>
      </c>
      <c r="G24" s="327">
        <v>8885331127</v>
      </c>
      <c r="H24" s="327">
        <v>9741009851</v>
      </c>
      <c r="I24" s="327">
        <v>10358922962</v>
      </c>
      <c r="J24" s="327">
        <v>10492455408</v>
      </c>
      <c r="K24" s="327">
        <v>10259106328</v>
      </c>
      <c r="L24" s="327">
        <v>9461096403</v>
      </c>
      <c r="M24" s="327">
        <v>8244627478</v>
      </c>
      <c r="N24" s="327">
        <v>8149357407</v>
      </c>
      <c r="O24" s="327">
        <v>8602770446</v>
      </c>
      <c r="P24" s="327">
        <v>7652283994</v>
      </c>
      <c r="Q24" s="327">
        <v>7662445933</v>
      </c>
      <c r="R24" s="327">
        <v>7853706898</v>
      </c>
      <c r="S24" s="327">
        <v>8864946365</v>
      </c>
      <c r="T24" s="327">
        <v>9721869953</v>
      </c>
      <c r="U24" s="327">
        <v>10341278767</v>
      </c>
      <c r="V24" s="327">
        <v>10480570003</v>
      </c>
      <c r="W24" s="327">
        <v>10248259294</v>
      </c>
      <c r="X24" s="327">
        <v>9451902191</v>
      </c>
      <c r="Y24" s="327">
        <v>8235753901</v>
      </c>
      <c r="Z24" s="327">
        <v>8130689441</v>
      </c>
      <c r="AA24" s="327">
        <v>8630440919</v>
      </c>
      <c r="AB24" s="327">
        <v>7674183465</v>
      </c>
      <c r="AC24" s="327">
        <v>7701859792</v>
      </c>
      <c r="AD24" s="327">
        <v>7909634636</v>
      </c>
      <c r="AE24" s="327">
        <v>8929410566</v>
      </c>
      <c r="AF24" s="327">
        <v>9784721602</v>
      </c>
      <c r="AG24" s="327">
        <v>10401229397</v>
      </c>
      <c r="AH24" s="327">
        <v>10538401172</v>
      </c>
      <c r="AI24" s="327">
        <v>10303721382</v>
      </c>
      <c r="AJ24" s="327">
        <v>9505239989</v>
      </c>
      <c r="AK24" s="327">
        <v>8288665643</v>
      </c>
      <c r="AL24" s="327">
        <v>8191367612</v>
      </c>
      <c r="AM24" s="327">
        <f t="shared" si="0"/>
        <v>107374013439</v>
      </c>
      <c r="AN24" s="327">
        <f t="shared" si="1"/>
        <v>107246477186</v>
      </c>
      <c r="AO24" s="327">
        <f t="shared" si="2"/>
        <v>107858876175</v>
      </c>
    </row>
    <row r="25" spans="1:41">
      <c r="O25" s="506"/>
    </row>
    <row r="28" spans="1:41">
      <c r="AA28" s="327">
        <v>8011486</v>
      </c>
      <c r="AB28" s="327">
        <v>8011486</v>
      </c>
      <c r="AC28" s="327">
        <v>8011486</v>
      </c>
      <c r="AD28" s="327">
        <v>8011486</v>
      </c>
      <c r="AE28" s="327">
        <v>8011486</v>
      </c>
      <c r="AF28" s="327">
        <v>8011486</v>
      </c>
      <c r="AG28" s="327">
        <v>8011486</v>
      </c>
      <c r="AH28" s="327">
        <v>8011486</v>
      </c>
      <c r="AI28" s="327">
        <v>8011486</v>
      </c>
      <c r="AJ28" s="327">
        <v>8011486</v>
      </c>
      <c r="AK28" s="327">
        <v>8011486</v>
      </c>
      <c r="AL28" s="327">
        <v>8011486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AL44"/>
  <sheetViews>
    <sheetView zoomScale="75" zoomScaleNormal="75" workbookViewId="0">
      <selection activeCell="B2" sqref="B2"/>
    </sheetView>
  </sheetViews>
  <sheetFormatPr defaultRowHeight="13.2"/>
  <cols>
    <col min="1" max="1" width="10.88671875" bestFit="1" customWidth="1"/>
    <col min="2" max="2" width="34.5546875" bestFit="1" customWidth="1"/>
  </cols>
  <sheetData>
    <row r="1" spans="1:38" s="8" customFormat="1">
      <c r="B1" s="8" t="s">
        <v>1309</v>
      </c>
    </row>
    <row r="2" spans="1:38" s="8" customFormat="1">
      <c r="B2" s="8" t="s">
        <v>1267</v>
      </c>
    </row>
    <row r="3" spans="1:38" s="8" customFormat="1"/>
    <row r="4" spans="1:38">
      <c r="A4" s="343"/>
      <c r="B4" s="343"/>
      <c r="C4" s="343" t="s">
        <v>1013</v>
      </c>
      <c r="D4" s="343" t="s">
        <v>1014</v>
      </c>
      <c r="E4" s="343" t="s">
        <v>1015</v>
      </c>
      <c r="F4" s="343" t="s">
        <v>1016</v>
      </c>
      <c r="G4" s="343" t="s">
        <v>1017</v>
      </c>
      <c r="H4" s="343" t="s">
        <v>1018</v>
      </c>
      <c r="I4" s="343" t="s">
        <v>1019</v>
      </c>
      <c r="J4" s="343" t="s">
        <v>1020</v>
      </c>
      <c r="K4" s="343" t="s">
        <v>1021</v>
      </c>
      <c r="L4" s="343" t="s">
        <v>1022</v>
      </c>
      <c r="M4" s="343" t="s">
        <v>1023</v>
      </c>
      <c r="N4" s="343" t="s">
        <v>1024</v>
      </c>
      <c r="O4" s="343" t="s">
        <v>1025</v>
      </c>
      <c r="P4" s="343" t="s">
        <v>1026</v>
      </c>
      <c r="Q4" s="343" t="s">
        <v>1027</v>
      </c>
      <c r="R4" s="343" t="s">
        <v>1028</v>
      </c>
      <c r="S4" s="343" t="s">
        <v>1029</v>
      </c>
      <c r="T4" s="343" t="s">
        <v>1030</v>
      </c>
      <c r="U4" s="343" t="s">
        <v>1031</v>
      </c>
      <c r="V4" s="343" t="s">
        <v>1032</v>
      </c>
      <c r="W4" s="343" t="s">
        <v>1033</v>
      </c>
      <c r="X4" s="343" t="s">
        <v>1034</v>
      </c>
      <c r="Y4" s="343" t="s">
        <v>1035</v>
      </c>
      <c r="Z4" s="343" t="s">
        <v>1036</v>
      </c>
      <c r="AA4" s="343" t="s">
        <v>1037</v>
      </c>
      <c r="AB4" s="343" t="s">
        <v>1038</v>
      </c>
      <c r="AC4" s="343" t="s">
        <v>1039</v>
      </c>
      <c r="AD4" s="343" t="s">
        <v>1040</v>
      </c>
      <c r="AE4" s="343" t="s">
        <v>1041</v>
      </c>
      <c r="AF4" s="343" t="s">
        <v>1042</v>
      </c>
      <c r="AG4" s="343" t="s">
        <v>1043</v>
      </c>
      <c r="AH4" s="343" t="s">
        <v>1044</v>
      </c>
      <c r="AI4" s="343" t="s">
        <v>1045</v>
      </c>
      <c r="AJ4" s="343" t="s">
        <v>1046</v>
      </c>
      <c r="AK4" s="343" t="s">
        <v>1047</v>
      </c>
      <c r="AL4" s="343" t="s">
        <v>1048</v>
      </c>
    </row>
    <row r="5" spans="1:38">
      <c r="A5" s="326" t="s">
        <v>98</v>
      </c>
      <c r="B5" s="328" t="s">
        <v>1067</v>
      </c>
      <c r="C5" s="327">
        <v>361576</v>
      </c>
      <c r="D5" s="327">
        <v>361077</v>
      </c>
      <c r="E5" s="327">
        <v>370467</v>
      </c>
      <c r="F5" s="327">
        <v>362264</v>
      </c>
      <c r="G5" s="327">
        <v>357986</v>
      </c>
      <c r="H5" s="327">
        <v>372405</v>
      </c>
      <c r="I5" s="327">
        <v>382468</v>
      </c>
      <c r="J5" s="327">
        <v>374644</v>
      </c>
      <c r="K5" s="327">
        <v>343214</v>
      </c>
      <c r="L5" s="327">
        <v>372434</v>
      </c>
      <c r="M5" s="327">
        <v>367843</v>
      </c>
      <c r="N5" s="327">
        <v>367217</v>
      </c>
      <c r="O5" s="327">
        <v>362611</v>
      </c>
      <c r="P5" s="327">
        <v>360799</v>
      </c>
      <c r="Q5" s="327">
        <v>370133</v>
      </c>
      <c r="R5" s="327">
        <v>363310</v>
      </c>
      <c r="S5" s="327">
        <v>358023</v>
      </c>
      <c r="T5" s="327">
        <v>372504</v>
      </c>
      <c r="U5" s="327">
        <v>382368</v>
      </c>
      <c r="V5" s="327">
        <v>374647</v>
      </c>
      <c r="W5" s="327">
        <v>343060</v>
      </c>
      <c r="X5" s="327">
        <v>372823</v>
      </c>
      <c r="Y5" s="327">
        <v>368584</v>
      </c>
      <c r="Z5" s="327">
        <v>367596</v>
      </c>
      <c r="AA5" s="327">
        <v>363129</v>
      </c>
      <c r="AB5" s="327">
        <v>361999</v>
      </c>
      <c r="AC5" s="327">
        <v>371260</v>
      </c>
      <c r="AD5" s="327">
        <v>364248</v>
      </c>
      <c r="AE5" s="327">
        <v>358539</v>
      </c>
      <c r="AF5" s="327">
        <v>372867</v>
      </c>
      <c r="AG5" s="327">
        <v>382584</v>
      </c>
      <c r="AH5" s="327">
        <v>374727</v>
      </c>
      <c r="AI5" s="327">
        <v>342980</v>
      </c>
      <c r="AJ5" s="327">
        <v>372971</v>
      </c>
      <c r="AK5" s="327">
        <v>368982</v>
      </c>
      <c r="AL5" s="327">
        <v>368116</v>
      </c>
    </row>
    <row r="6" spans="1:38">
      <c r="A6" s="326" t="s">
        <v>98</v>
      </c>
      <c r="B6" s="328" t="s">
        <v>1068</v>
      </c>
      <c r="C6" s="327">
        <v>59012</v>
      </c>
      <c r="D6" s="327">
        <v>56796</v>
      </c>
      <c r="E6" s="327">
        <v>58200</v>
      </c>
      <c r="F6" s="327">
        <v>55429</v>
      </c>
      <c r="G6" s="327">
        <v>55769</v>
      </c>
      <c r="H6" s="327">
        <v>57332</v>
      </c>
      <c r="I6" s="327">
        <v>57522</v>
      </c>
      <c r="J6" s="327">
        <v>55769</v>
      </c>
      <c r="K6" s="327">
        <v>51437</v>
      </c>
      <c r="L6" s="327">
        <v>56713</v>
      </c>
      <c r="M6" s="327">
        <v>56230</v>
      </c>
      <c r="N6" s="327">
        <v>58629</v>
      </c>
      <c r="O6" s="327">
        <v>58668</v>
      </c>
      <c r="P6" s="327">
        <v>56113</v>
      </c>
      <c r="Q6" s="327">
        <v>57520</v>
      </c>
      <c r="R6" s="327">
        <v>55101</v>
      </c>
      <c r="S6" s="327">
        <v>55270</v>
      </c>
      <c r="T6" s="327">
        <v>56867</v>
      </c>
      <c r="U6" s="327">
        <v>57025</v>
      </c>
      <c r="V6" s="327">
        <v>55319</v>
      </c>
      <c r="W6" s="327">
        <v>50973</v>
      </c>
      <c r="X6" s="327">
        <v>56337</v>
      </c>
      <c r="Y6" s="327">
        <v>55907</v>
      </c>
      <c r="Z6" s="327">
        <v>58226</v>
      </c>
      <c r="AA6" s="327">
        <v>58313</v>
      </c>
      <c r="AB6" s="327">
        <v>55875</v>
      </c>
      <c r="AC6" s="327">
        <v>57279</v>
      </c>
      <c r="AD6" s="327">
        <v>54861</v>
      </c>
      <c r="AE6" s="327">
        <v>54987</v>
      </c>
      <c r="AF6" s="327">
        <v>56566</v>
      </c>
      <c r="AG6" s="327">
        <v>56702</v>
      </c>
      <c r="AH6" s="327">
        <v>54985</v>
      </c>
      <c r="AI6" s="327">
        <v>50617</v>
      </c>
      <c r="AJ6" s="327">
        <v>56005</v>
      </c>
      <c r="AK6" s="327">
        <v>55615</v>
      </c>
      <c r="AL6" s="327">
        <v>57962</v>
      </c>
    </row>
    <row r="7" spans="1:38">
      <c r="A7" s="326" t="s">
        <v>1066</v>
      </c>
      <c r="B7" s="328"/>
      <c r="C7" s="327">
        <f t="shared" ref="C7:AL7" si="0">SUBTOTAL(9,C5:C6)</f>
        <v>420588</v>
      </c>
      <c r="D7" s="327">
        <f t="shared" si="0"/>
        <v>417873</v>
      </c>
      <c r="E7" s="327">
        <f t="shared" si="0"/>
        <v>428667</v>
      </c>
      <c r="F7" s="327">
        <f t="shared" si="0"/>
        <v>417693</v>
      </c>
      <c r="G7" s="327">
        <f t="shared" si="0"/>
        <v>413755</v>
      </c>
      <c r="H7" s="327">
        <f t="shared" si="0"/>
        <v>429737</v>
      </c>
      <c r="I7" s="327">
        <f t="shared" si="0"/>
        <v>439990</v>
      </c>
      <c r="J7" s="327">
        <f t="shared" si="0"/>
        <v>430413</v>
      </c>
      <c r="K7" s="327">
        <f t="shared" si="0"/>
        <v>394651</v>
      </c>
      <c r="L7" s="327">
        <f t="shared" si="0"/>
        <v>429147</v>
      </c>
      <c r="M7" s="327">
        <f t="shared" si="0"/>
        <v>424073</v>
      </c>
      <c r="N7" s="327">
        <f t="shared" si="0"/>
        <v>425846</v>
      </c>
      <c r="O7" s="327">
        <f t="shared" si="0"/>
        <v>421279</v>
      </c>
      <c r="P7" s="327">
        <f t="shared" si="0"/>
        <v>416912</v>
      </c>
      <c r="Q7" s="327">
        <f t="shared" si="0"/>
        <v>427653</v>
      </c>
      <c r="R7" s="327">
        <f t="shared" si="0"/>
        <v>418411</v>
      </c>
      <c r="S7" s="327">
        <f t="shared" si="0"/>
        <v>413293</v>
      </c>
      <c r="T7" s="327">
        <f t="shared" si="0"/>
        <v>429371</v>
      </c>
      <c r="U7" s="327">
        <f t="shared" si="0"/>
        <v>439393</v>
      </c>
      <c r="V7" s="327">
        <f t="shared" si="0"/>
        <v>429966</v>
      </c>
      <c r="W7" s="327">
        <f t="shared" si="0"/>
        <v>394033</v>
      </c>
      <c r="X7" s="327">
        <f t="shared" si="0"/>
        <v>429160</v>
      </c>
      <c r="Y7" s="327">
        <f t="shared" si="0"/>
        <v>424491</v>
      </c>
      <c r="Z7" s="327">
        <f t="shared" si="0"/>
        <v>425822</v>
      </c>
      <c r="AA7" s="327">
        <f t="shared" si="0"/>
        <v>421442</v>
      </c>
      <c r="AB7" s="327">
        <f t="shared" si="0"/>
        <v>417874</v>
      </c>
      <c r="AC7" s="327">
        <f t="shared" si="0"/>
        <v>428539</v>
      </c>
      <c r="AD7" s="327">
        <f t="shared" si="0"/>
        <v>419109</v>
      </c>
      <c r="AE7" s="327">
        <f t="shared" si="0"/>
        <v>413526</v>
      </c>
      <c r="AF7" s="327">
        <f t="shared" si="0"/>
        <v>429433</v>
      </c>
      <c r="AG7" s="327">
        <f t="shared" si="0"/>
        <v>439286</v>
      </c>
      <c r="AH7" s="327">
        <f t="shared" si="0"/>
        <v>429712</v>
      </c>
      <c r="AI7" s="327">
        <f t="shared" si="0"/>
        <v>393597</v>
      </c>
      <c r="AJ7" s="327">
        <f t="shared" si="0"/>
        <v>428976</v>
      </c>
      <c r="AK7" s="327">
        <f t="shared" si="0"/>
        <v>424597</v>
      </c>
      <c r="AL7" s="327">
        <f t="shared" si="0"/>
        <v>426078</v>
      </c>
    </row>
    <row r="8" spans="1:38">
      <c r="A8" s="326" t="s">
        <v>99</v>
      </c>
      <c r="B8" s="328" t="s">
        <v>1067</v>
      </c>
      <c r="C8" s="327">
        <v>17365</v>
      </c>
      <c r="D8" s="327">
        <v>17417</v>
      </c>
      <c r="E8" s="327">
        <v>17870</v>
      </c>
      <c r="F8" s="327">
        <v>16970</v>
      </c>
      <c r="G8" s="327">
        <v>16815</v>
      </c>
      <c r="H8" s="327">
        <v>17294</v>
      </c>
      <c r="I8" s="327">
        <v>17722</v>
      </c>
      <c r="J8" s="327">
        <v>17524</v>
      </c>
      <c r="K8" s="327">
        <v>16175</v>
      </c>
      <c r="L8" s="327">
        <v>17355</v>
      </c>
      <c r="M8" s="327">
        <v>17278</v>
      </c>
      <c r="N8" s="327">
        <v>17656</v>
      </c>
      <c r="O8" s="327">
        <v>17364</v>
      </c>
      <c r="P8" s="327">
        <v>17334</v>
      </c>
      <c r="Q8" s="327">
        <v>17788</v>
      </c>
      <c r="R8" s="327">
        <v>16968</v>
      </c>
      <c r="S8" s="327">
        <v>16761</v>
      </c>
      <c r="T8" s="327">
        <v>17248</v>
      </c>
      <c r="U8" s="327">
        <v>17669</v>
      </c>
      <c r="V8" s="327">
        <v>17474</v>
      </c>
      <c r="W8" s="327">
        <v>16115</v>
      </c>
      <c r="X8" s="327">
        <v>17330</v>
      </c>
      <c r="Y8" s="327">
        <v>17267</v>
      </c>
      <c r="Z8" s="327">
        <v>17625</v>
      </c>
      <c r="AA8" s="327">
        <v>17344</v>
      </c>
      <c r="AB8" s="327">
        <v>17347</v>
      </c>
      <c r="AC8" s="327">
        <v>17797</v>
      </c>
      <c r="AD8" s="327">
        <v>16971</v>
      </c>
      <c r="AE8" s="327">
        <v>16745</v>
      </c>
      <c r="AF8" s="327">
        <v>17229</v>
      </c>
      <c r="AG8" s="327">
        <v>17644</v>
      </c>
      <c r="AH8" s="327">
        <v>17439</v>
      </c>
      <c r="AI8" s="327">
        <v>16069</v>
      </c>
      <c r="AJ8" s="327">
        <v>17302</v>
      </c>
      <c r="AK8" s="327">
        <v>17248</v>
      </c>
      <c r="AL8" s="327">
        <v>17613</v>
      </c>
    </row>
    <row r="9" spans="1:38">
      <c r="A9" s="326" t="s">
        <v>99</v>
      </c>
      <c r="B9" s="328" t="s">
        <v>1068</v>
      </c>
      <c r="C9" s="327">
        <v>523</v>
      </c>
      <c r="D9" s="327">
        <v>499</v>
      </c>
      <c r="E9" s="327">
        <v>509</v>
      </c>
      <c r="F9" s="327">
        <v>483</v>
      </c>
      <c r="G9" s="327">
        <v>476</v>
      </c>
      <c r="H9" s="327">
        <v>488</v>
      </c>
      <c r="I9" s="327">
        <v>472</v>
      </c>
      <c r="J9" s="327">
        <v>460</v>
      </c>
      <c r="K9" s="327">
        <v>453</v>
      </c>
      <c r="L9" s="327">
        <v>489</v>
      </c>
      <c r="M9" s="327">
        <v>474</v>
      </c>
      <c r="N9" s="327">
        <v>516</v>
      </c>
      <c r="O9" s="327">
        <v>519</v>
      </c>
      <c r="P9" s="327">
        <v>492</v>
      </c>
      <c r="Q9" s="327">
        <v>502</v>
      </c>
      <c r="R9" s="327">
        <v>480</v>
      </c>
      <c r="S9" s="327">
        <v>471</v>
      </c>
      <c r="T9" s="327">
        <v>483</v>
      </c>
      <c r="U9" s="327">
        <v>467</v>
      </c>
      <c r="V9" s="327">
        <v>455</v>
      </c>
      <c r="W9" s="327">
        <v>448</v>
      </c>
      <c r="X9" s="327">
        <v>486</v>
      </c>
      <c r="Y9" s="327">
        <v>471</v>
      </c>
      <c r="Z9" s="327">
        <v>512</v>
      </c>
      <c r="AA9" s="327">
        <v>516</v>
      </c>
      <c r="AB9" s="327">
        <v>489</v>
      </c>
      <c r="AC9" s="327">
        <v>500</v>
      </c>
      <c r="AD9" s="327">
        <v>478</v>
      </c>
      <c r="AE9" s="327">
        <v>468</v>
      </c>
      <c r="AF9" s="327">
        <v>480</v>
      </c>
      <c r="AG9" s="327">
        <v>465</v>
      </c>
      <c r="AH9" s="327">
        <v>452</v>
      </c>
      <c r="AI9" s="327">
        <v>444</v>
      </c>
      <c r="AJ9" s="327">
        <v>482</v>
      </c>
      <c r="AK9" s="327">
        <v>468</v>
      </c>
      <c r="AL9" s="327">
        <v>509</v>
      </c>
    </row>
    <row r="10" spans="1:38">
      <c r="A10" s="326" t="s">
        <v>1069</v>
      </c>
      <c r="B10" s="328"/>
      <c r="C10" s="327">
        <f t="shared" ref="C10:AL10" si="1">SUBTOTAL(9,C8:C9)</f>
        <v>17888</v>
      </c>
      <c r="D10" s="327">
        <f t="shared" si="1"/>
        <v>17916</v>
      </c>
      <c r="E10" s="327">
        <f t="shared" si="1"/>
        <v>18379</v>
      </c>
      <c r="F10" s="327">
        <f t="shared" si="1"/>
        <v>17453</v>
      </c>
      <c r="G10" s="327">
        <f t="shared" si="1"/>
        <v>17291</v>
      </c>
      <c r="H10" s="327">
        <f t="shared" si="1"/>
        <v>17782</v>
      </c>
      <c r="I10" s="327">
        <f t="shared" si="1"/>
        <v>18194</v>
      </c>
      <c r="J10" s="327">
        <f t="shared" si="1"/>
        <v>17984</v>
      </c>
      <c r="K10" s="327">
        <f t="shared" si="1"/>
        <v>16628</v>
      </c>
      <c r="L10" s="327">
        <f t="shared" si="1"/>
        <v>17844</v>
      </c>
      <c r="M10" s="327">
        <f t="shared" si="1"/>
        <v>17752</v>
      </c>
      <c r="N10" s="327">
        <f t="shared" si="1"/>
        <v>18172</v>
      </c>
      <c r="O10" s="327">
        <f t="shared" si="1"/>
        <v>17883</v>
      </c>
      <c r="P10" s="327">
        <f t="shared" si="1"/>
        <v>17826</v>
      </c>
      <c r="Q10" s="327">
        <f t="shared" si="1"/>
        <v>18290</v>
      </c>
      <c r="R10" s="327">
        <f t="shared" si="1"/>
        <v>17448</v>
      </c>
      <c r="S10" s="327">
        <f t="shared" si="1"/>
        <v>17232</v>
      </c>
      <c r="T10" s="327">
        <f t="shared" si="1"/>
        <v>17731</v>
      </c>
      <c r="U10" s="327">
        <f t="shared" si="1"/>
        <v>18136</v>
      </c>
      <c r="V10" s="327">
        <f t="shared" si="1"/>
        <v>17929</v>
      </c>
      <c r="W10" s="327">
        <f t="shared" si="1"/>
        <v>16563</v>
      </c>
      <c r="X10" s="327">
        <f t="shared" si="1"/>
        <v>17816</v>
      </c>
      <c r="Y10" s="327">
        <f t="shared" si="1"/>
        <v>17738</v>
      </c>
      <c r="Z10" s="327">
        <f t="shared" si="1"/>
        <v>18137</v>
      </c>
      <c r="AA10" s="327">
        <f t="shared" si="1"/>
        <v>17860</v>
      </c>
      <c r="AB10" s="327">
        <f t="shared" si="1"/>
        <v>17836</v>
      </c>
      <c r="AC10" s="327">
        <f t="shared" si="1"/>
        <v>18297</v>
      </c>
      <c r="AD10" s="327">
        <f t="shared" si="1"/>
        <v>17449</v>
      </c>
      <c r="AE10" s="327">
        <f t="shared" si="1"/>
        <v>17213</v>
      </c>
      <c r="AF10" s="327">
        <f t="shared" si="1"/>
        <v>17709</v>
      </c>
      <c r="AG10" s="327">
        <f t="shared" si="1"/>
        <v>18109</v>
      </c>
      <c r="AH10" s="327">
        <f t="shared" si="1"/>
        <v>17891</v>
      </c>
      <c r="AI10" s="327">
        <f t="shared" si="1"/>
        <v>16513</v>
      </c>
      <c r="AJ10" s="327">
        <f t="shared" si="1"/>
        <v>17784</v>
      </c>
      <c r="AK10" s="327">
        <f t="shared" si="1"/>
        <v>17716</v>
      </c>
      <c r="AL10" s="327">
        <f t="shared" si="1"/>
        <v>18122</v>
      </c>
    </row>
    <row r="11" spans="1:38">
      <c r="A11" s="326" t="s">
        <v>50</v>
      </c>
      <c r="B11" s="328" t="s">
        <v>1067</v>
      </c>
      <c r="C11" s="327">
        <v>176171</v>
      </c>
      <c r="D11" s="327">
        <v>177446</v>
      </c>
      <c r="E11" s="327">
        <v>180362</v>
      </c>
      <c r="F11" s="327">
        <v>174442</v>
      </c>
      <c r="G11" s="327">
        <v>168979</v>
      </c>
      <c r="H11" s="327">
        <v>173362</v>
      </c>
      <c r="I11" s="327">
        <v>177697</v>
      </c>
      <c r="J11" s="327">
        <v>174797</v>
      </c>
      <c r="K11" s="327">
        <v>143916</v>
      </c>
      <c r="L11" s="327">
        <v>187794</v>
      </c>
      <c r="M11" s="327">
        <v>190620</v>
      </c>
      <c r="N11" s="327">
        <v>188405</v>
      </c>
      <c r="O11" s="327">
        <v>180114</v>
      </c>
      <c r="P11" s="327">
        <v>181254</v>
      </c>
      <c r="Q11" s="327">
        <v>184188</v>
      </c>
      <c r="R11" s="327">
        <v>178174</v>
      </c>
      <c r="S11" s="327">
        <v>172495</v>
      </c>
      <c r="T11" s="327">
        <v>176833</v>
      </c>
      <c r="U11" s="327">
        <v>181174</v>
      </c>
      <c r="V11" s="327">
        <v>178097</v>
      </c>
      <c r="W11" s="327">
        <v>146598</v>
      </c>
      <c r="X11" s="327">
        <v>191292</v>
      </c>
      <c r="Y11" s="327">
        <v>194168</v>
      </c>
      <c r="Z11" s="327">
        <v>191785</v>
      </c>
      <c r="AA11" s="327">
        <v>183306</v>
      </c>
      <c r="AB11" s="327">
        <v>184482</v>
      </c>
      <c r="AC11" s="327">
        <v>187389</v>
      </c>
      <c r="AD11" s="327">
        <v>181157</v>
      </c>
      <c r="AE11" s="327">
        <v>175269</v>
      </c>
      <c r="AF11" s="327">
        <v>179544</v>
      </c>
      <c r="AG11" s="327">
        <v>183871</v>
      </c>
      <c r="AH11" s="327">
        <v>180658</v>
      </c>
      <c r="AI11" s="327">
        <v>148710</v>
      </c>
      <c r="AJ11" s="327">
        <v>194055</v>
      </c>
      <c r="AK11" s="327">
        <v>196937</v>
      </c>
      <c r="AL11" s="327">
        <v>194428</v>
      </c>
    </row>
    <row r="12" spans="1:38">
      <c r="A12" s="326" t="s">
        <v>50</v>
      </c>
      <c r="B12" s="328" t="s">
        <v>1068</v>
      </c>
      <c r="C12" s="327">
        <v>39466</v>
      </c>
      <c r="D12" s="327">
        <v>44467</v>
      </c>
      <c r="E12" s="327">
        <v>44783</v>
      </c>
      <c r="F12" s="327">
        <v>47454</v>
      </c>
      <c r="G12" s="327">
        <v>46177</v>
      </c>
      <c r="H12" s="327">
        <v>50992</v>
      </c>
      <c r="I12" s="327">
        <v>52527</v>
      </c>
      <c r="J12" s="327">
        <v>52330</v>
      </c>
      <c r="K12" s="327">
        <v>51351</v>
      </c>
      <c r="L12" s="327">
        <v>50955</v>
      </c>
      <c r="M12" s="327">
        <v>43821</v>
      </c>
      <c r="N12" s="327">
        <v>41884</v>
      </c>
      <c r="O12" s="327">
        <v>40499</v>
      </c>
      <c r="P12" s="327">
        <v>45617</v>
      </c>
      <c r="Q12" s="327">
        <v>45925</v>
      </c>
      <c r="R12" s="327">
        <v>48643</v>
      </c>
      <c r="S12" s="327">
        <v>47328</v>
      </c>
      <c r="T12" s="327">
        <v>52212</v>
      </c>
      <c r="U12" s="327">
        <v>53745</v>
      </c>
      <c r="V12" s="327">
        <v>53501</v>
      </c>
      <c r="W12" s="327">
        <v>52454</v>
      </c>
      <c r="X12" s="327">
        <v>52060</v>
      </c>
      <c r="Y12" s="327">
        <v>44765</v>
      </c>
      <c r="Z12" s="327">
        <v>42770</v>
      </c>
      <c r="AA12" s="327">
        <v>41342</v>
      </c>
      <c r="AB12" s="327">
        <v>46557</v>
      </c>
      <c r="AC12" s="327">
        <v>46848</v>
      </c>
      <c r="AD12" s="327">
        <v>49590</v>
      </c>
      <c r="AE12" s="327">
        <v>48223</v>
      </c>
      <c r="AF12" s="327">
        <v>53157</v>
      </c>
      <c r="AG12" s="327">
        <v>54683</v>
      </c>
      <c r="AH12" s="327">
        <v>54408</v>
      </c>
      <c r="AI12" s="327">
        <v>53323</v>
      </c>
      <c r="AJ12" s="327">
        <v>52937</v>
      </c>
      <c r="AK12" s="327">
        <v>45505</v>
      </c>
      <c r="AL12" s="327">
        <v>43457</v>
      </c>
    </row>
    <row r="13" spans="1:38">
      <c r="A13" s="326" t="s">
        <v>1070</v>
      </c>
      <c r="B13" s="328"/>
      <c r="C13" s="327">
        <f t="shared" ref="C13:AL13" si="2">SUBTOTAL(9,C11:C12)</f>
        <v>215637</v>
      </c>
      <c r="D13" s="327">
        <f t="shared" si="2"/>
        <v>221913</v>
      </c>
      <c r="E13" s="327">
        <f t="shared" si="2"/>
        <v>225145</v>
      </c>
      <c r="F13" s="327">
        <f t="shared" si="2"/>
        <v>221896</v>
      </c>
      <c r="G13" s="327">
        <f t="shared" si="2"/>
        <v>215156</v>
      </c>
      <c r="H13" s="327">
        <f t="shared" si="2"/>
        <v>224354</v>
      </c>
      <c r="I13" s="327">
        <f t="shared" si="2"/>
        <v>230224</v>
      </c>
      <c r="J13" s="327">
        <f t="shared" si="2"/>
        <v>227127</v>
      </c>
      <c r="K13" s="327">
        <f t="shared" si="2"/>
        <v>195267</v>
      </c>
      <c r="L13" s="327">
        <f t="shared" si="2"/>
        <v>238749</v>
      </c>
      <c r="M13" s="327">
        <f t="shared" si="2"/>
        <v>234441</v>
      </c>
      <c r="N13" s="327">
        <f t="shared" si="2"/>
        <v>230289</v>
      </c>
      <c r="O13" s="327">
        <f t="shared" si="2"/>
        <v>220613</v>
      </c>
      <c r="P13" s="327">
        <f t="shared" si="2"/>
        <v>226871</v>
      </c>
      <c r="Q13" s="327">
        <f t="shared" si="2"/>
        <v>230113</v>
      </c>
      <c r="R13" s="327">
        <f t="shared" si="2"/>
        <v>226817</v>
      </c>
      <c r="S13" s="327">
        <f t="shared" si="2"/>
        <v>219823</v>
      </c>
      <c r="T13" s="327">
        <f t="shared" si="2"/>
        <v>229045</v>
      </c>
      <c r="U13" s="327">
        <f t="shared" si="2"/>
        <v>234919</v>
      </c>
      <c r="V13" s="327">
        <f t="shared" si="2"/>
        <v>231598</v>
      </c>
      <c r="W13" s="327">
        <f t="shared" si="2"/>
        <v>199052</v>
      </c>
      <c r="X13" s="327">
        <f t="shared" si="2"/>
        <v>243352</v>
      </c>
      <c r="Y13" s="327">
        <f t="shared" si="2"/>
        <v>238933</v>
      </c>
      <c r="Z13" s="327">
        <f t="shared" si="2"/>
        <v>234555</v>
      </c>
      <c r="AA13" s="327">
        <f t="shared" si="2"/>
        <v>224648</v>
      </c>
      <c r="AB13" s="327">
        <f t="shared" si="2"/>
        <v>231039</v>
      </c>
      <c r="AC13" s="327">
        <f t="shared" si="2"/>
        <v>234237</v>
      </c>
      <c r="AD13" s="327">
        <f t="shared" si="2"/>
        <v>230747</v>
      </c>
      <c r="AE13" s="327">
        <f t="shared" si="2"/>
        <v>223492</v>
      </c>
      <c r="AF13" s="327">
        <f t="shared" si="2"/>
        <v>232701</v>
      </c>
      <c r="AG13" s="327">
        <f t="shared" si="2"/>
        <v>238554</v>
      </c>
      <c r="AH13" s="327">
        <f t="shared" si="2"/>
        <v>235066</v>
      </c>
      <c r="AI13" s="327">
        <f t="shared" si="2"/>
        <v>202033</v>
      </c>
      <c r="AJ13" s="327">
        <f t="shared" si="2"/>
        <v>246992</v>
      </c>
      <c r="AK13" s="327">
        <f t="shared" si="2"/>
        <v>242442</v>
      </c>
      <c r="AL13" s="327">
        <f t="shared" si="2"/>
        <v>237885</v>
      </c>
    </row>
    <row r="14" spans="1:38">
      <c r="A14" s="326" t="s">
        <v>67</v>
      </c>
      <c r="B14" s="328" t="s">
        <v>1071</v>
      </c>
      <c r="C14" s="327">
        <v>5498753</v>
      </c>
      <c r="D14" s="327">
        <v>5234661</v>
      </c>
      <c r="E14" s="327">
        <v>5489724</v>
      </c>
      <c r="F14" s="327">
        <v>5279355</v>
      </c>
      <c r="G14" s="327">
        <v>5473325</v>
      </c>
      <c r="H14" s="327">
        <v>5684951</v>
      </c>
      <c r="I14" s="327">
        <v>5778419</v>
      </c>
      <c r="J14" s="327">
        <v>5668059</v>
      </c>
      <c r="K14" s="327">
        <v>5595124</v>
      </c>
      <c r="L14" s="327">
        <v>5603028</v>
      </c>
      <c r="M14" s="327">
        <v>5427703</v>
      </c>
      <c r="N14" s="327">
        <v>5530173</v>
      </c>
      <c r="O14" s="327">
        <v>5529452</v>
      </c>
      <c r="P14" s="327">
        <v>5227614</v>
      </c>
      <c r="Q14" s="327">
        <v>5484385</v>
      </c>
      <c r="R14" s="327">
        <v>5306571</v>
      </c>
      <c r="S14" s="327">
        <v>5484604</v>
      </c>
      <c r="T14" s="327">
        <v>5701327</v>
      </c>
      <c r="U14" s="327">
        <v>5791774</v>
      </c>
      <c r="V14" s="327">
        <v>5684573</v>
      </c>
      <c r="W14" s="327">
        <v>5605983</v>
      </c>
      <c r="X14" s="327">
        <v>5628406</v>
      </c>
      <c r="Y14" s="327">
        <v>5456971</v>
      </c>
      <c r="Z14" s="327">
        <v>5553165</v>
      </c>
      <c r="AA14" s="327">
        <v>5557231</v>
      </c>
      <c r="AB14" s="327">
        <v>5261849</v>
      </c>
      <c r="AC14" s="327">
        <v>5520780</v>
      </c>
      <c r="AD14" s="327">
        <v>5340805</v>
      </c>
      <c r="AE14" s="327">
        <v>5515614</v>
      </c>
      <c r="AF14" s="327">
        <v>5732422</v>
      </c>
      <c r="AG14" s="327">
        <v>5820657</v>
      </c>
      <c r="AH14" s="327">
        <v>5710260</v>
      </c>
      <c r="AI14" s="327">
        <v>5625244</v>
      </c>
      <c r="AJ14" s="327">
        <v>5654275</v>
      </c>
      <c r="AK14" s="327">
        <v>5485525</v>
      </c>
      <c r="AL14" s="327">
        <v>5586768</v>
      </c>
    </row>
    <row r="15" spans="1:38">
      <c r="A15" s="326" t="s">
        <v>67</v>
      </c>
      <c r="B15" s="328" t="s">
        <v>1072</v>
      </c>
      <c r="C15" s="327">
        <v>159671</v>
      </c>
      <c r="D15" s="327">
        <v>150636</v>
      </c>
      <c r="E15" s="327">
        <v>156728</v>
      </c>
      <c r="F15" s="327">
        <v>151240</v>
      </c>
      <c r="G15" s="327">
        <v>157075</v>
      </c>
      <c r="H15" s="327">
        <v>162929</v>
      </c>
      <c r="I15" s="327">
        <v>167196</v>
      </c>
      <c r="J15" s="327">
        <v>162731</v>
      </c>
      <c r="K15" s="327">
        <v>161978</v>
      </c>
      <c r="L15" s="327">
        <v>162700</v>
      </c>
      <c r="M15" s="327">
        <v>158301</v>
      </c>
      <c r="N15" s="327">
        <v>160772</v>
      </c>
      <c r="O15" s="327">
        <v>160553</v>
      </c>
      <c r="P15" s="327">
        <v>150413</v>
      </c>
      <c r="Q15" s="327">
        <v>156379</v>
      </c>
      <c r="R15" s="327">
        <v>151843</v>
      </c>
      <c r="S15" s="327">
        <v>157215</v>
      </c>
      <c r="T15" s="327">
        <v>163219</v>
      </c>
      <c r="U15" s="327">
        <v>167399</v>
      </c>
      <c r="V15" s="327">
        <v>163220</v>
      </c>
      <c r="W15" s="327">
        <v>162308</v>
      </c>
      <c r="X15" s="327">
        <v>163457</v>
      </c>
      <c r="Y15" s="327">
        <v>159184</v>
      </c>
      <c r="Z15" s="327">
        <v>161481</v>
      </c>
      <c r="AA15" s="327">
        <v>161226</v>
      </c>
      <c r="AB15" s="327">
        <v>151282</v>
      </c>
      <c r="AC15" s="327">
        <v>157487</v>
      </c>
      <c r="AD15" s="327">
        <v>152902</v>
      </c>
      <c r="AE15" s="327">
        <v>158193</v>
      </c>
      <c r="AF15" s="327">
        <v>164211</v>
      </c>
      <c r="AG15" s="327">
        <v>168157</v>
      </c>
      <c r="AH15" s="327">
        <v>163896</v>
      </c>
      <c r="AI15" s="327">
        <v>162816</v>
      </c>
      <c r="AJ15" s="327">
        <v>164169</v>
      </c>
      <c r="AK15" s="327">
        <v>159986</v>
      </c>
      <c r="AL15" s="327">
        <v>162427</v>
      </c>
    </row>
    <row r="16" spans="1:38">
      <c r="A16" s="326" t="s">
        <v>67</v>
      </c>
      <c r="B16" s="328" t="s">
        <v>1073</v>
      </c>
      <c r="C16" s="327">
        <v>0</v>
      </c>
      <c r="D16" s="327">
        <v>0</v>
      </c>
      <c r="E16" s="327">
        <v>0</v>
      </c>
      <c r="F16" s="327">
        <v>0</v>
      </c>
      <c r="G16" s="327">
        <v>0</v>
      </c>
      <c r="H16" s="327">
        <v>173836</v>
      </c>
      <c r="I16" s="327">
        <v>166024</v>
      </c>
      <c r="J16" s="327">
        <v>188479</v>
      </c>
      <c r="K16" s="327">
        <v>214336</v>
      </c>
      <c r="L16" s="327">
        <v>0</v>
      </c>
      <c r="M16" s="327">
        <v>0</v>
      </c>
      <c r="N16" s="327">
        <v>0</v>
      </c>
      <c r="O16" s="327">
        <v>0</v>
      </c>
      <c r="P16" s="327">
        <v>0</v>
      </c>
      <c r="Q16" s="327">
        <v>0</v>
      </c>
      <c r="R16" s="327">
        <v>0</v>
      </c>
      <c r="S16" s="327">
        <v>0</v>
      </c>
      <c r="T16" s="327">
        <v>174339</v>
      </c>
      <c r="U16" s="327">
        <v>166426</v>
      </c>
      <c r="V16" s="327">
        <v>189090</v>
      </c>
      <c r="W16" s="327">
        <v>214827</v>
      </c>
      <c r="X16" s="327">
        <v>0</v>
      </c>
      <c r="Y16" s="327">
        <v>0</v>
      </c>
      <c r="Z16" s="327">
        <v>0</v>
      </c>
      <c r="AA16" s="327">
        <v>0</v>
      </c>
      <c r="AB16" s="327">
        <v>0</v>
      </c>
      <c r="AC16" s="327">
        <v>0</v>
      </c>
      <c r="AD16" s="327">
        <v>0</v>
      </c>
      <c r="AE16" s="327">
        <v>0</v>
      </c>
      <c r="AF16" s="327">
        <v>175340</v>
      </c>
      <c r="AG16" s="327">
        <v>167312</v>
      </c>
      <c r="AH16" s="327">
        <v>189868</v>
      </c>
      <c r="AI16" s="327">
        <v>215500</v>
      </c>
      <c r="AJ16" s="327">
        <v>0</v>
      </c>
      <c r="AK16" s="327">
        <v>0</v>
      </c>
      <c r="AL16" s="327">
        <v>0</v>
      </c>
    </row>
    <row r="17" spans="1:38">
      <c r="A17" s="326" t="s">
        <v>67</v>
      </c>
      <c r="B17" s="328" t="s">
        <v>1074</v>
      </c>
      <c r="C17" s="327">
        <v>248107</v>
      </c>
      <c r="D17" s="327">
        <v>244557</v>
      </c>
      <c r="E17" s="327">
        <v>258585</v>
      </c>
      <c r="F17" s="327">
        <v>245062</v>
      </c>
      <c r="G17" s="327">
        <v>250385</v>
      </c>
      <c r="H17" s="327">
        <v>0</v>
      </c>
      <c r="I17" s="327">
        <v>0</v>
      </c>
      <c r="J17" s="327">
        <v>0</v>
      </c>
      <c r="K17" s="327">
        <v>0</v>
      </c>
      <c r="L17" s="327">
        <v>265146</v>
      </c>
      <c r="M17" s="327">
        <v>255068</v>
      </c>
      <c r="N17" s="327">
        <v>255886</v>
      </c>
      <c r="O17" s="327">
        <v>249554</v>
      </c>
      <c r="P17" s="327">
        <v>244304</v>
      </c>
      <c r="Q17" s="327">
        <v>258184</v>
      </c>
      <c r="R17" s="327">
        <v>246187</v>
      </c>
      <c r="S17" s="327">
        <v>250917</v>
      </c>
      <c r="T17" s="327">
        <v>0</v>
      </c>
      <c r="U17" s="327">
        <v>0</v>
      </c>
      <c r="V17" s="327">
        <v>0</v>
      </c>
      <c r="W17" s="327">
        <v>0</v>
      </c>
      <c r="X17" s="327">
        <v>266235</v>
      </c>
      <c r="Y17" s="327">
        <v>256345</v>
      </c>
      <c r="Z17" s="327">
        <v>257021</v>
      </c>
      <c r="AA17" s="327">
        <v>250745</v>
      </c>
      <c r="AB17" s="327">
        <v>245858</v>
      </c>
      <c r="AC17" s="327">
        <v>259857</v>
      </c>
      <c r="AD17" s="327">
        <v>247749</v>
      </c>
      <c r="AE17" s="327">
        <v>252329</v>
      </c>
      <c r="AF17" s="327">
        <v>0</v>
      </c>
      <c r="AG17" s="327">
        <v>0</v>
      </c>
      <c r="AH17" s="327">
        <v>0</v>
      </c>
      <c r="AI17" s="327">
        <v>0</v>
      </c>
      <c r="AJ17" s="327">
        <v>267543</v>
      </c>
      <c r="AK17" s="327">
        <v>257713</v>
      </c>
      <c r="AL17" s="327">
        <v>258602</v>
      </c>
    </row>
    <row r="18" spans="1:38">
      <c r="A18" s="326" t="s">
        <v>67</v>
      </c>
      <c r="B18" s="328" t="s">
        <v>1075</v>
      </c>
      <c r="C18" s="327">
        <v>5542</v>
      </c>
      <c r="D18" s="327">
        <v>5840</v>
      </c>
      <c r="E18" s="327">
        <v>5408</v>
      </c>
      <c r="F18" s="327">
        <v>6109</v>
      </c>
      <c r="G18" s="327">
        <v>6152</v>
      </c>
      <c r="H18" s="327">
        <v>0</v>
      </c>
      <c r="I18" s="327">
        <v>0</v>
      </c>
      <c r="J18" s="327">
        <v>0</v>
      </c>
      <c r="K18" s="327">
        <v>0</v>
      </c>
      <c r="L18" s="327">
        <v>5277</v>
      </c>
      <c r="M18" s="327">
        <v>5928</v>
      </c>
      <c r="N18" s="327">
        <v>5520</v>
      </c>
      <c r="O18" s="327">
        <v>5565</v>
      </c>
      <c r="P18" s="327">
        <v>5830</v>
      </c>
      <c r="Q18" s="327">
        <v>5399</v>
      </c>
      <c r="R18" s="327">
        <v>6137</v>
      </c>
      <c r="S18" s="327">
        <v>6162</v>
      </c>
      <c r="T18" s="327">
        <v>0</v>
      </c>
      <c r="U18" s="327">
        <v>0</v>
      </c>
      <c r="V18" s="327">
        <v>0</v>
      </c>
      <c r="W18" s="327">
        <v>0</v>
      </c>
      <c r="X18" s="327">
        <v>5294</v>
      </c>
      <c r="Y18" s="327">
        <v>5954</v>
      </c>
      <c r="Z18" s="327">
        <v>5535</v>
      </c>
      <c r="AA18" s="327">
        <v>5585</v>
      </c>
      <c r="AB18" s="327">
        <v>5862</v>
      </c>
      <c r="AC18" s="327">
        <v>5429</v>
      </c>
      <c r="AD18" s="327">
        <v>6171</v>
      </c>
      <c r="AE18" s="327">
        <v>6192</v>
      </c>
      <c r="AF18" s="327">
        <v>0</v>
      </c>
      <c r="AG18" s="327">
        <v>0</v>
      </c>
      <c r="AH18" s="327">
        <v>0</v>
      </c>
      <c r="AI18" s="327">
        <v>0</v>
      </c>
      <c r="AJ18" s="327">
        <v>5313</v>
      </c>
      <c r="AK18" s="327">
        <v>5982</v>
      </c>
      <c r="AL18" s="327">
        <v>5563</v>
      </c>
    </row>
    <row r="19" spans="1:38">
      <c r="A19" s="326" t="s">
        <v>1076</v>
      </c>
      <c r="B19" s="328"/>
      <c r="C19" s="327">
        <f t="shared" ref="C19:AL19" si="3">SUBTOTAL(9,C14:C18)</f>
        <v>5912073</v>
      </c>
      <c r="D19" s="327">
        <f t="shared" si="3"/>
        <v>5635694</v>
      </c>
      <c r="E19" s="327">
        <f t="shared" si="3"/>
        <v>5910445</v>
      </c>
      <c r="F19" s="327">
        <f t="shared" si="3"/>
        <v>5681766</v>
      </c>
      <c r="G19" s="327">
        <f t="shared" si="3"/>
        <v>5886937</v>
      </c>
      <c r="H19" s="327">
        <f t="shared" si="3"/>
        <v>6021716</v>
      </c>
      <c r="I19" s="327">
        <f t="shared" si="3"/>
        <v>6111639</v>
      </c>
      <c r="J19" s="327">
        <f t="shared" si="3"/>
        <v>6019269</v>
      </c>
      <c r="K19" s="327">
        <f t="shared" si="3"/>
        <v>5971438</v>
      </c>
      <c r="L19" s="327">
        <f t="shared" si="3"/>
        <v>6036151</v>
      </c>
      <c r="M19" s="327">
        <f t="shared" si="3"/>
        <v>5847000</v>
      </c>
      <c r="N19" s="327">
        <f t="shared" si="3"/>
        <v>5952351</v>
      </c>
      <c r="O19" s="327">
        <f t="shared" si="3"/>
        <v>5945124</v>
      </c>
      <c r="P19" s="327">
        <f t="shared" si="3"/>
        <v>5628161</v>
      </c>
      <c r="Q19" s="327">
        <f t="shared" si="3"/>
        <v>5904347</v>
      </c>
      <c r="R19" s="327">
        <f t="shared" si="3"/>
        <v>5710738</v>
      </c>
      <c r="S19" s="327">
        <f t="shared" si="3"/>
        <v>5898898</v>
      </c>
      <c r="T19" s="327">
        <f t="shared" si="3"/>
        <v>6038885</v>
      </c>
      <c r="U19" s="327">
        <f t="shared" si="3"/>
        <v>6125599</v>
      </c>
      <c r="V19" s="327">
        <f t="shared" si="3"/>
        <v>6036883</v>
      </c>
      <c r="W19" s="327">
        <f t="shared" si="3"/>
        <v>5983118</v>
      </c>
      <c r="X19" s="327">
        <f t="shared" si="3"/>
        <v>6063392</v>
      </c>
      <c r="Y19" s="327">
        <f t="shared" si="3"/>
        <v>5878454</v>
      </c>
      <c r="Z19" s="327">
        <f t="shared" si="3"/>
        <v>5977202</v>
      </c>
      <c r="AA19" s="327">
        <f t="shared" si="3"/>
        <v>5974787</v>
      </c>
      <c r="AB19" s="327">
        <f t="shared" si="3"/>
        <v>5664851</v>
      </c>
      <c r="AC19" s="327">
        <f t="shared" si="3"/>
        <v>5943553</v>
      </c>
      <c r="AD19" s="327">
        <f t="shared" si="3"/>
        <v>5747627</v>
      </c>
      <c r="AE19" s="327">
        <f t="shared" si="3"/>
        <v>5932328</v>
      </c>
      <c r="AF19" s="327">
        <f t="shared" si="3"/>
        <v>6071973</v>
      </c>
      <c r="AG19" s="327">
        <f t="shared" si="3"/>
        <v>6156126</v>
      </c>
      <c r="AH19" s="327">
        <f t="shared" si="3"/>
        <v>6064024</v>
      </c>
      <c r="AI19" s="327">
        <f t="shared" si="3"/>
        <v>6003560</v>
      </c>
      <c r="AJ19" s="327">
        <f t="shared" si="3"/>
        <v>6091300</v>
      </c>
      <c r="AK19" s="327">
        <f t="shared" si="3"/>
        <v>5909206</v>
      </c>
      <c r="AL19" s="327">
        <f t="shared" si="3"/>
        <v>6013360</v>
      </c>
    </row>
    <row r="20" spans="1:38">
      <c r="A20" s="326" t="s">
        <v>68</v>
      </c>
      <c r="B20" s="328" t="s">
        <v>1071</v>
      </c>
      <c r="C20" s="327">
        <v>1464923</v>
      </c>
      <c r="D20" s="327">
        <v>1400011</v>
      </c>
      <c r="E20" s="327">
        <v>1460225</v>
      </c>
      <c r="F20" s="327">
        <v>1436769</v>
      </c>
      <c r="G20" s="327">
        <v>1495704</v>
      </c>
      <c r="H20" s="327">
        <v>1555307</v>
      </c>
      <c r="I20" s="327">
        <v>1551185</v>
      </c>
      <c r="J20" s="327">
        <v>1536575</v>
      </c>
      <c r="K20" s="327">
        <v>1535358</v>
      </c>
      <c r="L20" s="327">
        <v>1533967</v>
      </c>
      <c r="M20" s="327">
        <v>1479443</v>
      </c>
      <c r="N20" s="327">
        <v>1490816</v>
      </c>
      <c r="O20" s="327">
        <v>1473963</v>
      </c>
      <c r="P20" s="327">
        <v>1399282</v>
      </c>
      <c r="Q20" s="327">
        <v>1459403</v>
      </c>
      <c r="R20" s="327">
        <v>1444555</v>
      </c>
      <c r="S20" s="327">
        <v>1499255</v>
      </c>
      <c r="T20" s="327">
        <v>1559638</v>
      </c>
      <c r="U20" s="327">
        <v>1555886</v>
      </c>
      <c r="V20" s="327">
        <v>1542112</v>
      </c>
      <c r="W20" s="327">
        <v>1538164</v>
      </c>
      <c r="X20" s="327">
        <v>1540692</v>
      </c>
      <c r="Y20" s="327">
        <v>1487868</v>
      </c>
      <c r="Z20" s="327">
        <v>1497614</v>
      </c>
      <c r="AA20" s="327">
        <v>1481383</v>
      </c>
      <c r="AB20" s="327">
        <v>1408555</v>
      </c>
      <c r="AC20" s="327">
        <v>1469229</v>
      </c>
      <c r="AD20" s="327">
        <v>1453485</v>
      </c>
      <c r="AE20" s="327">
        <v>1507994</v>
      </c>
      <c r="AF20" s="327">
        <v>1568479</v>
      </c>
      <c r="AG20" s="327">
        <v>1563404</v>
      </c>
      <c r="AH20" s="327">
        <v>1549780</v>
      </c>
      <c r="AI20" s="327">
        <v>1544932</v>
      </c>
      <c r="AJ20" s="327">
        <v>1549316</v>
      </c>
      <c r="AK20" s="327">
        <v>1496611</v>
      </c>
      <c r="AL20" s="327">
        <v>1507576</v>
      </c>
    </row>
    <row r="21" spans="1:38">
      <c r="A21" s="326" t="s">
        <v>68</v>
      </c>
      <c r="B21" s="328" t="s">
        <v>1072</v>
      </c>
      <c r="C21" s="327">
        <v>206472</v>
      </c>
      <c r="D21" s="327">
        <v>196014</v>
      </c>
      <c r="E21" s="327">
        <v>202205</v>
      </c>
      <c r="F21" s="327">
        <v>196520</v>
      </c>
      <c r="G21" s="327">
        <v>203291</v>
      </c>
      <c r="H21" s="327">
        <v>210362</v>
      </c>
      <c r="I21" s="327">
        <v>215731</v>
      </c>
      <c r="J21" s="327">
        <v>211762</v>
      </c>
      <c r="K21" s="327">
        <v>209613</v>
      </c>
      <c r="L21" s="327">
        <v>210720</v>
      </c>
      <c r="M21" s="327">
        <v>204017</v>
      </c>
      <c r="N21" s="327">
        <v>209325</v>
      </c>
      <c r="O21" s="327">
        <v>207188</v>
      </c>
      <c r="P21" s="327">
        <v>196024</v>
      </c>
      <c r="Q21" s="327">
        <v>202297</v>
      </c>
      <c r="R21" s="327">
        <v>197130</v>
      </c>
      <c r="S21" s="327">
        <v>203298</v>
      </c>
      <c r="T21" s="327">
        <v>211287</v>
      </c>
      <c r="U21" s="327">
        <v>216562</v>
      </c>
      <c r="V21" s="327">
        <v>211961</v>
      </c>
      <c r="W21" s="327">
        <v>210344</v>
      </c>
      <c r="X21" s="327">
        <v>212002</v>
      </c>
      <c r="Y21" s="327">
        <v>204731</v>
      </c>
      <c r="Z21" s="327">
        <v>209821</v>
      </c>
      <c r="AA21" s="327">
        <v>208588</v>
      </c>
      <c r="AB21" s="327">
        <v>196975</v>
      </c>
      <c r="AC21" s="327">
        <v>203305</v>
      </c>
      <c r="AD21" s="327">
        <v>198770</v>
      </c>
      <c r="AE21" s="327">
        <v>204841</v>
      </c>
      <c r="AF21" s="327">
        <v>212124</v>
      </c>
      <c r="AG21" s="327">
        <v>217336</v>
      </c>
      <c r="AH21" s="327">
        <v>213370</v>
      </c>
      <c r="AI21" s="327">
        <v>210803</v>
      </c>
      <c r="AJ21" s="327">
        <v>212727</v>
      </c>
      <c r="AK21" s="327">
        <v>206273</v>
      </c>
      <c r="AL21" s="327">
        <v>211572</v>
      </c>
    </row>
    <row r="22" spans="1:38">
      <c r="A22" s="326" t="s">
        <v>68</v>
      </c>
      <c r="B22" s="328" t="s">
        <v>1073</v>
      </c>
      <c r="C22" s="327">
        <v>0</v>
      </c>
      <c r="D22" s="327">
        <v>0</v>
      </c>
      <c r="E22" s="327">
        <v>0</v>
      </c>
      <c r="F22" s="327">
        <v>0</v>
      </c>
      <c r="G22" s="327">
        <v>0</v>
      </c>
      <c r="H22" s="327">
        <v>191774</v>
      </c>
      <c r="I22" s="327">
        <v>189265</v>
      </c>
      <c r="J22" s="327">
        <v>210474</v>
      </c>
      <c r="K22" s="327">
        <v>229987</v>
      </c>
      <c r="L22" s="327">
        <v>0</v>
      </c>
      <c r="M22" s="327">
        <v>0</v>
      </c>
      <c r="N22" s="327">
        <v>0</v>
      </c>
      <c r="O22" s="327">
        <v>0</v>
      </c>
      <c r="P22" s="327">
        <v>0</v>
      </c>
      <c r="Q22" s="327">
        <v>0</v>
      </c>
      <c r="R22" s="327">
        <v>0</v>
      </c>
      <c r="S22" s="327">
        <v>0</v>
      </c>
      <c r="T22" s="327">
        <v>192664</v>
      </c>
      <c r="U22" s="327">
        <v>189998</v>
      </c>
      <c r="V22" s="327">
        <v>211363</v>
      </c>
      <c r="W22" s="327">
        <v>230720</v>
      </c>
      <c r="X22" s="327">
        <v>0</v>
      </c>
      <c r="Y22" s="327">
        <v>0</v>
      </c>
      <c r="Z22" s="327">
        <v>0</v>
      </c>
      <c r="AA22" s="327">
        <v>0</v>
      </c>
      <c r="AB22" s="327">
        <v>0</v>
      </c>
      <c r="AC22" s="327">
        <v>0</v>
      </c>
      <c r="AD22" s="327">
        <v>0</v>
      </c>
      <c r="AE22" s="327">
        <v>0</v>
      </c>
      <c r="AF22" s="327">
        <v>193728</v>
      </c>
      <c r="AG22" s="327">
        <v>190531</v>
      </c>
      <c r="AH22" s="327">
        <v>212394</v>
      </c>
      <c r="AI22" s="327">
        <v>231057</v>
      </c>
      <c r="AJ22" s="327">
        <v>0</v>
      </c>
      <c r="AK22" s="327">
        <v>0</v>
      </c>
      <c r="AL22" s="327">
        <v>0</v>
      </c>
    </row>
    <row r="23" spans="1:38">
      <c r="A23" s="326" t="s">
        <v>68</v>
      </c>
      <c r="B23" s="328" t="s">
        <v>1074</v>
      </c>
      <c r="C23" s="327">
        <v>245212</v>
      </c>
      <c r="D23" s="327">
        <v>235865</v>
      </c>
      <c r="E23" s="327">
        <v>247386</v>
      </c>
      <c r="F23" s="327">
        <v>242083</v>
      </c>
      <c r="G23" s="327">
        <v>260683</v>
      </c>
      <c r="H23" s="327">
        <v>0</v>
      </c>
      <c r="I23" s="327">
        <v>0</v>
      </c>
      <c r="J23" s="327">
        <v>0</v>
      </c>
      <c r="K23" s="327">
        <v>0</v>
      </c>
      <c r="L23" s="327">
        <v>279777</v>
      </c>
      <c r="M23" s="327">
        <v>261173</v>
      </c>
      <c r="N23" s="327">
        <v>257627</v>
      </c>
      <c r="O23" s="327">
        <v>246588</v>
      </c>
      <c r="P23" s="327">
        <v>235557</v>
      </c>
      <c r="Q23" s="327">
        <v>247166</v>
      </c>
      <c r="R23" s="327">
        <v>242744</v>
      </c>
      <c r="S23" s="327">
        <v>261248</v>
      </c>
      <c r="T23" s="327">
        <v>0</v>
      </c>
      <c r="U23" s="327">
        <v>0</v>
      </c>
      <c r="V23" s="327">
        <v>0</v>
      </c>
      <c r="W23" s="327">
        <v>0</v>
      </c>
      <c r="X23" s="327">
        <v>281094</v>
      </c>
      <c r="Y23" s="327">
        <v>262645</v>
      </c>
      <c r="Z23" s="327">
        <v>258775</v>
      </c>
      <c r="AA23" s="327">
        <v>247919</v>
      </c>
      <c r="AB23" s="327">
        <v>236611</v>
      </c>
      <c r="AC23" s="327">
        <v>248920</v>
      </c>
      <c r="AD23" s="327">
        <v>244440</v>
      </c>
      <c r="AE23" s="327">
        <v>262873</v>
      </c>
      <c r="AF23" s="327">
        <v>0</v>
      </c>
      <c r="AG23" s="327">
        <v>0</v>
      </c>
      <c r="AH23" s="327">
        <v>0</v>
      </c>
      <c r="AI23" s="327">
        <v>0</v>
      </c>
      <c r="AJ23" s="327">
        <v>282640</v>
      </c>
      <c r="AK23" s="327">
        <v>264268</v>
      </c>
      <c r="AL23" s="327">
        <v>259939</v>
      </c>
    </row>
    <row r="24" spans="1:38">
      <c r="A24" s="326" t="s">
        <v>68</v>
      </c>
      <c r="B24" s="328" t="s">
        <v>1075</v>
      </c>
      <c r="C24" s="327">
        <v>7542</v>
      </c>
      <c r="D24" s="327">
        <v>8343</v>
      </c>
      <c r="E24" s="327">
        <v>11126</v>
      </c>
      <c r="F24" s="327">
        <v>8994</v>
      </c>
      <c r="G24" s="327">
        <v>7583</v>
      </c>
      <c r="H24" s="327">
        <v>0</v>
      </c>
      <c r="I24" s="327">
        <v>0</v>
      </c>
      <c r="J24" s="327">
        <v>0</v>
      </c>
      <c r="K24" s="327">
        <v>0</v>
      </c>
      <c r="L24" s="327">
        <v>7994</v>
      </c>
      <c r="M24" s="327">
        <v>8258</v>
      </c>
      <c r="N24" s="327">
        <v>7974</v>
      </c>
      <c r="O24" s="327">
        <v>7485</v>
      </c>
      <c r="P24" s="327">
        <v>8221</v>
      </c>
      <c r="Q24" s="327">
        <v>10969</v>
      </c>
      <c r="R24" s="327">
        <v>8923</v>
      </c>
      <c r="S24" s="327">
        <v>7500</v>
      </c>
      <c r="T24" s="327">
        <v>0</v>
      </c>
      <c r="U24" s="327">
        <v>0</v>
      </c>
      <c r="V24" s="327">
        <v>0</v>
      </c>
      <c r="W24" s="327">
        <v>0</v>
      </c>
      <c r="X24" s="327">
        <v>8305</v>
      </c>
      <c r="Y24" s="327">
        <v>8588</v>
      </c>
      <c r="Z24" s="327">
        <v>8283</v>
      </c>
      <c r="AA24" s="327">
        <v>7782</v>
      </c>
      <c r="AB24" s="327">
        <v>8561</v>
      </c>
      <c r="AC24" s="327">
        <v>11424</v>
      </c>
      <c r="AD24" s="327">
        <v>9293</v>
      </c>
      <c r="AE24" s="327">
        <v>7805</v>
      </c>
      <c r="AF24" s="327">
        <v>0</v>
      </c>
      <c r="AG24" s="327">
        <v>0</v>
      </c>
      <c r="AH24" s="327">
        <v>0</v>
      </c>
      <c r="AI24" s="327">
        <v>0</v>
      </c>
      <c r="AJ24" s="327">
        <v>8245</v>
      </c>
      <c r="AK24" s="327">
        <v>8531</v>
      </c>
      <c r="AL24" s="327">
        <v>8235</v>
      </c>
    </row>
    <row r="25" spans="1:38">
      <c r="A25" s="326" t="s">
        <v>1077</v>
      </c>
      <c r="B25" s="328"/>
      <c r="C25" s="327">
        <f t="shared" ref="C25:AL25" si="4">SUBTOTAL(9,C20:C24)</f>
        <v>1924149</v>
      </c>
      <c r="D25" s="327">
        <f t="shared" si="4"/>
        <v>1840233</v>
      </c>
      <c r="E25" s="327">
        <f t="shared" si="4"/>
        <v>1920942</v>
      </c>
      <c r="F25" s="327">
        <f t="shared" si="4"/>
        <v>1884366</v>
      </c>
      <c r="G25" s="327">
        <f t="shared" si="4"/>
        <v>1967261</v>
      </c>
      <c r="H25" s="327">
        <f t="shared" si="4"/>
        <v>1957443</v>
      </c>
      <c r="I25" s="327">
        <f t="shared" si="4"/>
        <v>1956181</v>
      </c>
      <c r="J25" s="327">
        <f t="shared" si="4"/>
        <v>1958811</v>
      </c>
      <c r="K25" s="327">
        <f t="shared" si="4"/>
        <v>1974958</v>
      </c>
      <c r="L25" s="327">
        <f t="shared" si="4"/>
        <v>2032458</v>
      </c>
      <c r="M25" s="327">
        <f t="shared" si="4"/>
        <v>1952891</v>
      </c>
      <c r="N25" s="327">
        <f t="shared" si="4"/>
        <v>1965742</v>
      </c>
      <c r="O25" s="327">
        <f t="shared" si="4"/>
        <v>1935224</v>
      </c>
      <c r="P25" s="327">
        <f t="shared" si="4"/>
        <v>1839084</v>
      </c>
      <c r="Q25" s="327">
        <f t="shared" si="4"/>
        <v>1919835</v>
      </c>
      <c r="R25" s="327">
        <f t="shared" si="4"/>
        <v>1893352</v>
      </c>
      <c r="S25" s="327">
        <f t="shared" si="4"/>
        <v>1971301</v>
      </c>
      <c r="T25" s="327">
        <f t="shared" si="4"/>
        <v>1963589</v>
      </c>
      <c r="U25" s="327">
        <f t="shared" si="4"/>
        <v>1962446</v>
      </c>
      <c r="V25" s="327">
        <f t="shared" si="4"/>
        <v>1965436</v>
      </c>
      <c r="W25" s="327">
        <f t="shared" si="4"/>
        <v>1979228</v>
      </c>
      <c r="X25" s="327">
        <f t="shared" si="4"/>
        <v>2042093</v>
      </c>
      <c r="Y25" s="327">
        <f t="shared" si="4"/>
        <v>1963832</v>
      </c>
      <c r="Z25" s="327">
        <f t="shared" si="4"/>
        <v>1974493</v>
      </c>
      <c r="AA25" s="327">
        <f t="shared" si="4"/>
        <v>1945672</v>
      </c>
      <c r="AB25" s="327">
        <f t="shared" si="4"/>
        <v>1850702</v>
      </c>
      <c r="AC25" s="327">
        <f t="shared" si="4"/>
        <v>1932878</v>
      </c>
      <c r="AD25" s="327">
        <f t="shared" si="4"/>
        <v>1905988</v>
      </c>
      <c r="AE25" s="327">
        <f t="shared" si="4"/>
        <v>1983513</v>
      </c>
      <c r="AF25" s="327">
        <f t="shared" si="4"/>
        <v>1974331</v>
      </c>
      <c r="AG25" s="327">
        <f t="shared" si="4"/>
        <v>1971271</v>
      </c>
      <c r="AH25" s="327">
        <f t="shared" si="4"/>
        <v>1975544</v>
      </c>
      <c r="AI25" s="327">
        <f t="shared" si="4"/>
        <v>1986792</v>
      </c>
      <c r="AJ25" s="327">
        <f t="shared" si="4"/>
        <v>2052928</v>
      </c>
      <c r="AK25" s="327">
        <f t="shared" si="4"/>
        <v>1975683</v>
      </c>
      <c r="AL25" s="327">
        <f t="shared" si="4"/>
        <v>1987322</v>
      </c>
    </row>
    <row r="26" spans="1:38">
      <c r="A26" s="326" t="s">
        <v>69</v>
      </c>
      <c r="B26" s="328" t="s">
        <v>1071</v>
      </c>
      <c r="C26" s="327">
        <v>229910</v>
      </c>
      <c r="D26" s="327">
        <v>223864</v>
      </c>
      <c r="E26" s="327">
        <v>231469</v>
      </c>
      <c r="F26" s="327">
        <v>227970</v>
      </c>
      <c r="G26" s="327">
        <v>235174</v>
      </c>
      <c r="H26" s="327">
        <v>242706</v>
      </c>
      <c r="I26" s="327">
        <v>249964</v>
      </c>
      <c r="J26" s="327">
        <v>249067</v>
      </c>
      <c r="K26" s="327">
        <v>246298</v>
      </c>
      <c r="L26" s="327">
        <v>242994</v>
      </c>
      <c r="M26" s="327">
        <v>233960</v>
      </c>
      <c r="N26" s="327">
        <v>243952</v>
      </c>
      <c r="O26" s="327">
        <v>233310</v>
      </c>
      <c r="P26" s="327">
        <v>225781</v>
      </c>
      <c r="Q26" s="327">
        <v>233534</v>
      </c>
      <c r="R26" s="327">
        <v>229364</v>
      </c>
      <c r="S26" s="327">
        <v>236010</v>
      </c>
      <c r="T26" s="327">
        <v>243698</v>
      </c>
      <c r="U26" s="327">
        <v>252907</v>
      </c>
      <c r="V26" s="327">
        <v>252134</v>
      </c>
      <c r="W26" s="327">
        <v>246502</v>
      </c>
      <c r="X26" s="327">
        <v>243786</v>
      </c>
      <c r="Y26" s="327">
        <v>234942</v>
      </c>
      <c r="Z26" s="327">
        <v>244674</v>
      </c>
      <c r="AA26" s="327">
        <v>234213</v>
      </c>
      <c r="AB26" s="327">
        <v>227045</v>
      </c>
      <c r="AC26" s="327">
        <v>234824</v>
      </c>
      <c r="AD26" s="327">
        <v>230556</v>
      </c>
      <c r="AE26" s="327">
        <v>237090</v>
      </c>
      <c r="AF26" s="327">
        <v>244745</v>
      </c>
      <c r="AG26" s="327">
        <v>251723</v>
      </c>
      <c r="AH26" s="327">
        <v>250863</v>
      </c>
      <c r="AI26" s="327">
        <v>245036</v>
      </c>
      <c r="AJ26" s="327">
        <v>242634</v>
      </c>
      <c r="AK26" s="327">
        <v>235961</v>
      </c>
      <c r="AL26" s="327">
        <v>245867</v>
      </c>
    </row>
    <row r="27" spans="1:38">
      <c r="A27" s="326" t="s">
        <v>69</v>
      </c>
      <c r="B27" s="328" t="s">
        <v>1072</v>
      </c>
      <c r="C27" s="327">
        <v>119378</v>
      </c>
      <c r="D27" s="327">
        <v>114071</v>
      </c>
      <c r="E27" s="327">
        <v>118486</v>
      </c>
      <c r="F27" s="327">
        <v>114200</v>
      </c>
      <c r="G27" s="327">
        <v>118139</v>
      </c>
      <c r="H27" s="327">
        <v>121983</v>
      </c>
      <c r="I27" s="327">
        <v>123885</v>
      </c>
      <c r="J27" s="327">
        <v>121159</v>
      </c>
      <c r="K27" s="327">
        <v>120225</v>
      </c>
      <c r="L27" s="327">
        <v>126739</v>
      </c>
      <c r="M27" s="327">
        <v>122741</v>
      </c>
      <c r="N27" s="327">
        <v>125693</v>
      </c>
      <c r="O27" s="327">
        <v>122186</v>
      </c>
      <c r="P27" s="327">
        <v>115966</v>
      </c>
      <c r="Q27" s="327">
        <v>120503</v>
      </c>
      <c r="R27" s="327">
        <v>116845</v>
      </c>
      <c r="S27" s="327">
        <v>120515</v>
      </c>
      <c r="T27" s="327">
        <v>124544</v>
      </c>
      <c r="U27" s="327">
        <v>126416</v>
      </c>
      <c r="V27" s="327">
        <v>123706</v>
      </c>
      <c r="W27" s="327">
        <v>122637</v>
      </c>
      <c r="X27" s="327">
        <v>125816</v>
      </c>
      <c r="Y27" s="327">
        <v>121960</v>
      </c>
      <c r="Z27" s="327">
        <v>124749</v>
      </c>
      <c r="AA27" s="327">
        <v>121380</v>
      </c>
      <c r="AB27" s="327">
        <v>115389</v>
      </c>
      <c r="AC27" s="327">
        <v>119914</v>
      </c>
      <c r="AD27" s="327">
        <v>116260</v>
      </c>
      <c r="AE27" s="327">
        <v>119817</v>
      </c>
      <c r="AF27" s="327">
        <v>123806</v>
      </c>
      <c r="AG27" s="327">
        <v>125621</v>
      </c>
      <c r="AH27" s="327">
        <v>122884</v>
      </c>
      <c r="AI27" s="327">
        <v>121703</v>
      </c>
      <c r="AJ27" s="327">
        <v>125006</v>
      </c>
      <c r="AK27" s="327">
        <v>121259</v>
      </c>
      <c r="AL27" s="327">
        <v>124128</v>
      </c>
    </row>
    <row r="28" spans="1:38">
      <c r="A28" s="326" t="s">
        <v>69</v>
      </c>
      <c r="B28" s="328" t="s">
        <v>1073</v>
      </c>
      <c r="C28" s="327">
        <v>0</v>
      </c>
      <c r="D28" s="327">
        <v>0</v>
      </c>
      <c r="E28" s="327">
        <v>0</v>
      </c>
      <c r="F28" s="327">
        <v>0</v>
      </c>
      <c r="G28" s="327">
        <v>0</v>
      </c>
      <c r="H28" s="327">
        <v>17245</v>
      </c>
      <c r="I28" s="327">
        <v>17460</v>
      </c>
      <c r="J28" s="327">
        <v>17538</v>
      </c>
      <c r="K28" s="327">
        <v>18783</v>
      </c>
      <c r="L28" s="327">
        <v>0</v>
      </c>
      <c r="M28" s="327">
        <v>0</v>
      </c>
      <c r="N28" s="327">
        <v>0</v>
      </c>
      <c r="O28" s="327">
        <v>0</v>
      </c>
      <c r="P28" s="327">
        <v>0</v>
      </c>
      <c r="Q28" s="327">
        <v>0</v>
      </c>
      <c r="R28" s="327">
        <v>0</v>
      </c>
      <c r="S28" s="327">
        <v>0</v>
      </c>
      <c r="T28" s="327">
        <v>17176</v>
      </c>
      <c r="U28" s="327">
        <v>17368</v>
      </c>
      <c r="V28" s="327">
        <v>17457</v>
      </c>
      <c r="W28" s="327">
        <v>18667</v>
      </c>
      <c r="X28" s="327">
        <v>0</v>
      </c>
      <c r="Y28" s="327">
        <v>0</v>
      </c>
      <c r="Z28" s="327">
        <v>0</v>
      </c>
      <c r="AA28" s="327">
        <v>0</v>
      </c>
      <c r="AB28" s="327">
        <v>0</v>
      </c>
      <c r="AC28" s="327">
        <v>0</v>
      </c>
      <c r="AD28" s="327">
        <v>0</v>
      </c>
      <c r="AE28" s="327">
        <v>0</v>
      </c>
      <c r="AF28" s="327">
        <v>17138</v>
      </c>
      <c r="AG28" s="327">
        <v>17315</v>
      </c>
      <c r="AH28" s="327">
        <v>17400</v>
      </c>
      <c r="AI28" s="327">
        <v>18579</v>
      </c>
      <c r="AJ28" s="327">
        <v>0</v>
      </c>
      <c r="AK28" s="327">
        <v>0</v>
      </c>
      <c r="AL28" s="327">
        <v>0</v>
      </c>
    </row>
    <row r="29" spans="1:38">
      <c r="A29" s="326" t="s">
        <v>69</v>
      </c>
      <c r="B29" s="328" t="s">
        <v>1074</v>
      </c>
      <c r="C29" s="327">
        <v>9491</v>
      </c>
      <c r="D29" s="327">
        <v>11996</v>
      </c>
      <c r="E29" s="327">
        <v>9274</v>
      </c>
      <c r="F29" s="327">
        <v>8613</v>
      </c>
      <c r="G29" s="327">
        <v>4648</v>
      </c>
      <c r="H29" s="327">
        <v>0</v>
      </c>
      <c r="I29" s="327">
        <v>0</v>
      </c>
      <c r="J29" s="327">
        <v>0</v>
      </c>
      <c r="K29" s="327">
        <v>0</v>
      </c>
      <c r="L29" s="327">
        <v>6922</v>
      </c>
      <c r="M29" s="327">
        <v>9592</v>
      </c>
      <c r="N29" s="327">
        <v>10190</v>
      </c>
      <c r="O29" s="327">
        <v>9600</v>
      </c>
      <c r="P29" s="327">
        <v>12066</v>
      </c>
      <c r="Q29" s="327">
        <v>9353</v>
      </c>
      <c r="R29" s="327">
        <v>8707</v>
      </c>
      <c r="S29" s="327">
        <v>4614</v>
      </c>
      <c r="T29" s="327">
        <v>0</v>
      </c>
      <c r="U29" s="327">
        <v>0</v>
      </c>
      <c r="V29" s="327">
        <v>0</v>
      </c>
      <c r="W29" s="327">
        <v>0</v>
      </c>
      <c r="X29" s="327">
        <v>6940</v>
      </c>
      <c r="Y29" s="327">
        <v>9676</v>
      </c>
      <c r="Z29" s="327">
        <v>10283</v>
      </c>
      <c r="AA29" s="327">
        <v>9684</v>
      </c>
      <c r="AB29" s="327">
        <v>12159</v>
      </c>
      <c r="AC29" s="327">
        <v>9439</v>
      </c>
      <c r="AD29" s="327">
        <v>8784</v>
      </c>
      <c r="AE29" s="327">
        <v>4595</v>
      </c>
      <c r="AF29" s="327">
        <v>0</v>
      </c>
      <c r="AG29" s="327">
        <v>0</v>
      </c>
      <c r="AH29" s="327">
        <v>0</v>
      </c>
      <c r="AI29" s="327">
        <v>0</v>
      </c>
      <c r="AJ29" s="327">
        <v>6950</v>
      </c>
      <c r="AK29" s="327">
        <v>9740</v>
      </c>
      <c r="AL29" s="327">
        <v>10359</v>
      </c>
    </row>
    <row r="30" spans="1:38">
      <c r="A30" s="326" t="s">
        <v>69</v>
      </c>
      <c r="B30" s="328" t="s">
        <v>1075</v>
      </c>
      <c r="C30" s="327">
        <v>17348</v>
      </c>
      <c r="D30" s="327">
        <v>15027</v>
      </c>
      <c r="E30" s="327">
        <v>16348</v>
      </c>
      <c r="F30" s="327">
        <v>14402</v>
      </c>
      <c r="G30" s="327">
        <v>12997</v>
      </c>
      <c r="H30" s="327">
        <v>0</v>
      </c>
      <c r="I30" s="327">
        <v>0</v>
      </c>
      <c r="J30" s="327">
        <v>0</v>
      </c>
      <c r="K30" s="327">
        <v>0</v>
      </c>
      <c r="L30" s="327">
        <v>15381</v>
      </c>
      <c r="M30" s="327">
        <v>16338</v>
      </c>
      <c r="N30" s="327">
        <v>18190</v>
      </c>
      <c r="O30" s="327">
        <v>17317</v>
      </c>
      <c r="P30" s="327">
        <v>14944</v>
      </c>
      <c r="Q30" s="327">
        <v>16251</v>
      </c>
      <c r="R30" s="327">
        <v>14392</v>
      </c>
      <c r="S30" s="327">
        <v>12929</v>
      </c>
      <c r="T30" s="327">
        <v>0</v>
      </c>
      <c r="U30" s="327">
        <v>0</v>
      </c>
      <c r="V30" s="327">
        <v>0</v>
      </c>
      <c r="W30" s="327">
        <v>0</v>
      </c>
      <c r="X30" s="327">
        <v>15321</v>
      </c>
      <c r="Y30" s="327">
        <v>16325</v>
      </c>
      <c r="Z30" s="327">
        <v>18143</v>
      </c>
      <c r="AA30" s="327">
        <v>17273</v>
      </c>
      <c r="AB30" s="327">
        <v>14946</v>
      </c>
      <c r="AC30" s="327">
        <v>16245</v>
      </c>
      <c r="AD30" s="327">
        <v>14388</v>
      </c>
      <c r="AE30" s="327">
        <v>12897</v>
      </c>
      <c r="AF30" s="327">
        <v>0</v>
      </c>
      <c r="AG30" s="327">
        <v>0</v>
      </c>
      <c r="AH30" s="327">
        <v>0</v>
      </c>
      <c r="AI30" s="327">
        <v>0</v>
      </c>
      <c r="AJ30" s="327">
        <v>15266</v>
      </c>
      <c r="AK30" s="327">
        <v>16304</v>
      </c>
      <c r="AL30" s="327">
        <v>18121</v>
      </c>
    </row>
    <row r="31" spans="1:38">
      <c r="A31" s="326" t="s">
        <v>1078</v>
      </c>
      <c r="B31" s="328"/>
      <c r="C31" s="327">
        <f t="shared" ref="C31:AL31" si="5">SUBTOTAL(9,C26:C30)</f>
        <v>376127</v>
      </c>
      <c r="D31" s="327">
        <f t="shared" si="5"/>
        <v>364958</v>
      </c>
      <c r="E31" s="327">
        <f t="shared" si="5"/>
        <v>375577</v>
      </c>
      <c r="F31" s="327">
        <f t="shared" si="5"/>
        <v>365185</v>
      </c>
      <c r="G31" s="327">
        <f t="shared" si="5"/>
        <v>370958</v>
      </c>
      <c r="H31" s="327">
        <f t="shared" si="5"/>
        <v>381934</v>
      </c>
      <c r="I31" s="327">
        <f t="shared" si="5"/>
        <v>391309</v>
      </c>
      <c r="J31" s="327">
        <f t="shared" si="5"/>
        <v>387764</v>
      </c>
      <c r="K31" s="327">
        <f t="shared" si="5"/>
        <v>385306</v>
      </c>
      <c r="L31" s="327">
        <f t="shared" si="5"/>
        <v>392036</v>
      </c>
      <c r="M31" s="327">
        <f t="shared" si="5"/>
        <v>382631</v>
      </c>
      <c r="N31" s="327">
        <f t="shared" si="5"/>
        <v>398025</v>
      </c>
      <c r="O31" s="327">
        <f t="shared" si="5"/>
        <v>382413</v>
      </c>
      <c r="P31" s="327">
        <f t="shared" si="5"/>
        <v>368757</v>
      </c>
      <c r="Q31" s="327">
        <f t="shared" si="5"/>
        <v>379641</v>
      </c>
      <c r="R31" s="327">
        <f t="shared" si="5"/>
        <v>369308</v>
      </c>
      <c r="S31" s="327">
        <f t="shared" si="5"/>
        <v>374068</v>
      </c>
      <c r="T31" s="327">
        <f t="shared" si="5"/>
        <v>385418</v>
      </c>
      <c r="U31" s="327">
        <f t="shared" si="5"/>
        <v>396691</v>
      </c>
      <c r="V31" s="327">
        <f t="shared" si="5"/>
        <v>393297</v>
      </c>
      <c r="W31" s="327">
        <f t="shared" si="5"/>
        <v>387806</v>
      </c>
      <c r="X31" s="327">
        <f t="shared" si="5"/>
        <v>391863</v>
      </c>
      <c r="Y31" s="327">
        <f t="shared" si="5"/>
        <v>382903</v>
      </c>
      <c r="Z31" s="327">
        <f t="shared" si="5"/>
        <v>397849</v>
      </c>
      <c r="AA31" s="327">
        <f t="shared" si="5"/>
        <v>382550</v>
      </c>
      <c r="AB31" s="327">
        <f t="shared" si="5"/>
        <v>369539</v>
      </c>
      <c r="AC31" s="327">
        <f t="shared" si="5"/>
        <v>380422</v>
      </c>
      <c r="AD31" s="327">
        <f t="shared" si="5"/>
        <v>369988</v>
      </c>
      <c r="AE31" s="327">
        <f t="shared" si="5"/>
        <v>374399</v>
      </c>
      <c r="AF31" s="327">
        <f t="shared" si="5"/>
        <v>385689</v>
      </c>
      <c r="AG31" s="327">
        <f t="shared" si="5"/>
        <v>394659</v>
      </c>
      <c r="AH31" s="327">
        <f t="shared" si="5"/>
        <v>391147</v>
      </c>
      <c r="AI31" s="327">
        <f t="shared" si="5"/>
        <v>385318</v>
      </c>
      <c r="AJ31" s="327">
        <f t="shared" si="5"/>
        <v>389856</v>
      </c>
      <c r="AK31" s="327">
        <f t="shared" si="5"/>
        <v>383264</v>
      </c>
      <c r="AL31" s="327">
        <f t="shared" si="5"/>
        <v>398475</v>
      </c>
    </row>
    <row r="32" spans="1:38">
      <c r="A32" s="326" t="s">
        <v>52</v>
      </c>
      <c r="B32" s="328" t="s">
        <v>1071</v>
      </c>
      <c r="C32" s="327">
        <v>30457</v>
      </c>
      <c r="D32" s="327">
        <v>32447</v>
      </c>
      <c r="E32" s="327">
        <v>32388</v>
      </c>
      <c r="F32" s="327">
        <v>33876</v>
      </c>
      <c r="G32" s="327">
        <v>32393</v>
      </c>
      <c r="H32" s="327">
        <v>30900</v>
      </c>
      <c r="I32" s="327">
        <v>28009</v>
      </c>
      <c r="J32" s="327">
        <v>28872</v>
      </c>
      <c r="K32" s="327">
        <v>24013</v>
      </c>
      <c r="L32" s="327">
        <v>25660</v>
      </c>
      <c r="M32" s="327">
        <v>22555</v>
      </c>
      <c r="N32" s="327">
        <v>23453</v>
      </c>
      <c r="O32" s="327">
        <v>31153</v>
      </c>
      <c r="P32" s="327">
        <v>33170</v>
      </c>
      <c r="Q32" s="327">
        <v>33222</v>
      </c>
      <c r="R32" s="327">
        <v>34679</v>
      </c>
      <c r="S32" s="327">
        <v>32733</v>
      </c>
      <c r="T32" s="327">
        <v>31503</v>
      </c>
      <c r="U32" s="327">
        <v>28487</v>
      </c>
      <c r="V32" s="327">
        <v>29403</v>
      </c>
      <c r="W32" s="327">
        <v>24359</v>
      </c>
      <c r="X32" s="327">
        <v>26088</v>
      </c>
      <c r="Y32" s="327">
        <v>22927</v>
      </c>
      <c r="Z32" s="327">
        <v>23830</v>
      </c>
      <c r="AA32" s="327">
        <v>31739</v>
      </c>
      <c r="AB32" s="327">
        <v>33793</v>
      </c>
      <c r="AC32" s="327">
        <v>33743</v>
      </c>
      <c r="AD32" s="327">
        <v>35244</v>
      </c>
      <c r="AE32" s="327">
        <v>33430</v>
      </c>
      <c r="AF32" s="327">
        <v>31985</v>
      </c>
      <c r="AG32" s="327">
        <v>28923</v>
      </c>
      <c r="AH32" s="327">
        <v>29818</v>
      </c>
      <c r="AI32" s="327">
        <v>24709</v>
      </c>
      <c r="AJ32" s="327">
        <v>26466</v>
      </c>
      <c r="AK32" s="327">
        <v>23244</v>
      </c>
      <c r="AL32" s="327">
        <v>24169</v>
      </c>
    </row>
    <row r="33" spans="1:38">
      <c r="A33" s="326" t="s">
        <v>1079</v>
      </c>
      <c r="B33" s="328"/>
      <c r="C33" s="327">
        <f t="shared" ref="C33:AL33" si="6">SUBTOTAL(9,C32:C32)</f>
        <v>30457</v>
      </c>
      <c r="D33" s="327">
        <f t="shared" si="6"/>
        <v>32447</v>
      </c>
      <c r="E33" s="327">
        <f t="shared" si="6"/>
        <v>32388</v>
      </c>
      <c r="F33" s="327">
        <f t="shared" si="6"/>
        <v>33876</v>
      </c>
      <c r="G33" s="327">
        <f t="shared" si="6"/>
        <v>32393</v>
      </c>
      <c r="H33" s="327">
        <f t="shared" si="6"/>
        <v>30900</v>
      </c>
      <c r="I33" s="327">
        <f t="shared" si="6"/>
        <v>28009</v>
      </c>
      <c r="J33" s="327">
        <f t="shared" si="6"/>
        <v>28872</v>
      </c>
      <c r="K33" s="327">
        <f t="shared" si="6"/>
        <v>24013</v>
      </c>
      <c r="L33" s="327">
        <f t="shared" si="6"/>
        <v>25660</v>
      </c>
      <c r="M33" s="327">
        <f t="shared" si="6"/>
        <v>22555</v>
      </c>
      <c r="N33" s="327">
        <f t="shared" si="6"/>
        <v>23453</v>
      </c>
      <c r="O33" s="327">
        <f t="shared" si="6"/>
        <v>31153</v>
      </c>
      <c r="P33" s="327">
        <f t="shared" si="6"/>
        <v>33170</v>
      </c>
      <c r="Q33" s="327">
        <f t="shared" si="6"/>
        <v>33222</v>
      </c>
      <c r="R33" s="327">
        <f t="shared" si="6"/>
        <v>34679</v>
      </c>
      <c r="S33" s="327">
        <f t="shared" si="6"/>
        <v>32733</v>
      </c>
      <c r="T33" s="327">
        <f t="shared" si="6"/>
        <v>31503</v>
      </c>
      <c r="U33" s="327">
        <f t="shared" si="6"/>
        <v>28487</v>
      </c>
      <c r="V33" s="327">
        <f t="shared" si="6"/>
        <v>29403</v>
      </c>
      <c r="W33" s="327">
        <f t="shared" si="6"/>
        <v>24359</v>
      </c>
      <c r="X33" s="327">
        <f t="shared" si="6"/>
        <v>26088</v>
      </c>
      <c r="Y33" s="327">
        <f t="shared" si="6"/>
        <v>22927</v>
      </c>
      <c r="Z33" s="327">
        <f t="shared" si="6"/>
        <v>23830</v>
      </c>
      <c r="AA33" s="327">
        <f t="shared" si="6"/>
        <v>31739</v>
      </c>
      <c r="AB33" s="327">
        <f t="shared" si="6"/>
        <v>33793</v>
      </c>
      <c r="AC33" s="327">
        <f t="shared" si="6"/>
        <v>33743</v>
      </c>
      <c r="AD33" s="327">
        <f t="shared" si="6"/>
        <v>35244</v>
      </c>
      <c r="AE33" s="327">
        <f t="shared" si="6"/>
        <v>33430</v>
      </c>
      <c r="AF33" s="327">
        <f t="shared" si="6"/>
        <v>31985</v>
      </c>
      <c r="AG33" s="327">
        <f t="shared" si="6"/>
        <v>28923</v>
      </c>
      <c r="AH33" s="327">
        <f t="shared" si="6"/>
        <v>29818</v>
      </c>
      <c r="AI33" s="327">
        <f t="shared" si="6"/>
        <v>24709</v>
      </c>
      <c r="AJ33" s="327">
        <f t="shared" si="6"/>
        <v>26466</v>
      </c>
      <c r="AK33" s="327">
        <f t="shared" si="6"/>
        <v>23244</v>
      </c>
      <c r="AL33" s="327">
        <f t="shared" si="6"/>
        <v>24169</v>
      </c>
    </row>
    <row r="34" spans="1:38">
      <c r="A34" s="326" t="s">
        <v>370</v>
      </c>
      <c r="B34" s="328" t="s">
        <v>1071</v>
      </c>
      <c r="C34" s="327">
        <v>15770</v>
      </c>
      <c r="D34" s="327">
        <v>15915</v>
      </c>
      <c r="E34" s="327">
        <v>15828</v>
      </c>
      <c r="F34" s="327">
        <v>16408</v>
      </c>
      <c r="G34" s="327">
        <v>16036</v>
      </c>
      <c r="H34" s="327">
        <v>16263</v>
      </c>
      <c r="I34" s="327">
        <v>17003</v>
      </c>
      <c r="J34" s="327">
        <v>16909</v>
      </c>
      <c r="K34" s="327">
        <v>17020</v>
      </c>
      <c r="L34" s="327">
        <v>17007</v>
      </c>
      <c r="M34" s="327">
        <v>15961</v>
      </c>
      <c r="N34" s="327">
        <v>16053</v>
      </c>
      <c r="O34" s="327">
        <v>15705</v>
      </c>
      <c r="P34" s="327">
        <v>15773</v>
      </c>
      <c r="Q34" s="327">
        <v>15932</v>
      </c>
      <c r="R34" s="327">
        <v>16798</v>
      </c>
      <c r="S34" s="327">
        <v>15653</v>
      </c>
      <c r="T34" s="327">
        <v>16197</v>
      </c>
      <c r="U34" s="327">
        <v>16865</v>
      </c>
      <c r="V34" s="327">
        <v>17031</v>
      </c>
      <c r="W34" s="327">
        <v>17096</v>
      </c>
      <c r="X34" s="327">
        <v>17022</v>
      </c>
      <c r="Y34" s="327">
        <v>15912</v>
      </c>
      <c r="Z34" s="327">
        <v>16086</v>
      </c>
      <c r="AA34" s="327">
        <v>15738</v>
      </c>
      <c r="AB34" s="327">
        <v>15844</v>
      </c>
      <c r="AC34" s="327">
        <v>15880</v>
      </c>
      <c r="AD34" s="327">
        <v>16603</v>
      </c>
      <c r="AE34" s="327">
        <v>15844</v>
      </c>
      <c r="AF34" s="327">
        <v>16230</v>
      </c>
      <c r="AG34" s="327">
        <v>16934</v>
      </c>
      <c r="AH34" s="327">
        <v>16970</v>
      </c>
      <c r="AI34" s="327">
        <v>17058</v>
      </c>
      <c r="AJ34" s="327">
        <v>17015</v>
      </c>
      <c r="AK34" s="327">
        <v>15937</v>
      </c>
      <c r="AL34" s="327">
        <v>16069</v>
      </c>
    </row>
    <row r="35" spans="1:38">
      <c r="A35" s="326" t="s">
        <v>1080</v>
      </c>
      <c r="B35" s="328"/>
      <c r="C35" s="327">
        <f t="shared" ref="C35:AL35" si="7">SUBTOTAL(9,C34:C34)</f>
        <v>15770</v>
      </c>
      <c r="D35" s="327">
        <f t="shared" si="7"/>
        <v>15915</v>
      </c>
      <c r="E35" s="327">
        <f t="shared" si="7"/>
        <v>15828</v>
      </c>
      <c r="F35" s="327">
        <f t="shared" si="7"/>
        <v>16408</v>
      </c>
      <c r="G35" s="327">
        <f t="shared" si="7"/>
        <v>16036</v>
      </c>
      <c r="H35" s="327">
        <f t="shared" si="7"/>
        <v>16263</v>
      </c>
      <c r="I35" s="327">
        <f t="shared" si="7"/>
        <v>17003</v>
      </c>
      <c r="J35" s="327">
        <f t="shared" si="7"/>
        <v>16909</v>
      </c>
      <c r="K35" s="327">
        <f t="shared" si="7"/>
        <v>17020</v>
      </c>
      <c r="L35" s="327">
        <f t="shared" si="7"/>
        <v>17007</v>
      </c>
      <c r="M35" s="327">
        <f t="shared" si="7"/>
        <v>15961</v>
      </c>
      <c r="N35" s="327">
        <f t="shared" si="7"/>
        <v>16053</v>
      </c>
      <c r="O35" s="327">
        <f t="shared" si="7"/>
        <v>15705</v>
      </c>
      <c r="P35" s="327">
        <f t="shared" si="7"/>
        <v>15773</v>
      </c>
      <c r="Q35" s="327">
        <f t="shared" si="7"/>
        <v>15932</v>
      </c>
      <c r="R35" s="327">
        <f t="shared" si="7"/>
        <v>16798</v>
      </c>
      <c r="S35" s="327">
        <f t="shared" si="7"/>
        <v>15653</v>
      </c>
      <c r="T35" s="327">
        <f t="shared" si="7"/>
        <v>16197</v>
      </c>
      <c r="U35" s="327">
        <f t="shared" si="7"/>
        <v>16865</v>
      </c>
      <c r="V35" s="327">
        <f t="shared" si="7"/>
        <v>17031</v>
      </c>
      <c r="W35" s="327">
        <f t="shared" si="7"/>
        <v>17096</v>
      </c>
      <c r="X35" s="327">
        <f t="shared" si="7"/>
        <v>17022</v>
      </c>
      <c r="Y35" s="327">
        <f t="shared" si="7"/>
        <v>15912</v>
      </c>
      <c r="Z35" s="327">
        <f t="shared" si="7"/>
        <v>16086</v>
      </c>
      <c r="AA35" s="327">
        <f t="shared" si="7"/>
        <v>15738</v>
      </c>
      <c r="AB35" s="327">
        <f t="shared" si="7"/>
        <v>15844</v>
      </c>
      <c r="AC35" s="327">
        <f t="shared" si="7"/>
        <v>15880</v>
      </c>
      <c r="AD35" s="327">
        <f t="shared" si="7"/>
        <v>16603</v>
      </c>
      <c r="AE35" s="327">
        <f t="shared" si="7"/>
        <v>15844</v>
      </c>
      <c r="AF35" s="327">
        <f t="shared" si="7"/>
        <v>16230</v>
      </c>
      <c r="AG35" s="327">
        <f t="shared" si="7"/>
        <v>16934</v>
      </c>
      <c r="AH35" s="327">
        <f t="shared" si="7"/>
        <v>16970</v>
      </c>
      <c r="AI35" s="327">
        <f t="shared" si="7"/>
        <v>17058</v>
      </c>
      <c r="AJ35" s="327">
        <f t="shared" si="7"/>
        <v>17015</v>
      </c>
      <c r="AK35" s="327">
        <f t="shared" si="7"/>
        <v>15937</v>
      </c>
      <c r="AL35" s="327">
        <f t="shared" si="7"/>
        <v>16069</v>
      </c>
    </row>
    <row r="36" spans="1:38">
      <c r="A36" s="326" t="s">
        <v>1081</v>
      </c>
      <c r="B36" s="328" t="s">
        <v>1082</v>
      </c>
      <c r="C36" s="327">
        <v>8743</v>
      </c>
      <c r="D36" s="327">
        <v>8743</v>
      </c>
      <c r="E36" s="327">
        <v>8743</v>
      </c>
      <c r="F36" s="327">
        <v>8743</v>
      </c>
      <c r="G36" s="327">
        <v>8743</v>
      </c>
      <c r="H36" s="327">
        <v>8743</v>
      </c>
      <c r="I36" s="327">
        <v>8743</v>
      </c>
      <c r="J36" s="327">
        <v>8743</v>
      </c>
      <c r="K36" s="327">
        <v>8743</v>
      </c>
      <c r="L36" s="327">
        <v>8743</v>
      </c>
      <c r="M36" s="327">
        <v>8743</v>
      </c>
      <c r="N36" s="327">
        <v>8743</v>
      </c>
      <c r="O36" s="327">
        <v>8743</v>
      </c>
      <c r="P36" s="327">
        <v>8743</v>
      </c>
      <c r="Q36" s="327">
        <v>8743</v>
      </c>
      <c r="R36" s="327">
        <v>8743</v>
      </c>
      <c r="S36" s="327">
        <v>8743</v>
      </c>
      <c r="T36" s="327">
        <v>8743</v>
      </c>
      <c r="U36" s="327">
        <v>8743</v>
      </c>
      <c r="V36" s="327">
        <v>8743</v>
      </c>
      <c r="W36" s="327">
        <v>8743</v>
      </c>
      <c r="X36" s="327">
        <v>8743</v>
      </c>
      <c r="Y36" s="327">
        <v>8743</v>
      </c>
      <c r="Z36" s="327">
        <v>8743</v>
      </c>
      <c r="AA36" s="327">
        <v>8743</v>
      </c>
      <c r="AB36" s="327">
        <v>8743</v>
      </c>
      <c r="AC36" s="327">
        <v>8743</v>
      </c>
      <c r="AD36" s="327">
        <v>8743</v>
      </c>
      <c r="AE36" s="327">
        <v>8743</v>
      </c>
      <c r="AF36" s="327">
        <v>8743</v>
      </c>
      <c r="AG36" s="327">
        <v>8743</v>
      </c>
      <c r="AH36" s="327">
        <v>8743</v>
      </c>
      <c r="AI36" s="327">
        <v>8743</v>
      </c>
      <c r="AJ36" s="327">
        <v>8743</v>
      </c>
      <c r="AK36" s="327">
        <v>8743</v>
      </c>
      <c r="AL36" s="327">
        <v>8743</v>
      </c>
    </row>
    <row r="37" spans="1:38">
      <c r="A37" s="326" t="s">
        <v>1081</v>
      </c>
      <c r="B37" s="328" t="s">
        <v>1083</v>
      </c>
      <c r="C37" s="327">
        <v>950</v>
      </c>
      <c r="D37" s="327">
        <v>58</v>
      </c>
      <c r="E37" s="327">
        <v>1201</v>
      </c>
      <c r="F37" s="327">
        <v>306</v>
      </c>
      <c r="G37" s="327">
        <v>284</v>
      </c>
      <c r="H37" s="327">
        <v>256</v>
      </c>
      <c r="I37" s="327">
        <v>139</v>
      </c>
      <c r="J37" s="327">
        <v>106</v>
      </c>
      <c r="K37" s="327">
        <v>132</v>
      </c>
      <c r="L37" s="327">
        <v>435</v>
      </c>
      <c r="M37" s="327">
        <v>384</v>
      </c>
      <c r="N37" s="327">
        <v>818</v>
      </c>
      <c r="O37" s="327">
        <v>950</v>
      </c>
      <c r="P37" s="327">
        <v>58</v>
      </c>
      <c r="Q37" s="327">
        <v>1201</v>
      </c>
      <c r="R37" s="327">
        <v>306</v>
      </c>
      <c r="S37" s="327">
        <v>284</v>
      </c>
      <c r="T37" s="327">
        <v>256</v>
      </c>
      <c r="U37" s="327">
        <v>139</v>
      </c>
      <c r="V37" s="327">
        <v>106</v>
      </c>
      <c r="W37" s="327">
        <v>132</v>
      </c>
      <c r="X37" s="327">
        <v>435</v>
      </c>
      <c r="Y37" s="327">
        <v>384</v>
      </c>
      <c r="Z37" s="327">
        <v>818</v>
      </c>
      <c r="AA37" s="327">
        <v>950</v>
      </c>
      <c r="AB37" s="327">
        <v>58</v>
      </c>
      <c r="AC37" s="327">
        <v>1201</v>
      </c>
      <c r="AD37" s="327">
        <v>306</v>
      </c>
      <c r="AE37" s="327">
        <v>284</v>
      </c>
      <c r="AF37" s="327">
        <v>256</v>
      </c>
      <c r="AG37" s="327">
        <v>139</v>
      </c>
      <c r="AH37" s="327">
        <v>106</v>
      </c>
      <c r="AI37" s="327">
        <v>132</v>
      </c>
      <c r="AJ37" s="327">
        <v>435</v>
      </c>
      <c r="AK37" s="327">
        <v>384</v>
      </c>
      <c r="AL37" s="327">
        <v>818</v>
      </c>
    </row>
    <row r="38" spans="1:38">
      <c r="A38" s="326" t="s">
        <v>1081</v>
      </c>
      <c r="B38" s="328" t="s">
        <v>1084</v>
      </c>
      <c r="C38" s="327">
        <v>16745</v>
      </c>
      <c r="D38" s="327">
        <v>23651</v>
      </c>
      <c r="E38" s="327">
        <v>26125</v>
      </c>
      <c r="F38" s="327">
        <v>46874</v>
      </c>
      <c r="G38" s="327">
        <v>58164</v>
      </c>
      <c r="H38" s="327">
        <v>50048</v>
      </c>
      <c r="I38" s="327">
        <v>42075</v>
      </c>
      <c r="J38" s="327">
        <v>51831</v>
      </c>
      <c r="K38" s="327">
        <v>40467</v>
      </c>
      <c r="L38" s="327">
        <v>51249</v>
      </c>
      <c r="M38" s="327">
        <v>41568</v>
      </c>
      <c r="N38" s="327">
        <v>22324</v>
      </c>
      <c r="O38" s="327">
        <v>16745</v>
      </c>
      <c r="P38" s="327">
        <v>23651</v>
      </c>
      <c r="Q38" s="327">
        <v>26125</v>
      </c>
      <c r="R38" s="327">
        <v>46874</v>
      </c>
      <c r="S38" s="327">
        <v>58164</v>
      </c>
      <c r="T38" s="327">
        <v>50048</v>
      </c>
      <c r="U38" s="327">
        <v>42075</v>
      </c>
      <c r="V38" s="327">
        <v>51831</v>
      </c>
      <c r="W38" s="327">
        <v>40467</v>
      </c>
      <c r="X38" s="327">
        <v>51249</v>
      </c>
      <c r="Y38" s="327">
        <v>41568</v>
      </c>
      <c r="Z38" s="327">
        <v>22324</v>
      </c>
      <c r="AA38" s="327">
        <v>16745</v>
      </c>
      <c r="AB38" s="327">
        <v>23651</v>
      </c>
      <c r="AC38" s="327">
        <v>26125</v>
      </c>
      <c r="AD38" s="327">
        <v>46874</v>
      </c>
      <c r="AE38" s="327">
        <v>58164</v>
      </c>
      <c r="AF38" s="327">
        <v>50048</v>
      </c>
      <c r="AG38" s="327">
        <v>42075</v>
      </c>
      <c r="AH38" s="327">
        <v>51831</v>
      </c>
      <c r="AI38" s="327">
        <v>40467</v>
      </c>
      <c r="AJ38" s="327">
        <v>51249</v>
      </c>
      <c r="AK38" s="327">
        <v>41568</v>
      </c>
      <c r="AL38" s="327">
        <v>22324</v>
      </c>
    </row>
    <row r="39" spans="1:38">
      <c r="A39" s="326" t="s">
        <v>1085</v>
      </c>
      <c r="B39" s="328"/>
      <c r="C39" s="327">
        <f t="shared" ref="C39:AL39" si="8">SUBTOTAL(9,C36:C38)</f>
        <v>26438</v>
      </c>
      <c r="D39" s="327">
        <f t="shared" si="8"/>
        <v>32452</v>
      </c>
      <c r="E39" s="327">
        <f t="shared" si="8"/>
        <v>36069</v>
      </c>
      <c r="F39" s="327">
        <f t="shared" si="8"/>
        <v>55923</v>
      </c>
      <c r="G39" s="327">
        <f t="shared" si="8"/>
        <v>67191</v>
      </c>
      <c r="H39" s="327">
        <f t="shared" si="8"/>
        <v>59047</v>
      </c>
      <c r="I39" s="327">
        <f t="shared" si="8"/>
        <v>50957</v>
      </c>
      <c r="J39" s="327">
        <f t="shared" si="8"/>
        <v>60680</v>
      </c>
      <c r="K39" s="327">
        <f t="shared" si="8"/>
        <v>49342</v>
      </c>
      <c r="L39" s="327">
        <f t="shared" si="8"/>
        <v>60427</v>
      </c>
      <c r="M39" s="327">
        <f t="shared" si="8"/>
        <v>50695</v>
      </c>
      <c r="N39" s="327">
        <f t="shared" si="8"/>
        <v>31885</v>
      </c>
      <c r="O39" s="327">
        <f t="shared" si="8"/>
        <v>26438</v>
      </c>
      <c r="P39" s="327">
        <f t="shared" si="8"/>
        <v>32452</v>
      </c>
      <c r="Q39" s="327">
        <f t="shared" si="8"/>
        <v>36069</v>
      </c>
      <c r="R39" s="327">
        <f t="shared" si="8"/>
        <v>55923</v>
      </c>
      <c r="S39" s="327">
        <f t="shared" si="8"/>
        <v>67191</v>
      </c>
      <c r="T39" s="327">
        <f t="shared" si="8"/>
        <v>59047</v>
      </c>
      <c r="U39" s="327">
        <f t="shared" si="8"/>
        <v>50957</v>
      </c>
      <c r="V39" s="327">
        <f t="shared" si="8"/>
        <v>60680</v>
      </c>
      <c r="W39" s="327">
        <f t="shared" si="8"/>
        <v>49342</v>
      </c>
      <c r="X39" s="327">
        <f t="shared" si="8"/>
        <v>60427</v>
      </c>
      <c r="Y39" s="327">
        <f t="shared" si="8"/>
        <v>50695</v>
      </c>
      <c r="Z39" s="327">
        <f t="shared" si="8"/>
        <v>31885</v>
      </c>
      <c r="AA39" s="327">
        <f t="shared" si="8"/>
        <v>26438</v>
      </c>
      <c r="AB39" s="327">
        <f t="shared" si="8"/>
        <v>32452</v>
      </c>
      <c r="AC39" s="327">
        <f t="shared" si="8"/>
        <v>36069</v>
      </c>
      <c r="AD39" s="327">
        <f t="shared" si="8"/>
        <v>55923</v>
      </c>
      <c r="AE39" s="327">
        <f t="shared" si="8"/>
        <v>67191</v>
      </c>
      <c r="AF39" s="327">
        <f t="shared" si="8"/>
        <v>59047</v>
      </c>
      <c r="AG39" s="327">
        <f t="shared" si="8"/>
        <v>50957</v>
      </c>
      <c r="AH39" s="327">
        <f t="shared" si="8"/>
        <v>60680</v>
      </c>
      <c r="AI39" s="327">
        <f t="shared" si="8"/>
        <v>49342</v>
      </c>
      <c r="AJ39" s="327">
        <f t="shared" si="8"/>
        <v>60427</v>
      </c>
      <c r="AK39" s="327">
        <f t="shared" si="8"/>
        <v>50695</v>
      </c>
      <c r="AL39" s="327">
        <f t="shared" si="8"/>
        <v>31885</v>
      </c>
    </row>
    <row r="40" spans="1:38">
      <c r="A40" s="326" t="s">
        <v>1086</v>
      </c>
      <c r="B40" s="328" t="s">
        <v>1082</v>
      </c>
      <c r="C40" s="327">
        <v>170723</v>
      </c>
      <c r="D40" s="327">
        <v>170723</v>
      </c>
      <c r="E40" s="327">
        <v>170723</v>
      </c>
      <c r="F40" s="327">
        <v>170723</v>
      </c>
      <c r="G40" s="327">
        <v>170723</v>
      </c>
      <c r="H40" s="327">
        <v>170723</v>
      </c>
      <c r="I40" s="327">
        <v>170723</v>
      </c>
      <c r="J40" s="327">
        <v>170723</v>
      </c>
      <c r="K40" s="327">
        <v>170723</v>
      </c>
      <c r="L40" s="327">
        <v>170723</v>
      </c>
      <c r="M40" s="327">
        <v>170723</v>
      </c>
      <c r="N40" s="327">
        <v>170723</v>
      </c>
      <c r="O40" s="327">
        <v>170723</v>
      </c>
      <c r="P40" s="327">
        <v>170723</v>
      </c>
      <c r="Q40" s="327">
        <v>170723</v>
      </c>
      <c r="R40" s="327">
        <v>170723</v>
      </c>
      <c r="S40" s="327">
        <v>170723</v>
      </c>
      <c r="T40" s="327">
        <v>170723</v>
      </c>
      <c r="U40" s="327">
        <v>170723</v>
      </c>
      <c r="V40" s="327">
        <v>170723</v>
      </c>
      <c r="W40" s="327">
        <v>170723</v>
      </c>
      <c r="X40" s="327">
        <v>170723</v>
      </c>
      <c r="Y40" s="327">
        <v>170723</v>
      </c>
      <c r="Z40" s="327">
        <v>170723</v>
      </c>
      <c r="AA40" s="327">
        <v>170723</v>
      </c>
      <c r="AB40" s="327">
        <v>170723</v>
      </c>
      <c r="AC40" s="327">
        <v>170723</v>
      </c>
      <c r="AD40" s="327">
        <v>170723</v>
      </c>
      <c r="AE40" s="327">
        <v>170723</v>
      </c>
      <c r="AF40" s="327">
        <v>170723</v>
      </c>
      <c r="AG40" s="327">
        <v>170723</v>
      </c>
      <c r="AH40" s="327">
        <v>170723</v>
      </c>
      <c r="AI40" s="327">
        <v>170723</v>
      </c>
      <c r="AJ40" s="327">
        <v>170723</v>
      </c>
      <c r="AK40" s="327">
        <v>170723</v>
      </c>
      <c r="AL40" s="327">
        <v>170723</v>
      </c>
    </row>
    <row r="41" spans="1:38">
      <c r="A41" s="326" t="s">
        <v>1086</v>
      </c>
      <c r="B41" s="328" t="s">
        <v>1083</v>
      </c>
      <c r="C41" s="327">
        <v>28755</v>
      </c>
      <c r="D41" s="327">
        <v>29874</v>
      </c>
      <c r="E41" s="327">
        <v>35063</v>
      </c>
      <c r="F41" s="327">
        <v>28858</v>
      </c>
      <c r="G41" s="327">
        <v>37362</v>
      </c>
      <c r="H41" s="327">
        <v>34005</v>
      </c>
      <c r="I41" s="327">
        <v>35240</v>
      </c>
      <c r="J41" s="327">
        <v>28351</v>
      </c>
      <c r="K41" s="327">
        <v>9566</v>
      </c>
      <c r="L41" s="327">
        <v>31249</v>
      </c>
      <c r="M41" s="327">
        <v>19600</v>
      </c>
      <c r="N41" s="327">
        <v>34003</v>
      </c>
      <c r="O41" s="327">
        <v>28755</v>
      </c>
      <c r="P41" s="327">
        <v>29874</v>
      </c>
      <c r="Q41" s="327">
        <v>35063</v>
      </c>
      <c r="R41" s="327">
        <v>28858</v>
      </c>
      <c r="S41" s="327">
        <v>37362</v>
      </c>
      <c r="T41" s="327">
        <v>34005</v>
      </c>
      <c r="U41" s="327">
        <v>35240</v>
      </c>
      <c r="V41" s="327">
        <v>28351</v>
      </c>
      <c r="W41" s="327">
        <v>9566</v>
      </c>
      <c r="X41" s="327">
        <v>31249</v>
      </c>
      <c r="Y41" s="327">
        <v>19600</v>
      </c>
      <c r="Z41" s="327">
        <v>34003</v>
      </c>
      <c r="AA41" s="327">
        <v>28755</v>
      </c>
      <c r="AB41" s="327">
        <v>29874</v>
      </c>
      <c r="AC41" s="327">
        <v>35063</v>
      </c>
      <c r="AD41" s="327">
        <v>28858</v>
      </c>
      <c r="AE41" s="327">
        <v>37362</v>
      </c>
      <c r="AF41" s="327">
        <v>34005</v>
      </c>
      <c r="AG41" s="327">
        <v>35240</v>
      </c>
      <c r="AH41" s="327">
        <v>28351</v>
      </c>
      <c r="AI41" s="327">
        <v>9566</v>
      </c>
      <c r="AJ41" s="327">
        <v>31249</v>
      </c>
      <c r="AK41" s="327">
        <v>19600</v>
      </c>
      <c r="AL41" s="327">
        <v>34003</v>
      </c>
    </row>
    <row r="42" spans="1:38">
      <c r="A42" s="326" t="s">
        <v>1086</v>
      </c>
      <c r="B42" s="328" t="s">
        <v>1084</v>
      </c>
      <c r="C42" s="327">
        <v>109038</v>
      </c>
      <c r="D42" s="327">
        <v>252280</v>
      </c>
      <c r="E42" s="327">
        <v>239244</v>
      </c>
      <c r="F42" s="327">
        <v>220342</v>
      </c>
      <c r="G42" s="327">
        <v>410603</v>
      </c>
      <c r="H42" s="327">
        <v>253274</v>
      </c>
      <c r="I42" s="327">
        <v>277035</v>
      </c>
      <c r="J42" s="327">
        <v>222306</v>
      </c>
      <c r="K42" s="327">
        <v>189330</v>
      </c>
      <c r="L42" s="327">
        <v>362843</v>
      </c>
      <c r="M42" s="327">
        <v>374026</v>
      </c>
      <c r="N42" s="327">
        <v>164402</v>
      </c>
      <c r="O42" s="327">
        <v>109038</v>
      </c>
      <c r="P42" s="327">
        <v>252280</v>
      </c>
      <c r="Q42" s="327">
        <v>239244</v>
      </c>
      <c r="R42" s="327">
        <v>220342</v>
      </c>
      <c r="S42" s="327">
        <v>410603</v>
      </c>
      <c r="T42" s="327">
        <v>253274</v>
      </c>
      <c r="U42" s="327">
        <v>277035</v>
      </c>
      <c r="V42" s="327">
        <v>222306</v>
      </c>
      <c r="W42" s="327">
        <v>189330</v>
      </c>
      <c r="X42" s="327">
        <v>362843</v>
      </c>
      <c r="Y42" s="327">
        <v>374026</v>
      </c>
      <c r="Z42" s="327">
        <v>164402</v>
      </c>
      <c r="AA42" s="327">
        <v>109038</v>
      </c>
      <c r="AB42" s="327">
        <v>252280</v>
      </c>
      <c r="AC42" s="327">
        <v>239244</v>
      </c>
      <c r="AD42" s="327">
        <v>220342</v>
      </c>
      <c r="AE42" s="327">
        <v>410603</v>
      </c>
      <c r="AF42" s="327">
        <v>253274</v>
      </c>
      <c r="AG42" s="327">
        <v>277035</v>
      </c>
      <c r="AH42" s="327">
        <v>222306</v>
      </c>
      <c r="AI42" s="327">
        <v>189330</v>
      </c>
      <c r="AJ42" s="327">
        <v>362843</v>
      </c>
      <c r="AK42" s="327">
        <v>374026</v>
      </c>
      <c r="AL42" s="327">
        <v>164402</v>
      </c>
    </row>
    <row r="43" spans="1:38">
      <c r="A43" s="326" t="s">
        <v>1087</v>
      </c>
      <c r="B43" s="328"/>
      <c r="C43" s="327">
        <f t="shared" ref="C43:AL43" si="9">SUBTOTAL(9,C40:C42)</f>
        <v>308516</v>
      </c>
      <c r="D43" s="327">
        <f t="shared" si="9"/>
        <v>452877</v>
      </c>
      <c r="E43" s="327">
        <f t="shared" si="9"/>
        <v>445030</v>
      </c>
      <c r="F43" s="327">
        <f t="shared" si="9"/>
        <v>419923</v>
      </c>
      <c r="G43" s="327">
        <f t="shared" si="9"/>
        <v>618688</v>
      </c>
      <c r="H43" s="327">
        <f t="shared" si="9"/>
        <v>458002</v>
      </c>
      <c r="I43" s="327">
        <f t="shared" si="9"/>
        <v>482998</v>
      </c>
      <c r="J43" s="327">
        <f t="shared" si="9"/>
        <v>421380</v>
      </c>
      <c r="K43" s="327">
        <f t="shared" si="9"/>
        <v>369619</v>
      </c>
      <c r="L43" s="327">
        <f t="shared" si="9"/>
        <v>564815</v>
      </c>
      <c r="M43" s="327">
        <f t="shared" si="9"/>
        <v>564349</v>
      </c>
      <c r="N43" s="327">
        <f t="shared" si="9"/>
        <v>369128</v>
      </c>
      <c r="O43" s="327">
        <f t="shared" si="9"/>
        <v>308516</v>
      </c>
      <c r="P43" s="327">
        <f t="shared" si="9"/>
        <v>452877</v>
      </c>
      <c r="Q43" s="327">
        <f t="shared" si="9"/>
        <v>445030</v>
      </c>
      <c r="R43" s="327">
        <f t="shared" si="9"/>
        <v>419923</v>
      </c>
      <c r="S43" s="327">
        <f t="shared" si="9"/>
        <v>618688</v>
      </c>
      <c r="T43" s="327">
        <f t="shared" si="9"/>
        <v>458002</v>
      </c>
      <c r="U43" s="327">
        <f t="shared" si="9"/>
        <v>482998</v>
      </c>
      <c r="V43" s="327">
        <f t="shared" si="9"/>
        <v>421380</v>
      </c>
      <c r="W43" s="327">
        <f t="shared" si="9"/>
        <v>369619</v>
      </c>
      <c r="X43" s="327">
        <f t="shared" si="9"/>
        <v>564815</v>
      </c>
      <c r="Y43" s="327">
        <f t="shared" si="9"/>
        <v>564349</v>
      </c>
      <c r="Z43" s="327">
        <f t="shared" si="9"/>
        <v>369128</v>
      </c>
      <c r="AA43" s="327">
        <f t="shared" si="9"/>
        <v>308516</v>
      </c>
      <c r="AB43" s="327">
        <f t="shared" si="9"/>
        <v>452877</v>
      </c>
      <c r="AC43" s="327">
        <f t="shared" si="9"/>
        <v>445030</v>
      </c>
      <c r="AD43" s="327">
        <f t="shared" si="9"/>
        <v>419923</v>
      </c>
      <c r="AE43" s="327">
        <f t="shared" si="9"/>
        <v>618688</v>
      </c>
      <c r="AF43" s="327">
        <f t="shared" si="9"/>
        <v>458002</v>
      </c>
      <c r="AG43" s="327">
        <f t="shared" si="9"/>
        <v>482998</v>
      </c>
      <c r="AH43" s="327">
        <f t="shared" si="9"/>
        <v>421380</v>
      </c>
      <c r="AI43" s="327">
        <f t="shared" si="9"/>
        <v>369619</v>
      </c>
      <c r="AJ43" s="327">
        <f t="shared" si="9"/>
        <v>564815</v>
      </c>
      <c r="AK43" s="327">
        <f t="shared" si="9"/>
        <v>564349</v>
      </c>
      <c r="AL43" s="327">
        <f t="shared" si="9"/>
        <v>369128</v>
      </c>
    </row>
    <row r="44" spans="1:38">
      <c r="A44" s="326" t="s">
        <v>346</v>
      </c>
      <c r="B44" s="328"/>
      <c r="C44" s="327">
        <f t="shared" ref="C44:AL44" si="10">SUBTOTAL(9,C5:C42)</f>
        <v>9247643</v>
      </c>
      <c r="D44" s="327">
        <f t="shared" si="10"/>
        <v>9032278</v>
      </c>
      <c r="E44" s="327">
        <f t="shared" si="10"/>
        <v>9408470</v>
      </c>
      <c r="F44" s="327">
        <f t="shared" si="10"/>
        <v>9114489</v>
      </c>
      <c r="G44" s="327">
        <f t="shared" si="10"/>
        <v>9605666</v>
      </c>
      <c r="H44" s="327">
        <f t="shared" si="10"/>
        <v>9597178</v>
      </c>
      <c r="I44" s="327">
        <f t="shared" si="10"/>
        <v>9726504</v>
      </c>
      <c r="J44" s="327">
        <f t="shared" si="10"/>
        <v>9569209</v>
      </c>
      <c r="K44" s="327">
        <f t="shared" si="10"/>
        <v>9398242</v>
      </c>
      <c r="L44" s="327">
        <f t="shared" si="10"/>
        <v>9814294</v>
      </c>
      <c r="M44" s="327">
        <f t="shared" si="10"/>
        <v>9512348</v>
      </c>
      <c r="N44" s="327">
        <f t="shared" si="10"/>
        <v>9430944</v>
      </c>
      <c r="O44" s="327">
        <f t="shared" si="10"/>
        <v>9304348</v>
      </c>
      <c r="P44" s="327">
        <f t="shared" si="10"/>
        <v>9031883</v>
      </c>
      <c r="Q44" s="327">
        <f t="shared" si="10"/>
        <v>9410132</v>
      </c>
      <c r="R44" s="327">
        <f t="shared" si="10"/>
        <v>9163397</v>
      </c>
      <c r="S44" s="327">
        <f t="shared" si="10"/>
        <v>9628880</v>
      </c>
      <c r="T44" s="327">
        <f t="shared" si="10"/>
        <v>9628788</v>
      </c>
      <c r="U44" s="327">
        <f t="shared" si="10"/>
        <v>9756491</v>
      </c>
      <c r="V44" s="327">
        <f t="shared" si="10"/>
        <v>9603603</v>
      </c>
      <c r="W44" s="327">
        <f t="shared" si="10"/>
        <v>9420216</v>
      </c>
      <c r="X44" s="327">
        <f t="shared" si="10"/>
        <v>9856028</v>
      </c>
      <c r="Y44" s="327">
        <f t="shared" si="10"/>
        <v>9560234</v>
      </c>
      <c r="Z44" s="327">
        <f t="shared" si="10"/>
        <v>9468987</v>
      </c>
      <c r="AA44" s="327">
        <f t="shared" si="10"/>
        <v>9349390</v>
      </c>
      <c r="AB44" s="327">
        <f t="shared" si="10"/>
        <v>9086807</v>
      </c>
      <c r="AC44" s="327">
        <f t="shared" si="10"/>
        <v>9468648</v>
      </c>
      <c r="AD44" s="327">
        <f t="shared" si="10"/>
        <v>9218601</v>
      </c>
      <c r="AE44" s="327">
        <f t="shared" si="10"/>
        <v>9679624</v>
      </c>
      <c r="AF44" s="327">
        <f t="shared" si="10"/>
        <v>9677100</v>
      </c>
      <c r="AG44" s="327">
        <f t="shared" si="10"/>
        <v>9797817</v>
      </c>
      <c r="AH44" s="327">
        <f t="shared" si="10"/>
        <v>9642232</v>
      </c>
      <c r="AI44" s="327">
        <f t="shared" si="10"/>
        <v>9448541</v>
      </c>
      <c r="AJ44" s="327">
        <f t="shared" si="10"/>
        <v>9896559</v>
      </c>
      <c r="AK44" s="327">
        <f t="shared" si="10"/>
        <v>9607133</v>
      </c>
      <c r="AL44" s="327">
        <f t="shared" si="10"/>
        <v>9522493</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739"/>
  <sheetViews>
    <sheetView zoomScale="75" zoomScaleNormal="75" workbookViewId="0">
      <selection activeCell="B2" sqref="B2"/>
    </sheetView>
  </sheetViews>
  <sheetFormatPr defaultColWidth="9.109375" defaultRowHeight="11.4"/>
  <cols>
    <col min="1" max="1" width="5" style="486" bestFit="1" customWidth="1"/>
    <col min="2" max="2" width="6.109375" style="466" bestFit="1" customWidth="1"/>
    <col min="3" max="3" width="10.6640625" style="466" bestFit="1" customWidth="1"/>
    <col min="4" max="4" width="8.33203125" style="466" bestFit="1" customWidth="1"/>
    <col min="5" max="5" width="9.88671875" style="466" bestFit="1" customWidth="1"/>
    <col min="6" max="6" width="10" style="466" bestFit="1" customWidth="1"/>
    <col min="7" max="7" width="17.88671875" style="466" bestFit="1" customWidth="1"/>
    <col min="8" max="8" width="17.88671875" style="466" customWidth="1"/>
    <col min="9" max="9" width="8.88671875" style="466" bestFit="1" customWidth="1"/>
    <col min="10" max="10" width="10.6640625" style="466" bestFit="1" customWidth="1"/>
    <col min="11" max="11" width="10" style="466" bestFit="1" customWidth="1"/>
    <col min="12" max="13" width="10" style="466" customWidth="1"/>
    <col min="14" max="14" width="14.33203125" style="466" bestFit="1" customWidth="1"/>
    <col min="15" max="15" width="8.88671875" style="466" bestFit="1" customWidth="1"/>
    <col min="16" max="16" width="6" style="466" bestFit="1" customWidth="1"/>
    <col min="17" max="16384" width="9.109375" style="466"/>
  </cols>
  <sheetData>
    <row r="1" spans="1:16" s="479" customFormat="1" ht="12">
      <c r="A1" s="619"/>
      <c r="B1" s="479" t="s">
        <v>1310</v>
      </c>
    </row>
    <row r="2" spans="1:16" s="479" customFormat="1" ht="12">
      <c r="A2" s="619"/>
      <c r="B2" s="479" t="s">
        <v>1267</v>
      </c>
    </row>
    <row r="3" spans="1:16" s="479" customFormat="1" ht="12">
      <c r="A3" s="619"/>
    </row>
    <row r="4" spans="1:16" ht="13.2">
      <c r="A4" s="608" t="s">
        <v>1205</v>
      </c>
      <c r="B4" s="608"/>
      <c r="C4" s="608"/>
      <c r="D4" s="608"/>
      <c r="E4" s="608"/>
      <c r="F4" s="608"/>
      <c r="G4" s="608"/>
      <c r="H4" s="608"/>
      <c r="I4" s="608"/>
      <c r="J4" s="608"/>
      <c r="K4" s="608"/>
      <c r="L4" s="608"/>
      <c r="M4" s="608"/>
      <c r="N4" s="608"/>
    </row>
    <row r="5" spans="1:16" ht="11.4" customHeight="1" thickBot="1">
      <c r="A5" s="467" t="s">
        <v>483</v>
      </c>
      <c r="B5" s="467" t="s">
        <v>484</v>
      </c>
      <c r="C5" s="468" t="s">
        <v>485</v>
      </c>
      <c r="D5" s="468" t="s">
        <v>486</v>
      </c>
      <c r="E5" s="468" t="s">
        <v>487</v>
      </c>
      <c r="F5" s="468" t="s">
        <v>488</v>
      </c>
      <c r="G5" s="468" t="s">
        <v>489</v>
      </c>
      <c r="H5" s="469" t="s">
        <v>1053</v>
      </c>
      <c r="I5" s="469" t="s">
        <v>1054</v>
      </c>
      <c r="J5" s="468" t="s">
        <v>1055</v>
      </c>
      <c r="K5" s="468" t="s">
        <v>1056</v>
      </c>
      <c r="L5" s="468" t="s">
        <v>1057</v>
      </c>
      <c r="M5" s="468" t="s">
        <v>1058</v>
      </c>
      <c r="N5" s="468" t="s">
        <v>490</v>
      </c>
    </row>
    <row r="6" spans="1:16">
      <c r="A6" s="486">
        <v>2008</v>
      </c>
      <c r="B6" s="500">
        <v>1</v>
      </c>
      <c r="C6" s="472">
        <v>51438.02</v>
      </c>
      <c r="D6" s="472">
        <v>18675</v>
      </c>
      <c r="E6" s="473"/>
      <c r="F6" s="472">
        <v>619.11699999999996</v>
      </c>
      <c r="G6" s="472"/>
      <c r="H6" s="472"/>
      <c r="I6" s="472"/>
      <c r="J6" s="472"/>
      <c r="K6" s="472"/>
      <c r="L6" s="472"/>
      <c r="M6" s="472"/>
      <c r="N6" s="475">
        <f>SUM(C6:M6)</f>
        <v>70732.136999999988</v>
      </c>
      <c r="P6" s="478"/>
    </row>
    <row r="7" spans="1:16">
      <c r="A7" s="486">
        <v>2008</v>
      </c>
      <c r="B7" s="500">
        <v>2</v>
      </c>
      <c r="C7" s="472">
        <v>53909.591</v>
      </c>
      <c r="D7" s="472">
        <v>21230</v>
      </c>
      <c r="E7" s="476"/>
      <c r="F7" s="472">
        <v>295.18900000000002</v>
      </c>
      <c r="G7" s="472"/>
      <c r="H7" s="472"/>
      <c r="I7" s="472"/>
      <c r="J7" s="472"/>
      <c r="K7" s="472"/>
      <c r="L7" s="472"/>
      <c r="M7" s="472"/>
      <c r="N7" s="475">
        <f t="shared" ref="N7:N70" si="0">SUM(C7:M7)</f>
        <v>75434.78</v>
      </c>
      <c r="P7" s="478"/>
    </row>
    <row r="8" spans="1:16">
      <c r="A8" s="486">
        <v>2008</v>
      </c>
      <c r="B8" s="500">
        <v>3</v>
      </c>
      <c r="C8" s="472">
        <v>58070.207999999999</v>
      </c>
      <c r="D8" s="472">
        <v>25200</v>
      </c>
      <c r="E8" s="476"/>
      <c r="F8" s="472">
        <v>659.91099999999994</v>
      </c>
      <c r="G8" s="472"/>
      <c r="H8" s="472"/>
      <c r="I8" s="472"/>
      <c r="J8" s="472"/>
      <c r="K8" s="472"/>
      <c r="L8" s="472"/>
      <c r="M8" s="472"/>
      <c r="N8" s="475">
        <f t="shared" si="0"/>
        <v>83930.118999999992</v>
      </c>
      <c r="P8" s="478"/>
    </row>
    <row r="9" spans="1:16">
      <c r="A9" s="486">
        <v>2008</v>
      </c>
      <c r="B9" s="500">
        <v>4</v>
      </c>
      <c r="C9" s="472">
        <v>57682.351999999999</v>
      </c>
      <c r="D9" s="472">
        <v>24595</v>
      </c>
      <c r="E9" s="476"/>
      <c r="F9" s="472">
        <v>642.32100000000003</v>
      </c>
      <c r="G9" s="472"/>
      <c r="H9" s="472"/>
      <c r="I9" s="472"/>
      <c r="J9" s="472"/>
      <c r="K9" s="472"/>
      <c r="L9" s="472"/>
      <c r="M9" s="472"/>
      <c r="N9" s="475">
        <f t="shared" si="0"/>
        <v>82919.672999999995</v>
      </c>
      <c r="P9" s="478"/>
    </row>
    <row r="10" spans="1:16">
      <c r="A10" s="486">
        <v>2008</v>
      </c>
      <c r="B10" s="500">
        <v>5</v>
      </c>
      <c r="C10" s="472">
        <v>67919.680999999997</v>
      </c>
      <c r="D10" s="472">
        <v>25695</v>
      </c>
      <c r="E10" s="476"/>
      <c r="F10" s="472">
        <v>601.43499999999995</v>
      </c>
      <c r="G10" s="472"/>
      <c r="H10" s="472"/>
      <c r="I10" s="472"/>
      <c r="J10" s="472"/>
      <c r="K10" s="472"/>
      <c r="L10" s="472"/>
      <c r="M10" s="472"/>
      <c r="N10" s="475">
        <f t="shared" si="0"/>
        <v>94216.115999999995</v>
      </c>
      <c r="P10" s="478"/>
    </row>
    <row r="11" spans="1:16">
      <c r="A11" s="486">
        <v>2008</v>
      </c>
      <c r="B11" s="500">
        <v>6</v>
      </c>
      <c r="C11" s="472">
        <v>71794.600000000006</v>
      </c>
      <c r="D11" s="472">
        <v>23085</v>
      </c>
      <c r="E11" s="476"/>
      <c r="F11" s="472">
        <v>615.66700000000003</v>
      </c>
      <c r="G11" s="472"/>
      <c r="H11" s="472"/>
      <c r="I11" s="472"/>
      <c r="J11" s="472"/>
      <c r="K11" s="472"/>
      <c r="L11" s="472"/>
      <c r="M11" s="472"/>
      <c r="N11" s="475">
        <f t="shared" si="0"/>
        <v>95495.267000000007</v>
      </c>
      <c r="P11" s="478"/>
    </row>
    <row r="12" spans="1:16">
      <c r="A12" s="486">
        <v>2008</v>
      </c>
      <c r="B12" s="500">
        <v>7</v>
      </c>
      <c r="C12" s="472">
        <v>73957.001999999993</v>
      </c>
      <c r="D12" s="472">
        <v>23040</v>
      </c>
      <c r="E12" s="476"/>
      <c r="F12" s="472">
        <v>643.12400000000002</v>
      </c>
      <c r="G12" s="472"/>
      <c r="H12" s="472"/>
      <c r="I12" s="472"/>
      <c r="J12" s="472"/>
      <c r="K12" s="472"/>
      <c r="L12" s="472"/>
      <c r="M12" s="472"/>
      <c r="N12" s="475">
        <f t="shared" si="0"/>
        <v>97640.125999999989</v>
      </c>
      <c r="P12" s="478"/>
    </row>
    <row r="13" spans="1:16">
      <c r="A13" s="486">
        <v>2008</v>
      </c>
      <c r="B13" s="500">
        <v>8</v>
      </c>
      <c r="C13" s="472">
        <v>73492.164999999994</v>
      </c>
      <c r="D13" s="472">
        <v>23130</v>
      </c>
      <c r="E13" s="476"/>
      <c r="F13" s="472">
        <v>597.28899999999999</v>
      </c>
      <c r="G13" s="472"/>
      <c r="H13" s="472"/>
      <c r="I13" s="472"/>
      <c r="J13" s="472"/>
      <c r="K13" s="472"/>
      <c r="L13" s="472"/>
      <c r="M13" s="472"/>
      <c r="N13" s="475">
        <f t="shared" si="0"/>
        <v>97219.453999999998</v>
      </c>
      <c r="P13" s="478"/>
    </row>
    <row r="14" spans="1:16">
      <c r="A14" s="486">
        <v>2008</v>
      </c>
      <c r="B14" s="500">
        <v>9</v>
      </c>
      <c r="C14" s="472">
        <v>62794.548000000003</v>
      </c>
      <c r="D14" s="472">
        <v>21330</v>
      </c>
      <c r="E14" s="476"/>
      <c r="F14" s="472">
        <v>589.96900000000005</v>
      </c>
      <c r="G14" s="472"/>
      <c r="H14" s="472"/>
      <c r="I14" s="472"/>
      <c r="J14" s="472"/>
      <c r="K14" s="472"/>
      <c r="L14" s="472"/>
      <c r="M14" s="472"/>
      <c r="N14" s="475">
        <f t="shared" si="0"/>
        <v>84714.517000000007</v>
      </c>
      <c r="P14" s="478"/>
    </row>
    <row r="15" spans="1:16">
      <c r="A15" s="486">
        <v>2008</v>
      </c>
      <c r="B15" s="500">
        <v>10</v>
      </c>
      <c r="C15" s="472">
        <v>57611.892999999996</v>
      </c>
      <c r="D15" s="472">
        <v>19440</v>
      </c>
      <c r="E15" s="476"/>
      <c r="F15" s="472">
        <v>506.46699999999998</v>
      </c>
      <c r="G15" s="472"/>
      <c r="H15" s="472"/>
      <c r="I15" s="472"/>
      <c r="J15" s="472"/>
      <c r="K15" s="472"/>
      <c r="L15" s="472"/>
      <c r="M15" s="472"/>
      <c r="N15" s="475">
        <f t="shared" si="0"/>
        <v>77558.36</v>
      </c>
      <c r="P15" s="478"/>
    </row>
    <row r="16" spans="1:16">
      <c r="A16" s="486">
        <v>2008</v>
      </c>
      <c r="B16" s="500">
        <v>11</v>
      </c>
      <c r="C16" s="472">
        <v>45201.201000000001</v>
      </c>
      <c r="D16" s="472">
        <v>16605</v>
      </c>
      <c r="E16" s="476"/>
      <c r="F16" s="472">
        <v>531.90200000000004</v>
      </c>
      <c r="G16" s="472"/>
      <c r="H16" s="472"/>
      <c r="I16" s="472"/>
      <c r="J16" s="472"/>
      <c r="K16" s="472"/>
      <c r="L16" s="472"/>
      <c r="M16" s="472"/>
      <c r="N16" s="475">
        <f t="shared" si="0"/>
        <v>62338.103000000003</v>
      </c>
      <c r="P16" s="478"/>
    </row>
    <row r="17" spans="1:16">
      <c r="A17" s="486">
        <v>2008</v>
      </c>
      <c r="B17" s="500">
        <v>12</v>
      </c>
      <c r="C17" s="472">
        <v>47513.018000000004</v>
      </c>
      <c r="D17" s="472">
        <v>16200</v>
      </c>
      <c r="E17" s="477"/>
      <c r="F17" s="472">
        <v>656.68100000000004</v>
      </c>
      <c r="G17" s="472">
        <v>3250</v>
      </c>
      <c r="H17" s="472"/>
      <c r="I17" s="472"/>
      <c r="J17" s="472"/>
      <c r="K17" s="472"/>
      <c r="L17" s="472"/>
      <c r="M17" s="472"/>
      <c r="N17" s="475">
        <f t="shared" si="0"/>
        <v>67619.698999999993</v>
      </c>
      <c r="P17" s="478"/>
    </row>
    <row r="18" spans="1:16">
      <c r="A18" s="486">
        <v>2009</v>
      </c>
      <c r="B18" s="500">
        <v>1</v>
      </c>
      <c r="C18" s="472">
        <v>48532.175999999999</v>
      </c>
      <c r="D18" s="472">
        <v>16245</v>
      </c>
      <c r="E18" s="473"/>
      <c r="F18" s="472">
        <v>611.02</v>
      </c>
      <c r="G18" s="472">
        <v>0</v>
      </c>
      <c r="H18" s="472"/>
      <c r="I18" s="472"/>
      <c r="J18" s="472"/>
      <c r="K18" s="472"/>
      <c r="L18" s="472"/>
      <c r="M18" s="472"/>
      <c r="N18" s="475">
        <f t="shared" si="0"/>
        <v>65388.195999999996</v>
      </c>
      <c r="P18" s="478"/>
    </row>
    <row r="19" spans="1:16">
      <c r="A19" s="486">
        <v>2009</v>
      </c>
      <c r="B19" s="500">
        <v>2</v>
      </c>
      <c r="C19" s="472">
        <v>44843.898999999998</v>
      </c>
      <c r="D19" s="472">
        <v>15795</v>
      </c>
      <c r="E19" s="476"/>
      <c r="F19" s="472">
        <v>417.03899999999999</v>
      </c>
      <c r="G19" s="472">
        <v>10550</v>
      </c>
      <c r="H19" s="472"/>
      <c r="I19" s="472"/>
      <c r="J19" s="472"/>
      <c r="K19" s="472"/>
      <c r="L19" s="472"/>
      <c r="M19" s="472"/>
      <c r="N19" s="475">
        <f t="shared" si="0"/>
        <v>71605.937999999995</v>
      </c>
      <c r="P19" s="478"/>
    </row>
    <row r="20" spans="1:16">
      <c r="A20" s="486">
        <v>2009</v>
      </c>
      <c r="B20" s="500">
        <v>3</v>
      </c>
      <c r="C20" s="472">
        <v>51885.582000000002</v>
      </c>
      <c r="D20" s="472">
        <v>17100</v>
      </c>
      <c r="E20" s="476"/>
      <c r="F20" s="472">
        <v>611.95299999999997</v>
      </c>
      <c r="G20" s="472">
        <v>19400</v>
      </c>
      <c r="H20" s="472"/>
      <c r="I20" s="472"/>
      <c r="J20" s="472"/>
      <c r="K20" s="472"/>
      <c r="L20" s="472"/>
      <c r="M20" s="472"/>
      <c r="N20" s="475">
        <f t="shared" si="0"/>
        <v>88997.534999999989</v>
      </c>
      <c r="P20" s="478"/>
    </row>
    <row r="21" spans="1:16">
      <c r="A21" s="486">
        <v>2009</v>
      </c>
      <c r="B21" s="500">
        <v>4</v>
      </c>
      <c r="C21" s="472">
        <v>57070.319000000003</v>
      </c>
      <c r="D21" s="472">
        <v>17465</v>
      </c>
      <c r="E21" s="476"/>
      <c r="F21" s="472">
        <v>553.96199999999999</v>
      </c>
      <c r="G21" s="472">
        <v>14850</v>
      </c>
      <c r="H21" s="472"/>
      <c r="I21" s="472"/>
      <c r="J21" s="472"/>
      <c r="K21" s="472"/>
      <c r="L21" s="472"/>
      <c r="M21" s="472"/>
      <c r="N21" s="475">
        <f t="shared" si="0"/>
        <v>89939.281000000003</v>
      </c>
      <c r="P21" s="478"/>
    </row>
    <row r="22" spans="1:16">
      <c r="A22" s="486">
        <v>2009</v>
      </c>
      <c r="B22" s="500">
        <v>5</v>
      </c>
      <c r="C22" s="472">
        <v>64566.028999999995</v>
      </c>
      <c r="D22" s="472">
        <v>20115</v>
      </c>
      <c r="E22" s="476"/>
      <c r="F22" s="472">
        <v>608.64499999999998</v>
      </c>
      <c r="G22" s="472">
        <v>18150</v>
      </c>
      <c r="H22" s="472"/>
      <c r="I22" s="472"/>
      <c r="J22" s="472"/>
      <c r="K22" s="472"/>
      <c r="L22" s="472"/>
      <c r="M22" s="472"/>
      <c r="N22" s="475">
        <f t="shared" si="0"/>
        <v>103439.674</v>
      </c>
      <c r="P22" s="478"/>
    </row>
    <row r="23" spans="1:16">
      <c r="A23" s="486">
        <v>2009</v>
      </c>
      <c r="B23" s="500">
        <v>6</v>
      </c>
      <c r="C23" s="472">
        <v>67422.285999999993</v>
      </c>
      <c r="D23" s="472">
        <v>21060</v>
      </c>
      <c r="E23" s="476"/>
      <c r="F23" s="472">
        <v>503.77800000000002</v>
      </c>
      <c r="G23" s="472">
        <v>21525</v>
      </c>
      <c r="H23" s="472"/>
      <c r="I23" s="472"/>
      <c r="J23" s="472"/>
      <c r="K23" s="472"/>
      <c r="L23" s="472"/>
      <c r="M23" s="472"/>
      <c r="N23" s="475">
        <f t="shared" si="0"/>
        <v>110511.064</v>
      </c>
      <c r="P23" s="478"/>
    </row>
    <row r="24" spans="1:16">
      <c r="A24" s="486">
        <v>2009</v>
      </c>
      <c r="B24" s="500">
        <v>7</v>
      </c>
      <c r="C24" s="472">
        <v>75359.653000000006</v>
      </c>
      <c r="D24" s="472">
        <v>22185</v>
      </c>
      <c r="E24" s="476"/>
      <c r="F24" s="472">
        <v>593.649</v>
      </c>
      <c r="G24" s="472">
        <v>29850</v>
      </c>
      <c r="H24" s="472"/>
      <c r="I24" s="472"/>
      <c r="J24" s="472"/>
      <c r="K24" s="472"/>
      <c r="L24" s="472"/>
      <c r="M24" s="472"/>
      <c r="N24" s="475">
        <f t="shared" si="0"/>
        <v>127988.30200000001</v>
      </c>
      <c r="P24" s="478"/>
    </row>
    <row r="25" spans="1:16">
      <c r="A25" s="486">
        <v>2009</v>
      </c>
      <c r="B25" s="500">
        <v>8</v>
      </c>
      <c r="C25" s="472">
        <v>74640.707999999999</v>
      </c>
      <c r="D25" s="472">
        <v>22770</v>
      </c>
      <c r="E25" s="476"/>
      <c r="F25" s="472">
        <v>525.66899999999998</v>
      </c>
      <c r="G25" s="472">
        <v>30150</v>
      </c>
      <c r="H25" s="472"/>
      <c r="I25" s="472"/>
      <c r="J25" s="472"/>
      <c r="K25" s="472"/>
      <c r="L25" s="472"/>
      <c r="M25" s="472"/>
      <c r="N25" s="475">
        <f t="shared" si="0"/>
        <v>128086.37699999999</v>
      </c>
      <c r="P25" s="478"/>
    </row>
    <row r="26" spans="1:16">
      <c r="A26" s="486">
        <v>2009</v>
      </c>
      <c r="B26" s="500">
        <v>9</v>
      </c>
      <c r="C26" s="472">
        <v>65199.351999999999</v>
      </c>
      <c r="D26" s="472">
        <v>21060</v>
      </c>
      <c r="E26" s="476"/>
      <c r="F26" s="472">
        <v>539.79</v>
      </c>
      <c r="G26" s="472">
        <v>31425</v>
      </c>
      <c r="H26" s="472"/>
      <c r="I26" s="472"/>
      <c r="J26" s="472"/>
      <c r="K26" s="472"/>
      <c r="L26" s="472"/>
      <c r="M26" s="472"/>
      <c r="N26" s="475">
        <f t="shared" si="0"/>
        <v>118224.14199999999</v>
      </c>
      <c r="P26" s="478"/>
    </row>
    <row r="27" spans="1:16">
      <c r="A27" s="486">
        <v>2009</v>
      </c>
      <c r="B27" s="500">
        <v>10</v>
      </c>
      <c r="C27" s="472">
        <v>63729.235000000001</v>
      </c>
      <c r="D27" s="472">
        <v>19440</v>
      </c>
      <c r="E27" s="476"/>
      <c r="F27" s="472">
        <v>500.00099999999998</v>
      </c>
      <c r="G27" s="472">
        <v>19400</v>
      </c>
      <c r="H27" s="472"/>
      <c r="I27" s="472"/>
      <c r="J27" s="472"/>
      <c r="K27" s="472"/>
      <c r="L27" s="472"/>
      <c r="M27" s="472"/>
      <c r="N27" s="475">
        <f t="shared" si="0"/>
        <v>103069.236</v>
      </c>
      <c r="P27" s="478"/>
    </row>
    <row r="28" spans="1:16">
      <c r="A28" s="486">
        <v>2009</v>
      </c>
      <c r="B28" s="500">
        <v>11</v>
      </c>
      <c r="C28" s="472">
        <v>49920.963000000003</v>
      </c>
      <c r="D28" s="472">
        <v>16583</v>
      </c>
      <c r="E28" s="476"/>
      <c r="F28" s="472">
        <v>347.55399999999997</v>
      </c>
      <c r="G28" s="472">
        <v>13200</v>
      </c>
      <c r="H28" s="472"/>
      <c r="I28" s="472"/>
      <c r="J28" s="472"/>
      <c r="K28" s="472"/>
      <c r="L28" s="472"/>
      <c r="M28" s="472"/>
      <c r="N28" s="475">
        <f t="shared" si="0"/>
        <v>80051.517000000007</v>
      </c>
      <c r="P28" s="478"/>
    </row>
    <row r="29" spans="1:16">
      <c r="A29" s="486">
        <v>2009</v>
      </c>
      <c r="B29" s="500">
        <v>12</v>
      </c>
      <c r="C29" s="472">
        <v>52145.927000000003</v>
      </c>
      <c r="D29" s="472">
        <v>16110</v>
      </c>
      <c r="E29" s="477"/>
      <c r="F29" s="472">
        <v>430.14699999999999</v>
      </c>
      <c r="G29" s="472">
        <v>4950</v>
      </c>
      <c r="H29" s="472"/>
      <c r="I29" s="472"/>
      <c r="J29" s="472"/>
      <c r="K29" s="472"/>
      <c r="L29" s="472"/>
      <c r="M29" s="472"/>
      <c r="N29" s="475">
        <f t="shared" si="0"/>
        <v>73636.073999999993</v>
      </c>
      <c r="P29" s="478"/>
    </row>
    <row r="30" spans="1:16">
      <c r="A30" s="486">
        <v>2010</v>
      </c>
      <c r="B30" s="500">
        <v>1</v>
      </c>
      <c r="C30" s="472">
        <v>56593.035000000003</v>
      </c>
      <c r="D30" s="472">
        <v>16200</v>
      </c>
      <c r="E30" s="472">
        <v>109394.3</v>
      </c>
      <c r="F30" s="472">
        <v>436.29700000000003</v>
      </c>
      <c r="G30" s="472">
        <v>0</v>
      </c>
      <c r="H30" s="472"/>
      <c r="I30" s="472"/>
      <c r="J30" s="472"/>
      <c r="K30" s="472"/>
      <c r="L30" s="472"/>
      <c r="M30" s="472"/>
      <c r="N30" s="475">
        <f t="shared" si="0"/>
        <v>182623.63200000001</v>
      </c>
      <c r="P30" s="478"/>
    </row>
    <row r="31" spans="1:16">
      <c r="A31" s="486">
        <v>2010</v>
      </c>
      <c r="B31" s="500">
        <v>2</v>
      </c>
      <c r="C31" s="472">
        <v>46078.828999999998</v>
      </c>
      <c r="D31" s="472">
        <v>15480</v>
      </c>
      <c r="E31" s="472">
        <v>85973.099000000002</v>
      </c>
      <c r="F31" s="472">
        <v>253.86799999999999</v>
      </c>
      <c r="G31" s="472">
        <v>0</v>
      </c>
      <c r="H31" s="472"/>
      <c r="I31" s="472"/>
      <c r="J31" s="472"/>
      <c r="K31" s="472"/>
      <c r="L31" s="472"/>
      <c r="M31" s="472"/>
      <c r="N31" s="475">
        <f t="shared" si="0"/>
        <v>147785.796</v>
      </c>
      <c r="P31" s="478"/>
    </row>
    <row r="32" spans="1:16">
      <c r="A32" s="486">
        <v>2010</v>
      </c>
      <c r="B32" s="500">
        <v>3</v>
      </c>
      <c r="C32" s="472">
        <v>49500.830999999998</v>
      </c>
      <c r="D32" s="472">
        <v>17055</v>
      </c>
      <c r="E32" s="472">
        <v>88619.247000000003</v>
      </c>
      <c r="F32" s="472">
        <v>615.59</v>
      </c>
      <c r="G32" s="472">
        <v>0</v>
      </c>
      <c r="H32" s="472"/>
      <c r="I32" s="472"/>
      <c r="J32" s="472"/>
      <c r="K32" s="472"/>
      <c r="L32" s="472"/>
      <c r="M32" s="472"/>
      <c r="N32" s="475">
        <f t="shared" si="0"/>
        <v>155790.66800000001</v>
      </c>
      <c r="P32" s="478"/>
    </row>
    <row r="33" spans="1:16">
      <c r="A33" s="486">
        <v>2010</v>
      </c>
      <c r="B33" s="500">
        <v>4</v>
      </c>
      <c r="C33" s="472">
        <v>51444.13</v>
      </c>
      <c r="D33" s="472">
        <v>17235</v>
      </c>
      <c r="E33" s="472">
        <v>86660.504000000001</v>
      </c>
      <c r="F33" s="472">
        <v>593.88499999999999</v>
      </c>
      <c r="G33" s="472">
        <v>0</v>
      </c>
      <c r="H33" s="472"/>
      <c r="I33" s="472"/>
      <c r="J33" s="472"/>
      <c r="K33" s="472"/>
      <c r="L33" s="472"/>
      <c r="M33" s="472"/>
      <c r="N33" s="475">
        <f t="shared" si="0"/>
        <v>155933.51900000003</v>
      </c>
      <c r="P33" s="478"/>
    </row>
    <row r="34" spans="1:16">
      <c r="A34" s="486">
        <v>2010</v>
      </c>
      <c r="B34" s="500">
        <v>5</v>
      </c>
      <c r="C34" s="472">
        <v>65770.982000000004</v>
      </c>
      <c r="D34" s="472">
        <v>20250</v>
      </c>
      <c r="E34" s="472">
        <v>111143.427</v>
      </c>
      <c r="F34" s="472">
        <v>668.79899999999998</v>
      </c>
      <c r="G34" s="472">
        <v>0</v>
      </c>
      <c r="H34" s="472"/>
      <c r="I34" s="472"/>
      <c r="J34" s="472"/>
      <c r="K34" s="472"/>
      <c r="L34" s="472"/>
      <c r="M34" s="472"/>
      <c r="N34" s="475">
        <f t="shared" si="0"/>
        <v>197833.20799999998</v>
      </c>
      <c r="P34" s="478"/>
    </row>
    <row r="35" spans="1:16">
      <c r="A35" s="486">
        <v>2010</v>
      </c>
      <c r="B35" s="500">
        <v>6</v>
      </c>
      <c r="C35" s="472">
        <v>71167.411999999997</v>
      </c>
      <c r="D35" s="472">
        <v>21060</v>
      </c>
      <c r="E35" s="472">
        <v>115273.648</v>
      </c>
      <c r="F35" s="472">
        <v>467.71600000000001</v>
      </c>
      <c r="G35" s="472">
        <v>0</v>
      </c>
      <c r="H35" s="472"/>
      <c r="I35" s="472"/>
      <c r="J35" s="472"/>
      <c r="K35" s="472"/>
      <c r="L35" s="472"/>
      <c r="M35" s="472"/>
      <c r="N35" s="475">
        <f t="shared" si="0"/>
        <v>207968.77599999998</v>
      </c>
      <c r="P35" s="478"/>
    </row>
    <row r="36" spans="1:16">
      <c r="A36" s="486">
        <v>2010</v>
      </c>
      <c r="B36" s="500">
        <v>7</v>
      </c>
      <c r="C36" s="472">
        <v>71875.767000000007</v>
      </c>
      <c r="D36" s="472">
        <v>22275</v>
      </c>
      <c r="E36" s="472">
        <v>113803.861</v>
      </c>
      <c r="F36" s="472">
        <v>593.03899999999999</v>
      </c>
      <c r="G36" s="472">
        <v>0</v>
      </c>
      <c r="H36" s="472"/>
      <c r="I36" s="472"/>
      <c r="J36" s="472"/>
      <c r="K36" s="472"/>
      <c r="L36" s="472"/>
      <c r="M36" s="472"/>
      <c r="N36" s="475">
        <f t="shared" si="0"/>
        <v>208547.66700000002</v>
      </c>
      <c r="P36" s="478"/>
    </row>
    <row r="37" spans="1:16">
      <c r="A37" s="486">
        <v>2010</v>
      </c>
      <c r="B37" s="500">
        <v>8</v>
      </c>
      <c r="C37" s="472">
        <v>70637.157999999996</v>
      </c>
      <c r="D37" s="472">
        <v>22815</v>
      </c>
      <c r="E37" s="472">
        <v>113071.015</v>
      </c>
      <c r="F37" s="472">
        <v>586.66099999999994</v>
      </c>
      <c r="G37" s="472">
        <v>0</v>
      </c>
      <c r="H37" s="472"/>
      <c r="I37" s="472"/>
      <c r="J37" s="472"/>
      <c r="K37" s="472"/>
      <c r="L37" s="472"/>
      <c r="M37" s="472"/>
      <c r="N37" s="475">
        <f t="shared" si="0"/>
        <v>207109.834</v>
      </c>
      <c r="P37" s="478"/>
    </row>
    <row r="38" spans="1:16">
      <c r="A38" s="486">
        <v>2010</v>
      </c>
      <c r="B38" s="500">
        <v>9</v>
      </c>
      <c r="C38" s="472">
        <v>63646.966</v>
      </c>
      <c r="D38" s="472">
        <v>21060</v>
      </c>
      <c r="E38" s="472">
        <v>106584.899</v>
      </c>
      <c r="F38" s="472">
        <v>556.12</v>
      </c>
      <c r="G38" s="472">
        <v>0</v>
      </c>
      <c r="H38" s="472"/>
      <c r="I38" s="472"/>
      <c r="J38" s="472"/>
      <c r="K38" s="472"/>
      <c r="L38" s="472"/>
      <c r="M38" s="472"/>
      <c r="N38" s="475">
        <f t="shared" si="0"/>
        <v>191847.98499999999</v>
      </c>
      <c r="P38" s="478"/>
    </row>
    <row r="39" spans="1:16">
      <c r="A39" s="486">
        <v>2010</v>
      </c>
      <c r="B39" s="500">
        <v>10</v>
      </c>
      <c r="C39" s="472">
        <v>56271.940999999999</v>
      </c>
      <c r="D39" s="472">
        <v>19395</v>
      </c>
      <c r="E39" s="472">
        <v>95246.997000000003</v>
      </c>
      <c r="F39" s="472">
        <v>597.32399999999996</v>
      </c>
      <c r="G39" s="472">
        <v>0</v>
      </c>
      <c r="H39" s="472"/>
      <c r="I39" s="472"/>
      <c r="J39" s="472"/>
      <c r="K39" s="472"/>
      <c r="L39" s="472"/>
      <c r="M39" s="472"/>
      <c r="N39" s="475">
        <f t="shared" si="0"/>
        <v>171511.26199999999</v>
      </c>
      <c r="P39" s="478"/>
    </row>
    <row r="40" spans="1:16">
      <c r="A40" s="486">
        <v>2010</v>
      </c>
      <c r="B40" s="500">
        <v>11</v>
      </c>
      <c r="C40" s="472">
        <v>47470.025000000001</v>
      </c>
      <c r="D40" s="472">
        <v>16560</v>
      </c>
      <c r="E40" s="472">
        <v>83461.894</v>
      </c>
      <c r="F40" s="472">
        <v>530.99099999999999</v>
      </c>
      <c r="G40" s="472">
        <v>0</v>
      </c>
      <c r="H40" s="472"/>
      <c r="I40" s="472"/>
      <c r="J40" s="472"/>
      <c r="K40" s="472"/>
      <c r="L40" s="472"/>
      <c r="M40" s="472"/>
      <c r="N40" s="475">
        <f t="shared" si="0"/>
        <v>148022.91</v>
      </c>
      <c r="P40" s="478"/>
    </row>
    <row r="41" spans="1:16">
      <c r="A41" s="486">
        <v>2010</v>
      </c>
      <c r="B41" s="500">
        <v>12</v>
      </c>
      <c r="C41" s="472">
        <v>50114.637000000002</v>
      </c>
      <c r="D41" s="472">
        <v>18045</v>
      </c>
      <c r="E41" s="472">
        <v>101294.148</v>
      </c>
      <c r="F41" s="472">
        <v>692.06799999999998</v>
      </c>
      <c r="G41" s="472">
        <v>0</v>
      </c>
      <c r="H41" s="472"/>
      <c r="I41" s="472"/>
      <c r="J41" s="472"/>
      <c r="K41" s="472"/>
      <c r="L41" s="472"/>
      <c r="M41" s="472"/>
      <c r="N41" s="475">
        <f t="shared" si="0"/>
        <v>170145.853</v>
      </c>
      <c r="P41" s="478"/>
    </row>
    <row r="42" spans="1:16">
      <c r="A42" s="486">
        <v>2011</v>
      </c>
      <c r="B42" s="500">
        <v>1</v>
      </c>
      <c r="C42" s="472">
        <v>46905.73</v>
      </c>
      <c r="D42" s="472">
        <v>16110</v>
      </c>
      <c r="E42" s="472">
        <v>88944.758000000002</v>
      </c>
      <c r="F42" s="472">
        <v>618.84900000000005</v>
      </c>
      <c r="G42" s="472">
        <v>0</v>
      </c>
      <c r="H42" s="472"/>
      <c r="I42" s="472"/>
      <c r="J42" s="472"/>
      <c r="K42" s="472"/>
      <c r="L42" s="472"/>
      <c r="M42" s="472"/>
      <c r="N42" s="475">
        <f t="shared" si="0"/>
        <v>152579.337</v>
      </c>
      <c r="P42" s="478"/>
    </row>
    <row r="43" spans="1:16">
      <c r="A43" s="486">
        <v>2011</v>
      </c>
      <c r="B43" s="500">
        <v>2</v>
      </c>
      <c r="C43" s="472">
        <v>46600.296999999999</v>
      </c>
      <c r="D43" s="472">
        <v>15435</v>
      </c>
      <c r="E43" s="472">
        <v>80799.967000000004</v>
      </c>
      <c r="F43" s="472">
        <v>355.99700000000001</v>
      </c>
      <c r="G43" s="472">
        <v>0</v>
      </c>
      <c r="H43" s="472"/>
      <c r="I43" s="472"/>
      <c r="J43" s="472"/>
      <c r="K43" s="472"/>
      <c r="L43" s="472"/>
      <c r="M43" s="472"/>
      <c r="N43" s="475">
        <f t="shared" si="0"/>
        <v>143191.261</v>
      </c>
      <c r="P43" s="478"/>
    </row>
    <row r="44" spans="1:16">
      <c r="A44" s="486">
        <v>2011</v>
      </c>
      <c r="B44" s="500">
        <v>3</v>
      </c>
      <c r="C44" s="472">
        <v>54307.978999999999</v>
      </c>
      <c r="D44" s="472">
        <v>17100</v>
      </c>
      <c r="E44" s="472">
        <v>92072.525999999998</v>
      </c>
      <c r="F44" s="472">
        <v>723.96900000000005</v>
      </c>
      <c r="G44" s="472">
        <v>0</v>
      </c>
      <c r="H44" s="472"/>
      <c r="I44" s="472"/>
      <c r="J44" s="472"/>
      <c r="K44" s="472"/>
      <c r="L44" s="472"/>
      <c r="M44" s="472"/>
      <c r="N44" s="475">
        <f t="shared" si="0"/>
        <v>164204.47400000002</v>
      </c>
      <c r="P44" s="478"/>
    </row>
    <row r="45" spans="1:16">
      <c r="A45" s="486">
        <v>2011</v>
      </c>
      <c r="B45" s="500">
        <v>4</v>
      </c>
      <c r="C45" s="472">
        <v>63704.387999999999</v>
      </c>
      <c r="D45" s="472">
        <v>17325</v>
      </c>
      <c r="E45" s="472">
        <v>104888.65700000001</v>
      </c>
      <c r="F45" s="472">
        <v>688.89300000000003</v>
      </c>
      <c r="G45" s="472">
        <v>0</v>
      </c>
      <c r="H45" s="472"/>
      <c r="I45" s="472"/>
      <c r="J45" s="472"/>
      <c r="K45" s="472"/>
      <c r="L45" s="472"/>
      <c r="M45" s="472"/>
      <c r="N45" s="475">
        <f t="shared" si="0"/>
        <v>186606.93800000002</v>
      </c>
      <c r="P45" s="478"/>
    </row>
    <row r="46" spans="1:16">
      <c r="A46" s="486">
        <v>2011</v>
      </c>
      <c r="B46" s="500">
        <v>5</v>
      </c>
      <c r="C46" s="472">
        <v>68847.198000000004</v>
      </c>
      <c r="D46" s="472">
        <v>20115</v>
      </c>
      <c r="E46" s="472">
        <v>107074.308</v>
      </c>
      <c r="F46" s="472">
        <v>765.34199999999998</v>
      </c>
      <c r="G46" s="472">
        <v>0</v>
      </c>
      <c r="H46" s="472"/>
      <c r="I46" s="472"/>
      <c r="J46" s="472"/>
      <c r="K46" s="472"/>
      <c r="L46" s="472"/>
      <c r="M46" s="472"/>
      <c r="N46" s="475">
        <f t="shared" si="0"/>
        <v>196801.848</v>
      </c>
      <c r="P46" s="478"/>
    </row>
    <row r="47" spans="1:16">
      <c r="A47" s="486">
        <v>2011</v>
      </c>
      <c r="B47" s="500">
        <v>6</v>
      </c>
      <c r="C47" s="472">
        <v>72436.462</v>
      </c>
      <c r="D47" s="472">
        <v>21060</v>
      </c>
      <c r="E47" s="472">
        <v>108087.621</v>
      </c>
      <c r="F47" s="472">
        <v>633.72699999999998</v>
      </c>
      <c r="G47" s="472">
        <v>0</v>
      </c>
      <c r="H47" s="472"/>
      <c r="I47" s="472"/>
      <c r="J47" s="472"/>
      <c r="K47" s="472"/>
      <c r="L47" s="472"/>
      <c r="M47" s="472"/>
      <c r="N47" s="475">
        <f t="shared" si="0"/>
        <v>202217.81</v>
      </c>
      <c r="P47" s="478"/>
    </row>
    <row r="48" spans="1:16">
      <c r="A48" s="486">
        <v>2011</v>
      </c>
      <c r="B48" s="500">
        <v>7</v>
      </c>
      <c r="C48" s="472">
        <v>80409.620999999999</v>
      </c>
      <c r="D48" s="472">
        <v>22140</v>
      </c>
      <c r="E48" s="472">
        <v>112792.205</v>
      </c>
      <c r="F48" s="472">
        <v>622.54</v>
      </c>
      <c r="G48" s="472">
        <v>0</v>
      </c>
      <c r="H48" s="472"/>
      <c r="I48" s="472"/>
      <c r="J48" s="472"/>
      <c r="K48" s="472"/>
      <c r="L48" s="472"/>
      <c r="M48" s="472"/>
      <c r="N48" s="475">
        <f t="shared" si="0"/>
        <v>215964.36600000001</v>
      </c>
      <c r="P48" s="478"/>
    </row>
    <row r="49" spans="1:16">
      <c r="A49" s="486">
        <v>2011</v>
      </c>
      <c r="B49" s="500">
        <v>8</v>
      </c>
      <c r="C49" s="472">
        <v>76752.611000000004</v>
      </c>
      <c r="D49" s="472">
        <v>22770</v>
      </c>
      <c r="E49" s="472">
        <v>114067.916</v>
      </c>
      <c r="F49" s="472">
        <v>581.34400000000005</v>
      </c>
      <c r="G49" s="472">
        <v>0</v>
      </c>
      <c r="H49" s="472"/>
      <c r="I49" s="472"/>
      <c r="J49" s="472"/>
      <c r="K49" s="472"/>
      <c r="L49" s="472"/>
      <c r="M49" s="472"/>
      <c r="N49" s="475">
        <f t="shared" si="0"/>
        <v>214171.87100000001</v>
      </c>
      <c r="P49" s="478"/>
    </row>
    <row r="50" spans="1:16">
      <c r="A50" s="486">
        <v>2011</v>
      </c>
      <c r="B50" s="500">
        <v>9</v>
      </c>
      <c r="C50" s="472">
        <v>69116.777000000002</v>
      </c>
      <c r="D50" s="472">
        <v>21060</v>
      </c>
      <c r="E50" s="472">
        <v>107230.47500000001</v>
      </c>
      <c r="F50" s="472">
        <v>614.32799999999997</v>
      </c>
      <c r="G50" s="472">
        <v>0</v>
      </c>
      <c r="H50" s="472"/>
      <c r="I50" s="472"/>
      <c r="J50" s="472"/>
      <c r="K50" s="472"/>
      <c r="L50" s="472"/>
      <c r="M50" s="472"/>
      <c r="N50" s="475">
        <f t="shared" si="0"/>
        <v>198021.58000000002</v>
      </c>
      <c r="P50" s="478"/>
    </row>
    <row r="51" spans="1:16">
      <c r="A51" s="486">
        <v>2011</v>
      </c>
      <c r="B51" s="500">
        <v>10</v>
      </c>
      <c r="C51" s="472">
        <v>56226.877</v>
      </c>
      <c r="D51" s="472">
        <v>20970</v>
      </c>
      <c r="E51" s="472">
        <v>91884.466</v>
      </c>
      <c r="F51" s="472">
        <v>488.70699999999999</v>
      </c>
      <c r="G51" s="472">
        <v>0</v>
      </c>
      <c r="H51" s="472"/>
      <c r="I51" s="472">
        <v>4846.848</v>
      </c>
      <c r="J51" s="472"/>
      <c r="K51" s="472"/>
      <c r="L51" s="472"/>
      <c r="M51" s="472"/>
      <c r="N51" s="475">
        <f t="shared" si="0"/>
        <v>174416.89799999999</v>
      </c>
      <c r="P51" s="478"/>
    </row>
    <row r="52" spans="1:16">
      <c r="A52" s="486">
        <v>2011</v>
      </c>
      <c r="B52" s="500">
        <v>11</v>
      </c>
      <c r="C52" s="472">
        <v>51407.406000000003</v>
      </c>
      <c r="D52" s="472">
        <v>16560</v>
      </c>
      <c r="E52" s="472">
        <v>84513.237999999998</v>
      </c>
      <c r="F52" s="472">
        <v>622.82799999999997</v>
      </c>
      <c r="G52" s="472">
        <v>0</v>
      </c>
      <c r="H52" s="472"/>
      <c r="I52" s="472">
        <v>4334.5439999999999</v>
      </c>
      <c r="J52" s="472"/>
      <c r="K52" s="472"/>
      <c r="L52" s="472"/>
      <c r="M52" s="472"/>
      <c r="N52" s="475">
        <f t="shared" si="0"/>
        <v>157438.016</v>
      </c>
      <c r="P52" s="478"/>
    </row>
    <row r="53" spans="1:16">
      <c r="A53" s="486">
        <v>2011</v>
      </c>
      <c r="B53" s="500">
        <v>12</v>
      </c>
      <c r="C53" s="472">
        <v>51239.464999999997</v>
      </c>
      <c r="D53" s="472">
        <v>16110</v>
      </c>
      <c r="E53" s="472">
        <v>85559.115000000005</v>
      </c>
      <c r="F53" s="472">
        <v>442.48099999999999</v>
      </c>
      <c r="G53" s="472">
        <v>0</v>
      </c>
      <c r="H53" s="472"/>
      <c r="I53" s="472">
        <v>4447.3829999999998</v>
      </c>
      <c r="J53" s="472"/>
      <c r="K53" s="472"/>
      <c r="L53" s="472"/>
      <c r="M53" s="472"/>
      <c r="N53" s="475">
        <f t="shared" si="0"/>
        <v>157798.44400000002</v>
      </c>
      <c r="P53" s="478"/>
    </row>
    <row r="54" spans="1:16">
      <c r="A54" s="486">
        <v>2012</v>
      </c>
      <c r="B54" s="500">
        <v>1</v>
      </c>
      <c r="C54" s="472">
        <v>50699.966999999997</v>
      </c>
      <c r="D54" s="472">
        <v>16110</v>
      </c>
      <c r="E54" s="472">
        <v>89991.824999999997</v>
      </c>
      <c r="F54" s="472">
        <v>573.01</v>
      </c>
      <c r="G54" s="472">
        <v>0</v>
      </c>
      <c r="H54" s="472"/>
      <c r="I54" s="472">
        <v>4696.8019999999997</v>
      </c>
      <c r="J54" s="472"/>
      <c r="K54" s="472"/>
      <c r="L54" s="472"/>
      <c r="M54" s="472"/>
      <c r="N54" s="475">
        <f t="shared" si="0"/>
        <v>162071.60400000002</v>
      </c>
      <c r="P54" s="478"/>
    </row>
    <row r="55" spans="1:16">
      <c r="A55" s="486">
        <v>2012</v>
      </c>
      <c r="B55" s="500">
        <v>2</v>
      </c>
      <c r="C55" s="472">
        <v>52001.394</v>
      </c>
      <c r="D55" s="472">
        <v>15975</v>
      </c>
      <c r="E55" s="472">
        <v>86884.248000000007</v>
      </c>
      <c r="F55" s="472">
        <v>365.38</v>
      </c>
      <c r="G55" s="472">
        <v>0</v>
      </c>
      <c r="H55" s="472"/>
      <c r="I55" s="472">
        <v>4387.8370000000004</v>
      </c>
      <c r="J55" s="472"/>
      <c r="K55" s="472"/>
      <c r="L55" s="472"/>
      <c r="M55" s="472"/>
      <c r="N55" s="475">
        <f t="shared" si="0"/>
        <v>159613.859</v>
      </c>
      <c r="P55" s="478"/>
    </row>
    <row r="56" spans="1:16">
      <c r="A56" s="486">
        <v>2012</v>
      </c>
      <c r="B56" s="500">
        <v>3</v>
      </c>
      <c r="C56" s="472">
        <v>59426.750999999997</v>
      </c>
      <c r="D56" s="472">
        <v>17100</v>
      </c>
      <c r="E56" s="472">
        <v>97530.347999999998</v>
      </c>
      <c r="F56" s="472">
        <v>568.66899999999998</v>
      </c>
      <c r="G56" s="472">
        <v>0</v>
      </c>
      <c r="H56" s="472"/>
      <c r="I56" s="472">
        <v>4923.1809999999996</v>
      </c>
      <c r="J56" s="472"/>
      <c r="K56" s="472"/>
      <c r="L56" s="472"/>
      <c r="M56" s="472"/>
      <c r="N56" s="475">
        <f t="shared" si="0"/>
        <v>179548.94899999999</v>
      </c>
      <c r="P56" s="478"/>
    </row>
    <row r="57" spans="1:16">
      <c r="A57" s="486">
        <v>2012</v>
      </c>
      <c r="B57" s="500">
        <v>4</v>
      </c>
      <c r="C57" s="472">
        <v>56813.245033112587</v>
      </c>
      <c r="D57" s="472">
        <v>17235</v>
      </c>
      <c r="E57" s="472">
        <v>95089.768262941448</v>
      </c>
      <c r="F57" s="472">
        <v>500.34399999999999</v>
      </c>
      <c r="G57" s="472">
        <v>0</v>
      </c>
      <c r="H57" s="472"/>
      <c r="I57" s="472">
        <v>4983.3242271417157</v>
      </c>
      <c r="J57" s="472"/>
      <c r="K57" s="472"/>
      <c r="L57" s="472"/>
      <c r="M57" s="472"/>
      <c r="N57" s="475">
        <f t="shared" si="0"/>
        <v>174621.68152319576</v>
      </c>
      <c r="P57" s="478"/>
    </row>
    <row r="58" spans="1:16">
      <c r="A58" s="486">
        <v>2012</v>
      </c>
      <c r="B58" s="500">
        <v>5</v>
      </c>
      <c r="C58" s="472">
        <v>65762.341</v>
      </c>
      <c r="D58" s="472">
        <v>20115</v>
      </c>
      <c r="E58" s="472">
        <v>109264.15473627282</v>
      </c>
      <c r="F58" s="472">
        <v>520.57500000000005</v>
      </c>
      <c r="G58" s="472">
        <v>0</v>
      </c>
      <c r="H58" s="472"/>
      <c r="I58" s="472">
        <v>6121.0438671659167</v>
      </c>
      <c r="J58" s="472">
        <v>3589.85</v>
      </c>
      <c r="K58" s="472"/>
      <c r="L58" s="472"/>
      <c r="M58" s="472"/>
      <c r="N58" s="475">
        <f t="shared" si="0"/>
        <v>205372.96460343877</v>
      </c>
      <c r="P58" s="478"/>
    </row>
    <row r="59" spans="1:16">
      <c r="A59" s="486">
        <v>2012</v>
      </c>
      <c r="B59" s="500">
        <v>6</v>
      </c>
      <c r="C59" s="472">
        <v>69687.191999999995</v>
      </c>
      <c r="D59" s="472">
        <v>21060</v>
      </c>
      <c r="E59" s="472">
        <v>105197.076</v>
      </c>
      <c r="F59" s="472">
        <v>532.69100000000003</v>
      </c>
      <c r="G59" s="472">
        <v>0</v>
      </c>
      <c r="H59" s="472"/>
      <c r="I59" s="472">
        <v>5728.7449999999999</v>
      </c>
      <c r="J59" s="472">
        <v>3674.2170000000001</v>
      </c>
      <c r="K59" s="472"/>
      <c r="L59" s="472"/>
      <c r="M59" s="472"/>
      <c r="N59" s="475">
        <f t="shared" si="0"/>
        <v>205879.92099999997</v>
      </c>
      <c r="P59" s="478"/>
    </row>
    <row r="60" spans="1:16">
      <c r="A60" s="486">
        <v>2012</v>
      </c>
      <c r="B60" s="500">
        <v>7</v>
      </c>
      <c r="C60" s="472">
        <v>77143.074929336013</v>
      </c>
      <c r="D60" s="472">
        <v>22140</v>
      </c>
      <c r="E60" s="472">
        <v>113099.62346554556</v>
      </c>
      <c r="F60" s="472">
        <v>551.08500000000004</v>
      </c>
      <c r="G60" s="472">
        <v>0</v>
      </c>
      <c r="H60" s="472"/>
      <c r="I60" s="472">
        <v>6238.9201239816821</v>
      </c>
      <c r="J60" s="472">
        <v>4116.0389621796339</v>
      </c>
      <c r="K60" s="472"/>
      <c r="L60" s="472"/>
      <c r="M60" s="472"/>
      <c r="N60" s="475">
        <f t="shared" si="0"/>
        <v>223288.74248104286</v>
      </c>
      <c r="P60" s="478"/>
    </row>
    <row r="61" spans="1:16">
      <c r="A61" s="486">
        <v>2012</v>
      </c>
      <c r="B61" s="500">
        <v>8</v>
      </c>
      <c r="C61" s="472">
        <v>77510.92</v>
      </c>
      <c r="D61" s="472">
        <v>22815</v>
      </c>
      <c r="E61" s="472">
        <v>115345.071</v>
      </c>
      <c r="F61" s="472">
        <v>497.99200000000002</v>
      </c>
      <c r="G61" s="472">
        <v>0</v>
      </c>
      <c r="H61" s="472"/>
      <c r="I61" s="472">
        <v>6415.799</v>
      </c>
      <c r="J61" s="472">
        <v>3897.069</v>
      </c>
      <c r="K61" s="472"/>
      <c r="L61" s="472"/>
      <c r="M61" s="472"/>
      <c r="N61" s="475">
        <f t="shared" si="0"/>
        <v>226481.85099999997</v>
      </c>
      <c r="P61" s="478"/>
    </row>
    <row r="62" spans="1:16">
      <c r="A62" s="486">
        <v>2012</v>
      </c>
      <c r="B62" s="500">
        <v>9</v>
      </c>
      <c r="C62" s="472">
        <v>67200.520999999993</v>
      </c>
      <c r="D62" s="472">
        <v>21060</v>
      </c>
      <c r="E62" s="472">
        <v>104983.170117042</v>
      </c>
      <c r="F62" s="472">
        <v>479.16399999999999</v>
      </c>
      <c r="G62" s="472">
        <v>0</v>
      </c>
      <c r="H62" s="472"/>
      <c r="I62" s="472">
        <v>5749.07</v>
      </c>
      <c r="J62" s="472">
        <v>3490.9690000000001</v>
      </c>
      <c r="K62" s="472"/>
      <c r="L62" s="472"/>
      <c r="M62" s="472"/>
      <c r="N62" s="475">
        <f t="shared" si="0"/>
        <v>202962.89411704199</v>
      </c>
      <c r="P62" s="478"/>
    </row>
    <row r="63" spans="1:16">
      <c r="A63" s="486">
        <v>2012</v>
      </c>
      <c r="B63" s="500">
        <v>10</v>
      </c>
      <c r="C63" s="472">
        <v>62224.503311258282</v>
      </c>
      <c r="D63" s="472">
        <v>19395</v>
      </c>
      <c r="E63" s="472">
        <v>100007.63579220197</v>
      </c>
      <c r="F63" s="472">
        <v>437.06900000000002</v>
      </c>
      <c r="G63" s="472">
        <v>0</v>
      </c>
      <c r="H63" s="472"/>
      <c r="I63" s="472">
        <v>5337.9445716882938</v>
      </c>
      <c r="J63" s="472">
        <v>3039.8842042482142</v>
      </c>
      <c r="K63" s="472"/>
      <c r="L63" s="472"/>
      <c r="M63" s="472"/>
      <c r="N63" s="475">
        <f t="shared" si="0"/>
        <v>190442.03687939676</v>
      </c>
      <c r="P63" s="478"/>
    </row>
    <row r="64" spans="1:16">
      <c r="A64" s="486">
        <v>2012</v>
      </c>
      <c r="B64" s="500">
        <v>11</v>
      </c>
      <c r="C64" s="472">
        <v>45517.811406238841</v>
      </c>
      <c r="D64" s="472">
        <v>16560</v>
      </c>
      <c r="E64" s="472">
        <v>79468.151715833839</v>
      </c>
      <c r="F64" s="472">
        <v>487.79899999999998</v>
      </c>
      <c r="G64" s="472">
        <v>0</v>
      </c>
      <c r="H64" s="472"/>
      <c r="I64" s="472">
        <v>4122.5100809971245</v>
      </c>
      <c r="J64" s="472">
        <v>2761.0590672933672</v>
      </c>
      <c r="K64" s="472"/>
      <c r="L64" s="472"/>
      <c r="M64" s="472"/>
      <c r="N64" s="475">
        <f t="shared" si="0"/>
        <v>148917.33127036318</v>
      </c>
      <c r="P64" s="478"/>
    </row>
    <row r="65" spans="1:16">
      <c r="A65" s="486">
        <v>2012</v>
      </c>
      <c r="B65" s="500">
        <v>12</v>
      </c>
      <c r="C65" s="472">
        <v>52972.151756650572</v>
      </c>
      <c r="D65" s="472">
        <v>16110</v>
      </c>
      <c r="E65" s="472">
        <v>87506.641904509233</v>
      </c>
      <c r="F65" s="472">
        <v>594.61800000000005</v>
      </c>
      <c r="G65" s="472">
        <v>0</v>
      </c>
      <c r="H65" s="472"/>
      <c r="I65" s="472">
        <v>4579.3830153135004</v>
      </c>
      <c r="J65" s="472">
        <v>3043.755076468025</v>
      </c>
      <c r="K65" s="472"/>
      <c r="L65" s="472"/>
      <c r="M65" s="472"/>
      <c r="N65" s="475">
        <f t="shared" si="0"/>
        <v>164806.54975294133</v>
      </c>
      <c r="P65" s="478"/>
    </row>
    <row r="66" spans="1:16">
      <c r="A66" s="486">
        <v>2013</v>
      </c>
      <c r="B66" s="500">
        <v>1</v>
      </c>
      <c r="C66" s="472">
        <v>55278.136511597055</v>
      </c>
      <c r="D66" s="472">
        <v>16110</v>
      </c>
      <c r="E66" s="472">
        <v>89786.426392106048</v>
      </c>
      <c r="F66" s="472">
        <v>495.65699999999998</v>
      </c>
      <c r="G66" s="472">
        <v>0</v>
      </c>
      <c r="H66" s="472"/>
      <c r="I66" s="472">
        <v>4430.5299867769299</v>
      </c>
      <c r="J66" s="472">
        <v>2945.2308177473742</v>
      </c>
      <c r="K66" s="472"/>
      <c r="L66" s="472"/>
      <c r="M66" s="472"/>
      <c r="N66" s="475">
        <f t="shared" si="0"/>
        <v>169045.98070822741</v>
      </c>
      <c r="P66" s="478"/>
    </row>
    <row r="67" spans="1:16">
      <c r="A67" s="486">
        <v>2013</v>
      </c>
      <c r="B67" s="500">
        <v>2</v>
      </c>
      <c r="C67" s="472">
        <v>50969.71193583608</v>
      </c>
      <c r="D67" s="472">
        <v>15615</v>
      </c>
      <c r="E67" s="472">
        <v>84958.675088521297</v>
      </c>
      <c r="F67" s="472">
        <v>262.108</v>
      </c>
      <c r="G67" s="472">
        <v>0</v>
      </c>
      <c r="H67" s="472"/>
      <c r="I67" s="472">
        <v>4216.1531965523254</v>
      </c>
      <c r="J67" s="472">
        <v>2657.6967411061955</v>
      </c>
      <c r="K67" s="472"/>
      <c r="L67" s="472"/>
      <c r="M67" s="472"/>
      <c r="N67" s="475">
        <f t="shared" si="0"/>
        <v>158679.34496201592</v>
      </c>
      <c r="P67" s="478"/>
    </row>
    <row r="68" spans="1:16">
      <c r="A68" s="486">
        <v>2013</v>
      </c>
      <c r="B68" s="500">
        <v>3</v>
      </c>
      <c r="C68" s="472">
        <v>53074.278308962334</v>
      </c>
      <c r="D68" s="472">
        <v>17100</v>
      </c>
      <c r="E68" s="472">
        <v>92662.203695956079</v>
      </c>
      <c r="F68" s="472">
        <v>399.06799999999998</v>
      </c>
      <c r="G68" s="472">
        <v>0</v>
      </c>
      <c r="H68" s="472"/>
      <c r="I68" s="472">
        <v>4511.5509407255704</v>
      </c>
      <c r="J68" s="472">
        <v>2948.5339202169525</v>
      </c>
      <c r="K68" s="472"/>
      <c r="L68" s="472"/>
      <c r="M68" s="472"/>
      <c r="N68" s="475">
        <f t="shared" si="0"/>
        <v>170695.63486586092</v>
      </c>
      <c r="P68" s="478"/>
    </row>
    <row r="69" spans="1:16">
      <c r="A69" s="486">
        <v>2013</v>
      </c>
      <c r="B69" s="500">
        <v>4</v>
      </c>
      <c r="C69" s="472">
        <v>61920.623679833465</v>
      </c>
      <c r="D69" s="472">
        <v>17235</v>
      </c>
      <c r="E69" s="472">
        <v>101520.4838824886</v>
      </c>
      <c r="F69" s="472">
        <v>563.31700000000001</v>
      </c>
      <c r="G69" s="472">
        <v>0</v>
      </c>
      <c r="H69" s="472"/>
      <c r="I69" s="472">
        <v>5015.6158196515544</v>
      </c>
      <c r="J69" s="472">
        <v>2772.4259640793093</v>
      </c>
      <c r="K69" s="472"/>
      <c r="L69" s="472"/>
      <c r="M69" s="472"/>
      <c r="N69" s="475">
        <f t="shared" si="0"/>
        <v>189027.46634605291</v>
      </c>
      <c r="P69" s="478"/>
    </row>
    <row r="70" spans="1:16">
      <c r="A70" s="486">
        <v>2013</v>
      </c>
      <c r="B70" s="500">
        <v>5</v>
      </c>
      <c r="C70" s="472">
        <v>64215.762405738831</v>
      </c>
      <c r="D70" s="472">
        <v>20115</v>
      </c>
      <c r="E70" s="472">
        <v>102931.97379565096</v>
      </c>
      <c r="F70" s="472">
        <v>547.91300000000001</v>
      </c>
      <c r="G70" s="472">
        <v>0</v>
      </c>
      <c r="H70" s="472"/>
      <c r="I70" s="472">
        <v>5416.7007267145045</v>
      </c>
      <c r="J70" s="472">
        <v>3201.016648104046</v>
      </c>
      <c r="K70" s="472"/>
      <c r="L70" s="472"/>
      <c r="M70" s="472"/>
      <c r="N70" s="475">
        <f t="shared" si="0"/>
        <v>196428.36657620835</v>
      </c>
      <c r="P70" s="478"/>
    </row>
    <row r="71" spans="1:16">
      <c r="A71" s="486">
        <v>2013</v>
      </c>
      <c r="B71" s="500">
        <v>6</v>
      </c>
      <c r="C71" s="472">
        <v>71685.378247100394</v>
      </c>
      <c r="D71" s="472">
        <v>0</v>
      </c>
      <c r="E71" s="472">
        <v>107378.41511970102</v>
      </c>
      <c r="F71" s="472">
        <v>531.08699999999999</v>
      </c>
      <c r="G71" s="472">
        <v>0</v>
      </c>
      <c r="H71" s="472"/>
      <c r="I71" s="472">
        <v>5723.4525108652842</v>
      </c>
      <c r="J71" s="472">
        <v>3746.2911983350436</v>
      </c>
      <c r="K71" s="472"/>
      <c r="L71" s="472"/>
      <c r="M71" s="472"/>
      <c r="N71" s="475">
        <f t="shared" ref="N71:N134" si="1">SUM(C71:M71)</f>
        <v>189064.62407600172</v>
      </c>
      <c r="P71" s="478"/>
    </row>
    <row r="72" spans="1:16">
      <c r="A72" s="486">
        <v>2013</v>
      </c>
      <c r="B72" s="500">
        <v>7</v>
      </c>
      <c r="C72" s="472">
        <v>75399.978615724569</v>
      </c>
      <c r="D72" s="472">
        <v>0</v>
      </c>
      <c r="E72" s="472">
        <v>108944.62694622365</v>
      </c>
      <c r="F72" s="472">
        <v>540.61865999999998</v>
      </c>
      <c r="G72" s="472">
        <v>0</v>
      </c>
      <c r="H72" s="472"/>
      <c r="I72" s="472">
        <v>5654.0406598902682</v>
      </c>
      <c r="J72" s="472">
        <v>3766.6253020786016</v>
      </c>
      <c r="K72" s="472"/>
      <c r="L72" s="472"/>
      <c r="M72" s="472"/>
      <c r="N72" s="475">
        <f t="shared" si="1"/>
        <v>194305.8901839171</v>
      </c>
      <c r="P72" s="478"/>
    </row>
    <row r="73" spans="1:16">
      <c r="A73" s="486">
        <v>2013</v>
      </c>
      <c r="B73" s="500">
        <v>8</v>
      </c>
      <c r="C73" s="472">
        <v>77641.075119904694</v>
      </c>
      <c r="D73" s="472">
        <v>0</v>
      </c>
      <c r="E73" s="472">
        <v>116066.39817520851</v>
      </c>
      <c r="F73" s="472">
        <v>502.01190000000003</v>
      </c>
      <c r="G73" s="472">
        <v>0</v>
      </c>
      <c r="H73" s="472"/>
      <c r="I73" s="472">
        <v>6416.3103488429579</v>
      </c>
      <c r="J73" s="472">
        <v>3922.965878606436</v>
      </c>
      <c r="K73" s="472"/>
      <c r="L73" s="472"/>
      <c r="M73" s="472"/>
      <c r="N73" s="475">
        <f t="shared" si="1"/>
        <v>204548.76142256259</v>
      </c>
      <c r="P73" s="478"/>
    </row>
    <row r="74" spans="1:16">
      <c r="A74" s="486">
        <v>2013</v>
      </c>
      <c r="B74" s="500">
        <v>9</v>
      </c>
      <c r="C74" s="472">
        <v>68405.673961080611</v>
      </c>
      <c r="D74" s="472">
        <v>0</v>
      </c>
      <c r="E74" s="472">
        <v>104907.72481492419</v>
      </c>
      <c r="F74" s="472">
        <v>500.28677999999996</v>
      </c>
      <c r="G74" s="472">
        <v>0</v>
      </c>
      <c r="H74" s="472"/>
      <c r="I74" s="472">
        <v>5734.3011775500026</v>
      </c>
      <c r="J74" s="472">
        <v>3620.5108547538325</v>
      </c>
      <c r="K74" s="472"/>
      <c r="L74" s="472"/>
      <c r="M74" s="472"/>
      <c r="N74" s="475">
        <f t="shared" si="1"/>
        <v>183168.49758830862</v>
      </c>
      <c r="P74" s="478"/>
    </row>
    <row r="75" spans="1:16">
      <c r="A75" s="486">
        <v>2013</v>
      </c>
      <c r="B75" s="500">
        <v>10</v>
      </c>
      <c r="C75" s="472">
        <v>66036.695416636969</v>
      </c>
      <c r="D75" s="472">
        <v>0</v>
      </c>
      <c r="E75" s="472">
        <v>106317.40680019959</v>
      </c>
      <c r="F75" s="472">
        <v>455.32223999999997</v>
      </c>
      <c r="G75" s="472">
        <v>0</v>
      </c>
      <c r="H75" s="472"/>
      <c r="I75" s="472">
        <v>5499.3547912053045</v>
      </c>
      <c r="J75" s="472">
        <v>2964.0968759488965</v>
      </c>
      <c r="K75" s="472"/>
      <c r="L75" s="472"/>
      <c r="M75" s="472"/>
      <c r="N75" s="475">
        <f t="shared" si="1"/>
        <v>181272.87612399078</v>
      </c>
      <c r="P75" s="478"/>
    </row>
    <row r="76" spans="1:16">
      <c r="A76" s="486">
        <v>2013</v>
      </c>
      <c r="B76" s="500">
        <v>11</v>
      </c>
      <c r="C76" s="472">
        <v>55916.605399020402</v>
      </c>
      <c r="D76" s="472">
        <v>0</v>
      </c>
      <c r="E76" s="472">
        <v>93649.224565440978</v>
      </c>
      <c r="F76" s="472">
        <v>453.79331999999999</v>
      </c>
      <c r="G76" s="472">
        <v>0</v>
      </c>
      <c r="H76" s="472"/>
      <c r="I76" s="472">
        <v>4493.9387189187546</v>
      </c>
      <c r="J76" s="472">
        <v>2661.8907088192309</v>
      </c>
      <c r="K76" s="472"/>
      <c r="L76" s="472"/>
      <c r="M76" s="472"/>
      <c r="N76" s="475">
        <f t="shared" si="1"/>
        <v>157175.45271219939</v>
      </c>
      <c r="P76" s="478"/>
    </row>
    <row r="77" spans="1:16">
      <c r="A77" s="486">
        <v>2013</v>
      </c>
      <c r="B77" s="500">
        <v>12</v>
      </c>
      <c r="C77" s="472">
        <v>58140.181053531967</v>
      </c>
      <c r="D77" s="472">
        <v>0</v>
      </c>
      <c r="E77" s="472">
        <v>93356.393389203993</v>
      </c>
      <c r="F77" s="472">
        <v>0</v>
      </c>
      <c r="G77" s="472">
        <v>0</v>
      </c>
      <c r="H77" s="472"/>
      <c r="I77" s="472">
        <v>4642.2964096855567</v>
      </c>
      <c r="J77" s="472">
        <v>2936.5061938137978</v>
      </c>
      <c r="K77" s="472"/>
      <c r="L77" s="472"/>
      <c r="M77" s="472"/>
      <c r="N77" s="475">
        <f t="shared" si="1"/>
        <v>159075.37704623531</v>
      </c>
      <c r="P77" s="478"/>
    </row>
    <row r="78" spans="1:16">
      <c r="A78" s="486">
        <v>2014</v>
      </c>
      <c r="B78" s="500">
        <v>1</v>
      </c>
      <c r="C78" s="472">
        <v>53789.683053531968</v>
      </c>
      <c r="D78" s="472">
        <v>0</v>
      </c>
      <c r="E78" s="472">
        <v>302663.98175208498</v>
      </c>
      <c r="F78" s="472">
        <v>0</v>
      </c>
      <c r="G78" s="472">
        <v>0</v>
      </c>
      <c r="H78" s="472">
        <v>0</v>
      </c>
      <c r="I78" s="472">
        <v>5124.569409685555</v>
      </c>
      <c r="J78" s="472">
        <v>3598.7401938137978</v>
      </c>
      <c r="K78" s="472">
        <v>16537</v>
      </c>
      <c r="L78" s="472"/>
      <c r="M78" s="472"/>
      <c r="N78" s="475">
        <f t="shared" si="1"/>
        <v>381713.97440911632</v>
      </c>
      <c r="O78" s="501"/>
    </row>
    <row r="79" spans="1:16">
      <c r="A79" s="486">
        <v>2014</v>
      </c>
      <c r="B79" s="500">
        <v>2</v>
      </c>
      <c r="C79" s="472">
        <v>55279.361545482316</v>
      </c>
      <c r="D79" s="472">
        <v>0</v>
      </c>
      <c r="E79" s="472">
        <v>247855.38629166124</v>
      </c>
      <c r="F79" s="472">
        <v>0</v>
      </c>
      <c r="G79" s="472">
        <v>0</v>
      </c>
      <c r="H79" s="472">
        <v>18635</v>
      </c>
      <c r="I79" s="472">
        <v>4132.2357440350515</v>
      </c>
      <c r="J79" s="472">
        <v>2923.0439027417733</v>
      </c>
      <c r="K79" s="472">
        <v>15456</v>
      </c>
      <c r="L79" s="472"/>
      <c r="M79" s="472"/>
      <c r="N79" s="475">
        <f t="shared" si="1"/>
        <v>344281.02748392033</v>
      </c>
      <c r="O79" s="501"/>
    </row>
    <row r="80" spans="1:16">
      <c r="A80" s="486">
        <v>2014</v>
      </c>
      <c r="B80" s="500">
        <v>3</v>
      </c>
      <c r="C80" s="472">
        <v>60007.115803946937</v>
      </c>
      <c r="D80" s="472">
        <v>0</v>
      </c>
      <c r="E80" s="472">
        <v>277647.81523986027</v>
      </c>
      <c r="F80" s="472">
        <v>0</v>
      </c>
      <c r="G80" s="472">
        <v>0</v>
      </c>
      <c r="H80" s="472">
        <v>14868</v>
      </c>
      <c r="I80" s="472">
        <v>4021.6145055988081</v>
      </c>
      <c r="J80" s="472">
        <v>2594.3847094808966</v>
      </c>
      <c r="K80" s="472">
        <v>16997</v>
      </c>
      <c r="L80" s="472"/>
      <c r="M80" s="472"/>
      <c r="N80" s="475">
        <f t="shared" si="1"/>
        <v>376135.93025888689</v>
      </c>
      <c r="O80" s="501"/>
    </row>
    <row r="81" spans="1:15">
      <c r="A81" s="486">
        <v>2014</v>
      </c>
      <c r="B81" s="500">
        <v>4</v>
      </c>
      <c r="C81" s="472">
        <v>62174.597000000002</v>
      </c>
      <c r="D81" s="472">
        <v>0</v>
      </c>
      <c r="E81" s="472">
        <v>311518.40575135191</v>
      </c>
      <c r="F81" s="472">
        <v>0</v>
      </c>
      <c r="G81" s="472">
        <v>0</v>
      </c>
      <c r="H81" s="472">
        <v>7200</v>
      </c>
      <c r="I81" s="472">
        <v>5396.7403632383848</v>
      </c>
      <c r="J81" s="472">
        <v>2558.409262151109</v>
      </c>
      <c r="K81" s="472">
        <v>15387</v>
      </c>
      <c r="L81" s="472"/>
      <c r="M81" s="472"/>
      <c r="N81" s="475">
        <f t="shared" si="1"/>
        <v>404235.1523767414</v>
      </c>
      <c r="O81" s="501"/>
    </row>
    <row r="82" spans="1:15">
      <c r="A82" s="486">
        <v>2014</v>
      </c>
      <c r="B82" s="500">
        <v>5</v>
      </c>
      <c r="C82" s="472">
        <v>69701.235000000001</v>
      </c>
      <c r="D82" s="472">
        <v>0</v>
      </c>
      <c r="E82" s="472">
        <v>346316.90070568124</v>
      </c>
      <c r="F82" s="472">
        <v>0</v>
      </c>
      <c r="G82" s="472">
        <v>0</v>
      </c>
      <c r="H82" s="472">
        <v>14775</v>
      </c>
      <c r="I82" s="472">
        <v>5912.6414068960285</v>
      </c>
      <c r="J82" s="472">
        <v>2856.3084321532915</v>
      </c>
      <c r="K82" s="472">
        <v>16790</v>
      </c>
      <c r="L82" s="472"/>
      <c r="M82" s="472"/>
      <c r="N82" s="475">
        <f t="shared" si="1"/>
        <v>456352.08554473054</v>
      </c>
      <c r="O82" s="501"/>
    </row>
    <row r="83" spans="1:15">
      <c r="A83" s="486">
        <v>2014</v>
      </c>
      <c r="B83" s="500">
        <v>6</v>
      </c>
      <c r="C83" s="472">
        <v>74290.361000000004</v>
      </c>
      <c r="D83" s="472">
        <v>0</v>
      </c>
      <c r="E83" s="472">
        <v>361951.71226013481</v>
      </c>
      <c r="F83" s="472">
        <v>0</v>
      </c>
      <c r="G83" s="472">
        <v>81900</v>
      </c>
      <c r="H83" s="472">
        <v>23090</v>
      </c>
      <c r="I83" s="472">
        <v>5789.2380307687336</v>
      </c>
      <c r="J83" s="472">
        <v>4003.3649859109446</v>
      </c>
      <c r="K83" s="472">
        <v>16560</v>
      </c>
      <c r="L83" s="472"/>
      <c r="M83" s="472"/>
      <c r="N83" s="475">
        <f t="shared" si="1"/>
        <v>567584.67627681443</v>
      </c>
      <c r="O83" s="501"/>
    </row>
    <row r="84" spans="1:15">
      <c r="A84" s="486">
        <v>2014</v>
      </c>
      <c r="B84" s="500">
        <v>7</v>
      </c>
      <c r="C84" s="472">
        <v>83182.856999999989</v>
      </c>
      <c r="D84" s="472">
        <v>0</v>
      </c>
      <c r="E84" s="472">
        <v>342204.55535516626</v>
      </c>
      <c r="F84" s="472">
        <v>0</v>
      </c>
      <c r="G84" s="472">
        <v>90850</v>
      </c>
      <c r="H84" s="472">
        <v>24575</v>
      </c>
      <c r="I84" s="472">
        <v>6401.7082499392218</v>
      </c>
      <c r="J84" s="472">
        <v>3991.8651475950396</v>
      </c>
      <c r="K84" s="472">
        <v>17112</v>
      </c>
      <c r="L84" s="472"/>
      <c r="M84" s="472"/>
      <c r="N84" s="475">
        <f t="shared" si="1"/>
        <v>568317.9857527006</v>
      </c>
      <c r="O84" s="501"/>
    </row>
    <row r="85" spans="1:15">
      <c r="A85" s="486">
        <v>2014</v>
      </c>
      <c r="B85" s="500">
        <v>8</v>
      </c>
      <c r="C85" s="472">
        <v>85591.366999999998</v>
      </c>
      <c r="D85" s="472">
        <v>0</v>
      </c>
      <c r="E85" s="472">
        <v>419564.14984265558</v>
      </c>
      <c r="F85" s="472">
        <v>0</v>
      </c>
      <c r="G85" s="472">
        <v>96050</v>
      </c>
      <c r="H85" s="472">
        <v>25040</v>
      </c>
      <c r="I85" s="472">
        <v>6197.4538796816068</v>
      </c>
      <c r="J85" s="472">
        <v>3823.33904429315</v>
      </c>
      <c r="K85" s="472">
        <v>17112</v>
      </c>
      <c r="L85" s="472"/>
      <c r="M85" s="472"/>
      <c r="N85" s="475">
        <f t="shared" si="1"/>
        <v>653378.30976663041</v>
      </c>
      <c r="O85" s="501"/>
    </row>
    <row r="86" spans="1:15">
      <c r="A86" s="486">
        <v>2014</v>
      </c>
      <c r="B86" s="500">
        <v>9</v>
      </c>
      <c r="C86" s="472">
        <v>67753.782000000007</v>
      </c>
      <c r="D86" s="472">
        <v>0</v>
      </c>
      <c r="E86" s="472">
        <v>345805.26331882627</v>
      </c>
      <c r="F86" s="472">
        <v>0</v>
      </c>
      <c r="G86" s="472">
        <v>91130</v>
      </c>
      <c r="H86" s="472">
        <v>17885</v>
      </c>
      <c r="I86" s="472">
        <v>6805.4888168294692</v>
      </c>
      <c r="J86" s="472">
        <v>3785.5901196064347</v>
      </c>
      <c r="K86" s="472">
        <v>16560</v>
      </c>
      <c r="L86" s="472"/>
      <c r="M86" s="472"/>
      <c r="N86" s="475">
        <f t="shared" si="1"/>
        <v>549725.1242552622</v>
      </c>
      <c r="O86" s="501"/>
    </row>
    <row r="87" spans="1:15">
      <c r="A87" s="486">
        <v>2014</v>
      </c>
      <c r="B87" s="500">
        <v>10</v>
      </c>
      <c r="C87" s="472">
        <v>64604.751999999979</v>
      </c>
      <c r="D87" s="472">
        <v>0</v>
      </c>
      <c r="E87" s="472">
        <v>322850.12587526627</v>
      </c>
      <c r="F87" s="472">
        <v>0</v>
      </c>
      <c r="G87" s="472">
        <v>87075</v>
      </c>
      <c r="H87" s="472">
        <v>14590</v>
      </c>
      <c r="I87" s="472">
        <v>5315.6805058958926</v>
      </c>
      <c r="J87" s="472">
        <v>3217.6337529843995</v>
      </c>
      <c r="K87" s="472">
        <v>16583</v>
      </c>
      <c r="L87" s="472"/>
      <c r="M87" s="472"/>
      <c r="N87" s="475">
        <f t="shared" si="1"/>
        <v>514236.19213414652</v>
      </c>
      <c r="O87" s="501"/>
    </row>
    <row r="88" spans="1:15">
      <c r="A88" s="486">
        <v>2014</v>
      </c>
      <c r="B88" s="500">
        <v>11</v>
      </c>
      <c r="C88" s="472">
        <v>51616.438000000002</v>
      </c>
      <c r="D88" s="472">
        <v>0</v>
      </c>
      <c r="E88" s="472">
        <v>236602.42883206101</v>
      </c>
      <c r="F88" s="472">
        <v>0</v>
      </c>
      <c r="G88" s="472">
        <v>44020</v>
      </c>
      <c r="H88" s="472">
        <v>7205</v>
      </c>
      <c r="I88" s="472">
        <v>3679.2900633923027</v>
      </c>
      <c r="J88" s="472">
        <v>2410.9527906332833</v>
      </c>
      <c r="K88" s="472">
        <v>16077</v>
      </c>
      <c r="L88" s="472"/>
      <c r="M88" s="472"/>
      <c r="N88" s="475">
        <f t="shared" si="1"/>
        <v>361611.10968608665</v>
      </c>
      <c r="O88" s="501"/>
    </row>
    <row r="89" spans="1:15">
      <c r="A89" s="486">
        <v>2014</v>
      </c>
      <c r="B89" s="500">
        <v>12</v>
      </c>
      <c r="C89" s="472">
        <v>52485.398999999998</v>
      </c>
      <c r="D89" s="472">
        <v>0</v>
      </c>
      <c r="E89" s="472">
        <v>316442.92193695024</v>
      </c>
      <c r="F89" s="472">
        <v>0</v>
      </c>
      <c r="G89" s="472">
        <v>13575</v>
      </c>
      <c r="H89" s="472">
        <v>14375</v>
      </c>
      <c r="I89" s="472">
        <v>4424.6242624126007</v>
      </c>
      <c r="J89" s="472">
        <v>2923.9965997321551</v>
      </c>
      <c r="K89" s="472">
        <v>15847</v>
      </c>
      <c r="L89" s="472"/>
      <c r="M89" s="472"/>
      <c r="N89" s="475">
        <f t="shared" si="1"/>
        <v>420073.94179909496</v>
      </c>
      <c r="O89" s="501"/>
    </row>
    <row r="90" spans="1:15">
      <c r="A90" s="486">
        <f>+A78+1</f>
        <v>2015</v>
      </c>
      <c r="B90" s="500">
        <v>1</v>
      </c>
      <c r="C90" s="472">
        <v>55893.767999999996</v>
      </c>
      <c r="D90" s="472">
        <v>0</v>
      </c>
      <c r="E90" s="472">
        <v>270576.53929652547</v>
      </c>
      <c r="F90" s="472">
        <v>0</v>
      </c>
      <c r="G90" s="472">
        <v>73250</v>
      </c>
      <c r="H90" s="472">
        <v>23405</v>
      </c>
      <c r="I90" s="472">
        <v>4758.6501985440973</v>
      </c>
      <c r="J90" s="472">
        <v>2854.7034059911311</v>
      </c>
      <c r="K90" s="472">
        <v>12284.608</v>
      </c>
      <c r="L90" s="472">
        <v>0</v>
      </c>
      <c r="M90" s="472"/>
      <c r="N90" s="475">
        <f t="shared" si="1"/>
        <v>443023.26890106068</v>
      </c>
      <c r="O90" s="501"/>
    </row>
    <row r="91" spans="1:15">
      <c r="A91" s="486">
        <f t="shared" ref="A91:A154" si="2">+A79+1</f>
        <v>2015</v>
      </c>
      <c r="B91" s="500">
        <v>2</v>
      </c>
      <c r="C91" s="472">
        <v>48914.218000000001</v>
      </c>
      <c r="D91" s="472">
        <v>0</v>
      </c>
      <c r="E91" s="472">
        <v>301035.69455627701</v>
      </c>
      <c r="F91" s="472">
        <v>0</v>
      </c>
      <c r="G91" s="472">
        <v>85800</v>
      </c>
      <c r="H91" s="472">
        <v>21900</v>
      </c>
      <c r="I91" s="472">
        <v>1891.0991284847378</v>
      </c>
      <c r="J91" s="472">
        <v>3125.6857217388688</v>
      </c>
      <c r="K91" s="472">
        <v>14177.11</v>
      </c>
      <c r="L91" s="472">
        <v>0</v>
      </c>
      <c r="M91" s="472"/>
      <c r="N91" s="475">
        <f t="shared" si="1"/>
        <v>476843.80740650056</v>
      </c>
      <c r="O91" s="501"/>
    </row>
    <row r="92" spans="1:15">
      <c r="A92" s="486">
        <f t="shared" si="2"/>
        <v>2015</v>
      </c>
      <c r="B92" s="500">
        <v>3</v>
      </c>
      <c r="C92" s="472">
        <v>66651.542000000016</v>
      </c>
      <c r="D92" s="472">
        <v>0</v>
      </c>
      <c r="E92" s="472">
        <v>304886.05383588315</v>
      </c>
      <c r="F92" s="472">
        <v>0</v>
      </c>
      <c r="G92" s="472">
        <v>111860</v>
      </c>
      <c r="H92" s="472">
        <v>14690</v>
      </c>
      <c r="I92" s="472">
        <v>7271.0262253584497</v>
      </c>
      <c r="J92" s="472">
        <v>3177.2140875774903</v>
      </c>
      <c r="K92" s="472">
        <v>13087.405999999997</v>
      </c>
      <c r="L92" s="472">
        <v>0</v>
      </c>
      <c r="M92" s="472"/>
      <c r="N92" s="475">
        <f t="shared" si="1"/>
        <v>521623.24214881909</v>
      </c>
      <c r="O92" s="501"/>
    </row>
    <row r="93" spans="1:15">
      <c r="A93" s="486">
        <f t="shared" si="2"/>
        <v>2015</v>
      </c>
      <c r="B93" s="500">
        <v>4</v>
      </c>
      <c r="C93" s="472">
        <v>71298.913</v>
      </c>
      <c r="D93" s="472">
        <v>0</v>
      </c>
      <c r="E93" s="472">
        <v>335684.37210155645</v>
      </c>
      <c r="F93" s="472">
        <v>0</v>
      </c>
      <c r="G93" s="472">
        <v>125830</v>
      </c>
      <c r="H93" s="472">
        <v>14400</v>
      </c>
      <c r="I93" s="472">
        <v>5562.312992333108</v>
      </c>
      <c r="J93" s="472">
        <v>2118.9420340686947</v>
      </c>
      <c r="K93" s="472">
        <v>16697.978999999999</v>
      </c>
      <c r="L93" s="472">
        <v>0</v>
      </c>
      <c r="M93" s="472"/>
      <c r="N93" s="475">
        <f t="shared" si="1"/>
        <v>571592.51912795834</v>
      </c>
      <c r="O93" s="501"/>
    </row>
    <row r="94" spans="1:15">
      <c r="A94" s="486">
        <f t="shared" si="2"/>
        <v>2015</v>
      </c>
      <c r="B94" s="500">
        <v>5</v>
      </c>
      <c r="C94" s="472">
        <v>72522.712999999989</v>
      </c>
      <c r="D94" s="472">
        <v>0</v>
      </c>
      <c r="E94" s="472">
        <v>363433.20049330872</v>
      </c>
      <c r="F94" s="472">
        <v>0</v>
      </c>
      <c r="G94" s="472">
        <v>113525</v>
      </c>
      <c r="H94" s="472">
        <v>18285</v>
      </c>
      <c r="I94" s="472">
        <v>6014.8991004178788</v>
      </c>
      <c r="J94" s="472">
        <v>3481.674325252809</v>
      </c>
      <c r="K94" s="472">
        <v>20002.003000000004</v>
      </c>
      <c r="L94" s="472">
        <v>0</v>
      </c>
      <c r="M94" s="472"/>
      <c r="N94" s="475">
        <f t="shared" si="1"/>
        <v>597264.48991897935</v>
      </c>
      <c r="O94" s="501"/>
    </row>
    <row r="95" spans="1:15">
      <c r="A95" s="486">
        <f t="shared" si="2"/>
        <v>2015</v>
      </c>
      <c r="B95" s="500">
        <v>6</v>
      </c>
      <c r="C95" s="472">
        <v>76756.249999999985</v>
      </c>
      <c r="D95" s="472">
        <v>0</v>
      </c>
      <c r="E95" s="472">
        <v>363754.52057248855</v>
      </c>
      <c r="F95" s="472">
        <v>0</v>
      </c>
      <c r="G95" s="472">
        <v>115975</v>
      </c>
      <c r="H95" s="472">
        <v>26070</v>
      </c>
      <c r="I95" s="472">
        <v>6068.0906072946518</v>
      </c>
      <c r="J95" s="472">
        <v>3690.9136656444712</v>
      </c>
      <c r="K95" s="472">
        <v>21595.621000000006</v>
      </c>
      <c r="L95" s="472">
        <v>0</v>
      </c>
      <c r="M95" s="472"/>
      <c r="N95" s="475">
        <f t="shared" si="1"/>
        <v>613910.39584542776</v>
      </c>
      <c r="O95" s="501"/>
    </row>
    <row r="96" spans="1:15">
      <c r="A96" s="486">
        <f t="shared" si="2"/>
        <v>2015</v>
      </c>
      <c r="B96" s="500">
        <v>7</v>
      </c>
      <c r="C96" s="472">
        <v>87703.695000000022</v>
      </c>
      <c r="D96" s="472">
        <v>0</v>
      </c>
      <c r="E96" s="472">
        <v>389609.56643043342</v>
      </c>
      <c r="F96" s="472">
        <v>0</v>
      </c>
      <c r="G96" s="472">
        <v>144250</v>
      </c>
      <c r="H96" s="472">
        <v>29660</v>
      </c>
      <c r="I96" s="472">
        <v>6157.5820506803384</v>
      </c>
      <c r="J96" s="472">
        <v>3999.2680194534855</v>
      </c>
      <c r="K96" s="472">
        <v>22495.288999999997</v>
      </c>
      <c r="L96" s="472">
        <v>0</v>
      </c>
      <c r="M96" s="472"/>
      <c r="N96" s="475">
        <f t="shared" si="1"/>
        <v>683875.40050056728</v>
      </c>
      <c r="O96" s="501"/>
    </row>
    <row r="97" spans="1:15">
      <c r="A97" s="486">
        <f t="shared" si="2"/>
        <v>2015</v>
      </c>
      <c r="B97" s="500">
        <v>8</v>
      </c>
      <c r="C97" s="482">
        <v>84789.614446202409</v>
      </c>
      <c r="D97" s="482">
        <v>0</v>
      </c>
      <c r="E97" s="482">
        <v>366364.25569662271</v>
      </c>
      <c r="F97" s="482">
        <v>0</v>
      </c>
      <c r="G97" s="482">
        <v>96050</v>
      </c>
      <c r="H97" s="482">
        <v>33480</v>
      </c>
      <c r="I97" s="482">
        <v>6306.8821142622819</v>
      </c>
      <c r="J97" s="482">
        <v>3873.152461449793</v>
      </c>
      <c r="K97" s="482">
        <v>28556.690733999956</v>
      </c>
      <c r="L97" s="482">
        <v>2803</v>
      </c>
      <c r="M97" s="482"/>
      <c r="N97" s="482">
        <f t="shared" si="1"/>
        <v>622223.59545253729</v>
      </c>
      <c r="O97" s="501"/>
    </row>
    <row r="98" spans="1:15">
      <c r="A98" s="486">
        <f t="shared" si="2"/>
        <v>2015</v>
      </c>
      <c r="B98" s="500">
        <v>9</v>
      </c>
      <c r="C98" s="482">
        <v>72614.355987308183</v>
      </c>
      <c r="D98" s="482">
        <v>0</v>
      </c>
      <c r="E98" s="482">
        <v>345994.38642515155</v>
      </c>
      <c r="F98" s="482">
        <v>0</v>
      </c>
      <c r="G98" s="482">
        <v>91130</v>
      </c>
      <c r="H98" s="482">
        <v>21600</v>
      </c>
      <c r="I98" s="482">
        <v>6269.8949971897364</v>
      </c>
      <c r="J98" s="482">
        <v>3703.0504871801336</v>
      </c>
      <c r="K98" s="482">
        <v>27811.956985999961</v>
      </c>
      <c r="L98" s="482">
        <v>978</v>
      </c>
      <c r="M98" s="482"/>
      <c r="N98" s="482">
        <f t="shared" si="1"/>
        <v>570101.64488282963</v>
      </c>
      <c r="O98" s="501"/>
    </row>
    <row r="99" spans="1:15">
      <c r="A99" s="486">
        <f t="shared" si="2"/>
        <v>2015</v>
      </c>
      <c r="B99" s="500">
        <v>10</v>
      </c>
      <c r="C99" s="482">
        <v>67065.214001382061</v>
      </c>
      <c r="D99" s="482">
        <v>0</v>
      </c>
      <c r="E99" s="482">
        <v>313843.15266004909</v>
      </c>
      <c r="F99" s="482">
        <v>0</v>
      </c>
      <c r="G99" s="482">
        <v>87075</v>
      </c>
      <c r="H99" s="482">
        <v>14880</v>
      </c>
      <c r="I99" s="482">
        <v>5407.5176485505981</v>
      </c>
      <c r="J99" s="482">
        <v>3090.8653144666478</v>
      </c>
      <c r="K99" s="482">
        <v>23220.03601499998</v>
      </c>
      <c r="L99" s="482">
        <v>149</v>
      </c>
      <c r="M99" s="482"/>
      <c r="N99" s="482">
        <f t="shared" si="1"/>
        <v>514730.78563944838</v>
      </c>
      <c r="O99" s="501"/>
    </row>
    <row r="100" spans="1:15">
      <c r="A100" s="486">
        <f t="shared" si="2"/>
        <v>2015</v>
      </c>
      <c r="B100" s="500">
        <v>11</v>
      </c>
      <c r="C100" s="482">
        <v>55372.932019007938</v>
      </c>
      <c r="D100" s="482">
        <v>0</v>
      </c>
      <c r="E100" s="482">
        <v>273964.67858190584</v>
      </c>
      <c r="F100" s="482">
        <v>0</v>
      </c>
      <c r="G100" s="482">
        <v>44020</v>
      </c>
      <c r="H100" s="482">
        <v>10800</v>
      </c>
      <c r="I100" s="482">
        <v>4086.6143911555287</v>
      </c>
      <c r="J100" s="482">
        <v>2536.4217497262571</v>
      </c>
      <c r="K100" s="482">
        <v>17586.602599499987</v>
      </c>
      <c r="L100" s="482">
        <v>0</v>
      </c>
      <c r="M100" s="482"/>
      <c r="N100" s="482">
        <f t="shared" si="1"/>
        <v>408367.24934129551</v>
      </c>
      <c r="O100" s="501"/>
    </row>
    <row r="101" spans="1:15">
      <c r="A101" s="486">
        <f t="shared" si="2"/>
        <v>2015</v>
      </c>
      <c r="B101" s="500">
        <v>12</v>
      </c>
      <c r="C101" s="482">
        <v>56986.291477158251</v>
      </c>
      <c r="D101" s="482">
        <v>0</v>
      </c>
      <c r="E101" s="482">
        <v>278690.86105160962</v>
      </c>
      <c r="F101" s="482">
        <v>0</v>
      </c>
      <c r="G101" s="482">
        <v>13575</v>
      </c>
      <c r="H101" s="482">
        <v>14880</v>
      </c>
      <c r="I101" s="482">
        <v>4533.4603360490783</v>
      </c>
      <c r="J101" s="482">
        <v>2930.2513967729765</v>
      </c>
      <c r="K101" s="482">
        <v>18631.660261500016</v>
      </c>
      <c r="L101" s="482">
        <v>0</v>
      </c>
      <c r="M101" s="482"/>
      <c r="N101" s="482">
        <f t="shared" si="1"/>
        <v>390227.52452308999</v>
      </c>
      <c r="O101" s="501"/>
    </row>
    <row r="102" spans="1:15">
      <c r="A102" s="486">
        <f t="shared" si="2"/>
        <v>2016</v>
      </c>
      <c r="B102" s="500">
        <v>1</v>
      </c>
      <c r="C102" s="482">
        <v>56207.637395501188</v>
      </c>
      <c r="D102" s="482">
        <v>0</v>
      </c>
      <c r="E102" s="482">
        <v>279779.94199999998</v>
      </c>
      <c r="F102" s="482">
        <v>0</v>
      </c>
      <c r="G102" s="482">
        <v>73250</v>
      </c>
      <c r="H102" s="482">
        <v>29760</v>
      </c>
      <c r="I102" s="482">
        <v>4941.6098041148261</v>
      </c>
      <c r="J102" s="482">
        <v>3226.7217999024642</v>
      </c>
      <c r="K102" s="482">
        <v>19158.070717499995</v>
      </c>
      <c r="L102" s="482">
        <v>72</v>
      </c>
      <c r="M102" s="482">
        <v>76</v>
      </c>
      <c r="N102" s="482">
        <f t="shared" si="1"/>
        <v>466471.98171701847</v>
      </c>
      <c r="O102" s="501"/>
    </row>
    <row r="103" spans="1:15">
      <c r="A103" s="486">
        <f t="shared" si="2"/>
        <v>2016</v>
      </c>
      <c r="B103" s="500">
        <v>2</v>
      </c>
      <c r="C103" s="482">
        <v>53000.332000697315</v>
      </c>
      <c r="D103" s="482">
        <v>0</v>
      </c>
      <c r="E103" s="482">
        <v>271689.087</v>
      </c>
      <c r="F103" s="482">
        <v>0</v>
      </c>
      <c r="G103" s="482">
        <v>85800</v>
      </c>
      <c r="H103" s="482">
        <v>27840</v>
      </c>
      <c r="I103" s="482">
        <v>3011.6674362598947</v>
      </c>
      <c r="J103" s="482">
        <v>3024.364812240321</v>
      </c>
      <c r="K103" s="482">
        <v>18016.16909950001</v>
      </c>
      <c r="L103" s="482">
        <v>0</v>
      </c>
      <c r="M103" s="482">
        <v>0</v>
      </c>
      <c r="N103" s="482">
        <f t="shared" si="1"/>
        <v>462381.62034869753</v>
      </c>
      <c r="O103" s="501"/>
    </row>
    <row r="104" spans="1:15">
      <c r="A104" s="486">
        <f t="shared" si="2"/>
        <v>2016</v>
      </c>
      <c r="B104" s="500">
        <v>3</v>
      </c>
      <c r="C104" s="482">
        <v>60565.663296123232</v>
      </c>
      <c r="D104" s="482">
        <v>0</v>
      </c>
      <c r="E104" s="482">
        <v>322430.74699999997</v>
      </c>
      <c r="F104" s="482">
        <v>0</v>
      </c>
      <c r="G104" s="482">
        <v>111860</v>
      </c>
      <c r="H104" s="482">
        <v>18600</v>
      </c>
      <c r="I104" s="482">
        <v>5646.3203654786284</v>
      </c>
      <c r="J104" s="482">
        <v>2885.7993985291932</v>
      </c>
      <c r="K104" s="482">
        <v>18348.208477499997</v>
      </c>
      <c r="L104" s="482">
        <v>0</v>
      </c>
      <c r="M104" s="482">
        <v>0</v>
      </c>
      <c r="N104" s="482">
        <f t="shared" si="1"/>
        <v>540336.738537631</v>
      </c>
      <c r="O104" s="501"/>
    </row>
    <row r="105" spans="1:15">
      <c r="A105" s="486">
        <f t="shared" si="2"/>
        <v>2016</v>
      </c>
      <c r="B105" s="500">
        <v>4</v>
      </c>
      <c r="C105" s="482">
        <v>63590.757468905809</v>
      </c>
      <c r="D105" s="482">
        <v>0</v>
      </c>
      <c r="E105" s="482">
        <v>352644.26</v>
      </c>
      <c r="F105" s="482">
        <v>0</v>
      </c>
      <c r="G105" s="482">
        <v>125830</v>
      </c>
      <c r="H105" s="482">
        <v>14400</v>
      </c>
      <c r="I105" s="482">
        <v>5479.5266777857469</v>
      </c>
      <c r="J105" s="482">
        <v>2338.6756481099019</v>
      </c>
      <c r="K105" s="482">
        <v>18832.609399999983</v>
      </c>
      <c r="L105" s="482">
        <v>0</v>
      </c>
      <c r="M105" s="482">
        <v>0</v>
      </c>
      <c r="N105" s="482">
        <f t="shared" si="1"/>
        <v>583115.82919480139</v>
      </c>
      <c r="O105" s="501"/>
    </row>
    <row r="106" spans="1:15">
      <c r="A106" s="486">
        <f t="shared" si="2"/>
        <v>2016</v>
      </c>
      <c r="B106" s="500">
        <v>5</v>
      </c>
      <c r="C106" s="482">
        <v>71967.555208850405</v>
      </c>
      <c r="D106" s="482">
        <v>0</v>
      </c>
      <c r="E106" s="482">
        <v>357421.43099999998</v>
      </c>
      <c r="F106" s="482">
        <v>0</v>
      </c>
      <c r="G106" s="482">
        <v>113525</v>
      </c>
      <c r="H106" s="482">
        <v>22320</v>
      </c>
      <c r="I106" s="482">
        <v>5963.7702536569541</v>
      </c>
      <c r="J106" s="482">
        <v>3168.99137870305</v>
      </c>
      <c r="K106" s="482">
        <v>24239.112666999979</v>
      </c>
      <c r="L106" s="482">
        <v>0</v>
      </c>
      <c r="M106" s="482">
        <v>0</v>
      </c>
      <c r="N106" s="482">
        <f t="shared" si="1"/>
        <v>598605.86050821026</v>
      </c>
      <c r="O106" s="501"/>
    </row>
    <row r="107" spans="1:15">
      <c r="A107" s="486">
        <f t="shared" si="2"/>
        <v>2016</v>
      </c>
      <c r="B107" s="500">
        <v>6</v>
      </c>
      <c r="C107" s="482">
        <v>78323.079537609708</v>
      </c>
      <c r="D107" s="482">
        <v>0</v>
      </c>
      <c r="E107" s="482">
        <v>369136.08</v>
      </c>
      <c r="F107" s="482">
        <v>0</v>
      </c>
      <c r="G107" s="482">
        <v>115975</v>
      </c>
      <c r="H107" s="482">
        <v>28800</v>
      </c>
      <c r="I107" s="482">
        <v>5928.6643190316927</v>
      </c>
      <c r="J107" s="482">
        <v>3847.1393257777081</v>
      </c>
      <c r="K107" s="482">
        <v>27847.388459000002</v>
      </c>
      <c r="L107" s="482">
        <v>0</v>
      </c>
      <c r="M107" s="482">
        <v>0</v>
      </c>
      <c r="N107" s="482">
        <f t="shared" si="1"/>
        <v>629857.35164141899</v>
      </c>
      <c r="O107" s="501"/>
    </row>
    <row r="108" spans="1:15">
      <c r="A108" s="486">
        <f t="shared" si="2"/>
        <v>2016</v>
      </c>
      <c r="B108" s="500">
        <v>7</v>
      </c>
      <c r="C108" s="482">
        <v>85649.197920255829</v>
      </c>
      <c r="D108" s="482">
        <v>0</v>
      </c>
      <c r="E108" s="482">
        <v>347333.56099999999</v>
      </c>
      <c r="F108" s="482">
        <v>0</v>
      </c>
      <c r="G108" s="482">
        <v>144250</v>
      </c>
      <c r="H108" s="482">
        <v>33480</v>
      </c>
      <c r="I108" s="482">
        <v>6279.6451503097796</v>
      </c>
      <c r="J108" s="482">
        <v>3995.5665835242626</v>
      </c>
      <c r="K108" s="482">
        <v>27951.824873499972</v>
      </c>
      <c r="L108" s="482">
        <v>0</v>
      </c>
      <c r="M108" s="482">
        <v>0</v>
      </c>
      <c r="N108" s="482">
        <f t="shared" si="1"/>
        <v>648939.79552758974</v>
      </c>
      <c r="O108" s="501"/>
    </row>
    <row r="109" spans="1:15">
      <c r="A109" s="486">
        <f t="shared" si="2"/>
        <v>2016</v>
      </c>
      <c r="B109" s="500">
        <v>8</v>
      </c>
      <c r="C109" s="482">
        <v>84916.971984914213</v>
      </c>
      <c r="D109" s="482">
        <v>0</v>
      </c>
      <c r="E109" s="482">
        <v>372588.69099999999</v>
      </c>
      <c r="F109" s="482">
        <v>0</v>
      </c>
      <c r="G109" s="482">
        <v>96050</v>
      </c>
      <c r="H109" s="482">
        <v>33480</v>
      </c>
      <c r="I109" s="482">
        <v>6252.1679969719444</v>
      </c>
      <c r="J109" s="482">
        <v>3848.2457528714713</v>
      </c>
      <c r="K109" s="482">
        <v>28556.690733999956</v>
      </c>
      <c r="L109" s="482">
        <v>72</v>
      </c>
      <c r="M109" s="482">
        <v>76</v>
      </c>
      <c r="N109" s="482">
        <f t="shared" si="1"/>
        <v>625840.76746875758</v>
      </c>
      <c r="O109" s="501"/>
    </row>
    <row r="110" spans="1:15">
      <c r="A110" s="486">
        <f t="shared" si="2"/>
        <v>2016</v>
      </c>
      <c r="B110" s="500">
        <v>9</v>
      </c>
      <c r="C110" s="482">
        <v>72248.715987868927</v>
      </c>
      <c r="D110" s="482">
        <v>0</v>
      </c>
      <c r="E110" s="482">
        <v>367780.05300000001</v>
      </c>
      <c r="F110" s="482">
        <v>0</v>
      </c>
      <c r="G110" s="482">
        <v>91130</v>
      </c>
      <c r="H110" s="482">
        <v>25200</v>
      </c>
      <c r="I110" s="482">
        <v>6537.6919070096028</v>
      </c>
      <c r="J110" s="482">
        <v>3744.3203033932841</v>
      </c>
      <c r="K110" s="482">
        <v>27811.956985999961</v>
      </c>
      <c r="L110" s="482">
        <v>0</v>
      </c>
      <c r="M110" s="482">
        <v>0</v>
      </c>
      <c r="N110" s="482">
        <f t="shared" si="1"/>
        <v>594452.73818427173</v>
      </c>
      <c r="O110" s="501"/>
    </row>
    <row r="111" spans="1:15">
      <c r="A111" s="486">
        <f t="shared" si="2"/>
        <v>2016</v>
      </c>
      <c r="B111" s="500">
        <v>10</v>
      </c>
      <c r="C111" s="482">
        <v>66802.22760684292</v>
      </c>
      <c r="D111" s="482">
        <v>0</v>
      </c>
      <c r="E111" s="482">
        <v>336292.25300000003</v>
      </c>
      <c r="F111" s="482">
        <v>0</v>
      </c>
      <c r="G111" s="482">
        <v>87075</v>
      </c>
      <c r="H111" s="482">
        <v>18600</v>
      </c>
      <c r="I111" s="482">
        <v>5361.5990772232453</v>
      </c>
      <c r="J111" s="482">
        <v>3154.2495337255236</v>
      </c>
      <c r="K111" s="482">
        <v>23220.03601499998</v>
      </c>
      <c r="L111" s="482">
        <v>0</v>
      </c>
      <c r="M111" s="482">
        <v>0</v>
      </c>
      <c r="N111" s="482">
        <f t="shared" si="1"/>
        <v>540505.36523279164</v>
      </c>
      <c r="O111" s="501"/>
    </row>
    <row r="112" spans="1:15">
      <c r="A112" s="486">
        <f t="shared" si="2"/>
        <v>2016</v>
      </c>
      <c r="B112" s="500">
        <v>11</v>
      </c>
      <c r="C112" s="482">
        <v>54976.199273675971</v>
      </c>
      <c r="D112" s="482">
        <v>0</v>
      </c>
      <c r="E112" s="482">
        <v>306122.18900000001</v>
      </c>
      <c r="F112" s="482">
        <v>0</v>
      </c>
      <c r="G112" s="482">
        <v>44020</v>
      </c>
      <c r="H112" s="482">
        <v>14400</v>
      </c>
      <c r="I112" s="482">
        <v>3882.9522272739159</v>
      </c>
      <c r="J112" s="482">
        <v>2473.6872701797702</v>
      </c>
      <c r="K112" s="482">
        <v>17586.602599499987</v>
      </c>
      <c r="L112" s="482">
        <v>0</v>
      </c>
      <c r="M112" s="482">
        <v>0</v>
      </c>
      <c r="N112" s="482">
        <f t="shared" si="1"/>
        <v>443461.63037062966</v>
      </c>
      <c r="O112" s="501"/>
    </row>
    <row r="113" spans="1:15">
      <c r="A113" s="486">
        <f t="shared" si="2"/>
        <v>2016</v>
      </c>
      <c r="B113" s="500">
        <v>12</v>
      </c>
      <c r="C113" s="482">
        <v>56726.099686267953</v>
      </c>
      <c r="D113" s="482">
        <v>0</v>
      </c>
      <c r="E113" s="482">
        <v>286734.03399999999</v>
      </c>
      <c r="F113" s="482">
        <v>0</v>
      </c>
      <c r="G113" s="482">
        <v>13575</v>
      </c>
      <c r="H113" s="482">
        <v>18600</v>
      </c>
      <c r="I113" s="482">
        <v>4479.0422992308395</v>
      </c>
      <c r="J113" s="482">
        <v>2927.1239982525658</v>
      </c>
      <c r="K113" s="482">
        <v>18631.660261500016</v>
      </c>
      <c r="L113" s="482">
        <v>0</v>
      </c>
      <c r="M113" s="482">
        <v>0</v>
      </c>
      <c r="N113" s="482">
        <f t="shared" si="1"/>
        <v>401672.96024525131</v>
      </c>
      <c r="O113" s="501"/>
    </row>
    <row r="114" spans="1:15">
      <c r="A114" s="486">
        <f t="shared" si="2"/>
        <v>2017</v>
      </c>
      <c r="B114" s="500">
        <v>1</v>
      </c>
      <c r="C114" s="482">
        <v>56898.680068652589</v>
      </c>
      <c r="D114" s="482">
        <v>0</v>
      </c>
      <c r="E114" s="482">
        <v>283976.641</v>
      </c>
      <c r="F114" s="482">
        <v>0</v>
      </c>
      <c r="G114" s="482">
        <v>73250</v>
      </c>
      <c r="H114" s="482">
        <v>180</v>
      </c>
      <c r="I114" s="482"/>
      <c r="J114" s="482">
        <v>0</v>
      </c>
      <c r="K114" s="482">
        <v>240</v>
      </c>
      <c r="L114" s="482">
        <v>84</v>
      </c>
      <c r="M114" s="482">
        <v>76</v>
      </c>
      <c r="N114" s="482">
        <f t="shared" si="1"/>
        <v>414705.32106865261</v>
      </c>
      <c r="O114" s="501"/>
    </row>
    <row r="115" spans="1:15">
      <c r="A115" s="486">
        <f t="shared" si="2"/>
        <v>2017</v>
      </c>
      <c r="B115" s="500">
        <v>2</v>
      </c>
      <c r="C115" s="482">
        <v>53651.9425789175</v>
      </c>
      <c r="D115" s="482">
        <v>0</v>
      </c>
      <c r="E115" s="482">
        <v>275764.42200000002</v>
      </c>
      <c r="F115" s="482">
        <v>0</v>
      </c>
      <c r="G115" s="482">
        <v>85800</v>
      </c>
      <c r="H115" s="482">
        <v>0</v>
      </c>
      <c r="I115" s="482"/>
      <c r="J115" s="482">
        <v>0</v>
      </c>
      <c r="K115" s="482">
        <v>0</v>
      </c>
      <c r="L115" s="482">
        <v>0</v>
      </c>
      <c r="M115" s="482">
        <v>0</v>
      </c>
      <c r="N115" s="482">
        <f t="shared" si="1"/>
        <v>415216.36457891751</v>
      </c>
      <c r="O115" s="501"/>
    </row>
    <row r="116" spans="1:15">
      <c r="A116" s="486">
        <f t="shared" si="2"/>
        <v>2017</v>
      </c>
      <c r="B116" s="500">
        <v>3</v>
      </c>
      <c r="C116" s="482">
        <v>61310.285553964131</v>
      </c>
      <c r="D116" s="482">
        <v>0</v>
      </c>
      <c r="E116" s="482">
        <v>327267.20799999998</v>
      </c>
      <c r="F116" s="482">
        <v>0</v>
      </c>
      <c r="G116" s="482">
        <v>111860</v>
      </c>
      <c r="H116" s="482">
        <v>0</v>
      </c>
      <c r="I116" s="482"/>
      <c r="J116" s="482">
        <v>0</v>
      </c>
      <c r="K116" s="482">
        <v>0</v>
      </c>
      <c r="L116" s="482">
        <v>0</v>
      </c>
      <c r="M116" s="482">
        <v>0</v>
      </c>
      <c r="N116" s="482">
        <f t="shared" si="1"/>
        <v>500437.49355396413</v>
      </c>
      <c r="O116" s="501"/>
    </row>
    <row r="117" spans="1:15">
      <c r="A117" s="486">
        <f t="shared" si="2"/>
        <v>2017</v>
      </c>
      <c r="B117" s="500">
        <v>4</v>
      </c>
      <c r="C117" s="482">
        <v>64372.571632696869</v>
      </c>
      <c r="D117" s="482">
        <v>0</v>
      </c>
      <c r="E117" s="482">
        <v>357933.924</v>
      </c>
      <c r="F117" s="482">
        <v>0</v>
      </c>
      <c r="G117" s="482">
        <v>125830</v>
      </c>
      <c r="H117" s="482">
        <v>0</v>
      </c>
      <c r="I117" s="482"/>
      <c r="J117" s="482">
        <v>0</v>
      </c>
      <c r="K117" s="482">
        <v>0</v>
      </c>
      <c r="L117" s="482">
        <v>0</v>
      </c>
      <c r="M117" s="482">
        <v>0</v>
      </c>
      <c r="N117" s="482">
        <f t="shared" si="1"/>
        <v>548136.4956326969</v>
      </c>
      <c r="O117" s="501"/>
    </row>
    <row r="118" spans="1:15">
      <c r="A118" s="486">
        <f t="shared" si="2"/>
        <v>2017</v>
      </c>
      <c r="B118" s="500">
        <v>5</v>
      </c>
      <c r="C118" s="482">
        <v>72852.357595788562</v>
      </c>
      <c r="D118" s="482">
        <v>0</v>
      </c>
      <c r="E118" s="482">
        <v>362782.75199999998</v>
      </c>
      <c r="F118" s="482">
        <v>0</v>
      </c>
      <c r="G118" s="482">
        <v>113525</v>
      </c>
      <c r="H118" s="482">
        <v>0</v>
      </c>
      <c r="I118" s="482"/>
      <c r="J118" s="482"/>
      <c r="K118" s="482">
        <v>0</v>
      </c>
      <c r="L118" s="482">
        <v>0</v>
      </c>
      <c r="M118" s="482">
        <v>0</v>
      </c>
      <c r="N118" s="482">
        <f t="shared" si="1"/>
        <v>549160.10959578853</v>
      </c>
      <c r="O118" s="501"/>
    </row>
    <row r="119" spans="1:15">
      <c r="A119" s="486">
        <f t="shared" si="2"/>
        <v>2017</v>
      </c>
      <c r="B119" s="500">
        <v>6</v>
      </c>
      <c r="C119" s="482">
        <v>79286.019678151046</v>
      </c>
      <c r="D119" s="482">
        <v>0</v>
      </c>
      <c r="E119" s="482">
        <v>374673.12099999998</v>
      </c>
      <c r="F119" s="482">
        <v>0</v>
      </c>
      <c r="G119" s="482">
        <v>115975</v>
      </c>
      <c r="H119" s="482">
        <v>0</v>
      </c>
      <c r="I119" s="482"/>
      <c r="J119" s="482"/>
      <c r="K119" s="482">
        <v>0</v>
      </c>
      <c r="L119" s="482">
        <v>0</v>
      </c>
      <c r="M119" s="482">
        <v>0</v>
      </c>
      <c r="N119" s="482">
        <f t="shared" si="1"/>
        <v>569934.14067815104</v>
      </c>
      <c r="O119" s="501"/>
    </row>
    <row r="120" spans="1:15">
      <c r="A120" s="486">
        <f t="shared" si="2"/>
        <v>2017</v>
      </c>
      <c r="B120" s="500">
        <v>7</v>
      </c>
      <c r="C120" s="482">
        <v>86702.208746304605</v>
      </c>
      <c r="D120" s="482">
        <v>0</v>
      </c>
      <c r="E120" s="482">
        <v>352543.565</v>
      </c>
      <c r="F120" s="482">
        <v>0</v>
      </c>
      <c r="G120" s="482">
        <v>144250</v>
      </c>
      <c r="H120" s="482">
        <v>0</v>
      </c>
      <c r="I120" s="482"/>
      <c r="J120" s="482"/>
      <c r="K120" s="482">
        <v>0</v>
      </c>
      <c r="L120" s="482">
        <v>0</v>
      </c>
      <c r="M120" s="482">
        <v>0</v>
      </c>
      <c r="N120" s="482">
        <f t="shared" si="1"/>
        <v>583495.77374630468</v>
      </c>
      <c r="O120" s="501"/>
    </row>
    <row r="121" spans="1:15">
      <c r="A121" s="486">
        <f t="shared" si="2"/>
        <v>2017</v>
      </c>
      <c r="B121" s="500">
        <v>8</v>
      </c>
      <c r="C121" s="482">
        <v>85960.980486881133</v>
      </c>
      <c r="D121" s="482">
        <v>0</v>
      </c>
      <c r="E121" s="482">
        <v>378177.52100000001</v>
      </c>
      <c r="F121" s="482">
        <v>0</v>
      </c>
      <c r="G121" s="482">
        <v>96050</v>
      </c>
      <c r="H121" s="482">
        <v>180</v>
      </c>
      <c r="I121" s="482"/>
      <c r="J121" s="482"/>
      <c r="K121" s="482">
        <v>240</v>
      </c>
      <c r="L121" s="482">
        <v>84</v>
      </c>
      <c r="M121" s="482">
        <v>76</v>
      </c>
      <c r="N121" s="482">
        <f t="shared" si="1"/>
        <v>560768.50148688117</v>
      </c>
      <c r="O121" s="501"/>
    </row>
    <row r="122" spans="1:15">
      <c r="A122" s="486">
        <f t="shared" si="2"/>
        <v>2017</v>
      </c>
      <c r="B122" s="500">
        <v>9</v>
      </c>
      <c r="C122" s="482">
        <v>73136.975095376081</v>
      </c>
      <c r="D122" s="482">
        <v>0</v>
      </c>
      <c r="E122" s="482">
        <v>373296.75400000002</v>
      </c>
      <c r="F122" s="482">
        <v>0</v>
      </c>
      <c r="G122" s="482">
        <v>91130</v>
      </c>
      <c r="H122" s="482">
        <v>0</v>
      </c>
      <c r="I122" s="482"/>
      <c r="J122" s="482"/>
      <c r="K122" s="482">
        <v>0</v>
      </c>
      <c r="L122" s="482">
        <v>0</v>
      </c>
      <c r="M122" s="482">
        <v>0</v>
      </c>
      <c r="N122" s="482">
        <f t="shared" si="1"/>
        <v>537563.7290953761</v>
      </c>
      <c r="O122" s="501"/>
    </row>
    <row r="123" spans="1:15">
      <c r="A123" s="486">
        <f t="shared" si="2"/>
        <v>2017</v>
      </c>
      <c r="B123" s="500">
        <v>10</v>
      </c>
      <c r="C123" s="482">
        <v>67623.525068842209</v>
      </c>
      <c r="D123" s="482">
        <v>0</v>
      </c>
      <c r="E123" s="482">
        <v>341336.63799999998</v>
      </c>
      <c r="F123" s="482">
        <v>0</v>
      </c>
      <c r="G123" s="482">
        <v>87075</v>
      </c>
      <c r="H123" s="482">
        <v>0</v>
      </c>
      <c r="I123" s="482"/>
      <c r="J123" s="482"/>
      <c r="K123" s="482">
        <v>0</v>
      </c>
      <c r="L123" s="482">
        <v>0</v>
      </c>
      <c r="M123" s="482">
        <v>0</v>
      </c>
      <c r="N123" s="482">
        <f t="shared" si="1"/>
        <v>496035.1630688422</v>
      </c>
      <c r="O123" s="501"/>
    </row>
    <row r="124" spans="1:15">
      <c r="A124" s="486">
        <f t="shared" si="2"/>
        <v>2017</v>
      </c>
      <c r="B124" s="500">
        <v>11</v>
      </c>
      <c r="C124" s="482">
        <v>55652.102077390431</v>
      </c>
      <c r="D124" s="482">
        <v>0</v>
      </c>
      <c r="E124" s="482">
        <v>310714.022</v>
      </c>
      <c r="F124" s="482">
        <v>0</v>
      </c>
      <c r="G124" s="482">
        <v>44020</v>
      </c>
      <c r="H124" s="482">
        <v>0</v>
      </c>
      <c r="I124" s="482"/>
      <c r="J124" s="482"/>
      <c r="K124" s="482">
        <v>0</v>
      </c>
      <c r="L124" s="482">
        <v>0</v>
      </c>
      <c r="M124" s="482">
        <v>0</v>
      </c>
      <c r="N124" s="482">
        <f t="shared" si="1"/>
        <v>410386.12407739041</v>
      </c>
      <c r="O124" s="501"/>
    </row>
    <row r="125" spans="1:15">
      <c r="A125" s="486">
        <f t="shared" si="2"/>
        <v>2017</v>
      </c>
      <c r="B125" s="500">
        <v>12</v>
      </c>
      <c r="C125" s="482">
        <v>57423.516574453846</v>
      </c>
      <c r="D125" s="482">
        <v>0</v>
      </c>
      <c r="E125" s="482">
        <v>291035.04399999999</v>
      </c>
      <c r="F125" s="482">
        <v>0</v>
      </c>
      <c r="G125" s="482">
        <v>13575</v>
      </c>
      <c r="H125" s="482">
        <v>0</v>
      </c>
      <c r="I125" s="482"/>
      <c r="J125" s="482"/>
      <c r="K125" s="482">
        <v>0</v>
      </c>
      <c r="L125" s="482">
        <v>0</v>
      </c>
      <c r="M125" s="482">
        <v>0</v>
      </c>
      <c r="N125" s="482">
        <f t="shared" si="1"/>
        <v>362033.56057445385</v>
      </c>
      <c r="O125" s="501"/>
    </row>
    <row r="126" spans="1:15">
      <c r="A126" s="486">
        <f t="shared" si="2"/>
        <v>2018</v>
      </c>
      <c r="B126" s="500">
        <v>1</v>
      </c>
      <c r="C126" s="482">
        <v>57598.218739825686</v>
      </c>
      <c r="D126" s="482">
        <v>0</v>
      </c>
      <c r="E126" s="482">
        <v>288236.29200000002</v>
      </c>
      <c r="F126" s="482">
        <v>0</v>
      </c>
      <c r="G126" s="482">
        <v>73250</v>
      </c>
      <c r="H126" s="482"/>
      <c r="I126" s="482"/>
      <c r="J126" s="482"/>
      <c r="K126" s="482">
        <v>240</v>
      </c>
      <c r="L126" s="482">
        <v>96</v>
      </c>
      <c r="M126" s="482">
        <v>76</v>
      </c>
      <c r="N126" s="482">
        <f t="shared" si="1"/>
        <v>419496.51073982572</v>
      </c>
      <c r="O126" s="501"/>
    </row>
    <row r="127" spans="1:15">
      <c r="A127" s="486">
        <f t="shared" si="2"/>
        <v>2018</v>
      </c>
      <c r="B127" s="500">
        <v>2</v>
      </c>
      <c r="C127" s="482">
        <v>54311.564358758915</v>
      </c>
      <c r="D127" s="482">
        <v>0</v>
      </c>
      <c r="E127" s="482">
        <v>279900.88900000002</v>
      </c>
      <c r="F127" s="482">
        <v>0</v>
      </c>
      <c r="G127" s="482">
        <v>85800</v>
      </c>
      <c r="H127" s="482"/>
      <c r="I127" s="482"/>
      <c r="J127" s="482"/>
      <c r="K127" s="482">
        <v>0</v>
      </c>
      <c r="L127" s="482">
        <v>0</v>
      </c>
      <c r="M127" s="482">
        <v>0</v>
      </c>
      <c r="N127" s="482">
        <f t="shared" si="1"/>
        <v>420012.45335875894</v>
      </c>
      <c r="O127" s="501"/>
    </row>
    <row r="128" spans="1:15">
      <c r="A128" s="486">
        <f t="shared" si="2"/>
        <v>2018</v>
      </c>
      <c r="B128" s="500">
        <v>3</v>
      </c>
      <c r="C128" s="482">
        <v>62064.062542005224</v>
      </c>
      <c r="D128" s="482">
        <v>0</v>
      </c>
      <c r="E128" s="482">
        <v>332176.21500000003</v>
      </c>
      <c r="F128" s="482">
        <v>0</v>
      </c>
      <c r="G128" s="482">
        <v>111860</v>
      </c>
      <c r="H128" s="482"/>
      <c r="I128" s="482"/>
      <c r="J128" s="482"/>
      <c r="K128" s="482">
        <v>0</v>
      </c>
      <c r="L128" s="482">
        <v>0</v>
      </c>
      <c r="M128" s="482">
        <v>0</v>
      </c>
      <c r="N128" s="482">
        <f t="shared" si="1"/>
        <v>506100.27754200523</v>
      </c>
      <c r="O128" s="501"/>
    </row>
    <row r="129" spans="1:15">
      <c r="A129" s="486">
        <f t="shared" si="2"/>
        <v>2018</v>
      </c>
      <c r="B129" s="500">
        <v>4</v>
      </c>
      <c r="C129" s="482">
        <v>65163.997781169877</v>
      </c>
      <c r="D129" s="482">
        <v>0</v>
      </c>
      <c r="E129" s="482">
        <v>363302.93300000002</v>
      </c>
      <c r="F129" s="482">
        <v>0</v>
      </c>
      <c r="G129" s="482">
        <v>125830</v>
      </c>
      <c r="H129" s="482"/>
      <c r="I129" s="482"/>
      <c r="J129" s="482"/>
      <c r="K129" s="482">
        <v>0</v>
      </c>
      <c r="L129" s="482">
        <v>0</v>
      </c>
      <c r="M129" s="482">
        <v>0</v>
      </c>
      <c r="N129" s="482">
        <f t="shared" si="1"/>
        <v>554296.93078116991</v>
      </c>
      <c r="O129" s="501"/>
    </row>
    <row r="130" spans="1:15">
      <c r="A130" s="486">
        <f t="shared" si="2"/>
        <v>2018</v>
      </c>
      <c r="B130" s="500">
        <v>5</v>
      </c>
      <c r="C130" s="482">
        <v>73748.038152224923</v>
      </c>
      <c r="D130" s="482">
        <v>0</v>
      </c>
      <c r="E130" s="482">
        <v>368224.49400000001</v>
      </c>
      <c r="F130" s="482">
        <v>0</v>
      </c>
      <c r="G130" s="482">
        <v>113525</v>
      </c>
      <c r="H130" s="482"/>
      <c r="I130" s="482"/>
      <c r="J130" s="482"/>
      <c r="K130" s="482">
        <v>0</v>
      </c>
      <c r="L130" s="482">
        <v>0</v>
      </c>
      <c r="M130" s="482">
        <v>0</v>
      </c>
      <c r="N130" s="482">
        <f t="shared" si="1"/>
        <v>555497.53215222491</v>
      </c>
      <c r="O130" s="501"/>
    </row>
    <row r="131" spans="1:15">
      <c r="A131" s="486">
        <f t="shared" si="2"/>
        <v>2018</v>
      </c>
      <c r="B131" s="500">
        <v>6</v>
      </c>
      <c r="C131" s="482">
        <v>80260.798649848381</v>
      </c>
      <c r="D131" s="482">
        <v>0</v>
      </c>
      <c r="E131" s="482">
        <v>380293.21899999998</v>
      </c>
      <c r="F131" s="482">
        <v>0</v>
      </c>
      <c r="G131" s="482">
        <v>115975</v>
      </c>
      <c r="H131" s="482"/>
      <c r="I131" s="482"/>
      <c r="J131" s="482"/>
      <c r="K131" s="482">
        <v>0</v>
      </c>
      <c r="L131" s="482">
        <v>0</v>
      </c>
      <c r="M131" s="482">
        <v>0</v>
      </c>
      <c r="N131" s="482">
        <f t="shared" si="1"/>
        <v>576529.01764984836</v>
      </c>
      <c r="O131" s="501"/>
    </row>
    <row r="132" spans="1:15">
      <c r="A132" s="486">
        <f t="shared" si="2"/>
        <v>2018</v>
      </c>
      <c r="B132" s="500">
        <v>7</v>
      </c>
      <c r="C132" s="482">
        <v>87768.165774147448</v>
      </c>
      <c r="D132" s="482">
        <v>0</v>
      </c>
      <c r="E132" s="482">
        <v>357831.71799999999</v>
      </c>
      <c r="F132" s="482">
        <v>0</v>
      </c>
      <c r="G132" s="482">
        <v>144250</v>
      </c>
      <c r="H132" s="482"/>
      <c r="I132" s="482"/>
      <c r="J132" s="482"/>
      <c r="K132" s="482">
        <v>0</v>
      </c>
      <c r="L132" s="482">
        <v>0</v>
      </c>
      <c r="M132" s="482">
        <v>0</v>
      </c>
      <c r="N132" s="482">
        <f t="shared" si="1"/>
        <v>589849.88377414737</v>
      </c>
      <c r="O132" s="501"/>
    </row>
    <row r="133" spans="1:15">
      <c r="A133" s="486">
        <f t="shared" si="2"/>
        <v>2018</v>
      </c>
      <c r="B133" s="500">
        <v>8</v>
      </c>
      <c r="C133" s="482">
        <v>87017.824511909042</v>
      </c>
      <c r="D133" s="482">
        <v>0</v>
      </c>
      <c r="E133" s="482">
        <v>383850.18400000001</v>
      </c>
      <c r="F133" s="482">
        <v>0</v>
      </c>
      <c r="G133" s="482">
        <v>96050</v>
      </c>
      <c r="H133" s="482"/>
      <c r="I133" s="482"/>
      <c r="J133" s="482"/>
      <c r="K133" s="482">
        <v>240</v>
      </c>
      <c r="L133" s="482">
        <v>96</v>
      </c>
      <c r="M133" s="482">
        <v>76</v>
      </c>
      <c r="N133" s="482">
        <f t="shared" si="1"/>
        <v>567330.00851190905</v>
      </c>
      <c r="O133" s="501"/>
    </row>
    <row r="134" spans="1:15">
      <c r="A134" s="486">
        <f t="shared" si="2"/>
        <v>2018</v>
      </c>
      <c r="B134" s="500">
        <v>9</v>
      </c>
      <c r="C134" s="482">
        <v>74036.154870901766</v>
      </c>
      <c r="D134" s="482">
        <v>0</v>
      </c>
      <c r="E134" s="482">
        <v>378896.20500000002</v>
      </c>
      <c r="F134" s="482">
        <v>0</v>
      </c>
      <c r="G134" s="482">
        <v>91130</v>
      </c>
      <c r="H134" s="482"/>
      <c r="I134" s="482"/>
      <c r="J134" s="482"/>
      <c r="K134" s="482">
        <v>0</v>
      </c>
      <c r="L134" s="482">
        <v>0</v>
      </c>
      <c r="M134" s="482">
        <v>0</v>
      </c>
      <c r="N134" s="482">
        <f t="shared" si="1"/>
        <v>544062.3598709018</v>
      </c>
      <c r="O134" s="501"/>
    </row>
    <row r="135" spans="1:15">
      <c r="A135" s="486">
        <f t="shared" si="2"/>
        <v>2018</v>
      </c>
      <c r="B135" s="500">
        <v>10</v>
      </c>
      <c r="C135" s="482">
        <v>68454.919941440676</v>
      </c>
      <c r="D135" s="482">
        <v>0</v>
      </c>
      <c r="E135" s="482">
        <v>346456.68800000002</v>
      </c>
      <c r="F135" s="482">
        <v>0</v>
      </c>
      <c r="G135" s="482">
        <v>87075</v>
      </c>
      <c r="H135" s="482"/>
      <c r="I135" s="482"/>
      <c r="J135" s="482"/>
      <c r="K135" s="482">
        <v>0</v>
      </c>
      <c r="L135" s="482">
        <v>0</v>
      </c>
      <c r="M135" s="482">
        <v>0</v>
      </c>
      <c r="N135" s="482">
        <f t="shared" ref="N135:N198" si="3">SUM(C135:M135)</f>
        <v>501986.60794144071</v>
      </c>
      <c r="O135" s="501"/>
    </row>
    <row r="136" spans="1:15">
      <c r="A136" s="486">
        <f t="shared" si="2"/>
        <v>2018</v>
      </c>
      <c r="B136" s="500">
        <v>11</v>
      </c>
      <c r="C136" s="482">
        <v>56336.314742574126</v>
      </c>
      <c r="D136" s="482">
        <v>0</v>
      </c>
      <c r="E136" s="482">
        <v>315374.73200000002</v>
      </c>
      <c r="F136" s="482">
        <v>0</v>
      </c>
      <c r="G136" s="482">
        <v>44020</v>
      </c>
      <c r="H136" s="482"/>
      <c r="I136" s="482"/>
      <c r="J136" s="482"/>
      <c r="K136" s="482">
        <v>0</v>
      </c>
      <c r="L136" s="482">
        <v>0</v>
      </c>
      <c r="M136" s="482">
        <v>0</v>
      </c>
      <c r="N136" s="482">
        <f t="shared" si="3"/>
        <v>415731.04674257414</v>
      </c>
      <c r="O136" s="501"/>
    </row>
    <row r="137" spans="1:15">
      <c r="A137" s="486">
        <f t="shared" si="2"/>
        <v>2018</v>
      </c>
      <c r="B137" s="500">
        <v>12</v>
      </c>
      <c r="C137" s="482">
        <v>58129.507828207206</v>
      </c>
      <c r="D137" s="482">
        <v>0</v>
      </c>
      <c r="E137" s="482">
        <v>295400.571</v>
      </c>
      <c r="F137" s="482">
        <v>0</v>
      </c>
      <c r="G137" s="482">
        <v>13575</v>
      </c>
      <c r="H137" s="482"/>
      <c r="I137" s="482"/>
      <c r="J137" s="482"/>
      <c r="K137" s="482">
        <v>0</v>
      </c>
      <c r="L137" s="482">
        <v>0</v>
      </c>
      <c r="M137" s="482">
        <v>0</v>
      </c>
      <c r="N137" s="482">
        <f t="shared" si="3"/>
        <v>367105.07882820722</v>
      </c>
      <c r="O137" s="501"/>
    </row>
    <row r="138" spans="1:15">
      <c r="A138" s="486">
        <f t="shared" si="2"/>
        <v>2019</v>
      </c>
      <c r="B138" s="500">
        <v>1</v>
      </c>
      <c r="C138" s="482">
        <v>58306.357862746969</v>
      </c>
      <c r="D138" s="482">
        <v>0</v>
      </c>
      <c r="E138" s="482">
        <v>292559.83500000002</v>
      </c>
      <c r="F138" s="482">
        <v>0</v>
      </c>
      <c r="G138" s="482">
        <v>73250</v>
      </c>
      <c r="H138" s="482"/>
      <c r="I138" s="482"/>
      <c r="J138" s="482"/>
      <c r="K138" s="482">
        <v>240</v>
      </c>
      <c r="L138" s="482">
        <v>108</v>
      </c>
      <c r="M138" s="482">
        <v>76</v>
      </c>
      <c r="N138" s="482">
        <f t="shared" si="3"/>
        <v>424540.192862747</v>
      </c>
      <c r="O138" s="501"/>
    </row>
    <row r="139" spans="1:15">
      <c r="A139" s="486">
        <f t="shared" si="2"/>
        <v>2019</v>
      </c>
      <c r="B139" s="500">
        <v>2</v>
      </c>
      <c r="C139" s="482">
        <v>54979.295833636999</v>
      </c>
      <c r="D139" s="482">
        <v>0</v>
      </c>
      <c r="E139" s="482">
        <v>284099.40100000001</v>
      </c>
      <c r="F139" s="482">
        <v>0</v>
      </c>
      <c r="G139" s="482">
        <v>85800</v>
      </c>
      <c r="H139" s="482"/>
      <c r="I139" s="482"/>
      <c r="J139" s="482"/>
      <c r="K139" s="482">
        <v>0</v>
      </c>
      <c r="L139" s="482">
        <v>0</v>
      </c>
      <c r="M139" s="482">
        <v>0</v>
      </c>
      <c r="N139" s="482">
        <f t="shared" si="3"/>
        <v>424878.69683363702</v>
      </c>
      <c r="O139" s="501"/>
    </row>
    <row r="140" spans="1:15">
      <c r="A140" s="486">
        <f t="shared" si="2"/>
        <v>2019</v>
      </c>
      <c r="B140" s="500">
        <v>3</v>
      </c>
      <c r="C140" s="482">
        <v>62827.106812730883</v>
      </c>
      <c r="D140" s="482">
        <v>0</v>
      </c>
      <c r="E140" s="482">
        <v>337158.859</v>
      </c>
      <c r="F140" s="482">
        <v>0</v>
      </c>
      <c r="G140" s="482">
        <v>111860</v>
      </c>
      <c r="H140" s="482"/>
      <c r="I140" s="482"/>
      <c r="J140" s="482"/>
      <c r="K140" s="482">
        <v>0</v>
      </c>
      <c r="L140" s="482">
        <v>0</v>
      </c>
      <c r="M140" s="482">
        <v>0</v>
      </c>
      <c r="N140" s="482">
        <f t="shared" si="3"/>
        <v>511845.96581273089</v>
      </c>
      <c r="O140" s="501"/>
    </row>
    <row r="141" spans="1:15">
      <c r="A141" s="486">
        <f t="shared" si="2"/>
        <v>2019</v>
      </c>
      <c r="B141" s="500">
        <v>4</v>
      </c>
      <c r="C141" s="482">
        <v>65965.154088507144</v>
      </c>
      <c r="D141" s="482">
        <v>0</v>
      </c>
      <c r="E141" s="482">
        <v>368752.47700000001</v>
      </c>
      <c r="F141" s="482">
        <v>0</v>
      </c>
      <c r="G141" s="482">
        <v>125830</v>
      </c>
      <c r="H141" s="482"/>
      <c r="I141" s="482"/>
      <c r="J141" s="482"/>
      <c r="K141" s="482">
        <v>0</v>
      </c>
      <c r="L141" s="482">
        <v>0</v>
      </c>
      <c r="M141" s="482">
        <v>0</v>
      </c>
      <c r="N141" s="482">
        <f t="shared" si="3"/>
        <v>560547.63108850713</v>
      </c>
      <c r="O141" s="501"/>
    </row>
    <row r="142" spans="1:15">
      <c r="A142" s="486">
        <f t="shared" si="2"/>
        <v>2019</v>
      </c>
      <c r="B142" s="500">
        <v>5</v>
      </c>
      <c r="C142" s="482">
        <v>74654.730619403126</v>
      </c>
      <c r="D142" s="482">
        <v>0</v>
      </c>
      <c r="E142" s="482">
        <v>373747.86099999998</v>
      </c>
      <c r="F142" s="482">
        <v>0</v>
      </c>
      <c r="G142" s="482">
        <v>113525</v>
      </c>
      <c r="H142" s="482"/>
      <c r="I142" s="482"/>
      <c r="J142" s="482"/>
      <c r="K142" s="482">
        <v>0</v>
      </c>
      <c r="L142" s="482">
        <v>0</v>
      </c>
      <c r="M142" s="482">
        <v>0</v>
      </c>
      <c r="N142" s="482">
        <f t="shared" si="3"/>
        <v>561927.5916194031</v>
      </c>
      <c r="O142" s="501"/>
    </row>
    <row r="143" spans="1:15">
      <c r="A143" s="486">
        <f t="shared" si="2"/>
        <v>2019</v>
      </c>
      <c r="B143" s="500">
        <v>6</v>
      </c>
      <c r="C143" s="482">
        <v>81247.562004763851</v>
      </c>
      <c r="D143" s="482">
        <v>0</v>
      </c>
      <c r="E143" s="482">
        <v>385997.61599999998</v>
      </c>
      <c r="F143" s="482">
        <v>0</v>
      </c>
      <c r="G143" s="482">
        <v>115975</v>
      </c>
      <c r="H143" s="482"/>
      <c r="I143" s="482"/>
      <c r="J143" s="482"/>
      <c r="K143" s="482">
        <v>0</v>
      </c>
      <c r="L143" s="482">
        <v>0</v>
      </c>
      <c r="M143" s="482">
        <v>0</v>
      </c>
      <c r="N143" s="482">
        <f t="shared" si="3"/>
        <v>583220.17800476379</v>
      </c>
      <c r="O143" s="501"/>
    </row>
    <row r="144" spans="1:15">
      <c r="A144" s="486">
        <f t="shared" si="2"/>
        <v>2019</v>
      </c>
      <c r="B144" s="500">
        <v>7</v>
      </c>
      <c r="C144" s="482">
        <v>88847.228170372924</v>
      </c>
      <c r="D144" s="482">
        <v>0</v>
      </c>
      <c r="E144" s="482">
        <v>363199.19400000002</v>
      </c>
      <c r="F144" s="482">
        <v>0</v>
      </c>
      <c r="G144" s="482">
        <v>144250</v>
      </c>
      <c r="H144" s="482"/>
      <c r="I144" s="482"/>
      <c r="J144" s="482"/>
      <c r="K144" s="482">
        <v>0</v>
      </c>
      <c r="L144" s="482">
        <v>0</v>
      </c>
      <c r="M144" s="482">
        <v>0</v>
      </c>
      <c r="N144" s="482">
        <f t="shared" si="3"/>
        <v>596296.42217037291</v>
      </c>
      <c r="O144" s="501"/>
    </row>
    <row r="145" spans="1:15">
      <c r="A145" s="486">
        <f t="shared" si="2"/>
        <v>2019</v>
      </c>
      <c r="B145" s="500">
        <v>8</v>
      </c>
      <c r="C145" s="482">
        <v>88087.661865850925</v>
      </c>
      <c r="D145" s="482">
        <v>0</v>
      </c>
      <c r="E145" s="482">
        <v>389607.93800000002</v>
      </c>
      <c r="F145" s="482">
        <v>0</v>
      </c>
      <c r="G145" s="482">
        <v>96050</v>
      </c>
      <c r="H145" s="482"/>
      <c r="I145" s="482"/>
      <c r="J145" s="482"/>
      <c r="K145" s="482">
        <v>240</v>
      </c>
      <c r="L145" s="482">
        <v>108</v>
      </c>
      <c r="M145" s="482">
        <v>76</v>
      </c>
      <c r="N145" s="482">
        <f t="shared" si="3"/>
        <v>574169.59986585099</v>
      </c>
      <c r="O145" s="501"/>
    </row>
    <row r="146" spans="1:15">
      <c r="A146" s="486">
        <f t="shared" si="2"/>
        <v>2019</v>
      </c>
      <c r="B146" s="500">
        <v>9</v>
      </c>
      <c r="C146" s="482">
        <v>74946.389578186107</v>
      </c>
      <c r="D146" s="482">
        <v>0</v>
      </c>
      <c r="E146" s="482">
        <v>384579.64799999999</v>
      </c>
      <c r="F146" s="482">
        <v>0</v>
      </c>
      <c r="G146" s="482">
        <v>91130</v>
      </c>
      <c r="H146" s="482"/>
      <c r="I146" s="482"/>
      <c r="J146" s="482"/>
      <c r="K146" s="482">
        <v>0</v>
      </c>
      <c r="L146" s="482">
        <v>0</v>
      </c>
      <c r="M146" s="482">
        <v>0</v>
      </c>
      <c r="N146" s="482">
        <f t="shared" si="3"/>
        <v>550656.03757818602</v>
      </c>
      <c r="O146" s="501"/>
    </row>
    <row r="147" spans="1:15">
      <c r="A147" s="486">
        <f t="shared" si="2"/>
        <v>2019</v>
      </c>
      <c r="B147" s="500">
        <v>10</v>
      </c>
      <c r="C147" s="482">
        <v>69296.536366871209</v>
      </c>
      <c r="D147" s="482">
        <v>0</v>
      </c>
      <c r="E147" s="482">
        <v>351653.538</v>
      </c>
      <c r="F147" s="482">
        <v>0</v>
      </c>
      <c r="G147" s="482">
        <v>87075</v>
      </c>
      <c r="H147" s="482"/>
      <c r="I147" s="482"/>
      <c r="J147" s="482"/>
      <c r="K147" s="482">
        <v>0</v>
      </c>
      <c r="L147" s="482">
        <v>0</v>
      </c>
      <c r="M147" s="482">
        <v>0</v>
      </c>
      <c r="N147" s="482">
        <f t="shared" si="3"/>
        <v>508025.07436687121</v>
      </c>
      <c r="O147" s="501"/>
    </row>
    <row r="148" spans="1:15">
      <c r="A148" s="486">
        <f t="shared" si="2"/>
        <v>2019</v>
      </c>
      <c r="B148" s="500">
        <v>11</v>
      </c>
      <c r="C148" s="482">
        <v>57028.93943450474</v>
      </c>
      <c r="D148" s="482">
        <v>0</v>
      </c>
      <c r="E148" s="482">
        <v>320105.353</v>
      </c>
      <c r="F148" s="482">
        <v>0</v>
      </c>
      <c r="G148" s="482">
        <v>44020</v>
      </c>
      <c r="H148" s="482"/>
      <c r="I148" s="482"/>
      <c r="J148" s="482"/>
      <c r="K148" s="482">
        <v>0</v>
      </c>
      <c r="L148" s="482">
        <v>0</v>
      </c>
      <c r="M148" s="482">
        <v>0</v>
      </c>
      <c r="N148" s="482">
        <f t="shared" si="3"/>
        <v>421154.29243450472</v>
      </c>
      <c r="O148" s="501"/>
    </row>
    <row r="149" spans="1:15">
      <c r="A149" s="486">
        <f t="shared" si="2"/>
        <v>2019</v>
      </c>
      <c r="B149" s="500">
        <v>12</v>
      </c>
      <c r="C149" s="482">
        <v>58844.17886474137</v>
      </c>
      <c r="D149" s="482">
        <v>0</v>
      </c>
      <c r="E149" s="482">
        <v>299831.58</v>
      </c>
      <c r="F149" s="482">
        <v>0</v>
      </c>
      <c r="G149" s="482">
        <v>13575</v>
      </c>
      <c r="H149" s="482"/>
      <c r="I149" s="482"/>
      <c r="J149" s="482"/>
      <c r="K149" s="482">
        <v>0</v>
      </c>
      <c r="L149" s="482">
        <v>0</v>
      </c>
      <c r="M149" s="482">
        <v>0</v>
      </c>
      <c r="N149" s="482">
        <f t="shared" si="3"/>
        <v>372250.75886474136</v>
      </c>
      <c r="O149" s="501"/>
    </row>
    <row r="150" spans="1:15">
      <c r="A150" s="486">
        <f t="shared" si="2"/>
        <v>2020</v>
      </c>
      <c r="B150" s="500">
        <v>1</v>
      </c>
      <c r="C150" s="482">
        <v>59023.203175345363</v>
      </c>
      <c r="D150" s="482">
        <v>0</v>
      </c>
      <c r="E150" s="482">
        <v>296948.23300000001</v>
      </c>
      <c r="F150" s="482">
        <v>0</v>
      </c>
      <c r="G150" s="482">
        <v>73250</v>
      </c>
      <c r="H150" s="482"/>
      <c r="I150" s="482"/>
      <c r="J150" s="482"/>
      <c r="K150" s="482"/>
      <c r="L150" s="482">
        <v>108</v>
      </c>
      <c r="M150" s="482">
        <v>76</v>
      </c>
      <c r="N150" s="482">
        <f t="shared" si="3"/>
        <v>429405.43617534538</v>
      </c>
      <c r="O150" s="501"/>
    </row>
    <row r="151" spans="1:15">
      <c r="A151" s="486">
        <f t="shared" si="2"/>
        <v>2020</v>
      </c>
      <c r="B151" s="500">
        <v>2</v>
      </c>
      <c r="C151" s="482">
        <v>55655.236707890836</v>
      </c>
      <c r="D151" s="482">
        <v>0</v>
      </c>
      <c r="E151" s="482">
        <v>288360.89299999998</v>
      </c>
      <c r="F151" s="482">
        <v>0</v>
      </c>
      <c r="G151" s="482">
        <v>85800</v>
      </c>
      <c r="H151" s="482"/>
      <c r="I151" s="482"/>
      <c r="J151" s="482"/>
      <c r="K151" s="482"/>
      <c r="L151" s="482">
        <v>0</v>
      </c>
      <c r="M151" s="482">
        <v>0</v>
      </c>
      <c r="N151" s="482">
        <f t="shared" si="3"/>
        <v>429816.1297078908</v>
      </c>
      <c r="O151" s="501"/>
    </row>
    <row r="152" spans="1:15">
      <c r="A152" s="486">
        <f t="shared" si="2"/>
        <v>2020</v>
      </c>
      <c r="B152" s="500">
        <v>3</v>
      </c>
      <c r="C152" s="482">
        <v>63599.532302397762</v>
      </c>
      <c r="D152" s="482">
        <v>0</v>
      </c>
      <c r="E152" s="482">
        <v>342216.24099999998</v>
      </c>
      <c r="F152" s="482">
        <v>0</v>
      </c>
      <c r="G152" s="482">
        <v>111860</v>
      </c>
      <c r="H152" s="482"/>
      <c r="I152" s="482"/>
      <c r="J152" s="482"/>
      <c r="K152" s="482"/>
      <c r="L152" s="482">
        <v>0</v>
      </c>
      <c r="M152" s="482">
        <v>0</v>
      </c>
      <c r="N152" s="482">
        <f t="shared" si="3"/>
        <v>517675.77330239775</v>
      </c>
      <c r="O152" s="501"/>
    </row>
    <row r="153" spans="1:15">
      <c r="A153" s="486">
        <f t="shared" si="2"/>
        <v>2020</v>
      </c>
      <c r="B153" s="500">
        <v>4</v>
      </c>
      <c r="C153" s="482">
        <v>66776.160181778978</v>
      </c>
      <c r="D153" s="482">
        <v>0</v>
      </c>
      <c r="E153" s="482">
        <v>374283.76400000002</v>
      </c>
      <c r="F153" s="482">
        <v>0</v>
      </c>
      <c r="G153" s="482">
        <v>125830</v>
      </c>
      <c r="H153" s="482"/>
      <c r="I153" s="482"/>
      <c r="J153" s="482"/>
      <c r="K153" s="482"/>
      <c r="L153" s="482">
        <v>0</v>
      </c>
      <c r="M153" s="482">
        <v>0</v>
      </c>
      <c r="N153" s="482">
        <f t="shared" si="3"/>
        <v>566889.92418177903</v>
      </c>
      <c r="O153" s="501"/>
    </row>
    <row r="154" spans="1:15">
      <c r="A154" s="486">
        <f t="shared" si="2"/>
        <v>2020</v>
      </c>
      <c r="B154" s="500">
        <v>5</v>
      </c>
      <c r="C154" s="482">
        <v>75572.570382843522</v>
      </c>
      <c r="D154" s="482">
        <v>0</v>
      </c>
      <c r="E154" s="482">
        <v>379354.07900000003</v>
      </c>
      <c r="F154" s="482">
        <v>0</v>
      </c>
      <c r="G154" s="482">
        <v>113525</v>
      </c>
      <c r="H154" s="482"/>
      <c r="I154" s="482"/>
      <c r="J154" s="482"/>
      <c r="K154" s="482"/>
      <c r="L154" s="482">
        <v>0</v>
      </c>
      <c r="M154" s="482">
        <v>0</v>
      </c>
      <c r="N154" s="482">
        <f t="shared" si="3"/>
        <v>568451.64938284352</v>
      </c>
      <c r="O154" s="501"/>
    </row>
    <row r="155" spans="1:15">
      <c r="A155" s="486">
        <f t="shared" ref="A155:A218" si="4">+A143+1</f>
        <v>2020</v>
      </c>
      <c r="B155" s="500">
        <v>6</v>
      </c>
      <c r="C155" s="482">
        <v>82246.4570844439</v>
      </c>
      <c r="D155" s="482">
        <v>0</v>
      </c>
      <c r="E155" s="482">
        <v>391787.58100000001</v>
      </c>
      <c r="F155" s="482">
        <v>0</v>
      </c>
      <c r="G155" s="482">
        <v>115975</v>
      </c>
      <c r="H155" s="482"/>
      <c r="I155" s="482"/>
      <c r="J155" s="482"/>
      <c r="K155" s="482"/>
      <c r="L155" s="482">
        <v>0</v>
      </c>
      <c r="M155" s="482">
        <v>0</v>
      </c>
      <c r="N155" s="482">
        <f t="shared" si="3"/>
        <v>590009.03808444389</v>
      </c>
      <c r="O155" s="501"/>
    </row>
    <row r="156" spans="1:15">
      <c r="A156" s="486">
        <f t="shared" si="4"/>
        <v>2020</v>
      </c>
      <c r="B156" s="500">
        <v>7</v>
      </c>
      <c r="C156" s="482">
        <v>89939.557058437174</v>
      </c>
      <c r="D156" s="482">
        <v>0</v>
      </c>
      <c r="E156" s="482">
        <v>368647.18199999997</v>
      </c>
      <c r="F156" s="482">
        <v>0</v>
      </c>
      <c r="G156" s="482">
        <v>144250</v>
      </c>
      <c r="H156" s="482"/>
      <c r="I156" s="482"/>
      <c r="J156" s="482"/>
      <c r="K156" s="482"/>
      <c r="L156" s="482">
        <v>0</v>
      </c>
      <c r="M156" s="482">
        <v>0</v>
      </c>
      <c r="N156" s="482">
        <f t="shared" si="3"/>
        <v>602836.73905843718</v>
      </c>
      <c r="O156" s="501"/>
    </row>
    <row r="157" spans="1:15">
      <c r="A157" s="486">
        <f t="shared" si="4"/>
        <v>2020</v>
      </c>
      <c r="B157" s="500">
        <v>8</v>
      </c>
      <c r="C157" s="482">
        <v>89170.652294697997</v>
      </c>
      <c r="D157" s="482">
        <v>0</v>
      </c>
      <c r="E157" s="482">
        <v>395452.05599999998</v>
      </c>
      <c r="F157" s="482">
        <v>0</v>
      </c>
      <c r="G157" s="482">
        <v>96050</v>
      </c>
      <c r="H157" s="482"/>
      <c r="I157" s="482"/>
      <c r="J157" s="482"/>
      <c r="K157" s="482"/>
      <c r="L157" s="482">
        <v>108</v>
      </c>
      <c r="M157" s="482">
        <v>76</v>
      </c>
      <c r="N157" s="482">
        <f t="shared" si="3"/>
        <v>580856.70829469804</v>
      </c>
      <c r="O157" s="501"/>
    </row>
    <row r="158" spans="1:15">
      <c r="A158" s="486">
        <f t="shared" si="4"/>
        <v>2020</v>
      </c>
      <c r="B158" s="500">
        <v>9</v>
      </c>
      <c r="C158" s="482">
        <v>75867.815131669719</v>
      </c>
      <c r="D158" s="482">
        <v>0</v>
      </c>
      <c r="E158" s="482">
        <v>390348.342</v>
      </c>
      <c r="F158" s="482">
        <v>0</v>
      </c>
      <c r="G158" s="482">
        <v>91130</v>
      </c>
      <c r="H158" s="482"/>
      <c r="I158" s="482"/>
      <c r="J158" s="482"/>
      <c r="K158" s="482"/>
      <c r="L158" s="482">
        <v>0</v>
      </c>
      <c r="M158" s="482">
        <v>0</v>
      </c>
      <c r="N158" s="482">
        <f t="shared" si="3"/>
        <v>557346.15713166969</v>
      </c>
      <c r="O158" s="501"/>
    </row>
    <row r="159" spans="1:15">
      <c r="A159" s="486">
        <f t="shared" si="4"/>
        <v>2020</v>
      </c>
      <c r="B159" s="500">
        <v>10</v>
      </c>
      <c r="C159" s="482">
        <v>70148.500013628742</v>
      </c>
      <c r="D159" s="482">
        <v>0</v>
      </c>
      <c r="E159" s="482">
        <v>356928.34100000001</v>
      </c>
      <c r="F159" s="482">
        <v>0</v>
      </c>
      <c r="G159" s="482">
        <v>87075</v>
      </c>
      <c r="H159" s="482"/>
      <c r="I159" s="482"/>
      <c r="J159" s="482"/>
      <c r="K159" s="482"/>
      <c r="L159" s="482">
        <v>0</v>
      </c>
      <c r="M159" s="482">
        <v>0</v>
      </c>
      <c r="N159" s="482">
        <f t="shared" si="3"/>
        <v>514151.84101362876</v>
      </c>
      <c r="O159" s="501"/>
    </row>
    <row r="160" spans="1:15">
      <c r="A160" s="486">
        <f t="shared" si="4"/>
        <v>2020</v>
      </c>
      <c r="B160" s="500">
        <v>11</v>
      </c>
      <c r="C160" s="482">
        <v>57730.079574527139</v>
      </c>
      <c r="D160" s="482">
        <v>0</v>
      </c>
      <c r="E160" s="482">
        <v>324906.93400000001</v>
      </c>
      <c r="F160" s="482">
        <v>0</v>
      </c>
      <c r="G160" s="482">
        <v>44020</v>
      </c>
      <c r="H160" s="482"/>
      <c r="I160" s="482"/>
      <c r="J160" s="482"/>
      <c r="K160" s="482"/>
      <c r="L160" s="482">
        <v>0</v>
      </c>
      <c r="M160" s="482">
        <v>0</v>
      </c>
      <c r="N160" s="482">
        <f t="shared" si="3"/>
        <v>426657.01357452717</v>
      </c>
      <c r="O160" s="501"/>
    </row>
    <row r="161" spans="1:15">
      <c r="A161" s="486">
        <f t="shared" si="4"/>
        <v>2020</v>
      </c>
      <c r="B161" s="500">
        <v>12</v>
      </c>
      <c r="C161" s="482">
        <v>59567.636397317627</v>
      </c>
      <c r="D161" s="482">
        <v>0</v>
      </c>
      <c r="E161" s="482">
        <v>304329.05200000003</v>
      </c>
      <c r="F161" s="482">
        <v>0</v>
      </c>
      <c r="G161" s="482">
        <v>13575</v>
      </c>
      <c r="H161" s="482"/>
      <c r="I161" s="482"/>
      <c r="J161" s="482"/>
      <c r="K161" s="482"/>
      <c r="L161" s="482">
        <v>0</v>
      </c>
      <c r="M161" s="482">
        <v>0</v>
      </c>
      <c r="N161" s="482">
        <f t="shared" si="3"/>
        <v>377471.68839731766</v>
      </c>
      <c r="O161" s="501"/>
    </row>
    <row r="162" spans="1:15">
      <c r="A162" s="486">
        <f t="shared" si="4"/>
        <v>2021</v>
      </c>
      <c r="B162" s="500">
        <v>1</v>
      </c>
      <c r="C162" s="482">
        <v>59748.861715540697</v>
      </c>
      <c r="D162" s="482">
        <v>0</v>
      </c>
      <c r="E162" s="482">
        <v>301402.45600000001</v>
      </c>
      <c r="F162" s="482">
        <v>0</v>
      </c>
      <c r="G162" s="482">
        <v>73250</v>
      </c>
      <c r="H162" s="482"/>
      <c r="I162" s="482"/>
      <c r="J162" s="482"/>
      <c r="K162" s="482"/>
      <c r="L162" s="482">
        <v>108</v>
      </c>
      <c r="M162" s="482">
        <v>76</v>
      </c>
      <c r="N162" s="482">
        <f t="shared" si="3"/>
        <v>434585.3177155407</v>
      </c>
      <c r="O162" s="501"/>
    </row>
    <row r="163" spans="1:15">
      <c r="A163" s="486">
        <f t="shared" si="4"/>
        <v>2021</v>
      </c>
      <c r="B163" s="500">
        <v>2</v>
      </c>
      <c r="C163" s="482">
        <v>56339.487911670723</v>
      </c>
      <c r="D163" s="482">
        <v>0</v>
      </c>
      <c r="E163" s="482">
        <v>292686.30599999998</v>
      </c>
      <c r="F163" s="482">
        <v>0</v>
      </c>
      <c r="G163" s="482">
        <v>85800</v>
      </c>
      <c r="H163" s="482"/>
      <c r="I163" s="482"/>
      <c r="J163" s="482"/>
      <c r="K163" s="482"/>
      <c r="L163" s="482">
        <v>0</v>
      </c>
      <c r="M163" s="482">
        <v>0</v>
      </c>
      <c r="N163" s="482">
        <f t="shared" si="3"/>
        <v>434825.79391167068</v>
      </c>
      <c r="O163" s="501"/>
    </row>
    <row r="164" spans="1:15">
      <c r="A164" s="486">
        <f t="shared" si="4"/>
        <v>2021</v>
      </c>
      <c r="B164" s="500">
        <v>3</v>
      </c>
      <c r="C164" s="482">
        <v>64381.454348047475</v>
      </c>
      <c r="D164" s="482">
        <v>0</v>
      </c>
      <c r="E164" s="482">
        <v>347349.48499999999</v>
      </c>
      <c r="F164" s="482">
        <v>0</v>
      </c>
      <c r="G164" s="482">
        <v>111860</v>
      </c>
      <c r="H164" s="482"/>
      <c r="I164" s="482"/>
      <c r="J164" s="482"/>
      <c r="K164" s="482"/>
      <c r="L164" s="482">
        <v>0</v>
      </c>
      <c r="M164" s="482">
        <v>0</v>
      </c>
      <c r="N164" s="482">
        <f t="shared" si="3"/>
        <v>523590.93934804748</v>
      </c>
      <c r="O164" s="501"/>
    </row>
    <row r="165" spans="1:15">
      <c r="A165" s="486">
        <f t="shared" si="4"/>
        <v>2021</v>
      </c>
      <c r="B165" s="500">
        <v>4</v>
      </c>
      <c r="C165" s="482">
        <v>67597.137158806232</v>
      </c>
      <c r="D165" s="482">
        <v>0</v>
      </c>
      <c r="E165" s="482">
        <v>379898.02</v>
      </c>
      <c r="F165" s="482">
        <v>0</v>
      </c>
      <c r="G165" s="482">
        <v>125830</v>
      </c>
      <c r="H165" s="482"/>
      <c r="I165" s="482"/>
      <c r="J165" s="482"/>
      <c r="K165" s="482"/>
      <c r="L165" s="482">
        <v>0</v>
      </c>
      <c r="M165" s="482">
        <v>0</v>
      </c>
      <c r="N165" s="482">
        <f t="shared" si="3"/>
        <v>573325.15715880622</v>
      </c>
      <c r="O165" s="501"/>
    </row>
    <row r="166" spans="1:15">
      <c r="A166" s="486">
        <f t="shared" si="4"/>
        <v>2021</v>
      </c>
      <c r="B166" s="500">
        <v>5</v>
      </c>
      <c r="C166" s="482">
        <v>76501.694492558585</v>
      </c>
      <c r="D166" s="482">
        <v>0</v>
      </c>
      <c r="E166" s="482">
        <v>385044.39</v>
      </c>
      <c r="F166" s="482">
        <v>0</v>
      </c>
      <c r="G166" s="482">
        <v>113525</v>
      </c>
      <c r="H166" s="482"/>
      <c r="I166" s="482"/>
      <c r="J166" s="482"/>
      <c r="K166" s="482"/>
      <c r="L166" s="482">
        <v>0</v>
      </c>
      <c r="M166" s="482">
        <v>0</v>
      </c>
      <c r="N166" s="482">
        <f t="shared" si="3"/>
        <v>575071.08449255861</v>
      </c>
      <c r="O166" s="501"/>
    </row>
    <row r="167" spans="1:15">
      <c r="A167" s="486">
        <f t="shared" si="4"/>
        <v>2021</v>
      </c>
      <c r="B167" s="500">
        <v>6</v>
      </c>
      <c r="C167" s="482">
        <v>83257.633041920009</v>
      </c>
      <c r="D167" s="482">
        <v>0</v>
      </c>
      <c r="E167" s="482">
        <v>397664.39399999997</v>
      </c>
      <c r="F167" s="482">
        <v>0</v>
      </c>
      <c r="G167" s="482">
        <v>0</v>
      </c>
      <c r="H167" s="482"/>
      <c r="I167" s="482"/>
      <c r="J167" s="482"/>
      <c r="K167" s="482"/>
      <c r="L167" s="482">
        <v>0</v>
      </c>
      <c r="M167" s="482">
        <v>0</v>
      </c>
      <c r="N167" s="482">
        <f t="shared" si="3"/>
        <v>480922.02704192</v>
      </c>
      <c r="O167" s="501"/>
    </row>
    <row r="168" spans="1:15">
      <c r="A168" s="486">
        <f t="shared" si="4"/>
        <v>2021</v>
      </c>
      <c r="B168" s="500">
        <v>7</v>
      </c>
      <c r="C168" s="482">
        <v>91045.315542722616</v>
      </c>
      <c r="D168" s="482">
        <v>0</v>
      </c>
      <c r="E168" s="482">
        <v>374176.89</v>
      </c>
      <c r="F168" s="482">
        <v>0</v>
      </c>
      <c r="G168" s="482">
        <v>0</v>
      </c>
      <c r="H168" s="482"/>
      <c r="I168" s="482"/>
      <c r="J168" s="482"/>
      <c r="K168" s="482"/>
      <c r="L168" s="482">
        <v>0</v>
      </c>
      <c r="M168" s="482">
        <v>0</v>
      </c>
      <c r="N168" s="482">
        <f t="shared" si="3"/>
        <v>465222.2055427226</v>
      </c>
      <c r="O168" s="501"/>
    </row>
    <row r="169" spans="1:15">
      <c r="A169" s="486">
        <f t="shared" si="4"/>
        <v>2021</v>
      </c>
      <c r="B169" s="500">
        <v>8</v>
      </c>
      <c r="C169" s="482">
        <v>90266.957508432417</v>
      </c>
      <c r="D169" s="482">
        <v>0</v>
      </c>
      <c r="E169" s="482">
        <v>401383.837</v>
      </c>
      <c r="F169" s="482">
        <v>0</v>
      </c>
      <c r="G169" s="482">
        <v>0</v>
      </c>
      <c r="H169" s="482"/>
      <c r="I169" s="482"/>
      <c r="J169" s="482"/>
      <c r="K169" s="482"/>
      <c r="L169" s="482">
        <v>108</v>
      </c>
      <c r="M169" s="482">
        <v>76</v>
      </c>
      <c r="N169" s="482">
        <f t="shared" si="3"/>
        <v>491834.79450843239</v>
      </c>
      <c r="O169" s="501"/>
    </row>
    <row r="170" spans="1:15">
      <c r="A170" s="486">
        <f t="shared" si="4"/>
        <v>2021</v>
      </c>
      <c r="B170" s="500">
        <v>9</v>
      </c>
      <c r="C170" s="482">
        <v>76800.569116788145</v>
      </c>
      <c r="D170" s="482">
        <v>0</v>
      </c>
      <c r="E170" s="482">
        <v>396203.56800000003</v>
      </c>
      <c r="F170" s="482">
        <v>0</v>
      </c>
      <c r="G170" s="482">
        <v>0</v>
      </c>
      <c r="H170" s="482"/>
      <c r="I170" s="482"/>
      <c r="J170" s="482"/>
      <c r="K170" s="482"/>
      <c r="L170" s="482">
        <v>0</v>
      </c>
      <c r="M170" s="482">
        <v>0</v>
      </c>
      <c r="N170" s="482">
        <f t="shared" si="3"/>
        <v>473004.13711678819</v>
      </c>
      <c r="O170" s="501"/>
    </row>
    <row r="171" spans="1:15">
      <c r="A171" s="486">
        <f t="shared" si="4"/>
        <v>2021</v>
      </c>
      <c r="B171" s="500">
        <v>10</v>
      </c>
      <c r="C171" s="482">
        <v>71010.938095234684</v>
      </c>
      <c r="D171" s="482">
        <v>0</v>
      </c>
      <c r="E171" s="482">
        <v>362282.266</v>
      </c>
      <c r="F171" s="482">
        <v>0</v>
      </c>
      <c r="G171" s="482">
        <v>0</v>
      </c>
      <c r="H171" s="482"/>
      <c r="I171" s="482"/>
      <c r="J171" s="482"/>
      <c r="K171" s="482"/>
      <c r="L171" s="482">
        <v>0</v>
      </c>
      <c r="M171" s="482">
        <v>0</v>
      </c>
      <c r="N171" s="482">
        <f t="shared" si="3"/>
        <v>433293.20409523469</v>
      </c>
      <c r="O171" s="501"/>
    </row>
    <row r="172" spans="1:15">
      <c r="A172" s="486">
        <f t="shared" si="4"/>
        <v>2021</v>
      </c>
      <c r="B172" s="500">
        <v>11</v>
      </c>
      <c r="C172" s="482">
        <v>58439.839855495942</v>
      </c>
      <c r="D172" s="482">
        <v>0</v>
      </c>
      <c r="E172" s="482">
        <v>329780.53700000001</v>
      </c>
      <c r="F172" s="482">
        <v>0</v>
      </c>
      <c r="G172" s="482">
        <v>0</v>
      </c>
      <c r="H172" s="482"/>
      <c r="I172" s="482"/>
      <c r="J172" s="482"/>
      <c r="K172" s="482"/>
      <c r="L172" s="482">
        <v>0</v>
      </c>
      <c r="M172" s="482">
        <v>0</v>
      </c>
      <c r="N172" s="482">
        <f t="shared" si="3"/>
        <v>388220.37685549597</v>
      </c>
      <c r="O172" s="501"/>
    </row>
    <row r="173" spans="1:15">
      <c r="A173" s="486">
        <f t="shared" si="4"/>
        <v>2021</v>
      </c>
      <c r="B173" s="500">
        <v>12</v>
      </c>
      <c r="C173" s="482">
        <v>60299.988451179393</v>
      </c>
      <c r="D173" s="482">
        <v>0</v>
      </c>
      <c r="E173" s="482">
        <v>308893.98800000001</v>
      </c>
      <c r="F173" s="482">
        <v>0</v>
      </c>
      <c r="G173" s="482">
        <v>0</v>
      </c>
      <c r="H173" s="482"/>
      <c r="I173" s="482"/>
      <c r="J173" s="482"/>
      <c r="K173" s="482"/>
      <c r="L173" s="482">
        <v>0</v>
      </c>
      <c r="M173" s="482">
        <v>0</v>
      </c>
      <c r="N173" s="482">
        <f t="shared" si="3"/>
        <v>369193.97645117942</v>
      </c>
      <c r="O173" s="501"/>
    </row>
    <row r="174" spans="1:15">
      <c r="A174" s="486">
        <f t="shared" si="4"/>
        <v>2022</v>
      </c>
      <c r="B174" s="500">
        <v>1</v>
      </c>
      <c r="C174" s="482">
        <v>60483.441837226535</v>
      </c>
      <c r="D174" s="482">
        <v>0</v>
      </c>
      <c r="E174" s="482">
        <v>305923.49300000002</v>
      </c>
      <c r="F174" s="482">
        <v>0</v>
      </c>
      <c r="G174" s="482">
        <v>0</v>
      </c>
      <c r="H174" s="482"/>
      <c r="I174" s="482"/>
      <c r="J174" s="482"/>
      <c r="K174" s="482"/>
      <c r="L174" s="482">
        <v>108</v>
      </c>
      <c r="M174" s="482">
        <v>76</v>
      </c>
      <c r="N174" s="482">
        <f t="shared" si="3"/>
        <v>366590.93483722652</v>
      </c>
      <c r="O174" s="501"/>
    </row>
    <row r="175" spans="1:15">
      <c r="A175" s="486">
        <f t="shared" si="4"/>
        <v>2022</v>
      </c>
      <c r="B175" s="500">
        <v>2</v>
      </c>
      <c r="C175" s="482">
        <v>57032.151616008843</v>
      </c>
      <c r="D175" s="482">
        <v>0</v>
      </c>
      <c r="E175" s="482">
        <v>297076.60100000002</v>
      </c>
      <c r="F175" s="482">
        <v>0</v>
      </c>
      <c r="G175" s="482">
        <v>0</v>
      </c>
      <c r="H175" s="482"/>
      <c r="I175" s="482"/>
      <c r="J175" s="482"/>
      <c r="K175" s="482"/>
      <c r="L175" s="482">
        <v>0</v>
      </c>
      <c r="M175" s="482">
        <v>0</v>
      </c>
      <c r="N175" s="482">
        <f t="shared" si="3"/>
        <v>354108.75261600886</v>
      </c>
      <c r="O175" s="501"/>
    </row>
    <row r="176" spans="1:15">
      <c r="A176" s="486">
        <f t="shared" si="4"/>
        <v>2022</v>
      </c>
      <c r="B176" s="500">
        <v>3</v>
      </c>
      <c r="C176" s="482">
        <v>65172.989704728556</v>
      </c>
      <c r="D176" s="482">
        <v>0</v>
      </c>
      <c r="E176" s="482">
        <v>352559.728</v>
      </c>
      <c r="F176" s="482">
        <v>0</v>
      </c>
      <c r="G176" s="482">
        <v>0</v>
      </c>
      <c r="H176" s="482"/>
      <c r="I176" s="482"/>
      <c r="J176" s="482"/>
      <c r="K176" s="482"/>
      <c r="L176" s="482">
        <v>0</v>
      </c>
      <c r="M176" s="482">
        <v>0</v>
      </c>
      <c r="N176" s="482">
        <f t="shared" si="3"/>
        <v>417732.71770472854</v>
      </c>
      <c r="O176" s="501"/>
    </row>
    <row r="177" spans="1:15">
      <c r="A177" s="486">
        <f t="shared" si="4"/>
        <v>2022</v>
      </c>
      <c r="B177" s="500">
        <v>4</v>
      </c>
      <c r="C177" s="482">
        <v>68428.207606242286</v>
      </c>
      <c r="D177" s="482">
        <v>0</v>
      </c>
      <c r="E177" s="482">
        <v>385596.49</v>
      </c>
      <c r="F177" s="482">
        <v>0</v>
      </c>
      <c r="G177" s="482">
        <v>0</v>
      </c>
      <c r="H177" s="482"/>
      <c r="I177" s="482"/>
      <c r="J177" s="482"/>
      <c r="K177" s="482"/>
      <c r="L177" s="482">
        <v>0</v>
      </c>
      <c r="M177" s="482">
        <v>0</v>
      </c>
      <c r="N177" s="482">
        <f t="shared" si="3"/>
        <v>454024.69760624226</v>
      </c>
      <c r="O177" s="501"/>
    </row>
    <row r="178" spans="1:15">
      <c r="A178" s="486">
        <f t="shared" si="4"/>
        <v>2022</v>
      </c>
      <c r="B178" s="500">
        <v>5</v>
      </c>
      <c r="C178" s="482">
        <v>77442.24168351703</v>
      </c>
      <c r="D178" s="482">
        <v>0</v>
      </c>
      <c r="E178" s="482">
        <v>390820.05599999998</v>
      </c>
      <c r="F178" s="482">
        <v>0</v>
      </c>
      <c r="G178" s="482">
        <v>0</v>
      </c>
      <c r="H178" s="482"/>
      <c r="I178" s="482"/>
      <c r="J178" s="482"/>
      <c r="K178" s="482"/>
      <c r="L178" s="482">
        <v>0</v>
      </c>
      <c r="M178" s="482">
        <v>0</v>
      </c>
      <c r="N178" s="482">
        <f t="shared" si="3"/>
        <v>468262.29768351698</v>
      </c>
      <c r="O178" s="501"/>
    </row>
    <row r="179" spans="1:15">
      <c r="A179" s="486">
        <f t="shared" si="4"/>
        <v>2022</v>
      </c>
      <c r="B179" s="500">
        <v>6</v>
      </c>
      <c r="C179" s="482">
        <v>84281.240863979998</v>
      </c>
      <c r="D179" s="482">
        <v>0</v>
      </c>
      <c r="E179" s="482">
        <v>403629.36</v>
      </c>
      <c r="F179" s="482">
        <v>0</v>
      </c>
      <c r="G179" s="482">
        <v>0</v>
      </c>
      <c r="H179" s="482"/>
      <c r="I179" s="482"/>
      <c r="J179" s="482"/>
      <c r="K179" s="482"/>
      <c r="L179" s="482">
        <v>0</v>
      </c>
      <c r="M179" s="482">
        <v>0</v>
      </c>
      <c r="N179" s="482">
        <f t="shared" si="3"/>
        <v>487910.60086398001</v>
      </c>
      <c r="O179" s="501"/>
    </row>
    <row r="180" spans="1:15">
      <c r="A180" s="486">
        <f t="shared" si="4"/>
        <v>2022</v>
      </c>
      <c r="B180" s="500">
        <v>7</v>
      </c>
      <c r="C180" s="482">
        <v>92164.6687328923</v>
      </c>
      <c r="D180" s="482">
        <v>0</v>
      </c>
      <c r="E180" s="482">
        <v>379789.54200000002</v>
      </c>
      <c r="F180" s="482">
        <v>0</v>
      </c>
      <c r="G180" s="482">
        <v>0</v>
      </c>
      <c r="H180" s="482"/>
      <c r="I180" s="482"/>
      <c r="J180" s="482"/>
      <c r="K180" s="482"/>
      <c r="L180" s="482">
        <v>0</v>
      </c>
      <c r="M180" s="482">
        <v>0</v>
      </c>
      <c r="N180" s="482">
        <f t="shared" si="3"/>
        <v>471954.21073289233</v>
      </c>
      <c r="O180" s="501"/>
    </row>
    <row r="181" spans="1:15">
      <c r="A181" s="486">
        <f t="shared" si="4"/>
        <v>2022</v>
      </c>
      <c r="B181" s="500">
        <v>8</v>
      </c>
      <c r="C181" s="482">
        <v>91376.741205173661</v>
      </c>
      <c r="D181" s="482">
        <v>0</v>
      </c>
      <c r="E181" s="482">
        <v>407404.59399999998</v>
      </c>
      <c r="F181" s="482">
        <v>0</v>
      </c>
      <c r="G181" s="482">
        <v>0</v>
      </c>
      <c r="H181" s="482"/>
      <c r="I181" s="482"/>
      <c r="J181" s="482"/>
      <c r="K181" s="482"/>
      <c r="L181" s="482">
        <v>108</v>
      </c>
      <c r="M181" s="482">
        <v>76</v>
      </c>
      <c r="N181" s="482">
        <f t="shared" si="3"/>
        <v>498965.33520517364</v>
      </c>
      <c r="O181" s="501"/>
    </row>
    <row r="182" spans="1:15">
      <c r="A182" s="486">
        <f t="shared" si="4"/>
        <v>2022</v>
      </c>
      <c r="B182" s="500">
        <v>9</v>
      </c>
      <c r="C182" s="482">
        <v>77744.790810515871</v>
      </c>
      <c r="D182" s="482">
        <v>0</v>
      </c>
      <c r="E182" s="482">
        <v>402146.62099999998</v>
      </c>
      <c r="F182" s="482">
        <v>0</v>
      </c>
      <c r="G182" s="482">
        <v>0</v>
      </c>
      <c r="H182" s="482"/>
      <c r="I182" s="482"/>
      <c r="J182" s="482"/>
      <c r="K182" s="482"/>
      <c r="L182" s="482">
        <v>0</v>
      </c>
      <c r="M182" s="482">
        <v>0</v>
      </c>
      <c r="N182" s="482">
        <f t="shared" si="3"/>
        <v>479891.41181051586</v>
      </c>
      <c r="O182" s="501"/>
    </row>
    <row r="183" spans="1:15">
      <c r="A183" s="486">
        <f t="shared" si="4"/>
        <v>2022</v>
      </c>
      <c r="B183" s="500">
        <v>10</v>
      </c>
      <c r="C183" s="482">
        <v>71883.979389232336</v>
      </c>
      <c r="D183" s="482">
        <v>0</v>
      </c>
      <c r="E183" s="482">
        <v>367716.5</v>
      </c>
      <c r="F183" s="482">
        <v>0</v>
      </c>
      <c r="G183" s="482">
        <v>0</v>
      </c>
      <c r="H183" s="482"/>
      <c r="I183" s="482"/>
      <c r="J183" s="482"/>
      <c r="K183" s="482"/>
      <c r="L183" s="482">
        <v>0</v>
      </c>
      <c r="M183" s="482">
        <v>0</v>
      </c>
      <c r="N183" s="482">
        <f t="shared" si="3"/>
        <v>439600.47938923235</v>
      </c>
      <c r="O183" s="501"/>
    </row>
    <row r="184" spans="1:15">
      <c r="A184" s="486">
        <f t="shared" si="4"/>
        <v>2022</v>
      </c>
      <c r="B184" s="500">
        <v>11</v>
      </c>
      <c r="C184" s="482">
        <v>59158.326257408182</v>
      </c>
      <c r="D184" s="482">
        <v>0</v>
      </c>
      <c r="E184" s="482">
        <v>334727.24599999998</v>
      </c>
      <c r="F184" s="482">
        <v>0</v>
      </c>
      <c r="G184" s="482">
        <v>0</v>
      </c>
      <c r="H184" s="482"/>
      <c r="I184" s="482"/>
      <c r="J184" s="482"/>
      <c r="K184" s="482"/>
      <c r="L184" s="482">
        <v>0</v>
      </c>
      <c r="M184" s="482">
        <v>0</v>
      </c>
      <c r="N184" s="482">
        <f t="shared" si="3"/>
        <v>393885.57225740817</v>
      </c>
      <c r="O184" s="501"/>
    </row>
    <row r="185" spans="1:15">
      <c r="A185" s="486">
        <f t="shared" si="4"/>
        <v>2022</v>
      </c>
      <c r="B185" s="500">
        <v>12</v>
      </c>
      <c r="C185" s="482">
        <v>61041.344379682385</v>
      </c>
      <c r="D185" s="482">
        <v>0</v>
      </c>
      <c r="E185" s="482">
        <v>313527.39799999999</v>
      </c>
      <c r="F185" s="482">
        <v>0</v>
      </c>
      <c r="G185" s="482">
        <v>0</v>
      </c>
      <c r="H185" s="482"/>
      <c r="I185" s="482"/>
      <c r="J185" s="482"/>
      <c r="K185" s="482"/>
      <c r="L185" s="482">
        <v>0</v>
      </c>
      <c r="M185" s="482">
        <v>0</v>
      </c>
      <c r="N185" s="482">
        <f t="shared" si="3"/>
        <v>374568.74237968237</v>
      </c>
      <c r="O185" s="501"/>
    </row>
    <row r="186" spans="1:15">
      <c r="A186" s="486">
        <f t="shared" si="4"/>
        <v>2023</v>
      </c>
      <c r="B186" s="500">
        <v>1</v>
      </c>
      <c r="C186" s="482">
        <v>61227.053226449229</v>
      </c>
      <c r="D186" s="482">
        <v>0</v>
      </c>
      <c r="E186" s="482">
        <v>310512.34600000002</v>
      </c>
      <c r="F186" s="482">
        <v>0</v>
      </c>
      <c r="G186" s="482">
        <v>0</v>
      </c>
      <c r="H186" s="482"/>
      <c r="I186" s="482"/>
      <c r="J186" s="482"/>
      <c r="K186" s="482"/>
      <c r="L186" s="482">
        <v>108</v>
      </c>
      <c r="M186" s="482">
        <v>76</v>
      </c>
      <c r="N186" s="482">
        <f t="shared" si="3"/>
        <v>371923.39922644926</v>
      </c>
      <c r="O186" s="501"/>
    </row>
    <row r="187" spans="1:15">
      <c r="A187" s="486">
        <f t="shared" si="4"/>
        <v>2023</v>
      </c>
      <c r="B187" s="500">
        <v>2</v>
      </c>
      <c r="C187" s="482">
        <v>57733.331248075301</v>
      </c>
      <c r="D187" s="482">
        <v>0</v>
      </c>
      <c r="E187" s="482">
        <v>301532.75</v>
      </c>
      <c r="F187" s="482">
        <v>0</v>
      </c>
      <c r="G187" s="482">
        <v>0</v>
      </c>
      <c r="H187" s="482"/>
      <c r="I187" s="482"/>
      <c r="J187" s="482"/>
      <c r="K187" s="482"/>
      <c r="L187" s="482">
        <v>0</v>
      </c>
      <c r="M187" s="482">
        <v>0</v>
      </c>
      <c r="N187" s="482">
        <f t="shared" si="3"/>
        <v>359266.08124807529</v>
      </c>
      <c r="O187" s="501"/>
    </row>
    <row r="188" spans="1:15">
      <c r="A188" s="486">
        <f t="shared" si="4"/>
        <v>2023</v>
      </c>
      <c r="B188" s="500">
        <v>3</v>
      </c>
      <c r="C188" s="482">
        <v>65974.256562930095</v>
      </c>
      <c r="D188" s="482">
        <v>0</v>
      </c>
      <c r="E188" s="482">
        <v>357848.12300000002</v>
      </c>
      <c r="F188" s="482">
        <v>0</v>
      </c>
      <c r="G188" s="482">
        <v>0</v>
      </c>
      <c r="H188" s="482"/>
      <c r="I188" s="482"/>
      <c r="J188" s="482"/>
      <c r="K188" s="482"/>
      <c r="L188" s="482">
        <v>0</v>
      </c>
      <c r="M188" s="482">
        <v>0</v>
      </c>
      <c r="N188" s="482">
        <f t="shared" si="3"/>
        <v>423822.37956293009</v>
      </c>
      <c r="O188" s="501"/>
    </row>
    <row r="189" spans="1:15">
      <c r="A189" s="486">
        <f t="shared" si="4"/>
        <v>2023</v>
      </c>
      <c r="B189" s="500">
        <v>4</v>
      </c>
      <c r="C189" s="482">
        <v>69269.495617877546</v>
      </c>
      <c r="D189" s="482">
        <v>0</v>
      </c>
      <c r="E189" s="482">
        <v>391380.43800000002</v>
      </c>
      <c r="F189" s="482">
        <v>0</v>
      </c>
      <c r="G189" s="482">
        <v>0</v>
      </c>
      <c r="H189" s="482"/>
      <c r="I189" s="482"/>
      <c r="J189" s="482"/>
      <c r="K189" s="482"/>
      <c r="L189" s="482">
        <v>0</v>
      </c>
      <c r="M189" s="482">
        <v>0</v>
      </c>
      <c r="N189" s="482">
        <f t="shared" si="3"/>
        <v>460649.93361787754</v>
      </c>
      <c r="O189" s="501"/>
    </row>
    <row r="190" spans="1:15">
      <c r="A190" s="486">
        <f t="shared" si="4"/>
        <v>2023</v>
      </c>
      <c r="B190" s="500">
        <v>5</v>
      </c>
      <c r="C190" s="482">
        <v>78394.352396359347</v>
      </c>
      <c r="D190" s="482">
        <v>0</v>
      </c>
      <c r="E190" s="482">
        <v>396682.35700000002</v>
      </c>
      <c r="F190" s="482">
        <v>0</v>
      </c>
      <c r="G190" s="482">
        <v>0</v>
      </c>
      <c r="H190" s="482"/>
      <c r="I190" s="482"/>
      <c r="J190" s="482"/>
      <c r="K190" s="482"/>
      <c r="L190" s="482">
        <v>0</v>
      </c>
      <c r="M190" s="482">
        <v>0</v>
      </c>
      <c r="N190" s="482">
        <f t="shared" si="3"/>
        <v>475076.70939635939</v>
      </c>
      <c r="O190" s="501"/>
    </row>
    <row r="191" spans="1:15">
      <c r="A191" s="486">
        <f t="shared" si="4"/>
        <v>2023</v>
      </c>
      <c r="B191" s="500">
        <v>6</v>
      </c>
      <c r="C191" s="482">
        <v>85317.433393713029</v>
      </c>
      <c r="D191" s="482">
        <v>0</v>
      </c>
      <c r="E191" s="482">
        <v>409683.80099999998</v>
      </c>
      <c r="F191" s="482">
        <v>0</v>
      </c>
      <c r="G191" s="482">
        <v>0</v>
      </c>
      <c r="H191" s="482"/>
      <c r="I191" s="482"/>
      <c r="J191" s="482"/>
      <c r="K191" s="482"/>
      <c r="L191" s="482">
        <v>0</v>
      </c>
      <c r="M191" s="482">
        <v>0</v>
      </c>
      <c r="N191" s="482">
        <f t="shared" si="3"/>
        <v>495001.23439371301</v>
      </c>
      <c r="O191" s="501"/>
    </row>
    <row r="192" spans="1:15">
      <c r="A192" s="486">
        <f t="shared" si="4"/>
        <v>2023</v>
      </c>
      <c r="B192" s="500">
        <v>7</v>
      </c>
      <c r="C192" s="482">
        <v>93297.783768543828</v>
      </c>
      <c r="D192" s="482">
        <v>0</v>
      </c>
      <c r="E192" s="482">
        <v>385486.38699999999</v>
      </c>
      <c r="F192" s="482">
        <v>0</v>
      </c>
      <c r="G192" s="482">
        <v>0</v>
      </c>
      <c r="H192" s="482"/>
      <c r="I192" s="482"/>
      <c r="J192" s="482"/>
      <c r="K192" s="482"/>
      <c r="L192" s="482">
        <v>0</v>
      </c>
      <c r="M192" s="482">
        <v>0</v>
      </c>
      <c r="N192" s="482">
        <f t="shared" si="3"/>
        <v>478784.17076854385</v>
      </c>
      <c r="O192" s="501"/>
    </row>
    <row r="193" spans="1:15">
      <c r="A193" s="486">
        <f t="shared" si="4"/>
        <v>2023</v>
      </c>
      <c r="B193" s="500">
        <v>8</v>
      </c>
      <c r="C193" s="482">
        <v>92500.169095621532</v>
      </c>
      <c r="D193" s="482">
        <v>0</v>
      </c>
      <c r="E193" s="482">
        <v>413515.66399999999</v>
      </c>
      <c r="F193" s="482">
        <v>0</v>
      </c>
      <c r="G193" s="482">
        <v>0</v>
      </c>
      <c r="H193" s="482"/>
      <c r="I193" s="482"/>
      <c r="J193" s="482"/>
      <c r="K193" s="482"/>
      <c r="L193" s="482">
        <v>108</v>
      </c>
      <c r="M193" s="482">
        <v>76</v>
      </c>
      <c r="N193" s="482">
        <f t="shared" si="3"/>
        <v>506199.83309562155</v>
      </c>
      <c r="O193" s="501"/>
    </row>
    <row r="194" spans="1:15">
      <c r="A194" s="486">
        <f t="shared" si="4"/>
        <v>2023</v>
      </c>
      <c r="B194" s="500">
        <v>9</v>
      </c>
      <c r="C194" s="482">
        <v>78700.621202162874</v>
      </c>
      <c r="D194" s="482">
        <v>0</v>
      </c>
      <c r="E194" s="482">
        <v>408178.821</v>
      </c>
      <c r="F194" s="482">
        <v>0</v>
      </c>
      <c r="G194" s="482">
        <v>0</v>
      </c>
      <c r="H194" s="482"/>
      <c r="I194" s="482"/>
      <c r="J194" s="482"/>
      <c r="K194" s="482"/>
      <c r="L194" s="482">
        <v>0</v>
      </c>
      <c r="M194" s="482">
        <v>0</v>
      </c>
      <c r="N194" s="482">
        <f t="shared" si="3"/>
        <v>486879.44220216287</v>
      </c>
      <c r="O194" s="501"/>
    </row>
    <row r="195" spans="1:15">
      <c r="A195" s="486">
        <f t="shared" si="4"/>
        <v>2023</v>
      </c>
      <c r="B195" s="500">
        <v>10</v>
      </c>
      <c r="C195" s="482">
        <v>72767.754256415617</v>
      </c>
      <c r="D195" s="482">
        <v>0</v>
      </c>
      <c r="E195" s="482">
        <v>373232.24800000002</v>
      </c>
      <c r="F195" s="482">
        <v>0</v>
      </c>
      <c r="G195" s="482">
        <v>0</v>
      </c>
      <c r="H195" s="482"/>
      <c r="I195" s="482"/>
      <c r="J195" s="482"/>
      <c r="K195" s="482"/>
      <c r="L195" s="482">
        <v>0</v>
      </c>
      <c r="M195" s="482">
        <v>0</v>
      </c>
      <c r="N195" s="482">
        <f t="shared" si="3"/>
        <v>446000.00225641567</v>
      </c>
      <c r="O195" s="501"/>
    </row>
    <row r="196" spans="1:15">
      <c r="A196" s="486">
        <f t="shared" si="4"/>
        <v>2023</v>
      </c>
      <c r="B196" s="500">
        <v>11</v>
      </c>
      <c r="C196" s="482">
        <v>59885.646063227912</v>
      </c>
      <c r="D196" s="482">
        <v>0</v>
      </c>
      <c r="E196" s="482">
        <v>339748.15399999998</v>
      </c>
      <c r="F196" s="482">
        <v>0</v>
      </c>
      <c r="G196" s="482">
        <v>0</v>
      </c>
      <c r="H196" s="482"/>
      <c r="I196" s="482"/>
      <c r="J196" s="482"/>
      <c r="K196" s="482"/>
      <c r="L196" s="482">
        <v>0</v>
      </c>
      <c r="M196" s="482">
        <v>0</v>
      </c>
      <c r="N196" s="482">
        <f t="shared" si="3"/>
        <v>399633.80006322789</v>
      </c>
      <c r="O196" s="501"/>
    </row>
    <row r="197" spans="1:15">
      <c r="A197" s="486">
        <f t="shared" si="4"/>
        <v>2023</v>
      </c>
      <c r="B197" s="500">
        <v>12</v>
      </c>
      <c r="C197" s="482">
        <v>61791.814880623009</v>
      </c>
      <c r="D197" s="482">
        <v>0</v>
      </c>
      <c r="E197" s="482">
        <v>318230.30900000001</v>
      </c>
      <c r="F197" s="482">
        <v>0</v>
      </c>
      <c r="G197" s="482">
        <v>0</v>
      </c>
      <c r="H197" s="482"/>
      <c r="I197" s="482"/>
      <c r="J197" s="482"/>
      <c r="K197" s="482"/>
      <c r="L197" s="482">
        <v>0</v>
      </c>
      <c r="M197" s="482">
        <v>0</v>
      </c>
      <c r="N197" s="482">
        <f t="shared" si="3"/>
        <v>380022.12388062302</v>
      </c>
      <c r="O197" s="501"/>
    </row>
    <row r="198" spans="1:15">
      <c r="A198" s="486">
        <f t="shared" si="4"/>
        <v>2024</v>
      </c>
      <c r="B198" s="500">
        <v>1</v>
      </c>
      <c r="C198" s="482">
        <v>61979.806917786111</v>
      </c>
      <c r="D198" s="482">
        <v>0</v>
      </c>
      <c r="E198" s="482">
        <v>315170.03100000002</v>
      </c>
      <c r="F198" s="482">
        <v>0</v>
      </c>
      <c r="G198" s="482">
        <v>0</v>
      </c>
      <c r="H198" s="482"/>
      <c r="I198" s="482"/>
      <c r="J198" s="482"/>
      <c r="K198" s="482"/>
      <c r="L198" s="482">
        <v>108</v>
      </c>
      <c r="M198" s="482"/>
      <c r="N198" s="482">
        <f t="shared" si="3"/>
        <v>377257.83791778615</v>
      </c>
      <c r="O198" s="501"/>
    </row>
    <row r="199" spans="1:15">
      <c r="A199" s="486">
        <f t="shared" si="4"/>
        <v>2024</v>
      </c>
      <c r="B199" s="500">
        <v>2</v>
      </c>
      <c r="C199" s="482">
        <v>58443.131506621634</v>
      </c>
      <c r="D199" s="482">
        <v>0</v>
      </c>
      <c r="E199" s="482">
        <v>306055.74200000003</v>
      </c>
      <c r="F199" s="482">
        <v>0</v>
      </c>
      <c r="G199" s="482">
        <v>0</v>
      </c>
      <c r="H199" s="482"/>
      <c r="I199" s="482"/>
      <c r="J199" s="482"/>
      <c r="K199" s="482"/>
      <c r="L199" s="482">
        <v>0</v>
      </c>
      <c r="M199" s="482"/>
      <c r="N199" s="482">
        <f t="shared" ref="N199:N262" si="5">SUM(C199:M199)</f>
        <v>364498.87350662169</v>
      </c>
      <c r="O199" s="501"/>
    </row>
    <row r="200" spans="1:15">
      <c r="A200" s="486">
        <f t="shared" si="4"/>
        <v>2024</v>
      </c>
      <c r="B200" s="500">
        <v>3</v>
      </c>
      <c r="C200" s="482">
        <v>66785.374566229628</v>
      </c>
      <c r="D200" s="482">
        <v>0</v>
      </c>
      <c r="E200" s="482">
        <v>363215.84600000002</v>
      </c>
      <c r="F200" s="482">
        <v>0</v>
      </c>
      <c r="G200" s="482">
        <v>0</v>
      </c>
      <c r="H200" s="482"/>
      <c r="I200" s="482"/>
      <c r="J200" s="482"/>
      <c r="K200" s="482"/>
      <c r="L200" s="482">
        <v>0</v>
      </c>
      <c r="M200" s="482"/>
      <c r="N200" s="482">
        <f t="shared" si="5"/>
        <v>430001.22056622966</v>
      </c>
      <c r="O200" s="501"/>
    </row>
    <row r="201" spans="1:15">
      <c r="A201" s="486">
        <f t="shared" si="4"/>
        <v>2024</v>
      </c>
      <c r="B201" s="500">
        <v>4</v>
      </c>
      <c r="C201" s="482">
        <v>70121.126813168798</v>
      </c>
      <c r="D201" s="482">
        <v>0</v>
      </c>
      <c r="E201" s="482">
        <v>397251.14399999997</v>
      </c>
      <c r="F201" s="482">
        <v>0</v>
      </c>
      <c r="G201" s="482">
        <v>0</v>
      </c>
      <c r="H201" s="482"/>
      <c r="I201" s="482"/>
      <c r="J201" s="482"/>
      <c r="K201" s="482"/>
      <c r="L201" s="482">
        <v>0</v>
      </c>
      <c r="M201" s="482"/>
      <c r="N201" s="482">
        <f t="shared" si="5"/>
        <v>467372.27081316878</v>
      </c>
      <c r="O201" s="501"/>
    </row>
    <row r="202" spans="1:15">
      <c r="A202" s="486">
        <f t="shared" si="4"/>
        <v>2024</v>
      </c>
      <c r="B202" s="500">
        <v>5</v>
      </c>
      <c r="C202" s="482">
        <v>79358.168798368264</v>
      </c>
      <c r="D202" s="482">
        <v>0</v>
      </c>
      <c r="E202" s="482">
        <v>402632.59299999999</v>
      </c>
      <c r="F202" s="482">
        <v>0</v>
      </c>
      <c r="G202" s="482">
        <v>0</v>
      </c>
      <c r="H202" s="482"/>
      <c r="I202" s="482"/>
      <c r="J202" s="482"/>
      <c r="K202" s="482"/>
      <c r="L202" s="482">
        <v>0</v>
      </c>
      <c r="M202" s="482"/>
      <c r="N202" s="482">
        <f t="shared" si="5"/>
        <v>481990.76179836824</v>
      </c>
      <c r="O202" s="501"/>
    </row>
    <row r="203" spans="1:15">
      <c r="A203" s="486">
        <f t="shared" si="4"/>
        <v>2024</v>
      </c>
      <c r="B203" s="500">
        <v>6</v>
      </c>
      <c r="C203" s="482">
        <v>86366.365353331857</v>
      </c>
      <c r="D203" s="482">
        <v>0</v>
      </c>
      <c r="E203" s="482">
        <v>415829.05699999997</v>
      </c>
      <c r="F203" s="482">
        <v>0</v>
      </c>
      <c r="G203" s="482">
        <v>0</v>
      </c>
      <c r="H203" s="482"/>
      <c r="I203" s="482"/>
      <c r="J203" s="482"/>
      <c r="K203" s="482"/>
      <c r="L203" s="482">
        <v>0</v>
      </c>
      <c r="M203" s="482"/>
      <c r="N203" s="482">
        <f t="shared" si="5"/>
        <v>502195.42235333181</v>
      </c>
      <c r="O203" s="501"/>
    </row>
    <row r="204" spans="1:15">
      <c r="A204" s="486">
        <f t="shared" si="4"/>
        <v>2024</v>
      </c>
      <c r="B204" s="500">
        <v>7</v>
      </c>
      <c r="C204" s="482">
        <v>94444.829844166205</v>
      </c>
      <c r="D204" s="482">
        <v>0</v>
      </c>
      <c r="E204" s="482">
        <v>391268.68199999997</v>
      </c>
      <c r="F204" s="482">
        <v>0</v>
      </c>
      <c r="G204" s="482">
        <v>0</v>
      </c>
      <c r="H204" s="482"/>
      <c r="I204" s="482"/>
      <c r="J204" s="482"/>
      <c r="K204" s="482"/>
      <c r="L204" s="482">
        <v>0</v>
      </c>
      <c r="M204" s="482"/>
      <c r="N204" s="482">
        <f t="shared" si="5"/>
        <v>485713.51184416621</v>
      </c>
      <c r="O204" s="501"/>
    </row>
    <row r="205" spans="1:15">
      <c r="A205" s="486">
        <f t="shared" si="4"/>
        <v>2024</v>
      </c>
      <c r="B205" s="500">
        <v>8</v>
      </c>
      <c r="C205" s="482">
        <v>93637.40892779977</v>
      </c>
      <c r="D205" s="482">
        <v>0</v>
      </c>
      <c r="E205" s="482">
        <v>419718.39799999999</v>
      </c>
      <c r="F205" s="482">
        <v>0</v>
      </c>
      <c r="G205" s="482">
        <v>0</v>
      </c>
      <c r="H205" s="482"/>
      <c r="I205" s="482"/>
      <c r="J205" s="482"/>
      <c r="K205" s="482"/>
      <c r="L205" s="482">
        <v>108</v>
      </c>
      <c r="M205" s="482"/>
      <c r="N205" s="482">
        <f t="shared" si="5"/>
        <v>513463.80692779977</v>
      </c>
      <c r="O205" s="501"/>
    </row>
    <row r="206" spans="1:15">
      <c r="A206" s="486">
        <f t="shared" si="4"/>
        <v>2024</v>
      </c>
      <c r="B206" s="500">
        <v>9</v>
      </c>
      <c r="C206" s="482">
        <v>79668.203014426908</v>
      </c>
      <c r="D206" s="482">
        <v>0</v>
      </c>
      <c r="E206" s="482">
        <v>414301.50300000003</v>
      </c>
      <c r="F206" s="482">
        <v>0</v>
      </c>
      <c r="G206" s="482">
        <v>0</v>
      </c>
      <c r="H206" s="482"/>
      <c r="I206" s="482"/>
      <c r="J206" s="482"/>
      <c r="K206" s="482"/>
      <c r="L206" s="482">
        <v>0</v>
      </c>
      <c r="M206" s="482"/>
      <c r="N206" s="482">
        <f t="shared" si="5"/>
        <v>493969.70601442695</v>
      </c>
      <c r="O206" s="501"/>
    </row>
    <row r="207" spans="1:15">
      <c r="A207" s="486">
        <f t="shared" si="4"/>
        <v>2024</v>
      </c>
      <c r="B207" s="500">
        <v>10</v>
      </c>
      <c r="C207" s="482">
        <v>73662.394660294289</v>
      </c>
      <c r="D207" s="482">
        <v>0</v>
      </c>
      <c r="E207" s="482">
        <v>378830.73100000003</v>
      </c>
      <c r="F207" s="482">
        <v>0</v>
      </c>
      <c r="G207" s="482">
        <v>0</v>
      </c>
      <c r="H207" s="482"/>
      <c r="I207" s="482"/>
      <c r="J207" s="482"/>
      <c r="K207" s="482"/>
      <c r="L207" s="482">
        <v>0</v>
      </c>
      <c r="M207" s="482"/>
      <c r="N207" s="482">
        <f t="shared" si="5"/>
        <v>452493.12566029432</v>
      </c>
      <c r="O207" s="501"/>
    </row>
    <row r="208" spans="1:15">
      <c r="A208" s="486">
        <f t="shared" si="4"/>
        <v>2024</v>
      </c>
      <c r="B208" s="500">
        <v>11</v>
      </c>
      <c r="C208" s="482">
        <v>60621.907874905555</v>
      </c>
      <c r="D208" s="482">
        <v>0</v>
      </c>
      <c r="E208" s="482">
        <v>344844.37699999998</v>
      </c>
      <c r="F208" s="482">
        <v>0</v>
      </c>
      <c r="G208" s="482">
        <v>0</v>
      </c>
      <c r="H208" s="482"/>
      <c r="I208" s="482"/>
      <c r="J208" s="482"/>
      <c r="K208" s="482"/>
      <c r="L208" s="482">
        <v>0</v>
      </c>
      <c r="M208" s="482"/>
      <c r="N208" s="482">
        <f t="shared" si="5"/>
        <v>405466.28487490554</v>
      </c>
      <c r="O208" s="501"/>
    </row>
    <row r="209" spans="1:15">
      <c r="A209" s="486">
        <f t="shared" si="4"/>
        <v>2024</v>
      </c>
      <c r="B209" s="500">
        <v>12</v>
      </c>
      <c r="C209" s="482">
        <v>62551.512012767547</v>
      </c>
      <c r="D209" s="482">
        <v>0</v>
      </c>
      <c r="E209" s="482">
        <v>323003.76299999998</v>
      </c>
      <c r="F209" s="482">
        <v>0</v>
      </c>
      <c r="G209" s="482">
        <v>0</v>
      </c>
      <c r="H209" s="482"/>
      <c r="I209" s="482"/>
      <c r="J209" s="482"/>
      <c r="K209" s="482"/>
      <c r="L209" s="482">
        <v>0</v>
      </c>
      <c r="M209" s="482"/>
      <c r="N209" s="482">
        <f t="shared" si="5"/>
        <v>385555.27501276752</v>
      </c>
      <c r="O209" s="501"/>
    </row>
    <row r="210" spans="1:15">
      <c r="A210" s="486">
        <f t="shared" si="4"/>
        <v>2025</v>
      </c>
      <c r="B210" s="500">
        <v>1</v>
      </c>
      <c r="C210" s="482">
        <v>62741.815310924918</v>
      </c>
      <c r="D210" s="482">
        <v>0</v>
      </c>
      <c r="E210" s="482">
        <v>319897.58100000001</v>
      </c>
      <c r="F210" s="482">
        <v>0</v>
      </c>
      <c r="G210" s="482">
        <v>0</v>
      </c>
      <c r="H210" s="482"/>
      <c r="I210" s="482"/>
      <c r="J210" s="482"/>
      <c r="K210" s="482"/>
      <c r="L210" s="482"/>
      <c r="M210" s="482"/>
      <c r="N210" s="482">
        <f t="shared" si="5"/>
        <v>382639.3963109249</v>
      </c>
      <c r="O210" s="501"/>
    </row>
    <row r="211" spans="1:15">
      <c r="A211" s="486">
        <f t="shared" si="4"/>
        <v>2025</v>
      </c>
      <c r="B211" s="500">
        <v>2</v>
      </c>
      <c r="C211" s="482">
        <v>59161.658377614207</v>
      </c>
      <c r="D211" s="482">
        <v>0</v>
      </c>
      <c r="E211" s="482">
        <v>310646.57699999999</v>
      </c>
      <c r="F211" s="482">
        <v>0</v>
      </c>
      <c r="G211" s="482">
        <v>0</v>
      </c>
      <c r="H211" s="482"/>
      <c r="I211" s="482"/>
      <c r="J211" s="482"/>
      <c r="K211" s="482"/>
      <c r="L211" s="482"/>
      <c r="M211" s="482"/>
      <c r="N211" s="482">
        <f t="shared" si="5"/>
        <v>369808.23537761421</v>
      </c>
      <c r="O211" s="501"/>
    </row>
    <row r="212" spans="1:15">
      <c r="A212" s="486">
        <f t="shared" si="4"/>
        <v>2025</v>
      </c>
      <c r="B212" s="500">
        <v>3</v>
      </c>
      <c r="C212" s="482">
        <v>67606.464829158183</v>
      </c>
      <c r="D212" s="482">
        <v>0</v>
      </c>
      <c r="E212" s="482">
        <v>368664.08299999998</v>
      </c>
      <c r="F212" s="482">
        <v>0</v>
      </c>
      <c r="G212" s="482">
        <v>0</v>
      </c>
      <c r="H212" s="482"/>
      <c r="I212" s="482"/>
      <c r="J212" s="482"/>
      <c r="K212" s="482"/>
      <c r="L212" s="482"/>
      <c r="M212" s="482"/>
      <c r="N212" s="482">
        <f t="shared" si="5"/>
        <v>436270.54782915814</v>
      </c>
      <c r="O212" s="501"/>
    </row>
    <row r="213" spans="1:15">
      <c r="A213" s="486">
        <f t="shared" si="4"/>
        <v>2025</v>
      </c>
      <c r="B213" s="500">
        <v>4</v>
      </c>
      <c r="C213" s="482">
        <v>70983.228355996456</v>
      </c>
      <c r="D213" s="482">
        <v>0</v>
      </c>
      <c r="E213" s="482">
        <v>403209.91200000001</v>
      </c>
      <c r="F213" s="482">
        <v>0</v>
      </c>
      <c r="G213" s="482">
        <v>0</v>
      </c>
      <c r="H213" s="482"/>
      <c r="I213" s="482"/>
      <c r="J213" s="482"/>
      <c r="K213" s="482"/>
      <c r="L213" s="482"/>
      <c r="M213" s="482"/>
      <c r="N213" s="482">
        <f t="shared" si="5"/>
        <v>474193.14035599644</v>
      </c>
      <c r="O213" s="501"/>
    </row>
    <row r="214" spans="1:15">
      <c r="A214" s="486">
        <f t="shared" si="4"/>
        <v>2025</v>
      </c>
      <c r="B214" s="500">
        <v>5</v>
      </c>
      <c r="C214" s="482">
        <v>80333.834804696686</v>
      </c>
      <c r="D214" s="482">
        <v>0</v>
      </c>
      <c r="E214" s="482">
        <v>408672.08100000001</v>
      </c>
      <c r="F214" s="482">
        <v>0</v>
      </c>
      <c r="G214" s="482">
        <v>0</v>
      </c>
      <c r="H214" s="482"/>
      <c r="I214" s="482"/>
      <c r="J214" s="482"/>
      <c r="K214" s="482"/>
      <c r="L214" s="482"/>
      <c r="M214" s="482"/>
      <c r="N214" s="482">
        <f t="shared" si="5"/>
        <v>489005.91580469668</v>
      </c>
      <c r="O214" s="501"/>
    </row>
    <row r="215" spans="1:15">
      <c r="A215" s="486">
        <f t="shared" si="4"/>
        <v>2025</v>
      </c>
      <c r="B215" s="500">
        <v>6</v>
      </c>
      <c r="C215" s="482">
        <v>87428.193367275642</v>
      </c>
      <c r="D215" s="482">
        <v>0</v>
      </c>
      <c r="E215" s="482">
        <v>422066.49300000002</v>
      </c>
      <c r="F215" s="482">
        <v>0</v>
      </c>
      <c r="G215" s="482">
        <v>0</v>
      </c>
      <c r="H215" s="482"/>
      <c r="I215" s="482"/>
      <c r="J215" s="482"/>
      <c r="K215" s="482"/>
      <c r="L215" s="482"/>
      <c r="M215" s="482"/>
      <c r="N215" s="482">
        <f t="shared" si="5"/>
        <v>509494.68636727566</v>
      </c>
      <c r="O215" s="501"/>
    </row>
    <row r="216" spans="1:15">
      <c r="A216" s="486">
        <f t="shared" si="4"/>
        <v>2025</v>
      </c>
      <c r="B216" s="500">
        <v>7</v>
      </c>
      <c r="C216" s="482">
        <v>95605.978234403738</v>
      </c>
      <c r="D216" s="482">
        <v>0</v>
      </c>
      <c r="E216" s="482">
        <v>397137.712</v>
      </c>
      <c r="F216" s="482">
        <v>0</v>
      </c>
      <c r="G216" s="482">
        <v>0</v>
      </c>
      <c r="H216" s="482"/>
      <c r="I216" s="482"/>
      <c r="J216" s="482"/>
      <c r="K216" s="482"/>
      <c r="L216" s="482"/>
      <c r="M216" s="482"/>
      <c r="N216" s="482">
        <f t="shared" si="5"/>
        <v>492743.69023440371</v>
      </c>
      <c r="O216" s="501"/>
    </row>
    <row r="217" spans="1:15">
      <c r="A217" s="486">
        <f t="shared" si="4"/>
        <v>2025</v>
      </c>
      <c r="B217" s="500">
        <v>8</v>
      </c>
      <c r="C217" s="482">
        <v>94788.630512103846</v>
      </c>
      <c r="D217" s="482">
        <v>0</v>
      </c>
      <c r="E217" s="482">
        <v>426014.17499999999</v>
      </c>
      <c r="F217" s="482">
        <v>0</v>
      </c>
      <c r="G217" s="482">
        <v>0</v>
      </c>
      <c r="H217" s="482"/>
      <c r="I217" s="482"/>
      <c r="J217" s="482"/>
      <c r="K217" s="482"/>
      <c r="L217" s="482"/>
      <c r="M217" s="482"/>
      <c r="N217" s="482">
        <f t="shared" si="5"/>
        <v>520802.80551210383</v>
      </c>
      <c r="O217" s="501"/>
    </row>
    <row r="218" spans="1:15">
      <c r="A218" s="486">
        <f t="shared" si="4"/>
        <v>2025</v>
      </c>
      <c r="B218" s="500">
        <v>9</v>
      </c>
      <c r="C218" s="482">
        <v>80647.680724704493</v>
      </c>
      <c r="D218" s="482">
        <v>0</v>
      </c>
      <c r="E218" s="482">
        <v>420516.02600000001</v>
      </c>
      <c r="F218" s="482">
        <v>0</v>
      </c>
      <c r="G218" s="482">
        <v>0</v>
      </c>
      <c r="H218" s="482"/>
      <c r="I218" s="482"/>
      <c r="J218" s="482"/>
      <c r="K218" s="482"/>
      <c r="L218" s="482"/>
      <c r="M218" s="482"/>
      <c r="N218" s="482">
        <f t="shared" si="5"/>
        <v>501163.70672470448</v>
      </c>
      <c r="O218" s="501"/>
    </row>
    <row r="219" spans="1:15">
      <c r="A219" s="486">
        <f t="shared" ref="A219:A245" si="6">+A207+1</f>
        <v>2025</v>
      </c>
      <c r="B219" s="500">
        <v>10</v>
      </c>
      <c r="C219" s="482">
        <v>74568.034186798526</v>
      </c>
      <c r="D219" s="482">
        <v>0</v>
      </c>
      <c r="E219" s="482">
        <v>384513.19199999998</v>
      </c>
      <c r="F219" s="482">
        <v>0</v>
      </c>
      <c r="G219" s="482">
        <v>0</v>
      </c>
      <c r="H219" s="482"/>
      <c r="I219" s="482"/>
      <c r="J219" s="482"/>
      <c r="K219" s="482"/>
      <c r="L219" s="482"/>
      <c r="M219" s="482"/>
      <c r="N219" s="482">
        <f t="shared" si="5"/>
        <v>459081.22618679854</v>
      </c>
      <c r="O219" s="501"/>
    </row>
    <row r="220" spans="1:15">
      <c r="A220" s="486">
        <f t="shared" si="6"/>
        <v>2025</v>
      </c>
      <c r="B220" s="500">
        <v>11</v>
      </c>
      <c r="C220" s="482">
        <v>61367.221629594089</v>
      </c>
      <c r="D220" s="482">
        <v>0</v>
      </c>
      <c r="E220" s="482">
        <v>350017.04200000002</v>
      </c>
      <c r="F220" s="482">
        <v>0</v>
      </c>
      <c r="G220" s="482">
        <v>0</v>
      </c>
      <c r="H220" s="482"/>
      <c r="I220" s="482"/>
      <c r="J220" s="482"/>
      <c r="K220" s="482"/>
      <c r="L220" s="482"/>
      <c r="M220" s="482"/>
      <c r="N220" s="482">
        <f t="shared" si="5"/>
        <v>411384.26362959412</v>
      </c>
      <c r="O220" s="501"/>
    </row>
    <row r="221" spans="1:15">
      <c r="A221" s="486">
        <f t="shared" si="6"/>
        <v>2025</v>
      </c>
      <c r="B221" s="500">
        <v>12</v>
      </c>
      <c r="C221" s="482">
        <v>63320.549212584534</v>
      </c>
      <c r="D221" s="482">
        <v>0</v>
      </c>
      <c r="E221" s="482">
        <v>327848.821</v>
      </c>
      <c r="F221" s="482">
        <v>0</v>
      </c>
      <c r="G221" s="482">
        <v>0</v>
      </c>
      <c r="H221" s="482"/>
      <c r="I221" s="482"/>
      <c r="J221" s="482"/>
      <c r="K221" s="482"/>
      <c r="L221" s="482"/>
      <c r="M221" s="482"/>
      <c r="N221" s="482">
        <f t="shared" si="5"/>
        <v>391169.3702125845</v>
      </c>
      <c r="O221" s="501"/>
    </row>
    <row r="222" spans="1:15">
      <c r="A222" s="486">
        <f t="shared" si="6"/>
        <v>2026</v>
      </c>
      <c r="B222" s="500">
        <v>1</v>
      </c>
      <c r="C222" s="482">
        <v>63513.192187447101</v>
      </c>
      <c r="D222" s="482">
        <v>0</v>
      </c>
      <c r="E222" s="482">
        <v>324696.04471795494</v>
      </c>
      <c r="F222" s="482">
        <v>0</v>
      </c>
      <c r="G222" s="482">
        <v>0</v>
      </c>
      <c r="H222" s="482"/>
      <c r="I222" s="482"/>
      <c r="J222" s="482"/>
      <c r="K222" s="482"/>
      <c r="L222" s="482"/>
      <c r="M222" s="482"/>
      <c r="N222" s="482">
        <f t="shared" si="5"/>
        <v>388209.23690540204</v>
      </c>
      <c r="O222" s="501"/>
    </row>
    <row r="223" spans="1:15">
      <c r="A223" s="486">
        <f t="shared" si="6"/>
        <v>2026</v>
      </c>
      <c r="B223" s="500">
        <v>2</v>
      </c>
      <c r="C223" s="482">
        <v>59889.019150059852</v>
      </c>
      <c r="D223" s="482">
        <v>0</v>
      </c>
      <c r="E223" s="482">
        <v>315306.27565786947</v>
      </c>
      <c r="F223" s="482">
        <v>0</v>
      </c>
      <c r="G223" s="482">
        <v>0</v>
      </c>
      <c r="H223" s="482"/>
      <c r="I223" s="482"/>
      <c r="J223" s="482"/>
      <c r="K223" s="482"/>
      <c r="L223" s="482"/>
      <c r="M223" s="482"/>
      <c r="N223" s="482">
        <f t="shared" si="5"/>
        <v>375195.29480792931</v>
      </c>
      <c r="O223" s="501"/>
    </row>
    <row r="224" spans="1:15">
      <c r="A224" s="486">
        <f t="shared" si="6"/>
        <v>2026</v>
      </c>
      <c r="B224" s="500">
        <v>3</v>
      </c>
      <c r="C224" s="482">
        <v>68437.649955284782</v>
      </c>
      <c r="D224" s="482">
        <v>0</v>
      </c>
      <c r="E224" s="482">
        <v>374194.04424840538</v>
      </c>
      <c r="F224" s="482">
        <v>0</v>
      </c>
      <c r="G224" s="482">
        <v>0</v>
      </c>
      <c r="H224" s="482"/>
      <c r="I224" s="482"/>
      <c r="J224" s="482"/>
      <c r="K224" s="482"/>
      <c r="L224" s="482"/>
      <c r="M224" s="482"/>
      <c r="N224" s="482">
        <f t="shared" si="5"/>
        <v>442631.69420369016</v>
      </c>
      <c r="O224" s="501"/>
    </row>
    <row r="225" spans="1:15">
      <c r="A225" s="486">
        <f t="shared" si="6"/>
        <v>2026</v>
      </c>
      <c r="B225" s="500">
        <v>4</v>
      </c>
      <c r="C225" s="482">
        <v>71855.928973652539</v>
      </c>
      <c r="D225" s="482">
        <v>0</v>
      </c>
      <c r="E225" s="482">
        <v>409258.06068372453</v>
      </c>
      <c r="F225" s="482">
        <v>0</v>
      </c>
      <c r="G225" s="482">
        <v>0</v>
      </c>
      <c r="H225" s="482"/>
      <c r="I225" s="482"/>
      <c r="J225" s="482"/>
      <c r="K225" s="482"/>
      <c r="L225" s="482"/>
      <c r="M225" s="482"/>
      <c r="N225" s="482">
        <f t="shared" si="5"/>
        <v>481113.98965737707</v>
      </c>
      <c r="O225" s="501"/>
    </row>
    <row r="226" spans="1:15">
      <c r="A226" s="486">
        <f t="shared" si="6"/>
        <v>2026</v>
      </c>
      <c r="B226" s="500">
        <v>5</v>
      </c>
      <c r="C226" s="482">
        <v>81321.496099856988</v>
      </c>
      <c r="D226" s="482">
        <v>0</v>
      </c>
      <c r="E226" s="482">
        <v>414802.16221877496</v>
      </c>
      <c r="F226" s="482">
        <v>0</v>
      </c>
      <c r="G226" s="482">
        <v>0</v>
      </c>
      <c r="H226" s="482"/>
      <c r="I226" s="482"/>
      <c r="J226" s="482"/>
      <c r="K226" s="482"/>
      <c r="L226" s="482"/>
      <c r="M226" s="482"/>
      <c r="N226" s="482">
        <f t="shared" si="5"/>
        <v>496123.65831863193</v>
      </c>
      <c r="O226" s="501"/>
    </row>
    <row r="227" spans="1:15">
      <c r="A227" s="486">
        <f t="shared" si="6"/>
        <v>2026</v>
      </c>
      <c r="B227" s="500">
        <v>6</v>
      </c>
      <c r="C227" s="482">
        <v>88503.075985596748</v>
      </c>
      <c r="D227" s="482">
        <v>0</v>
      </c>
      <c r="E227" s="482">
        <v>428397.49039889872</v>
      </c>
      <c r="F227" s="482">
        <v>0</v>
      </c>
      <c r="G227" s="482">
        <v>0</v>
      </c>
      <c r="H227" s="482"/>
      <c r="I227" s="482"/>
      <c r="J227" s="482"/>
      <c r="K227" s="482"/>
      <c r="L227" s="482"/>
      <c r="M227" s="482"/>
      <c r="N227" s="482">
        <f t="shared" si="5"/>
        <v>516900.56638449547</v>
      </c>
      <c r="O227" s="501"/>
    </row>
    <row r="228" spans="1:15">
      <c r="A228" s="486">
        <f t="shared" si="6"/>
        <v>2026</v>
      </c>
      <c r="B228" s="500">
        <v>7</v>
      </c>
      <c r="C228" s="482">
        <v>96781.402319630361</v>
      </c>
      <c r="D228" s="482">
        <v>0</v>
      </c>
      <c r="E228" s="482">
        <v>403094.77768366842</v>
      </c>
      <c r="F228" s="482">
        <v>0</v>
      </c>
      <c r="G228" s="482">
        <v>0</v>
      </c>
      <c r="H228" s="482"/>
      <c r="I228" s="482"/>
      <c r="J228" s="482"/>
      <c r="K228" s="482"/>
      <c r="L228" s="482"/>
      <c r="M228" s="482"/>
      <c r="N228" s="482">
        <f t="shared" si="5"/>
        <v>499876.1800032988</v>
      </c>
      <c r="O228" s="501"/>
    </row>
    <row r="229" spans="1:15">
      <c r="A229" s="486">
        <f t="shared" si="6"/>
        <v>2026</v>
      </c>
      <c r="B229" s="500">
        <v>8</v>
      </c>
      <c r="C229" s="482">
        <v>95954.005746656709</v>
      </c>
      <c r="D229" s="482">
        <v>0</v>
      </c>
      <c r="E229" s="482">
        <v>432404.38762893516</v>
      </c>
      <c r="F229" s="482">
        <v>0</v>
      </c>
      <c r="G229" s="482">
        <v>0</v>
      </c>
      <c r="H229" s="482"/>
      <c r="I229" s="482"/>
      <c r="J229" s="482"/>
      <c r="K229" s="482"/>
      <c r="L229" s="482"/>
      <c r="M229" s="482"/>
      <c r="N229" s="482">
        <f t="shared" si="5"/>
        <v>528358.39337559184</v>
      </c>
      <c r="O229" s="501"/>
    </row>
    <row r="230" spans="1:15">
      <c r="A230" s="486">
        <f t="shared" si="6"/>
        <v>2026</v>
      </c>
      <c r="B230" s="500">
        <v>9</v>
      </c>
      <c r="C230" s="482">
        <v>81639.200586664054</v>
      </c>
      <c r="D230" s="482">
        <v>0</v>
      </c>
      <c r="E230" s="482">
        <v>426823.76639388438</v>
      </c>
      <c r="F230" s="482">
        <v>0</v>
      </c>
      <c r="G230" s="482">
        <v>0</v>
      </c>
      <c r="H230" s="482"/>
      <c r="I230" s="482"/>
      <c r="J230" s="482"/>
      <c r="K230" s="482"/>
      <c r="L230" s="482"/>
      <c r="M230" s="482"/>
      <c r="N230" s="482">
        <f t="shared" si="5"/>
        <v>508462.96698054846</v>
      </c>
      <c r="O230" s="501"/>
    </row>
    <row r="231" spans="1:15">
      <c r="A231" s="486">
        <f t="shared" si="6"/>
        <v>2026</v>
      </c>
      <c r="B231" s="500">
        <v>10</v>
      </c>
      <c r="C231" s="482">
        <v>75484.808064225639</v>
      </c>
      <c r="D231" s="482">
        <v>0</v>
      </c>
      <c r="E231" s="482">
        <v>390280.8898835518</v>
      </c>
      <c r="F231" s="482">
        <v>0</v>
      </c>
      <c r="G231" s="482">
        <v>0</v>
      </c>
      <c r="H231" s="482"/>
      <c r="I231" s="482"/>
      <c r="J231" s="482"/>
      <c r="K231" s="482"/>
      <c r="L231" s="482"/>
      <c r="M231" s="482"/>
      <c r="N231" s="482">
        <f t="shared" si="5"/>
        <v>465765.69794777746</v>
      </c>
      <c r="O231" s="501"/>
    </row>
    <row r="232" spans="1:15">
      <c r="A232" s="486">
        <f t="shared" si="6"/>
        <v>2026</v>
      </c>
      <c r="B232" s="500">
        <v>11</v>
      </c>
      <c r="C232" s="482">
        <v>62121.69861606467</v>
      </c>
      <c r="D232" s="482">
        <v>0</v>
      </c>
      <c r="E232" s="482">
        <v>355267.29763323319</v>
      </c>
      <c r="F232" s="482">
        <v>0</v>
      </c>
      <c r="G232" s="482">
        <v>0</v>
      </c>
      <c r="H232" s="482"/>
      <c r="I232" s="482"/>
      <c r="J232" s="482"/>
      <c r="K232" s="482"/>
      <c r="L232" s="482"/>
      <c r="M232" s="482"/>
      <c r="N232" s="482">
        <f t="shared" si="5"/>
        <v>417388.99624929787</v>
      </c>
      <c r="O232" s="501"/>
    </row>
    <row r="233" spans="1:15">
      <c r="A233" s="486">
        <f t="shared" si="6"/>
        <v>2026</v>
      </c>
      <c r="B233" s="500">
        <v>12</v>
      </c>
      <c r="C233" s="482">
        <v>64099.041311182889</v>
      </c>
      <c r="D233" s="482">
        <v>0</v>
      </c>
      <c r="E233" s="482">
        <v>332766.5533180284</v>
      </c>
      <c r="F233" s="482">
        <v>0</v>
      </c>
      <c r="G233" s="482">
        <v>0</v>
      </c>
      <c r="H233" s="482"/>
      <c r="I233" s="482"/>
      <c r="J233" s="482"/>
      <c r="K233" s="482"/>
      <c r="L233" s="482"/>
      <c r="M233" s="482"/>
      <c r="N233" s="482">
        <f t="shared" si="5"/>
        <v>396865.59462921129</v>
      </c>
      <c r="O233" s="501"/>
    </row>
    <row r="234" spans="1:15">
      <c r="A234" s="486">
        <f t="shared" si="6"/>
        <v>2027</v>
      </c>
      <c r="B234" s="500">
        <v>1</v>
      </c>
      <c r="C234" s="482">
        <v>64294.052727817463</v>
      </c>
      <c r="D234" s="482">
        <v>0</v>
      </c>
      <c r="E234" s="482">
        <v>329566.48539172352</v>
      </c>
      <c r="F234" s="482">
        <v>0</v>
      </c>
      <c r="G234" s="482">
        <v>0</v>
      </c>
      <c r="H234" s="482"/>
      <c r="I234" s="482"/>
      <c r="J234" s="482"/>
      <c r="K234" s="482"/>
      <c r="L234" s="482"/>
      <c r="M234" s="482"/>
      <c r="N234" s="482">
        <f t="shared" si="5"/>
        <v>393860.53811954096</v>
      </c>
      <c r="O234" s="501"/>
    </row>
    <row r="235" spans="1:15">
      <c r="A235" s="486">
        <f t="shared" si="6"/>
        <v>2027</v>
      </c>
      <c r="B235" s="500">
        <v>2</v>
      </c>
      <c r="C235" s="482">
        <v>60625.322432026034</v>
      </c>
      <c r="D235" s="482">
        <v>0</v>
      </c>
      <c r="E235" s="482">
        <v>320035.86979565007</v>
      </c>
      <c r="F235" s="482">
        <v>0</v>
      </c>
      <c r="G235" s="482">
        <v>0</v>
      </c>
      <c r="H235" s="482"/>
      <c r="I235" s="482"/>
      <c r="J235" s="482"/>
      <c r="K235" s="482"/>
      <c r="L235" s="482"/>
      <c r="M235" s="482"/>
      <c r="N235" s="482">
        <f t="shared" si="5"/>
        <v>380661.1922276761</v>
      </c>
      <c r="O235" s="501"/>
    </row>
    <row r="236" spans="1:15">
      <c r="A236" s="486">
        <f t="shared" si="6"/>
        <v>2027</v>
      </c>
      <c r="B236" s="500">
        <v>3</v>
      </c>
      <c r="C236" s="482">
        <v>69279.054055523389</v>
      </c>
      <c r="D236" s="482">
        <v>0</v>
      </c>
      <c r="E236" s="482">
        <v>379806.95491558796</v>
      </c>
      <c r="F236" s="482">
        <v>0</v>
      </c>
      <c r="G236" s="482">
        <v>0</v>
      </c>
      <c r="H236" s="482"/>
      <c r="I236" s="482"/>
      <c r="J236" s="482"/>
      <c r="K236" s="482"/>
      <c r="L236" s="482"/>
      <c r="M236" s="482"/>
      <c r="N236" s="482">
        <f t="shared" si="5"/>
        <v>449086.00897111138</v>
      </c>
      <c r="O236" s="501"/>
    </row>
    <row r="237" spans="1:15">
      <c r="A237" s="486">
        <f t="shared" si="6"/>
        <v>2027</v>
      </c>
      <c r="B237" s="500">
        <v>4</v>
      </c>
      <c r="C237" s="482">
        <v>72739.358976061849</v>
      </c>
      <c r="D237" s="482">
        <v>0</v>
      </c>
      <c r="E237" s="482">
        <v>415396.93159776076</v>
      </c>
      <c r="F237" s="482">
        <v>0</v>
      </c>
      <c r="G237" s="482">
        <v>0</v>
      </c>
      <c r="H237" s="482"/>
      <c r="I237" s="482"/>
      <c r="J237" s="482"/>
      <c r="K237" s="482"/>
      <c r="L237" s="482"/>
      <c r="M237" s="482"/>
      <c r="N237" s="482">
        <f t="shared" si="5"/>
        <v>488136.29057382263</v>
      </c>
      <c r="O237" s="501"/>
    </row>
    <row r="238" spans="1:15">
      <c r="A238" s="486">
        <f t="shared" si="6"/>
        <v>2027</v>
      </c>
      <c r="B238" s="500">
        <v>5</v>
      </c>
      <c r="C238" s="482">
        <v>82321.300159474253</v>
      </c>
      <c r="D238" s="482">
        <v>0</v>
      </c>
      <c r="E238" s="482">
        <v>421024.19465588819</v>
      </c>
      <c r="F238" s="482">
        <v>0</v>
      </c>
      <c r="G238" s="482">
        <v>0</v>
      </c>
      <c r="H238" s="482"/>
      <c r="I238" s="482"/>
      <c r="J238" s="482"/>
      <c r="K238" s="482"/>
      <c r="L238" s="482"/>
      <c r="M238" s="482"/>
      <c r="N238" s="482">
        <f t="shared" si="5"/>
        <v>503345.49481536244</v>
      </c>
      <c r="O238" s="501"/>
    </row>
    <row r="239" spans="1:15">
      <c r="A239" s="486">
        <f t="shared" si="6"/>
        <v>2027</v>
      </c>
      <c r="B239" s="500">
        <v>6</v>
      </c>
      <c r="C239" s="482">
        <v>89591.1737076352</v>
      </c>
      <c r="D239" s="482">
        <v>0</v>
      </c>
      <c r="E239" s="482">
        <v>434823.45275883941</v>
      </c>
      <c r="F239" s="482">
        <v>0</v>
      </c>
      <c r="G239" s="482">
        <v>0</v>
      </c>
      <c r="H239" s="482"/>
      <c r="I239" s="482"/>
      <c r="J239" s="482"/>
      <c r="K239" s="482"/>
      <c r="L239" s="482"/>
      <c r="M239" s="482"/>
      <c r="N239" s="482">
        <f t="shared" si="5"/>
        <v>524414.62646647461</v>
      </c>
      <c r="O239" s="501"/>
    </row>
    <row r="240" spans="1:15">
      <c r="A240" s="486">
        <f t="shared" si="6"/>
        <v>2027</v>
      </c>
      <c r="B240" s="500">
        <v>7</v>
      </c>
      <c r="C240" s="482">
        <v>97971.27761183845</v>
      </c>
      <c r="D240" s="482">
        <v>0</v>
      </c>
      <c r="E240" s="482">
        <v>409141.19935264689</v>
      </c>
      <c r="F240" s="482">
        <v>0</v>
      </c>
      <c r="G240" s="482">
        <v>0</v>
      </c>
      <c r="H240" s="482"/>
      <c r="I240" s="482"/>
      <c r="J240" s="482"/>
      <c r="K240" s="482"/>
      <c r="L240" s="482"/>
      <c r="M240" s="482"/>
      <c r="N240" s="482">
        <f t="shared" si="5"/>
        <v>507112.47696448537</v>
      </c>
      <c r="O240" s="501"/>
    </row>
    <row r="241" spans="1:15">
      <c r="A241" s="486">
        <f t="shared" si="6"/>
        <v>2027</v>
      </c>
      <c r="B241" s="500">
        <v>8</v>
      </c>
      <c r="C241" s="482">
        <v>97133.7086429763</v>
      </c>
      <c r="D241" s="482">
        <v>0</v>
      </c>
      <c r="E241" s="482">
        <v>438890.4534473634</v>
      </c>
      <c r="F241" s="482">
        <v>0</v>
      </c>
      <c r="G241" s="482">
        <v>0</v>
      </c>
      <c r="H241" s="482"/>
      <c r="I241" s="482"/>
      <c r="J241" s="482"/>
      <c r="K241" s="482"/>
      <c r="L241" s="482"/>
      <c r="M241" s="482"/>
      <c r="N241" s="482">
        <f t="shared" si="5"/>
        <v>536024.1620903397</v>
      </c>
      <c r="O241" s="501"/>
    </row>
    <row r="242" spans="1:15">
      <c r="A242" s="486">
        <f t="shared" si="6"/>
        <v>2027</v>
      </c>
      <c r="B242" s="500">
        <v>9</v>
      </c>
      <c r="C242" s="482">
        <v>82642.910652084218</v>
      </c>
      <c r="D242" s="482">
        <v>0</v>
      </c>
      <c r="E242" s="482">
        <v>433226.1228937353</v>
      </c>
      <c r="F242" s="482">
        <v>0</v>
      </c>
      <c r="G242" s="482">
        <v>0</v>
      </c>
      <c r="H242" s="482"/>
      <c r="I242" s="482"/>
      <c r="J242" s="482"/>
      <c r="K242" s="482"/>
      <c r="L242" s="482"/>
      <c r="M242" s="482"/>
      <c r="N242" s="482">
        <f t="shared" si="5"/>
        <v>515869.03354581952</v>
      </c>
      <c r="O242" s="501"/>
    </row>
    <row r="243" spans="1:15">
      <c r="A243" s="486">
        <f t="shared" si="6"/>
        <v>2027</v>
      </c>
      <c r="B243" s="500">
        <v>10</v>
      </c>
      <c r="C243" s="482">
        <v>76412.853183432133</v>
      </c>
      <c r="D243" s="482">
        <v>0</v>
      </c>
      <c r="E243" s="482">
        <v>396135.10323541018</v>
      </c>
      <c r="F243" s="482">
        <v>0</v>
      </c>
      <c r="G243" s="482">
        <v>0</v>
      </c>
      <c r="H243" s="482"/>
      <c r="I243" s="482"/>
      <c r="J243" s="482"/>
      <c r="K243" s="482"/>
      <c r="L243" s="482"/>
      <c r="M243" s="482"/>
      <c r="N243" s="482">
        <f t="shared" si="5"/>
        <v>472547.95641884231</v>
      </c>
      <c r="O243" s="501"/>
    </row>
    <row r="244" spans="1:15">
      <c r="A244" s="486">
        <f t="shared" si="6"/>
        <v>2027</v>
      </c>
      <c r="B244" s="500">
        <v>11</v>
      </c>
      <c r="C244" s="482">
        <v>62885.451491324056</v>
      </c>
      <c r="D244" s="482">
        <v>0</v>
      </c>
      <c r="E244" s="482">
        <v>360596.30710101337</v>
      </c>
      <c r="F244" s="482">
        <v>0</v>
      </c>
      <c r="G244" s="482">
        <v>0</v>
      </c>
      <c r="H244" s="482"/>
      <c r="I244" s="482"/>
      <c r="J244" s="482"/>
      <c r="K244" s="482"/>
      <c r="L244" s="482"/>
      <c r="M244" s="482"/>
      <c r="N244" s="482">
        <f t="shared" si="5"/>
        <v>423481.75859233743</v>
      </c>
      <c r="O244" s="501"/>
    </row>
    <row r="245" spans="1:15">
      <c r="A245" s="486">
        <f t="shared" si="6"/>
        <v>2027</v>
      </c>
      <c r="B245" s="500">
        <v>12</v>
      </c>
      <c r="C245" s="482">
        <v>64887.104551458258</v>
      </c>
      <c r="D245" s="482">
        <v>0</v>
      </c>
      <c r="E245" s="482">
        <v>337758.05162087263</v>
      </c>
      <c r="F245" s="482">
        <v>0</v>
      </c>
      <c r="G245" s="482">
        <v>0</v>
      </c>
      <c r="H245" s="482"/>
      <c r="I245" s="482"/>
      <c r="J245" s="482"/>
      <c r="K245" s="482"/>
      <c r="L245" s="482"/>
      <c r="M245" s="482"/>
      <c r="N245" s="482">
        <f t="shared" si="5"/>
        <v>402645.1561723309</v>
      </c>
      <c r="O245" s="501"/>
    </row>
    <row r="246" spans="1:15">
      <c r="A246" s="486">
        <v>2028</v>
      </c>
      <c r="B246" s="486">
        <v>1</v>
      </c>
      <c r="C246" s="482">
        <v>65084.513528582676</v>
      </c>
      <c r="D246" s="482">
        <v>0</v>
      </c>
      <c r="E246" s="482">
        <v>334509.98267564364</v>
      </c>
      <c r="F246" s="482">
        <v>0</v>
      </c>
      <c r="G246" s="482">
        <v>0</v>
      </c>
      <c r="H246" s="482"/>
      <c r="I246" s="482"/>
      <c r="J246" s="482"/>
      <c r="K246" s="482"/>
      <c r="L246" s="482"/>
      <c r="M246" s="482"/>
      <c r="N246" s="482">
        <f t="shared" si="5"/>
        <v>399594.49620422634</v>
      </c>
      <c r="O246" s="501"/>
    </row>
    <row r="247" spans="1:15">
      <c r="A247" s="486">
        <v>2028</v>
      </c>
      <c r="B247" s="486">
        <v>2</v>
      </c>
      <c r="C247" s="482">
        <v>61370.678166858008</v>
      </c>
      <c r="D247" s="482">
        <v>0</v>
      </c>
      <c r="E247" s="482">
        <v>324836.40784554108</v>
      </c>
      <c r="F247" s="482">
        <v>0</v>
      </c>
      <c r="G247" s="482">
        <v>0</v>
      </c>
      <c r="H247" s="482"/>
      <c r="I247" s="482"/>
      <c r="J247" s="482"/>
      <c r="K247" s="482"/>
      <c r="L247" s="482"/>
      <c r="M247" s="482"/>
      <c r="N247" s="482">
        <f t="shared" si="5"/>
        <v>386207.08601239906</v>
      </c>
      <c r="O247" s="501"/>
    </row>
    <row r="248" spans="1:15">
      <c r="A248" s="486">
        <v>2028</v>
      </c>
      <c r="B248" s="486">
        <v>3</v>
      </c>
      <c r="C248" s="482">
        <v>70130.802766664929</v>
      </c>
      <c r="D248" s="482">
        <v>0</v>
      </c>
      <c r="E248" s="482">
        <v>385504.05924283015</v>
      </c>
      <c r="F248" s="482">
        <v>0</v>
      </c>
      <c r="G248" s="482">
        <v>0</v>
      </c>
      <c r="H248" s="482"/>
      <c r="I248" s="482"/>
      <c r="J248" s="482"/>
      <c r="K248" s="482"/>
      <c r="L248" s="482"/>
      <c r="M248" s="482"/>
      <c r="N248" s="482">
        <f t="shared" si="5"/>
        <v>455634.86200949509</v>
      </c>
      <c r="O248" s="501"/>
    </row>
    <row r="249" spans="1:15">
      <c r="A249" s="486">
        <v>2028</v>
      </c>
      <c r="B249" s="486">
        <v>4</v>
      </c>
      <c r="C249" s="482">
        <v>73633.650275239619</v>
      </c>
      <c r="D249" s="482">
        <v>0</v>
      </c>
      <c r="E249" s="482">
        <v>421627.88557556429</v>
      </c>
      <c r="F249" s="482">
        <v>0</v>
      </c>
      <c r="G249" s="482">
        <v>0</v>
      </c>
      <c r="H249" s="482"/>
      <c r="I249" s="482"/>
      <c r="J249" s="482"/>
      <c r="K249" s="482"/>
      <c r="L249" s="482"/>
      <c r="M249" s="482"/>
      <c r="N249" s="482">
        <f t="shared" si="5"/>
        <v>495261.53585080389</v>
      </c>
      <c r="O249" s="501"/>
    </row>
    <row r="250" spans="1:15">
      <c r="A250" s="486">
        <v>2028</v>
      </c>
      <c r="B250" s="486">
        <v>5</v>
      </c>
      <c r="C250" s="482">
        <v>83333.396272307058</v>
      </c>
      <c r="D250" s="482">
        <v>0</v>
      </c>
      <c r="E250" s="482">
        <v>427339.55757961556</v>
      </c>
      <c r="F250" s="482">
        <v>0</v>
      </c>
      <c r="G250" s="482">
        <v>0</v>
      </c>
      <c r="H250" s="482"/>
      <c r="I250" s="482"/>
      <c r="J250" s="482"/>
      <c r="K250" s="482"/>
      <c r="L250" s="482"/>
      <c r="M250" s="482"/>
      <c r="N250" s="482">
        <f t="shared" si="5"/>
        <v>510672.95385192265</v>
      </c>
      <c r="O250" s="501"/>
    </row>
    <row r="251" spans="1:15">
      <c r="A251" s="486">
        <v>2028</v>
      </c>
      <c r="B251" s="486">
        <v>6</v>
      </c>
      <c r="C251" s="482">
        <v>90692.649005984087</v>
      </c>
      <c r="D251" s="482">
        <v>0</v>
      </c>
      <c r="E251" s="482">
        <v>441345.80455423857</v>
      </c>
      <c r="F251" s="482">
        <v>0</v>
      </c>
      <c r="G251" s="482">
        <v>0</v>
      </c>
      <c r="H251" s="482"/>
      <c r="I251" s="482"/>
      <c r="J251" s="482"/>
      <c r="K251" s="482"/>
      <c r="L251" s="482"/>
      <c r="M251" s="482"/>
      <c r="N251" s="482">
        <f t="shared" si="5"/>
        <v>532038.45356022264</v>
      </c>
      <c r="O251" s="501"/>
    </row>
    <row r="252" spans="1:15">
      <c r="A252" s="486">
        <v>2028</v>
      </c>
      <c r="B252" s="486">
        <v>7</v>
      </c>
      <c r="C252" s="482">
        <v>99175.781780845937</v>
      </c>
      <c r="D252" s="482">
        <v>0</v>
      </c>
      <c r="E252" s="482">
        <v>415278.31734671589</v>
      </c>
      <c r="F252" s="482">
        <v>0</v>
      </c>
      <c r="G252" s="482">
        <v>0</v>
      </c>
      <c r="H252" s="482"/>
      <c r="I252" s="482"/>
      <c r="J252" s="482"/>
      <c r="K252" s="482"/>
      <c r="L252" s="482"/>
      <c r="M252" s="482"/>
      <c r="N252" s="482">
        <f t="shared" si="5"/>
        <v>514454.09912756184</v>
      </c>
      <c r="O252" s="501"/>
    </row>
    <row r="253" spans="1:15">
      <c r="A253" s="486">
        <v>2028</v>
      </c>
      <c r="B253" s="486">
        <v>8</v>
      </c>
      <c r="C253" s="482">
        <v>98327.915351958596</v>
      </c>
      <c r="D253" s="482">
        <v>0</v>
      </c>
      <c r="E253" s="482">
        <v>445473.81025312794</v>
      </c>
      <c r="F253" s="482">
        <v>0</v>
      </c>
      <c r="G253" s="482">
        <v>0</v>
      </c>
      <c r="H253" s="482"/>
      <c r="I253" s="482"/>
      <c r="J253" s="482"/>
      <c r="K253" s="482"/>
      <c r="L253" s="482"/>
      <c r="M253" s="482"/>
      <c r="N253" s="482">
        <f t="shared" si="5"/>
        <v>543801.72560508654</v>
      </c>
      <c r="O253" s="501"/>
    </row>
    <row r="254" spans="1:15">
      <c r="A254" s="486">
        <v>2028</v>
      </c>
      <c r="B254" s="486">
        <v>9</v>
      </c>
      <c r="C254" s="482">
        <v>83658.960792960614</v>
      </c>
      <c r="D254" s="482">
        <v>0</v>
      </c>
      <c r="E254" s="482">
        <v>439724.5147411431</v>
      </c>
      <c r="F254" s="482">
        <v>0</v>
      </c>
      <c r="G254" s="482">
        <v>0</v>
      </c>
      <c r="H254" s="482"/>
      <c r="I254" s="482"/>
      <c r="J254" s="482"/>
      <c r="K254" s="482"/>
      <c r="L254" s="482"/>
      <c r="M254" s="482"/>
      <c r="N254" s="482">
        <f t="shared" si="5"/>
        <v>523383.47553410369</v>
      </c>
      <c r="O254" s="501"/>
    </row>
    <row r="255" spans="1:15">
      <c r="A255" s="486">
        <v>2028</v>
      </c>
      <c r="B255" s="486">
        <v>10</v>
      </c>
      <c r="C255" s="482">
        <v>77352.308118273984</v>
      </c>
      <c r="D255" s="482">
        <v>0</v>
      </c>
      <c r="E255" s="482">
        <v>402077.12978760048</v>
      </c>
      <c r="F255" s="482">
        <v>0</v>
      </c>
      <c r="G255" s="482">
        <v>0</v>
      </c>
      <c r="H255" s="482"/>
      <c r="I255" s="482"/>
      <c r="J255" s="482"/>
      <c r="K255" s="482"/>
      <c r="L255" s="482"/>
      <c r="M255" s="482"/>
      <c r="N255" s="482">
        <f t="shared" si="5"/>
        <v>479429.43790587445</v>
      </c>
      <c r="O255" s="501"/>
    </row>
    <row r="256" spans="1:15">
      <c r="A256" s="486">
        <v>2028</v>
      </c>
      <c r="B256" s="486">
        <v>11</v>
      </c>
      <c r="C256" s="482">
        <v>63658.594297436306</v>
      </c>
      <c r="D256" s="482">
        <v>0</v>
      </c>
      <c r="E256" s="482">
        <v>366005.25171085948</v>
      </c>
      <c r="F256" s="482">
        <v>0</v>
      </c>
      <c r="G256" s="482">
        <v>0</v>
      </c>
      <c r="H256" s="482"/>
      <c r="I256" s="482"/>
      <c r="J256" s="482"/>
      <c r="K256" s="482"/>
      <c r="L256" s="482"/>
      <c r="M256" s="482"/>
      <c r="N256" s="482">
        <f t="shared" si="5"/>
        <v>429663.84600829578</v>
      </c>
      <c r="O256" s="501"/>
    </row>
    <row r="257" spans="1:15">
      <c r="A257" s="486">
        <v>2028</v>
      </c>
      <c r="B257" s="486">
        <v>12</v>
      </c>
      <c r="C257" s="482">
        <v>65684.856605450172</v>
      </c>
      <c r="D257" s="482">
        <v>0</v>
      </c>
      <c r="E257" s="482">
        <v>342824.42239830567</v>
      </c>
      <c r="F257" s="482">
        <v>0</v>
      </c>
      <c r="G257" s="482">
        <v>0</v>
      </c>
      <c r="H257" s="482"/>
      <c r="I257" s="482"/>
      <c r="J257" s="482"/>
      <c r="K257" s="482"/>
      <c r="L257" s="482"/>
      <c r="M257" s="482"/>
      <c r="N257" s="482">
        <f t="shared" si="5"/>
        <v>408509.27900375583</v>
      </c>
      <c r="O257" s="501"/>
    </row>
    <row r="258" spans="1:15">
      <c r="A258" s="486">
        <v>2029</v>
      </c>
      <c r="B258" s="486">
        <v>1</v>
      </c>
      <c r="C258" s="482">
        <v>65884.692619781243</v>
      </c>
      <c r="D258" s="482">
        <v>0</v>
      </c>
      <c r="E258" s="482">
        <v>339527.63241886825</v>
      </c>
      <c r="F258" s="482">
        <v>0</v>
      </c>
      <c r="G258" s="482">
        <v>0</v>
      </c>
      <c r="H258" s="482"/>
      <c r="I258" s="482"/>
      <c r="J258" s="482"/>
      <c r="K258" s="482"/>
      <c r="L258" s="482"/>
      <c r="M258" s="482"/>
      <c r="N258" s="482">
        <f t="shared" si="5"/>
        <v>405412.32503864949</v>
      </c>
      <c r="O258" s="501"/>
    </row>
    <row r="259" spans="1:15">
      <c r="A259" s="486">
        <v>2029</v>
      </c>
      <c r="B259" s="486">
        <v>2</v>
      </c>
      <c r="C259" s="482">
        <v>62125.19764959532</v>
      </c>
      <c r="D259" s="482">
        <v>0</v>
      </c>
      <c r="E259" s="482">
        <v>329708.95396622474</v>
      </c>
      <c r="F259" s="482">
        <v>0</v>
      </c>
      <c r="G259" s="482">
        <v>0</v>
      </c>
      <c r="H259" s="482"/>
      <c r="I259" s="482"/>
      <c r="J259" s="482"/>
      <c r="K259" s="482"/>
      <c r="L259" s="482"/>
      <c r="M259" s="482"/>
      <c r="N259" s="482">
        <f t="shared" si="5"/>
        <v>391834.15161582007</v>
      </c>
      <c r="O259" s="501"/>
    </row>
    <row r="260" spans="1:15">
      <c r="A260" s="486">
        <v>2029</v>
      </c>
      <c r="B260" s="486">
        <v>3</v>
      </c>
      <c r="C260" s="482">
        <v>70993.023270137099</v>
      </c>
      <c r="D260" s="482">
        <v>0</v>
      </c>
      <c r="E260" s="482">
        <v>391286.62013503356</v>
      </c>
      <c r="F260" s="482">
        <v>0</v>
      </c>
      <c r="G260" s="482">
        <v>0</v>
      </c>
      <c r="H260" s="482"/>
      <c r="I260" s="482"/>
      <c r="J260" s="482"/>
      <c r="K260" s="482"/>
      <c r="L260" s="482"/>
      <c r="M260" s="482"/>
      <c r="N260" s="482">
        <f t="shared" si="5"/>
        <v>462279.64340517065</v>
      </c>
      <c r="O260" s="501"/>
    </row>
    <row r="261" spans="1:15">
      <c r="A261" s="486">
        <v>2029</v>
      </c>
      <c r="B261" s="486">
        <v>4</v>
      </c>
      <c r="C261" s="482">
        <v>74538.936404988388</v>
      </c>
      <c r="D261" s="482">
        <v>0</v>
      </c>
      <c r="E261" s="482">
        <v>427952.30386309238</v>
      </c>
      <c r="F261" s="482">
        <v>0</v>
      </c>
      <c r="G261" s="482">
        <v>0</v>
      </c>
      <c r="H261" s="482"/>
      <c r="I261" s="482"/>
      <c r="J261" s="482"/>
      <c r="K261" s="482"/>
      <c r="L261" s="482"/>
      <c r="M261" s="482"/>
      <c r="N261" s="482">
        <f t="shared" si="5"/>
        <v>502491.24026808079</v>
      </c>
      <c r="O261" s="501"/>
    </row>
    <row r="262" spans="1:15">
      <c r="A262" s="486">
        <v>2029</v>
      </c>
      <c r="B262" s="486">
        <v>5</v>
      </c>
      <c r="C262" s="482">
        <v>84357.935562538987</v>
      </c>
      <c r="D262" s="482">
        <v>0</v>
      </c>
      <c r="E262" s="482">
        <v>433749.65094725718</v>
      </c>
      <c r="F262" s="482">
        <v>0</v>
      </c>
      <c r="G262" s="482">
        <v>0</v>
      </c>
      <c r="H262" s="482"/>
      <c r="I262" s="482"/>
      <c r="J262" s="482"/>
      <c r="K262" s="482"/>
      <c r="L262" s="482"/>
      <c r="M262" s="482"/>
      <c r="N262" s="482">
        <f t="shared" si="5"/>
        <v>518107.58650979615</v>
      </c>
      <c r="O262" s="501"/>
    </row>
    <row r="263" spans="1:15">
      <c r="A263" s="486">
        <v>2029</v>
      </c>
      <c r="B263" s="486">
        <v>6</v>
      </c>
      <c r="C263" s="482">
        <v>91807.666350749641</v>
      </c>
      <c r="D263" s="482">
        <v>0</v>
      </c>
      <c r="E263" s="482">
        <v>447965.99162662891</v>
      </c>
      <c r="F263" s="482">
        <v>0</v>
      </c>
      <c r="G263" s="482">
        <v>0</v>
      </c>
      <c r="H263" s="482"/>
      <c r="I263" s="482"/>
      <c r="J263" s="482"/>
      <c r="K263" s="482"/>
      <c r="L263" s="482"/>
      <c r="M263" s="482"/>
      <c r="N263" s="482">
        <f t="shared" ref="N263:N326" si="7">SUM(C263:M263)</f>
        <v>539773.65797737858</v>
      </c>
      <c r="O263" s="501"/>
    </row>
    <row r="264" spans="1:15">
      <c r="A264" s="486">
        <v>2029</v>
      </c>
      <c r="B264" s="486">
        <v>7</v>
      </c>
      <c r="C264" s="482">
        <v>100395.09468082561</v>
      </c>
      <c r="D264" s="482">
        <v>0</v>
      </c>
      <c r="E264" s="482">
        <v>421507.49211075262</v>
      </c>
      <c r="F264" s="482">
        <v>0</v>
      </c>
      <c r="G264" s="482">
        <v>0</v>
      </c>
      <c r="H264" s="482"/>
      <c r="I264" s="482"/>
      <c r="J264" s="482"/>
      <c r="K264" s="482"/>
      <c r="L264" s="482"/>
      <c r="M264" s="482"/>
      <c r="N264" s="482">
        <f t="shared" si="7"/>
        <v>521902.58679157821</v>
      </c>
      <c r="O264" s="501"/>
    </row>
    <row r="265" spans="1:15">
      <c r="A265" s="486">
        <v>2029</v>
      </c>
      <c r="B265" s="486">
        <v>8</v>
      </c>
      <c r="C265" s="482">
        <v>99536.80419018009</v>
      </c>
      <c r="D265" s="482">
        <v>0</v>
      </c>
      <c r="E265" s="482">
        <v>452155.91741103976</v>
      </c>
      <c r="F265" s="482">
        <v>0</v>
      </c>
      <c r="G265" s="482">
        <v>0</v>
      </c>
      <c r="H265" s="482"/>
      <c r="I265" s="482"/>
      <c r="J265" s="482"/>
      <c r="K265" s="482"/>
      <c r="L265" s="482"/>
      <c r="M265" s="482"/>
      <c r="N265" s="482">
        <f t="shared" si="7"/>
        <v>551692.72160121985</v>
      </c>
      <c r="O265" s="501"/>
    </row>
    <row r="266" spans="1:15">
      <c r="A266" s="486">
        <v>2029</v>
      </c>
      <c r="B266" s="486">
        <v>9</v>
      </c>
      <c r="C266" s="482">
        <v>84687.502723884449</v>
      </c>
      <c r="D266" s="482">
        <v>0</v>
      </c>
      <c r="E266" s="482">
        <v>446320.38246632204</v>
      </c>
      <c r="F266" s="482">
        <v>0</v>
      </c>
      <c r="G266" s="482">
        <v>0</v>
      </c>
      <c r="H266" s="482"/>
      <c r="I266" s="482"/>
      <c r="J266" s="482"/>
      <c r="K266" s="482"/>
      <c r="L266" s="482"/>
      <c r="M266" s="482"/>
      <c r="N266" s="482">
        <f t="shared" si="7"/>
        <v>531007.88519020646</v>
      </c>
      <c r="O266" s="501"/>
    </row>
    <row r="267" spans="1:15">
      <c r="A267" s="486">
        <v>2029</v>
      </c>
      <c r="B267" s="486">
        <v>10</v>
      </c>
      <c r="C267" s="482">
        <v>78303.313146298198</v>
      </c>
      <c r="D267" s="482">
        <v>0</v>
      </c>
      <c r="E267" s="482">
        <v>408108.28673812858</v>
      </c>
      <c r="F267" s="482">
        <v>0</v>
      </c>
      <c r="G267" s="482">
        <v>0</v>
      </c>
      <c r="H267" s="482"/>
      <c r="I267" s="482"/>
      <c r="J267" s="482"/>
      <c r="K267" s="482"/>
      <c r="L267" s="482"/>
      <c r="M267" s="482"/>
      <c r="N267" s="482">
        <f t="shared" si="7"/>
        <v>486411.5998844268</v>
      </c>
      <c r="O267" s="501"/>
    </row>
    <row r="268" spans="1:15">
      <c r="A268" s="486">
        <v>2029</v>
      </c>
      <c r="B268" s="486">
        <v>11</v>
      </c>
      <c r="C268" s="482">
        <v>64441.242478551314</v>
      </c>
      <c r="D268" s="482">
        <v>0</v>
      </c>
      <c r="E268" s="482">
        <v>371495.33048990322</v>
      </c>
      <c r="F268" s="482">
        <v>0</v>
      </c>
      <c r="G268" s="482">
        <v>0</v>
      </c>
      <c r="H268" s="482"/>
      <c r="I268" s="482"/>
      <c r="J268" s="482"/>
      <c r="K268" s="482"/>
      <c r="L268" s="482"/>
      <c r="M268" s="482"/>
      <c r="N268" s="482">
        <f t="shared" si="7"/>
        <v>435936.57296845457</v>
      </c>
      <c r="O268" s="501"/>
    </row>
    <row r="269" spans="1:15">
      <c r="A269" s="486">
        <v>2029</v>
      </c>
      <c r="B269" s="486">
        <v>12</v>
      </c>
      <c r="C269" s="482">
        <v>66492.41659191261</v>
      </c>
      <c r="D269" s="482">
        <v>0</v>
      </c>
      <c r="E269" s="482">
        <v>347966.788737447</v>
      </c>
      <c r="F269" s="482">
        <v>0</v>
      </c>
      <c r="G269" s="482">
        <v>0</v>
      </c>
      <c r="H269" s="482"/>
      <c r="I269" s="482"/>
      <c r="J269" s="482"/>
      <c r="K269" s="482"/>
      <c r="L269" s="482"/>
      <c r="M269" s="482"/>
      <c r="N269" s="482">
        <f t="shared" si="7"/>
        <v>414459.20532935963</v>
      </c>
      <c r="O269" s="501"/>
    </row>
    <row r="270" spans="1:15">
      <c r="A270" s="486">
        <v>2030</v>
      </c>
      <c r="B270" s="486">
        <v>1</v>
      </c>
      <c r="C270" s="482">
        <v>66694.709482567516</v>
      </c>
      <c r="D270" s="482">
        <v>0</v>
      </c>
      <c r="E270" s="482">
        <v>344620.54690828756</v>
      </c>
      <c r="F270" s="482">
        <v>0</v>
      </c>
      <c r="G270" s="482">
        <v>0</v>
      </c>
      <c r="H270" s="482"/>
      <c r="I270" s="482"/>
      <c r="J270" s="482"/>
      <c r="K270" s="482"/>
      <c r="L270" s="482"/>
      <c r="M270" s="482"/>
      <c r="N270" s="482">
        <f t="shared" si="7"/>
        <v>411315.25639085507</v>
      </c>
      <c r="O270" s="501"/>
    </row>
    <row r="271" spans="1:15">
      <c r="A271" s="486">
        <v>2030</v>
      </c>
      <c r="B271" s="486">
        <v>2</v>
      </c>
      <c r="C271" s="482">
        <v>62888.993543590179</v>
      </c>
      <c r="D271" s="482">
        <v>0</v>
      </c>
      <c r="E271" s="482">
        <v>334654.58827876369</v>
      </c>
      <c r="F271" s="482">
        <v>0</v>
      </c>
      <c r="G271" s="482">
        <v>0</v>
      </c>
      <c r="H271" s="482"/>
      <c r="I271" s="482"/>
      <c r="J271" s="482"/>
      <c r="K271" s="482"/>
      <c r="L271" s="482"/>
      <c r="M271" s="482"/>
      <c r="N271" s="482">
        <f t="shared" si="7"/>
        <v>397543.58182235388</v>
      </c>
      <c r="O271" s="501"/>
    </row>
    <row r="272" spans="1:15">
      <c r="A272" s="486">
        <v>2030</v>
      </c>
      <c r="B272" s="486">
        <v>3</v>
      </c>
      <c r="C272" s="482">
        <v>71865.844310994828</v>
      </c>
      <c r="D272" s="482">
        <v>0</v>
      </c>
      <c r="E272" s="482">
        <v>397155.91944067343</v>
      </c>
      <c r="F272" s="482">
        <v>0</v>
      </c>
      <c r="G272" s="482">
        <v>0</v>
      </c>
      <c r="H272" s="482"/>
      <c r="I272" s="482"/>
      <c r="J272" s="482"/>
      <c r="K272" s="482"/>
      <c r="L272" s="482"/>
      <c r="M272" s="482"/>
      <c r="N272" s="482">
        <f t="shared" si="7"/>
        <v>469021.76375166827</v>
      </c>
      <c r="O272" s="501"/>
    </row>
    <row r="273" spans="1:15">
      <c r="A273" s="486">
        <v>2030</v>
      </c>
      <c r="B273" s="486">
        <v>4</v>
      </c>
      <c r="C273" s="482">
        <v>75455.352540836975</v>
      </c>
      <c r="D273" s="482">
        <v>0</v>
      </c>
      <c r="E273" s="482">
        <v>434371.58842499182</v>
      </c>
      <c r="F273" s="482">
        <v>0</v>
      </c>
      <c r="G273" s="482">
        <v>0</v>
      </c>
      <c r="H273" s="482"/>
      <c r="I273" s="482"/>
      <c r="J273" s="482"/>
      <c r="K273" s="482"/>
      <c r="L273" s="482"/>
      <c r="M273" s="482"/>
      <c r="N273" s="482">
        <f t="shared" si="7"/>
        <v>509826.94096582878</v>
      </c>
      <c r="O273" s="501"/>
    </row>
    <row r="274" spans="1:15">
      <c r="A274" s="486">
        <v>2030</v>
      </c>
      <c r="B274" s="486">
        <v>5</v>
      </c>
      <c r="C274" s="482">
        <v>85395.071012344197</v>
      </c>
      <c r="D274" s="482">
        <v>0</v>
      </c>
      <c r="E274" s="482">
        <v>440255.89571547264</v>
      </c>
      <c r="F274" s="482">
        <v>0</v>
      </c>
      <c r="G274" s="482">
        <v>0</v>
      </c>
      <c r="H274" s="482"/>
      <c r="I274" s="482"/>
      <c r="J274" s="482"/>
      <c r="K274" s="482"/>
      <c r="L274" s="482"/>
      <c r="M274" s="482"/>
      <c r="N274" s="482">
        <f t="shared" si="7"/>
        <v>525650.96672781685</v>
      </c>
      <c r="O274" s="501"/>
    </row>
    <row r="275" spans="1:15">
      <c r="A275" s="486">
        <v>2030</v>
      </c>
      <c r="B275" s="486">
        <v>6</v>
      </c>
      <c r="C275" s="482">
        <v>92936.392234109604</v>
      </c>
      <c r="D275" s="482">
        <v>0</v>
      </c>
      <c r="E275" s="482">
        <v>454685.48150516627</v>
      </c>
      <c r="F275" s="482">
        <v>0</v>
      </c>
      <c r="G275" s="482">
        <v>0</v>
      </c>
      <c r="H275" s="482"/>
      <c r="I275" s="482"/>
      <c r="J275" s="482"/>
      <c r="K275" s="482"/>
      <c r="L275" s="482"/>
      <c r="M275" s="482"/>
      <c r="N275" s="482">
        <f t="shared" si="7"/>
        <v>547621.87373927585</v>
      </c>
      <c r="O275" s="501"/>
    </row>
    <row r="276" spans="1:15">
      <c r="A276" s="486">
        <v>2030</v>
      </c>
      <c r="B276" s="486">
        <v>7</v>
      </c>
      <c r="C276" s="482">
        <v>101629.39837716061</v>
      </c>
      <c r="D276" s="482">
        <v>0</v>
      </c>
      <c r="E276" s="482">
        <v>427830.10449630744</v>
      </c>
      <c r="F276" s="482">
        <v>0</v>
      </c>
      <c r="G276" s="482">
        <v>0</v>
      </c>
      <c r="H276" s="482"/>
      <c r="I276" s="482"/>
      <c r="J276" s="482"/>
      <c r="K276" s="482"/>
      <c r="L276" s="482"/>
      <c r="M276" s="482"/>
      <c r="N276" s="482">
        <f t="shared" si="7"/>
        <v>529459.5028734681</v>
      </c>
      <c r="O276" s="501"/>
    </row>
    <row r="277" spans="1:15">
      <c r="A277" s="486">
        <v>2030</v>
      </c>
      <c r="B277" s="486">
        <v>8</v>
      </c>
      <c r="C277" s="482">
        <v>100760.55566652368</v>
      </c>
      <c r="D277" s="482">
        <v>0</v>
      </c>
      <c r="E277" s="482">
        <v>458938.25617638201</v>
      </c>
      <c r="F277" s="482">
        <v>0</v>
      </c>
      <c r="G277" s="482">
        <v>0</v>
      </c>
      <c r="H277" s="482"/>
      <c r="I277" s="482"/>
      <c r="J277" s="482"/>
      <c r="K277" s="482"/>
      <c r="L277" s="482"/>
      <c r="M277" s="482"/>
      <c r="N277" s="482">
        <f t="shared" si="7"/>
        <v>559698.81184290571</v>
      </c>
      <c r="O277" s="501"/>
    </row>
    <row r="278" spans="1:15">
      <c r="A278" s="486">
        <v>2030</v>
      </c>
      <c r="B278" s="486">
        <v>9</v>
      </c>
      <c r="C278" s="482">
        <v>85728.690024696232</v>
      </c>
      <c r="D278" s="482">
        <v>0</v>
      </c>
      <c r="E278" s="482">
        <v>453015.18820743961</v>
      </c>
      <c r="F278" s="482">
        <v>0</v>
      </c>
      <c r="G278" s="482">
        <v>0</v>
      </c>
      <c r="H278" s="482"/>
      <c r="I278" s="482"/>
      <c r="J278" s="482"/>
      <c r="K278" s="482"/>
      <c r="L278" s="482"/>
      <c r="M278" s="482"/>
      <c r="N278" s="482">
        <f t="shared" si="7"/>
        <v>538743.8782321359</v>
      </c>
      <c r="O278" s="501"/>
    </row>
    <row r="279" spans="1:15">
      <c r="A279" s="486">
        <v>2030</v>
      </c>
      <c r="B279" s="486">
        <v>10</v>
      </c>
      <c r="C279" s="482">
        <v>79266.010269688777</v>
      </c>
      <c r="D279" s="482">
        <v>0</v>
      </c>
      <c r="E279" s="482">
        <v>414229.91104297026</v>
      </c>
      <c r="F279" s="482">
        <v>0</v>
      </c>
      <c r="G279" s="482">
        <v>0</v>
      </c>
      <c r="H279" s="482"/>
      <c r="I279" s="482"/>
      <c r="J279" s="482"/>
      <c r="K279" s="482"/>
      <c r="L279" s="482"/>
      <c r="M279" s="482"/>
      <c r="N279" s="482">
        <f t="shared" si="7"/>
        <v>493495.92131265905</v>
      </c>
      <c r="O279" s="501"/>
    </row>
    <row r="280" spans="1:15">
      <c r="A280" s="486">
        <v>2030</v>
      </c>
      <c r="B280" s="486">
        <v>11</v>
      </c>
      <c r="C280" s="482">
        <v>65233.512898142726</v>
      </c>
      <c r="D280" s="482">
        <v>0</v>
      </c>
      <c r="E280" s="482">
        <v>377067.76045068336</v>
      </c>
      <c r="F280" s="482">
        <v>0</v>
      </c>
      <c r="G280" s="482">
        <v>0</v>
      </c>
      <c r="H280" s="482"/>
      <c r="I280" s="482"/>
      <c r="J280" s="482"/>
      <c r="K280" s="482"/>
      <c r="L280" s="482"/>
      <c r="M280" s="482"/>
      <c r="N280" s="482">
        <f t="shared" si="7"/>
        <v>442301.2733488261</v>
      </c>
      <c r="O280" s="501"/>
    </row>
    <row r="281" spans="1:15">
      <c r="A281" s="486">
        <v>2030</v>
      </c>
      <c r="B281" s="486">
        <v>12</v>
      </c>
      <c r="C281" s="482">
        <v>67309.905094100555</v>
      </c>
      <c r="D281" s="482">
        <v>0</v>
      </c>
      <c r="E281" s="482">
        <v>353186.29057172296</v>
      </c>
      <c r="F281" s="482">
        <v>0</v>
      </c>
      <c r="G281" s="482">
        <v>0</v>
      </c>
      <c r="H281" s="482"/>
      <c r="I281" s="482"/>
      <c r="J281" s="482"/>
      <c r="K281" s="482"/>
      <c r="L281" s="482"/>
      <c r="M281" s="482"/>
      <c r="N281" s="482">
        <f t="shared" si="7"/>
        <v>420496.19566582353</v>
      </c>
      <c r="O281" s="501"/>
    </row>
    <row r="282" spans="1:15">
      <c r="A282" s="486">
        <v>2031</v>
      </c>
      <c r="B282" s="486">
        <v>1</v>
      </c>
      <c r="C282" s="482">
        <v>67514.6850670524</v>
      </c>
      <c r="D282" s="482">
        <v>0</v>
      </c>
      <c r="E282" s="482">
        <v>349789.85511509521</v>
      </c>
      <c r="F282" s="482">
        <v>0</v>
      </c>
      <c r="G282" s="482">
        <v>0</v>
      </c>
      <c r="H282" s="482"/>
      <c r="I282" s="482"/>
      <c r="J282" s="482"/>
      <c r="K282" s="482"/>
      <c r="L282" s="482"/>
      <c r="M282" s="482"/>
      <c r="N282" s="482">
        <f t="shared" si="7"/>
        <v>417304.54018214764</v>
      </c>
      <c r="O282" s="501"/>
    </row>
    <row r="283" spans="1:15">
      <c r="A283" s="486">
        <v>2031</v>
      </c>
      <c r="B283" s="486">
        <v>2</v>
      </c>
      <c r="C283" s="482">
        <v>63662.179897330119</v>
      </c>
      <c r="D283" s="482">
        <v>0</v>
      </c>
      <c r="E283" s="482">
        <v>339674.40710603644</v>
      </c>
      <c r="F283" s="482">
        <v>0</v>
      </c>
      <c r="G283" s="482">
        <v>0</v>
      </c>
      <c r="H283" s="482"/>
      <c r="I283" s="482"/>
      <c r="J283" s="482"/>
      <c r="K283" s="482"/>
      <c r="L283" s="482"/>
      <c r="M283" s="482"/>
      <c r="N283" s="482">
        <f t="shared" si="7"/>
        <v>403336.58700336656</v>
      </c>
      <c r="O283" s="501"/>
    </row>
    <row r="284" spans="1:15">
      <c r="A284" s="486">
        <v>2031</v>
      </c>
      <c r="B284" s="486">
        <v>3</v>
      </c>
      <c r="C284" s="482">
        <v>72749.396217144269</v>
      </c>
      <c r="D284" s="482">
        <v>0</v>
      </c>
      <c r="E284" s="482">
        <v>403113.25823595212</v>
      </c>
      <c r="F284" s="482">
        <v>0</v>
      </c>
      <c r="G284" s="482">
        <v>0</v>
      </c>
      <c r="H284" s="482"/>
      <c r="I284" s="482"/>
      <c r="J284" s="482"/>
      <c r="K284" s="482"/>
      <c r="L284" s="482"/>
      <c r="M284" s="482"/>
      <c r="N284" s="482">
        <f t="shared" si="7"/>
        <v>475862.65445309639</v>
      </c>
      <c r="O284" s="501"/>
    </row>
    <row r="285" spans="1:15">
      <c r="A285" s="486">
        <v>2031</v>
      </c>
      <c r="B285" s="486">
        <v>4</v>
      </c>
      <c r="C285" s="482">
        <v>76383.035520224628</v>
      </c>
      <c r="D285" s="482">
        <v>0</v>
      </c>
      <c r="E285" s="482">
        <v>440887.16225537908</v>
      </c>
      <c r="F285" s="482">
        <v>0</v>
      </c>
      <c r="G285" s="482">
        <v>0</v>
      </c>
      <c r="H285" s="482"/>
      <c r="I285" s="482"/>
      <c r="J285" s="482"/>
      <c r="K285" s="482"/>
      <c r="L285" s="482"/>
      <c r="M285" s="482"/>
      <c r="N285" s="482">
        <f t="shared" si="7"/>
        <v>517270.19777560374</v>
      </c>
      <c r="O285" s="501"/>
    </row>
    <row r="286" spans="1:15">
      <c r="A286" s="486">
        <v>2031</v>
      </c>
      <c r="B286" s="486">
        <v>5</v>
      </c>
      <c r="C286" s="482">
        <v>86444.957484730388</v>
      </c>
      <c r="D286" s="482">
        <v>0</v>
      </c>
      <c r="E286" s="482">
        <v>446859.73415527144</v>
      </c>
      <c r="F286" s="482">
        <v>0</v>
      </c>
      <c r="G286" s="482">
        <v>0</v>
      </c>
      <c r="H286" s="482"/>
      <c r="I286" s="482"/>
      <c r="J286" s="482"/>
      <c r="K286" s="482"/>
      <c r="L286" s="482"/>
      <c r="M286" s="482"/>
      <c r="N286" s="482">
        <f t="shared" si="7"/>
        <v>533304.69164000184</v>
      </c>
      <c r="O286" s="501"/>
    </row>
    <row r="287" spans="1:15">
      <c r="A287" s="486">
        <v>2031</v>
      </c>
      <c r="B287" s="486">
        <v>6</v>
      </c>
      <c r="C287" s="482">
        <v>94078.995195173498</v>
      </c>
      <c r="D287" s="482">
        <v>0</v>
      </c>
      <c r="E287" s="482">
        <v>461505.76373194379</v>
      </c>
      <c r="F287" s="482">
        <v>0</v>
      </c>
      <c r="G287" s="482">
        <v>0</v>
      </c>
      <c r="H287" s="482"/>
      <c r="I287" s="482"/>
      <c r="J287" s="482"/>
      <c r="K287" s="482"/>
      <c r="L287" s="482"/>
      <c r="M287" s="482"/>
      <c r="N287" s="482">
        <f t="shared" si="7"/>
        <v>555584.75892711733</v>
      </c>
      <c r="O287" s="501"/>
    </row>
    <row r="288" spans="1:15">
      <c r="A288" s="486">
        <v>2031</v>
      </c>
      <c r="B288" s="486">
        <v>7</v>
      </c>
      <c r="C288" s="482">
        <v>102878.87717363004</v>
      </c>
      <c r="D288" s="482">
        <v>0</v>
      </c>
      <c r="E288" s="482">
        <v>434247.55606770399</v>
      </c>
      <c r="F288" s="482">
        <v>0</v>
      </c>
      <c r="G288" s="482">
        <v>0</v>
      </c>
      <c r="H288" s="482"/>
      <c r="I288" s="482"/>
      <c r="J288" s="482"/>
      <c r="K288" s="482"/>
      <c r="L288" s="482"/>
      <c r="M288" s="482"/>
      <c r="N288" s="482">
        <f t="shared" si="7"/>
        <v>537126.43324133405</v>
      </c>
      <c r="O288" s="501"/>
    </row>
    <row r="289" spans="1:15">
      <c r="A289" s="486">
        <v>2031</v>
      </c>
      <c r="B289" s="486">
        <v>8</v>
      </c>
      <c r="C289" s="482">
        <v>101999.35250913192</v>
      </c>
      <c r="D289" s="482">
        <v>0</v>
      </c>
      <c r="E289" s="482">
        <v>465822.33002326702</v>
      </c>
      <c r="F289" s="482">
        <v>0</v>
      </c>
      <c r="G289" s="482">
        <v>0</v>
      </c>
      <c r="H289" s="482"/>
      <c r="I289" s="482"/>
      <c r="J289" s="482"/>
      <c r="K289" s="482"/>
      <c r="L289" s="482"/>
      <c r="M289" s="482"/>
      <c r="N289" s="482">
        <f t="shared" si="7"/>
        <v>567821.68253239896</v>
      </c>
      <c r="O289" s="501"/>
    </row>
    <row r="290" spans="1:15">
      <c r="A290" s="486">
        <v>2031</v>
      </c>
      <c r="B290" s="486">
        <v>9</v>
      </c>
      <c r="C290" s="482">
        <v>86782.678163418022</v>
      </c>
      <c r="D290" s="482">
        <v>0</v>
      </c>
      <c r="E290" s="482">
        <v>459810.4160347358</v>
      </c>
      <c r="F290" s="482">
        <v>0</v>
      </c>
      <c r="G290" s="482">
        <v>0</v>
      </c>
      <c r="H290" s="482"/>
      <c r="I290" s="482"/>
      <c r="J290" s="482"/>
      <c r="K290" s="482"/>
      <c r="L290" s="482"/>
      <c r="M290" s="482"/>
      <c r="N290" s="482">
        <f t="shared" si="7"/>
        <v>546593.09419815382</v>
      </c>
      <c r="O290" s="501"/>
    </row>
    <row r="291" spans="1:15">
      <c r="A291" s="486">
        <v>2031</v>
      </c>
      <c r="B291" s="486">
        <v>10</v>
      </c>
      <c r="C291" s="482">
        <v>80240.543236470214</v>
      </c>
      <c r="D291" s="482">
        <v>0</v>
      </c>
      <c r="E291" s="482">
        <v>420443.3597124411</v>
      </c>
      <c r="F291" s="482">
        <v>0</v>
      </c>
      <c r="G291" s="482">
        <v>0</v>
      </c>
      <c r="H291" s="482"/>
      <c r="I291" s="482"/>
      <c r="J291" s="482"/>
      <c r="K291" s="482"/>
      <c r="L291" s="482"/>
      <c r="M291" s="482"/>
      <c r="N291" s="482">
        <f t="shared" si="7"/>
        <v>500683.9029489113</v>
      </c>
      <c r="O291" s="501"/>
    </row>
    <row r="292" spans="1:15">
      <c r="A292" s="486">
        <v>2031</v>
      </c>
      <c r="B292" s="486">
        <v>11</v>
      </c>
      <c r="C292" s="482">
        <v>66035.523856457745</v>
      </c>
      <c r="D292" s="482">
        <v>0</v>
      </c>
      <c r="E292" s="482">
        <v>382723.77686092665</v>
      </c>
      <c r="F292" s="482">
        <v>0</v>
      </c>
      <c r="G292" s="482">
        <v>0</v>
      </c>
      <c r="H292" s="482"/>
      <c r="I292" s="482"/>
      <c r="J292" s="482"/>
      <c r="K292" s="482"/>
      <c r="L292" s="482"/>
      <c r="M292" s="482"/>
      <c r="N292" s="482">
        <f t="shared" si="7"/>
        <v>448759.30071738438</v>
      </c>
      <c r="O292" s="501"/>
    </row>
    <row r="293" spans="1:15">
      <c r="A293" s="486">
        <v>2031</v>
      </c>
      <c r="B293" s="486">
        <v>12</v>
      </c>
      <c r="C293" s="482">
        <v>68137.44417777528</v>
      </c>
      <c r="D293" s="482">
        <v>0</v>
      </c>
      <c r="E293" s="482">
        <v>358484.08493356127</v>
      </c>
      <c r="F293" s="482">
        <v>0</v>
      </c>
      <c r="G293" s="482">
        <v>0</v>
      </c>
      <c r="H293" s="482"/>
      <c r="I293" s="482"/>
      <c r="J293" s="482"/>
      <c r="K293" s="482"/>
      <c r="L293" s="482"/>
      <c r="M293" s="482"/>
      <c r="N293" s="482">
        <f t="shared" si="7"/>
        <v>426621.52911133657</v>
      </c>
      <c r="O293" s="501"/>
    </row>
    <row r="294" spans="1:15">
      <c r="A294" s="486">
        <v>2032</v>
      </c>
      <c r="B294" s="486">
        <v>1</v>
      </c>
      <c r="C294" s="482">
        <v>68344.741810363339</v>
      </c>
      <c r="D294" s="482">
        <v>0</v>
      </c>
      <c r="E294" s="482">
        <v>355036.7029450527</v>
      </c>
      <c r="F294" s="482">
        <v>0</v>
      </c>
      <c r="G294" s="482">
        <v>0</v>
      </c>
      <c r="H294" s="482"/>
      <c r="I294" s="482"/>
      <c r="J294" s="482"/>
      <c r="K294" s="482"/>
      <c r="L294" s="482"/>
      <c r="M294" s="482"/>
      <c r="N294" s="482">
        <f t="shared" si="7"/>
        <v>423381.44475541601</v>
      </c>
      <c r="O294" s="501"/>
    </row>
    <row r="295" spans="1:15">
      <c r="A295" s="486">
        <v>2032</v>
      </c>
      <c r="B295" s="486">
        <v>2</v>
      </c>
      <c r="C295" s="482">
        <v>64444.872161467487</v>
      </c>
      <c r="D295" s="482">
        <v>0</v>
      </c>
      <c r="E295" s="482">
        <v>344769.52321576461</v>
      </c>
      <c r="F295" s="482">
        <v>0</v>
      </c>
      <c r="G295" s="482">
        <v>0</v>
      </c>
      <c r="H295" s="482"/>
      <c r="I295" s="482"/>
      <c r="J295" s="482"/>
      <c r="K295" s="482"/>
      <c r="L295" s="482"/>
      <c r="M295" s="482"/>
      <c r="N295" s="482">
        <f t="shared" si="7"/>
        <v>409214.39537723211</v>
      </c>
      <c r="O295" s="501"/>
    </row>
    <row r="296" spans="1:15">
      <c r="A296" s="486">
        <v>2032</v>
      </c>
      <c r="B296" s="486">
        <v>3</v>
      </c>
      <c r="C296" s="482">
        <v>73643.810918803094</v>
      </c>
      <c r="D296" s="482">
        <v>0</v>
      </c>
      <c r="E296" s="482">
        <v>409159.957113215</v>
      </c>
      <c r="F296" s="482">
        <v>0</v>
      </c>
      <c r="G296" s="482">
        <v>0</v>
      </c>
      <c r="H296" s="482"/>
      <c r="I296" s="482"/>
      <c r="J296" s="482"/>
      <c r="K296" s="482"/>
      <c r="L296" s="482"/>
      <c r="M296" s="482"/>
      <c r="N296" s="482">
        <f t="shared" si="7"/>
        <v>482803.7680320181</v>
      </c>
      <c r="O296" s="501"/>
    </row>
    <row r="297" spans="1:15">
      <c r="A297" s="486">
        <v>2032</v>
      </c>
      <c r="B297" s="486">
        <v>4</v>
      </c>
      <c r="C297" s="482">
        <v>77322.123862933324</v>
      </c>
      <c r="D297" s="482">
        <v>0</v>
      </c>
      <c r="E297" s="482">
        <v>447500.46969328233</v>
      </c>
      <c r="F297" s="482">
        <v>0</v>
      </c>
      <c r="G297" s="482">
        <v>0</v>
      </c>
      <c r="H297" s="482"/>
      <c r="I297" s="482"/>
      <c r="J297" s="482"/>
      <c r="K297" s="482"/>
      <c r="L297" s="482"/>
      <c r="M297" s="482"/>
      <c r="N297" s="482">
        <f t="shared" si="7"/>
        <v>524822.59355621564</v>
      </c>
      <c r="O297" s="501"/>
    </row>
    <row r="298" spans="1:15">
      <c r="A298" s="486">
        <v>2032</v>
      </c>
      <c r="B298" s="486">
        <v>5</v>
      </c>
      <c r="C298" s="482">
        <v>87507.75174666266</v>
      </c>
      <c r="D298" s="482">
        <v>0</v>
      </c>
      <c r="E298" s="482">
        <v>453562.6301717282</v>
      </c>
      <c r="F298" s="482">
        <v>0</v>
      </c>
      <c r="G298" s="482">
        <v>0</v>
      </c>
      <c r="H298" s="482"/>
      <c r="I298" s="482"/>
      <c r="J298" s="482"/>
      <c r="K298" s="482"/>
      <c r="L298" s="482"/>
      <c r="M298" s="482"/>
      <c r="N298" s="482">
        <f t="shared" si="7"/>
        <v>541070.38191839086</v>
      </c>
      <c r="O298" s="501"/>
    </row>
    <row r="299" spans="1:15">
      <c r="A299" s="486">
        <v>2032</v>
      </c>
      <c r="B299" s="486">
        <v>6</v>
      </c>
      <c r="C299" s="482">
        <v>95235.645845148567</v>
      </c>
      <c r="D299" s="482">
        <v>0</v>
      </c>
      <c r="E299" s="482">
        <v>468428.35019218596</v>
      </c>
      <c r="F299" s="482">
        <v>0</v>
      </c>
      <c r="G299" s="482">
        <v>0</v>
      </c>
      <c r="H299" s="482"/>
      <c r="I299" s="482"/>
      <c r="J299" s="482"/>
      <c r="K299" s="482"/>
      <c r="L299" s="482"/>
      <c r="M299" s="482"/>
      <c r="N299" s="482">
        <f t="shared" si="7"/>
        <v>563663.99603733455</v>
      </c>
      <c r="O299" s="501"/>
    </row>
    <row r="300" spans="1:15">
      <c r="A300" s="486">
        <v>2032</v>
      </c>
      <c r="B300" s="486">
        <v>7</v>
      </c>
      <c r="C300" s="482">
        <v>104143.71763992883</v>
      </c>
      <c r="D300" s="482">
        <v>0</v>
      </c>
      <c r="E300" s="482">
        <v>440761.26941273076</v>
      </c>
      <c r="F300" s="482">
        <v>0</v>
      </c>
      <c r="G300" s="482">
        <v>0</v>
      </c>
      <c r="H300" s="482"/>
      <c r="I300" s="482"/>
      <c r="J300" s="482"/>
      <c r="K300" s="482"/>
      <c r="L300" s="482"/>
      <c r="M300" s="482"/>
      <c r="N300" s="482">
        <f t="shared" si="7"/>
        <v>544904.98705265962</v>
      </c>
      <c r="O300" s="501"/>
    </row>
    <row r="301" spans="1:15">
      <c r="A301" s="486">
        <v>2032</v>
      </c>
      <c r="B301" s="486">
        <v>8</v>
      </c>
      <c r="C301" s="482">
        <v>103253.37969269158</v>
      </c>
      <c r="D301" s="482">
        <v>0</v>
      </c>
      <c r="E301" s="482">
        <v>472809.6649779189</v>
      </c>
      <c r="F301" s="482">
        <v>0</v>
      </c>
      <c r="G301" s="482">
        <v>0</v>
      </c>
      <c r="H301" s="482"/>
      <c r="I301" s="482"/>
      <c r="J301" s="482"/>
      <c r="K301" s="482"/>
      <c r="L301" s="482"/>
      <c r="M301" s="482"/>
      <c r="N301" s="482">
        <f t="shared" si="7"/>
        <v>576063.04467061046</v>
      </c>
      <c r="O301" s="501"/>
    </row>
    <row r="302" spans="1:15">
      <c r="A302" s="486">
        <v>2032</v>
      </c>
      <c r="B302" s="486">
        <v>9</v>
      </c>
      <c r="C302" s="482">
        <v>87849.624519467601</v>
      </c>
      <c r="D302" s="482">
        <v>0</v>
      </c>
      <c r="E302" s="482">
        <v>466707.57227950421</v>
      </c>
      <c r="F302" s="482">
        <v>0</v>
      </c>
      <c r="G302" s="482">
        <v>0</v>
      </c>
      <c r="H302" s="482"/>
      <c r="I302" s="482"/>
      <c r="J302" s="482"/>
      <c r="K302" s="482"/>
      <c r="L302" s="482"/>
      <c r="M302" s="482"/>
      <c r="N302" s="482">
        <f t="shared" si="7"/>
        <v>554557.19679897185</v>
      </c>
      <c r="O302" s="501"/>
    </row>
    <row r="303" spans="1:15">
      <c r="A303" s="486">
        <v>2032</v>
      </c>
      <c r="B303" s="486">
        <v>10</v>
      </c>
      <c r="C303" s="482">
        <v>81227.05756197164</v>
      </c>
      <c r="D303" s="482">
        <v>0</v>
      </c>
      <c r="E303" s="482">
        <v>426750.01011201146</v>
      </c>
      <c r="F303" s="482">
        <v>0</v>
      </c>
      <c r="G303" s="482">
        <v>0</v>
      </c>
      <c r="H303" s="482"/>
      <c r="I303" s="482"/>
      <c r="J303" s="482"/>
      <c r="K303" s="482"/>
      <c r="L303" s="482"/>
      <c r="M303" s="482"/>
      <c r="N303" s="482">
        <f t="shared" si="7"/>
        <v>507977.06767398311</v>
      </c>
      <c r="O303" s="501"/>
    </row>
    <row r="304" spans="1:15">
      <c r="A304" s="486">
        <v>2032</v>
      </c>
      <c r="B304" s="486">
        <v>11</v>
      </c>
      <c r="C304" s="482">
        <v>66847.395108181488</v>
      </c>
      <c r="D304" s="482">
        <v>0</v>
      </c>
      <c r="E304" s="482">
        <v>388464.63351737586</v>
      </c>
      <c r="F304" s="482">
        <v>0</v>
      </c>
      <c r="G304" s="482">
        <v>0</v>
      </c>
      <c r="H304" s="482"/>
      <c r="I304" s="482"/>
      <c r="J304" s="482"/>
      <c r="K304" s="482"/>
      <c r="L304" s="482"/>
      <c r="M304" s="482"/>
      <c r="N304" s="482">
        <f t="shared" si="7"/>
        <v>455312.02862555732</v>
      </c>
      <c r="O304" s="501"/>
    </row>
    <row r="305" spans="1:15">
      <c r="A305" s="486">
        <v>2032</v>
      </c>
      <c r="B305" s="486">
        <v>12</v>
      </c>
      <c r="C305" s="482">
        <v>68975.157409430918</v>
      </c>
      <c r="D305" s="482">
        <v>0</v>
      </c>
      <c r="E305" s="482">
        <v>363861.34621087607</v>
      </c>
      <c r="F305" s="482">
        <v>0</v>
      </c>
      <c r="G305" s="482">
        <v>0</v>
      </c>
      <c r="H305" s="482"/>
      <c r="I305" s="482"/>
      <c r="J305" s="482"/>
      <c r="K305" s="482"/>
      <c r="L305" s="482"/>
      <c r="M305" s="482"/>
      <c r="N305" s="482">
        <f t="shared" si="7"/>
        <v>432836.50362030696</v>
      </c>
      <c r="O305" s="501"/>
    </row>
    <row r="306" spans="1:15">
      <c r="A306" s="486">
        <v>2033</v>
      </c>
      <c r="B306" s="486">
        <v>1</v>
      </c>
      <c r="C306" s="482">
        <v>69185.003654926433</v>
      </c>
      <c r="D306" s="482">
        <v>0</v>
      </c>
      <c r="E306" s="482">
        <v>360362.25349250803</v>
      </c>
      <c r="F306" s="482">
        <v>0</v>
      </c>
      <c r="G306" s="482">
        <v>0</v>
      </c>
      <c r="H306" s="482"/>
      <c r="I306" s="482"/>
      <c r="J306" s="482"/>
      <c r="K306" s="482"/>
      <c r="L306" s="482"/>
      <c r="M306" s="482"/>
      <c r="N306" s="482">
        <f t="shared" si="7"/>
        <v>429547.25714743446</v>
      </c>
      <c r="O306" s="501"/>
    </row>
    <row r="307" spans="1:15">
      <c r="A307" s="486">
        <v>2033</v>
      </c>
      <c r="B307" s="486">
        <v>2</v>
      </c>
      <c r="C307" s="482">
        <v>65237.187206058312</v>
      </c>
      <c r="D307" s="482">
        <v>0</v>
      </c>
      <c r="E307" s="482">
        <v>349941.06606718578</v>
      </c>
      <c r="F307" s="482">
        <v>0</v>
      </c>
      <c r="G307" s="482">
        <v>0</v>
      </c>
      <c r="H307" s="482"/>
      <c r="I307" s="482"/>
      <c r="J307" s="482"/>
      <c r="K307" s="482"/>
      <c r="L307" s="482"/>
      <c r="M307" s="482"/>
      <c r="N307" s="482">
        <f t="shared" si="7"/>
        <v>415178.25327324407</v>
      </c>
      <c r="O307" s="501"/>
    </row>
    <row r="308" spans="1:15">
      <c r="A308" s="486">
        <v>2033</v>
      </c>
      <c r="B308" s="486">
        <v>3</v>
      </c>
      <c r="C308" s="482">
        <v>74549.221968200058</v>
      </c>
      <c r="D308" s="482">
        <v>0</v>
      </c>
      <c r="E308" s="482">
        <v>415297.35647369269</v>
      </c>
      <c r="F308" s="482">
        <v>0</v>
      </c>
      <c r="G308" s="482">
        <v>0</v>
      </c>
      <c r="H308" s="482"/>
      <c r="I308" s="482"/>
      <c r="J308" s="482"/>
      <c r="K308" s="482"/>
      <c r="L308" s="482"/>
      <c r="M308" s="482"/>
      <c r="N308" s="482">
        <f t="shared" si="7"/>
        <v>489846.57844189275</v>
      </c>
      <c r="O308" s="501"/>
    </row>
    <row r="309" spans="1:15">
      <c r="A309" s="486">
        <v>2033</v>
      </c>
      <c r="B309" s="486">
        <v>4</v>
      </c>
      <c r="C309" s="482">
        <v>78272.757791771248</v>
      </c>
      <c r="D309" s="482">
        <v>0</v>
      </c>
      <c r="E309" s="482">
        <v>454212.97674281523</v>
      </c>
      <c r="F309" s="482">
        <v>0</v>
      </c>
      <c r="G309" s="482">
        <v>0</v>
      </c>
      <c r="H309" s="482"/>
      <c r="I309" s="482"/>
      <c r="J309" s="482"/>
      <c r="K309" s="482"/>
      <c r="L309" s="482"/>
      <c r="M309" s="482"/>
      <c r="N309" s="482">
        <f t="shared" si="7"/>
        <v>532485.73453458643</v>
      </c>
      <c r="O309" s="501"/>
    </row>
    <row r="310" spans="1:15">
      <c r="A310" s="486">
        <v>2033</v>
      </c>
      <c r="B310" s="486">
        <v>5</v>
      </c>
      <c r="C310" s="482">
        <v>88583.612492471628</v>
      </c>
      <c r="D310" s="482">
        <v>0</v>
      </c>
      <c r="E310" s="482">
        <v>460366.06962849374</v>
      </c>
      <c r="F310" s="482">
        <v>0</v>
      </c>
      <c r="G310" s="482">
        <v>0</v>
      </c>
      <c r="H310" s="482"/>
      <c r="I310" s="482"/>
      <c r="J310" s="482"/>
      <c r="K310" s="482"/>
      <c r="L310" s="482"/>
      <c r="M310" s="482"/>
      <c r="N310" s="482">
        <f t="shared" si="7"/>
        <v>548949.68212096533</v>
      </c>
      <c r="O310" s="501"/>
    </row>
    <row r="311" spans="1:15">
      <c r="A311" s="486">
        <v>2033</v>
      </c>
      <c r="B311" s="486">
        <v>6</v>
      </c>
      <c r="C311" s="482">
        <v>96406.516892815096</v>
      </c>
      <c r="D311" s="482">
        <v>0</v>
      </c>
      <c r="E311" s="482">
        <v>475454.7754493957</v>
      </c>
      <c r="F311" s="482">
        <v>0</v>
      </c>
      <c r="G311" s="482">
        <v>0</v>
      </c>
      <c r="H311" s="482"/>
      <c r="I311" s="482"/>
      <c r="J311" s="482"/>
      <c r="K311" s="482"/>
      <c r="L311" s="482"/>
      <c r="M311" s="482"/>
      <c r="N311" s="482">
        <f t="shared" si="7"/>
        <v>571861.29234221077</v>
      </c>
      <c r="O311" s="501"/>
    </row>
    <row r="312" spans="1:15">
      <c r="A312" s="486">
        <v>2033</v>
      </c>
      <c r="B312" s="486">
        <v>7</v>
      </c>
      <c r="C312" s="482">
        <v>105424.10863952598</v>
      </c>
      <c r="D312" s="482">
        <v>0</v>
      </c>
      <c r="E312" s="482">
        <v>447372.68845799309</v>
      </c>
      <c r="F312" s="482">
        <v>0</v>
      </c>
      <c r="G312" s="482">
        <v>0</v>
      </c>
      <c r="H312" s="482"/>
      <c r="I312" s="482"/>
      <c r="J312" s="482"/>
      <c r="K312" s="482"/>
      <c r="L312" s="482"/>
      <c r="M312" s="482"/>
      <c r="N312" s="482">
        <f t="shared" si="7"/>
        <v>552796.79709751904</v>
      </c>
      <c r="O312" s="501"/>
    </row>
    <row r="313" spans="1:15">
      <c r="A313" s="486">
        <v>2033</v>
      </c>
      <c r="B313" s="486">
        <v>8</v>
      </c>
      <c r="C313" s="482">
        <v>104522.82446605375</v>
      </c>
      <c r="D313" s="482">
        <v>0</v>
      </c>
      <c r="E313" s="482">
        <v>479901.80995695514</v>
      </c>
      <c r="F313" s="482">
        <v>0</v>
      </c>
      <c r="G313" s="482">
        <v>0</v>
      </c>
      <c r="H313" s="482"/>
      <c r="I313" s="482"/>
      <c r="J313" s="482"/>
      <c r="K313" s="482"/>
      <c r="L313" s="482"/>
      <c r="M313" s="482"/>
      <c r="N313" s="482">
        <f t="shared" si="7"/>
        <v>584424.63442300889</v>
      </c>
      <c r="O313" s="501"/>
    </row>
    <row r="314" spans="1:15">
      <c r="A314" s="486">
        <v>2033</v>
      </c>
      <c r="B314" s="486">
        <v>9</v>
      </c>
      <c r="C314" s="482">
        <v>88929.688407158043</v>
      </c>
      <c r="D314" s="482">
        <v>0</v>
      </c>
      <c r="E314" s="482">
        <v>473708.18586800783</v>
      </c>
      <c r="F314" s="482">
        <v>0</v>
      </c>
      <c r="G314" s="482">
        <v>0</v>
      </c>
      <c r="H314" s="482"/>
      <c r="I314" s="482"/>
      <c r="J314" s="482"/>
      <c r="K314" s="482"/>
      <c r="L314" s="482"/>
      <c r="M314" s="482"/>
      <c r="N314" s="482">
        <f t="shared" si="7"/>
        <v>562637.87427516584</v>
      </c>
      <c r="O314" s="501"/>
    </row>
    <row r="315" spans="1:15">
      <c r="A315" s="486">
        <v>2033</v>
      </c>
      <c r="B315" s="486">
        <v>10</v>
      </c>
      <c r="C315" s="482">
        <v>82225.700550554902</v>
      </c>
      <c r="D315" s="482">
        <v>0</v>
      </c>
      <c r="E315" s="482">
        <v>433151.2602676336</v>
      </c>
      <c r="F315" s="482">
        <v>0</v>
      </c>
      <c r="G315" s="482">
        <v>0</v>
      </c>
      <c r="H315" s="482"/>
      <c r="I315" s="482"/>
      <c r="J315" s="482"/>
      <c r="K315" s="482"/>
      <c r="L315" s="482"/>
      <c r="M315" s="482"/>
      <c r="N315" s="482">
        <f t="shared" si="7"/>
        <v>515376.9608181885</v>
      </c>
      <c r="O315" s="501"/>
    </row>
    <row r="316" spans="1:15">
      <c r="A316" s="486">
        <v>2033</v>
      </c>
      <c r="B316" s="486">
        <v>11</v>
      </c>
      <c r="C316" s="482">
        <v>67669.247880318522</v>
      </c>
      <c r="D316" s="482">
        <v>0</v>
      </c>
      <c r="E316" s="482">
        <v>394291.60302372481</v>
      </c>
      <c r="F316" s="482">
        <v>0</v>
      </c>
      <c r="G316" s="482">
        <v>0</v>
      </c>
      <c r="H316" s="482"/>
      <c r="I316" s="482"/>
      <c r="J316" s="482"/>
      <c r="K316" s="482"/>
      <c r="L316" s="482"/>
      <c r="M316" s="482"/>
      <c r="N316" s="482">
        <f t="shared" si="7"/>
        <v>461960.8509040433</v>
      </c>
      <c r="O316" s="501"/>
    </row>
    <row r="317" spans="1:15">
      <c r="A317" s="486">
        <v>2033</v>
      </c>
      <c r="B317" s="486">
        <v>12</v>
      </c>
      <c r="C317" s="482">
        <v>69823.169874745217</v>
      </c>
      <c r="D317" s="482">
        <v>0</v>
      </c>
      <c r="E317" s="482">
        <v>369319.26640740025</v>
      </c>
      <c r="F317" s="482">
        <v>0</v>
      </c>
      <c r="G317" s="482">
        <v>0</v>
      </c>
      <c r="H317" s="482"/>
      <c r="I317" s="482"/>
      <c r="J317" s="482"/>
      <c r="K317" s="482"/>
      <c r="L317" s="482"/>
      <c r="M317" s="482"/>
      <c r="N317" s="482">
        <f t="shared" si="7"/>
        <v>439142.43628214544</v>
      </c>
      <c r="O317" s="501"/>
    </row>
    <row r="318" spans="1:15">
      <c r="A318" s="486">
        <v>2034</v>
      </c>
      <c r="B318" s="486">
        <v>1</v>
      </c>
      <c r="C318" s="482">
        <v>70035.59606697323</v>
      </c>
      <c r="D318" s="482">
        <v>0</v>
      </c>
      <c r="E318" s="482">
        <v>365767.68729822437</v>
      </c>
      <c r="F318" s="482">
        <v>0</v>
      </c>
      <c r="G318" s="482">
        <v>0</v>
      </c>
      <c r="H318" s="482"/>
      <c r="I318" s="482"/>
      <c r="J318" s="482"/>
      <c r="K318" s="482"/>
      <c r="L318" s="482"/>
      <c r="M318" s="482"/>
      <c r="N318" s="482">
        <f t="shared" si="7"/>
        <v>435803.2833651976</v>
      </c>
      <c r="O318" s="501"/>
    </row>
    <row r="319" spans="1:15">
      <c r="A319" s="486">
        <v>2034</v>
      </c>
      <c r="B319" s="486">
        <v>2</v>
      </c>
      <c r="C319" s="482">
        <v>66039.243338013111</v>
      </c>
      <c r="D319" s="482">
        <v>0</v>
      </c>
      <c r="E319" s="482">
        <v>355190.18206142605</v>
      </c>
      <c r="F319" s="482">
        <v>0</v>
      </c>
      <c r="G319" s="482">
        <v>0</v>
      </c>
      <c r="H319" s="482"/>
      <c r="I319" s="482"/>
      <c r="J319" s="482"/>
      <c r="K319" s="482"/>
      <c r="L319" s="482"/>
      <c r="M319" s="482"/>
      <c r="N319" s="482">
        <f t="shared" si="7"/>
        <v>421229.42539943918</v>
      </c>
      <c r="O319" s="501"/>
    </row>
    <row r="320" spans="1:15">
      <c r="A320" s="486">
        <v>2034</v>
      </c>
      <c r="B320" s="486">
        <v>3</v>
      </c>
      <c r="C320" s="482">
        <v>75465.764559516727</v>
      </c>
      <c r="D320" s="482">
        <v>0</v>
      </c>
      <c r="E320" s="482">
        <v>421526.81682463427</v>
      </c>
      <c r="F320" s="482">
        <v>0</v>
      </c>
      <c r="G320" s="482">
        <v>0</v>
      </c>
      <c r="H320" s="482"/>
      <c r="I320" s="482"/>
      <c r="J320" s="482"/>
      <c r="K320" s="482"/>
      <c r="L320" s="482"/>
      <c r="M320" s="482"/>
      <c r="N320" s="482">
        <f t="shared" si="7"/>
        <v>496992.58138415101</v>
      </c>
      <c r="O320" s="501"/>
    </row>
    <row r="321" spans="1:15">
      <c r="A321" s="486">
        <v>2034</v>
      </c>
      <c r="B321" s="486">
        <v>4</v>
      </c>
      <c r="C321" s="482">
        <v>79235.079253510616</v>
      </c>
      <c r="D321" s="482">
        <v>0</v>
      </c>
      <c r="E321" s="482">
        <v>461026.17139815312</v>
      </c>
      <c r="F321" s="482">
        <v>0</v>
      </c>
      <c r="G321" s="482">
        <v>0</v>
      </c>
      <c r="H321" s="482"/>
      <c r="I321" s="482"/>
      <c r="J321" s="482"/>
      <c r="K321" s="482"/>
      <c r="L321" s="482"/>
      <c r="M321" s="482"/>
      <c r="N321" s="482">
        <f t="shared" si="7"/>
        <v>540261.25065166375</v>
      </c>
      <c r="O321" s="501"/>
    </row>
    <row r="322" spans="1:15">
      <c r="A322" s="486">
        <v>2034</v>
      </c>
      <c r="B322" s="486">
        <v>5</v>
      </c>
      <c r="C322" s="482">
        <v>89672.700367549362</v>
      </c>
      <c r="D322" s="482">
        <v>0</v>
      </c>
      <c r="E322" s="482">
        <v>467271.56067717361</v>
      </c>
      <c r="F322" s="482">
        <v>0</v>
      </c>
      <c r="G322" s="482">
        <v>0</v>
      </c>
      <c r="H322" s="482"/>
      <c r="I322" s="482"/>
      <c r="J322" s="482"/>
      <c r="K322" s="482"/>
      <c r="L322" s="482"/>
      <c r="M322" s="482"/>
      <c r="N322" s="482">
        <f t="shared" si="7"/>
        <v>556944.26104472298</v>
      </c>
      <c r="O322" s="501"/>
    </row>
    <row r="323" spans="1:15">
      <c r="A323" s="486">
        <v>2034</v>
      </c>
      <c r="B323" s="486">
        <v>6</v>
      </c>
      <c r="C323" s="482">
        <v>97591.783170314928</v>
      </c>
      <c r="D323" s="482">
        <v>0</v>
      </c>
      <c r="E323" s="482">
        <v>482586.59708552848</v>
      </c>
      <c r="F323" s="482">
        <v>0</v>
      </c>
      <c r="G323" s="482">
        <v>0</v>
      </c>
      <c r="H323" s="482"/>
      <c r="I323" s="482"/>
      <c r="J323" s="482"/>
      <c r="K323" s="482"/>
      <c r="L323" s="482"/>
      <c r="M323" s="482"/>
      <c r="N323" s="482">
        <f t="shared" si="7"/>
        <v>580178.3802558434</v>
      </c>
      <c r="O323" s="501"/>
    </row>
    <row r="324" spans="1:15">
      <c r="A324" s="486">
        <v>2034</v>
      </c>
      <c r="B324" s="486">
        <v>7</v>
      </c>
      <c r="C324" s="482">
        <v>106720.24135786528</v>
      </c>
      <c r="D324" s="482">
        <v>0</v>
      </c>
      <c r="E324" s="482">
        <v>454083.27878899546</v>
      </c>
      <c r="F324" s="482">
        <v>0</v>
      </c>
      <c r="G324" s="482">
        <v>0</v>
      </c>
      <c r="H324" s="482"/>
      <c r="I324" s="482"/>
      <c r="J324" s="482"/>
      <c r="K324" s="482"/>
      <c r="L324" s="482"/>
      <c r="M324" s="482"/>
      <c r="N324" s="482">
        <f t="shared" si="7"/>
        <v>560803.52014686074</v>
      </c>
      <c r="O324" s="501"/>
    </row>
    <row r="325" spans="1:15">
      <c r="A325" s="486">
        <v>2034</v>
      </c>
      <c r="B325" s="486">
        <v>8</v>
      </c>
      <c r="C325" s="482">
        <v>105807.8763801934</v>
      </c>
      <c r="D325" s="482">
        <v>0</v>
      </c>
      <c r="E325" s="482">
        <v>487100.3371107424</v>
      </c>
      <c r="F325" s="482">
        <v>0</v>
      </c>
      <c r="G325" s="482">
        <v>0</v>
      </c>
      <c r="H325" s="482"/>
      <c r="I325" s="482"/>
      <c r="J325" s="482"/>
      <c r="K325" s="482"/>
      <c r="L325" s="482"/>
      <c r="M325" s="482"/>
      <c r="N325" s="482">
        <f t="shared" si="7"/>
        <v>592908.21349093574</v>
      </c>
      <c r="O325" s="501"/>
    </row>
    <row r="326" spans="1:15">
      <c r="A326" s="486">
        <v>2034</v>
      </c>
      <c r="B326" s="486">
        <v>9</v>
      </c>
      <c r="C326" s="482">
        <v>90023.031099486223</v>
      </c>
      <c r="D326" s="482">
        <v>0</v>
      </c>
      <c r="E326" s="482">
        <v>480813.80866040365</v>
      </c>
      <c r="F326" s="482">
        <v>0</v>
      </c>
      <c r="G326" s="482">
        <v>0</v>
      </c>
      <c r="H326" s="482"/>
      <c r="I326" s="482"/>
      <c r="J326" s="482"/>
      <c r="K326" s="482"/>
      <c r="L326" s="482"/>
      <c r="M326" s="482"/>
      <c r="N326" s="482">
        <f t="shared" si="7"/>
        <v>570836.83975988987</v>
      </c>
      <c r="O326" s="501"/>
    </row>
    <row r="327" spans="1:15">
      <c r="A327" s="486">
        <v>2034</v>
      </c>
      <c r="B327" s="486">
        <v>10</v>
      </c>
      <c r="C327" s="482">
        <v>83236.621317609781</v>
      </c>
      <c r="D327" s="482">
        <v>0</v>
      </c>
      <c r="E327" s="482">
        <v>439648.52917564922</v>
      </c>
      <c r="F327" s="482">
        <v>0</v>
      </c>
      <c r="G327" s="482">
        <v>0</v>
      </c>
      <c r="H327" s="482"/>
      <c r="I327" s="482"/>
      <c r="J327" s="482"/>
      <c r="K327" s="482"/>
      <c r="L327" s="482"/>
      <c r="M327" s="482"/>
      <c r="N327" s="482">
        <f t="shared" ref="N327:N390" si="8">SUM(C327:M327)</f>
        <v>522885.15049325902</v>
      </c>
      <c r="O327" s="501"/>
    </row>
    <row r="328" spans="1:15">
      <c r="A328" s="486">
        <v>2034</v>
      </c>
      <c r="B328" s="486">
        <v>11</v>
      </c>
      <c r="C328" s="482">
        <v>68501.204890294233</v>
      </c>
      <c r="D328" s="482">
        <v>0</v>
      </c>
      <c r="E328" s="482">
        <v>400205.9770727228</v>
      </c>
      <c r="F328" s="482">
        <v>0</v>
      </c>
      <c r="G328" s="482">
        <v>0</v>
      </c>
      <c r="H328" s="482"/>
      <c r="I328" s="482"/>
      <c r="J328" s="482"/>
      <c r="K328" s="482"/>
      <c r="L328" s="482"/>
      <c r="M328" s="482"/>
      <c r="N328" s="482">
        <f t="shared" si="8"/>
        <v>468707.18196301704</v>
      </c>
      <c r="O328" s="501"/>
    </row>
    <row r="329" spans="1:15">
      <c r="A329" s="486">
        <v>2034</v>
      </c>
      <c r="B329" s="486">
        <v>12</v>
      </c>
      <c r="C329" s="482">
        <v>70681.608197257054</v>
      </c>
      <c r="D329" s="482">
        <v>0</v>
      </c>
      <c r="E329" s="482">
        <v>374859.05540692271</v>
      </c>
      <c r="F329" s="482">
        <v>0</v>
      </c>
      <c r="G329" s="482">
        <v>0</v>
      </c>
      <c r="H329" s="482"/>
      <c r="I329" s="482"/>
      <c r="J329" s="482"/>
      <c r="K329" s="482"/>
      <c r="L329" s="482"/>
      <c r="M329" s="482"/>
      <c r="N329" s="482">
        <f t="shared" si="8"/>
        <v>445540.66360417975</v>
      </c>
      <c r="O329" s="501"/>
    </row>
    <row r="330" spans="1:15">
      <c r="A330" s="486">
        <v>2035</v>
      </c>
      <c r="B330" s="486">
        <v>1</v>
      </c>
      <c r="C330" s="482">
        <v>70896.646055275138</v>
      </c>
      <c r="D330" s="482">
        <v>0</v>
      </c>
      <c r="E330" s="482">
        <v>371254.20261107641</v>
      </c>
      <c r="F330" s="482">
        <v>0</v>
      </c>
      <c r="G330" s="482">
        <v>0</v>
      </c>
      <c r="H330" s="482"/>
      <c r="I330" s="482"/>
      <c r="J330" s="482"/>
      <c r="K330" s="482"/>
      <c r="L330" s="482"/>
      <c r="M330" s="482"/>
      <c r="N330" s="482">
        <f t="shared" si="8"/>
        <v>442150.84866635152</v>
      </c>
      <c r="O330" s="501"/>
    </row>
    <row r="331" spans="1:15">
      <c r="A331" s="486">
        <v>2035</v>
      </c>
      <c r="B331" s="486">
        <v>2</v>
      </c>
      <c r="C331" s="482">
        <v>66851.160318762253</v>
      </c>
      <c r="D331" s="482">
        <v>0</v>
      </c>
      <c r="E331" s="482">
        <v>360518.03479562839</v>
      </c>
      <c r="F331" s="482">
        <v>0</v>
      </c>
      <c r="G331" s="482">
        <v>0</v>
      </c>
      <c r="H331" s="482"/>
      <c r="I331" s="482"/>
      <c r="J331" s="482"/>
      <c r="K331" s="482"/>
      <c r="L331" s="482"/>
      <c r="M331" s="482"/>
      <c r="N331" s="482">
        <f t="shared" si="8"/>
        <v>427369.19511439063</v>
      </c>
      <c r="O331" s="501"/>
    </row>
    <row r="332" spans="1:15">
      <c r="A332" s="486">
        <v>2035</v>
      </c>
      <c r="B332" s="486">
        <v>3</v>
      </c>
      <c r="C332" s="482">
        <v>76393.575549074434</v>
      </c>
      <c r="D332" s="482">
        <v>0</v>
      </c>
      <c r="E332" s="482">
        <v>427849.71908089751</v>
      </c>
      <c r="F332" s="482">
        <v>0</v>
      </c>
      <c r="G332" s="482">
        <v>0</v>
      </c>
      <c r="H332" s="482"/>
      <c r="I332" s="482"/>
      <c r="J332" s="482"/>
      <c r="K332" s="482"/>
      <c r="L332" s="482"/>
      <c r="M332" s="482"/>
      <c r="N332" s="482">
        <f t="shared" si="8"/>
        <v>504243.29462997196</v>
      </c>
      <c r="O332" s="501"/>
    </row>
    <row r="333" spans="1:15">
      <c r="A333" s="486">
        <v>2035</v>
      </c>
      <c r="B333" s="486">
        <v>4</v>
      </c>
      <c r="C333" s="482">
        <v>80209.231940082856</v>
      </c>
      <c r="D333" s="482">
        <v>0</v>
      </c>
      <c r="E333" s="482">
        <v>467941.56397338398</v>
      </c>
      <c r="F333" s="482">
        <v>0</v>
      </c>
      <c r="G333" s="482">
        <v>0</v>
      </c>
      <c r="H333" s="482"/>
      <c r="I333" s="482"/>
      <c r="J333" s="482"/>
      <c r="K333" s="482"/>
      <c r="L333" s="482"/>
      <c r="M333" s="482"/>
      <c r="N333" s="482">
        <f t="shared" si="8"/>
        <v>548150.79591346683</v>
      </c>
      <c r="O333" s="501"/>
    </row>
    <row r="334" spans="1:15">
      <c r="A334" s="486">
        <v>2035</v>
      </c>
      <c r="B334" s="486">
        <v>5</v>
      </c>
      <c r="C334" s="482">
        <v>90775.177992336641</v>
      </c>
      <c r="D334" s="482">
        <v>0</v>
      </c>
      <c r="E334" s="482">
        <v>474280.63409164746</v>
      </c>
      <c r="F334" s="482">
        <v>0</v>
      </c>
      <c r="G334" s="482">
        <v>0</v>
      </c>
      <c r="H334" s="482"/>
      <c r="I334" s="482"/>
      <c r="J334" s="482"/>
      <c r="K334" s="482"/>
      <c r="L334" s="482"/>
      <c r="M334" s="482"/>
      <c r="N334" s="482">
        <f t="shared" si="8"/>
        <v>565055.81208398414</v>
      </c>
      <c r="O334" s="501"/>
    </row>
    <row r="335" spans="1:15">
      <c r="A335" s="486">
        <v>2035</v>
      </c>
      <c r="B335" s="486">
        <v>6</v>
      </c>
      <c r="C335" s="482">
        <v>98791.621659257071</v>
      </c>
      <c r="D335" s="482">
        <v>0</v>
      </c>
      <c r="E335" s="482">
        <v>489825.39604626916</v>
      </c>
      <c r="F335" s="482">
        <v>0</v>
      </c>
      <c r="G335" s="482">
        <v>0</v>
      </c>
      <c r="H335" s="482"/>
      <c r="I335" s="482"/>
      <c r="J335" s="482"/>
      <c r="K335" s="482"/>
      <c r="L335" s="482"/>
      <c r="M335" s="482"/>
      <c r="N335" s="482">
        <f t="shared" si="8"/>
        <v>588617.0177055262</v>
      </c>
      <c r="O335" s="501"/>
    </row>
    <row r="336" spans="1:15">
      <c r="A336" s="486">
        <v>2035</v>
      </c>
      <c r="B336" s="486">
        <v>7</v>
      </c>
      <c r="C336" s="482">
        <v>108032.30933091271</v>
      </c>
      <c r="D336" s="482">
        <v>0</v>
      </c>
      <c r="E336" s="482">
        <v>460894.52797502483</v>
      </c>
      <c r="F336" s="482">
        <v>0</v>
      </c>
      <c r="G336" s="482">
        <v>0</v>
      </c>
      <c r="H336" s="482"/>
      <c r="I336" s="482"/>
      <c r="J336" s="482"/>
      <c r="K336" s="482"/>
      <c r="L336" s="482"/>
      <c r="M336" s="482"/>
      <c r="N336" s="482">
        <f t="shared" si="8"/>
        <v>568926.83730593754</v>
      </c>
      <c r="O336" s="501"/>
    </row>
    <row r="337" spans="1:15">
      <c r="A337" s="486">
        <v>2035</v>
      </c>
      <c r="B337" s="486">
        <v>8</v>
      </c>
      <c r="C337" s="482">
        <v>107108.72731651284</v>
      </c>
      <c r="D337" s="482">
        <v>0</v>
      </c>
      <c r="E337" s="482">
        <v>494406.842171903</v>
      </c>
      <c r="F337" s="482">
        <v>0</v>
      </c>
      <c r="G337" s="482">
        <v>0</v>
      </c>
      <c r="H337" s="482"/>
      <c r="I337" s="482"/>
      <c r="J337" s="482"/>
      <c r="K337" s="482"/>
      <c r="L337" s="482"/>
      <c r="M337" s="482"/>
      <c r="N337" s="482">
        <f t="shared" si="8"/>
        <v>601515.56948841584</v>
      </c>
      <c r="O337" s="501"/>
    </row>
    <row r="338" spans="1:15">
      <c r="A338" s="486">
        <v>2035</v>
      </c>
      <c r="B338" s="486">
        <v>9</v>
      </c>
      <c r="C338" s="482">
        <v>91129.815852213782</v>
      </c>
      <c r="D338" s="482">
        <v>0</v>
      </c>
      <c r="E338" s="482">
        <v>488026.01579475106</v>
      </c>
      <c r="F338" s="482">
        <v>0</v>
      </c>
      <c r="G338" s="482">
        <v>0</v>
      </c>
      <c r="H338" s="482"/>
      <c r="I338" s="482"/>
      <c r="J338" s="482"/>
      <c r="K338" s="482"/>
      <c r="L338" s="482"/>
      <c r="M338" s="482"/>
      <c r="N338" s="482">
        <f t="shared" si="8"/>
        <v>579155.83164696489</v>
      </c>
      <c r="O338" s="501"/>
    </row>
    <row r="339" spans="1:15">
      <c r="A339" s="486">
        <v>2035</v>
      </c>
      <c r="B339" s="486">
        <v>10</v>
      </c>
      <c r="C339" s="482">
        <v>84259.970811819556</v>
      </c>
      <c r="D339" s="482">
        <v>0</v>
      </c>
      <c r="E339" s="482">
        <v>446243.25711734506</v>
      </c>
      <c r="F339" s="482">
        <v>0</v>
      </c>
      <c r="G339" s="482">
        <v>0</v>
      </c>
      <c r="H339" s="482"/>
      <c r="I339" s="482"/>
      <c r="J339" s="482"/>
      <c r="K339" s="482"/>
      <c r="L339" s="482"/>
      <c r="M339" s="482"/>
      <c r="N339" s="482">
        <f t="shared" si="8"/>
        <v>530503.22792916466</v>
      </c>
      <c r="O339" s="501"/>
    </row>
    <row r="340" spans="1:15">
      <c r="A340" s="486">
        <v>2035</v>
      </c>
      <c r="B340" s="486">
        <v>11</v>
      </c>
      <c r="C340" s="482">
        <v>69343.390364278763</v>
      </c>
      <c r="D340" s="482">
        <v>0</v>
      </c>
      <c r="E340" s="482">
        <v>406209.0667325104</v>
      </c>
      <c r="F340" s="482">
        <v>0</v>
      </c>
      <c r="G340" s="482">
        <v>0</v>
      </c>
      <c r="H340" s="482"/>
      <c r="I340" s="482"/>
      <c r="J340" s="482"/>
      <c r="K340" s="482"/>
      <c r="L340" s="482"/>
      <c r="M340" s="482"/>
      <c r="N340" s="482">
        <f t="shared" si="8"/>
        <v>475552.45709678915</v>
      </c>
      <c r="O340" s="501"/>
    </row>
    <row r="341" spans="1:15">
      <c r="A341" s="486">
        <v>2035</v>
      </c>
      <c r="B341" s="486">
        <v>12</v>
      </c>
      <c r="C341" s="482">
        <v>71550.600557273618</v>
      </c>
      <c r="D341" s="482">
        <v>0</v>
      </c>
      <c r="E341" s="482">
        <v>380481.9412414892</v>
      </c>
      <c r="F341" s="482">
        <v>0</v>
      </c>
      <c r="G341" s="482">
        <v>0</v>
      </c>
      <c r="H341" s="482"/>
      <c r="I341" s="482"/>
      <c r="J341" s="482"/>
      <c r="K341" s="482"/>
      <c r="L341" s="482"/>
      <c r="M341" s="482"/>
      <c r="N341" s="482">
        <f t="shared" si="8"/>
        <v>452032.5417987628</v>
      </c>
      <c r="O341" s="501"/>
    </row>
    <row r="342" spans="1:15">
      <c r="A342" s="486">
        <v>2036</v>
      </c>
      <c r="B342" s="486">
        <v>1</v>
      </c>
      <c r="C342" s="482">
        <v>71768.282190108104</v>
      </c>
      <c r="D342" s="482">
        <v>0</v>
      </c>
      <c r="E342" s="482">
        <v>376823.01565367193</v>
      </c>
      <c r="F342" s="482">
        <v>0</v>
      </c>
      <c r="G342" s="482">
        <v>0</v>
      </c>
      <c r="H342" s="482"/>
      <c r="I342" s="482"/>
      <c r="J342" s="482"/>
      <c r="K342" s="482"/>
      <c r="L342" s="482"/>
      <c r="M342" s="482"/>
      <c r="N342" s="482">
        <f t="shared" si="8"/>
        <v>448591.29784378002</v>
      </c>
      <c r="O342" s="501"/>
    </row>
    <row r="343" spans="1:15">
      <c r="A343" s="486">
        <v>2036</v>
      </c>
      <c r="B343" s="486">
        <v>2</v>
      </c>
      <c r="C343" s="482">
        <v>67673.059382138468</v>
      </c>
      <c r="D343" s="482">
        <v>0</v>
      </c>
      <c r="E343" s="482">
        <v>365925.80532089301</v>
      </c>
      <c r="F343" s="482">
        <v>0</v>
      </c>
      <c r="G343" s="482">
        <v>0</v>
      </c>
      <c r="H343" s="482"/>
      <c r="I343" s="482"/>
      <c r="J343" s="482"/>
      <c r="K343" s="482"/>
      <c r="L343" s="482"/>
      <c r="M343" s="482"/>
      <c r="N343" s="482">
        <f t="shared" si="8"/>
        <v>433598.86470303149</v>
      </c>
      <c r="O343" s="501"/>
    </row>
    <row r="344" spans="1:15">
      <c r="A344" s="486">
        <v>2036</v>
      </c>
      <c r="B344" s="486">
        <v>3</v>
      </c>
      <c r="C344" s="482">
        <v>77332.793475769373</v>
      </c>
      <c r="D344" s="482">
        <v>0</v>
      </c>
      <c r="E344" s="482">
        <v>434267.46487106313</v>
      </c>
      <c r="F344" s="482">
        <v>0</v>
      </c>
      <c r="G344" s="482">
        <v>0</v>
      </c>
      <c r="H344" s="482"/>
      <c r="I344" s="482"/>
      <c r="J344" s="482"/>
      <c r="K344" s="482"/>
      <c r="L344" s="482"/>
      <c r="M344" s="482"/>
      <c r="N344" s="482">
        <f t="shared" si="8"/>
        <v>511600.25834683247</v>
      </c>
      <c r="O344" s="501"/>
    </row>
    <row r="345" spans="1:15">
      <c r="A345" s="486">
        <v>2036</v>
      </c>
      <c r="B345" s="486">
        <v>4</v>
      </c>
      <c r="C345" s="482">
        <v>81195.361310034437</v>
      </c>
      <c r="D345" s="482">
        <v>0</v>
      </c>
      <c r="E345" s="482">
        <v>474960.68743730721</v>
      </c>
      <c r="F345" s="482">
        <v>0</v>
      </c>
      <c r="G345" s="482">
        <v>0</v>
      </c>
      <c r="H345" s="482"/>
      <c r="I345" s="482"/>
      <c r="J345" s="482"/>
      <c r="K345" s="482"/>
      <c r="L345" s="482"/>
      <c r="M345" s="482"/>
      <c r="N345" s="482">
        <f t="shared" si="8"/>
        <v>556156.04874734161</v>
      </c>
      <c r="O345" s="501"/>
    </row>
    <row r="346" spans="1:15">
      <c r="A346" s="486">
        <v>2036</v>
      </c>
      <c r="B346" s="486">
        <v>5</v>
      </c>
      <c r="C346" s="482">
        <v>91891.209986605099</v>
      </c>
      <c r="D346" s="482">
        <v>0</v>
      </c>
      <c r="E346" s="482">
        <v>481394.84360740316</v>
      </c>
      <c r="F346" s="482">
        <v>0</v>
      </c>
      <c r="G346" s="482">
        <v>0</v>
      </c>
      <c r="H346" s="482"/>
      <c r="I346" s="482"/>
      <c r="J346" s="482"/>
      <c r="K346" s="482"/>
      <c r="L346" s="482"/>
      <c r="M346" s="482"/>
      <c r="N346" s="482">
        <f t="shared" si="8"/>
        <v>573286.05359400832</v>
      </c>
      <c r="O346" s="501"/>
    </row>
    <row r="347" spans="1:15">
      <c r="A347" s="486">
        <v>2036</v>
      </c>
      <c r="B347" s="486">
        <v>6</v>
      </c>
      <c r="C347" s="482">
        <v>100006.21151714421</v>
      </c>
      <c r="D347" s="482">
        <v>0</v>
      </c>
      <c r="E347" s="482">
        <v>497172.77699148783</v>
      </c>
      <c r="F347" s="482">
        <v>0</v>
      </c>
      <c r="G347" s="482">
        <v>0</v>
      </c>
      <c r="H347" s="482"/>
      <c r="I347" s="482"/>
      <c r="J347" s="482"/>
      <c r="K347" s="482"/>
      <c r="L347" s="482"/>
      <c r="M347" s="482"/>
      <c r="N347" s="482">
        <f t="shared" si="8"/>
        <v>597178.98850863206</v>
      </c>
      <c r="O347" s="501"/>
    </row>
    <row r="348" spans="1:15">
      <c r="A348" s="486">
        <v>2036</v>
      </c>
      <c r="B348" s="486">
        <v>7</v>
      </c>
      <c r="C348" s="482">
        <v>109360.50847405491</v>
      </c>
      <c r="D348" s="482">
        <v>0</v>
      </c>
      <c r="E348" s="482">
        <v>467807.94589890755</v>
      </c>
      <c r="F348" s="482">
        <v>0</v>
      </c>
      <c r="G348" s="482">
        <v>0</v>
      </c>
      <c r="H348" s="482"/>
      <c r="I348" s="482"/>
      <c r="J348" s="482"/>
      <c r="K348" s="482"/>
      <c r="L348" s="482"/>
      <c r="M348" s="482"/>
      <c r="N348" s="482">
        <f t="shared" si="8"/>
        <v>577168.45437296247</v>
      </c>
      <c r="O348" s="501"/>
    </row>
    <row r="349" spans="1:15">
      <c r="A349" s="486">
        <v>2036</v>
      </c>
      <c r="B349" s="486">
        <v>8</v>
      </c>
      <c r="C349" s="482">
        <v>108425.57151549302</v>
      </c>
      <c r="D349" s="482">
        <v>0</v>
      </c>
      <c r="E349" s="482">
        <v>501822.94480904849</v>
      </c>
      <c r="F349" s="482">
        <v>0</v>
      </c>
      <c r="G349" s="482">
        <v>0</v>
      </c>
      <c r="H349" s="482"/>
      <c r="I349" s="482"/>
      <c r="J349" s="482"/>
      <c r="K349" s="482"/>
      <c r="L349" s="482"/>
      <c r="M349" s="482"/>
      <c r="N349" s="482">
        <f t="shared" si="8"/>
        <v>610248.51632454153</v>
      </c>
      <c r="O349" s="501"/>
    </row>
    <row r="350" spans="1:15">
      <c r="A350" s="486">
        <v>2036</v>
      </c>
      <c r="B350" s="486">
        <v>9</v>
      </c>
      <c r="C350" s="482">
        <v>92250.207928244155</v>
      </c>
      <c r="D350" s="482">
        <v>0</v>
      </c>
      <c r="E350" s="482">
        <v>495346.40603618033</v>
      </c>
      <c r="F350" s="482">
        <v>0</v>
      </c>
      <c r="G350" s="482">
        <v>0</v>
      </c>
      <c r="H350" s="482"/>
      <c r="I350" s="482"/>
      <c r="J350" s="482"/>
      <c r="K350" s="482"/>
      <c r="L350" s="482"/>
      <c r="M350" s="482"/>
      <c r="N350" s="482">
        <f t="shared" si="8"/>
        <v>587596.61396442447</v>
      </c>
      <c r="O350" s="501"/>
    </row>
    <row r="351" spans="1:15">
      <c r="A351" s="486">
        <v>2036</v>
      </c>
      <c r="B351" s="486">
        <v>10</v>
      </c>
      <c r="C351" s="482">
        <v>85295.901837700396</v>
      </c>
      <c r="D351" s="482">
        <v>0</v>
      </c>
      <c r="E351" s="482">
        <v>452936.90597822727</v>
      </c>
      <c r="F351" s="482">
        <v>0</v>
      </c>
      <c r="G351" s="482">
        <v>0</v>
      </c>
      <c r="H351" s="482"/>
      <c r="I351" s="482"/>
      <c r="J351" s="482"/>
      <c r="K351" s="482"/>
      <c r="L351" s="482"/>
      <c r="M351" s="482"/>
      <c r="N351" s="482">
        <f t="shared" si="8"/>
        <v>538232.80781592766</v>
      </c>
      <c r="O351" s="501"/>
    </row>
    <row r="352" spans="1:15">
      <c r="A352" s="486">
        <v>2036</v>
      </c>
      <c r="B352" s="486">
        <v>11</v>
      </c>
      <c r="C352" s="482">
        <v>70195.9300557362</v>
      </c>
      <c r="D352" s="482">
        <v>0</v>
      </c>
      <c r="E352" s="482">
        <v>412302.20273725031</v>
      </c>
      <c r="F352" s="482">
        <v>0</v>
      </c>
      <c r="G352" s="482">
        <v>0</v>
      </c>
      <c r="H352" s="482"/>
      <c r="I352" s="482"/>
      <c r="J352" s="482"/>
      <c r="K352" s="482"/>
      <c r="L352" s="482"/>
      <c r="M352" s="482"/>
      <c r="N352" s="482">
        <f t="shared" si="8"/>
        <v>482498.13279298652</v>
      </c>
      <c r="O352" s="501"/>
    </row>
    <row r="353" spans="1:15">
      <c r="A353" s="486">
        <v>2036</v>
      </c>
      <c r="B353" s="486">
        <v>12</v>
      </c>
      <c r="C353" s="482">
        <v>72430.276711010039</v>
      </c>
      <c r="D353" s="482">
        <v>0</v>
      </c>
      <c r="E353" s="482">
        <v>386189.17036362609</v>
      </c>
      <c r="F353" s="482">
        <v>0</v>
      </c>
      <c r="G353" s="482">
        <v>0</v>
      </c>
      <c r="H353" s="482"/>
      <c r="I353" s="482"/>
      <c r="J353" s="482"/>
      <c r="K353" s="482"/>
      <c r="L353" s="482"/>
      <c r="M353" s="482"/>
      <c r="N353" s="482">
        <f t="shared" si="8"/>
        <v>458619.44707463612</v>
      </c>
      <c r="O353" s="501"/>
    </row>
    <row r="354" spans="1:15">
      <c r="A354" s="486">
        <v>2037</v>
      </c>
      <c r="B354" s="486">
        <v>1</v>
      </c>
      <c r="C354" s="482">
        <v>72650.634622450452</v>
      </c>
      <c r="D354" s="482">
        <v>0</v>
      </c>
      <c r="E354" s="482">
        <v>382475.36089195777</v>
      </c>
      <c r="F354" s="482">
        <v>0</v>
      </c>
      <c r="G354" s="482">
        <v>0</v>
      </c>
      <c r="H354" s="482"/>
      <c r="I354" s="482"/>
      <c r="J354" s="482"/>
      <c r="K354" s="482"/>
      <c r="L354" s="482"/>
      <c r="M354" s="482"/>
      <c r="N354" s="482">
        <f t="shared" si="8"/>
        <v>455125.99551440822</v>
      </c>
      <c r="O354" s="501"/>
    </row>
    <row r="355" spans="1:15">
      <c r="A355" s="486">
        <v>2037</v>
      </c>
      <c r="B355" s="486">
        <v>2</v>
      </c>
      <c r="C355" s="482">
        <v>68505.063252479245</v>
      </c>
      <c r="D355" s="482">
        <v>0</v>
      </c>
      <c r="E355" s="482">
        <v>371414.69240408653</v>
      </c>
      <c r="F355" s="482">
        <v>0</v>
      </c>
      <c r="G355" s="482">
        <v>0</v>
      </c>
      <c r="H355" s="482"/>
      <c r="I355" s="482"/>
      <c r="J355" s="482"/>
      <c r="K355" s="482"/>
      <c r="L355" s="482"/>
      <c r="M355" s="482"/>
      <c r="N355" s="482">
        <f t="shared" si="8"/>
        <v>439919.75565656577</v>
      </c>
      <c r="O355" s="501"/>
    </row>
    <row r="356" spans="1:15">
      <c r="A356" s="486">
        <v>2037</v>
      </c>
      <c r="B356" s="486">
        <v>3</v>
      </c>
      <c r="C356" s="482">
        <v>78283.55858175896</v>
      </c>
      <c r="D356" s="482">
        <v>0</v>
      </c>
      <c r="E356" s="482">
        <v>440781.47684814048</v>
      </c>
      <c r="F356" s="482">
        <v>0</v>
      </c>
      <c r="G356" s="482">
        <v>0</v>
      </c>
      <c r="H356" s="482"/>
      <c r="I356" s="482"/>
      <c r="J356" s="482"/>
      <c r="K356" s="482"/>
      <c r="L356" s="482"/>
      <c r="M356" s="482"/>
      <c r="N356" s="482">
        <f t="shared" si="8"/>
        <v>519065.03542989946</v>
      </c>
      <c r="O356" s="501"/>
    </row>
    <row r="357" spans="1:15">
      <c r="A357" s="486">
        <v>2037</v>
      </c>
      <c r="B357" s="486">
        <v>4</v>
      </c>
      <c r="C357" s="482">
        <v>82193.614610246412</v>
      </c>
      <c r="D357" s="482">
        <v>0</v>
      </c>
      <c r="E357" s="482">
        <v>482085.09775325411</v>
      </c>
      <c r="F357" s="482">
        <v>0</v>
      </c>
      <c r="G357" s="482">
        <v>0</v>
      </c>
      <c r="H357" s="482"/>
      <c r="I357" s="482"/>
      <c r="J357" s="482"/>
      <c r="K357" s="482"/>
      <c r="L357" s="482"/>
      <c r="M357" s="482"/>
      <c r="N357" s="482">
        <f t="shared" si="8"/>
        <v>564278.7123635005</v>
      </c>
      <c r="O357" s="501"/>
    </row>
    <row r="358" spans="1:15">
      <c r="A358" s="486">
        <v>2037</v>
      </c>
      <c r="B358" s="486">
        <v>5</v>
      </c>
      <c r="C358" s="482">
        <v>93020.962994037924</v>
      </c>
      <c r="D358" s="482">
        <v>0</v>
      </c>
      <c r="E358" s="482">
        <v>488615.76626596093</v>
      </c>
      <c r="F358" s="482">
        <v>0</v>
      </c>
      <c r="G358" s="482">
        <v>0</v>
      </c>
      <c r="H358" s="482"/>
      <c r="I358" s="482"/>
      <c r="J358" s="482"/>
      <c r="K358" s="482"/>
      <c r="L358" s="482"/>
      <c r="M358" s="482"/>
      <c r="N358" s="482">
        <f t="shared" si="8"/>
        <v>581636.72925999889</v>
      </c>
      <c r="O358" s="501"/>
    </row>
    <row r="359" spans="1:15">
      <c r="A359" s="486">
        <v>2037</v>
      </c>
      <c r="B359" s="486">
        <v>6</v>
      </c>
      <c r="C359" s="482">
        <v>101235.73410412422</v>
      </c>
      <c r="D359" s="482">
        <v>0</v>
      </c>
      <c r="E359" s="482">
        <v>504630.36865095265</v>
      </c>
      <c r="F359" s="482">
        <v>0</v>
      </c>
      <c r="G359" s="482">
        <v>0</v>
      </c>
      <c r="H359" s="482"/>
      <c r="I359" s="482"/>
      <c r="J359" s="482"/>
      <c r="K359" s="482"/>
      <c r="L359" s="482"/>
      <c r="M359" s="482"/>
      <c r="N359" s="482">
        <f t="shared" si="8"/>
        <v>605866.10275507683</v>
      </c>
      <c r="O359" s="501"/>
    </row>
    <row r="360" spans="1:15">
      <c r="A360" s="486">
        <v>2037</v>
      </c>
      <c r="B360" s="486">
        <v>7</v>
      </c>
      <c r="C360" s="482">
        <v>110705.03711135278</v>
      </c>
      <c r="D360" s="482">
        <v>0</v>
      </c>
      <c r="E360" s="482">
        <v>474825.0650917124</v>
      </c>
      <c r="F360" s="482">
        <v>0</v>
      </c>
      <c r="G360" s="482">
        <v>0</v>
      </c>
      <c r="H360" s="482"/>
      <c r="I360" s="482"/>
      <c r="J360" s="482"/>
      <c r="K360" s="482"/>
      <c r="L360" s="482"/>
      <c r="M360" s="482"/>
      <c r="N360" s="482">
        <f t="shared" si="8"/>
        <v>585530.10220306518</v>
      </c>
      <c r="O360" s="501"/>
    </row>
    <row r="361" spans="1:15">
      <c r="A361" s="486">
        <v>2037</v>
      </c>
      <c r="B361" s="486">
        <v>8</v>
      </c>
      <c r="C361" s="482">
        <v>109758.60560569713</v>
      </c>
      <c r="D361" s="482">
        <v>0</v>
      </c>
      <c r="E361" s="482">
        <v>509350.28898581967</v>
      </c>
      <c r="F361" s="482">
        <v>0</v>
      </c>
      <c r="G361" s="482">
        <v>0</v>
      </c>
      <c r="H361" s="482"/>
      <c r="I361" s="482"/>
      <c r="J361" s="482"/>
      <c r="K361" s="482"/>
      <c r="L361" s="482"/>
      <c r="M361" s="482"/>
      <c r="N361" s="482">
        <f t="shared" si="8"/>
        <v>619108.89459151682</v>
      </c>
      <c r="O361" s="501"/>
    </row>
    <row r="362" spans="1:15">
      <c r="A362" s="486">
        <v>2037</v>
      </c>
      <c r="B362" s="486">
        <v>9</v>
      </c>
      <c r="C362" s="482">
        <v>93384.374622299307</v>
      </c>
      <c r="D362" s="482">
        <v>0</v>
      </c>
      <c r="E362" s="482">
        <v>502776.60213129863</v>
      </c>
      <c r="F362" s="482">
        <v>0</v>
      </c>
      <c r="G362" s="482">
        <v>0</v>
      </c>
      <c r="H362" s="482"/>
      <c r="I362" s="482"/>
      <c r="J362" s="482"/>
      <c r="K362" s="482"/>
      <c r="L362" s="482"/>
      <c r="M362" s="482"/>
      <c r="N362" s="482">
        <f t="shared" si="8"/>
        <v>596160.97675359796</v>
      </c>
      <c r="O362" s="501"/>
    </row>
    <row r="363" spans="1:15">
      <c r="A363" s="486">
        <v>2037</v>
      </c>
      <c r="B363" s="486">
        <v>10</v>
      </c>
      <c r="C363" s="482">
        <v>86344.5690784178</v>
      </c>
      <c r="D363" s="482">
        <v>0</v>
      </c>
      <c r="E363" s="482">
        <v>459730.95957208454</v>
      </c>
      <c r="F363" s="482">
        <v>0</v>
      </c>
      <c r="G363" s="482">
        <v>0</v>
      </c>
      <c r="H363" s="482"/>
      <c r="I363" s="482"/>
      <c r="J363" s="482"/>
      <c r="K363" s="482"/>
      <c r="L363" s="482"/>
      <c r="M363" s="482"/>
      <c r="N363" s="482">
        <f t="shared" si="8"/>
        <v>546075.52865050233</v>
      </c>
      <c r="O363" s="501"/>
    </row>
    <row r="364" spans="1:15">
      <c r="A364" s="486">
        <v>2037</v>
      </c>
      <c r="B364" s="486">
        <v>11</v>
      </c>
      <c r="C364" s="482">
        <v>71058.951264201853</v>
      </c>
      <c r="D364" s="482">
        <v>0</v>
      </c>
      <c r="E364" s="482">
        <v>418486.73578211758</v>
      </c>
      <c r="F364" s="482">
        <v>0</v>
      </c>
      <c r="G364" s="482">
        <v>0</v>
      </c>
      <c r="H364" s="482"/>
      <c r="I364" s="482"/>
      <c r="J364" s="482"/>
      <c r="K364" s="482"/>
      <c r="L364" s="482"/>
      <c r="M364" s="482"/>
      <c r="N364" s="482">
        <f t="shared" si="8"/>
        <v>489545.68704631942</v>
      </c>
      <c r="O364" s="501"/>
    </row>
    <row r="365" spans="1:15">
      <c r="A365" s="486">
        <v>2037</v>
      </c>
      <c r="B365" s="486">
        <v>12</v>
      </c>
      <c r="C365" s="482">
        <v>73320.768009964333</v>
      </c>
      <c r="D365" s="482">
        <v>0</v>
      </c>
      <c r="E365" s="482">
        <v>391982.00792264781</v>
      </c>
      <c r="F365" s="482">
        <v>0</v>
      </c>
      <c r="G365" s="482">
        <v>0</v>
      </c>
      <c r="H365" s="482"/>
      <c r="I365" s="482"/>
      <c r="J365" s="482"/>
      <c r="K365" s="482"/>
      <c r="L365" s="482"/>
      <c r="M365" s="482"/>
      <c r="N365" s="482">
        <f t="shared" si="8"/>
        <v>465302.77593261213</v>
      </c>
      <c r="O365" s="501"/>
    </row>
    <row r="366" spans="1:15">
      <c r="A366" s="486">
        <v>2038</v>
      </c>
      <c r="B366" s="486">
        <v>1</v>
      </c>
      <c r="C366" s="482">
        <v>73543.835103416815</v>
      </c>
      <c r="D366" s="482">
        <v>0</v>
      </c>
      <c r="E366" s="482">
        <v>388212.49130887014</v>
      </c>
      <c r="F366" s="482">
        <v>0</v>
      </c>
      <c r="G366" s="482">
        <v>0</v>
      </c>
      <c r="H366" s="482"/>
      <c r="I366" s="482"/>
      <c r="J366" s="482"/>
      <c r="K366" s="482"/>
      <c r="L366" s="482"/>
      <c r="M366" s="482"/>
      <c r="N366" s="482">
        <f t="shared" si="8"/>
        <v>461756.32641228696</v>
      </c>
      <c r="O366" s="501"/>
    </row>
    <row r="367" spans="1:15">
      <c r="A367" s="486">
        <v>2038</v>
      </c>
      <c r="B367" s="486">
        <v>2</v>
      </c>
      <c r="C367" s="482">
        <v>69347.296162951825</v>
      </c>
      <c r="D367" s="482">
        <v>0</v>
      </c>
      <c r="E367" s="482">
        <v>376985.91279357864</v>
      </c>
      <c r="F367" s="482">
        <v>0</v>
      </c>
      <c r="G367" s="482">
        <v>0</v>
      </c>
      <c r="H367" s="482"/>
      <c r="I367" s="482"/>
      <c r="J367" s="482"/>
      <c r="K367" s="482"/>
      <c r="L367" s="482"/>
      <c r="M367" s="482"/>
      <c r="N367" s="482">
        <f t="shared" si="8"/>
        <v>446333.20895653043</v>
      </c>
      <c r="O367" s="501"/>
    </row>
    <row r="368" spans="1:15">
      <c r="A368" s="486">
        <v>2038</v>
      </c>
      <c r="B368" s="486">
        <v>3</v>
      </c>
      <c r="C368" s="482">
        <v>79246.012833402536</v>
      </c>
      <c r="D368" s="482">
        <v>0</v>
      </c>
      <c r="E368" s="482">
        <v>447393.19900493417</v>
      </c>
      <c r="F368" s="482">
        <v>0</v>
      </c>
      <c r="G368" s="482">
        <v>0</v>
      </c>
      <c r="H368" s="482"/>
      <c r="I368" s="482"/>
      <c r="J368" s="482"/>
      <c r="K368" s="482"/>
      <c r="L368" s="482"/>
      <c r="M368" s="482"/>
      <c r="N368" s="482">
        <f t="shared" si="8"/>
        <v>526639.21183833666</v>
      </c>
      <c r="O368" s="501"/>
    </row>
    <row r="369" spans="1:15">
      <c r="A369" s="486">
        <v>2038</v>
      </c>
      <c r="B369" s="486">
        <v>4</v>
      </c>
      <c r="C369" s="482">
        <v>83204.140897921039</v>
      </c>
      <c r="D369" s="482">
        <v>0</v>
      </c>
      <c r="E369" s="482">
        <v>489316.37422400602</v>
      </c>
      <c r="F369" s="482">
        <v>0</v>
      </c>
      <c r="G369" s="482">
        <v>0</v>
      </c>
      <c r="H369" s="482"/>
      <c r="I369" s="482"/>
      <c r="J369" s="482"/>
      <c r="K369" s="482"/>
      <c r="L369" s="482"/>
      <c r="M369" s="482"/>
      <c r="N369" s="482">
        <f t="shared" si="8"/>
        <v>572520.51512192702</v>
      </c>
      <c r="O369" s="501"/>
    </row>
    <row r="370" spans="1:15">
      <c r="A370" s="486">
        <v>2038</v>
      </c>
      <c r="B370" s="486">
        <v>5</v>
      </c>
      <c r="C370" s="482">
        <v>94164.605707112773</v>
      </c>
      <c r="D370" s="482">
        <v>0</v>
      </c>
      <c r="E370" s="482">
        <v>495945.00276446377</v>
      </c>
      <c r="F370" s="482">
        <v>0</v>
      </c>
      <c r="G370" s="482">
        <v>0</v>
      </c>
      <c r="H370" s="482"/>
      <c r="I370" s="482"/>
      <c r="J370" s="482"/>
      <c r="K370" s="482"/>
      <c r="L370" s="482"/>
      <c r="M370" s="482"/>
      <c r="N370" s="482">
        <f t="shared" si="8"/>
        <v>590109.60847157659</v>
      </c>
      <c r="O370" s="501"/>
    </row>
    <row r="371" spans="1:15">
      <c r="A371" s="486">
        <v>2038</v>
      </c>
      <c r="B371" s="486">
        <v>6</v>
      </c>
      <c r="C371" s="482">
        <v>102480.37301007041</v>
      </c>
      <c r="D371" s="482">
        <v>0</v>
      </c>
      <c r="E371" s="482">
        <v>512199.82418537827</v>
      </c>
      <c r="F371" s="482">
        <v>0</v>
      </c>
      <c r="G371" s="482">
        <v>0</v>
      </c>
      <c r="H371" s="482"/>
      <c r="I371" s="482"/>
      <c r="J371" s="482"/>
      <c r="K371" s="482"/>
      <c r="L371" s="482"/>
      <c r="M371" s="482"/>
      <c r="N371" s="482">
        <f t="shared" si="8"/>
        <v>614680.19719544868</v>
      </c>
      <c r="O371" s="501"/>
    </row>
    <row r="372" spans="1:15">
      <c r="A372" s="486">
        <v>2038</v>
      </c>
      <c r="B372" s="486">
        <v>7</v>
      </c>
      <c r="C372" s="482">
        <v>112066.09600515493</v>
      </c>
      <c r="D372" s="482">
        <v>0</v>
      </c>
      <c r="E372" s="482">
        <v>481947.44107247412</v>
      </c>
      <c r="F372" s="482">
        <v>0</v>
      </c>
      <c r="G372" s="482">
        <v>0</v>
      </c>
      <c r="H372" s="482"/>
      <c r="I372" s="482"/>
      <c r="J372" s="482"/>
      <c r="K372" s="482"/>
      <c r="L372" s="482"/>
      <c r="M372" s="482"/>
      <c r="N372" s="482">
        <f t="shared" si="8"/>
        <v>594013.53707762901</v>
      </c>
      <c r="O372" s="501"/>
    </row>
    <row r="373" spans="1:15">
      <c r="A373" s="486">
        <v>2038</v>
      </c>
      <c r="B373" s="486">
        <v>8</v>
      </c>
      <c r="C373" s="482">
        <v>111108.0286331308</v>
      </c>
      <c r="D373" s="482">
        <v>0</v>
      </c>
      <c r="E373" s="482">
        <v>516990.54332531191</v>
      </c>
      <c r="F373" s="482">
        <v>0</v>
      </c>
      <c r="G373" s="482">
        <v>0</v>
      </c>
      <c r="H373" s="482"/>
      <c r="I373" s="482"/>
      <c r="J373" s="482"/>
      <c r="K373" s="482"/>
      <c r="L373" s="482"/>
      <c r="M373" s="482"/>
      <c r="N373" s="482">
        <f t="shared" si="8"/>
        <v>628098.57195844268</v>
      </c>
      <c r="O373" s="501"/>
    </row>
    <row r="374" spans="1:15">
      <c r="A374" s="486">
        <v>2038</v>
      </c>
      <c r="B374" s="486">
        <v>9</v>
      </c>
      <c r="C374" s="482">
        <v>94532.485285899806</v>
      </c>
      <c r="D374" s="482">
        <v>0</v>
      </c>
      <c r="E374" s="482">
        <v>510318.25116791233</v>
      </c>
      <c r="F374" s="482">
        <v>0</v>
      </c>
      <c r="G374" s="482">
        <v>0</v>
      </c>
      <c r="H374" s="482"/>
      <c r="I374" s="482"/>
      <c r="J374" s="482"/>
      <c r="K374" s="482"/>
      <c r="L374" s="482"/>
      <c r="M374" s="482"/>
      <c r="N374" s="482">
        <f t="shared" si="8"/>
        <v>604850.7364538121</v>
      </c>
      <c r="O374" s="501"/>
    </row>
    <row r="375" spans="1:15">
      <c r="A375" s="486">
        <v>2038</v>
      </c>
      <c r="B375" s="486">
        <v>10</v>
      </c>
      <c r="C375" s="482">
        <v>87406.129118883619</v>
      </c>
      <c r="D375" s="482">
        <v>0</v>
      </c>
      <c r="E375" s="482">
        <v>466626.9239699124</v>
      </c>
      <c r="F375" s="482">
        <v>0</v>
      </c>
      <c r="G375" s="482">
        <v>0</v>
      </c>
      <c r="H375" s="482"/>
      <c r="I375" s="482"/>
      <c r="J375" s="482"/>
      <c r="K375" s="482"/>
      <c r="L375" s="482"/>
      <c r="M375" s="482"/>
      <c r="N375" s="482">
        <f t="shared" si="8"/>
        <v>554033.05308879598</v>
      </c>
      <c r="O375" s="501"/>
    </row>
    <row r="376" spans="1:15">
      <c r="A376" s="486">
        <v>2038</v>
      </c>
      <c r="B376" s="486">
        <v>11</v>
      </c>
      <c r="C376" s="482">
        <v>71932.582854290347</v>
      </c>
      <c r="D376" s="482">
        <v>0</v>
      </c>
      <c r="E376" s="482">
        <v>424764.03682271496</v>
      </c>
      <c r="F376" s="482">
        <v>0</v>
      </c>
      <c r="G376" s="482">
        <v>0</v>
      </c>
      <c r="H376" s="482"/>
      <c r="I376" s="482"/>
      <c r="J376" s="482"/>
      <c r="K376" s="482"/>
      <c r="L376" s="482"/>
      <c r="M376" s="482"/>
      <c r="N376" s="482">
        <f t="shared" si="8"/>
        <v>496696.61967700534</v>
      </c>
      <c r="O376" s="501"/>
    </row>
    <row r="377" spans="1:15">
      <c r="A377" s="486">
        <v>2038</v>
      </c>
      <c r="B377" s="486">
        <v>12</v>
      </c>
      <c r="C377" s="482">
        <v>74222.207420530525</v>
      </c>
      <c r="D377" s="482">
        <v>0</v>
      </c>
      <c r="E377" s="482">
        <v>397861.73804510833</v>
      </c>
      <c r="F377" s="482">
        <v>0</v>
      </c>
      <c r="G377" s="482">
        <v>0</v>
      </c>
      <c r="H377" s="482"/>
      <c r="I377" s="482"/>
      <c r="J377" s="482"/>
      <c r="K377" s="482"/>
      <c r="L377" s="482"/>
      <c r="M377" s="482"/>
      <c r="N377" s="482">
        <f t="shared" si="8"/>
        <v>472083.94546563888</v>
      </c>
      <c r="O377" s="501"/>
    </row>
    <row r="378" spans="1:15">
      <c r="A378" s="486">
        <v>2039</v>
      </c>
      <c r="B378" s="486">
        <v>1</v>
      </c>
      <c r="C378" s="482">
        <v>74448.017003930916</v>
      </c>
      <c r="D378" s="482">
        <v>0</v>
      </c>
      <c r="E378" s="482">
        <v>394035.6786820892</v>
      </c>
      <c r="F378" s="482">
        <v>0</v>
      </c>
      <c r="G378" s="482">
        <v>0</v>
      </c>
      <c r="H378" s="482"/>
      <c r="I378" s="482"/>
      <c r="J378" s="482"/>
      <c r="K378" s="482"/>
      <c r="L378" s="482"/>
      <c r="M378" s="482"/>
      <c r="N378" s="482">
        <f t="shared" si="8"/>
        <v>468483.69568602013</v>
      </c>
      <c r="O378" s="501"/>
    </row>
    <row r="379" spans="1:15">
      <c r="A379" s="486">
        <v>2039</v>
      </c>
      <c r="B379" s="486">
        <v>2</v>
      </c>
      <c r="C379" s="482">
        <v>70199.883874103427</v>
      </c>
      <c r="D379" s="482">
        <v>0</v>
      </c>
      <c r="E379" s="482">
        <v>382640.70148896461</v>
      </c>
      <c r="F379" s="482">
        <v>0</v>
      </c>
      <c r="G379" s="482">
        <v>0</v>
      </c>
      <c r="H379" s="482"/>
      <c r="I379" s="482"/>
      <c r="J379" s="482"/>
      <c r="K379" s="482"/>
      <c r="L379" s="482"/>
      <c r="M379" s="482"/>
      <c r="N379" s="482">
        <f t="shared" si="8"/>
        <v>452840.58536306804</v>
      </c>
      <c r="O379" s="501"/>
    </row>
    <row r="380" spans="1:15">
      <c r="A380" s="486">
        <v>2039</v>
      </c>
      <c r="B380" s="486">
        <v>3</v>
      </c>
      <c r="C380" s="482">
        <v>80220.299942459445</v>
      </c>
      <c r="D380" s="482">
        <v>0</v>
      </c>
      <c r="E380" s="482">
        <v>454104.09699414083</v>
      </c>
      <c r="F380" s="482">
        <v>0</v>
      </c>
      <c r="G380" s="482">
        <v>0</v>
      </c>
      <c r="H380" s="482"/>
      <c r="I380" s="482"/>
      <c r="J380" s="482"/>
      <c r="K380" s="482"/>
      <c r="L380" s="482"/>
      <c r="M380" s="482"/>
      <c r="N380" s="482">
        <f t="shared" si="8"/>
        <v>534324.39693660033</v>
      </c>
      <c r="O380" s="501"/>
    </row>
    <row r="381" spans="1:15">
      <c r="A381" s="486">
        <v>2039</v>
      </c>
      <c r="B381" s="486">
        <v>4</v>
      </c>
      <c r="C381" s="482">
        <v>84227.091062838721</v>
      </c>
      <c r="D381" s="482">
        <v>0</v>
      </c>
      <c r="E381" s="482">
        <v>496656.11984188604</v>
      </c>
      <c r="F381" s="482">
        <v>0</v>
      </c>
      <c r="G381" s="482">
        <v>0</v>
      </c>
      <c r="H381" s="482"/>
      <c r="I381" s="482"/>
      <c r="J381" s="482"/>
      <c r="K381" s="482"/>
      <c r="L381" s="482"/>
      <c r="M381" s="482"/>
      <c r="N381" s="482">
        <f t="shared" si="8"/>
        <v>580883.21090472478</v>
      </c>
      <c r="O381" s="501"/>
    </row>
    <row r="382" spans="1:15">
      <c r="A382" s="486">
        <v>2039</v>
      </c>
      <c r="B382" s="486">
        <v>5</v>
      </c>
      <c r="C382" s="482">
        <v>95322.308892290588</v>
      </c>
      <c r="D382" s="482">
        <v>0</v>
      </c>
      <c r="E382" s="482">
        <v>503384.17781051184</v>
      </c>
      <c r="F382" s="482">
        <v>0</v>
      </c>
      <c r="G382" s="482">
        <v>0</v>
      </c>
      <c r="H382" s="482"/>
      <c r="I382" s="482"/>
      <c r="J382" s="482"/>
      <c r="K382" s="482"/>
      <c r="L382" s="482"/>
      <c r="M382" s="482"/>
      <c r="N382" s="482">
        <f t="shared" si="8"/>
        <v>598706.48670280247</v>
      </c>
      <c r="O382" s="501"/>
    </row>
    <row r="383" spans="1:15">
      <c r="A383" s="486">
        <v>2039</v>
      </c>
      <c r="B383" s="486">
        <v>6</v>
      </c>
      <c r="C383" s="482">
        <v>103740.3140819949</v>
      </c>
      <c r="D383" s="482">
        <v>0</v>
      </c>
      <c r="E383" s="482">
        <v>519882.82155289024</v>
      </c>
      <c r="F383" s="482">
        <v>0</v>
      </c>
      <c r="G383" s="482">
        <v>0</v>
      </c>
      <c r="H383" s="482"/>
      <c r="I383" s="482"/>
      <c r="J383" s="482"/>
      <c r="K383" s="482"/>
      <c r="L383" s="482"/>
      <c r="M383" s="482"/>
      <c r="N383" s="482">
        <f t="shared" si="8"/>
        <v>623623.13563488517</v>
      </c>
      <c r="O383" s="501"/>
    </row>
    <row r="384" spans="1:15">
      <c r="A384" s="486">
        <v>2039</v>
      </c>
      <c r="B384" s="486">
        <v>7</v>
      </c>
      <c r="C384" s="482">
        <v>113443.88838607506</v>
      </c>
      <c r="D384" s="482">
        <v>0</v>
      </c>
      <c r="E384" s="482">
        <v>489176.65269301308</v>
      </c>
      <c r="F384" s="482">
        <v>0</v>
      </c>
      <c r="G384" s="482">
        <v>0</v>
      </c>
      <c r="H384" s="482"/>
      <c r="I384" s="482"/>
      <c r="J384" s="482"/>
      <c r="K384" s="482"/>
      <c r="L384" s="482"/>
      <c r="M384" s="482"/>
      <c r="N384" s="482">
        <f t="shared" si="8"/>
        <v>602620.54107908811</v>
      </c>
      <c r="O384" s="501"/>
    </row>
    <row r="385" spans="1:15">
      <c r="A385" s="486">
        <v>2039</v>
      </c>
      <c r="B385" s="486">
        <v>8</v>
      </c>
      <c r="C385" s="482">
        <v>112474.04209096325</v>
      </c>
      <c r="D385" s="482">
        <v>0</v>
      </c>
      <c r="E385" s="482">
        <v>524745.40147996717</v>
      </c>
      <c r="F385" s="482">
        <v>0</v>
      </c>
      <c r="G385" s="482">
        <v>0</v>
      </c>
      <c r="H385" s="482"/>
      <c r="I385" s="482"/>
      <c r="J385" s="482"/>
      <c r="K385" s="482"/>
      <c r="L385" s="482"/>
      <c r="M385" s="482"/>
      <c r="N385" s="482">
        <f t="shared" si="8"/>
        <v>637219.44357093039</v>
      </c>
      <c r="O385" s="501"/>
    </row>
    <row r="386" spans="1:15">
      <c r="A386" s="486">
        <v>2039</v>
      </c>
      <c r="B386" s="486">
        <v>9</v>
      </c>
      <c r="C386" s="482">
        <v>95694.711352652113</v>
      </c>
      <c r="D386" s="482">
        <v>0</v>
      </c>
      <c r="E386" s="482">
        <v>517973.02494014491</v>
      </c>
      <c r="F386" s="482">
        <v>0</v>
      </c>
      <c r="G386" s="482">
        <v>0</v>
      </c>
      <c r="H386" s="482"/>
      <c r="I386" s="482"/>
      <c r="J386" s="482"/>
      <c r="K386" s="482"/>
      <c r="L386" s="482"/>
      <c r="M386" s="482"/>
      <c r="N386" s="482">
        <f t="shared" si="8"/>
        <v>613667.73629279702</v>
      </c>
      <c r="O386" s="501"/>
    </row>
    <row r="387" spans="1:15">
      <c r="A387" s="486">
        <v>2039</v>
      </c>
      <c r="B387" s="486">
        <v>10</v>
      </c>
      <c r="C387" s="482">
        <v>88480.740469136974</v>
      </c>
      <c r="D387" s="482">
        <v>0</v>
      </c>
      <c r="E387" s="482">
        <v>473626.32783377141</v>
      </c>
      <c r="F387" s="482">
        <v>0</v>
      </c>
      <c r="G387" s="482">
        <v>0</v>
      </c>
      <c r="H387" s="482"/>
      <c r="I387" s="482"/>
      <c r="J387" s="482"/>
      <c r="K387" s="482"/>
      <c r="L387" s="482"/>
      <c r="M387" s="482"/>
      <c r="N387" s="482">
        <f t="shared" si="8"/>
        <v>562107.06830290845</v>
      </c>
      <c r="O387" s="501"/>
    </row>
    <row r="388" spans="1:15">
      <c r="A388" s="486">
        <v>2039</v>
      </c>
      <c r="B388" s="486">
        <v>11</v>
      </c>
      <c r="C388" s="482">
        <v>72816.955274937442</v>
      </c>
      <c r="D388" s="482">
        <v>0</v>
      </c>
      <c r="E388" s="482">
        <v>431135.49737897929</v>
      </c>
      <c r="F388" s="482">
        <v>0</v>
      </c>
      <c r="G388" s="482">
        <v>0</v>
      </c>
      <c r="H388" s="482"/>
      <c r="I388" s="482"/>
      <c r="J388" s="482"/>
      <c r="K388" s="482"/>
      <c r="L388" s="482"/>
      <c r="M388" s="482"/>
      <c r="N388" s="482">
        <f t="shared" si="8"/>
        <v>503952.45265391673</v>
      </c>
      <c r="O388" s="501"/>
    </row>
    <row r="389" spans="1:15">
      <c r="A389" s="486">
        <v>2039</v>
      </c>
      <c r="B389" s="486">
        <v>12</v>
      </c>
      <c r="C389" s="482">
        <v>75134.729543852969</v>
      </c>
      <c r="D389" s="482">
        <v>0</v>
      </c>
      <c r="E389" s="482">
        <v>403829.6641194601</v>
      </c>
      <c r="F389" s="482">
        <v>0</v>
      </c>
      <c r="G389" s="482">
        <v>0</v>
      </c>
      <c r="H389" s="482"/>
      <c r="I389" s="482"/>
      <c r="J389" s="482"/>
      <c r="K389" s="482"/>
      <c r="L389" s="482"/>
      <c r="M389" s="482"/>
      <c r="N389" s="482">
        <f t="shared" si="8"/>
        <v>478964.39366331307</v>
      </c>
      <c r="O389" s="501"/>
    </row>
    <row r="390" spans="1:15">
      <c r="A390" s="486">
        <v>2040</v>
      </c>
      <c r="B390" s="486">
        <v>1</v>
      </c>
      <c r="C390" s="482">
        <v>75363.315334640254</v>
      </c>
      <c r="D390" s="482">
        <v>0</v>
      </c>
      <c r="E390" s="482">
        <v>399946.21386596031</v>
      </c>
      <c r="F390" s="482">
        <v>0</v>
      </c>
      <c r="G390" s="482">
        <v>0</v>
      </c>
      <c r="H390" s="482"/>
      <c r="I390" s="482"/>
      <c r="J390" s="482"/>
      <c r="K390" s="482"/>
      <c r="L390" s="482"/>
      <c r="M390" s="482"/>
      <c r="N390" s="482">
        <f t="shared" si="8"/>
        <v>475309.52920060058</v>
      </c>
      <c r="O390" s="501"/>
    </row>
    <row r="391" spans="1:15">
      <c r="A391" s="486">
        <v>2040</v>
      </c>
      <c r="B391" s="486">
        <v>2</v>
      </c>
      <c r="C391" s="482">
        <v>71062.953692639567</v>
      </c>
      <c r="D391" s="482">
        <v>0</v>
      </c>
      <c r="E391" s="482">
        <v>388380.31201483362</v>
      </c>
      <c r="F391" s="482">
        <v>0</v>
      </c>
      <c r="G391" s="482">
        <v>0</v>
      </c>
      <c r="H391" s="482"/>
      <c r="I391" s="482"/>
      <c r="J391" s="482"/>
      <c r="K391" s="482"/>
      <c r="L391" s="482"/>
      <c r="M391" s="482"/>
      <c r="N391" s="482">
        <f t="shared" ref="N391:N454" si="9">SUM(C391:M391)</f>
        <v>459443.26570747315</v>
      </c>
      <c r="O391" s="501"/>
    </row>
    <row r="392" spans="1:15">
      <c r="A392" s="486">
        <v>2040</v>
      </c>
      <c r="B392" s="486">
        <v>3</v>
      </c>
      <c r="C392" s="482">
        <v>81206.565387547846</v>
      </c>
      <c r="D392" s="482">
        <v>0</v>
      </c>
      <c r="E392" s="482">
        <v>460915.65845324757</v>
      </c>
      <c r="F392" s="482">
        <v>0</v>
      </c>
      <c r="G392" s="482">
        <v>0</v>
      </c>
      <c r="H392" s="482"/>
      <c r="I392" s="482"/>
      <c r="J392" s="482"/>
      <c r="K392" s="482"/>
      <c r="L392" s="482"/>
      <c r="M392" s="482"/>
      <c r="N392" s="482">
        <f t="shared" si="9"/>
        <v>542122.22384079546</v>
      </c>
      <c r="O392" s="501"/>
    </row>
    <row r="393" spans="1:15">
      <c r="A393" s="486">
        <v>2040</v>
      </c>
      <c r="B393" s="486">
        <v>4</v>
      </c>
      <c r="C393" s="482">
        <v>85262.617849888571</v>
      </c>
      <c r="D393" s="482">
        <v>0</v>
      </c>
      <c r="E393" s="482">
        <v>504105.96164410206</v>
      </c>
      <c r="F393" s="482">
        <v>0</v>
      </c>
      <c r="G393" s="482">
        <v>0</v>
      </c>
      <c r="H393" s="482"/>
      <c r="I393" s="482"/>
      <c r="J393" s="482"/>
      <c r="K393" s="482"/>
      <c r="L393" s="482"/>
      <c r="M393" s="482"/>
      <c r="N393" s="482">
        <f t="shared" si="9"/>
        <v>589368.57949399063</v>
      </c>
      <c r="O393" s="501"/>
    </row>
    <row r="394" spans="1:15">
      <c r="A394" s="486">
        <v>2040</v>
      </c>
      <c r="B394" s="486">
        <v>5</v>
      </c>
      <c r="C394" s="482">
        <v>96494.245415514117</v>
      </c>
      <c r="D394" s="482">
        <v>0</v>
      </c>
      <c r="E394" s="482">
        <v>510934.94048231939</v>
      </c>
      <c r="F394" s="482">
        <v>0</v>
      </c>
      <c r="G394" s="482">
        <v>0</v>
      </c>
      <c r="H394" s="482"/>
      <c r="I394" s="482"/>
      <c r="J394" s="482"/>
      <c r="K394" s="482"/>
      <c r="L394" s="482"/>
      <c r="M394" s="482"/>
      <c r="N394" s="482">
        <f t="shared" si="9"/>
        <v>607429.18589783355</v>
      </c>
      <c r="O394" s="501"/>
    </row>
    <row r="395" spans="1:15">
      <c r="A395" s="486">
        <v>2040</v>
      </c>
      <c r="B395" s="486">
        <v>6</v>
      </c>
      <c r="C395" s="482">
        <v>105015.74545179884</v>
      </c>
      <c r="D395" s="482">
        <v>0</v>
      </c>
      <c r="E395" s="482">
        <v>527681.06388098584</v>
      </c>
      <c r="F395" s="482">
        <v>0</v>
      </c>
      <c r="G395" s="482">
        <v>0</v>
      </c>
      <c r="H395" s="482"/>
      <c r="I395" s="482"/>
      <c r="J395" s="482"/>
      <c r="K395" s="482"/>
      <c r="L395" s="482"/>
      <c r="M395" s="482"/>
      <c r="N395" s="482">
        <f t="shared" si="9"/>
        <v>632696.80933278473</v>
      </c>
      <c r="O395" s="501"/>
    </row>
    <row r="396" spans="1:15">
      <c r="A396" s="486">
        <v>2040</v>
      </c>
      <c r="B396" s="486">
        <v>7</v>
      </c>
      <c r="C396" s="482">
        <v>114838.61998333797</v>
      </c>
      <c r="D396" s="482">
        <v>0</v>
      </c>
      <c r="E396" s="482">
        <v>496514.30248792691</v>
      </c>
      <c r="F396" s="482">
        <v>0</v>
      </c>
      <c r="G396" s="482">
        <v>0</v>
      </c>
      <c r="H396" s="482"/>
      <c r="I396" s="482"/>
      <c r="J396" s="482"/>
      <c r="K396" s="482"/>
      <c r="L396" s="482"/>
      <c r="M396" s="482"/>
      <c r="N396" s="482">
        <f t="shared" si="9"/>
        <v>611352.92247126484</v>
      </c>
      <c r="O396" s="501"/>
    </row>
    <row r="397" spans="1:15">
      <c r="A397" s="486">
        <v>2040</v>
      </c>
      <c r="B397" s="486">
        <v>8</v>
      </c>
      <c r="C397" s="482">
        <v>113856.84994961385</v>
      </c>
      <c r="D397" s="482">
        <v>0</v>
      </c>
      <c r="E397" s="482">
        <v>532616.58250701381</v>
      </c>
      <c r="F397" s="482">
        <v>0</v>
      </c>
      <c r="G397" s="482">
        <v>0</v>
      </c>
      <c r="H397" s="482"/>
      <c r="I397" s="482"/>
      <c r="J397" s="482"/>
      <c r="K397" s="482"/>
      <c r="L397" s="482"/>
      <c r="M397" s="482"/>
      <c r="N397" s="482">
        <f t="shared" si="9"/>
        <v>646473.43245662772</v>
      </c>
      <c r="O397" s="501"/>
    </row>
    <row r="398" spans="1:15">
      <c r="A398" s="486">
        <v>2040</v>
      </c>
      <c r="B398" s="486">
        <v>9</v>
      </c>
      <c r="C398" s="482">
        <v>96871.226363846668</v>
      </c>
      <c r="D398" s="482">
        <v>0</v>
      </c>
      <c r="E398" s="482">
        <v>525742.62031903164</v>
      </c>
      <c r="F398" s="482">
        <v>0</v>
      </c>
      <c r="G398" s="482">
        <v>0</v>
      </c>
      <c r="H398" s="482"/>
      <c r="I398" s="482"/>
      <c r="J398" s="482"/>
      <c r="K398" s="482"/>
      <c r="L398" s="482"/>
      <c r="M398" s="482"/>
      <c r="N398" s="482">
        <f t="shared" si="9"/>
        <v>622613.84668287833</v>
      </c>
      <c r="O398" s="501"/>
    </row>
    <row r="399" spans="1:15">
      <c r="A399" s="486">
        <v>2040</v>
      </c>
      <c r="B399" s="486">
        <v>10</v>
      </c>
      <c r="C399" s="482">
        <v>89568.563588012665</v>
      </c>
      <c r="D399" s="482">
        <v>0</v>
      </c>
      <c r="E399" s="482">
        <v>480730.72275565297</v>
      </c>
      <c r="F399" s="482">
        <v>0</v>
      </c>
      <c r="G399" s="482">
        <v>0</v>
      </c>
      <c r="H399" s="482"/>
      <c r="I399" s="482"/>
      <c r="J399" s="482"/>
      <c r="K399" s="482"/>
      <c r="L399" s="482"/>
      <c r="M399" s="482"/>
      <c r="N399" s="482">
        <f t="shared" si="9"/>
        <v>570299.28634366568</v>
      </c>
      <c r="O399" s="501"/>
    </row>
    <row r="400" spans="1:15">
      <c r="A400" s="486">
        <v>2040</v>
      </c>
      <c r="B400" s="486">
        <v>11</v>
      </c>
      <c r="C400" s="482">
        <v>73712.200578878401</v>
      </c>
      <c r="D400" s="482">
        <v>0</v>
      </c>
      <c r="E400" s="482">
        <v>437602.52984364645</v>
      </c>
      <c r="F400" s="482">
        <v>0</v>
      </c>
      <c r="G400" s="482">
        <v>0</v>
      </c>
      <c r="H400" s="482"/>
      <c r="I400" s="482"/>
      <c r="J400" s="482"/>
      <c r="K400" s="482"/>
      <c r="L400" s="482"/>
      <c r="M400" s="482"/>
      <c r="N400" s="482">
        <f t="shared" si="9"/>
        <v>511314.73042252485</v>
      </c>
      <c r="O400" s="501"/>
    </row>
    <row r="401" spans="1:15">
      <c r="A401" s="486">
        <v>2040</v>
      </c>
      <c r="B401" s="486">
        <v>12</v>
      </c>
      <c r="C401" s="482">
        <v>76058.470635924692</v>
      </c>
      <c r="D401" s="482">
        <v>0</v>
      </c>
      <c r="E401" s="482">
        <v>409887.10908498225</v>
      </c>
      <c r="F401" s="482">
        <v>0</v>
      </c>
      <c r="G401" s="482">
        <v>0</v>
      </c>
      <c r="H401" s="482"/>
      <c r="I401" s="482"/>
      <c r="J401" s="482"/>
      <c r="K401" s="482"/>
      <c r="L401" s="482"/>
      <c r="M401" s="482"/>
      <c r="N401" s="482">
        <f t="shared" si="9"/>
        <v>485945.57972090691</v>
      </c>
      <c r="O401" s="501"/>
    </row>
    <row r="402" spans="1:15">
      <c r="A402" s="486">
        <f>+A390+1</f>
        <v>2041</v>
      </c>
      <c r="B402" s="486">
        <f>+B390</f>
        <v>1</v>
      </c>
      <c r="C402" s="482">
        <v>76289.866766075633</v>
      </c>
      <c r="D402" s="482"/>
      <c r="E402" s="482">
        <v>405945.40707764408</v>
      </c>
      <c r="F402" s="482">
        <f>+F390</f>
        <v>0</v>
      </c>
      <c r="G402" s="482">
        <v>0</v>
      </c>
      <c r="H402" s="482"/>
      <c r="I402" s="482"/>
      <c r="J402" s="482"/>
      <c r="K402" s="482"/>
      <c r="L402" s="482"/>
      <c r="M402" s="482"/>
      <c r="N402" s="482">
        <f t="shared" si="9"/>
        <v>482235.27384371974</v>
      </c>
      <c r="O402" s="501"/>
    </row>
    <row r="403" spans="1:15">
      <c r="A403" s="486">
        <f t="shared" ref="A403:A466" si="10">+A391+1</f>
        <v>2041</v>
      </c>
      <c r="B403" s="486">
        <f t="shared" ref="B403:B466" si="11">+B391</f>
        <v>2</v>
      </c>
      <c r="C403" s="482">
        <v>71936.634490433222</v>
      </c>
      <c r="D403" s="482"/>
      <c r="E403" s="482">
        <v>394206.01669864368</v>
      </c>
      <c r="F403" s="482">
        <f t="shared" ref="F403:F466" si="12">+F391</f>
        <v>0</v>
      </c>
      <c r="G403" s="482">
        <v>0</v>
      </c>
      <c r="H403" s="482"/>
      <c r="I403" s="482"/>
      <c r="J403" s="482"/>
      <c r="K403" s="482"/>
      <c r="L403" s="482"/>
      <c r="M403" s="482"/>
      <c r="N403" s="482">
        <f t="shared" si="9"/>
        <v>466142.65118907689</v>
      </c>
      <c r="O403" s="501"/>
    </row>
    <row r="404" spans="1:15">
      <c r="A404" s="486">
        <f t="shared" si="10"/>
        <v>2041</v>
      </c>
      <c r="B404" s="486">
        <f t="shared" si="11"/>
        <v>3</v>
      </c>
      <c r="C404" s="482">
        <v>82204.956435867265</v>
      </c>
      <c r="D404" s="482"/>
      <c r="E404" s="482">
        <v>467829.39333430387</v>
      </c>
      <c r="F404" s="482">
        <f t="shared" si="12"/>
        <v>0</v>
      </c>
      <c r="G404" s="482">
        <v>0</v>
      </c>
      <c r="H404" s="482"/>
      <c r="I404" s="482"/>
      <c r="J404" s="482"/>
      <c r="K404" s="482"/>
      <c r="L404" s="482"/>
      <c r="M404" s="482"/>
      <c r="N404" s="482">
        <f t="shared" si="9"/>
        <v>550034.3497701711</v>
      </c>
      <c r="O404" s="501"/>
    </row>
    <row r="405" spans="1:15">
      <c r="A405" s="486">
        <f t="shared" si="10"/>
        <v>2041</v>
      </c>
      <c r="B405" s="486">
        <f t="shared" si="11"/>
        <v>4</v>
      </c>
      <c r="C405" s="482">
        <v>86310.875881875967</v>
      </c>
      <c r="D405" s="482"/>
      <c r="E405" s="482">
        <v>511667.55107342009</v>
      </c>
      <c r="F405" s="482">
        <f t="shared" si="12"/>
        <v>0</v>
      </c>
      <c r="G405" s="482">
        <v>0</v>
      </c>
      <c r="H405" s="482"/>
      <c r="I405" s="482"/>
      <c r="J405" s="482"/>
      <c r="K405" s="482"/>
      <c r="L405" s="482"/>
      <c r="M405" s="482"/>
      <c r="N405" s="482">
        <f t="shared" si="9"/>
        <v>597978.42695529608</v>
      </c>
      <c r="O405" s="501"/>
    </row>
    <row r="406" spans="1:15">
      <c r="A406" s="486">
        <f t="shared" si="10"/>
        <v>2041</v>
      </c>
      <c r="B406" s="486">
        <f t="shared" si="11"/>
        <v>5</v>
      </c>
      <c r="C406" s="482">
        <v>97680.590268019907</v>
      </c>
      <c r="D406" s="482"/>
      <c r="E406" s="482">
        <v>518598.96459427377</v>
      </c>
      <c r="F406" s="482">
        <f t="shared" si="12"/>
        <v>0</v>
      </c>
      <c r="G406" s="482">
        <v>0</v>
      </c>
      <c r="H406" s="482"/>
      <c r="I406" s="482"/>
      <c r="J406" s="482"/>
      <c r="K406" s="482"/>
      <c r="L406" s="482"/>
      <c r="M406" s="482"/>
      <c r="N406" s="482">
        <f t="shared" si="9"/>
        <v>616279.55486229365</v>
      </c>
      <c r="O406" s="501"/>
    </row>
    <row r="407" spans="1:15">
      <c r="A407" s="486">
        <f t="shared" si="10"/>
        <v>2041</v>
      </c>
      <c r="B407" s="486">
        <f t="shared" si="11"/>
        <v>6</v>
      </c>
      <c r="C407" s="482">
        <v>106306.85756436392</v>
      </c>
      <c r="D407" s="482"/>
      <c r="E407" s="482">
        <v>535596.27984407486</v>
      </c>
      <c r="F407" s="482">
        <f t="shared" si="12"/>
        <v>0</v>
      </c>
      <c r="G407" s="482">
        <v>0</v>
      </c>
      <c r="H407" s="482"/>
      <c r="I407" s="482"/>
      <c r="J407" s="482"/>
      <c r="K407" s="482"/>
      <c r="L407" s="482"/>
      <c r="M407" s="482"/>
      <c r="N407" s="482">
        <f t="shared" si="9"/>
        <v>641903.13740843884</v>
      </c>
      <c r="O407" s="501"/>
    </row>
    <row r="408" spans="1:15">
      <c r="A408" s="486">
        <f t="shared" si="10"/>
        <v>2041</v>
      </c>
      <c r="B408" s="486">
        <f t="shared" si="11"/>
        <v>7</v>
      </c>
      <c r="C408" s="482">
        <v>116250.49905549861</v>
      </c>
      <c r="D408" s="482"/>
      <c r="E408" s="482">
        <v>503962.01702983218</v>
      </c>
      <c r="F408" s="482">
        <f t="shared" si="12"/>
        <v>0</v>
      </c>
      <c r="G408" s="482">
        <v>0</v>
      </c>
      <c r="H408" s="482"/>
      <c r="I408" s="482"/>
      <c r="J408" s="482"/>
      <c r="K408" s="482"/>
      <c r="L408" s="482"/>
      <c r="M408" s="482"/>
      <c r="N408" s="482">
        <f t="shared" si="9"/>
        <v>620212.51608533075</v>
      </c>
      <c r="O408" s="501"/>
    </row>
    <row r="409" spans="1:15">
      <c r="A409" s="486">
        <f t="shared" si="10"/>
        <v>2041</v>
      </c>
      <c r="B409" s="486">
        <f t="shared" si="11"/>
        <v>8</v>
      </c>
      <c r="C409" s="482">
        <v>115256.65868720859</v>
      </c>
      <c r="D409" s="482"/>
      <c r="E409" s="482">
        <v>540605.83124953893</v>
      </c>
      <c r="F409" s="482">
        <f t="shared" si="12"/>
        <v>0</v>
      </c>
      <c r="G409" s="482">
        <v>0</v>
      </c>
      <c r="H409" s="482"/>
      <c r="I409" s="482"/>
      <c r="J409" s="482"/>
      <c r="K409" s="482"/>
      <c r="L409" s="482"/>
      <c r="M409" s="482"/>
      <c r="N409" s="482">
        <f t="shared" si="9"/>
        <v>655862.48993674747</v>
      </c>
      <c r="O409" s="501"/>
    </row>
    <row r="410" spans="1:15">
      <c r="A410" s="486">
        <f t="shared" si="10"/>
        <v>2041</v>
      </c>
      <c r="B410" s="486">
        <f t="shared" si="11"/>
        <v>9</v>
      </c>
      <c r="C410" s="482">
        <v>98062.205994370772</v>
      </c>
      <c r="D410" s="482"/>
      <c r="E410" s="482">
        <v>533628.75962867355</v>
      </c>
      <c r="F410" s="482">
        <f t="shared" si="12"/>
        <v>0</v>
      </c>
      <c r="G410" s="482">
        <v>0</v>
      </c>
      <c r="H410" s="482"/>
      <c r="I410" s="482"/>
      <c r="J410" s="482"/>
      <c r="K410" s="482"/>
      <c r="L410" s="482"/>
      <c r="M410" s="482"/>
      <c r="N410" s="482">
        <f t="shared" si="9"/>
        <v>631690.96562304429</v>
      </c>
      <c r="O410" s="501"/>
    </row>
    <row r="411" spans="1:15">
      <c r="A411" s="486">
        <f t="shared" si="10"/>
        <v>2041</v>
      </c>
      <c r="B411" s="486">
        <f t="shared" si="11"/>
        <v>10</v>
      </c>
      <c r="C411" s="482">
        <v>90669.760907100572</v>
      </c>
      <c r="D411" s="482"/>
      <c r="E411" s="482">
        <v>487941.68360142835</v>
      </c>
      <c r="F411" s="482">
        <f t="shared" si="12"/>
        <v>0</v>
      </c>
      <c r="G411" s="482">
        <v>0</v>
      </c>
      <c r="H411" s="482"/>
      <c r="I411" s="482"/>
      <c r="J411" s="482"/>
      <c r="K411" s="482"/>
      <c r="L411" s="482"/>
      <c r="M411" s="482"/>
      <c r="N411" s="482">
        <f t="shared" si="9"/>
        <v>578611.44450852892</v>
      </c>
      <c r="O411" s="501"/>
    </row>
    <row r="412" spans="1:15">
      <c r="A412" s="486">
        <f t="shared" si="10"/>
        <v>2041</v>
      </c>
      <c r="B412" s="486">
        <f t="shared" si="11"/>
        <v>11</v>
      </c>
      <c r="C412" s="482">
        <v>74618.452442365859</v>
      </c>
      <c r="D412" s="482"/>
      <c r="E412" s="482">
        <v>444166.56779534335</v>
      </c>
      <c r="F412" s="482">
        <f t="shared" si="12"/>
        <v>0</v>
      </c>
      <c r="G412" s="482">
        <v>0</v>
      </c>
      <c r="H412" s="482"/>
      <c r="I412" s="482"/>
      <c r="J412" s="482"/>
      <c r="K412" s="482"/>
      <c r="L412" s="482"/>
      <c r="M412" s="482"/>
      <c r="N412" s="482">
        <f t="shared" si="9"/>
        <v>518785.02023770922</v>
      </c>
      <c r="O412" s="501"/>
    </row>
    <row r="413" spans="1:15">
      <c r="A413" s="486">
        <f t="shared" si="10"/>
        <v>2041</v>
      </c>
      <c r="B413" s="486">
        <f t="shared" si="11"/>
        <v>12</v>
      </c>
      <c r="C413" s="482">
        <v>76993.568627932866</v>
      </c>
      <c r="D413" s="482"/>
      <c r="E413" s="482">
        <v>416035.41572504316</v>
      </c>
      <c r="F413" s="482">
        <f>+F401</f>
        <v>0</v>
      </c>
      <c r="G413" s="482">
        <v>0</v>
      </c>
      <c r="H413" s="482"/>
      <c r="I413" s="482"/>
      <c r="J413" s="482"/>
      <c r="K413" s="482"/>
      <c r="L413" s="482"/>
      <c r="M413" s="482"/>
      <c r="N413" s="482">
        <f t="shared" si="9"/>
        <v>493028.98435297603</v>
      </c>
      <c r="O413" s="501"/>
    </row>
    <row r="414" spans="1:15">
      <c r="A414" s="486">
        <f t="shared" si="10"/>
        <v>2042</v>
      </c>
      <c r="B414" s="486">
        <f t="shared" si="11"/>
        <v>1</v>
      </c>
      <c r="C414" s="482">
        <v>77227.80964905853</v>
      </c>
      <c r="D414" s="482"/>
      <c r="E414" s="482">
        <v>412034.58818755852</v>
      </c>
      <c r="F414" s="482">
        <f t="shared" si="12"/>
        <v>0</v>
      </c>
      <c r="G414" s="482">
        <v>0</v>
      </c>
      <c r="H414" s="482"/>
      <c r="I414" s="482"/>
      <c r="J414" s="482"/>
      <c r="K414" s="482"/>
      <c r="L414" s="482"/>
      <c r="M414" s="482"/>
      <c r="N414" s="482">
        <f t="shared" si="9"/>
        <v>489262.39783661708</v>
      </c>
      <c r="O414" s="501"/>
    </row>
    <row r="415" spans="1:15">
      <c r="A415" s="486">
        <f t="shared" si="10"/>
        <v>2042</v>
      </c>
      <c r="B415" s="486">
        <f t="shared" si="11"/>
        <v>2</v>
      </c>
      <c r="C415" s="482">
        <v>72821.056723767746</v>
      </c>
      <c r="D415" s="482"/>
      <c r="E415" s="482">
        <v>400119.10695276468</v>
      </c>
      <c r="F415" s="482">
        <f t="shared" si="12"/>
        <v>0</v>
      </c>
      <c r="G415" s="482">
        <v>0</v>
      </c>
      <c r="H415" s="482"/>
      <c r="I415" s="482"/>
      <c r="J415" s="482"/>
      <c r="K415" s="482"/>
      <c r="L415" s="482"/>
      <c r="M415" s="482"/>
      <c r="N415" s="482">
        <f t="shared" si="9"/>
        <v>472940.16367653245</v>
      </c>
      <c r="O415" s="501"/>
    </row>
    <row r="416" spans="1:15">
      <c r="A416" s="486">
        <f t="shared" si="10"/>
        <v>2042</v>
      </c>
      <c r="B416" s="486">
        <f t="shared" si="11"/>
        <v>3</v>
      </c>
      <c r="C416" s="482">
        <v>83215.622165188252</v>
      </c>
      <c r="D416" s="482"/>
      <c r="E416" s="482">
        <v>474846.83423863986</v>
      </c>
      <c r="F416" s="482">
        <f t="shared" si="12"/>
        <v>0</v>
      </c>
      <c r="G416" s="482">
        <v>0</v>
      </c>
      <c r="H416" s="482"/>
      <c r="I416" s="482"/>
      <c r="J416" s="482"/>
      <c r="K416" s="482"/>
      <c r="L416" s="482"/>
      <c r="M416" s="482"/>
      <c r="N416" s="482">
        <f t="shared" si="9"/>
        <v>558062.45640382811</v>
      </c>
      <c r="O416" s="501"/>
    </row>
    <row r="417" spans="1:15">
      <c r="A417" s="486">
        <f t="shared" si="10"/>
        <v>2042</v>
      </c>
      <c r="B417" s="486">
        <f t="shared" si="11"/>
        <v>4</v>
      </c>
      <c r="C417" s="482">
        <v>87372.021682610517</v>
      </c>
      <c r="D417" s="482"/>
      <c r="E417" s="482">
        <v>519342.56434424774</v>
      </c>
      <c r="F417" s="482">
        <f>+F405</f>
        <v>0</v>
      </c>
      <c r="G417" s="482">
        <v>0</v>
      </c>
      <c r="H417" s="482"/>
      <c r="I417" s="482"/>
      <c r="J417" s="482"/>
      <c r="K417" s="482"/>
      <c r="L417" s="482"/>
      <c r="M417" s="482"/>
      <c r="N417" s="482">
        <f t="shared" si="9"/>
        <v>606714.58602685831</v>
      </c>
      <c r="O417" s="501"/>
    </row>
    <row r="418" spans="1:15">
      <c r="A418" s="486">
        <f t="shared" si="10"/>
        <v>2042</v>
      </c>
      <c r="B418" s="486">
        <f t="shared" si="11"/>
        <v>5</v>
      </c>
      <c r="C418" s="482">
        <v>98881.520592467641</v>
      </c>
      <c r="D418" s="482"/>
      <c r="E418" s="482">
        <v>526377.9490679783</v>
      </c>
      <c r="F418" s="482">
        <f>+F406</f>
        <v>0</v>
      </c>
      <c r="G418" s="482">
        <v>0</v>
      </c>
      <c r="H418" s="482"/>
      <c r="I418" s="482"/>
      <c r="J418" s="482"/>
      <c r="K418" s="482"/>
      <c r="L418" s="482"/>
      <c r="M418" s="482"/>
      <c r="N418" s="482">
        <f t="shared" si="9"/>
        <v>625259.46966044593</v>
      </c>
      <c r="O418" s="501"/>
    </row>
    <row r="419" spans="1:15">
      <c r="A419" s="486">
        <f t="shared" si="10"/>
        <v>2042</v>
      </c>
      <c r="B419" s="486">
        <f t="shared" si="11"/>
        <v>6</v>
      </c>
      <c r="C419" s="482">
        <v>107613.84320598925</v>
      </c>
      <c r="D419" s="482"/>
      <c r="E419" s="482">
        <v>543630.2240466834</v>
      </c>
      <c r="F419" s="482">
        <f>+F407</f>
        <v>0</v>
      </c>
      <c r="G419" s="482">
        <v>0</v>
      </c>
      <c r="H419" s="482"/>
      <c r="I419" s="482"/>
      <c r="J419" s="482"/>
      <c r="K419" s="482"/>
      <c r="L419" s="482"/>
      <c r="M419" s="482"/>
      <c r="N419" s="482">
        <f t="shared" si="9"/>
        <v>651244.06725267263</v>
      </c>
      <c r="O419" s="501"/>
    </row>
    <row r="420" spans="1:15">
      <c r="A420" s="486">
        <f t="shared" si="10"/>
        <v>2042</v>
      </c>
      <c r="B420" s="486">
        <f t="shared" si="11"/>
        <v>7</v>
      </c>
      <c r="C420" s="482">
        <v>117679.73642153892</v>
      </c>
      <c r="D420" s="482"/>
      <c r="E420" s="482">
        <v>511521.44728993485</v>
      </c>
      <c r="F420" s="482">
        <f>+F408</f>
        <v>0</v>
      </c>
      <c r="G420" s="482">
        <v>0</v>
      </c>
      <c r="H420" s="482"/>
      <c r="I420" s="482"/>
      <c r="J420" s="482"/>
      <c r="K420" s="482"/>
      <c r="L420" s="482"/>
      <c r="M420" s="482"/>
      <c r="N420" s="482">
        <f t="shared" si="9"/>
        <v>629201.18371147383</v>
      </c>
      <c r="O420" s="501"/>
    </row>
    <row r="421" spans="1:15">
      <c r="A421" s="486">
        <f t="shared" si="10"/>
        <v>2042</v>
      </c>
      <c r="B421" s="486">
        <f t="shared" si="11"/>
        <v>8</v>
      </c>
      <c r="C421" s="482">
        <v>116673.67732041095</v>
      </c>
      <c r="D421" s="482"/>
      <c r="E421" s="482">
        <v>548714.91872327565</v>
      </c>
      <c r="F421" s="482">
        <f>+F409</f>
        <v>0</v>
      </c>
      <c r="G421" s="482">
        <v>0</v>
      </c>
      <c r="H421" s="482"/>
      <c r="I421" s="482"/>
      <c r="J421" s="482"/>
      <c r="K421" s="482"/>
      <c r="L421" s="482"/>
      <c r="M421" s="482"/>
      <c r="N421" s="482">
        <f t="shared" si="9"/>
        <v>665388.59604368662</v>
      </c>
      <c r="O421" s="501"/>
    </row>
    <row r="422" spans="1:15">
      <c r="A422" s="486">
        <f t="shared" si="10"/>
        <v>2042</v>
      </c>
      <c r="B422" s="486">
        <f t="shared" si="11"/>
        <v>9</v>
      </c>
      <c r="C422" s="482">
        <v>99267.828078939958</v>
      </c>
      <c r="D422" s="482"/>
      <c r="E422" s="482">
        <v>541633.19102803292</v>
      </c>
      <c r="F422" s="482">
        <f t="shared" si="12"/>
        <v>0</v>
      </c>
      <c r="G422" s="482">
        <v>0</v>
      </c>
      <c r="H422" s="482"/>
      <c r="I422" s="482"/>
      <c r="J422" s="482"/>
      <c r="K422" s="482"/>
      <c r="L422" s="482"/>
      <c r="M422" s="482"/>
      <c r="N422" s="482">
        <f t="shared" si="9"/>
        <v>640901.01910697285</v>
      </c>
      <c r="O422" s="501"/>
    </row>
    <row r="423" spans="1:15">
      <c r="A423" s="486">
        <f t="shared" si="10"/>
        <v>2042</v>
      </c>
      <c r="B423" s="486">
        <f t="shared" si="11"/>
        <v>10</v>
      </c>
      <c r="C423" s="482">
        <v>91784.496854999627</v>
      </c>
      <c r="D423" s="482"/>
      <c r="E423" s="482">
        <v>495260.80885995697</v>
      </c>
      <c r="F423" s="482">
        <f t="shared" si="12"/>
        <v>0</v>
      </c>
      <c r="G423" s="482">
        <v>0</v>
      </c>
      <c r="H423" s="482"/>
      <c r="I423" s="482"/>
      <c r="J423" s="482"/>
      <c r="K423" s="482"/>
      <c r="L423" s="482"/>
      <c r="M423" s="482"/>
      <c r="N423" s="482">
        <f t="shared" si="9"/>
        <v>587045.3057149566</v>
      </c>
      <c r="O423" s="501"/>
    </row>
    <row r="424" spans="1:15">
      <c r="A424" s="486">
        <f t="shared" si="10"/>
        <v>2042</v>
      </c>
      <c r="B424" s="486">
        <f t="shared" si="11"/>
        <v>11</v>
      </c>
      <c r="C424" s="482">
        <v>75535.846185130082</v>
      </c>
      <c r="D424" s="482"/>
      <c r="E424" s="482">
        <v>450829.06631637632</v>
      </c>
      <c r="F424" s="482">
        <f t="shared" si="12"/>
        <v>0</v>
      </c>
      <c r="G424" s="482">
        <v>0</v>
      </c>
      <c r="H424" s="482"/>
      <c r="I424" s="482"/>
      <c r="J424" s="482"/>
      <c r="K424" s="482"/>
      <c r="L424" s="482"/>
      <c r="M424" s="482"/>
      <c r="N424" s="482">
        <f t="shared" si="9"/>
        <v>526364.91250150639</v>
      </c>
      <c r="O424" s="501"/>
    </row>
    <row r="425" spans="1:15">
      <c r="A425" s="486">
        <f t="shared" si="10"/>
        <v>2042</v>
      </c>
      <c r="B425" s="486">
        <f t="shared" si="11"/>
        <v>12</v>
      </c>
      <c r="C425" s="482">
        <v>77940.163146854436</v>
      </c>
      <c r="D425" s="482"/>
      <c r="E425" s="482">
        <v>422275.94696476182</v>
      </c>
      <c r="F425" s="482">
        <f t="shared" si="12"/>
        <v>0</v>
      </c>
      <c r="G425" s="482">
        <v>0</v>
      </c>
      <c r="H425" s="482"/>
      <c r="I425" s="482"/>
      <c r="J425" s="482"/>
      <c r="K425" s="482"/>
      <c r="L425" s="482"/>
      <c r="M425" s="482"/>
      <c r="N425" s="482">
        <f t="shared" si="9"/>
        <v>500216.11011161626</v>
      </c>
      <c r="O425" s="501"/>
    </row>
    <row r="426" spans="1:15">
      <c r="A426" s="486">
        <f t="shared" si="10"/>
        <v>2043</v>
      </c>
      <c r="B426" s="486">
        <f t="shared" si="11"/>
        <v>1</v>
      </c>
      <c r="C426" s="482">
        <v>78177.284035359364</v>
      </c>
      <c r="D426" s="482"/>
      <c r="E426" s="482">
        <v>418215.10701417795</v>
      </c>
      <c r="F426" s="482">
        <f t="shared" si="12"/>
        <v>0</v>
      </c>
      <c r="G426" s="482">
        <v>0</v>
      </c>
      <c r="H426" s="482"/>
      <c r="I426" s="482"/>
      <c r="J426" s="482"/>
      <c r="K426" s="482"/>
      <c r="L426" s="482"/>
      <c r="M426" s="482"/>
      <c r="N426" s="482">
        <f t="shared" si="9"/>
        <v>496392.39104953734</v>
      </c>
      <c r="O426" s="501"/>
    </row>
    <row r="427" spans="1:15">
      <c r="A427" s="486">
        <f t="shared" si="10"/>
        <v>2043</v>
      </c>
      <c r="B427" s="486">
        <f t="shared" si="11"/>
        <v>2</v>
      </c>
      <c r="C427" s="482">
        <v>73716.35245281634</v>
      </c>
      <c r="D427" s="482"/>
      <c r="E427" s="482">
        <v>406120.8935607521</v>
      </c>
      <c r="F427" s="482">
        <f t="shared" si="12"/>
        <v>0</v>
      </c>
      <c r="G427" s="482">
        <v>0</v>
      </c>
      <c r="H427" s="482"/>
      <c r="I427" s="482"/>
      <c r="J427" s="482"/>
      <c r="K427" s="482"/>
      <c r="L427" s="482"/>
      <c r="M427" s="482"/>
      <c r="N427" s="482">
        <f t="shared" si="9"/>
        <v>479837.24601356842</v>
      </c>
      <c r="O427" s="501"/>
    </row>
    <row r="428" spans="1:15">
      <c r="A428" s="486">
        <f t="shared" si="10"/>
        <v>2043</v>
      </c>
      <c r="B428" s="486">
        <f t="shared" si="11"/>
        <v>3</v>
      </c>
      <c r="C428" s="482">
        <v>84238.713486112349</v>
      </c>
      <c r="D428" s="482"/>
      <c r="E428" s="482">
        <v>481969.53675660572</v>
      </c>
      <c r="F428" s="482">
        <f t="shared" si="12"/>
        <v>0</v>
      </c>
      <c r="G428" s="482">
        <v>0</v>
      </c>
      <c r="H428" s="482"/>
      <c r="I428" s="482"/>
      <c r="J428" s="482"/>
      <c r="K428" s="482"/>
      <c r="L428" s="482"/>
      <c r="M428" s="482"/>
      <c r="N428" s="482">
        <f t="shared" si="9"/>
        <v>566208.25024271803</v>
      </c>
      <c r="O428" s="501"/>
    </row>
    <row r="429" spans="1:15">
      <c r="A429" s="486">
        <f t="shared" si="10"/>
        <v>2043</v>
      </c>
      <c r="B429" s="486">
        <f t="shared" si="11"/>
        <v>4</v>
      </c>
      <c r="C429" s="482">
        <v>88446.213700277876</v>
      </c>
      <c r="D429" s="482"/>
      <c r="E429" s="482">
        <v>527132.70281420869</v>
      </c>
      <c r="F429" s="482">
        <f t="shared" si="12"/>
        <v>0</v>
      </c>
      <c r="G429" s="482">
        <v>0</v>
      </c>
      <c r="H429" s="482"/>
      <c r="I429" s="482"/>
      <c r="J429" s="482"/>
      <c r="K429" s="482"/>
      <c r="L429" s="482"/>
      <c r="M429" s="482"/>
      <c r="N429" s="482">
        <f t="shared" si="9"/>
        <v>615578.91651448654</v>
      </c>
      <c r="O429" s="501"/>
    </row>
    <row r="430" spans="1:15">
      <c r="A430" s="486">
        <f t="shared" si="10"/>
        <v>2043</v>
      </c>
      <c r="B430" s="486">
        <f t="shared" si="11"/>
        <v>5</v>
      </c>
      <c r="C430" s="482">
        <v>100097.21570939074</v>
      </c>
      <c r="D430" s="482"/>
      <c r="E430" s="482">
        <v>534273.61830886023</v>
      </c>
      <c r="F430" s="482">
        <f t="shared" si="12"/>
        <v>0</v>
      </c>
      <c r="G430" s="482">
        <v>0</v>
      </c>
      <c r="H430" s="482"/>
      <c r="I430" s="482"/>
      <c r="J430" s="482"/>
      <c r="K430" s="482"/>
      <c r="L430" s="482"/>
      <c r="M430" s="482"/>
      <c r="N430" s="482">
        <f t="shared" si="9"/>
        <v>634370.83401825093</v>
      </c>
      <c r="O430" s="501"/>
    </row>
    <row r="431" spans="1:15">
      <c r="A431" s="486">
        <f t="shared" si="10"/>
        <v>2043</v>
      </c>
      <c r="B431" s="486">
        <f t="shared" si="11"/>
        <v>6</v>
      </c>
      <c r="C431" s="482">
        <v>108936.89753317779</v>
      </c>
      <c r="D431" s="482"/>
      <c r="E431" s="482">
        <v>551784.67741240526</v>
      </c>
      <c r="F431" s="482">
        <f t="shared" si="12"/>
        <v>0</v>
      </c>
      <c r="G431" s="482">
        <v>0</v>
      </c>
      <c r="H431" s="482"/>
      <c r="I431" s="482"/>
      <c r="J431" s="482"/>
      <c r="K431" s="482"/>
      <c r="L431" s="482"/>
      <c r="M431" s="482"/>
      <c r="N431" s="482">
        <f t="shared" si="9"/>
        <v>660721.57494558301</v>
      </c>
      <c r="O431" s="501"/>
    </row>
    <row r="432" spans="1:15">
      <c r="A432" s="486">
        <f t="shared" si="10"/>
        <v>2043</v>
      </c>
      <c r="B432" s="486">
        <f t="shared" si="11"/>
        <v>7</v>
      </c>
      <c r="C432" s="482">
        <v>119126.54549234679</v>
      </c>
      <c r="D432" s="482"/>
      <c r="E432" s="482">
        <v>519194.26900400891</v>
      </c>
      <c r="F432" s="482">
        <f t="shared" si="12"/>
        <v>0</v>
      </c>
      <c r="G432" s="482">
        <v>0</v>
      </c>
      <c r="H432" s="482"/>
      <c r="I432" s="482"/>
      <c r="J432" s="482"/>
      <c r="K432" s="482"/>
      <c r="L432" s="482"/>
      <c r="M432" s="482"/>
      <c r="N432" s="482">
        <f t="shared" si="9"/>
        <v>638320.81449635571</v>
      </c>
      <c r="O432" s="501"/>
    </row>
    <row r="433" spans="1:15">
      <c r="A433" s="486">
        <f t="shared" si="10"/>
        <v>2043</v>
      </c>
      <c r="B433" s="486">
        <f t="shared" si="11"/>
        <v>8</v>
      </c>
      <c r="C433" s="482">
        <v>118108.11743563191</v>
      </c>
      <c r="D433" s="482"/>
      <c r="E433" s="482">
        <v>556945.64250919339</v>
      </c>
      <c r="F433" s="482">
        <f t="shared" si="12"/>
        <v>0</v>
      </c>
      <c r="G433" s="482">
        <v>0</v>
      </c>
      <c r="H433" s="482"/>
      <c r="I433" s="482"/>
      <c r="J433" s="482"/>
      <c r="K433" s="482"/>
      <c r="L433" s="482"/>
      <c r="M433" s="482"/>
      <c r="N433" s="482">
        <f t="shared" si="9"/>
        <v>675053.75994482532</v>
      </c>
      <c r="O433" s="501"/>
    </row>
    <row r="434" spans="1:15">
      <c r="A434" s="486">
        <f t="shared" si="10"/>
        <v>2043</v>
      </c>
      <c r="B434" s="486">
        <f t="shared" si="11"/>
        <v>9</v>
      </c>
      <c r="C434" s="482">
        <v>100488.27263865196</v>
      </c>
      <c r="D434" s="482"/>
      <c r="E434" s="482">
        <v>549757.68889845663</v>
      </c>
      <c r="F434" s="482">
        <f t="shared" si="12"/>
        <v>0</v>
      </c>
      <c r="G434" s="482">
        <v>0</v>
      </c>
      <c r="H434" s="482"/>
      <c r="I434" s="482"/>
      <c r="J434" s="482"/>
      <c r="K434" s="482"/>
      <c r="L434" s="482"/>
      <c r="M434" s="482"/>
      <c r="N434" s="482">
        <f t="shared" si="9"/>
        <v>650245.96153710864</v>
      </c>
      <c r="O434" s="501"/>
    </row>
    <row r="435" spans="1:15">
      <c r="A435" s="486">
        <f t="shared" si="10"/>
        <v>2043</v>
      </c>
      <c r="B435" s="486">
        <f t="shared" si="11"/>
        <v>10</v>
      </c>
      <c r="C435" s="482">
        <v>92912.937881869948</v>
      </c>
      <c r="D435" s="482"/>
      <c r="E435" s="482">
        <v>502689.72099743114</v>
      </c>
      <c r="F435" s="482">
        <f t="shared" si="12"/>
        <v>0</v>
      </c>
      <c r="G435" s="482">
        <v>0</v>
      </c>
      <c r="H435" s="482"/>
      <c r="I435" s="482"/>
      <c r="J435" s="482"/>
      <c r="K435" s="482"/>
      <c r="L435" s="482"/>
      <c r="M435" s="482"/>
      <c r="N435" s="482">
        <f t="shared" si="9"/>
        <v>595602.65887930105</v>
      </c>
      <c r="O435" s="501"/>
    </row>
    <row r="436" spans="1:15">
      <c r="A436" s="486">
        <f t="shared" si="10"/>
        <v>2043</v>
      </c>
      <c r="B436" s="486">
        <f t="shared" si="11"/>
        <v>11</v>
      </c>
      <c r="C436" s="482">
        <v>76464.51879058464</v>
      </c>
      <c r="D436" s="482"/>
      <c r="E436" s="482">
        <v>457591.50231528637</v>
      </c>
      <c r="F436" s="482">
        <f t="shared" si="12"/>
        <v>0</v>
      </c>
      <c r="G436" s="482">
        <v>0</v>
      </c>
      <c r="H436" s="482"/>
      <c r="I436" s="482"/>
      <c r="J436" s="482"/>
      <c r="K436" s="482"/>
      <c r="L436" s="482"/>
      <c r="M436" s="482"/>
      <c r="N436" s="482">
        <f t="shared" si="9"/>
        <v>534056.02110587107</v>
      </c>
      <c r="O436" s="501"/>
    </row>
    <row r="437" spans="1:15">
      <c r="A437" s="486">
        <f t="shared" si="10"/>
        <v>2043</v>
      </c>
      <c r="B437" s="486">
        <f t="shared" si="11"/>
        <v>12</v>
      </c>
      <c r="C437" s="482">
        <v>78898.395536304946</v>
      </c>
      <c r="D437" s="482"/>
      <c r="E437" s="482">
        <v>428610.08617313387</v>
      </c>
      <c r="F437" s="482">
        <f t="shared" si="12"/>
        <v>0</v>
      </c>
      <c r="G437" s="482">
        <v>0</v>
      </c>
      <c r="H437" s="482"/>
      <c r="I437" s="482"/>
      <c r="J437" s="482"/>
      <c r="K437" s="482"/>
      <c r="L437" s="482"/>
      <c r="M437" s="482"/>
      <c r="N437" s="482">
        <f t="shared" si="9"/>
        <v>507508.48170943884</v>
      </c>
      <c r="O437" s="501"/>
    </row>
    <row r="438" spans="1:15">
      <c r="A438" s="486">
        <f t="shared" si="10"/>
        <v>2044</v>
      </c>
      <c r="B438" s="486">
        <f t="shared" si="11"/>
        <v>1</v>
      </c>
      <c r="C438" s="482">
        <v>79138.431698609755</v>
      </c>
      <c r="D438" s="482"/>
      <c r="E438" s="482">
        <v>424488.33362325374</v>
      </c>
      <c r="F438" s="482">
        <f t="shared" si="12"/>
        <v>0</v>
      </c>
      <c r="G438" s="482">
        <v>0</v>
      </c>
      <c r="H438" s="482"/>
      <c r="I438" s="482"/>
      <c r="J438" s="482"/>
      <c r="K438" s="482"/>
      <c r="L438" s="482"/>
      <c r="M438" s="482"/>
      <c r="N438" s="482">
        <f t="shared" si="9"/>
        <v>503626.76532186347</v>
      </c>
      <c r="O438" s="501"/>
    </row>
    <row r="439" spans="1:15">
      <c r="A439" s="486">
        <f t="shared" si="10"/>
        <v>2044</v>
      </c>
      <c r="B439" s="486">
        <f t="shared" si="11"/>
        <v>2</v>
      </c>
      <c r="C439" s="482">
        <v>74622.655361361016</v>
      </c>
      <c r="D439" s="482"/>
      <c r="E439" s="482">
        <v>412212.70696791477</v>
      </c>
      <c r="F439" s="482">
        <f t="shared" si="12"/>
        <v>0</v>
      </c>
      <c r="G439" s="482">
        <v>0</v>
      </c>
      <c r="H439" s="482"/>
      <c r="I439" s="482"/>
      <c r="J439" s="482"/>
      <c r="K439" s="482"/>
      <c r="L439" s="482"/>
      <c r="M439" s="482"/>
      <c r="N439" s="482">
        <f t="shared" si="9"/>
        <v>486835.36232927581</v>
      </c>
      <c r="O439" s="501"/>
    </row>
    <row r="440" spans="1:15">
      <c r="A440" s="486">
        <f t="shared" si="10"/>
        <v>2044</v>
      </c>
      <c r="B440" s="486">
        <f t="shared" si="11"/>
        <v>3</v>
      </c>
      <c r="C440" s="482">
        <v>85274.383164605795</v>
      </c>
      <c r="D440" s="482"/>
      <c r="E440" s="482">
        <v>489199.07981240685</v>
      </c>
      <c r="F440" s="482">
        <f t="shared" si="12"/>
        <v>0</v>
      </c>
      <c r="G440" s="482">
        <v>0</v>
      </c>
      <c r="H440" s="482"/>
      <c r="I440" s="482"/>
      <c r="J440" s="482"/>
      <c r="K440" s="482"/>
      <c r="L440" s="482"/>
      <c r="M440" s="482"/>
      <c r="N440" s="482">
        <f t="shared" si="9"/>
        <v>574473.46297701262</v>
      </c>
      <c r="O440" s="501"/>
    </row>
    <row r="441" spans="1:15">
      <c r="A441" s="486">
        <f t="shared" si="10"/>
        <v>2044</v>
      </c>
      <c r="B441" s="486">
        <f t="shared" si="11"/>
        <v>4</v>
      </c>
      <c r="C441" s="482">
        <v>89533.61233109895</v>
      </c>
      <c r="D441" s="482"/>
      <c r="E441" s="482">
        <v>535039.69336129108</v>
      </c>
      <c r="F441" s="482">
        <f t="shared" si="12"/>
        <v>0</v>
      </c>
      <c r="G441" s="482">
        <v>0</v>
      </c>
      <c r="H441" s="482"/>
      <c r="I441" s="482"/>
      <c r="J441" s="482"/>
      <c r="K441" s="482"/>
      <c r="L441" s="482"/>
      <c r="M441" s="482"/>
      <c r="N441" s="482">
        <f t="shared" si="9"/>
        <v>624573.30569239007</v>
      </c>
      <c r="O441" s="501"/>
    </row>
    <row r="442" spans="1:15">
      <c r="A442" s="486">
        <f t="shared" si="10"/>
        <v>2044</v>
      </c>
      <c r="B442" s="486">
        <f t="shared" si="11"/>
        <v>5</v>
      </c>
      <c r="C442" s="482">
        <v>101327.85714397214</v>
      </c>
      <c r="D442" s="482"/>
      <c r="E442" s="482">
        <v>542287.7225884283</v>
      </c>
      <c r="F442" s="482">
        <f t="shared" si="12"/>
        <v>0</v>
      </c>
      <c r="G442" s="482">
        <v>0</v>
      </c>
      <c r="H442" s="482"/>
      <c r="I442" s="482"/>
      <c r="J442" s="482"/>
      <c r="K442" s="482"/>
      <c r="L442" s="482"/>
      <c r="M442" s="482"/>
      <c r="N442" s="482">
        <f t="shared" si="9"/>
        <v>643615.57973240048</v>
      </c>
      <c r="O442" s="501"/>
    </row>
    <row r="443" spans="1:15">
      <c r="A443" s="486">
        <f t="shared" si="10"/>
        <v>2044</v>
      </c>
      <c r="B443" s="486">
        <f t="shared" si="11"/>
        <v>6</v>
      </c>
      <c r="C443" s="482">
        <v>110276.21810177676</v>
      </c>
      <c r="D443" s="482"/>
      <c r="E443" s="482">
        <v>560061.44757868827</v>
      </c>
      <c r="F443" s="482">
        <f t="shared" si="12"/>
        <v>0</v>
      </c>
      <c r="G443" s="482">
        <v>0</v>
      </c>
      <c r="H443" s="482"/>
      <c r="I443" s="482"/>
      <c r="J443" s="482"/>
      <c r="K443" s="482"/>
      <c r="L443" s="482"/>
      <c r="M443" s="482"/>
      <c r="N443" s="482">
        <f t="shared" si="9"/>
        <v>670337.66568046506</v>
      </c>
      <c r="O443" s="501"/>
    </row>
    <row r="444" spans="1:15">
      <c r="A444" s="486">
        <f t="shared" si="10"/>
        <v>2044</v>
      </c>
      <c r="B444" s="486">
        <f t="shared" si="11"/>
        <v>7</v>
      </c>
      <c r="C444" s="482">
        <v>120591.14230258224</v>
      </c>
      <c r="D444" s="482"/>
      <c r="E444" s="482">
        <v>526982.1830438649</v>
      </c>
      <c r="F444" s="482">
        <f t="shared" si="12"/>
        <v>0</v>
      </c>
      <c r="G444" s="482">
        <v>0</v>
      </c>
      <c r="H444" s="482"/>
      <c r="I444" s="482"/>
      <c r="J444" s="482"/>
      <c r="K444" s="482"/>
      <c r="L444" s="482"/>
      <c r="M444" s="482"/>
      <c r="N444" s="482">
        <f t="shared" si="9"/>
        <v>647573.32534644718</v>
      </c>
      <c r="O444" s="501"/>
    </row>
    <row r="445" spans="1:15">
      <c r="A445" s="486">
        <f t="shared" si="10"/>
        <v>2044</v>
      </c>
      <c r="B445" s="486">
        <f t="shared" si="11"/>
        <v>8</v>
      </c>
      <c r="C445" s="482">
        <v>119560.19322062357</v>
      </c>
      <c r="D445" s="482"/>
      <c r="E445" s="482">
        <v>565299.82715197594</v>
      </c>
      <c r="F445" s="482">
        <f t="shared" si="12"/>
        <v>0</v>
      </c>
      <c r="G445" s="482">
        <v>0</v>
      </c>
      <c r="H445" s="482"/>
      <c r="I445" s="482"/>
      <c r="J445" s="482"/>
      <c r="K445" s="482"/>
      <c r="L445" s="482"/>
      <c r="M445" s="482"/>
      <c r="N445" s="482">
        <f t="shared" si="9"/>
        <v>684860.02037259948</v>
      </c>
      <c r="O445" s="501"/>
    </row>
    <row r="446" spans="1:15">
      <c r="A446" s="486">
        <f t="shared" si="10"/>
        <v>2044</v>
      </c>
      <c r="B446" s="486">
        <f t="shared" si="11"/>
        <v>9</v>
      </c>
      <c r="C446" s="482">
        <v>101723.7219078671</v>
      </c>
      <c r="D446" s="482"/>
      <c r="E446" s="482">
        <v>558004.0542370117</v>
      </c>
      <c r="F446" s="482">
        <f t="shared" si="12"/>
        <v>0</v>
      </c>
      <c r="G446" s="482">
        <v>0</v>
      </c>
      <c r="H446" s="482"/>
      <c r="I446" s="482"/>
      <c r="J446" s="482"/>
      <c r="K446" s="482"/>
      <c r="L446" s="482"/>
      <c r="M446" s="482"/>
      <c r="N446" s="482">
        <f t="shared" si="9"/>
        <v>659727.77614487882</v>
      </c>
      <c r="O446" s="501"/>
    </row>
    <row r="447" spans="1:15">
      <c r="A447" s="486">
        <f t="shared" si="10"/>
        <v>2044</v>
      </c>
      <c r="B447" s="486">
        <f t="shared" si="11"/>
        <v>10</v>
      </c>
      <c r="C447" s="482">
        <v>94055.252484286859</v>
      </c>
      <c r="D447" s="482"/>
      <c r="E447" s="482">
        <v>510230.06681703601</v>
      </c>
      <c r="F447" s="482">
        <f t="shared" si="12"/>
        <v>0</v>
      </c>
      <c r="G447" s="482">
        <v>0</v>
      </c>
      <c r="H447" s="482"/>
      <c r="I447" s="482"/>
      <c r="J447" s="482"/>
      <c r="K447" s="482"/>
      <c r="L447" s="482"/>
      <c r="M447" s="482"/>
      <c r="N447" s="482">
        <f t="shared" si="9"/>
        <v>604285.31930132292</v>
      </c>
      <c r="O447" s="501"/>
    </row>
    <row r="448" spans="1:15">
      <c r="A448" s="486">
        <f t="shared" si="10"/>
        <v>2044</v>
      </c>
      <c r="B448" s="486">
        <f t="shared" si="11"/>
        <v>11</v>
      </c>
      <c r="C448" s="482">
        <v>77404.608926280504</v>
      </c>
      <c r="D448" s="482"/>
      <c r="E448" s="482">
        <v>464455.37485424255</v>
      </c>
      <c r="F448" s="482">
        <f t="shared" si="12"/>
        <v>0</v>
      </c>
      <c r="G448" s="482">
        <v>0</v>
      </c>
      <c r="H448" s="482"/>
      <c r="I448" s="482"/>
      <c r="J448" s="482"/>
      <c r="K448" s="482"/>
      <c r="L448" s="482"/>
      <c r="M448" s="482"/>
      <c r="N448" s="482">
        <f t="shared" si="9"/>
        <v>541859.98378052306</v>
      </c>
      <c r="O448" s="501"/>
    </row>
    <row r="449" spans="1:15">
      <c r="A449" s="486">
        <f t="shared" si="10"/>
        <v>2044</v>
      </c>
      <c r="B449" s="486">
        <f t="shared" si="11"/>
        <v>12</v>
      </c>
      <c r="C449" s="482">
        <v>79868.408877643655</v>
      </c>
      <c r="D449" s="482"/>
      <c r="E449" s="482">
        <v>435039.23746969004</v>
      </c>
      <c r="F449" s="482">
        <f t="shared" si="12"/>
        <v>0</v>
      </c>
      <c r="G449" s="482">
        <v>0</v>
      </c>
      <c r="H449" s="482"/>
      <c r="I449" s="482"/>
      <c r="J449" s="482"/>
      <c r="K449" s="482"/>
      <c r="L449" s="482"/>
      <c r="M449" s="482"/>
      <c r="N449" s="482">
        <f t="shared" si="9"/>
        <v>514907.64634733368</v>
      </c>
      <c r="O449" s="501"/>
    </row>
    <row r="450" spans="1:15">
      <c r="A450" s="486">
        <f t="shared" si="10"/>
        <v>2045</v>
      </c>
      <c r="B450" s="486">
        <f t="shared" si="11"/>
        <v>1</v>
      </c>
      <c r="C450" s="482">
        <v>80111.39615547187</v>
      </c>
      <c r="D450" s="482"/>
      <c r="E450" s="482">
        <v>430855.65863152361</v>
      </c>
      <c r="F450" s="482">
        <f t="shared" si="12"/>
        <v>0</v>
      </c>
      <c r="G450" s="482">
        <v>0</v>
      </c>
      <c r="H450" s="482"/>
      <c r="I450" s="482"/>
      <c r="J450" s="482"/>
      <c r="K450" s="482"/>
      <c r="L450" s="482"/>
      <c r="M450" s="482"/>
      <c r="N450" s="482">
        <f t="shared" si="9"/>
        <v>510967.05478699546</v>
      </c>
      <c r="O450" s="501"/>
    </row>
    <row r="451" spans="1:15">
      <c r="A451" s="486">
        <f t="shared" si="10"/>
        <v>2045</v>
      </c>
      <c r="B451" s="486">
        <f t="shared" si="11"/>
        <v>2</v>
      </c>
      <c r="C451" s="482">
        <v>75540.100776753985</v>
      </c>
      <c r="D451" s="482"/>
      <c r="E451" s="482">
        <v>418395.89757624117</v>
      </c>
      <c r="F451" s="482">
        <f t="shared" si="12"/>
        <v>0</v>
      </c>
      <c r="G451" s="482">
        <v>0</v>
      </c>
      <c r="H451" s="482"/>
      <c r="I451" s="482"/>
      <c r="J451" s="482"/>
      <c r="K451" s="482"/>
      <c r="L451" s="482"/>
      <c r="M451" s="482"/>
      <c r="N451" s="482">
        <f t="shared" si="9"/>
        <v>493935.99835299514</v>
      </c>
      <c r="O451" s="501"/>
    </row>
    <row r="452" spans="1:15">
      <c r="A452" s="486">
        <f t="shared" si="10"/>
        <v>2045</v>
      </c>
      <c r="B452" s="486">
        <f t="shared" si="11"/>
        <v>3</v>
      </c>
      <c r="C452" s="482">
        <v>86322.785844810234</v>
      </c>
      <c r="D452" s="482"/>
      <c r="E452" s="482">
        <v>496537.0660141118</v>
      </c>
      <c r="F452" s="482">
        <f t="shared" si="12"/>
        <v>0</v>
      </c>
      <c r="G452" s="482">
        <v>0</v>
      </c>
      <c r="H452" s="482"/>
      <c r="I452" s="482"/>
      <c r="J452" s="482"/>
      <c r="K452" s="482"/>
      <c r="L452" s="482"/>
      <c r="M452" s="482"/>
      <c r="N452" s="482">
        <f t="shared" si="9"/>
        <v>582859.85185892205</v>
      </c>
      <c r="O452" s="501"/>
    </row>
    <row r="453" spans="1:15">
      <c r="A453" s="486">
        <f t="shared" si="10"/>
        <v>2045</v>
      </c>
      <c r="B453" s="486">
        <f t="shared" si="11"/>
        <v>4</v>
      </c>
      <c r="C453" s="482">
        <v>90634.379943279913</v>
      </c>
      <c r="D453" s="482"/>
      <c r="E453" s="482">
        <v>543065.28876665269</v>
      </c>
      <c r="F453" s="482">
        <f t="shared" si="12"/>
        <v>0</v>
      </c>
      <c r="G453" s="482">
        <v>0</v>
      </c>
      <c r="H453" s="482"/>
      <c r="I453" s="482"/>
      <c r="J453" s="482"/>
      <c r="K453" s="482"/>
      <c r="L453" s="482"/>
      <c r="M453" s="482"/>
      <c r="N453" s="482">
        <f t="shared" si="9"/>
        <v>633699.66870993259</v>
      </c>
      <c r="O453" s="501"/>
    </row>
    <row r="454" spans="1:15">
      <c r="A454" s="486">
        <f t="shared" si="10"/>
        <v>2045</v>
      </c>
      <c r="B454" s="486">
        <f t="shared" si="11"/>
        <v>5</v>
      </c>
      <c r="C454" s="482">
        <v>102573.62865314928</v>
      </c>
      <c r="D454" s="482"/>
      <c r="E454" s="482">
        <v>550422.03843226389</v>
      </c>
      <c r="F454" s="482">
        <f t="shared" si="12"/>
        <v>0</v>
      </c>
      <c r="G454" s="482">
        <v>0</v>
      </c>
      <c r="H454" s="482"/>
      <c r="I454" s="482"/>
      <c r="J454" s="482"/>
      <c r="K454" s="482"/>
      <c r="L454" s="482"/>
      <c r="M454" s="482"/>
      <c r="N454" s="482">
        <f t="shared" si="9"/>
        <v>652995.66708541312</v>
      </c>
      <c r="O454" s="501"/>
    </row>
    <row r="455" spans="1:15">
      <c r="A455" s="486">
        <f t="shared" si="10"/>
        <v>2045</v>
      </c>
      <c r="B455" s="486">
        <f t="shared" si="11"/>
        <v>6</v>
      </c>
      <c r="C455" s="482">
        <v>111632.00489647625</v>
      </c>
      <c r="D455" s="482"/>
      <c r="E455" s="482">
        <v>568462.36929754203</v>
      </c>
      <c r="F455" s="482">
        <f t="shared" si="12"/>
        <v>0</v>
      </c>
      <c r="G455" s="482">
        <v>0</v>
      </c>
      <c r="H455" s="482"/>
      <c r="I455" s="482"/>
      <c r="J455" s="482"/>
      <c r="K455" s="482"/>
      <c r="L455" s="482"/>
      <c r="M455" s="482"/>
      <c r="N455" s="482">
        <f t="shared" ref="N455:N518" si="13">SUM(C455:M455)</f>
        <v>680094.37419401831</v>
      </c>
      <c r="O455" s="501"/>
    </row>
    <row r="456" spans="1:15">
      <c r="A456" s="486">
        <f t="shared" si="10"/>
        <v>2045</v>
      </c>
      <c r="B456" s="486">
        <f t="shared" si="11"/>
        <v>7</v>
      </c>
      <c r="C456" s="482">
        <v>122073.74554293523</v>
      </c>
      <c r="D456" s="482"/>
      <c r="E456" s="482">
        <v>534886.91579439072</v>
      </c>
      <c r="F456" s="482">
        <f t="shared" si="12"/>
        <v>0</v>
      </c>
      <c r="G456" s="482">
        <v>0</v>
      </c>
      <c r="H456" s="482"/>
      <c r="I456" s="482"/>
      <c r="J456" s="482"/>
      <c r="K456" s="482"/>
      <c r="L456" s="482"/>
      <c r="M456" s="482"/>
      <c r="N456" s="482">
        <f t="shared" si="13"/>
        <v>656960.66133732593</v>
      </c>
      <c r="O456" s="501"/>
    </row>
    <row r="457" spans="1:15">
      <c r="A457" s="486">
        <f t="shared" si="10"/>
        <v>2045</v>
      </c>
      <c r="B457" s="486">
        <f t="shared" si="11"/>
        <v>8</v>
      </c>
      <c r="C457" s="482">
        <v>121030.12149646123</v>
      </c>
      <c r="D457" s="482"/>
      <c r="E457" s="482">
        <v>573779.32456447731</v>
      </c>
      <c r="F457" s="482">
        <f t="shared" si="12"/>
        <v>0</v>
      </c>
      <c r="G457" s="482">
        <v>0</v>
      </c>
      <c r="H457" s="482"/>
      <c r="I457" s="482"/>
      <c r="J457" s="482"/>
      <c r="K457" s="482"/>
      <c r="L457" s="482"/>
      <c r="M457" s="482"/>
      <c r="N457" s="482">
        <f t="shared" si="13"/>
        <v>694809.44606093853</v>
      </c>
      <c r="O457" s="501"/>
    </row>
    <row r="458" spans="1:15">
      <c r="A458" s="486">
        <f t="shared" si="10"/>
        <v>2045</v>
      </c>
      <c r="B458" s="486">
        <f t="shared" si="11"/>
        <v>9</v>
      </c>
      <c r="C458" s="482">
        <v>102974.36036141914</v>
      </c>
      <c r="D458" s="482"/>
      <c r="E458" s="482">
        <v>566374.11505572125</v>
      </c>
      <c r="F458" s="482">
        <f t="shared" si="12"/>
        <v>0</v>
      </c>
      <c r="G458" s="482">
        <v>0</v>
      </c>
      <c r="H458" s="482"/>
      <c r="I458" s="482"/>
      <c r="J458" s="482"/>
      <c r="K458" s="482"/>
      <c r="L458" s="482"/>
      <c r="M458" s="482"/>
      <c r="N458" s="482">
        <f t="shared" si="13"/>
        <v>669348.47541714041</v>
      </c>
      <c r="O458" s="501"/>
    </row>
    <row r="459" spans="1:15">
      <c r="A459" s="486">
        <f t="shared" si="10"/>
        <v>2045</v>
      </c>
      <c r="B459" s="486">
        <f t="shared" si="11"/>
        <v>10</v>
      </c>
      <c r="C459" s="482">
        <v>95211.611230400464</v>
      </c>
      <c r="D459" s="482"/>
      <c r="E459" s="482">
        <v>517883.51782400464</v>
      </c>
      <c r="F459" s="482">
        <f t="shared" si="12"/>
        <v>0</v>
      </c>
      <c r="G459" s="482">
        <v>0</v>
      </c>
      <c r="H459" s="482"/>
      <c r="I459" s="482"/>
      <c r="J459" s="482"/>
      <c r="K459" s="482"/>
      <c r="L459" s="482"/>
      <c r="M459" s="482"/>
      <c r="N459" s="482">
        <f t="shared" si="13"/>
        <v>613095.12905440514</v>
      </c>
      <c r="O459" s="501"/>
    </row>
    <row r="460" spans="1:15">
      <c r="A460" s="486">
        <f t="shared" si="10"/>
        <v>2045</v>
      </c>
      <c r="B460" s="486">
        <f t="shared" si="11"/>
        <v>11</v>
      </c>
      <c r="C460" s="482">
        <v>78356.256964611617</v>
      </c>
      <c r="D460" s="482"/>
      <c r="E460" s="482">
        <v>471422.20548134646</v>
      </c>
      <c r="F460" s="482">
        <f t="shared" si="12"/>
        <v>0</v>
      </c>
      <c r="G460" s="482">
        <v>0</v>
      </c>
      <c r="H460" s="482"/>
      <c r="I460" s="482"/>
      <c r="J460" s="482"/>
      <c r="K460" s="482"/>
      <c r="L460" s="482"/>
      <c r="M460" s="482"/>
      <c r="N460" s="482">
        <f t="shared" si="13"/>
        <v>549778.46244595805</v>
      </c>
      <c r="O460" s="501"/>
    </row>
    <row r="461" spans="1:15">
      <c r="A461" s="486">
        <f t="shared" si="10"/>
        <v>2045</v>
      </c>
      <c r="B461" s="486">
        <f t="shared" si="11"/>
        <v>12</v>
      </c>
      <c r="C461" s="482">
        <v>80850.34801133821</v>
      </c>
      <c r="D461" s="482"/>
      <c r="E461" s="482">
        <v>441564.82603575394</v>
      </c>
      <c r="F461" s="482">
        <f t="shared" si="12"/>
        <v>0</v>
      </c>
      <c r="G461" s="482">
        <v>0</v>
      </c>
      <c r="H461" s="482"/>
      <c r="I461" s="482"/>
      <c r="J461" s="482"/>
      <c r="K461" s="482"/>
      <c r="L461" s="482"/>
      <c r="M461" s="482"/>
      <c r="N461" s="482">
        <f t="shared" si="13"/>
        <v>522415.17404709215</v>
      </c>
      <c r="O461" s="501"/>
    </row>
    <row r="462" spans="1:15">
      <c r="A462" s="486">
        <f t="shared" si="10"/>
        <v>2046</v>
      </c>
      <c r="B462" s="486">
        <f t="shared" si="11"/>
        <v>1</v>
      </c>
      <c r="C462" s="482">
        <v>81096.322687068066</v>
      </c>
      <c r="D462" s="482"/>
      <c r="E462" s="482">
        <v>437318.49351497635</v>
      </c>
      <c r="F462" s="482">
        <f t="shared" si="12"/>
        <v>0</v>
      </c>
      <c r="G462" s="482">
        <v>0</v>
      </c>
      <c r="H462" s="482"/>
      <c r="I462" s="482"/>
      <c r="J462" s="482"/>
      <c r="K462" s="482"/>
      <c r="L462" s="482"/>
      <c r="M462" s="482"/>
      <c r="N462" s="482">
        <f t="shared" si="13"/>
        <v>518414.81620204443</v>
      </c>
      <c r="O462" s="501"/>
    </row>
    <row r="463" spans="1:15">
      <c r="A463" s="486">
        <f t="shared" si="10"/>
        <v>2046</v>
      </c>
      <c r="B463" s="486">
        <f t="shared" si="11"/>
        <v>2</v>
      </c>
      <c r="C463" s="482">
        <v>76468.825690124475</v>
      </c>
      <c r="D463" s="482"/>
      <c r="E463" s="482">
        <v>424671.83604374959</v>
      </c>
      <c r="F463" s="482">
        <f t="shared" si="12"/>
        <v>0</v>
      </c>
      <c r="G463" s="482">
        <v>0</v>
      </c>
      <c r="H463" s="482"/>
      <c r="I463" s="482"/>
      <c r="J463" s="482"/>
      <c r="K463" s="482"/>
      <c r="L463" s="482"/>
      <c r="M463" s="482"/>
      <c r="N463" s="482">
        <f t="shared" si="13"/>
        <v>501140.66173387406</v>
      </c>
      <c r="O463" s="501"/>
    </row>
    <row r="464" spans="1:15">
      <c r="A464" s="486">
        <f t="shared" si="10"/>
        <v>2046</v>
      </c>
      <c r="B464" s="486">
        <f t="shared" si="11"/>
        <v>3</v>
      </c>
      <c r="C464" s="482">
        <v>87384.078072133867</v>
      </c>
      <c r="D464" s="482"/>
      <c r="E464" s="482">
        <v>503985.12200891005</v>
      </c>
      <c r="F464" s="482">
        <f t="shared" si="12"/>
        <v>0</v>
      </c>
      <c r="G464" s="482">
        <v>0</v>
      </c>
      <c r="H464" s="482"/>
      <c r="I464" s="482"/>
      <c r="J464" s="482"/>
      <c r="K464" s="482"/>
      <c r="L464" s="482"/>
      <c r="M464" s="482"/>
      <c r="N464" s="482">
        <f t="shared" si="13"/>
        <v>591369.20008104388</v>
      </c>
      <c r="O464" s="501"/>
    </row>
    <row r="465" spans="1:15">
      <c r="A465" s="486">
        <f t="shared" si="10"/>
        <v>2046</v>
      </c>
      <c r="B465" s="486">
        <f t="shared" si="11"/>
        <v>4</v>
      </c>
      <c r="C465" s="482">
        <v>91748.68090125671</v>
      </c>
      <c r="D465" s="482"/>
      <c r="E465" s="482">
        <v>551211.26810316893</v>
      </c>
      <c r="F465" s="482">
        <f t="shared" si="12"/>
        <v>0</v>
      </c>
      <c r="G465" s="482">
        <v>0</v>
      </c>
      <c r="H465" s="482"/>
      <c r="I465" s="482"/>
      <c r="J465" s="482"/>
      <c r="K465" s="482"/>
      <c r="L465" s="482"/>
      <c r="M465" s="482"/>
      <c r="N465" s="482">
        <f t="shared" si="13"/>
        <v>642959.94900442567</v>
      </c>
      <c r="O465" s="501"/>
    </row>
    <row r="466" spans="1:15">
      <c r="A466" s="486">
        <f t="shared" si="10"/>
        <v>2046</v>
      </c>
      <c r="B466" s="486">
        <f t="shared" si="11"/>
        <v>5</v>
      </c>
      <c r="C466" s="482">
        <v>103834.71625305232</v>
      </c>
      <c r="D466" s="482"/>
      <c r="E466" s="482">
        <v>558678.36901383218</v>
      </c>
      <c r="F466" s="482">
        <f t="shared" si="12"/>
        <v>0</v>
      </c>
      <c r="G466" s="482">
        <v>0</v>
      </c>
      <c r="H466" s="482"/>
      <c r="I466" s="482"/>
      <c r="J466" s="482"/>
      <c r="K466" s="482"/>
      <c r="L466" s="482"/>
      <c r="M466" s="482"/>
      <c r="N466" s="482">
        <f t="shared" si="13"/>
        <v>662513.08526688453</v>
      </c>
      <c r="O466" s="501"/>
    </row>
    <row r="467" spans="1:15">
      <c r="A467" s="486">
        <f t="shared" ref="A467:A530" si="14">+A455+1</f>
        <v>2046</v>
      </c>
      <c r="B467" s="486">
        <f t="shared" ref="B467:B530" si="15">+B455</f>
        <v>6</v>
      </c>
      <c r="C467" s="482">
        <v>113004.46036067061</v>
      </c>
      <c r="D467" s="482"/>
      <c r="E467" s="482">
        <v>576989.30484225613</v>
      </c>
      <c r="F467" s="482">
        <f t="shared" ref="F467:F530" si="16">+F455</f>
        <v>0</v>
      </c>
      <c r="G467" s="482">
        <v>0</v>
      </c>
      <c r="H467" s="482"/>
      <c r="I467" s="482"/>
      <c r="J467" s="482"/>
      <c r="K467" s="482"/>
      <c r="L467" s="482"/>
      <c r="M467" s="482"/>
      <c r="N467" s="482">
        <f t="shared" si="13"/>
        <v>689993.7652029267</v>
      </c>
      <c r="O467" s="501"/>
    </row>
    <row r="468" spans="1:15">
      <c r="A468" s="486">
        <f t="shared" si="14"/>
        <v>2046</v>
      </c>
      <c r="B468" s="486">
        <f t="shared" si="15"/>
        <v>7</v>
      </c>
      <c r="C468" s="482">
        <v>123574.57659278014</v>
      </c>
      <c r="D468" s="482"/>
      <c r="E468" s="482">
        <v>542910.21953624743</v>
      </c>
      <c r="F468" s="482">
        <f t="shared" si="16"/>
        <v>0</v>
      </c>
      <c r="G468" s="482">
        <v>0</v>
      </c>
      <c r="H468" s="482"/>
      <c r="I468" s="482"/>
      <c r="J468" s="482"/>
      <c r="K468" s="482"/>
      <c r="L468" s="482"/>
      <c r="M468" s="482"/>
      <c r="N468" s="482">
        <f t="shared" si="13"/>
        <v>666484.79612902761</v>
      </c>
      <c r="O468" s="501"/>
    </row>
    <row r="469" spans="1:15">
      <c r="A469" s="486">
        <f t="shared" si="14"/>
        <v>2046</v>
      </c>
      <c r="B469" s="486">
        <f t="shared" si="15"/>
        <v>8</v>
      </c>
      <c r="C469" s="482">
        <v>122518.12174991873</v>
      </c>
      <c r="D469" s="482"/>
      <c r="E469" s="482">
        <v>582386.01443824463</v>
      </c>
      <c r="F469" s="482">
        <f t="shared" si="16"/>
        <v>0</v>
      </c>
      <c r="G469" s="482">
        <v>0</v>
      </c>
      <c r="H469" s="482"/>
      <c r="I469" s="482"/>
      <c r="J469" s="482"/>
      <c r="K469" s="482"/>
      <c r="L469" s="482"/>
      <c r="M469" s="482"/>
      <c r="N469" s="482">
        <f t="shared" si="13"/>
        <v>704904.13618816342</v>
      </c>
      <c r="O469" s="501"/>
    </row>
    <row r="470" spans="1:15">
      <c r="A470" s="486">
        <f t="shared" si="14"/>
        <v>2046</v>
      </c>
      <c r="B470" s="486">
        <f t="shared" si="15"/>
        <v>9</v>
      </c>
      <c r="C470" s="482">
        <v>104240.3747421607</v>
      </c>
      <c r="D470" s="482"/>
      <c r="E470" s="482">
        <v>574869.72678678879</v>
      </c>
      <c r="F470" s="482">
        <f t="shared" si="16"/>
        <v>0</v>
      </c>
      <c r="G470" s="482">
        <v>0</v>
      </c>
      <c r="H470" s="482"/>
      <c r="I470" s="482"/>
      <c r="J470" s="482"/>
      <c r="K470" s="482"/>
      <c r="L470" s="482"/>
      <c r="M470" s="482"/>
      <c r="N470" s="482">
        <f t="shared" si="13"/>
        <v>679110.10152894945</v>
      </c>
      <c r="O470" s="501"/>
    </row>
    <row r="471" spans="1:15">
      <c r="A471" s="486">
        <f t="shared" si="14"/>
        <v>2046</v>
      </c>
      <c r="B471" s="486">
        <f t="shared" si="15"/>
        <v>10</v>
      </c>
      <c r="C471" s="482">
        <v>96382.186785404541</v>
      </c>
      <c r="D471" s="482"/>
      <c r="E471" s="482">
        <v>525651.77059614845</v>
      </c>
      <c r="F471" s="482">
        <f t="shared" si="16"/>
        <v>0</v>
      </c>
      <c r="G471" s="482">
        <v>0</v>
      </c>
      <c r="H471" s="482"/>
      <c r="I471" s="482"/>
      <c r="J471" s="482"/>
      <c r="K471" s="482"/>
      <c r="L471" s="482"/>
      <c r="M471" s="482"/>
      <c r="N471" s="482">
        <f t="shared" si="13"/>
        <v>622033.95738155302</v>
      </c>
      <c r="O471" s="501"/>
    </row>
    <row r="472" spans="1:15">
      <c r="A472" s="486">
        <f t="shared" si="14"/>
        <v>2046</v>
      </c>
      <c r="B472" s="486">
        <f t="shared" si="15"/>
        <v>11</v>
      </c>
      <c r="C472" s="482">
        <v>79319.60500377501</v>
      </c>
      <c r="D472" s="482"/>
      <c r="E472" s="482">
        <v>478493.53856792126</v>
      </c>
      <c r="F472" s="482">
        <f t="shared" si="16"/>
        <v>0</v>
      </c>
      <c r="G472" s="482">
        <v>0</v>
      </c>
      <c r="H472" s="482"/>
      <c r="I472" s="482"/>
      <c r="J472" s="482"/>
      <c r="K472" s="482"/>
      <c r="L472" s="482"/>
      <c r="M472" s="482"/>
      <c r="N472" s="482">
        <f t="shared" si="13"/>
        <v>557813.14357169624</v>
      </c>
      <c r="O472" s="501"/>
    </row>
    <row r="473" spans="1:15">
      <c r="A473" s="486">
        <f t="shared" si="14"/>
        <v>2046</v>
      </c>
      <c r="B473" s="486">
        <f t="shared" si="15"/>
        <v>12</v>
      </c>
      <c r="C473" s="482">
        <v>81844.359558591896</v>
      </c>
      <c r="D473" s="482"/>
      <c r="E473" s="482">
        <v>448188.29843036906</v>
      </c>
      <c r="F473" s="482">
        <f t="shared" si="16"/>
        <v>0</v>
      </c>
      <c r="G473" s="482">
        <v>0</v>
      </c>
      <c r="H473" s="482"/>
      <c r="I473" s="482"/>
      <c r="J473" s="482"/>
      <c r="K473" s="482"/>
      <c r="L473" s="482"/>
      <c r="M473" s="482"/>
      <c r="N473" s="482">
        <f t="shared" si="13"/>
        <v>530032.65798896097</v>
      </c>
      <c r="O473" s="501"/>
    </row>
    <row r="474" spans="1:15">
      <c r="A474" s="486">
        <f t="shared" si="14"/>
        <v>2047</v>
      </c>
      <c r="B474" s="486">
        <f t="shared" si="15"/>
        <v>1</v>
      </c>
      <c r="C474" s="482">
        <v>82093.358360673956</v>
      </c>
      <c r="D474" s="482"/>
      <c r="E474" s="482">
        <v>443878.27092174056</v>
      </c>
      <c r="F474" s="482">
        <f t="shared" si="16"/>
        <v>0</v>
      </c>
      <c r="G474" s="482">
        <v>0</v>
      </c>
      <c r="H474" s="482"/>
      <c r="I474" s="482"/>
      <c r="J474" s="482"/>
      <c r="K474" s="482"/>
      <c r="L474" s="482"/>
      <c r="M474" s="482"/>
      <c r="N474" s="482">
        <f t="shared" si="13"/>
        <v>525971.62928241456</v>
      </c>
      <c r="O474" s="501"/>
    </row>
    <row r="475" spans="1:15">
      <c r="A475" s="486">
        <f t="shared" si="14"/>
        <v>2047</v>
      </c>
      <c r="B475" s="486">
        <f t="shared" si="15"/>
        <v>2</v>
      </c>
      <c r="C475" s="482">
        <v>77408.968776833965</v>
      </c>
      <c r="D475" s="482"/>
      <c r="E475" s="482">
        <v>431041.91358832858</v>
      </c>
      <c r="F475" s="482">
        <f t="shared" si="16"/>
        <v>0</v>
      </c>
      <c r="G475" s="482">
        <v>0</v>
      </c>
      <c r="H475" s="482"/>
      <c r="I475" s="482"/>
      <c r="J475" s="482"/>
      <c r="K475" s="482"/>
      <c r="L475" s="482"/>
      <c r="M475" s="482"/>
      <c r="N475" s="482">
        <f t="shared" si="13"/>
        <v>508450.88236516254</v>
      </c>
      <c r="O475" s="501"/>
    </row>
    <row r="476" spans="1:15">
      <c r="A476" s="486">
        <f t="shared" si="14"/>
        <v>2047</v>
      </c>
      <c r="B476" s="486">
        <f t="shared" si="15"/>
        <v>3</v>
      </c>
      <c r="C476" s="482">
        <v>88458.418316626485</v>
      </c>
      <c r="D476" s="482"/>
      <c r="E476" s="482">
        <v>511544.89884369908</v>
      </c>
      <c r="F476" s="482">
        <f t="shared" si="16"/>
        <v>0</v>
      </c>
      <c r="G476" s="482">
        <v>0</v>
      </c>
      <c r="H476" s="482"/>
      <c r="I476" s="482"/>
      <c r="J476" s="482"/>
      <c r="K476" s="482"/>
      <c r="L476" s="482"/>
      <c r="M476" s="482"/>
      <c r="N476" s="482">
        <f t="shared" si="13"/>
        <v>600003.31716032559</v>
      </c>
      <c r="O476" s="501"/>
    </row>
    <row r="477" spans="1:15">
      <c r="A477" s="486">
        <f t="shared" si="14"/>
        <v>2047</v>
      </c>
      <c r="B477" s="486">
        <f t="shared" si="15"/>
        <v>4</v>
      </c>
      <c r="C477" s="482">
        <v>92876.681590237626</v>
      </c>
      <c r="D477" s="482"/>
      <c r="E477" s="482">
        <v>559479.43712980812</v>
      </c>
      <c r="F477" s="482">
        <f t="shared" si="16"/>
        <v>0</v>
      </c>
      <c r="G477" s="482">
        <v>0</v>
      </c>
      <c r="H477" s="482"/>
      <c r="I477" s="482"/>
      <c r="J477" s="482"/>
      <c r="K477" s="482"/>
      <c r="L477" s="482"/>
      <c r="M477" s="482"/>
      <c r="N477" s="482">
        <f t="shared" si="13"/>
        <v>652356.11872004578</v>
      </c>
      <c r="O477" s="501"/>
    </row>
    <row r="478" spans="1:15">
      <c r="A478" s="486">
        <f t="shared" si="14"/>
        <v>2047</v>
      </c>
      <c r="B478" s="486">
        <f t="shared" si="15"/>
        <v>5</v>
      </c>
      <c r="C478" s="482">
        <v>105111.30824677968</v>
      </c>
      <c r="D478" s="482"/>
      <c r="E478" s="482">
        <v>567058.54455420026</v>
      </c>
      <c r="F478" s="482">
        <f t="shared" si="16"/>
        <v>0</v>
      </c>
      <c r="G478" s="482">
        <v>0</v>
      </c>
      <c r="H478" s="482"/>
      <c r="I478" s="482"/>
      <c r="J478" s="482"/>
      <c r="K478" s="482"/>
      <c r="L478" s="482"/>
      <c r="M478" s="482"/>
      <c r="N478" s="482">
        <f t="shared" si="13"/>
        <v>672169.85280097998</v>
      </c>
      <c r="O478" s="501"/>
    </row>
    <row r="479" spans="1:15">
      <c r="A479" s="486">
        <f t="shared" si="14"/>
        <v>2047</v>
      </c>
      <c r="B479" s="486">
        <f t="shared" si="15"/>
        <v>6</v>
      </c>
      <c r="C479" s="482">
        <v>114393.7894266868</v>
      </c>
      <c r="D479" s="482"/>
      <c r="E479" s="482">
        <v>585644.1444202197</v>
      </c>
      <c r="F479" s="482">
        <f t="shared" si="16"/>
        <v>0</v>
      </c>
      <c r="G479" s="482">
        <v>0</v>
      </c>
      <c r="H479" s="482"/>
      <c r="I479" s="482"/>
      <c r="J479" s="482"/>
      <c r="K479" s="482"/>
      <c r="L479" s="482"/>
      <c r="M479" s="482"/>
      <c r="N479" s="482">
        <f t="shared" si="13"/>
        <v>700037.93384690653</v>
      </c>
      <c r="O479" s="501"/>
    </row>
    <row r="480" spans="1:15">
      <c r="A480" s="486">
        <f t="shared" si="14"/>
        <v>2047</v>
      </c>
      <c r="B480" s="486">
        <f t="shared" si="15"/>
        <v>7</v>
      </c>
      <c r="C480" s="482">
        <v>125093.85955323171</v>
      </c>
      <c r="D480" s="482"/>
      <c r="E480" s="482">
        <v>551053.87283430609</v>
      </c>
      <c r="F480" s="482">
        <f t="shared" si="16"/>
        <v>0</v>
      </c>
      <c r="G480" s="482">
        <v>0</v>
      </c>
      <c r="H480" s="482"/>
      <c r="I480" s="482"/>
      <c r="J480" s="482"/>
      <c r="K480" s="482"/>
      <c r="L480" s="482"/>
      <c r="M480" s="482"/>
      <c r="N480" s="482">
        <f t="shared" si="13"/>
        <v>676147.73238753784</v>
      </c>
      <c r="O480" s="501"/>
    </row>
    <row r="481" spans="1:15">
      <c r="A481" s="486">
        <f t="shared" si="14"/>
        <v>2047</v>
      </c>
      <c r="B481" s="486">
        <f t="shared" si="15"/>
        <v>8</v>
      </c>
      <c r="C481" s="482">
        <v>124024.41616624176</v>
      </c>
      <c r="D481" s="482"/>
      <c r="E481" s="482">
        <v>591121.80466019793</v>
      </c>
      <c r="F481" s="482">
        <f t="shared" si="16"/>
        <v>0</v>
      </c>
      <c r="G481" s="482">
        <v>0</v>
      </c>
      <c r="H481" s="482"/>
      <c r="I481" s="482"/>
      <c r="J481" s="482"/>
      <c r="K481" s="482"/>
      <c r="L481" s="482"/>
      <c r="M481" s="482"/>
      <c r="N481" s="482">
        <f t="shared" si="13"/>
        <v>715146.22082643968</v>
      </c>
      <c r="O481" s="501"/>
    </row>
    <row r="482" spans="1:15">
      <c r="A482" s="486">
        <f t="shared" si="14"/>
        <v>2047</v>
      </c>
      <c r="B482" s="486">
        <f t="shared" si="15"/>
        <v>9</v>
      </c>
      <c r="C482" s="482">
        <v>105521.95408884736</v>
      </c>
      <c r="D482" s="482"/>
      <c r="E482" s="482">
        <v>583492.77269390074</v>
      </c>
      <c r="F482" s="482">
        <f t="shared" si="16"/>
        <v>0</v>
      </c>
      <c r="G482" s="482">
        <v>0</v>
      </c>
      <c r="H482" s="482"/>
      <c r="I482" s="482"/>
      <c r="J482" s="482"/>
      <c r="K482" s="482"/>
      <c r="L482" s="482"/>
      <c r="M482" s="482"/>
      <c r="N482" s="482">
        <f t="shared" si="13"/>
        <v>689014.72678274813</v>
      </c>
      <c r="O482" s="501"/>
    </row>
    <row r="483" spans="1:15">
      <c r="A483" s="486">
        <f t="shared" si="14"/>
        <v>2047</v>
      </c>
      <c r="B483" s="486">
        <f t="shared" si="15"/>
        <v>10</v>
      </c>
      <c r="C483" s="482">
        <v>97567.153937318551</v>
      </c>
      <c r="D483" s="482"/>
      <c r="E483" s="482">
        <v>533536.54715994617</v>
      </c>
      <c r="F483" s="482">
        <f t="shared" si="16"/>
        <v>0</v>
      </c>
      <c r="G483" s="482">
        <v>0</v>
      </c>
      <c r="H483" s="482"/>
      <c r="I483" s="482"/>
      <c r="J483" s="482"/>
      <c r="K483" s="482"/>
      <c r="L483" s="482"/>
      <c r="M483" s="482"/>
      <c r="N483" s="482">
        <f t="shared" si="13"/>
        <v>631103.70109726477</v>
      </c>
      <c r="O483" s="501"/>
    </row>
    <row r="484" spans="1:15">
      <c r="A484" s="486">
        <f t="shared" si="14"/>
        <v>2047</v>
      </c>
      <c r="B484" s="486">
        <f t="shared" si="15"/>
        <v>11</v>
      </c>
      <c r="C484" s="482">
        <v>80294.796888988611</v>
      </c>
      <c r="D484" s="482"/>
      <c r="E484" s="482">
        <v>485670.94165086001</v>
      </c>
      <c r="F484" s="482">
        <f t="shared" si="16"/>
        <v>0</v>
      </c>
      <c r="G484" s="482">
        <v>0</v>
      </c>
      <c r="H484" s="482"/>
      <c r="I484" s="482"/>
      <c r="J484" s="482"/>
      <c r="K484" s="482"/>
      <c r="L484" s="482"/>
      <c r="M484" s="482"/>
      <c r="N484" s="482">
        <f t="shared" si="13"/>
        <v>565965.73853984859</v>
      </c>
      <c r="O484" s="501"/>
    </row>
    <row r="485" spans="1:15">
      <c r="A485" s="486">
        <f t="shared" si="14"/>
        <v>2047</v>
      </c>
      <c r="B485" s="486">
        <f t="shared" si="15"/>
        <v>12</v>
      </c>
      <c r="C485" s="482">
        <v>82850.591943236839</v>
      </c>
      <c r="D485" s="482"/>
      <c r="E485" s="482">
        <v>454911.12291096459</v>
      </c>
      <c r="F485" s="482">
        <f t="shared" si="16"/>
        <v>0</v>
      </c>
      <c r="G485" s="482">
        <v>0</v>
      </c>
      <c r="H485" s="482"/>
      <c r="I485" s="482"/>
      <c r="J485" s="482"/>
      <c r="K485" s="482"/>
      <c r="L485" s="482"/>
      <c r="M485" s="482"/>
      <c r="N485" s="482">
        <f t="shared" si="13"/>
        <v>537761.71485420142</v>
      </c>
      <c r="O485" s="501"/>
    </row>
    <row r="486" spans="1:15">
      <c r="A486" s="486">
        <f t="shared" si="14"/>
        <v>2048</v>
      </c>
      <c r="B486" s="486">
        <f t="shared" si="15"/>
        <v>1</v>
      </c>
      <c r="C486" s="482">
        <v>83102.652051678218</v>
      </c>
      <c r="D486" s="482"/>
      <c r="E486" s="482">
        <v>450536.44498966687</v>
      </c>
      <c r="F486" s="482">
        <f t="shared" si="16"/>
        <v>0</v>
      </c>
      <c r="G486" s="482">
        <v>0</v>
      </c>
      <c r="H486" s="482"/>
      <c r="I486" s="482"/>
      <c r="J486" s="482"/>
      <c r="K486" s="482"/>
      <c r="L486" s="482"/>
      <c r="M486" s="482"/>
      <c r="N486" s="482">
        <f t="shared" si="13"/>
        <v>533639.09704134509</v>
      </c>
      <c r="O486" s="501"/>
    </row>
    <row r="487" spans="1:15">
      <c r="A487" s="486">
        <f t="shared" si="14"/>
        <v>2048</v>
      </c>
      <c r="B487" s="486">
        <f t="shared" si="15"/>
        <v>2</v>
      </c>
      <c r="C487" s="482">
        <v>78360.670417182933</v>
      </c>
      <c r="D487" s="482"/>
      <c r="E487" s="482">
        <v>437507.5422961351</v>
      </c>
      <c r="F487" s="482">
        <f t="shared" si="16"/>
        <v>0</v>
      </c>
      <c r="G487" s="482">
        <v>0</v>
      </c>
      <c r="H487" s="482"/>
      <c r="I487" s="482"/>
      <c r="J487" s="482"/>
      <c r="K487" s="482"/>
      <c r="L487" s="482"/>
      <c r="M487" s="482"/>
      <c r="N487" s="482">
        <f t="shared" si="13"/>
        <v>515868.21271331806</v>
      </c>
      <c r="O487" s="501"/>
    </row>
    <row r="488" spans="1:15">
      <c r="A488" s="486">
        <f t="shared" si="14"/>
        <v>2048</v>
      </c>
      <c r="B488" s="486">
        <f t="shared" si="15"/>
        <v>3</v>
      </c>
      <c r="C488" s="482">
        <v>89545.966996641917</v>
      </c>
      <c r="D488" s="482"/>
      <c r="E488" s="482">
        <v>519218.07233107981</v>
      </c>
      <c r="F488" s="482">
        <f t="shared" si="16"/>
        <v>0</v>
      </c>
      <c r="G488" s="482">
        <v>0</v>
      </c>
      <c r="H488" s="482"/>
      <c r="I488" s="482"/>
      <c r="J488" s="482"/>
      <c r="K488" s="482"/>
      <c r="L488" s="482"/>
      <c r="M488" s="482"/>
      <c r="N488" s="482">
        <f t="shared" si="13"/>
        <v>608764.03932772169</v>
      </c>
      <c r="O488" s="501"/>
    </row>
    <row r="489" spans="1:15">
      <c r="A489" s="486">
        <f t="shared" si="14"/>
        <v>2048</v>
      </c>
      <c r="B489" s="486">
        <f t="shared" si="15"/>
        <v>4</v>
      </c>
      <c r="C489" s="482">
        <v>94018.550441047599</v>
      </c>
      <c r="D489" s="482"/>
      <c r="E489" s="482">
        <v>567871.62869192322</v>
      </c>
      <c r="F489" s="482">
        <f t="shared" si="16"/>
        <v>0</v>
      </c>
      <c r="G489" s="482">
        <v>0</v>
      </c>
      <c r="H489" s="482"/>
      <c r="I489" s="482"/>
      <c r="J489" s="482"/>
      <c r="K489" s="482"/>
      <c r="L489" s="482"/>
      <c r="M489" s="482"/>
      <c r="N489" s="482">
        <f t="shared" si="13"/>
        <v>661890.17913297086</v>
      </c>
      <c r="O489" s="501"/>
    </row>
    <row r="490" spans="1:15">
      <c r="A490" s="486">
        <f t="shared" si="14"/>
        <v>2048</v>
      </c>
      <c r="B490" s="486">
        <f t="shared" si="15"/>
        <v>5</v>
      </c>
      <c r="C490" s="482">
        <v>106403.59525251512</v>
      </c>
      <c r="D490" s="482"/>
      <c r="E490" s="482">
        <v>575564.42272775131</v>
      </c>
      <c r="F490" s="482">
        <f t="shared" si="16"/>
        <v>0</v>
      </c>
      <c r="G490" s="482">
        <v>0</v>
      </c>
      <c r="H490" s="482"/>
      <c r="I490" s="482"/>
      <c r="J490" s="482"/>
      <c r="K490" s="482"/>
      <c r="L490" s="482"/>
      <c r="M490" s="482"/>
      <c r="N490" s="482">
        <f t="shared" si="13"/>
        <v>681968.01798026648</v>
      </c>
      <c r="O490" s="501"/>
    </row>
    <row r="491" spans="1:15">
      <c r="A491" s="486">
        <f t="shared" si="14"/>
        <v>2048</v>
      </c>
      <c r="B491" s="486">
        <f t="shared" si="15"/>
        <v>6</v>
      </c>
      <c r="C491" s="482">
        <v>115800.19954638455</v>
      </c>
      <c r="D491" s="482"/>
      <c r="E491" s="482">
        <v>594428.80659193266</v>
      </c>
      <c r="F491" s="482">
        <f t="shared" si="16"/>
        <v>0</v>
      </c>
      <c r="G491" s="482">
        <v>0</v>
      </c>
      <c r="H491" s="482"/>
      <c r="I491" s="482"/>
      <c r="J491" s="482"/>
      <c r="K491" s="482"/>
      <c r="L491" s="482"/>
      <c r="M491" s="482"/>
      <c r="N491" s="482">
        <f t="shared" si="13"/>
        <v>710229.00613831717</v>
      </c>
      <c r="O491" s="501"/>
    </row>
    <row r="492" spans="1:15">
      <c r="A492" s="486">
        <f t="shared" si="14"/>
        <v>2048</v>
      </c>
      <c r="B492" s="486">
        <f t="shared" si="15"/>
        <v>7</v>
      </c>
      <c r="C492" s="482">
        <v>126631.82128060736</v>
      </c>
      <c r="D492" s="482"/>
      <c r="E492" s="482">
        <v>559319.68093191087</v>
      </c>
      <c r="F492" s="482">
        <f t="shared" si="16"/>
        <v>0</v>
      </c>
      <c r="G492" s="482">
        <v>0</v>
      </c>
      <c r="H492" s="482"/>
      <c r="I492" s="482"/>
      <c r="J492" s="482"/>
      <c r="K492" s="482"/>
      <c r="L492" s="482"/>
      <c r="M492" s="482"/>
      <c r="N492" s="482">
        <f t="shared" si="13"/>
        <v>685951.50221251824</v>
      </c>
      <c r="O492" s="501"/>
    </row>
    <row r="493" spans="1:15">
      <c r="A493" s="486">
        <f t="shared" si="14"/>
        <v>2048</v>
      </c>
      <c r="B493" s="486">
        <f t="shared" si="15"/>
        <v>8</v>
      </c>
      <c r="C493" s="482">
        <v>125549.22966232408</v>
      </c>
      <c r="D493" s="482"/>
      <c r="E493" s="482">
        <v>599988.63173556118</v>
      </c>
      <c r="F493" s="482">
        <f t="shared" si="16"/>
        <v>0</v>
      </c>
      <c r="G493" s="482">
        <v>0</v>
      </c>
      <c r="H493" s="482"/>
      <c r="I493" s="482"/>
      <c r="J493" s="482"/>
      <c r="K493" s="482"/>
      <c r="L493" s="482"/>
      <c r="M493" s="482"/>
      <c r="N493" s="482">
        <f t="shared" si="13"/>
        <v>725537.86139788525</v>
      </c>
      <c r="O493" s="501"/>
    </row>
    <row r="494" spans="1:15">
      <c r="A494" s="486">
        <f t="shared" si="14"/>
        <v>2048</v>
      </c>
      <c r="B494" s="486">
        <f t="shared" si="15"/>
        <v>9</v>
      </c>
      <c r="C494" s="482">
        <v>106819.28976436453</v>
      </c>
      <c r="D494" s="482"/>
      <c r="E494" s="482">
        <v>592245.16428969905</v>
      </c>
      <c r="F494" s="482">
        <f t="shared" si="16"/>
        <v>0</v>
      </c>
      <c r="G494" s="482">
        <v>0</v>
      </c>
      <c r="H494" s="482"/>
      <c r="I494" s="482"/>
      <c r="J494" s="482"/>
      <c r="K494" s="482"/>
      <c r="L494" s="482"/>
      <c r="M494" s="482"/>
      <c r="N494" s="482">
        <f t="shared" si="13"/>
        <v>699064.45405406354</v>
      </c>
      <c r="O494" s="501"/>
    </row>
    <row r="495" spans="1:15">
      <c r="A495" s="486">
        <f t="shared" si="14"/>
        <v>2048</v>
      </c>
      <c r="B495" s="486">
        <f t="shared" si="15"/>
        <v>10</v>
      </c>
      <c r="C495" s="482">
        <v>98766.68962308667</v>
      </c>
      <c r="D495" s="482"/>
      <c r="E495" s="482">
        <v>541539.5953722737</v>
      </c>
      <c r="F495" s="482">
        <f t="shared" si="16"/>
        <v>0</v>
      </c>
      <c r="G495" s="482">
        <v>0</v>
      </c>
      <c r="H495" s="482"/>
      <c r="I495" s="482"/>
      <c r="J495" s="482"/>
      <c r="K495" s="482"/>
      <c r="L495" s="482"/>
      <c r="M495" s="482"/>
      <c r="N495" s="482">
        <f t="shared" si="13"/>
        <v>640306.28499536042</v>
      </c>
      <c r="O495" s="501"/>
    </row>
    <row r="496" spans="1:15">
      <c r="A496" s="486">
        <f t="shared" si="14"/>
        <v>2048</v>
      </c>
      <c r="B496" s="486">
        <f t="shared" si="15"/>
        <v>11</v>
      </c>
      <c r="C496" s="482">
        <v>81281.97823396996</v>
      </c>
      <c r="D496" s="482"/>
      <c r="E496" s="482">
        <v>492956.00578010915</v>
      </c>
      <c r="F496" s="482">
        <f t="shared" si="16"/>
        <v>0</v>
      </c>
      <c r="G496" s="482">
        <v>0</v>
      </c>
      <c r="H496" s="482"/>
      <c r="I496" s="482"/>
      <c r="J496" s="482"/>
      <c r="K496" s="482"/>
      <c r="L496" s="482"/>
      <c r="M496" s="482"/>
      <c r="N496" s="482">
        <f t="shared" si="13"/>
        <v>574237.98401407909</v>
      </c>
      <c r="O496" s="501"/>
    </row>
    <row r="497" spans="1:15">
      <c r="A497" s="486">
        <f t="shared" si="14"/>
        <v>2048</v>
      </c>
      <c r="B497" s="486">
        <f t="shared" si="15"/>
        <v>12</v>
      </c>
      <c r="C497" s="482">
        <v>83869.195413896363</v>
      </c>
      <c r="D497" s="482"/>
      <c r="E497" s="482">
        <v>461734.78975883115</v>
      </c>
      <c r="F497" s="482">
        <f t="shared" si="16"/>
        <v>0</v>
      </c>
      <c r="G497" s="482">
        <v>0</v>
      </c>
      <c r="H497" s="482"/>
      <c r="I497" s="482"/>
      <c r="J497" s="482"/>
      <c r="K497" s="482"/>
      <c r="L497" s="482"/>
      <c r="M497" s="482"/>
      <c r="N497" s="482">
        <f t="shared" si="13"/>
        <v>545603.98517272749</v>
      </c>
      <c r="O497" s="501"/>
    </row>
    <row r="498" spans="1:15">
      <c r="A498" s="486">
        <f t="shared" si="14"/>
        <v>2049</v>
      </c>
      <c r="B498" s="486">
        <f t="shared" si="15"/>
        <v>1</v>
      </c>
      <c r="C498" s="482">
        <v>84124.354465812372</v>
      </c>
      <c r="D498" s="482"/>
      <c r="E498" s="482">
        <v>457294.49166867358</v>
      </c>
      <c r="F498" s="482">
        <f t="shared" si="16"/>
        <v>0</v>
      </c>
      <c r="G498" s="482">
        <v>0</v>
      </c>
      <c r="H498" s="482"/>
      <c r="I498" s="482"/>
      <c r="J498" s="482"/>
      <c r="K498" s="482"/>
      <c r="L498" s="482"/>
      <c r="M498" s="482"/>
      <c r="N498" s="482">
        <f t="shared" si="13"/>
        <v>541418.84613448591</v>
      </c>
      <c r="O498" s="501"/>
    </row>
    <row r="499" spans="1:15">
      <c r="A499" s="486">
        <f t="shared" si="14"/>
        <v>2049</v>
      </c>
      <c r="B499" s="486">
        <f t="shared" si="15"/>
        <v>2</v>
      </c>
      <c r="C499" s="482">
        <v>79324.072717372168</v>
      </c>
      <c r="D499" s="482"/>
      <c r="E499" s="482">
        <v>444070.15543461847</v>
      </c>
      <c r="F499" s="482">
        <f t="shared" si="16"/>
        <v>0</v>
      </c>
      <c r="G499" s="482">
        <v>0</v>
      </c>
      <c r="H499" s="482"/>
      <c r="I499" s="482"/>
      <c r="J499" s="482"/>
      <c r="K499" s="482"/>
      <c r="L499" s="482"/>
      <c r="M499" s="482"/>
      <c r="N499" s="482">
        <f t="shared" si="13"/>
        <v>523394.22815199062</v>
      </c>
      <c r="O499" s="501"/>
    </row>
    <row r="500" spans="1:15">
      <c r="A500" s="486">
        <f t="shared" si="14"/>
        <v>2049</v>
      </c>
      <c r="B500" s="486">
        <f t="shared" si="15"/>
        <v>3</v>
      </c>
      <c r="C500" s="482">
        <v>90646.886502791385</v>
      </c>
      <c r="D500" s="482"/>
      <c r="E500" s="482">
        <v>527006.34342084208</v>
      </c>
      <c r="F500" s="482">
        <f t="shared" si="16"/>
        <v>0</v>
      </c>
      <c r="G500" s="482">
        <v>0</v>
      </c>
      <c r="H500" s="482"/>
      <c r="I500" s="482"/>
      <c r="J500" s="482"/>
      <c r="K500" s="482"/>
      <c r="L500" s="482"/>
      <c r="M500" s="482"/>
      <c r="N500" s="482">
        <f t="shared" si="13"/>
        <v>617653.22992363351</v>
      </c>
      <c r="O500" s="501"/>
    </row>
    <row r="501" spans="1:15">
      <c r="A501" s="486">
        <f t="shared" si="14"/>
        <v>2049</v>
      </c>
      <c r="B501" s="486">
        <f t="shared" si="15"/>
        <v>4</v>
      </c>
      <c r="C501" s="482">
        <v>95174.457955277991</v>
      </c>
      <c r="D501" s="482"/>
      <c r="E501" s="482">
        <v>576389.70312754763</v>
      </c>
      <c r="F501" s="482">
        <f t="shared" si="16"/>
        <v>0</v>
      </c>
      <c r="G501" s="482">
        <v>0</v>
      </c>
      <c r="H501" s="482"/>
      <c r="I501" s="482"/>
      <c r="J501" s="482"/>
      <c r="K501" s="482"/>
      <c r="L501" s="482"/>
      <c r="M501" s="482"/>
      <c r="N501" s="482">
        <f t="shared" si="13"/>
        <v>671564.16108282562</v>
      </c>
      <c r="O501" s="501"/>
    </row>
    <row r="502" spans="1:15">
      <c r="A502" s="486">
        <f t="shared" si="14"/>
        <v>2049</v>
      </c>
      <c r="B502" s="486">
        <f t="shared" si="15"/>
        <v>5</v>
      </c>
      <c r="C502" s="482">
        <v>107711.77023199048</v>
      </c>
      <c r="D502" s="482"/>
      <c r="E502" s="482">
        <v>584197.88907398423</v>
      </c>
      <c r="F502" s="482">
        <f t="shared" si="16"/>
        <v>0</v>
      </c>
      <c r="G502" s="482">
        <v>0</v>
      </c>
      <c r="H502" s="482"/>
      <c r="I502" s="482"/>
      <c r="J502" s="482"/>
      <c r="K502" s="482"/>
      <c r="L502" s="482"/>
      <c r="M502" s="482"/>
      <c r="N502" s="482">
        <f t="shared" si="13"/>
        <v>691909.65930597472</v>
      </c>
      <c r="O502" s="501"/>
    </row>
    <row r="503" spans="1:15">
      <c r="A503" s="486">
        <f t="shared" si="14"/>
        <v>2049</v>
      </c>
      <c r="B503" s="486">
        <f t="shared" si="15"/>
        <v>6</v>
      </c>
      <c r="C503" s="482">
        <v>117223.90072213266</v>
      </c>
      <c r="D503" s="482"/>
      <c r="E503" s="482">
        <v>603345.23869630252</v>
      </c>
      <c r="F503" s="482">
        <f t="shared" si="16"/>
        <v>0</v>
      </c>
      <c r="G503" s="482">
        <v>0</v>
      </c>
      <c r="H503" s="482"/>
      <c r="I503" s="482"/>
      <c r="J503" s="482"/>
      <c r="K503" s="482"/>
      <c r="L503" s="482"/>
      <c r="M503" s="482"/>
      <c r="N503" s="482">
        <f t="shared" si="13"/>
        <v>720569.13941843517</v>
      </c>
      <c r="O503" s="501"/>
    </row>
    <row r="504" spans="1:15">
      <c r="A504" s="486">
        <f t="shared" si="14"/>
        <v>2049</v>
      </c>
      <c r="B504" s="486">
        <f t="shared" si="15"/>
        <v>7</v>
      </c>
      <c r="C504" s="482">
        <v>128188.69142030092</v>
      </c>
      <c r="D504" s="482"/>
      <c r="E504" s="482">
        <v>567709.47615105612</v>
      </c>
      <c r="F504" s="482">
        <f t="shared" si="16"/>
        <v>0</v>
      </c>
      <c r="G504" s="482">
        <v>0</v>
      </c>
      <c r="H504" s="482"/>
      <c r="I504" s="482"/>
      <c r="J504" s="482"/>
      <c r="K504" s="482"/>
      <c r="L504" s="482"/>
      <c r="M504" s="482"/>
      <c r="N504" s="482">
        <f t="shared" si="13"/>
        <v>695898.16757135699</v>
      </c>
      <c r="O504" s="501"/>
    </row>
    <row r="505" spans="1:15">
      <c r="A505" s="486">
        <f t="shared" si="14"/>
        <v>2049</v>
      </c>
      <c r="B505" s="486">
        <f t="shared" si="15"/>
        <v>8</v>
      </c>
      <c r="C505" s="482">
        <v>127092.78992029173</v>
      </c>
      <c r="D505" s="482"/>
      <c r="E505" s="482">
        <v>608988.46121713682</v>
      </c>
      <c r="F505" s="482">
        <f t="shared" si="16"/>
        <v>0</v>
      </c>
      <c r="G505" s="482">
        <v>0</v>
      </c>
      <c r="H505" s="482"/>
      <c r="I505" s="482"/>
      <c r="J505" s="482"/>
      <c r="K505" s="482"/>
      <c r="L505" s="482"/>
      <c r="M505" s="482"/>
      <c r="N505" s="482">
        <f t="shared" si="13"/>
        <v>736081.25113742857</v>
      </c>
      <c r="O505" s="501"/>
    </row>
    <row r="506" spans="1:15">
      <c r="A506" s="486">
        <f t="shared" si="14"/>
        <v>2049</v>
      </c>
      <c r="B506" s="486">
        <f t="shared" si="15"/>
        <v>9</v>
      </c>
      <c r="C506" s="482">
        <v>108132.57548430139</v>
      </c>
      <c r="D506" s="482"/>
      <c r="E506" s="482">
        <v>601128.84175951523</v>
      </c>
      <c r="F506" s="482">
        <f t="shared" si="16"/>
        <v>0</v>
      </c>
      <c r="G506" s="482">
        <v>0</v>
      </c>
      <c r="H506" s="482"/>
      <c r="I506" s="482"/>
      <c r="J506" s="482"/>
      <c r="K506" s="482"/>
      <c r="L506" s="482"/>
      <c r="M506" s="482"/>
      <c r="N506" s="482">
        <f t="shared" si="13"/>
        <v>709261.41724381666</v>
      </c>
      <c r="O506" s="501"/>
    </row>
    <row r="507" spans="1:15">
      <c r="A507" s="486">
        <f t="shared" si="14"/>
        <v>2049</v>
      </c>
      <c r="B507" s="486">
        <f t="shared" si="15"/>
        <v>10</v>
      </c>
      <c r="C507" s="482">
        <v>99980.972954997618</v>
      </c>
      <c r="D507" s="482"/>
      <c r="E507" s="482">
        <v>549662.6893078601</v>
      </c>
      <c r="F507" s="482">
        <f t="shared" si="16"/>
        <v>0</v>
      </c>
      <c r="G507" s="482">
        <v>0</v>
      </c>
      <c r="H507" s="482"/>
      <c r="I507" s="482"/>
      <c r="J507" s="482"/>
      <c r="K507" s="482"/>
      <c r="L507" s="482"/>
      <c r="M507" s="482"/>
      <c r="N507" s="482">
        <f t="shared" si="13"/>
        <v>649643.66226285766</v>
      </c>
      <c r="O507" s="501"/>
    </row>
    <row r="508" spans="1:15">
      <c r="A508" s="486">
        <f t="shared" si="14"/>
        <v>2049</v>
      </c>
      <c r="B508" s="486">
        <f t="shared" si="15"/>
        <v>11</v>
      </c>
      <c r="C508" s="482">
        <v>82281.29644267894</v>
      </c>
      <c r="D508" s="482"/>
      <c r="E508" s="482">
        <v>500350.34587136429</v>
      </c>
      <c r="F508" s="482">
        <f t="shared" si="16"/>
        <v>0</v>
      </c>
      <c r="G508" s="482">
        <v>0</v>
      </c>
      <c r="H508" s="482"/>
      <c r="I508" s="482"/>
      <c r="J508" s="482"/>
      <c r="K508" s="482"/>
      <c r="L508" s="482"/>
      <c r="M508" s="482"/>
      <c r="N508" s="482">
        <f t="shared" si="13"/>
        <v>582631.64231404325</v>
      </c>
      <c r="O508" s="501"/>
    </row>
    <row r="509" spans="1:15">
      <c r="A509" s="486">
        <f t="shared" si="14"/>
        <v>2049</v>
      </c>
      <c r="B509" s="486">
        <f t="shared" si="15"/>
        <v>12</v>
      </c>
      <c r="C509" s="482">
        <v>84900.322066419816</v>
      </c>
      <c r="D509" s="482"/>
      <c r="E509" s="482">
        <v>468660.81160947873</v>
      </c>
      <c r="F509" s="482">
        <f t="shared" si="16"/>
        <v>0</v>
      </c>
      <c r="G509" s="482">
        <v>0</v>
      </c>
      <c r="H509" s="482"/>
      <c r="I509" s="482"/>
      <c r="J509" s="482"/>
      <c r="K509" s="482"/>
      <c r="L509" s="482"/>
      <c r="M509" s="482"/>
      <c r="N509" s="482">
        <f t="shared" si="13"/>
        <v>553561.13367589854</v>
      </c>
      <c r="O509" s="501"/>
    </row>
    <row r="510" spans="1:15">
      <c r="A510" s="486">
        <f t="shared" si="14"/>
        <v>2050</v>
      </c>
      <c r="B510" s="486">
        <f t="shared" si="15"/>
        <v>1</v>
      </c>
      <c r="C510" s="482">
        <v>85158.618161653867</v>
      </c>
      <c r="D510" s="482"/>
      <c r="E510" s="482">
        <v>464153.90904792782</v>
      </c>
      <c r="F510" s="482">
        <f t="shared" si="16"/>
        <v>0</v>
      </c>
      <c r="G510" s="482">
        <v>0</v>
      </c>
      <c r="H510" s="482"/>
      <c r="I510" s="482"/>
      <c r="J510" s="482"/>
      <c r="K510" s="482"/>
      <c r="L510" s="482"/>
      <c r="M510" s="482"/>
      <c r="N510" s="482">
        <f t="shared" si="13"/>
        <v>549312.52720958169</v>
      </c>
      <c r="O510" s="501"/>
    </row>
    <row r="511" spans="1:15">
      <c r="A511" s="486">
        <f t="shared" si="14"/>
        <v>2050</v>
      </c>
      <c r="B511" s="486">
        <f t="shared" si="15"/>
        <v>2</v>
      </c>
      <c r="C511" s="482">
        <v>80299.319530721739</v>
      </c>
      <c r="D511" s="482"/>
      <c r="E511" s="482">
        <v>450731.20777023968</v>
      </c>
      <c r="F511" s="482">
        <f t="shared" si="16"/>
        <v>0</v>
      </c>
      <c r="G511" s="482">
        <v>0</v>
      </c>
      <c r="H511" s="482"/>
      <c r="I511" s="482"/>
      <c r="J511" s="482"/>
      <c r="K511" s="482"/>
      <c r="L511" s="482"/>
      <c r="M511" s="482"/>
      <c r="N511" s="482">
        <f t="shared" si="13"/>
        <v>531030.52730096143</v>
      </c>
      <c r="O511" s="501"/>
    </row>
    <row r="512" spans="1:15">
      <c r="A512" s="486">
        <f t="shared" si="14"/>
        <v>2050</v>
      </c>
      <c r="B512" s="486">
        <f t="shared" si="15"/>
        <v>3</v>
      </c>
      <c r="C512" s="482">
        <v>91761.341222191346</v>
      </c>
      <c r="D512" s="482"/>
      <c r="E512" s="482">
        <v>534911.43857702275</v>
      </c>
      <c r="F512" s="482">
        <f t="shared" si="16"/>
        <v>0</v>
      </c>
      <c r="G512" s="482">
        <v>0</v>
      </c>
      <c r="H512" s="482"/>
      <c r="I512" s="482"/>
      <c r="J512" s="482"/>
      <c r="K512" s="482"/>
      <c r="L512" s="482"/>
      <c r="M512" s="482"/>
      <c r="N512" s="482">
        <f t="shared" si="13"/>
        <v>626672.7797992141</v>
      </c>
      <c r="O512" s="501"/>
    </row>
    <row r="513" spans="1:15">
      <c r="A513" s="486">
        <f t="shared" si="14"/>
        <v>2050</v>
      </c>
      <c r="B513" s="486">
        <f t="shared" si="15"/>
        <v>4</v>
      </c>
      <c r="C513" s="482">
        <v>96344.576730745524</v>
      </c>
      <c r="D513" s="482"/>
      <c r="E513" s="482">
        <v>585035.5486797851</v>
      </c>
      <c r="F513" s="482">
        <f t="shared" si="16"/>
        <v>0</v>
      </c>
      <c r="G513" s="482">
        <v>0</v>
      </c>
      <c r="H513" s="482"/>
      <c r="I513" s="482"/>
      <c r="J513" s="482"/>
      <c r="K513" s="482"/>
      <c r="L513" s="482"/>
      <c r="M513" s="482"/>
      <c r="N513" s="482">
        <f t="shared" si="13"/>
        <v>681380.1254105306</v>
      </c>
      <c r="O513" s="501"/>
    </row>
    <row r="514" spans="1:15">
      <c r="A514" s="486">
        <f t="shared" si="14"/>
        <v>2050</v>
      </c>
      <c r="B514" s="486">
        <f t="shared" si="15"/>
        <v>5</v>
      </c>
      <c r="C514" s="482">
        <v>109036.02851929827</v>
      </c>
      <c r="D514" s="482"/>
      <c r="E514" s="482">
        <v>592960.85741549032</v>
      </c>
      <c r="F514" s="482">
        <f t="shared" si="16"/>
        <v>0</v>
      </c>
      <c r="G514" s="482">
        <v>0</v>
      </c>
      <c r="H514" s="482"/>
      <c r="I514" s="482"/>
      <c r="J514" s="482"/>
      <c r="K514" s="482"/>
      <c r="L514" s="482"/>
      <c r="M514" s="482"/>
      <c r="N514" s="482">
        <f t="shared" si="13"/>
        <v>701996.88593478862</v>
      </c>
      <c r="O514" s="501"/>
    </row>
    <row r="515" spans="1:15">
      <c r="A515" s="486">
        <f t="shared" si="14"/>
        <v>2050</v>
      </c>
      <c r="B515" s="486">
        <f t="shared" si="15"/>
        <v>6</v>
      </c>
      <c r="C515" s="482">
        <v>118665.10553816608</v>
      </c>
      <c r="D515" s="482"/>
      <c r="E515" s="482">
        <v>612395.41728232021</v>
      </c>
      <c r="F515" s="482">
        <f t="shared" si="16"/>
        <v>0</v>
      </c>
      <c r="G515" s="482">
        <v>0</v>
      </c>
      <c r="H515" s="482"/>
      <c r="I515" s="482"/>
      <c r="J515" s="482"/>
      <c r="K515" s="482"/>
      <c r="L515" s="482"/>
      <c r="M515" s="482"/>
      <c r="N515" s="482">
        <f t="shared" si="13"/>
        <v>731060.52282048634</v>
      </c>
      <c r="O515" s="501"/>
    </row>
    <row r="516" spans="1:15">
      <c r="A516" s="486">
        <f t="shared" si="14"/>
        <v>2050</v>
      </c>
      <c r="B516" s="486">
        <f t="shared" si="15"/>
        <v>7</v>
      </c>
      <c r="C516" s="482">
        <v>129764.70244107286</v>
      </c>
      <c r="D516" s="482"/>
      <c r="E516" s="482">
        <v>576225.11829856597</v>
      </c>
      <c r="F516" s="482">
        <f t="shared" si="16"/>
        <v>0</v>
      </c>
      <c r="G516" s="482">
        <v>0</v>
      </c>
      <c r="H516" s="482"/>
      <c r="I516" s="482"/>
      <c r="J516" s="482"/>
      <c r="K516" s="482"/>
      <c r="L516" s="482"/>
      <c r="M516" s="482"/>
      <c r="N516" s="482">
        <f t="shared" si="13"/>
        <v>705989.82073963888</v>
      </c>
      <c r="O516" s="501"/>
    </row>
    <row r="517" spans="1:15">
      <c r="A517" s="486">
        <f t="shared" si="14"/>
        <v>2050</v>
      </c>
      <c r="B517" s="486">
        <f t="shared" si="15"/>
        <v>8</v>
      </c>
      <c r="C517" s="482">
        <v>128655.32742150003</v>
      </c>
      <c r="D517" s="482"/>
      <c r="E517" s="482">
        <v>618123.28814101918</v>
      </c>
      <c r="F517" s="482">
        <f t="shared" si="16"/>
        <v>0</v>
      </c>
      <c r="G517" s="482">
        <v>0</v>
      </c>
      <c r="H517" s="482"/>
      <c r="I517" s="482"/>
      <c r="J517" s="482"/>
      <c r="K517" s="482"/>
      <c r="L517" s="482"/>
      <c r="M517" s="482"/>
      <c r="N517" s="482">
        <f t="shared" si="13"/>
        <v>746778.61556251918</v>
      </c>
      <c r="O517" s="501"/>
    </row>
    <row r="518" spans="1:15">
      <c r="A518" s="486">
        <f t="shared" si="14"/>
        <v>2050</v>
      </c>
      <c r="B518" s="486">
        <f t="shared" si="15"/>
        <v>9</v>
      </c>
      <c r="C518" s="482">
        <v>109462.0073458761</v>
      </c>
      <c r="D518" s="482"/>
      <c r="E518" s="482">
        <v>610145.7743914607</v>
      </c>
      <c r="F518" s="482">
        <f t="shared" si="16"/>
        <v>0</v>
      </c>
      <c r="G518" s="482">
        <v>0</v>
      </c>
      <c r="H518" s="482"/>
      <c r="I518" s="482"/>
      <c r="J518" s="482"/>
      <c r="K518" s="482"/>
      <c r="L518" s="482"/>
      <c r="M518" s="482"/>
      <c r="N518" s="482">
        <f t="shared" si="13"/>
        <v>719607.78173733677</v>
      </c>
      <c r="O518" s="501"/>
    </row>
    <row r="519" spans="1:15">
      <c r="A519" s="486">
        <f t="shared" si="14"/>
        <v>2050</v>
      </c>
      <c r="B519" s="486">
        <f t="shared" si="15"/>
        <v>10</v>
      </c>
      <c r="C519" s="482">
        <v>101210.18524742941</v>
      </c>
      <c r="D519" s="482"/>
      <c r="E519" s="482">
        <v>557907.62965255533</v>
      </c>
      <c r="F519" s="482">
        <f t="shared" si="16"/>
        <v>0</v>
      </c>
      <c r="G519" s="482">
        <v>0</v>
      </c>
      <c r="H519" s="482"/>
      <c r="I519" s="482"/>
      <c r="J519" s="482"/>
      <c r="K519" s="482"/>
      <c r="L519" s="482"/>
      <c r="M519" s="482"/>
      <c r="N519" s="482">
        <f t="shared" ref="N519:N582" si="17">SUM(C519:M519)</f>
        <v>659117.81489998475</v>
      </c>
      <c r="O519" s="501"/>
    </row>
    <row r="520" spans="1:15">
      <c r="A520" s="486">
        <f t="shared" si="14"/>
        <v>2050</v>
      </c>
      <c r="B520" s="486">
        <f t="shared" si="15"/>
        <v>11</v>
      </c>
      <c r="C520" s="482">
        <v>83292.900731327842</v>
      </c>
      <c r="D520" s="482"/>
      <c r="E520" s="482">
        <v>507855.60106405657</v>
      </c>
      <c r="F520" s="482">
        <f t="shared" si="16"/>
        <v>0</v>
      </c>
      <c r="G520" s="482">
        <v>0</v>
      </c>
      <c r="H520" s="482"/>
      <c r="I520" s="482"/>
      <c r="J520" s="482"/>
      <c r="K520" s="482"/>
      <c r="L520" s="482"/>
      <c r="M520" s="482"/>
      <c r="N520" s="482">
        <f t="shared" si="17"/>
        <v>591148.50179538445</v>
      </c>
      <c r="O520" s="501"/>
    </row>
    <row r="521" spans="1:15">
      <c r="A521" s="486">
        <f t="shared" si="14"/>
        <v>2050</v>
      </c>
      <c r="B521" s="486">
        <f t="shared" si="15"/>
        <v>12</v>
      </c>
      <c r="C521" s="482">
        <v>85944.125866593211</v>
      </c>
      <c r="D521" s="482"/>
      <c r="E521" s="482">
        <v>475690.72378795</v>
      </c>
      <c r="F521" s="482">
        <f t="shared" si="16"/>
        <v>0</v>
      </c>
      <c r="G521" s="482">
        <v>0</v>
      </c>
      <c r="H521" s="482"/>
      <c r="I521" s="482"/>
      <c r="J521" s="482"/>
      <c r="K521" s="482"/>
      <c r="L521" s="482"/>
      <c r="M521" s="482"/>
      <c r="N521" s="482">
        <f t="shared" si="17"/>
        <v>561634.84965454321</v>
      </c>
      <c r="O521" s="501"/>
    </row>
    <row r="522" spans="1:15">
      <c r="A522" s="486">
        <f t="shared" si="14"/>
        <v>2051</v>
      </c>
      <c r="B522" s="486">
        <f t="shared" si="15"/>
        <v>1</v>
      </c>
      <c r="C522" s="482">
        <v>86205.597573405801</v>
      </c>
      <c r="D522" s="482"/>
      <c r="E522" s="482">
        <v>471116.21768793423</v>
      </c>
      <c r="F522" s="482">
        <f t="shared" si="16"/>
        <v>0</v>
      </c>
      <c r="G522" s="482">
        <v>0</v>
      </c>
      <c r="H522" s="482"/>
      <c r="I522" s="482"/>
      <c r="J522" s="482"/>
      <c r="K522" s="482"/>
      <c r="L522" s="482"/>
      <c r="M522" s="482"/>
      <c r="N522" s="482">
        <f t="shared" si="17"/>
        <v>557321.81526134</v>
      </c>
      <c r="O522" s="501"/>
    </row>
    <row r="523" spans="1:15">
      <c r="A523" s="486">
        <f t="shared" si="14"/>
        <v>2051</v>
      </c>
      <c r="B523" s="486">
        <f t="shared" si="15"/>
        <v>2</v>
      </c>
      <c r="C523" s="482">
        <v>81286.556479150953</v>
      </c>
      <c r="D523" s="482"/>
      <c r="E523" s="482">
        <v>457492.17589095677</v>
      </c>
      <c r="F523" s="482">
        <f t="shared" si="16"/>
        <v>0</v>
      </c>
      <c r="G523" s="482">
        <v>0</v>
      </c>
      <c r="H523" s="482"/>
      <c r="I523" s="482"/>
      <c r="J523" s="482"/>
      <c r="K523" s="482"/>
      <c r="L523" s="482"/>
      <c r="M523" s="482"/>
      <c r="N523" s="482">
        <f t="shared" si="17"/>
        <v>538778.73237010767</v>
      </c>
      <c r="O523" s="501"/>
    </row>
    <row r="524" spans="1:15">
      <c r="A524" s="486">
        <f t="shared" si="14"/>
        <v>2051</v>
      </c>
      <c r="B524" s="486">
        <f t="shared" si="15"/>
        <v>3</v>
      </c>
      <c r="C524" s="482">
        <v>92889.497563009427</v>
      </c>
      <c r="D524" s="482"/>
      <c r="E524" s="482">
        <v>542935.11016061914</v>
      </c>
      <c r="F524" s="482">
        <f t="shared" si="16"/>
        <v>0</v>
      </c>
      <c r="G524" s="482">
        <v>0</v>
      </c>
      <c r="H524" s="482"/>
      <c r="I524" s="482"/>
      <c r="J524" s="482"/>
      <c r="K524" s="482"/>
      <c r="L524" s="482"/>
      <c r="M524" s="482"/>
      <c r="N524" s="482">
        <f t="shared" si="17"/>
        <v>635824.60772362852</v>
      </c>
      <c r="O524" s="501"/>
    </row>
    <row r="525" spans="1:15">
      <c r="A525" s="486">
        <f t="shared" si="14"/>
        <v>2051</v>
      </c>
      <c r="B525" s="486">
        <f t="shared" si="15"/>
        <v>4</v>
      </c>
      <c r="C525" s="482">
        <v>97529.081487264237</v>
      </c>
      <c r="D525" s="482"/>
      <c r="E525" s="482">
        <v>593811.0819153859</v>
      </c>
      <c r="F525" s="482">
        <f t="shared" si="16"/>
        <v>0</v>
      </c>
      <c r="G525" s="482">
        <v>0</v>
      </c>
      <c r="H525" s="482"/>
      <c r="I525" s="482"/>
      <c r="J525" s="482"/>
      <c r="K525" s="482"/>
      <c r="L525" s="482"/>
      <c r="M525" s="482"/>
      <c r="N525" s="482">
        <f t="shared" si="17"/>
        <v>691340.16340265016</v>
      </c>
      <c r="O525" s="501"/>
    </row>
    <row r="526" spans="1:15">
      <c r="A526" s="486">
        <f t="shared" si="14"/>
        <v>2051</v>
      </c>
      <c r="B526" s="486">
        <f t="shared" si="15"/>
        <v>5</v>
      </c>
      <c r="C526" s="482">
        <v>110376.56785005867</v>
      </c>
      <c r="D526" s="482"/>
      <c r="E526" s="482">
        <v>601855.27028219996</v>
      </c>
      <c r="F526" s="482">
        <f t="shared" si="16"/>
        <v>0</v>
      </c>
      <c r="G526" s="482">
        <v>0</v>
      </c>
      <c r="H526" s="482"/>
      <c r="I526" s="482"/>
      <c r="J526" s="482"/>
      <c r="K526" s="482"/>
      <c r="L526" s="482"/>
      <c r="M526" s="482"/>
      <c r="N526" s="482">
        <f t="shared" si="17"/>
        <v>712231.83813225862</v>
      </c>
      <c r="O526" s="501"/>
    </row>
    <row r="527" spans="1:15">
      <c r="A527" s="486">
        <f t="shared" si="14"/>
        <v>2051</v>
      </c>
      <c r="B527" s="486">
        <f t="shared" si="15"/>
        <v>6</v>
      </c>
      <c r="C527" s="482">
        <v>120124.02919232861</v>
      </c>
      <c r="D527" s="482"/>
      <c r="E527" s="482">
        <v>621581.34854721185</v>
      </c>
      <c r="F527" s="482">
        <f t="shared" si="16"/>
        <v>0</v>
      </c>
      <c r="G527" s="482">
        <v>0</v>
      </c>
      <c r="H527" s="482"/>
      <c r="I527" s="482"/>
      <c r="J527" s="482"/>
      <c r="K527" s="482"/>
      <c r="L527" s="482"/>
      <c r="M527" s="482"/>
      <c r="N527" s="482">
        <f t="shared" si="17"/>
        <v>741705.37773954042</v>
      </c>
      <c r="O527" s="501"/>
    </row>
    <row r="528" spans="1:15">
      <c r="A528" s="486">
        <f t="shared" si="14"/>
        <v>2051</v>
      </c>
      <c r="B528" s="486">
        <f t="shared" si="15"/>
        <v>7</v>
      </c>
      <c r="C528" s="482">
        <v>131360.089669762</v>
      </c>
      <c r="D528" s="482"/>
      <c r="E528" s="482">
        <v>584868.49507836718</v>
      </c>
      <c r="F528" s="482">
        <f t="shared" si="16"/>
        <v>0</v>
      </c>
      <c r="G528" s="482">
        <v>0</v>
      </c>
      <c r="H528" s="482"/>
      <c r="I528" s="482"/>
      <c r="J528" s="482"/>
      <c r="K528" s="482"/>
      <c r="L528" s="482"/>
      <c r="M528" s="482"/>
      <c r="N528" s="482">
        <f t="shared" si="17"/>
        <v>716228.58474812913</v>
      </c>
      <c r="O528" s="501"/>
    </row>
    <row r="529" spans="1:15">
      <c r="A529" s="486">
        <f t="shared" si="14"/>
        <v>2051</v>
      </c>
      <c r="B529" s="486">
        <f t="shared" si="15"/>
        <v>8</v>
      </c>
      <c r="C529" s="482">
        <v>130237.0754809486</v>
      </c>
      <c r="D529" s="482"/>
      <c r="E529" s="482">
        <v>627395.13746884419</v>
      </c>
      <c r="F529" s="482">
        <f t="shared" si="16"/>
        <v>0</v>
      </c>
      <c r="G529" s="482">
        <v>0</v>
      </c>
      <c r="H529" s="482"/>
      <c r="I529" s="482"/>
      <c r="J529" s="482"/>
      <c r="K529" s="482"/>
      <c r="L529" s="482"/>
      <c r="M529" s="482"/>
      <c r="N529" s="482">
        <f t="shared" si="17"/>
        <v>757632.21294979274</v>
      </c>
      <c r="O529" s="501"/>
    </row>
    <row r="530" spans="1:15">
      <c r="A530" s="486">
        <f t="shared" si="14"/>
        <v>2051</v>
      </c>
      <c r="B530" s="486">
        <f t="shared" si="15"/>
        <v>9</v>
      </c>
      <c r="C530" s="482">
        <v>110807.78385721668</v>
      </c>
      <c r="D530" s="482"/>
      <c r="E530" s="482">
        <v>619297.96101296868</v>
      </c>
      <c r="F530" s="482">
        <f t="shared" si="16"/>
        <v>0</v>
      </c>
      <c r="G530" s="482">
        <v>0</v>
      </c>
      <c r="H530" s="482"/>
      <c r="I530" s="482"/>
      <c r="J530" s="482"/>
      <c r="K530" s="482"/>
      <c r="L530" s="482"/>
      <c r="M530" s="482"/>
      <c r="N530" s="482">
        <f t="shared" si="17"/>
        <v>730105.74487018539</v>
      </c>
      <c r="O530" s="501"/>
    </row>
    <row r="531" spans="1:15">
      <c r="A531" s="486">
        <f t="shared" ref="A531:A594" si="18">+A519+1</f>
        <v>2051</v>
      </c>
      <c r="B531" s="486">
        <f t="shared" ref="B531:B594" si="19">+B519</f>
        <v>10</v>
      </c>
      <c r="C531" s="482">
        <v>102454.51004392283</v>
      </c>
      <c r="D531" s="482"/>
      <c r="E531" s="482">
        <v>566276.24410249712</v>
      </c>
      <c r="F531" s="482">
        <f t="shared" ref="F531:F594" si="20">+F519</f>
        <v>0</v>
      </c>
      <c r="G531" s="482">
        <v>0</v>
      </c>
      <c r="H531" s="482"/>
      <c r="I531" s="482"/>
      <c r="J531" s="482"/>
      <c r="K531" s="482"/>
      <c r="L531" s="482"/>
      <c r="M531" s="482"/>
      <c r="N531" s="482">
        <f t="shared" si="17"/>
        <v>668730.75414641993</v>
      </c>
      <c r="O531" s="501"/>
    </row>
    <row r="532" spans="1:15">
      <c r="A532" s="486">
        <f t="shared" si="18"/>
        <v>2051</v>
      </c>
      <c r="B532" s="486">
        <f t="shared" si="19"/>
        <v>11</v>
      </c>
      <c r="C532" s="482">
        <v>84316.942150662042</v>
      </c>
      <c r="D532" s="482"/>
      <c r="E532" s="482">
        <v>515473.43508470856</v>
      </c>
      <c r="F532" s="482">
        <f t="shared" si="20"/>
        <v>0</v>
      </c>
      <c r="G532" s="482">
        <v>0</v>
      </c>
      <c r="H532" s="482"/>
      <c r="I532" s="482"/>
      <c r="J532" s="482"/>
      <c r="K532" s="482"/>
      <c r="L532" s="482"/>
      <c r="M532" s="482"/>
      <c r="N532" s="482">
        <f t="shared" si="17"/>
        <v>599790.37723537057</v>
      </c>
      <c r="O532" s="501"/>
    </row>
    <row r="533" spans="1:15">
      <c r="A533" s="486">
        <f t="shared" si="18"/>
        <v>2051</v>
      </c>
      <c r="B533" s="486">
        <f t="shared" si="19"/>
        <v>12</v>
      </c>
      <c r="C533" s="482">
        <v>87000.762673129109</v>
      </c>
      <c r="D533" s="482"/>
      <c r="E533" s="482">
        <v>482826.0846491633</v>
      </c>
      <c r="F533" s="482">
        <f t="shared" si="20"/>
        <v>0</v>
      </c>
      <c r="G533" s="482">
        <v>0</v>
      </c>
      <c r="H533" s="482"/>
      <c r="I533" s="482"/>
      <c r="J533" s="482"/>
      <c r="K533" s="482"/>
      <c r="L533" s="482"/>
      <c r="M533" s="482"/>
      <c r="N533" s="482">
        <f t="shared" si="17"/>
        <v>569826.84732229239</v>
      </c>
      <c r="O533" s="501"/>
    </row>
    <row r="534" spans="1:15">
      <c r="A534" s="486">
        <f t="shared" si="18"/>
        <v>2052</v>
      </c>
      <c r="B534" s="486">
        <f t="shared" si="19"/>
        <v>1</v>
      </c>
      <c r="C534" s="482">
        <v>87265.449033956742</v>
      </c>
      <c r="D534" s="482"/>
      <c r="E534" s="482">
        <v>478182.96095760504</v>
      </c>
      <c r="F534" s="482">
        <f t="shared" si="20"/>
        <v>0</v>
      </c>
      <c r="G534" s="482">
        <v>0</v>
      </c>
      <c r="H534" s="482"/>
      <c r="I534" s="482"/>
      <c r="J534" s="482"/>
      <c r="K534" s="482"/>
      <c r="L534" s="482"/>
      <c r="M534" s="482"/>
      <c r="N534" s="482">
        <f t="shared" si="17"/>
        <v>565448.40999156178</v>
      </c>
      <c r="O534" s="501"/>
    </row>
    <row r="535" spans="1:15">
      <c r="A535" s="486">
        <f t="shared" si="18"/>
        <v>2052</v>
      </c>
      <c r="B535" s="486">
        <f t="shared" si="19"/>
        <v>2</v>
      </c>
      <c r="C535" s="482">
        <v>82285.930974922288</v>
      </c>
      <c r="D535" s="482"/>
      <c r="E535" s="482">
        <v>464354.55853354704</v>
      </c>
      <c r="F535" s="482">
        <f t="shared" si="20"/>
        <v>0</v>
      </c>
      <c r="G535" s="482">
        <v>0</v>
      </c>
      <c r="H535" s="482"/>
      <c r="I535" s="482"/>
      <c r="J535" s="482"/>
      <c r="K535" s="482"/>
      <c r="L535" s="482"/>
      <c r="M535" s="482"/>
      <c r="N535" s="482">
        <f t="shared" si="17"/>
        <v>546640.48950846936</v>
      </c>
      <c r="O535" s="501"/>
    </row>
    <row r="536" spans="1:15">
      <c r="A536" s="486">
        <f t="shared" si="18"/>
        <v>2052</v>
      </c>
      <c r="B536" s="486">
        <f t="shared" si="19"/>
        <v>3</v>
      </c>
      <c r="C536" s="482">
        <v>94031.523979312202</v>
      </c>
      <c r="D536" s="482"/>
      <c r="E536" s="482">
        <v>551079.13681804365</v>
      </c>
      <c r="F536" s="482">
        <f t="shared" si="20"/>
        <v>0</v>
      </c>
      <c r="G536" s="482">
        <v>0</v>
      </c>
      <c r="H536" s="482"/>
      <c r="I536" s="482"/>
      <c r="J536" s="482"/>
      <c r="K536" s="482"/>
      <c r="L536" s="482"/>
      <c r="M536" s="482"/>
      <c r="N536" s="482">
        <f t="shared" si="17"/>
        <v>645110.66079735581</v>
      </c>
      <c r="O536" s="501"/>
    </row>
    <row r="537" spans="1:15">
      <c r="A537" s="486">
        <f t="shared" si="18"/>
        <v>2052</v>
      </c>
      <c r="B537" s="486">
        <f t="shared" si="19"/>
        <v>4</v>
      </c>
      <c r="C537" s="482">
        <v>98728.14909273434</v>
      </c>
      <c r="D537" s="482"/>
      <c r="E537" s="482">
        <v>602718.24814960186</v>
      </c>
      <c r="F537" s="482">
        <f t="shared" si="20"/>
        <v>0</v>
      </c>
      <c r="G537" s="482">
        <v>0</v>
      </c>
      <c r="H537" s="482"/>
      <c r="I537" s="482"/>
      <c r="J537" s="482"/>
      <c r="K537" s="482"/>
      <c r="L537" s="482"/>
      <c r="M537" s="482"/>
      <c r="N537" s="482">
        <f t="shared" si="17"/>
        <v>701446.39724233618</v>
      </c>
      <c r="O537" s="501"/>
    </row>
    <row r="538" spans="1:15">
      <c r="A538" s="486">
        <f t="shared" si="18"/>
        <v>2052</v>
      </c>
      <c r="B538" s="486">
        <f t="shared" si="19"/>
        <v>5</v>
      </c>
      <c r="C538" s="482">
        <v>111733.58839094492</v>
      </c>
      <c r="D538" s="482"/>
      <c r="E538" s="482">
        <v>610883.09934199241</v>
      </c>
      <c r="F538" s="482">
        <f t="shared" si="20"/>
        <v>0</v>
      </c>
      <c r="G538" s="482">
        <v>0</v>
      </c>
      <c r="H538" s="482"/>
      <c r="I538" s="482"/>
      <c r="J538" s="482"/>
      <c r="K538" s="482"/>
      <c r="L538" s="482"/>
      <c r="M538" s="482"/>
      <c r="N538" s="482">
        <f t="shared" si="17"/>
        <v>722616.68773293728</v>
      </c>
      <c r="O538" s="501"/>
    </row>
    <row r="539" spans="1:15">
      <c r="A539" s="486">
        <f t="shared" si="18"/>
        <v>2052</v>
      </c>
      <c r="B539" s="486">
        <f t="shared" si="19"/>
        <v>6</v>
      </c>
      <c r="C539" s="482">
        <v>121600.88952820579</v>
      </c>
      <c r="D539" s="482"/>
      <c r="E539" s="482">
        <v>630905.06878116168</v>
      </c>
      <c r="F539" s="482">
        <f t="shared" si="20"/>
        <v>0</v>
      </c>
      <c r="G539" s="482">
        <v>0</v>
      </c>
      <c r="H539" s="482"/>
      <c r="I539" s="482"/>
      <c r="J539" s="482"/>
      <c r="K539" s="482"/>
      <c r="L539" s="482"/>
      <c r="M539" s="482"/>
      <c r="N539" s="482">
        <f t="shared" si="17"/>
        <v>752505.95830936753</v>
      </c>
      <c r="O539" s="501"/>
    </row>
    <row r="540" spans="1:15">
      <c r="A540" s="486">
        <f t="shared" si="18"/>
        <v>2052</v>
      </c>
      <c r="B540" s="486">
        <f t="shared" si="19"/>
        <v>7</v>
      </c>
      <c r="C540" s="482">
        <v>132975.09132642412</v>
      </c>
      <c r="D540" s="482"/>
      <c r="E540" s="482">
        <v>593641.52250994521</v>
      </c>
      <c r="F540" s="482">
        <f t="shared" si="20"/>
        <v>0</v>
      </c>
      <c r="G540" s="482">
        <v>0</v>
      </c>
      <c r="H540" s="482"/>
      <c r="I540" s="482"/>
      <c r="J540" s="482"/>
      <c r="K540" s="482"/>
      <c r="L540" s="482"/>
      <c r="M540" s="482"/>
      <c r="N540" s="482">
        <f t="shared" si="17"/>
        <v>726616.61383636936</v>
      </c>
      <c r="O540" s="501"/>
    </row>
    <row r="541" spans="1:15">
      <c r="A541" s="486">
        <f t="shared" si="18"/>
        <v>2052</v>
      </c>
      <c r="B541" s="486">
        <f t="shared" si="19"/>
        <v>8</v>
      </c>
      <c r="C541" s="482">
        <v>131838.27028211951</v>
      </c>
      <c r="D541" s="482"/>
      <c r="E541" s="482">
        <v>636806.0645366722</v>
      </c>
      <c r="F541" s="482">
        <f t="shared" si="20"/>
        <v>0</v>
      </c>
      <c r="G541" s="482">
        <v>0</v>
      </c>
      <c r="H541" s="482"/>
      <c r="I541" s="482"/>
      <c r="J541" s="482"/>
      <c r="K541" s="482"/>
      <c r="L541" s="482"/>
      <c r="M541" s="482"/>
      <c r="N541" s="482">
        <f t="shared" si="17"/>
        <v>768644.33481879171</v>
      </c>
      <c r="O541" s="501"/>
    </row>
    <row r="542" spans="1:15">
      <c r="A542" s="486">
        <f t="shared" si="18"/>
        <v>2052</v>
      </c>
      <c r="B542" s="486">
        <f t="shared" si="19"/>
        <v>9</v>
      </c>
      <c r="C542" s="482">
        <v>112170.10596700177</v>
      </c>
      <c r="D542" s="482"/>
      <c r="E542" s="482">
        <v>628587.4304338838</v>
      </c>
      <c r="F542" s="482">
        <f t="shared" si="20"/>
        <v>0</v>
      </c>
      <c r="G542" s="482">
        <v>0</v>
      </c>
      <c r="H542" s="482"/>
      <c r="I542" s="482"/>
      <c r="J542" s="482"/>
      <c r="K542" s="482"/>
      <c r="L542" s="482"/>
      <c r="M542" s="482"/>
      <c r="N542" s="482">
        <f t="shared" si="17"/>
        <v>740757.53640088555</v>
      </c>
      <c r="O542" s="501"/>
    </row>
    <row r="543" spans="1:15">
      <c r="A543" s="486">
        <f t="shared" si="18"/>
        <v>2052</v>
      </c>
      <c r="B543" s="486">
        <f t="shared" si="19"/>
        <v>10</v>
      </c>
      <c r="C543" s="482">
        <v>103714.13314458773</v>
      </c>
      <c r="D543" s="482"/>
      <c r="E543" s="482">
        <v>574770.38776926533</v>
      </c>
      <c r="F543" s="482">
        <f t="shared" si="20"/>
        <v>0</v>
      </c>
      <c r="G543" s="482">
        <v>0</v>
      </c>
      <c r="H543" s="482"/>
      <c r="I543" s="482"/>
      <c r="J543" s="482"/>
      <c r="K543" s="482"/>
      <c r="L543" s="482"/>
      <c r="M543" s="482"/>
      <c r="N543" s="482">
        <f t="shared" si="17"/>
        <v>678484.52091385308</v>
      </c>
      <c r="O543" s="501"/>
    </row>
    <row r="544" spans="1:15">
      <c r="A544" s="486">
        <f t="shared" si="18"/>
        <v>2052</v>
      </c>
      <c r="B544" s="486">
        <f t="shared" si="19"/>
        <v>11</v>
      </c>
      <c r="C544" s="482">
        <v>85353.573608514591</v>
      </c>
      <c r="D544" s="482"/>
      <c r="E544" s="482">
        <v>523205.53661574068</v>
      </c>
      <c r="F544" s="482">
        <f t="shared" si="20"/>
        <v>0</v>
      </c>
      <c r="G544" s="482">
        <v>0</v>
      </c>
      <c r="H544" s="482"/>
      <c r="I544" s="482"/>
      <c r="J544" s="482"/>
      <c r="K544" s="482"/>
      <c r="L544" s="482"/>
      <c r="M544" s="482"/>
      <c r="N544" s="482">
        <f t="shared" si="17"/>
        <v>608559.11022425524</v>
      </c>
      <c r="O544" s="501"/>
    </row>
    <row r="545" spans="1:15">
      <c r="A545" s="486">
        <f t="shared" si="18"/>
        <v>2052</v>
      </c>
      <c r="B545" s="486">
        <f t="shared" si="19"/>
        <v>12</v>
      </c>
      <c r="C545" s="482">
        <v>88070.390260939108</v>
      </c>
      <c r="D545" s="482"/>
      <c r="E545" s="482">
        <v>490068.47592336067</v>
      </c>
      <c r="F545" s="482">
        <f t="shared" si="20"/>
        <v>0</v>
      </c>
      <c r="G545" s="482">
        <v>0</v>
      </c>
      <c r="H545" s="482"/>
      <c r="I545" s="482"/>
      <c r="J545" s="482"/>
      <c r="K545" s="482"/>
      <c r="L545" s="482"/>
      <c r="M545" s="482"/>
      <c r="N545" s="482">
        <f t="shared" si="17"/>
        <v>578138.86618429981</v>
      </c>
      <c r="O545" s="501"/>
    </row>
    <row r="546" spans="1:15">
      <c r="A546" s="486">
        <f t="shared" si="18"/>
        <v>2053</v>
      </c>
      <c r="B546" s="486">
        <f t="shared" si="19"/>
        <v>1</v>
      </c>
      <c r="C546" s="482">
        <v>88338.330798224051</v>
      </c>
      <c r="D546" s="482"/>
      <c r="E546" s="482">
        <f t="shared" ref="E546:E549" si="21">+E534*(E534/E522)</f>
        <v>485355.70537638618</v>
      </c>
      <c r="F546" s="482">
        <f t="shared" si="20"/>
        <v>0</v>
      </c>
      <c r="G546" s="482">
        <v>0</v>
      </c>
      <c r="H546" s="482"/>
      <c r="I546" s="482"/>
      <c r="J546" s="482"/>
      <c r="K546" s="482"/>
      <c r="L546" s="482"/>
      <c r="M546" s="482"/>
      <c r="N546" s="482">
        <f t="shared" si="17"/>
        <v>573694.03617461026</v>
      </c>
      <c r="O546" s="501"/>
    </row>
    <row r="547" spans="1:15">
      <c r="A547" s="486">
        <f t="shared" si="18"/>
        <v>2053</v>
      </c>
      <c r="B547" s="486">
        <f t="shared" si="19"/>
        <v>2</v>
      </c>
      <c r="C547" s="482">
        <v>83297.59224265271</v>
      </c>
      <c r="D547" s="482"/>
      <c r="E547" s="482">
        <f t="shared" si="21"/>
        <v>471319.87691583956</v>
      </c>
      <c r="F547" s="482">
        <f t="shared" si="20"/>
        <v>0</v>
      </c>
      <c r="G547" s="482">
        <v>0</v>
      </c>
      <c r="H547" s="482"/>
      <c r="I547" s="482"/>
      <c r="J547" s="482"/>
      <c r="K547" s="482"/>
      <c r="L547" s="482"/>
      <c r="M547" s="482"/>
      <c r="N547" s="482">
        <f t="shared" si="17"/>
        <v>554617.46915849228</v>
      </c>
      <c r="O547" s="501"/>
    </row>
    <row r="548" spans="1:15">
      <c r="A548" s="486">
        <f t="shared" si="18"/>
        <v>2053</v>
      </c>
      <c r="B548" s="486">
        <f t="shared" si="19"/>
        <v>3</v>
      </c>
      <c r="C548" s="482">
        <v>95187.59099621838</v>
      </c>
      <c r="D548" s="482"/>
      <c r="E548" s="482">
        <f t="shared" si="21"/>
        <v>559345.32387540478</v>
      </c>
      <c r="F548" s="482">
        <f t="shared" si="20"/>
        <v>0</v>
      </c>
      <c r="G548" s="482">
        <v>0</v>
      </c>
      <c r="H548" s="482"/>
      <c r="I548" s="482"/>
      <c r="J548" s="482"/>
      <c r="K548" s="482"/>
      <c r="L548" s="482"/>
      <c r="M548" s="482"/>
      <c r="N548" s="482">
        <f t="shared" si="17"/>
        <v>654532.91487162316</v>
      </c>
      <c r="O548" s="501"/>
    </row>
    <row r="549" spans="1:15">
      <c r="A549" s="486">
        <f t="shared" si="18"/>
        <v>2053</v>
      </c>
      <c r="B549" s="486">
        <f t="shared" si="19"/>
        <v>4</v>
      </c>
      <c r="C549" s="482">
        <v>99941.958589551738</v>
      </c>
      <c r="D549" s="482"/>
      <c r="E549" s="482">
        <f t="shared" si="21"/>
        <v>611759.02187741327</v>
      </c>
      <c r="F549" s="482">
        <f t="shared" si="20"/>
        <v>0</v>
      </c>
      <c r="G549" s="482">
        <v>0</v>
      </c>
      <c r="H549" s="482"/>
      <c r="I549" s="482"/>
      <c r="J549" s="482"/>
      <c r="K549" s="482"/>
      <c r="L549" s="482"/>
      <c r="M549" s="482"/>
      <c r="N549" s="482">
        <f t="shared" si="17"/>
        <v>711700.980466965</v>
      </c>
      <c r="O549" s="501"/>
    </row>
    <row r="550" spans="1:15">
      <c r="A550" s="486">
        <f t="shared" si="18"/>
        <v>2053</v>
      </c>
      <c r="B550" s="486">
        <f t="shared" si="19"/>
        <v>5</v>
      </c>
      <c r="C550" s="482">
        <v>113107.29276957188</v>
      </c>
      <c r="D550" s="482"/>
      <c r="E550" s="482">
        <f>+E538*(E538/E526)</f>
        <v>620046.34583776514</v>
      </c>
      <c r="F550" s="482">
        <f t="shared" si="20"/>
        <v>0</v>
      </c>
      <c r="G550" s="482">
        <v>0</v>
      </c>
      <c r="H550" s="482"/>
      <c r="I550" s="482"/>
      <c r="J550" s="482"/>
      <c r="K550" s="482"/>
      <c r="L550" s="482"/>
      <c r="M550" s="482"/>
      <c r="N550" s="482">
        <f t="shared" si="17"/>
        <v>733153.63860733702</v>
      </c>
      <c r="O550" s="501"/>
    </row>
    <row r="551" spans="1:15">
      <c r="A551" s="486">
        <f t="shared" si="18"/>
        <v>2053</v>
      </c>
      <c r="B551" s="486">
        <f t="shared" si="19"/>
        <v>6</v>
      </c>
      <c r="C551" s="482">
        <v>123095.90706765292</v>
      </c>
      <c r="D551" s="482"/>
      <c r="E551" s="482">
        <f t="shared" ref="E551:E614" si="22">+E539*(E539/E527)</f>
        <v>640368.6448187069</v>
      </c>
      <c r="F551" s="482">
        <f t="shared" si="20"/>
        <v>0</v>
      </c>
      <c r="G551" s="482">
        <v>0</v>
      </c>
      <c r="H551" s="482"/>
      <c r="I551" s="482"/>
      <c r="J551" s="482"/>
      <c r="K551" s="482"/>
      <c r="L551" s="482"/>
      <c r="M551" s="482"/>
      <c r="N551" s="482">
        <f t="shared" si="17"/>
        <v>763464.55188635981</v>
      </c>
      <c r="O551" s="501"/>
    </row>
    <row r="552" spans="1:15">
      <c r="A552" s="486">
        <f t="shared" si="18"/>
        <v>2053</v>
      </c>
      <c r="B552" s="486">
        <f t="shared" si="19"/>
        <v>7</v>
      </c>
      <c r="C552" s="482">
        <v>134609.94855990243</v>
      </c>
      <c r="D552" s="482"/>
      <c r="E552" s="482">
        <f t="shared" si="22"/>
        <v>602546.14535307791</v>
      </c>
      <c r="F552" s="482">
        <f t="shared" si="20"/>
        <v>0</v>
      </c>
      <c r="G552" s="482">
        <v>0</v>
      </c>
      <c r="H552" s="482"/>
      <c r="I552" s="482"/>
      <c r="J552" s="482"/>
      <c r="K552" s="482"/>
      <c r="L552" s="482"/>
      <c r="M552" s="482"/>
      <c r="N552" s="482">
        <f t="shared" si="17"/>
        <v>737156.09391298029</v>
      </c>
      <c r="O552" s="501"/>
    </row>
    <row r="553" spans="1:15">
      <c r="A553" s="486">
        <f t="shared" si="18"/>
        <v>2053</v>
      </c>
      <c r="B553" s="486">
        <f t="shared" si="19"/>
        <v>8</v>
      </c>
      <c r="C553" s="482">
        <v>133459.15091224373</v>
      </c>
      <c r="D553" s="482"/>
      <c r="E553" s="482">
        <f t="shared" si="22"/>
        <v>646358.15551060461</v>
      </c>
      <c r="F553" s="482">
        <f t="shared" si="20"/>
        <v>0</v>
      </c>
      <c r="G553" s="482">
        <v>0</v>
      </c>
      <c r="H553" s="482"/>
      <c r="I553" s="482"/>
      <c r="J553" s="482"/>
      <c r="K553" s="482"/>
      <c r="L553" s="482"/>
      <c r="M553" s="482"/>
      <c r="N553" s="482">
        <f t="shared" si="17"/>
        <v>779817.30642284837</v>
      </c>
      <c r="O553" s="501"/>
    </row>
    <row r="554" spans="1:15">
      <c r="A554" s="486">
        <f t="shared" si="18"/>
        <v>2053</v>
      </c>
      <c r="B554" s="486">
        <f t="shared" si="19"/>
        <v>9</v>
      </c>
      <c r="C554" s="482">
        <v>113549.17709446599</v>
      </c>
      <c r="D554" s="482"/>
      <c r="E554" s="482">
        <f t="shared" si="22"/>
        <v>638016.24189619848</v>
      </c>
      <c r="F554" s="482">
        <f t="shared" si="20"/>
        <v>0</v>
      </c>
      <c r="G554" s="482">
        <v>0</v>
      </c>
      <c r="H554" s="482"/>
      <c r="I554" s="482"/>
      <c r="J554" s="482"/>
      <c r="K554" s="482"/>
      <c r="L554" s="482"/>
      <c r="M554" s="482"/>
      <c r="N554" s="482">
        <f t="shared" si="17"/>
        <v>751565.41899066442</v>
      </c>
      <c r="O554" s="501"/>
    </row>
    <row r="555" spans="1:15">
      <c r="A555" s="486">
        <f t="shared" si="18"/>
        <v>2053</v>
      </c>
      <c r="B555" s="486">
        <f t="shared" si="19"/>
        <v>10</v>
      </c>
      <c r="C555" s="482">
        <v>104989.24263384644</v>
      </c>
      <c r="D555" s="482"/>
      <c r="E555" s="482">
        <f t="shared" si="22"/>
        <v>583391.94359111355</v>
      </c>
      <c r="F555" s="482">
        <f t="shared" si="20"/>
        <v>0</v>
      </c>
      <c r="G555" s="482">
        <v>0</v>
      </c>
      <c r="H555" s="482"/>
      <c r="I555" s="482"/>
      <c r="J555" s="482"/>
      <c r="K555" s="482"/>
      <c r="L555" s="482"/>
      <c r="M555" s="482"/>
      <c r="N555" s="482">
        <f t="shared" si="17"/>
        <v>688381.18622496002</v>
      </c>
      <c r="O555" s="501"/>
    </row>
    <row r="556" spans="1:15">
      <c r="A556" s="486">
        <f t="shared" si="18"/>
        <v>2053</v>
      </c>
      <c r="B556" s="486">
        <f t="shared" si="19"/>
        <v>11</v>
      </c>
      <c r="C556" s="482">
        <v>86402.949892638106</v>
      </c>
      <c r="D556" s="482"/>
      <c r="E556" s="482">
        <f t="shared" si="22"/>
        <v>531053.6196698097</v>
      </c>
      <c r="F556" s="482">
        <f t="shared" si="20"/>
        <v>0</v>
      </c>
      <c r="G556" s="482">
        <v>0</v>
      </c>
      <c r="H556" s="482"/>
      <c r="I556" s="482"/>
      <c r="J556" s="482"/>
      <c r="K556" s="482"/>
      <c r="L556" s="482"/>
      <c r="M556" s="482"/>
      <c r="N556" s="482">
        <f t="shared" si="17"/>
        <v>617456.56956244784</v>
      </c>
      <c r="O556" s="501"/>
    </row>
    <row r="557" spans="1:15">
      <c r="A557" s="486">
        <f t="shared" si="18"/>
        <v>2053</v>
      </c>
      <c r="B557" s="486">
        <f t="shared" si="19"/>
        <v>12</v>
      </c>
      <c r="C557" s="482">
        <v>89153.168344692487</v>
      </c>
      <c r="D557" s="482"/>
      <c r="E557" s="482">
        <f t="shared" si="22"/>
        <v>497419.50306673796</v>
      </c>
      <c r="F557" s="482">
        <f t="shared" si="20"/>
        <v>0</v>
      </c>
      <c r="G557" s="482">
        <v>0</v>
      </c>
      <c r="H557" s="482"/>
      <c r="I557" s="482"/>
      <c r="J557" s="482"/>
      <c r="K557" s="482"/>
      <c r="L557" s="482"/>
      <c r="M557" s="482"/>
      <c r="N557" s="482">
        <f t="shared" si="17"/>
        <v>586572.67141143046</v>
      </c>
      <c r="O557" s="501"/>
    </row>
    <row r="558" spans="1:15">
      <c r="A558" s="486">
        <f t="shared" si="18"/>
        <v>2054</v>
      </c>
      <c r="B558" s="486">
        <f t="shared" si="19"/>
        <v>1</v>
      </c>
      <c r="C558" s="482">
        <v>89424.403066784187</v>
      </c>
      <c r="D558" s="482"/>
      <c r="E558" s="482">
        <f t="shared" si="22"/>
        <v>492636.04096151527</v>
      </c>
      <c r="F558" s="482">
        <f t="shared" si="20"/>
        <v>0</v>
      </c>
      <c r="G558" s="482">
        <v>0</v>
      </c>
      <c r="H558" s="482"/>
      <c r="I558" s="482"/>
      <c r="J558" s="482"/>
      <c r="K558" s="482"/>
      <c r="L558" s="482"/>
      <c r="M558" s="482"/>
      <c r="N558" s="482">
        <f t="shared" si="17"/>
        <v>582060.44402829942</v>
      </c>
      <c r="O558" s="501"/>
    </row>
    <row r="559" spans="1:15">
      <c r="A559" s="486">
        <f t="shared" si="18"/>
        <v>2054</v>
      </c>
      <c r="B559" s="486">
        <f t="shared" si="19"/>
        <v>2</v>
      </c>
      <c r="C559" s="482">
        <v>84321.691341595593</v>
      </c>
      <c r="D559" s="482"/>
      <c r="E559" s="482">
        <f t="shared" si="22"/>
        <v>478389.67507393082</v>
      </c>
      <c r="F559" s="482">
        <f t="shared" si="20"/>
        <v>0</v>
      </c>
      <c r="G559" s="482">
        <v>0</v>
      </c>
      <c r="H559" s="482"/>
      <c r="I559" s="482"/>
      <c r="J559" s="482"/>
      <c r="K559" s="482"/>
      <c r="L559" s="482"/>
      <c r="M559" s="482"/>
      <c r="N559" s="482">
        <f t="shared" si="17"/>
        <v>562711.36641552637</v>
      </c>
      <c r="O559" s="501"/>
    </row>
    <row r="560" spans="1:15">
      <c r="A560" s="486">
        <f t="shared" si="18"/>
        <v>2054</v>
      </c>
      <c r="B560" s="486">
        <f t="shared" si="19"/>
        <v>3</v>
      </c>
      <c r="C560" s="482">
        <v>96357.871235361308</v>
      </c>
      <c r="D560" s="482"/>
      <c r="E560" s="482">
        <f t="shared" si="22"/>
        <v>567735.50373870262</v>
      </c>
      <c r="F560" s="482">
        <f t="shared" si="20"/>
        <v>0</v>
      </c>
      <c r="G560" s="482">
        <v>0</v>
      </c>
      <c r="H560" s="482"/>
      <c r="I560" s="482"/>
      <c r="J560" s="482"/>
      <c r="K560" s="482"/>
      <c r="L560" s="482"/>
      <c r="M560" s="482"/>
      <c r="N560" s="482">
        <f t="shared" si="17"/>
        <v>664093.37497406395</v>
      </c>
      <c r="O560" s="501"/>
    </row>
    <row r="561" spans="1:15">
      <c r="A561" s="486">
        <f t="shared" si="18"/>
        <v>2054</v>
      </c>
      <c r="B561" s="486">
        <f t="shared" si="19"/>
        <v>4</v>
      </c>
      <c r="C561" s="482">
        <v>101170.69122134232</v>
      </c>
      <c r="D561" s="482"/>
      <c r="E561" s="482">
        <f t="shared" si="22"/>
        <v>620935.40721122536</v>
      </c>
      <c r="F561" s="482">
        <f t="shared" si="20"/>
        <v>0</v>
      </c>
      <c r="G561" s="482">
        <v>0</v>
      </c>
      <c r="H561" s="482"/>
      <c r="I561" s="482"/>
      <c r="J561" s="482"/>
      <c r="K561" s="482"/>
      <c r="L561" s="482"/>
      <c r="M561" s="482"/>
      <c r="N561" s="482">
        <f t="shared" si="17"/>
        <v>722106.09843256767</v>
      </c>
      <c r="O561" s="501"/>
    </row>
    <row r="562" spans="1:15">
      <c r="A562" s="486">
        <f t="shared" si="18"/>
        <v>2054</v>
      </c>
      <c r="B562" s="486">
        <f t="shared" si="19"/>
        <v>5</v>
      </c>
      <c r="C562" s="482">
        <v>114497.88610475196</v>
      </c>
      <c r="D562" s="482"/>
      <c r="E562" s="482">
        <f t="shared" si="22"/>
        <v>629347.04103105911</v>
      </c>
      <c r="F562" s="482">
        <f t="shared" si="20"/>
        <v>0</v>
      </c>
      <c r="G562" s="482">
        <v>0</v>
      </c>
      <c r="H562" s="482"/>
      <c r="I562" s="482"/>
      <c r="J562" s="482"/>
      <c r="K562" s="482"/>
      <c r="L562" s="482"/>
      <c r="M562" s="482"/>
      <c r="N562" s="482">
        <f t="shared" si="17"/>
        <v>743844.92713581107</v>
      </c>
      <c r="O562" s="501"/>
    </row>
    <row r="563" spans="1:15">
      <c r="A563" s="486">
        <f t="shared" si="18"/>
        <v>2054</v>
      </c>
      <c r="B563" s="486">
        <f t="shared" si="19"/>
        <v>6</v>
      </c>
      <c r="C563" s="482">
        <v>124609.3050437229</v>
      </c>
      <c r="D563" s="482"/>
      <c r="E563" s="482">
        <f t="shared" si="22"/>
        <v>649974.17449690273</v>
      </c>
      <c r="F563" s="482">
        <f t="shared" si="20"/>
        <v>0</v>
      </c>
      <c r="G563" s="482">
        <v>0</v>
      </c>
      <c r="H563" s="482"/>
      <c r="I563" s="482"/>
      <c r="J563" s="482"/>
      <c r="K563" s="482"/>
      <c r="L563" s="482"/>
      <c r="M563" s="482"/>
      <c r="N563" s="482">
        <f t="shared" si="17"/>
        <v>774583.47954062559</v>
      </c>
      <c r="O563" s="501"/>
    </row>
    <row r="564" spans="1:15">
      <c r="A564" s="486">
        <f t="shared" si="18"/>
        <v>2054</v>
      </c>
      <c r="B564" s="486">
        <f t="shared" si="19"/>
        <v>7</v>
      </c>
      <c r="C564" s="482">
        <v>136264.90548383552</v>
      </c>
      <c r="D564" s="482"/>
      <c r="E564" s="482">
        <f t="shared" si="22"/>
        <v>611584.3375389399</v>
      </c>
      <c r="F564" s="482">
        <f t="shared" si="20"/>
        <v>0</v>
      </c>
      <c r="G564" s="482">
        <v>0</v>
      </c>
      <c r="H564" s="482"/>
      <c r="I564" s="482"/>
      <c r="J564" s="482"/>
      <c r="K564" s="482"/>
      <c r="L564" s="482"/>
      <c r="M564" s="482"/>
      <c r="N564" s="482">
        <f t="shared" si="17"/>
        <v>747849.24302277539</v>
      </c>
      <c r="O564" s="501"/>
    </row>
    <row r="565" spans="1:15">
      <c r="A565" s="486">
        <f t="shared" si="18"/>
        <v>2054</v>
      </c>
      <c r="B565" s="486">
        <f t="shared" si="19"/>
        <v>8</v>
      </c>
      <c r="C565" s="482">
        <v>135099.95939800114</v>
      </c>
      <c r="D565" s="482"/>
      <c r="E565" s="482">
        <f t="shared" si="22"/>
        <v>656053.52784923417</v>
      </c>
      <c r="F565" s="482">
        <f t="shared" si="20"/>
        <v>0</v>
      </c>
      <c r="G565" s="482">
        <v>0</v>
      </c>
      <c r="H565" s="482"/>
      <c r="I565" s="482"/>
      <c r="J565" s="482"/>
      <c r="K565" s="482"/>
      <c r="L565" s="482"/>
      <c r="M565" s="482"/>
      <c r="N565" s="482">
        <f t="shared" si="17"/>
        <v>791153.48724723537</v>
      </c>
      <c r="O565" s="501"/>
    </row>
    <row r="566" spans="1:15">
      <c r="A566" s="486">
        <f t="shared" si="18"/>
        <v>2054</v>
      </c>
      <c r="B566" s="486">
        <f t="shared" si="19"/>
        <v>9</v>
      </c>
      <c r="C566" s="482">
        <v>114945.20315977404</v>
      </c>
      <c r="D566" s="482"/>
      <c r="E566" s="482">
        <f t="shared" si="22"/>
        <v>647586.48553053488</v>
      </c>
      <c r="F566" s="482">
        <f t="shared" si="20"/>
        <v>0</v>
      </c>
      <c r="G566" s="482">
        <v>0</v>
      </c>
      <c r="H566" s="482"/>
      <c r="I566" s="482"/>
      <c r="J566" s="482"/>
      <c r="K566" s="482"/>
      <c r="L566" s="482"/>
      <c r="M566" s="482"/>
      <c r="N566" s="482">
        <f t="shared" si="17"/>
        <v>762531.68869030895</v>
      </c>
      <c r="O566" s="501"/>
    </row>
    <row r="567" spans="1:15">
      <c r="A567" s="486">
        <f t="shared" si="18"/>
        <v>2054</v>
      </c>
      <c r="B567" s="486">
        <f t="shared" si="19"/>
        <v>10</v>
      </c>
      <c r="C567" s="482">
        <v>106280.02890851811</v>
      </c>
      <c r="D567" s="482"/>
      <c r="E567" s="482">
        <f t="shared" si="22"/>
        <v>592142.8227503692</v>
      </c>
      <c r="F567" s="482">
        <f t="shared" si="20"/>
        <v>0</v>
      </c>
      <c r="G567" s="482">
        <v>0</v>
      </c>
      <c r="H567" s="482"/>
      <c r="I567" s="482"/>
      <c r="J567" s="482"/>
      <c r="K567" s="482"/>
      <c r="L567" s="482"/>
      <c r="M567" s="482"/>
      <c r="N567" s="482">
        <f t="shared" si="17"/>
        <v>698422.85165888735</v>
      </c>
      <c r="O567" s="501"/>
    </row>
    <row r="568" spans="1:15">
      <c r="A568" s="486">
        <f t="shared" si="18"/>
        <v>2054</v>
      </c>
      <c r="B568" s="486">
        <f t="shared" si="19"/>
        <v>11</v>
      </c>
      <c r="C568" s="482">
        <v>87465.227693817389</v>
      </c>
      <c r="D568" s="482"/>
      <c r="E568" s="482">
        <f t="shared" si="22"/>
        <v>539019.42396976228</v>
      </c>
      <c r="F568" s="482">
        <f t="shared" si="20"/>
        <v>0</v>
      </c>
      <c r="G568" s="482">
        <v>0</v>
      </c>
      <c r="H568" s="482"/>
      <c r="I568" s="482"/>
      <c r="J568" s="482"/>
      <c r="K568" s="482"/>
      <c r="L568" s="482"/>
      <c r="M568" s="482"/>
      <c r="N568" s="482">
        <f t="shared" si="17"/>
        <v>626484.65166357963</v>
      </c>
      <c r="O568" s="501"/>
    </row>
    <row r="569" spans="1:15">
      <c r="A569" s="486">
        <f t="shared" si="18"/>
        <v>2054</v>
      </c>
      <c r="B569" s="486">
        <f t="shared" si="19"/>
        <v>12</v>
      </c>
      <c r="C569" s="482">
        <v>90249.2586026645</v>
      </c>
      <c r="D569" s="482"/>
      <c r="E569" s="482">
        <f t="shared" si="22"/>
        <v>504880.79561733379</v>
      </c>
      <c r="F569" s="482">
        <f t="shared" si="20"/>
        <v>0</v>
      </c>
      <c r="G569" s="482">
        <v>0</v>
      </c>
      <c r="H569" s="482"/>
      <c r="I569" s="482"/>
      <c r="J569" s="482"/>
      <c r="K569" s="482"/>
      <c r="L569" s="482"/>
      <c r="M569" s="482"/>
      <c r="N569" s="482">
        <f t="shared" si="17"/>
        <v>595130.0542199983</v>
      </c>
      <c r="O569" s="501"/>
    </row>
    <row r="570" spans="1:15">
      <c r="A570" s="486">
        <f t="shared" si="18"/>
        <v>2055</v>
      </c>
      <c r="B570" s="486">
        <f t="shared" si="19"/>
        <v>1</v>
      </c>
      <c r="C570" s="482">
        <v>90523.828009793535</v>
      </c>
      <c r="D570" s="482"/>
      <c r="E570" s="482">
        <f t="shared" si="22"/>
        <v>500025.58158048859</v>
      </c>
      <c r="F570" s="482">
        <f t="shared" si="20"/>
        <v>0</v>
      </c>
      <c r="G570" s="482">
        <v>0</v>
      </c>
      <c r="H570" s="482"/>
      <c r="I570" s="482"/>
      <c r="J570" s="482"/>
      <c r="K570" s="482"/>
      <c r="L570" s="482"/>
      <c r="M570" s="482"/>
      <c r="N570" s="482">
        <f t="shared" si="17"/>
        <v>590549.40959028213</v>
      </c>
      <c r="O570" s="501"/>
    </row>
    <row r="571" spans="1:15">
      <c r="A571" s="486">
        <f t="shared" si="18"/>
        <v>2055</v>
      </c>
      <c r="B571" s="486">
        <f t="shared" si="19"/>
        <v>2</v>
      </c>
      <c r="C571" s="482">
        <v>85358.381188196596</v>
      </c>
      <c r="D571" s="482"/>
      <c r="E571" s="482">
        <f t="shared" si="22"/>
        <v>485565.52020445873</v>
      </c>
      <c r="F571" s="482">
        <f t="shared" si="20"/>
        <v>0</v>
      </c>
      <c r="G571" s="482">
        <v>0</v>
      </c>
      <c r="H571" s="482"/>
      <c r="I571" s="482"/>
      <c r="J571" s="482"/>
      <c r="K571" s="482"/>
      <c r="L571" s="482"/>
      <c r="M571" s="482"/>
      <c r="N571" s="482">
        <f t="shared" si="17"/>
        <v>570923.90139265533</v>
      </c>
      <c r="O571" s="501"/>
    </row>
    <row r="572" spans="1:15">
      <c r="A572" s="486">
        <f t="shared" si="18"/>
        <v>2055</v>
      </c>
      <c r="B572" s="486">
        <f t="shared" si="19"/>
        <v>3</v>
      </c>
      <c r="C572" s="482">
        <v>97542.539440664463</v>
      </c>
      <c r="D572" s="482"/>
      <c r="E572" s="482">
        <f t="shared" si="22"/>
        <v>576251.53630002739</v>
      </c>
      <c r="F572" s="482">
        <f t="shared" si="20"/>
        <v>0</v>
      </c>
      <c r="G572" s="482">
        <v>0</v>
      </c>
      <c r="H572" s="482"/>
      <c r="I572" s="482"/>
      <c r="J572" s="482"/>
      <c r="K572" s="482"/>
      <c r="L572" s="482"/>
      <c r="M572" s="482"/>
      <c r="N572" s="482">
        <f t="shared" si="17"/>
        <v>673794.07574069186</v>
      </c>
      <c r="O572" s="501"/>
    </row>
    <row r="573" spans="1:15">
      <c r="A573" s="486">
        <f t="shared" si="18"/>
        <v>2055</v>
      </c>
      <c r="B573" s="486">
        <f t="shared" si="19"/>
        <v>4</v>
      </c>
      <c r="C573" s="482">
        <v>102414.53046002488</v>
      </c>
      <c r="D573" s="482"/>
      <c r="E573" s="482">
        <f t="shared" si="22"/>
        <v>630249.43832512945</v>
      </c>
      <c r="F573" s="482">
        <f t="shared" si="20"/>
        <v>0</v>
      </c>
      <c r="G573" s="482">
        <v>0</v>
      </c>
      <c r="H573" s="482"/>
      <c r="I573" s="482"/>
      <c r="J573" s="482"/>
      <c r="K573" s="482"/>
      <c r="L573" s="482"/>
      <c r="M573" s="482"/>
      <c r="N573" s="482">
        <f t="shared" si="17"/>
        <v>732663.96878515428</v>
      </c>
      <c r="O573" s="501"/>
    </row>
    <row r="574" spans="1:15">
      <c r="A574" s="486">
        <f t="shared" si="18"/>
        <v>2055</v>
      </c>
      <c r="B574" s="486">
        <f t="shared" si="19"/>
        <v>5</v>
      </c>
      <c r="C574" s="482">
        <v>115905.57603712306</v>
      </c>
      <c r="D574" s="482"/>
      <c r="E574" s="482">
        <f t="shared" si="22"/>
        <v>638787.24665233842</v>
      </c>
      <c r="F574" s="482">
        <f t="shared" si="20"/>
        <v>0</v>
      </c>
      <c r="G574" s="482">
        <v>0</v>
      </c>
      <c r="H574" s="482"/>
      <c r="I574" s="482"/>
      <c r="J574" s="482"/>
      <c r="K574" s="482"/>
      <c r="L574" s="482"/>
      <c r="M574" s="482"/>
      <c r="N574" s="482">
        <f t="shared" si="17"/>
        <v>754692.82268946152</v>
      </c>
      <c r="O574" s="501"/>
    </row>
    <row r="575" spans="1:15">
      <c r="A575" s="486">
        <f t="shared" si="18"/>
        <v>2055</v>
      </c>
      <c r="B575" s="486">
        <f t="shared" si="19"/>
        <v>6</v>
      </c>
      <c r="C575" s="482">
        <v>126141.30943399893</v>
      </c>
      <c r="D575" s="482"/>
      <c r="E575" s="482">
        <f t="shared" si="22"/>
        <v>659723.78712036018</v>
      </c>
      <c r="F575" s="482">
        <f t="shared" si="20"/>
        <v>0</v>
      </c>
      <c r="G575" s="482">
        <v>0</v>
      </c>
      <c r="H575" s="482"/>
      <c r="I575" s="482"/>
      <c r="J575" s="482"/>
      <c r="K575" s="482"/>
      <c r="L575" s="482"/>
      <c r="M575" s="482"/>
      <c r="N575" s="482">
        <f t="shared" si="17"/>
        <v>785865.09655435907</v>
      </c>
      <c r="O575" s="501"/>
    </row>
    <row r="576" spans="1:15">
      <c r="A576" s="486">
        <f t="shared" si="18"/>
        <v>2055</v>
      </c>
      <c r="B576" s="486">
        <f t="shared" si="19"/>
        <v>7</v>
      </c>
      <c r="C576" s="482">
        <v>137940.20921310785</v>
      </c>
      <c r="D576" s="482"/>
      <c r="E576" s="482">
        <f t="shared" si="22"/>
        <v>620758.10260767327</v>
      </c>
      <c r="F576" s="482">
        <f t="shared" si="20"/>
        <v>0</v>
      </c>
      <c r="G576" s="482">
        <v>0</v>
      </c>
      <c r="H576" s="482"/>
      <c r="I576" s="482"/>
      <c r="J576" s="482"/>
      <c r="K576" s="482"/>
      <c r="L576" s="482"/>
      <c r="M576" s="482"/>
      <c r="N576" s="482">
        <f t="shared" si="17"/>
        <v>758698.31182078109</v>
      </c>
      <c r="O576" s="501"/>
    </row>
    <row r="577" spans="1:15">
      <c r="A577" s="486">
        <f t="shared" si="18"/>
        <v>2055</v>
      </c>
      <c r="B577" s="486">
        <f t="shared" si="19"/>
        <v>8</v>
      </c>
      <c r="C577" s="482">
        <v>136760.94074165949</v>
      </c>
      <c r="D577" s="482"/>
      <c r="E577" s="482">
        <f t="shared" si="22"/>
        <v>665894.33077303274</v>
      </c>
      <c r="F577" s="482">
        <f t="shared" si="20"/>
        <v>0</v>
      </c>
      <c r="G577" s="482">
        <v>0</v>
      </c>
      <c r="H577" s="482"/>
      <c r="I577" s="482"/>
      <c r="J577" s="482"/>
      <c r="K577" s="482"/>
      <c r="L577" s="482"/>
      <c r="M577" s="482"/>
      <c r="N577" s="482">
        <f t="shared" si="17"/>
        <v>802655.27151469223</v>
      </c>
      <c r="O577" s="501"/>
    </row>
    <row r="578" spans="1:15">
      <c r="A578" s="486">
        <f t="shared" si="18"/>
        <v>2055</v>
      </c>
      <c r="B578" s="486">
        <f t="shared" si="19"/>
        <v>9</v>
      </c>
      <c r="C578" s="482">
        <v>116358.39261476829</v>
      </c>
      <c r="D578" s="482"/>
      <c r="E578" s="482">
        <f t="shared" si="22"/>
        <v>657300.28281947481</v>
      </c>
      <c r="F578" s="482">
        <f t="shared" si="20"/>
        <v>0</v>
      </c>
      <c r="G578" s="482">
        <v>0</v>
      </c>
      <c r="H578" s="482"/>
      <c r="I578" s="482"/>
      <c r="J578" s="482"/>
      <c r="K578" s="482"/>
      <c r="L578" s="482"/>
      <c r="M578" s="482"/>
      <c r="N578" s="482">
        <f t="shared" si="17"/>
        <v>773658.67543424317</v>
      </c>
      <c r="O578" s="501"/>
    </row>
    <row r="579" spans="1:15">
      <c r="A579" s="486">
        <f t="shared" si="18"/>
        <v>2055</v>
      </c>
      <c r="B579" s="486">
        <f t="shared" si="19"/>
        <v>10</v>
      </c>
      <c r="C579" s="482">
        <v>107586.68470624837</v>
      </c>
      <c r="D579" s="482"/>
      <c r="E579" s="482">
        <f t="shared" si="22"/>
        <v>601024.96509709442</v>
      </c>
      <c r="F579" s="482">
        <f t="shared" si="20"/>
        <v>0</v>
      </c>
      <c r="G579" s="482">
        <v>0</v>
      </c>
      <c r="H579" s="482"/>
      <c r="I579" s="482"/>
      <c r="J579" s="482"/>
      <c r="K579" s="482"/>
      <c r="L579" s="482"/>
      <c r="M579" s="482"/>
      <c r="N579" s="482">
        <f t="shared" si="17"/>
        <v>708611.64980334276</v>
      </c>
      <c r="O579" s="501"/>
    </row>
    <row r="580" spans="1:15">
      <c r="A580" s="486">
        <f t="shared" si="18"/>
        <v>2055</v>
      </c>
      <c r="B580" s="486">
        <f t="shared" si="19"/>
        <v>11</v>
      </c>
      <c r="C580" s="482">
        <v>88540.565629266173</v>
      </c>
      <c r="D580" s="482"/>
      <c r="E580" s="482">
        <f t="shared" si="22"/>
        <v>547104.71533428773</v>
      </c>
      <c r="F580" s="482">
        <f t="shared" si="20"/>
        <v>0</v>
      </c>
      <c r="G580" s="482">
        <v>0</v>
      </c>
      <c r="H580" s="482"/>
      <c r="I580" s="482"/>
      <c r="J580" s="482"/>
      <c r="K580" s="482"/>
      <c r="L580" s="482"/>
      <c r="M580" s="482"/>
      <c r="N580" s="482">
        <f t="shared" si="17"/>
        <v>635645.28096355393</v>
      </c>
      <c r="O580" s="501"/>
    </row>
    <row r="581" spans="1:15">
      <c r="A581" s="486">
        <f t="shared" si="18"/>
        <v>2055</v>
      </c>
      <c r="B581" s="486">
        <f t="shared" si="19"/>
        <v>12</v>
      </c>
      <c r="C581" s="482">
        <v>91358.824700877842</v>
      </c>
      <c r="D581" s="482"/>
      <c r="E581" s="482">
        <f t="shared" si="22"/>
        <v>512454.00755625748</v>
      </c>
      <c r="F581" s="482">
        <f t="shared" si="20"/>
        <v>0</v>
      </c>
      <c r="G581" s="482">
        <v>0</v>
      </c>
      <c r="H581" s="482"/>
      <c r="I581" s="482"/>
      <c r="J581" s="482"/>
      <c r="K581" s="482"/>
      <c r="L581" s="482"/>
      <c r="M581" s="482"/>
      <c r="N581" s="482">
        <f t="shared" si="17"/>
        <v>603812.83225713531</v>
      </c>
      <c r="O581" s="501"/>
    </row>
    <row r="582" spans="1:15">
      <c r="A582" s="486">
        <f t="shared" si="18"/>
        <v>2056</v>
      </c>
      <c r="B582" s="486">
        <f t="shared" si="19"/>
        <v>1</v>
      </c>
      <c r="C582" s="482">
        <v>91636.769791203333</v>
      </c>
      <c r="D582" s="482"/>
      <c r="E582" s="482">
        <f t="shared" si="22"/>
        <v>507525.96530881478</v>
      </c>
      <c r="F582" s="482">
        <f t="shared" si="20"/>
        <v>0</v>
      </c>
      <c r="G582" s="482">
        <v>0</v>
      </c>
      <c r="H582" s="482"/>
      <c r="I582" s="482"/>
      <c r="J582" s="482"/>
      <c r="K582" s="482"/>
      <c r="L582" s="482"/>
      <c r="M582" s="482"/>
      <c r="N582" s="482">
        <f t="shared" si="17"/>
        <v>599162.73510001809</v>
      </c>
      <c r="O582" s="501"/>
    </row>
    <row r="583" spans="1:15">
      <c r="A583" s="486">
        <f t="shared" si="18"/>
        <v>2056</v>
      </c>
      <c r="B583" s="486">
        <f t="shared" si="19"/>
        <v>2</v>
      </c>
      <c r="C583" s="482">
        <v>86407.816578926824</v>
      </c>
      <c r="D583" s="482"/>
      <c r="E583" s="482">
        <f t="shared" si="22"/>
        <v>492849.00301201089</v>
      </c>
      <c r="F583" s="482">
        <f t="shared" si="20"/>
        <v>0</v>
      </c>
      <c r="G583" s="482">
        <v>0</v>
      </c>
      <c r="H583" s="482"/>
      <c r="I583" s="482"/>
      <c r="J583" s="482"/>
      <c r="K583" s="482"/>
      <c r="L583" s="482"/>
      <c r="M583" s="482"/>
      <c r="N583" s="482">
        <f t="shared" ref="N583:N646" si="23">SUM(C583:M583)</f>
        <v>579256.8195909377</v>
      </c>
      <c r="O583" s="501"/>
    </row>
    <row r="584" spans="1:15">
      <c r="A584" s="486">
        <f t="shared" si="18"/>
        <v>2056</v>
      </c>
      <c r="B584" s="486">
        <f t="shared" si="19"/>
        <v>3</v>
      </c>
      <c r="C584" s="482">
        <v>98741.772504433917</v>
      </c>
      <c r="D584" s="482"/>
      <c r="E584" s="482">
        <f t="shared" si="22"/>
        <v>584895.30934985075</v>
      </c>
      <c r="F584" s="482">
        <f t="shared" si="20"/>
        <v>0</v>
      </c>
      <c r="G584" s="482">
        <v>0</v>
      </c>
      <c r="H584" s="482"/>
      <c r="I584" s="482"/>
      <c r="J584" s="482"/>
      <c r="K584" s="482"/>
      <c r="L584" s="482"/>
      <c r="M584" s="482"/>
      <c r="N584" s="482">
        <f t="shared" si="23"/>
        <v>683637.08185428462</v>
      </c>
      <c r="O584" s="501"/>
    </row>
    <row r="585" spans="1:15">
      <c r="A585" s="486">
        <f t="shared" si="18"/>
        <v>2056</v>
      </c>
      <c r="B585" s="486">
        <f t="shared" si="19"/>
        <v>4</v>
      </c>
      <c r="C585" s="482">
        <v>103673.66203320678</v>
      </c>
      <c r="D585" s="482"/>
      <c r="E585" s="482">
        <f t="shared" si="22"/>
        <v>639703.17990582809</v>
      </c>
      <c r="F585" s="482">
        <f t="shared" si="20"/>
        <v>0</v>
      </c>
      <c r="G585" s="482">
        <v>0</v>
      </c>
      <c r="H585" s="482"/>
      <c r="I585" s="482"/>
      <c r="J585" s="482"/>
      <c r="K585" s="482"/>
      <c r="L585" s="482"/>
      <c r="M585" s="482"/>
      <c r="N585" s="482">
        <f t="shared" si="23"/>
        <v>743376.84193903487</v>
      </c>
      <c r="O585" s="501"/>
    </row>
    <row r="586" spans="1:15">
      <c r="A586" s="486">
        <f t="shared" si="18"/>
        <v>2056</v>
      </c>
      <c r="B586" s="486">
        <f t="shared" si="19"/>
        <v>5</v>
      </c>
      <c r="C586" s="482">
        <v>117330.57276015302</v>
      </c>
      <c r="D586" s="482"/>
      <c r="E586" s="482">
        <f t="shared" si="22"/>
        <v>648369.05535802408</v>
      </c>
      <c r="F586" s="482">
        <f t="shared" si="20"/>
        <v>0</v>
      </c>
      <c r="G586" s="482">
        <v>0</v>
      </c>
      <c r="H586" s="482"/>
      <c r="I586" s="482"/>
      <c r="J586" s="482"/>
      <c r="K586" s="482"/>
      <c r="L586" s="482"/>
      <c r="M586" s="482"/>
      <c r="N586" s="482">
        <f t="shared" si="23"/>
        <v>765699.62811817706</v>
      </c>
      <c r="O586" s="501"/>
    </row>
    <row r="587" spans="1:15">
      <c r="A587" s="486">
        <f t="shared" si="18"/>
        <v>2056</v>
      </c>
      <c r="B587" s="486">
        <f t="shared" si="19"/>
        <v>6</v>
      </c>
      <c r="C587" s="482">
        <v>127692.14899433711</v>
      </c>
      <c r="D587" s="482"/>
      <c r="E587" s="482">
        <f t="shared" si="22"/>
        <v>669619.64393325953</v>
      </c>
      <c r="F587" s="482">
        <f t="shared" si="20"/>
        <v>0</v>
      </c>
      <c r="G587" s="482">
        <v>0</v>
      </c>
      <c r="H587" s="482"/>
      <c r="I587" s="482"/>
      <c r="J587" s="482"/>
      <c r="K587" s="482"/>
      <c r="L587" s="482"/>
      <c r="M587" s="482"/>
      <c r="N587" s="482">
        <f t="shared" si="23"/>
        <v>797311.7929275966</v>
      </c>
      <c r="O587" s="501"/>
    </row>
    <row r="588" spans="1:15">
      <c r="A588" s="486">
        <f t="shared" si="18"/>
        <v>2056</v>
      </c>
      <c r="B588" s="486">
        <f t="shared" si="19"/>
        <v>7</v>
      </c>
      <c r="C588" s="482">
        <v>139636.1099007485</v>
      </c>
      <c r="D588" s="482"/>
      <c r="E588" s="482">
        <f t="shared" si="22"/>
        <v>630069.47415252239</v>
      </c>
      <c r="F588" s="482">
        <f t="shared" si="20"/>
        <v>0</v>
      </c>
      <c r="G588" s="482">
        <v>0</v>
      </c>
      <c r="H588" s="482"/>
      <c r="I588" s="482"/>
      <c r="J588" s="482"/>
      <c r="K588" s="482"/>
      <c r="L588" s="482"/>
      <c r="M588" s="482"/>
      <c r="N588" s="482">
        <f t="shared" si="23"/>
        <v>769705.58405327087</v>
      </c>
      <c r="O588" s="501"/>
    </row>
    <row r="589" spans="1:15">
      <c r="A589" s="486">
        <f t="shared" si="18"/>
        <v>2056</v>
      </c>
      <c r="B589" s="486">
        <f t="shared" si="19"/>
        <v>8</v>
      </c>
      <c r="C589" s="482">
        <v>138442.34295765765</v>
      </c>
      <c r="D589" s="482"/>
      <c r="E589" s="482">
        <f t="shared" si="22"/>
        <v>675882.74574077921</v>
      </c>
      <c r="F589" s="482">
        <f t="shared" si="20"/>
        <v>0</v>
      </c>
      <c r="G589" s="482">
        <v>0</v>
      </c>
      <c r="H589" s="482"/>
      <c r="I589" s="482"/>
      <c r="J589" s="482"/>
      <c r="K589" s="482"/>
      <c r="L589" s="482"/>
      <c r="M589" s="482"/>
      <c r="N589" s="482">
        <f t="shared" si="23"/>
        <v>814325.08869843686</v>
      </c>
      <c r="O589" s="501"/>
    </row>
    <row r="590" spans="1:15">
      <c r="A590" s="486">
        <f t="shared" si="18"/>
        <v>2056</v>
      </c>
      <c r="B590" s="486">
        <f t="shared" si="19"/>
        <v>9</v>
      </c>
      <c r="C590" s="482">
        <v>117788.95647409442</v>
      </c>
      <c r="D590" s="482"/>
      <c r="E590" s="482">
        <f t="shared" si="22"/>
        <v>667159.7870678386</v>
      </c>
      <c r="F590" s="482">
        <f t="shared" si="20"/>
        <v>0</v>
      </c>
      <c r="G590" s="482">
        <v>0</v>
      </c>
      <c r="H590" s="482"/>
      <c r="I590" s="482"/>
      <c r="J590" s="482"/>
      <c r="K590" s="482"/>
      <c r="L590" s="482"/>
      <c r="M590" s="482"/>
      <c r="N590" s="482">
        <f t="shared" si="23"/>
        <v>784948.74354193301</v>
      </c>
      <c r="O590" s="501"/>
    </row>
    <row r="591" spans="1:15">
      <c r="A591" s="486">
        <f t="shared" si="18"/>
        <v>2056</v>
      </c>
      <c r="B591" s="486">
        <f t="shared" si="19"/>
        <v>10</v>
      </c>
      <c r="C591" s="482">
        <v>108909.40513428854</v>
      </c>
      <c r="D591" s="482"/>
      <c r="E591" s="482">
        <f t="shared" si="22"/>
        <v>610040.33957910258</v>
      </c>
      <c r="F591" s="482">
        <f t="shared" si="20"/>
        <v>0</v>
      </c>
      <c r="G591" s="482">
        <v>0</v>
      </c>
      <c r="H591" s="482"/>
      <c r="I591" s="482"/>
      <c r="J591" s="482"/>
      <c r="K591" s="482"/>
      <c r="L591" s="482"/>
      <c r="M591" s="482"/>
      <c r="N591" s="482">
        <f t="shared" si="23"/>
        <v>718949.74471339118</v>
      </c>
      <c r="O591" s="501"/>
    </row>
    <row r="592" spans="1:15">
      <c r="A592" s="486">
        <f t="shared" si="18"/>
        <v>2056</v>
      </c>
      <c r="B592" s="486">
        <f t="shared" si="19"/>
        <v>11</v>
      </c>
      <c r="C592" s="482">
        <v>89629.124266311526</v>
      </c>
      <c r="D592" s="482"/>
      <c r="E592" s="482">
        <f t="shared" si="22"/>
        <v>555311.28606935579</v>
      </c>
      <c r="F592" s="482">
        <f t="shared" si="20"/>
        <v>0</v>
      </c>
      <c r="G592" s="482">
        <v>0</v>
      </c>
      <c r="H592" s="482"/>
      <c r="I592" s="482"/>
      <c r="J592" s="482"/>
      <c r="K592" s="482"/>
      <c r="L592" s="482"/>
      <c r="M592" s="482"/>
      <c r="N592" s="482">
        <f t="shared" si="23"/>
        <v>644940.41033566731</v>
      </c>
      <c r="O592" s="501"/>
    </row>
    <row r="593" spans="1:15">
      <c r="A593" s="486">
        <f t="shared" si="18"/>
        <v>2056</v>
      </c>
      <c r="B593" s="486">
        <f t="shared" si="19"/>
        <v>12</v>
      </c>
      <c r="C593" s="482">
        <v>92482.032317540928</v>
      </c>
      <c r="D593" s="482"/>
      <c r="E593" s="482">
        <f t="shared" si="22"/>
        <v>520140.81767433498</v>
      </c>
      <c r="F593" s="482">
        <f t="shared" si="20"/>
        <v>0</v>
      </c>
      <c r="G593" s="482">
        <v>0</v>
      </c>
      <c r="H593" s="482"/>
      <c r="I593" s="482"/>
      <c r="J593" s="482"/>
      <c r="K593" s="482"/>
      <c r="L593" s="482"/>
      <c r="M593" s="482"/>
      <c r="N593" s="482">
        <f t="shared" si="23"/>
        <v>612622.84999187593</v>
      </c>
      <c r="O593" s="501"/>
    </row>
    <row r="594" spans="1:15">
      <c r="A594" s="486">
        <f t="shared" si="18"/>
        <v>2057</v>
      </c>
      <c r="B594" s="486">
        <f t="shared" si="19"/>
        <v>1</v>
      </c>
      <c r="C594" s="482">
        <v>92763.394593272329</v>
      </c>
      <c r="D594" s="482"/>
      <c r="E594" s="482">
        <f t="shared" si="22"/>
        <v>515138.85479313508</v>
      </c>
      <c r="F594" s="482">
        <f t="shared" si="20"/>
        <v>0</v>
      </c>
      <c r="G594" s="482">
        <v>0</v>
      </c>
      <c r="H594" s="482"/>
      <c r="I594" s="482"/>
      <c r="J594" s="482"/>
      <c r="K594" s="482"/>
      <c r="L594" s="482"/>
      <c r="M594" s="482"/>
      <c r="N594" s="482">
        <f t="shared" si="23"/>
        <v>607902.24938640743</v>
      </c>
      <c r="O594" s="501"/>
    </row>
    <row r="595" spans="1:15">
      <c r="A595" s="486">
        <f t="shared" ref="A595:A658" si="24">+A583+1</f>
        <v>2057</v>
      </c>
      <c r="B595" s="486">
        <f t="shared" ref="B595:B658" si="25">+B583</f>
        <v>2</v>
      </c>
      <c r="C595" s="482">
        <v>87470.15421339676</v>
      </c>
      <c r="D595" s="482"/>
      <c r="E595" s="482">
        <f t="shared" si="22"/>
        <v>500241.73806174356</v>
      </c>
      <c r="F595" s="482">
        <f t="shared" ref="F595:F658" si="26">+F583</f>
        <v>0</v>
      </c>
      <c r="G595" s="482">
        <v>0</v>
      </c>
      <c r="H595" s="482"/>
      <c r="I595" s="482"/>
      <c r="J595" s="482"/>
      <c r="K595" s="482"/>
      <c r="L595" s="482"/>
      <c r="M595" s="482"/>
      <c r="N595" s="482">
        <f t="shared" si="23"/>
        <v>587711.89227514027</v>
      </c>
      <c r="O595" s="501"/>
    </row>
    <row r="596" spans="1:15">
      <c r="A596" s="486">
        <f t="shared" si="24"/>
        <v>2057</v>
      </c>
      <c r="B596" s="486">
        <f t="shared" si="25"/>
        <v>3</v>
      </c>
      <c r="C596" s="482">
        <v>99955.74949377148</v>
      </c>
      <c r="D596" s="482"/>
      <c r="E596" s="482">
        <f t="shared" si="22"/>
        <v>593668.73899550131</v>
      </c>
      <c r="F596" s="482">
        <f t="shared" si="26"/>
        <v>0</v>
      </c>
      <c r="G596" s="482">
        <v>0</v>
      </c>
      <c r="H596" s="482"/>
      <c r="I596" s="482"/>
      <c r="J596" s="482"/>
      <c r="K596" s="482"/>
      <c r="L596" s="482"/>
      <c r="M596" s="482"/>
      <c r="N596" s="482">
        <f t="shared" si="23"/>
        <v>693624.48848927277</v>
      </c>
      <c r="O596" s="501"/>
    </row>
    <row r="597" spans="1:15">
      <c r="A597" s="486">
        <f t="shared" si="24"/>
        <v>2057</v>
      </c>
      <c r="B597" s="486">
        <f t="shared" si="25"/>
        <v>4</v>
      </c>
      <c r="C597" s="482">
        <v>104948.27395191645</v>
      </c>
      <c r="D597" s="482"/>
      <c r="E597" s="482">
        <f t="shared" si="22"/>
        <v>649298.72761032451</v>
      </c>
      <c r="F597" s="482">
        <f t="shared" si="26"/>
        <v>0</v>
      </c>
      <c r="G597" s="482">
        <v>0</v>
      </c>
      <c r="H597" s="482"/>
      <c r="I597" s="482"/>
      <c r="J597" s="482"/>
      <c r="K597" s="482"/>
      <c r="L597" s="482"/>
      <c r="M597" s="482"/>
      <c r="N597" s="482">
        <f t="shared" si="23"/>
        <v>754247.001562241</v>
      </c>
      <c r="O597" s="501"/>
    </row>
    <row r="598" spans="1:15">
      <c r="A598" s="486">
        <f t="shared" si="24"/>
        <v>2057</v>
      </c>
      <c r="B598" s="486">
        <f t="shared" si="25"/>
        <v>5</v>
      </c>
      <c r="C598" s="482">
        <v>118773.08905152539</v>
      </c>
      <c r="D598" s="482"/>
      <c r="E598" s="482">
        <f t="shared" si="22"/>
        <v>658094.59119438357</v>
      </c>
      <c r="F598" s="482">
        <f t="shared" si="26"/>
        <v>0</v>
      </c>
      <c r="G598" s="482">
        <v>0</v>
      </c>
      <c r="H598" s="482"/>
      <c r="I598" s="482"/>
      <c r="J598" s="482"/>
      <c r="K598" s="482"/>
      <c r="L598" s="482"/>
      <c r="M598" s="482"/>
      <c r="N598" s="482">
        <f t="shared" si="23"/>
        <v>776867.68024590891</v>
      </c>
      <c r="O598" s="501"/>
    </row>
    <row r="599" spans="1:15">
      <c r="A599" s="486">
        <f t="shared" si="24"/>
        <v>2057</v>
      </c>
      <c r="B599" s="486">
        <f t="shared" si="25"/>
        <v>6</v>
      </c>
      <c r="C599" s="482">
        <v>129262.05529302375</v>
      </c>
      <c r="D599" s="482"/>
      <c r="E599" s="482">
        <f t="shared" si="22"/>
        <v>679663.93859844387</v>
      </c>
      <c r="F599" s="482">
        <f t="shared" si="26"/>
        <v>0</v>
      </c>
      <c r="G599" s="482">
        <v>0</v>
      </c>
      <c r="H599" s="482"/>
      <c r="I599" s="482"/>
      <c r="J599" s="482"/>
      <c r="K599" s="482"/>
      <c r="L599" s="482"/>
      <c r="M599" s="482"/>
      <c r="N599" s="482">
        <f t="shared" si="23"/>
        <v>808925.99389146757</v>
      </c>
      <c r="O599" s="501"/>
    </row>
    <row r="600" spans="1:15">
      <c r="A600" s="486">
        <f t="shared" si="24"/>
        <v>2057</v>
      </c>
      <c r="B600" s="486">
        <f t="shared" si="25"/>
        <v>7</v>
      </c>
      <c r="C600" s="482">
        <v>141352.86077528351</v>
      </c>
      <c r="D600" s="482"/>
      <c r="E600" s="482">
        <f t="shared" si="22"/>
        <v>639520.51627063029</v>
      </c>
      <c r="F600" s="482">
        <f t="shared" si="26"/>
        <v>0</v>
      </c>
      <c r="G600" s="482">
        <v>0</v>
      </c>
      <c r="H600" s="482"/>
      <c r="I600" s="482"/>
      <c r="J600" s="482"/>
      <c r="K600" s="482"/>
      <c r="L600" s="482"/>
      <c r="M600" s="482"/>
      <c r="N600" s="482">
        <f t="shared" si="23"/>
        <v>780873.37704591383</v>
      </c>
      <c r="O600" s="501"/>
    </row>
    <row r="601" spans="1:15">
      <c r="A601" s="486">
        <f t="shared" si="24"/>
        <v>2057</v>
      </c>
      <c r="B601" s="486">
        <f t="shared" si="25"/>
        <v>8</v>
      </c>
      <c r="C601" s="482">
        <v>140144.41710963863</v>
      </c>
      <c r="D601" s="482"/>
      <c r="E601" s="482">
        <f t="shared" si="22"/>
        <v>686020.98693313415</v>
      </c>
      <c r="F601" s="482">
        <f t="shared" si="26"/>
        <v>0</v>
      </c>
      <c r="G601" s="482">
        <v>0</v>
      </c>
      <c r="H601" s="482"/>
      <c r="I601" s="482"/>
      <c r="J601" s="482"/>
      <c r="K601" s="482"/>
      <c r="L601" s="482"/>
      <c r="M601" s="482"/>
      <c r="N601" s="482">
        <f t="shared" si="23"/>
        <v>826165.40404277272</v>
      </c>
      <c r="O601" s="501"/>
    </row>
    <row r="602" spans="1:15">
      <c r="A602" s="486">
        <f t="shared" si="24"/>
        <v>2057</v>
      </c>
      <c r="B602" s="486">
        <f t="shared" si="25"/>
        <v>9</v>
      </c>
      <c r="C602" s="482">
        <v>119237.10834670966</v>
      </c>
      <c r="D602" s="482"/>
      <c r="E602" s="482">
        <f t="shared" si="22"/>
        <v>677167.18388001889</v>
      </c>
      <c r="F602" s="482">
        <f t="shared" si="26"/>
        <v>0</v>
      </c>
      <c r="G602" s="482">
        <v>0</v>
      </c>
      <c r="H602" s="482"/>
      <c r="I602" s="482"/>
      <c r="J602" s="482"/>
      <c r="K602" s="482"/>
      <c r="L602" s="482"/>
      <c r="M602" s="482"/>
      <c r="N602" s="482">
        <f t="shared" si="23"/>
        <v>796404.29222672852</v>
      </c>
      <c r="O602" s="501"/>
    </row>
    <row r="603" spans="1:15">
      <c r="A603" s="486">
        <f t="shared" si="24"/>
        <v>2057</v>
      </c>
      <c r="B603" s="486">
        <f t="shared" si="25"/>
        <v>10</v>
      </c>
      <c r="C603" s="482">
        <v>110248.38769862866</v>
      </c>
      <c r="D603" s="482"/>
      <c r="E603" s="482">
        <f t="shared" si="22"/>
        <v>619190.94467842416</v>
      </c>
      <c r="F603" s="482">
        <f t="shared" si="26"/>
        <v>0</v>
      </c>
      <c r="G603" s="482">
        <v>0</v>
      </c>
      <c r="H603" s="482"/>
      <c r="I603" s="482"/>
      <c r="J603" s="482"/>
      <c r="K603" s="482"/>
      <c r="L603" s="482"/>
      <c r="M603" s="482"/>
      <c r="N603" s="482">
        <f t="shared" si="23"/>
        <v>729439.33237705287</v>
      </c>
      <c r="O603" s="501"/>
    </row>
    <row r="604" spans="1:15">
      <c r="A604" s="486">
        <f t="shared" si="24"/>
        <v>2057</v>
      </c>
      <c r="B604" s="486">
        <f t="shared" si="25"/>
        <v>11</v>
      </c>
      <c r="C604" s="482">
        <v>90731.066146369441</v>
      </c>
      <c r="D604" s="482"/>
      <c r="E604" s="482">
        <f t="shared" si="22"/>
        <v>563640.95536552568</v>
      </c>
      <c r="F604" s="482">
        <f t="shared" si="26"/>
        <v>0</v>
      </c>
      <c r="G604" s="482">
        <v>0</v>
      </c>
      <c r="H604" s="482"/>
      <c r="I604" s="482"/>
      <c r="J604" s="482"/>
      <c r="K604" s="482"/>
      <c r="L604" s="482"/>
      <c r="M604" s="482"/>
      <c r="N604" s="482">
        <f t="shared" si="23"/>
        <v>654372.02151189512</v>
      </c>
      <c r="O604" s="501"/>
    </row>
    <row r="605" spans="1:15">
      <c r="A605" s="486">
        <f t="shared" si="24"/>
        <v>2057</v>
      </c>
      <c r="B605" s="486">
        <f t="shared" si="25"/>
        <v>12</v>
      </c>
      <c r="C605" s="482">
        <v>93619.049167786652</v>
      </c>
      <c r="D605" s="482"/>
      <c r="E605" s="482">
        <f t="shared" si="22"/>
        <v>527942.92994425469</v>
      </c>
      <c r="F605" s="482">
        <f t="shared" si="26"/>
        <v>0</v>
      </c>
      <c r="G605" s="482">
        <v>0</v>
      </c>
      <c r="H605" s="482"/>
      <c r="I605" s="482"/>
      <c r="J605" s="482"/>
      <c r="K605" s="482"/>
      <c r="L605" s="482"/>
      <c r="M605" s="482"/>
      <c r="N605" s="482">
        <f t="shared" si="23"/>
        <v>621561.9791120413</v>
      </c>
      <c r="O605" s="501"/>
    </row>
    <row r="606" spans="1:15">
      <c r="A606" s="486">
        <f t="shared" si="24"/>
        <v>2058</v>
      </c>
      <c r="B606" s="486">
        <f t="shared" si="25"/>
        <v>1</v>
      </c>
      <c r="C606" s="482">
        <v>93903.870641380767</v>
      </c>
      <c r="D606" s="482"/>
      <c r="E606" s="482">
        <f t="shared" si="22"/>
        <v>522865.93761979055</v>
      </c>
      <c r="F606" s="482">
        <f t="shared" si="26"/>
        <v>0</v>
      </c>
      <c r="G606" s="482">
        <v>0</v>
      </c>
      <c r="H606" s="482"/>
      <c r="I606" s="482"/>
      <c r="J606" s="482"/>
      <c r="K606" s="482"/>
      <c r="L606" s="482"/>
      <c r="M606" s="482"/>
      <c r="N606" s="482">
        <f t="shared" si="23"/>
        <v>616769.80826117133</v>
      </c>
      <c r="O606" s="501"/>
    </row>
    <row r="607" spans="1:15">
      <c r="A607" s="486">
        <f t="shared" si="24"/>
        <v>2058</v>
      </c>
      <c r="B607" s="486">
        <f t="shared" si="25"/>
        <v>2</v>
      </c>
      <c r="C607" s="482">
        <v>88545.552717754326</v>
      </c>
      <c r="D607" s="482"/>
      <c r="E607" s="482">
        <f t="shared" si="22"/>
        <v>507745.36413729051</v>
      </c>
      <c r="F607" s="482">
        <f t="shared" si="26"/>
        <v>0</v>
      </c>
      <c r="G607" s="482">
        <v>0</v>
      </c>
      <c r="H607" s="482"/>
      <c r="I607" s="482"/>
      <c r="J607" s="482"/>
      <c r="K607" s="482"/>
      <c r="L607" s="482"/>
      <c r="M607" s="482"/>
      <c r="N607" s="482">
        <f t="shared" si="23"/>
        <v>596290.9168550449</v>
      </c>
      <c r="O607" s="501"/>
    </row>
    <row r="608" spans="1:15">
      <c r="A608" s="486">
        <f t="shared" si="24"/>
        <v>2058</v>
      </c>
      <c r="B608" s="486">
        <f t="shared" si="25"/>
        <v>3</v>
      </c>
      <c r="C608" s="482">
        <v>101184.65167731269</v>
      </c>
      <c r="D608" s="482"/>
      <c r="E608" s="482">
        <f t="shared" si="22"/>
        <v>602573.77008591767</v>
      </c>
      <c r="F608" s="482">
        <f t="shared" si="26"/>
        <v>0</v>
      </c>
      <c r="G608" s="482">
        <v>0</v>
      </c>
      <c r="H608" s="482"/>
      <c r="I608" s="482"/>
      <c r="J608" s="482"/>
      <c r="K608" s="482"/>
      <c r="L608" s="482"/>
      <c r="M608" s="482"/>
      <c r="N608" s="482">
        <f t="shared" si="23"/>
        <v>703758.42176323035</v>
      </c>
      <c r="O608" s="501"/>
    </row>
    <row r="609" spans="1:15">
      <c r="A609" s="486">
        <f t="shared" si="24"/>
        <v>2058</v>
      </c>
      <c r="B609" s="486">
        <f t="shared" si="25"/>
        <v>4</v>
      </c>
      <c r="C609" s="482">
        <v>106238.55653867674</v>
      </c>
      <c r="D609" s="482"/>
      <c r="E609" s="482">
        <f t="shared" si="22"/>
        <v>659038.20853047702</v>
      </c>
      <c r="F609" s="482">
        <f t="shared" si="26"/>
        <v>0</v>
      </c>
      <c r="G609" s="482">
        <v>0</v>
      </c>
      <c r="H609" s="482"/>
      <c r="I609" s="482"/>
      <c r="J609" s="482"/>
      <c r="K609" s="482"/>
      <c r="L609" s="482"/>
      <c r="M609" s="482"/>
      <c r="N609" s="482">
        <f t="shared" si="23"/>
        <v>765276.76506915374</v>
      </c>
      <c r="O609" s="501"/>
    </row>
    <row r="610" spans="1:15">
      <c r="A610" s="486">
        <f t="shared" si="24"/>
        <v>2058</v>
      </c>
      <c r="B610" s="486">
        <f t="shared" si="25"/>
        <v>5</v>
      </c>
      <c r="C610" s="482">
        <v>120233.34030491083</v>
      </c>
      <c r="D610" s="482"/>
      <c r="E610" s="482">
        <f t="shared" si="22"/>
        <v>667966.01006837829</v>
      </c>
      <c r="F610" s="482">
        <f t="shared" si="26"/>
        <v>0</v>
      </c>
      <c r="G610" s="482">
        <v>0</v>
      </c>
      <c r="H610" s="482"/>
      <c r="I610" s="482"/>
      <c r="J610" s="482"/>
      <c r="K610" s="482"/>
      <c r="L610" s="482"/>
      <c r="M610" s="482"/>
      <c r="N610" s="482">
        <f t="shared" si="23"/>
        <v>788199.35037328908</v>
      </c>
      <c r="O610" s="501"/>
    </row>
    <row r="611" spans="1:15">
      <c r="A611" s="486">
        <f t="shared" si="24"/>
        <v>2058</v>
      </c>
      <c r="B611" s="486">
        <f t="shared" si="25"/>
        <v>6</v>
      </c>
      <c r="C611" s="482">
        <v>130851.26274535269</v>
      </c>
      <c r="D611" s="482"/>
      <c r="E611" s="482">
        <f t="shared" si="22"/>
        <v>689858.89768369868</v>
      </c>
      <c r="F611" s="482">
        <f t="shared" si="26"/>
        <v>0</v>
      </c>
      <c r="G611" s="482">
        <v>0</v>
      </c>
      <c r="H611" s="482"/>
      <c r="I611" s="482"/>
      <c r="J611" s="482"/>
      <c r="K611" s="482"/>
      <c r="L611" s="482"/>
      <c r="M611" s="482"/>
      <c r="N611" s="482">
        <f t="shared" si="23"/>
        <v>820710.16042905138</v>
      </c>
      <c r="O611" s="501"/>
    </row>
    <row r="612" spans="1:15">
      <c r="A612" s="486">
        <f t="shared" si="24"/>
        <v>2058</v>
      </c>
      <c r="B612" s="486">
        <f t="shared" si="25"/>
        <v>7</v>
      </c>
      <c r="C612" s="482">
        <v>143090.71817854745</v>
      </c>
      <c r="D612" s="482"/>
      <c r="E612" s="482">
        <f t="shared" si="22"/>
        <v>649113.32402059715</v>
      </c>
      <c r="F612" s="482">
        <f t="shared" si="26"/>
        <v>0</v>
      </c>
      <c r="G612" s="482">
        <v>0</v>
      </c>
      <c r="H612" s="482"/>
      <c r="I612" s="482"/>
      <c r="J612" s="482"/>
      <c r="K612" s="482"/>
      <c r="L612" s="482"/>
      <c r="M612" s="482"/>
      <c r="N612" s="482">
        <f t="shared" si="23"/>
        <v>792204.04219914461</v>
      </c>
      <c r="O612" s="501"/>
    </row>
    <row r="613" spans="1:15">
      <c r="A613" s="486">
        <f t="shared" si="24"/>
        <v>2058</v>
      </c>
      <c r="B613" s="486">
        <f t="shared" si="25"/>
        <v>8</v>
      </c>
      <c r="C613" s="482">
        <v>141867.41734793794</v>
      </c>
      <c r="D613" s="482"/>
      <c r="E613" s="482">
        <f t="shared" si="22"/>
        <v>696311.30174346804</v>
      </c>
      <c r="F613" s="482">
        <f t="shared" si="26"/>
        <v>0</v>
      </c>
      <c r="G613" s="482">
        <v>0</v>
      </c>
      <c r="H613" s="482"/>
      <c r="I613" s="482"/>
      <c r="J613" s="482"/>
      <c r="K613" s="482"/>
      <c r="L613" s="482"/>
      <c r="M613" s="482"/>
      <c r="N613" s="482">
        <f t="shared" si="23"/>
        <v>838178.71909140598</v>
      </c>
      <c r="O613" s="501"/>
    </row>
    <row r="614" spans="1:15">
      <c r="A614" s="486">
        <f t="shared" si="24"/>
        <v>2058</v>
      </c>
      <c r="B614" s="486">
        <f t="shared" si="25"/>
        <v>9</v>
      </c>
      <c r="C614" s="482">
        <v>120703.06446777855</v>
      </c>
      <c r="D614" s="482"/>
      <c r="E614" s="482">
        <f t="shared" si="22"/>
        <v>687324.69164447428</v>
      </c>
      <c r="F614" s="482">
        <f t="shared" si="26"/>
        <v>0</v>
      </c>
      <c r="G614" s="482">
        <v>0</v>
      </c>
      <c r="H614" s="482"/>
      <c r="I614" s="482"/>
      <c r="J614" s="482"/>
      <c r="K614" s="482"/>
      <c r="L614" s="482"/>
      <c r="M614" s="482"/>
      <c r="N614" s="482">
        <f t="shared" si="23"/>
        <v>808027.75611225283</v>
      </c>
      <c r="O614" s="501"/>
    </row>
    <row r="615" spans="1:15">
      <c r="A615" s="486">
        <f t="shared" si="24"/>
        <v>2058</v>
      </c>
      <c r="B615" s="486">
        <f t="shared" si="25"/>
        <v>10</v>
      </c>
      <c r="C615" s="482">
        <v>111603.83233348875</v>
      </c>
      <c r="D615" s="482"/>
      <c r="E615" s="482">
        <f t="shared" ref="E615:E677" si="27">+E603*(E603/E591)</f>
        <v>628478.80885432009</v>
      </c>
      <c r="F615" s="482">
        <f t="shared" si="26"/>
        <v>0</v>
      </c>
      <c r="G615" s="482">
        <v>0</v>
      </c>
      <c r="H615" s="482"/>
      <c r="I615" s="482"/>
      <c r="J615" s="482"/>
      <c r="K615" s="482"/>
      <c r="L615" s="482"/>
      <c r="M615" s="482"/>
      <c r="N615" s="482">
        <f t="shared" si="23"/>
        <v>740082.64118780883</v>
      </c>
      <c r="O615" s="501"/>
    </row>
    <row r="616" spans="1:15">
      <c r="A616" s="486">
        <f t="shared" si="24"/>
        <v>2058</v>
      </c>
      <c r="B616" s="486">
        <f t="shared" si="25"/>
        <v>11</v>
      </c>
      <c r="C616" s="482">
        <v>91846.555809215206</v>
      </c>
      <c r="D616" s="482"/>
      <c r="E616" s="482">
        <f t="shared" si="27"/>
        <v>572095.56970121502</v>
      </c>
      <c r="F616" s="482">
        <f t="shared" si="26"/>
        <v>0</v>
      </c>
      <c r="G616" s="482">
        <v>0</v>
      </c>
      <c r="H616" s="482"/>
      <c r="I616" s="482"/>
      <c r="J616" s="482"/>
      <c r="K616" s="482"/>
      <c r="L616" s="482"/>
      <c r="M616" s="482"/>
      <c r="N616" s="482">
        <f t="shared" si="23"/>
        <v>663942.1255104302</v>
      </c>
      <c r="O616" s="501"/>
    </row>
    <row r="617" spans="1:15">
      <c r="A617" s="486">
        <f t="shared" si="24"/>
        <v>2058</v>
      </c>
      <c r="B617" s="486">
        <f t="shared" si="25"/>
        <v>12</v>
      </c>
      <c r="C617" s="482">
        <v>94770.045028715263</v>
      </c>
      <c r="D617" s="482"/>
      <c r="E617" s="482">
        <f t="shared" si="27"/>
        <v>535862.07389829517</v>
      </c>
      <c r="F617" s="482">
        <f t="shared" si="26"/>
        <v>0</v>
      </c>
      <c r="G617" s="482">
        <v>0</v>
      </c>
      <c r="H617" s="482"/>
      <c r="I617" s="482"/>
      <c r="J617" s="482"/>
      <c r="K617" s="482"/>
      <c r="L617" s="482"/>
      <c r="M617" s="482"/>
      <c r="N617" s="482">
        <f t="shared" si="23"/>
        <v>630632.11892701045</v>
      </c>
      <c r="O617" s="501"/>
    </row>
    <row r="618" spans="1:15">
      <c r="A618" s="486">
        <f t="shared" si="24"/>
        <v>2059</v>
      </c>
      <c r="B618" s="486">
        <f t="shared" si="25"/>
        <v>1</v>
      </c>
      <c r="C618" s="482">
        <v>95058.368229149448</v>
      </c>
      <c r="D618" s="482"/>
      <c r="E618" s="482">
        <f t="shared" si="27"/>
        <v>530708.92668891721</v>
      </c>
      <c r="F618" s="482">
        <f t="shared" si="26"/>
        <v>0</v>
      </c>
      <c r="G618" s="482">
        <v>0</v>
      </c>
      <c r="H618" s="482"/>
      <c r="I618" s="482"/>
      <c r="J618" s="482"/>
      <c r="K618" s="482"/>
      <c r="L618" s="482"/>
      <c r="M618" s="482"/>
      <c r="N618" s="482">
        <f t="shared" si="23"/>
        <v>625767.29491806671</v>
      </c>
      <c r="O618" s="501"/>
    </row>
    <row r="619" spans="1:15">
      <c r="A619" s="486">
        <f t="shared" si="24"/>
        <v>2059</v>
      </c>
      <c r="B619" s="486">
        <f t="shared" si="25"/>
        <v>2</v>
      </c>
      <c r="C619" s="482">
        <v>89634.172668370607</v>
      </c>
      <c r="D619" s="482"/>
      <c r="E619" s="482">
        <f t="shared" si="27"/>
        <v>515361.54460403998</v>
      </c>
      <c r="F619" s="482">
        <f t="shared" si="26"/>
        <v>0</v>
      </c>
      <c r="G619" s="482">
        <v>0</v>
      </c>
      <c r="H619" s="482"/>
      <c r="I619" s="482"/>
      <c r="J619" s="482"/>
      <c r="K619" s="482"/>
      <c r="L619" s="482"/>
      <c r="M619" s="482"/>
      <c r="N619" s="482">
        <f t="shared" si="23"/>
        <v>604995.71727241063</v>
      </c>
      <c r="O619" s="501"/>
    </row>
    <row r="620" spans="1:15">
      <c r="A620" s="486">
        <f t="shared" si="24"/>
        <v>2059</v>
      </c>
      <c r="B620" s="486">
        <f t="shared" si="25"/>
        <v>3</v>
      </c>
      <c r="C620" s="482">
        <v>102428.66255229348</v>
      </c>
      <c r="D620" s="482"/>
      <c r="E620" s="482">
        <f t="shared" si="27"/>
        <v>611612.37664277246</v>
      </c>
      <c r="F620" s="482">
        <f t="shared" si="26"/>
        <v>0</v>
      </c>
      <c r="G620" s="482">
        <v>0</v>
      </c>
      <c r="H620" s="482"/>
      <c r="I620" s="482"/>
      <c r="J620" s="482"/>
      <c r="K620" s="482"/>
      <c r="L620" s="482"/>
      <c r="M620" s="482"/>
      <c r="N620" s="482">
        <f t="shared" si="23"/>
        <v>714041.03919506597</v>
      </c>
      <c r="O620" s="501"/>
    </row>
    <row r="621" spans="1:15">
      <c r="A621" s="486">
        <f t="shared" si="24"/>
        <v>2059</v>
      </c>
      <c r="B621" s="486">
        <f t="shared" si="25"/>
        <v>4</v>
      </c>
      <c r="C621" s="482">
        <v>107544.70245592362</v>
      </c>
      <c r="D621" s="482"/>
      <c r="E621" s="482">
        <f t="shared" si="27"/>
        <v>668923.78166452178</v>
      </c>
      <c r="F621" s="482">
        <f t="shared" si="26"/>
        <v>0</v>
      </c>
      <c r="G621" s="482">
        <v>0</v>
      </c>
      <c r="H621" s="482"/>
      <c r="I621" s="482"/>
      <c r="J621" s="482"/>
      <c r="K621" s="482"/>
      <c r="L621" s="482"/>
      <c r="M621" s="482"/>
      <c r="N621" s="482">
        <f t="shared" si="23"/>
        <v>776468.48412044544</v>
      </c>
      <c r="O621" s="501"/>
    </row>
    <row r="622" spans="1:15">
      <c r="A622" s="486">
        <f t="shared" si="24"/>
        <v>2059</v>
      </c>
      <c r="B622" s="486">
        <f t="shared" si="25"/>
        <v>5</v>
      </c>
      <c r="C622" s="482">
        <v>121711.54456212941</v>
      </c>
      <c r="D622" s="482"/>
      <c r="E622" s="482">
        <f t="shared" si="27"/>
        <v>677985.50022557413</v>
      </c>
      <c r="F622" s="482">
        <f t="shared" si="26"/>
        <v>0</v>
      </c>
      <c r="G622" s="482">
        <v>0</v>
      </c>
      <c r="H622" s="482"/>
      <c r="I622" s="482"/>
      <c r="J622" s="482"/>
      <c r="K622" s="482"/>
      <c r="L622" s="482"/>
      <c r="M622" s="482"/>
      <c r="N622" s="482">
        <f t="shared" si="23"/>
        <v>799697.04478770355</v>
      </c>
      <c r="O622" s="501"/>
    </row>
    <row r="623" spans="1:15">
      <c r="A623" s="486">
        <f t="shared" si="24"/>
        <v>2059</v>
      </c>
      <c r="B623" s="486">
        <f t="shared" si="25"/>
        <v>6</v>
      </c>
      <c r="C623" s="482">
        <v>132460.00864862776</v>
      </c>
      <c r="D623" s="482"/>
      <c r="E623" s="482">
        <f t="shared" si="27"/>
        <v>700206.78115532652</v>
      </c>
      <c r="F623" s="482">
        <f t="shared" si="26"/>
        <v>0</v>
      </c>
      <c r="G623" s="482">
        <v>0</v>
      </c>
      <c r="H623" s="482"/>
      <c r="I623" s="482"/>
      <c r="J623" s="482"/>
      <c r="K623" s="482"/>
      <c r="L623" s="482"/>
      <c r="M623" s="482"/>
      <c r="N623" s="482">
        <f t="shared" si="23"/>
        <v>832666.78980395431</v>
      </c>
      <c r="O623" s="501"/>
    </row>
    <row r="624" spans="1:15">
      <c r="A624" s="486">
        <f t="shared" si="24"/>
        <v>2059</v>
      </c>
      <c r="B624" s="486">
        <f t="shared" si="25"/>
        <v>7</v>
      </c>
      <c r="C624" s="482">
        <v>144849.94160395989</v>
      </c>
      <c r="D624" s="482"/>
      <c r="E624" s="482">
        <f t="shared" si="27"/>
        <v>658850.02388690214</v>
      </c>
      <c r="F624" s="482">
        <f t="shared" si="26"/>
        <v>0</v>
      </c>
      <c r="G624" s="482">
        <v>0</v>
      </c>
      <c r="H624" s="482"/>
      <c r="I624" s="482"/>
      <c r="J624" s="482"/>
      <c r="K624" s="482"/>
      <c r="L624" s="482"/>
      <c r="M624" s="482"/>
      <c r="N624" s="482">
        <f t="shared" si="23"/>
        <v>803699.96549086203</v>
      </c>
      <c r="O624" s="501"/>
    </row>
    <row r="625" spans="1:15">
      <c r="A625" s="486">
        <f t="shared" si="24"/>
        <v>2059</v>
      </c>
      <c r="B625" s="486">
        <f t="shared" si="25"/>
        <v>8</v>
      </c>
      <c r="C625" s="482">
        <v>143611.60094753274</v>
      </c>
      <c r="D625" s="482"/>
      <c r="E625" s="482">
        <f t="shared" si="27"/>
        <v>706755.97127605206</v>
      </c>
      <c r="F625" s="482">
        <f t="shared" si="26"/>
        <v>0</v>
      </c>
      <c r="G625" s="482">
        <v>0</v>
      </c>
      <c r="H625" s="482"/>
      <c r="I625" s="482"/>
      <c r="J625" s="482"/>
      <c r="K625" s="482"/>
      <c r="L625" s="482"/>
      <c r="M625" s="482"/>
      <c r="N625" s="482">
        <f t="shared" si="23"/>
        <v>850367.57222358487</v>
      </c>
      <c r="O625" s="501"/>
    </row>
    <row r="626" spans="1:15">
      <c r="A626" s="486">
        <f t="shared" si="24"/>
        <v>2059</v>
      </c>
      <c r="B626" s="486">
        <f t="shared" si="25"/>
        <v>9</v>
      </c>
      <c r="C626" s="482">
        <v>122187.04373096064</v>
      </c>
      <c r="D626" s="482"/>
      <c r="E626" s="482">
        <f t="shared" si="27"/>
        <v>697634.56202549033</v>
      </c>
      <c r="F626" s="482">
        <f t="shared" si="26"/>
        <v>0</v>
      </c>
      <c r="G626" s="482">
        <v>0</v>
      </c>
      <c r="H626" s="482"/>
      <c r="I626" s="482"/>
      <c r="J626" s="482"/>
      <c r="K626" s="482"/>
      <c r="L626" s="482"/>
      <c r="M626" s="482"/>
      <c r="N626" s="482">
        <f t="shared" si="23"/>
        <v>819821.60575645091</v>
      </c>
      <c r="O626" s="501"/>
    </row>
    <row r="627" spans="1:15">
      <c r="A627" s="486">
        <f t="shared" si="24"/>
        <v>2059</v>
      </c>
      <c r="B627" s="486">
        <f t="shared" si="25"/>
        <v>10</v>
      </c>
      <c r="C627" s="482">
        <v>112975.94143117248</v>
      </c>
      <c r="D627" s="482"/>
      <c r="E627" s="482">
        <f t="shared" si="27"/>
        <v>637905.99099294026</v>
      </c>
      <c r="F627" s="482">
        <f t="shared" si="26"/>
        <v>0</v>
      </c>
      <c r="G627" s="482">
        <v>0</v>
      </c>
      <c r="H627" s="482"/>
      <c r="I627" s="482"/>
      <c r="J627" s="482"/>
      <c r="K627" s="482"/>
      <c r="L627" s="482"/>
      <c r="M627" s="482"/>
      <c r="N627" s="482">
        <f t="shared" si="23"/>
        <v>750881.93242411269</v>
      </c>
      <c r="O627" s="501"/>
    </row>
    <row r="628" spans="1:15">
      <c r="A628" s="486">
        <f t="shared" si="24"/>
        <v>2059</v>
      </c>
      <c r="B628" s="486">
        <f t="shared" si="25"/>
        <v>11</v>
      </c>
      <c r="C628" s="482">
        <v>92975.759817552171</v>
      </c>
      <c r="D628" s="482"/>
      <c r="E628" s="482">
        <f t="shared" si="27"/>
        <v>580677.00325201778</v>
      </c>
      <c r="F628" s="482">
        <f t="shared" si="26"/>
        <v>0</v>
      </c>
      <c r="G628" s="482">
        <v>0</v>
      </c>
      <c r="H628" s="482"/>
      <c r="I628" s="482"/>
      <c r="J628" s="482"/>
      <c r="K628" s="482"/>
      <c r="L628" s="482"/>
      <c r="M628" s="482"/>
      <c r="N628" s="482">
        <f t="shared" si="23"/>
        <v>673652.76306956995</v>
      </c>
      <c r="O628" s="501"/>
    </row>
    <row r="629" spans="1:15">
      <c r="A629" s="486">
        <f t="shared" si="24"/>
        <v>2059</v>
      </c>
      <c r="B629" s="486">
        <f t="shared" si="25"/>
        <v>12</v>
      </c>
      <c r="C629" s="482">
        <v>95935.191764745163</v>
      </c>
      <c r="D629" s="482"/>
      <c r="E629" s="482">
        <f t="shared" si="27"/>
        <v>543900.00501171942</v>
      </c>
      <c r="F629" s="482">
        <f t="shared" si="26"/>
        <v>0</v>
      </c>
      <c r="G629" s="482">
        <v>0</v>
      </c>
      <c r="H629" s="482"/>
      <c r="I629" s="482"/>
      <c r="J629" s="482"/>
      <c r="K629" s="482"/>
      <c r="L629" s="482"/>
      <c r="M629" s="482"/>
      <c r="N629" s="482">
        <f t="shared" si="23"/>
        <v>639835.19677646458</v>
      </c>
      <c r="O629" s="501"/>
    </row>
    <row r="630" spans="1:15">
      <c r="A630" s="486">
        <f t="shared" si="24"/>
        <v>2060</v>
      </c>
      <c r="B630" s="486">
        <f t="shared" si="25"/>
        <v>1</v>
      </c>
      <c r="C630" s="482">
        <v>96227.059743867678</v>
      </c>
      <c r="D630" s="482"/>
      <c r="E630" s="482">
        <f t="shared" si="27"/>
        <v>538669.56059415324</v>
      </c>
      <c r="F630" s="482">
        <f t="shared" si="26"/>
        <v>0</v>
      </c>
      <c r="G630" s="482">
        <v>0</v>
      </c>
      <c r="H630" s="482"/>
      <c r="I630" s="482"/>
      <c r="J630" s="482"/>
      <c r="K630" s="482"/>
      <c r="L630" s="482"/>
      <c r="M630" s="482"/>
      <c r="N630" s="482">
        <f t="shared" si="23"/>
        <v>634896.62033802096</v>
      </c>
      <c r="O630" s="501"/>
    </row>
    <row r="631" spans="1:15">
      <c r="A631" s="486">
        <f t="shared" si="24"/>
        <v>2060</v>
      </c>
      <c r="B631" s="486">
        <f t="shared" si="25"/>
        <v>2</v>
      </c>
      <c r="C631" s="482">
        <v>90736.176615816832</v>
      </c>
      <c r="D631" s="482"/>
      <c r="E631" s="482">
        <f t="shared" si="27"/>
        <v>523091.96777786105</v>
      </c>
      <c r="F631" s="482">
        <f t="shared" si="26"/>
        <v>0</v>
      </c>
      <c r="G631" s="482">
        <v>0</v>
      </c>
      <c r="H631" s="482"/>
      <c r="I631" s="482"/>
      <c r="J631" s="482"/>
      <c r="K631" s="482"/>
      <c r="L631" s="482"/>
      <c r="M631" s="482"/>
      <c r="N631" s="482">
        <f t="shared" si="23"/>
        <v>613828.14439367782</v>
      </c>
      <c r="O631" s="501"/>
    </row>
    <row r="632" spans="1:15">
      <c r="A632" s="486">
        <f t="shared" si="24"/>
        <v>2060</v>
      </c>
      <c r="B632" s="486">
        <f t="shared" si="25"/>
        <v>3</v>
      </c>
      <c r="C632" s="482">
        <v>103687.96787194959</v>
      </c>
      <c r="D632" s="482"/>
      <c r="E632" s="482">
        <f t="shared" si="27"/>
        <v>620786.56229806365</v>
      </c>
      <c r="F632" s="482">
        <f t="shared" si="26"/>
        <v>0</v>
      </c>
      <c r="G632" s="482">
        <v>0</v>
      </c>
      <c r="H632" s="482"/>
      <c r="I632" s="482"/>
      <c r="J632" s="482"/>
      <c r="K632" s="482"/>
      <c r="L632" s="482"/>
      <c r="M632" s="482"/>
      <c r="N632" s="482">
        <f t="shared" si="23"/>
        <v>724474.5301700132</v>
      </c>
      <c r="O632" s="501"/>
    </row>
    <row r="633" spans="1:15">
      <c r="A633" s="486">
        <f t="shared" si="24"/>
        <v>2060</v>
      </c>
      <c r="B633" s="486">
        <f t="shared" si="25"/>
        <v>4</v>
      </c>
      <c r="C633" s="482">
        <v>108866.90673477408</v>
      </c>
      <c r="D633" s="482"/>
      <c r="E633" s="482">
        <f t="shared" si="27"/>
        <v>678957.63839566859</v>
      </c>
      <c r="F633" s="482">
        <f t="shared" si="26"/>
        <v>0</v>
      </c>
      <c r="G633" s="482">
        <v>0</v>
      </c>
      <c r="H633" s="482"/>
      <c r="I633" s="482"/>
      <c r="J633" s="482"/>
      <c r="K633" s="482"/>
      <c r="L633" s="482"/>
      <c r="M633" s="482"/>
      <c r="N633" s="482">
        <f t="shared" si="23"/>
        <v>787824.54513044271</v>
      </c>
      <c r="O633" s="501"/>
    </row>
    <row r="634" spans="1:15">
      <c r="A634" s="486">
        <f t="shared" si="24"/>
        <v>2060</v>
      </c>
      <c r="B634" s="486">
        <f t="shared" si="25"/>
        <v>5</v>
      </c>
      <c r="C634" s="482">
        <v>123207.92254570806</v>
      </c>
      <c r="D634" s="482"/>
      <c r="E634" s="482">
        <f t="shared" si="27"/>
        <v>688155.28273522039</v>
      </c>
      <c r="F634" s="482">
        <f t="shared" si="26"/>
        <v>0</v>
      </c>
      <c r="G634" s="482">
        <v>0</v>
      </c>
      <c r="H634" s="482"/>
      <c r="I634" s="482"/>
      <c r="J634" s="482"/>
      <c r="K634" s="482"/>
      <c r="L634" s="482"/>
      <c r="M634" s="482"/>
      <c r="N634" s="482">
        <f t="shared" si="23"/>
        <v>811363.20528092841</v>
      </c>
      <c r="O634" s="501"/>
    </row>
    <row r="635" spans="1:15">
      <c r="A635" s="486">
        <f t="shared" si="24"/>
        <v>2060</v>
      </c>
      <c r="B635" s="486">
        <f t="shared" si="25"/>
        <v>6</v>
      </c>
      <c r="C635" s="482">
        <v>134088.53321759551</v>
      </c>
      <c r="D635" s="482"/>
      <c r="E635" s="482">
        <f t="shared" si="27"/>
        <v>710709.88287912437</v>
      </c>
      <c r="F635" s="482">
        <f t="shared" si="26"/>
        <v>0</v>
      </c>
      <c r="G635" s="482">
        <v>0</v>
      </c>
      <c r="H635" s="482"/>
      <c r="I635" s="482"/>
      <c r="J635" s="482"/>
      <c r="K635" s="482"/>
      <c r="L635" s="482"/>
      <c r="M635" s="482"/>
      <c r="N635" s="482">
        <f t="shared" si="23"/>
        <v>844798.41609671991</v>
      </c>
      <c r="O635" s="501"/>
    </row>
    <row r="636" spans="1:15">
      <c r="A636" s="486">
        <f t="shared" si="24"/>
        <v>2060</v>
      </c>
      <c r="B636" s="486">
        <f t="shared" si="25"/>
        <v>7</v>
      </c>
      <c r="C636" s="482">
        <v>146630.79373527243</v>
      </c>
      <c r="D636" s="482"/>
      <c r="E636" s="482">
        <f t="shared" si="27"/>
        <v>668732.77425129164</v>
      </c>
      <c r="F636" s="482">
        <f t="shared" si="26"/>
        <v>0</v>
      </c>
      <c r="G636" s="482">
        <v>0</v>
      </c>
      <c r="H636" s="482"/>
      <c r="I636" s="482"/>
      <c r="J636" s="482"/>
      <c r="K636" s="482"/>
      <c r="L636" s="482"/>
      <c r="M636" s="482"/>
      <c r="N636" s="482">
        <f t="shared" si="23"/>
        <v>815363.56798656401</v>
      </c>
      <c r="O636" s="501"/>
    </row>
    <row r="637" spans="1:15">
      <c r="A637" s="486">
        <f t="shared" si="24"/>
        <v>2060</v>
      </c>
      <c r="B637" s="486">
        <f t="shared" si="25"/>
        <v>8</v>
      </c>
      <c r="C637" s="482">
        <v>145377.22834645768</v>
      </c>
      <c r="D637" s="482"/>
      <c r="E637" s="482">
        <f t="shared" si="27"/>
        <v>717357.31085172133</v>
      </c>
      <c r="F637" s="482">
        <f t="shared" si="26"/>
        <v>0</v>
      </c>
      <c r="G637" s="482">
        <v>0</v>
      </c>
      <c r="H637" s="482"/>
      <c r="I637" s="482"/>
      <c r="J637" s="482"/>
      <c r="K637" s="482"/>
      <c r="L637" s="482"/>
      <c r="M637" s="482"/>
      <c r="N637" s="482">
        <f t="shared" si="23"/>
        <v>862734.53919817903</v>
      </c>
      <c r="O637" s="501"/>
    </row>
    <row r="638" spans="1:15">
      <c r="A638" s="486">
        <f t="shared" si="24"/>
        <v>2060</v>
      </c>
      <c r="B638" s="486">
        <f t="shared" si="25"/>
        <v>9</v>
      </c>
      <c r="C638" s="482">
        <v>123689.26772109531</v>
      </c>
      <c r="D638" s="482"/>
      <c r="E638" s="482">
        <f t="shared" si="27"/>
        <v>708099.08046231687</v>
      </c>
      <c r="F638" s="482">
        <f t="shared" si="26"/>
        <v>0</v>
      </c>
      <c r="G638" s="482">
        <v>0</v>
      </c>
      <c r="H638" s="482"/>
      <c r="I638" s="482"/>
      <c r="J638" s="482"/>
      <c r="K638" s="482"/>
      <c r="L638" s="482"/>
      <c r="M638" s="482"/>
      <c r="N638" s="482">
        <f t="shared" si="23"/>
        <v>831788.34818341222</v>
      </c>
      <c r="O638" s="501"/>
    </row>
    <row r="639" spans="1:15">
      <c r="A639" s="486">
        <f t="shared" si="24"/>
        <v>2060</v>
      </c>
      <c r="B639" s="486">
        <f t="shared" si="25"/>
        <v>10</v>
      </c>
      <c r="C639" s="482">
        <v>114364.91987228808</v>
      </c>
      <c r="D639" s="482"/>
      <c r="E639" s="482">
        <f t="shared" si="27"/>
        <v>647474.58086372679</v>
      </c>
      <c r="F639" s="482">
        <f t="shared" si="26"/>
        <v>0</v>
      </c>
      <c r="G639" s="482">
        <v>0</v>
      </c>
      <c r="H639" s="482"/>
      <c r="I639" s="482"/>
      <c r="J639" s="482"/>
      <c r="K639" s="482"/>
      <c r="L639" s="482"/>
      <c r="M639" s="482"/>
      <c r="N639" s="482">
        <f t="shared" si="23"/>
        <v>761839.50073601492</v>
      </c>
      <c r="O639" s="501"/>
    </row>
    <row r="640" spans="1:15">
      <c r="A640" s="486">
        <f t="shared" si="24"/>
        <v>2060</v>
      </c>
      <c r="B640" s="486">
        <f t="shared" si="25"/>
        <v>11</v>
      </c>
      <c r="C640" s="482">
        <v>94118.846781882545</v>
      </c>
      <c r="D640" s="482"/>
      <c r="E640" s="482">
        <f t="shared" si="27"/>
        <v>589387.15830616187</v>
      </c>
      <c r="F640" s="482">
        <f t="shared" si="26"/>
        <v>0</v>
      </c>
      <c r="G640" s="482">
        <v>0</v>
      </c>
      <c r="H640" s="482"/>
      <c r="I640" s="482"/>
      <c r="J640" s="482"/>
      <c r="K640" s="482"/>
      <c r="L640" s="482"/>
      <c r="M640" s="482"/>
      <c r="N640" s="482">
        <f t="shared" si="23"/>
        <v>683506.00508804445</v>
      </c>
      <c r="O640" s="501"/>
    </row>
    <row r="641" spans="1:15">
      <c r="A641" s="486">
        <f t="shared" si="24"/>
        <v>2060</v>
      </c>
      <c r="B641" s="486">
        <f t="shared" si="25"/>
        <v>12</v>
      </c>
      <c r="C641" s="482">
        <v>97114.663353275348</v>
      </c>
      <c r="D641" s="482"/>
      <c r="E641" s="482">
        <f t="shared" si="27"/>
        <v>552058.50509191933</v>
      </c>
      <c r="F641" s="482">
        <f t="shared" si="26"/>
        <v>0</v>
      </c>
      <c r="G641" s="482">
        <v>0</v>
      </c>
      <c r="H641" s="482"/>
      <c r="I641" s="482"/>
      <c r="J641" s="482"/>
      <c r="K641" s="482"/>
      <c r="L641" s="482"/>
      <c r="M641" s="482"/>
      <c r="N641" s="482">
        <f t="shared" si="23"/>
        <v>649173.16844519472</v>
      </c>
      <c r="O641" s="501"/>
    </row>
    <row r="642" spans="1:15">
      <c r="A642" s="486">
        <f t="shared" si="24"/>
        <v>2061</v>
      </c>
      <c r="B642" s="486">
        <f t="shared" si="25"/>
        <v>1</v>
      </c>
      <c r="C642" s="482">
        <v>97410.119692233755</v>
      </c>
      <c r="D642" s="482"/>
      <c r="E642" s="482">
        <f t="shared" si="27"/>
        <v>546749.60400804132</v>
      </c>
      <c r="F642" s="482">
        <f t="shared" si="26"/>
        <v>0</v>
      </c>
      <c r="G642" s="482">
        <v>0</v>
      </c>
      <c r="H642" s="482"/>
      <c r="I642" s="482"/>
      <c r="J642" s="482"/>
      <c r="K642" s="482"/>
      <c r="L642" s="482"/>
      <c r="M642" s="482"/>
      <c r="N642" s="482">
        <f t="shared" si="23"/>
        <v>644159.72370027506</v>
      </c>
      <c r="O642" s="501"/>
    </row>
    <row r="643" spans="1:15">
      <c r="A643" s="486">
        <f t="shared" si="24"/>
        <v>2061</v>
      </c>
      <c r="B643" s="486">
        <f t="shared" si="25"/>
        <v>2</v>
      </c>
      <c r="C643" s="482">
        <v>91851.729109136068</v>
      </c>
      <c r="D643" s="482"/>
      <c r="E643" s="482">
        <f t="shared" si="27"/>
        <v>530938.3472993609</v>
      </c>
      <c r="F643" s="482">
        <f t="shared" si="26"/>
        <v>0</v>
      </c>
      <c r="G643" s="482">
        <v>0</v>
      </c>
      <c r="H643" s="482"/>
      <c r="I643" s="482"/>
      <c r="J643" s="482"/>
      <c r="K643" s="482"/>
      <c r="L643" s="482"/>
      <c r="M643" s="482"/>
      <c r="N643" s="482">
        <f t="shared" si="23"/>
        <v>622790.07640849694</v>
      </c>
      <c r="O643" s="501"/>
    </row>
    <row r="644" spans="1:15">
      <c r="A644" s="486">
        <f t="shared" si="24"/>
        <v>2061</v>
      </c>
      <c r="B644" s="486">
        <f t="shared" si="25"/>
        <v>3</v>
      </c>
      <c r="C644" s="482">
        <v>104962.7556732529</v>
      </c>
      <c r="D644" s="482"/>
      <c r="E644" s="482">
        <f t="shared" si="27"/>
        <v>630098.36073826894</v>
      </c>
      <c r="F644" s="482">
        <f t="shared" si="26"/>
        <v>0</v>
      </c>
      <c r="G644" s="482">
        <v>0</v>
      </c>
      <c r="H644" s="482"/>
      <c r="I644" s="482"/>
      <c r="J644" s="482"/>
      <c r="K644" s="482"/>
      <c r="L644" s="482"/>
      <c r="M644" s="482"/>
      <c r="N644" s="482">
        <f t="shared" si="23"/>
        <v>735061.1164115218</v>
      </c>
      <c r="O644" s="501"/>
    </row>
    <row r="645" spans="1:15">
      <c r="A645" s="486">
        <f t="shared" si="24"/>
        <v>2061</v>
      </c>
      <c r="B645" s="486">
        <f t="shared" si="25"/>
        <v>4</v>
      </c>
      <c r="C645" s="482">
        <v>110205.36680414781</v>
      </c>
      <c r="D645" s="482"/>
      <c r="E645" s="482">
        <f t="shared" si="27"/>
        <v>689142.00297787529</v>
      </c>
      <c r="F645" s="482">
        <f t="shared" si="26"/>
        <v>0</v>
      </c>
      <c r="G645" s="482">
        <v>0</v>
      </c>
      <c r="H645" s="482"/>
      <c r="I645" s="482"/>
      <c r="J645" s="482"/>
      <c r="K645" s="482"/>
      <c r="L645" s="482"/>
      <c r="M645" s="482"/>
      <c r="N645" s="482">
        <f t="shared" si="23"/>
        <v>799347.36978202313</v>
      </c>
      <c r="O645" s="501"/>
    </row>
    <row r="646" spans="1:15">
      <c r="A646" s="486">
        <f t="shared" si="24"/>
        <v>2061</v>
      </c>
      <c r="B646" s="486">
        <f t="shared" si="25"/>
        <v>5</v>
      </c>
      <c r="C646" s="482">
        <v>124722.69769183852</v>
      </c>
      <c r="D646" s="482"/>
      <c r="E646" s="482">
        <f t="shared" si="27"/>
        <v>698477.6119826053</v>
      </c>
      <c r="F646" s="482">
        <f t="shared" si="26"/>
        <v>0</v>
      </c>
      <c r="G646" s="482">
        <v>0</v>
      </c>
      <c r="H646" s="482"/>
      <c r="I646" s="482"/>
      <c r="J646" s="482"/>
      <c r="K646" s="482"/>
      <c r="L646" s="482"/>
      <c r="M646" s="482"/>
      <c r="N646" s="482">
        <f t="shared" si="23"/>
        <v>823200.30967444379</v>
      </c>
      <c r="O646" s="501"/>
    </row>
    <row r="647" spans="1:15">
      <c r="A647" s="486">
        <f t="shared" si="24"/>
        <v>2061</v>
      </c>
      <c r="B647" s="486">
        <f t="shared" si="25"/>
        <v>6</v>
      </c>
      <c r="C647" s="482">
        <v>135737.07962031363</v>
      </c>
      <c r="D647" s="482"/>
      <c r="E647" s="482">
        <f t="shared" si="27"/>
        <v>721370.53112887614</v>
      </c>
      <c r="F647" s="482">
        <f t="shared" si="26"/>
        <v>0</v>
      </c>
      <c r="G647" s="482">
        <v>0</v>
      </c>
      <c r="H647" s="482"/>
      <c r="I647" s="482"/>
      <c r="J647" s="482"/>
      <c r="K647" s="482"/>
      <c r="L647" s="482"/>
      <c r="M647" s="482"/>
      <c r="N647" s="482">
        <f t="shared" ref="N647:N677" si="28">SUM(C647:M647)</f>
        <v>857107.61074918974</v>
      </c>
      <c r="O647" s="501"/>
    </row>
    <row r="648" spans="1:15">
      <c r="A648" s="486">
        <f t="shared" si="24"/>
        <v>2061</v>
      </c>
      <c r="B648" s="486">
        <f t="shared" si="25"/>
        <v>7</v>
      </c>
      <c r="C648" s="482">
        <v>148433.54048579215</v>
      </c>
      <c r="D648" s="482"/>
      <c r="E648" s="482">
        <f t="shared" si="27"/>
        <v>678763.7658712382</v>
      </c>
      <c r="F648" s="482">
        <f t="shared" si="26"/>
        <v>0</v>
      </c>
      <c r="G648" s="482">
        <v>0</v>
      </c>
      <c r="H648" s="482"/>
      <c r="I648" s="482"/>
      <c r="J648" s="482"/>
      <c r="K648" s="482"/>
      <c r="L648" s="482"/>
      <c r="M648" s="482"/>
      <c r="N648" s="482">
        <f t="shared" si="28"/>
        <v>827197.30635703029</v>
      </c>
      <c r="O648" s="501"/>
    </row>
    <row r="649" spans="1:15">
      <c r="A649" s="486">
        <f t="shared" si="24"/>
        <v>2061</v>
      </c>
      <c r="B649" s="486">
        <f t="shared" si="25"/>
        <v>8</v>
      </c>
      <c r="C649" s="482">
        <v>147164.56318469299</v>
      </c>
      <c r="D649" s="482"/>
      <c r="E649" s="482">
        <f t="shared" si="27"/>
        <v>728117.67052112345</v>
      </c>
      <c r="F649" s="482">
        <f t="shared" si="26"/>
        <v>0</v>
      </c>
      <c r="G649" s="482">
        <v>0</v>
      </c>
      <c r="H649" s="482"/>
      <c r="I649" s="482"/>
      <c r="J649" s="482"/>
      <c r="K649" s="482"/>
      <c r="L649" s="482"/>
      <c r="M649" s="482"/>
      <c r="N649" s="482">
        <f t="shared" si="28"/>
        <v>875282.23370581644</v>
      </c>
      <c r="O649" s="501"/>
    </row>
    <row r="650" spans="1:15">
      <c r="A650" s="486">
        <f t="shared" si="24"/>
        <v>2061</v>
      </c>
      <c r="B650" s="486">
        <f t="shared" si="25"/>
        <v>9</v>
      </c>
      <c r="C650" s="482">
        <v>125209.96074728838</v>
      </c>
      <c r="D650" s="482"/>
      <c r="E650" s="482">
        <f t="shared" si="27"/>
        <v>718720.56667579245</v>
      </c>
      <c r="F650" s="482">
        <f t="shared" si="26"/>
        <v>0</v>
      </c>
      <c r="G650" s="482">
        <v>0</v>
      </c>
      <c r="H650" s="482"/>
      <c r="I650" s="482"/>
      <c r="J650" s="482"/>
      <c r="K650" s="482"/>
      <c r="L650" s="482"/>
      <c r="M650" s="482"/>
      <c r="N650" s="482">
        <f t="shared" si="28"/>
        <v>843930.52742308087</v>
      </c>
      <c r="O650" s="501"/>
    </row>
    <row r="651" spans="1:15">
      <c r="A651" s="486">
        <f t="shared" si="24"/>
        <v>2061</v>
      </c>
      <c r="B651" s="486">
        <f t="shared" si="25"/>
        <v>10</v>
      </c>
      <c r="C651" s="482">
        <v>115770.97505634067</v>
      </c>
      <c r="D651" s="482"/>
      <c r="E651" s="482">
        <f t="shared" si="27"/>
        <v>657186.69958266348</v>
      </c>
      <c r="F651" s="482">
        <f t="shared" si="26"/>
        <v>0</v>
      </c>
      <c r="G651" s="482">
        <v>0</v>
      </c>
      <c r="H651" s="482"/>
      <c r="I651" s="482"/>
      <c r="J651" s="482"/>
      <c r="K651" s="482"/>
      <c r="L651" s="482"/>
      <c r="M651" s="482"/>
      <c r="N651" s="482">
        <f t="shared" si="28"/>
        <v>772957.67463900417</v>
      </c>
      <c r="O651" s="501"/>
    </row>
    <row r="652" spans="1:15">
      <c r="A652" s="486">
        <f t="shared" si="24"/>
        <v>2061</v>
      </c>
      <c r="B652" s="486">
        <f t="shared" si="25"/>
        <v>11</v>
      </c>
      <c r="C652" s="482">
        <v>95275.987385683969</v>
      </c>
      <c r="D652" s="482"/>
      <c r="E652" s="482">
        <f t="shared" si="27"/>
        <v>598227.96568619856</v>
      </c>
      <c r="F652" s="482">
        <f t="shared" si="26"/>
        <v>0</v>
      </c>
      <c r="G652" s="482">
        <v>0</v>
      </c>
      <c r="H652" s="482"/>
      <c r="I652" s="482"/>
      <c r="J652" s="482"/>
      <c r="K652" s="482"/>
      <c r="L652" s="482"/>
      <c r="M652" s="482"/>
      <c r="N652" s="482">
        <f t="shared" si="28"/>
        <v>693503.95307188248</v>
      </c>
      <c r="O652" s="501"/>
    </row>
    <row r="653" spans="1:15">
      <c r="A653" s="486">
        <f t="shared" si="24"/>
        <v>2061</v>
      </c>
      <c r="B653" s="486">
        <f t="shared" si="25"/>
        <v>12</v>
      </c>
      <c r="C653" s="482">
        <v>98308.635910663346</v>
      </c>
      <c r="D653" s="482"/>
      <c r="E653" s="482">
        <f t="shared" si="27"/>
        <v>560339.38267339754</v>
      </c>
      <c r="F653" s="482">
        <f t="shared" si="26"/>
        <v>0</v>
      </c>
      <c r="G653" s="482">
        <v>0</v>
      </c>
      <c r="H653" s="482"/>
      <c r="I653" s="482"/>
      <c r="J653" s="482"/>
      <c r="K653" s="482"/>
      <c r="L653" s="482"/>
      <c r="M653" s="482"/>
      <c r="N653" s="482">
        <f t="shared" si="28"/>
        <v>658648.01858406095</v>
      </c>
      <c r="O653" s="501"/>
    </row>
    <row r="654" spans="1:15">
      <c r="A654" s="486">
        <f t="shared" si="24"/>
        <v>2062</v>
      </c>
      <c r="B654" s="486">
        <f t="shared" si="25"/>
        <v>1</v>
      </c>
      <c r="C654" s="482">
        <v>98607.724726412009</v>
      </c>
      <c r="D654" s="482"/>
      <c r="E654" s="482">
        <f t="shared" si="27"/>
        <v>554950.84807321231</v>
      </c>
      <c r="F654" s="482">
        <f t="shared" si="26"/>
        <v>0</v>
      </c>
      <c r="G654" s="482">
        <v>0</v>
      </c>
      <c r="H654" s="482"/>
      <c r="I654" s="482"/>
      <c r="J654" s="482"/>
      <c r="K654" s="482"/>
      <c r="L654" s="482"/>
      <c r="M654" s="482"/>
      <c r="N654" s="482">
        <f t="shared" si="28"/>
        <v>653558.57279962429</v>
      </c>
      <c r="O654" s="501"/>
    </row>
    <row r="655" spans="1:15">
      <c r="A655" s="486">
        <f t="shared" si="24"/>
        <v>2062</v>
      </c>
      <c r="B655" s="486">
        <f t="shared" si="25"/>
        <v>2</v>
      </c>
      <c r="C655" s="482">
        <v>92980.996720413372</v>
      </c>
      <c r="D655" s="482"/>
      <c r="E655" s="482">
        <f t="shared" si="27"/>
        <v>538902.42251375574</v>
      </c>
      <c r="F655" s="482">
        <f t="shared" si="26"/>
        <v>0</v>
      </c>
      <c r="G655" s="482">
        <v>0</v>
      </c>
      <c r="H655" s="482"/>
      <c r="I655" s="482"/>
      <c r="J655" s="482"/>
      <c r="K655" s="482"/>
      <c r="L655" s="482"/>
      <c r="M655" s="482"/>
      <c r="N655" s="482">
        <f t="shared" si="28"/>
        <v>631883.41923416907</v>
      </c>
      <c r="O655" s="501"/>
    </row>
    <row r="656" spans="1:15">
      <c r="A656" s="486">
        <f t="shared" si="24"/>
        <v>2062</v>
      </c>
      <c r="B656" s="486">
        <f t="shared" si="25"/>
        <v>3</v>
      </c>
      <c r="C656" s="482">
        <v>106253.21630498877</v>
      </c>
      <c r="D656" s="482"/>
      <c r="E656" s="482">
        <f t="shared" si="27"/>
        <v>639549.83615516336</v>
      </c>
      <c r="F656" s="482">
        <f t="shared" si="26"/>
        <v>0</v>
      </c>
      <c r="G656" s="482">
        <v>0</v>
      </c>
      <c r="H656" s="482"/>
      <c r="I656" s="482"/>
      <c r="J656" s="482"/>
      <c r="K656" s="482"/>
      <c r="L656" s="482"/>
      <c r="M656" s="482"/>
      <c r="N656" s="482">
        <f t="shared" si="28"/>
        <v>745803.05246015219</v>
      </c>
      <c r="O656" s="501"/>
    </row>
    <row r="657" spans="1:15">
      <c r="A657" s="486">
        <f t="shared" si="24"/>
        <v>2062</v>
      </c>
      <c r="B657" s="486">
        <f t="shared" si="25"/>
        <v>4</v>
      </c>
      <c r="C657" s="482">
        <v>111560.28252024688</v>
      </c>
      <c r="D657" s="482"/>
      <c r="E657" s="482">
        <f t="shared" si="27"/>
        <v>699479.1330289091</v>
      </c>
      <c r="F657" s="482">
        <f t="shared" si="26"/>
        <v>0</v>
      </c>
      <c r="G657" s="482">
        <v>0</v>
      </c>
      <c r="H657" s="482"/>
      <c r="I657" s="482"/>
      <c r="J657" s="482"/>
      <c r="K657" s="482"/>
      <c r="L657" s="482"/>
      <c r="M657" s="482"/>
      <c r="N657" s="482">
        <f t="shared" si="28"/>
        <v>811039.41554915602</v>
      </c>
      <c r="O657" s="501"/>
    </row>
    <row r="658" spans="1:15">
      <c r="A658" s="486">
        <f t="shared" si="24"/>
        <v>2062</v>
      </c>
      <c r="B658" s="486">
        <f t="shared" si="25"/>
        <v>5</v>
      </c>
      <c r="C658" s="482">
        <v>126256.0961837403</v>
      </c>
      <c r="D658" s="482"/>
      <c r="E658" s="482">
        <f t="shared" si="27"/>
        <v>708954.77616879635</v>
      </c>
      <c r="F658" s="482">
        <f t="shared" si="26"/>
        <v>0</v>
      </c>
      <c r="G658" s="482">
        <v>0</v>
      </c>
      <c r="H658" s="482"/>
      <c r="I658" s="482"/>
      <c r="J658" s="482"/>
      <c r="K658" s="482"/>
      <c r="L658" s="482"/>
      <c r="M658" s="482"/>
      <c r="N658" s="482">
        <f t="shared" si="28"/>
        <v>835210.87235253665</v>
      </c>
      <c r="O658" s="501"/>
    </row>
    <row r="659" spans="1:15">
      <c r="A659" s="486">
        <f t="shared" ref="A659:A677" si="29">+A647+1</f>
        <v>2062</v>
      </c>
      <c r="B659" s="486">
        <f t="shared" ref="B659:B677" si="30">+B647</f>
        <v>6</v>
      </c>
      <c r="C659" s="482">
        <v>137405.89401446024</v>
      </c>
      <c r="D659" s="482"/>
      <c r="E659" s="482">
        <f t="shared" si="27"/>
        <v>732191.08910247276</v>
      </c>
      <c r="F659" s="482">
        <f t="shared" ref="F659:F677" si="31">+F647</f>
        <v>0</v>
      </c>
      <c r="G659" s="482">
        <v>0</v>
      </c>
      <c r="H659" s="482"/>
      <c r="I659" s="482"/>
      <c r="J659" s="482"/>
      <c r="K659" s="482"/>
      <c r="L659" s="482"/>
      <c r="M659" s="482"/>
      <c r="N659" s="482">
        <f t="shared" si="28"/>
        <v>869596.98311693303</v>
      </c>
      <c r="O659" s="501"/>
    </row>
    <row r="660" spans="1:15">
      <c r="A660" s="486">
        <f t="shared" si="29"/>
        <v>2062</v>
      </c>
      <c r="B660" s="486">
        <f t="shared" si="30"/>
        <v>7</v>
      </c>
      <c r="C660" s="482">
        <v>150258.45103808722</v>
      </c>
      <c r="D660" s="482"/>
      <c r="E660" s="482">
        <f t="shared" si="27"/>
        <v>688945.22236557666</v>
      </c>
      <c r="F660" s="482">
        <f t="shared" si="31"/>
        <v>0</v>
      </c>
      <c r="G660" s="482">
        <v>0</v>
      </c>
      <c r="H660" s="482"/>
      <c r="I660" s="482"/>
      <c r="J660" s="482"/>
      <c r="K660" s="482"/>
      <c r="L660" s="482"/>
      <c r="M660" s="482"/>
      <c r="N660" s="482">
        <f t="shared" si="28"/>
        <v>839203.67340366391</v>
      </c>
      <c r="O660" s="501"/>
    </row>
    <row r="661" spans="1:15">
      <c r="A661" s="486">
        <f t="shared" si="29"/>
        <v>2062</v>
      </c>
      <c r="B661" s="486">
        <f t="shared" si="30"/>
        <v>8</v>
      </c>
      <c r="C661" s="482">
        <v>148973.87234353067</v>
      </c>
      <c r="D661" s="482"/>
      <c r="E661" s="482">
        <f t="shared" si="27"/>
        <v>739039.4355856661</v>
      </c>
      <c r="F661" s="482">
        <f t="shared" si="31"/>
        <v>0</v>
      </c>
      <c r="G661" s="482">
        <v>0</v>
      </c>
      <c r="H661" s="482"/>
      <c r="I661" s="482"/>
      <c r="J661" s="482"/>
      <c r="K661" s="482"/>
      <c r="L661" s="482"/>
      <c r="M661" s="482"/>
      <c r="N661" s="482">
        <f t="shared" si="28"/>
        <v>888013.30792919674</v>
      </c>
      <c r="O661" s="501"/>
    </row>
    <row r="662" spans="1:15">
      <c r="A662" s="486">
        <f t="shared" si="29"/>
        <v>2062</v>
      </c>
      <c r="B662" s="486">
        <f t="shared" si="30"/>
        <v>9</v>
      </c>
      <c r="C662" s="482">
        <v>126749.3498764055</v>
      </c>
      <c r="D662" s="482"/>
      <c r="E662" s="482">
        <f t="shared" si="27"/>
        <v>729501.37518256833</v>
      </c>
      <c r="F662" s="482">
        <f t="shared" si="31"/>
        <v>0</v>
      </c>
      <c r="G662" s="482">
        <v>0</v>
      </c>
      <c r="H662" s="482"/>
      <c r="I662" s="482"/>
      <c r="J662" s="482"/>
      <c r="K662" s="482"/>
      <c r="L662" s="482"/>
      <c r="M662" s="482"/>
      <c r="N662" s="482">
        <f t="shared" si="28"/>
        <v>856250.72505897377</v>
      </c>
      <c r="O662" s="501"/>
    </row>
    <row r="663" spans="1:15">
      <c r="A663" s="486">
        <f t="shared" si="29"/>
        <v>2062</v>
      </c>
      <c r="B663" s="486">
        <f t="shared" si="30"/>
        <v>10</v>
      </c>
      <c r="C663" s="482">
        <v>117194.31693270073</v>
      </c>
      <c r="D663" s="482"/>
      <c r="E663" s="482">
        <f t="shared" si="27"/>
        <v>667044.50008247397</v>
      </c>
      <c r="F663" s="482">
        <f t="shared" si="31"/>
        <v>0</v>
      </c>
      <c r="G663" s="482">
        <v>0</v>
      </c>
      <c r="H663" s="482"/>
      <c r="I663" s="482"/>
      <c r="J663" s="482"/>
      <c r="K663" s="482"/>
      <c r="L663" s="482"/>
      <c r="M663" s="482"/>
      <c r="N663" s="482">
        <f t="shared" si="28"/>
        <v>784238.81701517466</v>
      </c>
      <c r="O663" s="501"/>
    </row>
    <row r="664" spans="1:15">
      <c r="A664" s="486">
        <f t="shared" si="29"/>
        <v>2062</v>
      </c>
      <c r="B664" s="486">
        <f t="shared" si="30"/>
        <v>11</v>
      </c>
      <c r="C664" s="482">
        <v>96447.354410895641</v>
      </c>
      <c r="D664" s="482"/>
      <c r="E664" s="482">
        <f t="shared" si="27"/>
        <v>607201.38517701742</v>
      </c>
      <c r="F664" s="482">
        <f t="shared" si="31"/>
        <v>0</v>
      </c>
      <c r="G664" s="482">
        <v>0</v>
      </c>
      <c r="H664" s="482"/>
      <c r="I664" s="482"/>
      <c r="J664" s="482"/>
      <c r="K664" s="482"/>
      <c r="L664" s="482"/>
      <c r="M664" s="482"/>
      <c r="N664" s="482">
        <f t="shared" si="28"/>
        <v>703648.73958791303</v>
      </c>
      <c r="O664" s="501"/>
    </row>
    <row r="665" spans="1:15">
      <c r="A665" s="486">
        <f t="shared" si="29"/>
        <v>2062</v>
      </c>
      <c r="B665" s="486">
        <f t="shared" si="30"/>
        <v>12</v>
      </c>
      <c r="C665" s="482">
        <v>99517.28771852261</v>
      </c>
      <c r="D665" s="482"/>
      <c r="E665" s="482">
        <f t="shared" si="27"/>
        <v>568744.47341867443</v>
      </c>
      <c r="F665" s="482">
        <f t="shared" si="31"/>
        <v>0</v>
      </c>
      <c r="G665" s="482">
        <v>0</v>
      </c>
      <c r="H665" s="482"/>
      <c r="I665" s="482"/>
      <c r="J665" s="482"/>
      <c r="K665" s="482"/>
      <c r="L665" s="482"/>
      <c r="M665" s="482"/>
      <c r="N665" s="482">
        <f t="shared" si="28"/>
        <v>668261.76113719703</v>
      </c>
      <c r="O665" s="501"/>
    </row>
    <row r="666" spans="1:15">
      <c r="A666" s="486">
        <f t="shared" si="29"/>
        <v>2063</v>
      </c>
      <c r="B666" s="486">
        <f t="shared" si="30"/>
        <v>1</v>
      </c>
      <c r="C666" s="482">
        <v>99820.05367041011</v>
      </c>
      <c r="D666" s="482"/>
      <c r="E666" s="482">
        <f t="shared" si="27"/>
        <v>563275.11079943669</v>
      </c>
      <c r="F666" s="482">
        <f t="shared" si="31"/>
        <v>0</v>
      </c>
      <c r="G666" s="482">
        <v>0</v>
      </c>
      <c r="H666" s="482"/>
      <c r="I666" s="482"/>
      <c r="J666" s="482"/>
      <c r="K666" s="482"/>
      <c r="L666" s="482"/>
      <c r="M666" s="482"/>
      <c r="N666" s="482">
        <f t="shared" si="28"/>
        <v>663095.16446984676</v>
      </c>
      <c r="O666" s="501"/>
    </row>
    <row r="667" spans="1:15">
      <c r="A667" s="486">
        <f t="shared" si="29"/>
        <v>2063</v>
      </c>
      <c r="B667" s="486">
        <f t="shared" si="30"/>
        <v>2</v>
      </c>
      <c r="C667" s="482">
        <v>94124.148069648028</v>
      </c>
      <c r="D667" s="482"/>
      <c r="E667" s="482">
        <f t="shared" si="27"/>
        <v>546985.95885644003</v>
      </c>
      <c r="F667" s="482">
        <f t="shared" si="31"/>
        <v>0</v>
      </c>
      <c r="G667" s="482">
        <v>0</v>
      </c>
      <c r="H667" s="482"/>
      <c r="I667" s="482"/>
      <c r="J667" s="482"/>
      <c r="K667" s="482"/>
      <c r="L667" s="482"/>
      <c r="M667" s="482"/>
      <c r="N667" s="482">
        <f t="shared" si="28"/>
        <v>641110.1069260881</v>
      </c>
      <c r="O667" s="501"/>
    </row>
    <row r="668" spans="1:15">
      <c r="A668" s="486">
        <f t="shared" si="29"/>
        <v>2063</v>
      </c>
      <c r="B668" s="486">
        <f t="shared" si="30"/>
        <v>3</v>
      </c>
      <c r="C668" s="482">
        <v>107559.54245617846</v>
      </c>
      <c r="D668" s="482"/>
      <c r="E668" s="482">
        <f t="shared" si="27"/>
        <v>649143.08370339847</v>
      </c>
      <c r="F668" s="482">
        <f t="shared" si="31"/>
        <v>0</v>
      </c>
      <c r="G668" s="482">
        <v>0</v>
      </c>
      <c r="H668" s="482"/>
      <c r="I668" s="482"/>
      <c r="J668" s="482"/>
      <c r="K668" s="482"/>
      <c r="L668" s="482"/>
      <c r="M668" s="482"/>
      <c r="N668" s="482">
        <f t="shared" si="28"/>
        <v>756702.62615957693</v>
      </c>
      <c r="O668" s="501"/>
    </row>
    <row r="669" spans="1:15">
      <c r="A669" s="486">
        <f t="shared" si="29"/>
        <v>2063</v>
      </c>
      <c r="B669" s="486">
        <f t="shared" si="30"/>
        <v>4</v>
      </c>
      <c r="C669" s="482">
        <v>112931.85619639789</v>
      </c>
      <c r="D669" s="482"/>
      <c r="E669" s="482">
        <f t="shared" si="27"/>
        <v>709971.32003080391</v>
      </c>
      <c r="F669" s="482">
        <f t="shared" si="31"/>
        <v>0</v>
      </c>
      <c r="G669" s="482">
        <v>0</v>
      </c>
      <c r="H669" s="482"/>
      <c r="I669" s="482"/>
      <c r="J669" s="482"/>
      <c r="K669" s="482"/>
      <c r="L669" s="482"/>
      <c r="M669" s="482"/>
      <c r="N669" s="482">
        <f t="shared" si="28"/>
        <v>822903.17622720182</v>
      </c>
      <c r="O669" s="501"/>
    </row>
    <row r="670" spans="1:15">
      <c r="A670" s="486">
        <f t="shared" si="29"/>
        <v>2063</v>
      </c>
      <c r="B670" s="486">
        <f t="shared" si="30"/>
        <v>5</v>
      </c>
      <c r="C670" s="482">
        <v>127808.34698543398</v>
      </c>
      <c r="D670" s="482"/>
      <c r="E670" s="482">
        <f t="shared" si="27"/>
        <v>719589.09781787707</v>
      </c>
      <c r="F670" s="482">
        <f t="shared" si="31"/>
        <v>0</v>
      </c>
      <c r="G670" s="482">
        <v>0</v>
      </c>
      <c r="H670" s="482"/>
      <c r="I670" s="482"/>
      <c r="J670" s="482"/>
      <c r="K670" s="482"/>
      <c r="L670" s="482"/>
      <c r="M670" s="482"/>
      <c r="N670" s="482">
        <f t="shared" si="28"/>
        <v>847397.44480331102</v>
      </c>
      <c r="O670" s="501"/>
    </row>
    <row r="671" spans="1:15">
      <c r="A671" s="486">
        <f t="shared" si="29"/>
        <v>2063</v>
      </c>
      <c r="B671" s="486">
        <f t="shared" si="30"/>
        <v>6</v>
      </c>
      <c r="C671" s="482">
        <v>139095.22558408979</v>
      </c>
      <c r="D671" s="482"/>
      <c r="E671" s="482">
        <f t="shared" si="27"/>
        <v>743173.9554457732</v>
      </c>
      <c r="F671" s="482">
        <f t="shared" si="31"/>
        <v>0</v>
      </c>
      <c r="G671" s="482">
        <v>0</v>
      </c>
      <c r="H671" s="482"/>
      <c r="I671" s="482"/>
      <c r="J671" s="482"/>
      <c r="K671" s="482"/>
      <c r="L671" s="482"/>
      <c r="M671" s="482"/>
      <c r="N671" s="482">
        <f t="shared" si="28"/>
        <v>882269.18102986296</v>
      </c>
      <c r="O671" s="501"/>
    </row>
    <row r="672" spans="1:15">
      <c r="A672" s="486">
        <f t="shared" si="29"/>
        <v>2063</v>
      </c>
      <c r="B672" s="486">
        <f t="shared" si="30"/>
        <v>7</v>
      </c>
      <c r="C672" s="482">
        <v>152105.79788418071</v>
      </c>
      <c r="D672" s="482"/>
      <c r="E672" s="482">
        <f t="shared" si="27"/>
        <v>699279.40070742427</v>
      </c>
      <c r="F672" s="482">
        <f t="shared" si="31"/>
        <v>0</v>
      </c>
      <c r="G672" s="482">
        <v>0</v>
      </c>
      <c r="H672" s="482"/>
      <c r="I672" s="482"/>
      <c r="J672" s="482"/>
      <c r="K672" s="482"/>
      <c r="L672" s="482"/>
      <c r="M672" s="482"/>
      <c r="N672" s="482">
        <f t="shared" si="28"/>
        <v>851385.19859160495</v>
      </c>
      <c r="O672" s="501"/>
    </row>
    <row r="673" spans="1:18">
      <c r="A673" s="486">
        <f t="shared" si="29"/>
        <v>2063</v>
      </c>
      <c r="B673" s="486">
        <f t="shared" si="30"/>
        <v>8</v>
      </c>
      <c r="C673" s="482">
        <v>150805.42598542469</v>
      </c>
      <c r="D673" s="482"/>
      <c r="E673" s="482">
        <f t="shared" si="27"/>
        <v>750125.02712627768</v>
      </c>
      <c r="F673" s="482">
        <f t="shared" si="31"/>
        <v>0</v>
      </c>
      <c r="G673" s="482">
        <v>0</v>
      </c>
      <c r="H673" s="482"/>
      <c r="I673" s="482"/>
      <c r="J673" s="482"/>
      <c r="K673" s="482"/>
      <c r="L673" s="482"/>
      <c r="M673" s="482"/>
      <c r="N673" s="482">
        <f t="shared" si="28"/>
        <v>900930.45311170234</v>
      </c>
      <c r="O673" s="501"/>
    </row>
    <row r="674" spans="1:18">
      <c r="A674" s="486">
        <f t="shared" si="29"/>
        <v>2063</v>
      </c>
      <c r="B674" s="486">
        <f t="shared" si="30"/>
        <v>9</v>
      </c>
      <c r="C674" s="482">
        <v>128307.66496697727</v>
      </c>
      <c r="D674" s="482"/>
      <c r="E674" s="482">
        <f t="shared" si="27"/>
        <v>740443.89581704536</v>
      </c>
      <c r="F674" s="482">
        <f t="shared" si="31"/>
        <v>0</v>
      </c>
      <c r="G674" s="482">
        <v>0</v>
      </c>
      <c r="H674" s="482"/>
      <c r="I674" s="482"/>
      <c r="J674" s="482"/>
      <c r="K674" s="482"/>
      <c r="L674" s="482"/>
      <c r="M674" s="482"/>
      <c r="N674" s="482">
        <f t="shared" si="28"/>
        <v>868751.56078402267</v>
      </c>
      <c r="O674" s="501"/>
    </row>
    <row r="675" spans="1:18">
      <c r="A675" s="486">
        <f t="shared" si="29"/>
        <v>2063</v>
      </c>
      <c r="B675" s="486">
        <f t="shared" si="30"/>
        <v>10</v>
      </c>
      <c r="C675" s="482">
        <v>118635.15803195335</v>
      </c>
      <c r="D675" s="482"/>
      <c r="E675" s="482">
        <f t="shared" si="27"/>
        <v>677050.16758987273</v>
      </c>
      <c r="F675" s="482">
        <f t="shared" si="31"/>
        <v>0</v>
      </c>
      <c r="G675" s="482">
        <v>0</v>
      </c>
      <c r="H675" s="482"/>
      <c r="I675" s="482"/>
      <c r="J675" s="482"/>
      <c r="K675" s="482"/>
      <c r="L675" s="482"/>
      <c r="M675" s="482"/>
      <c r="N675" s="482">
        <f t="shared" si="28"/>
        <v>795685.32562182611</v>
      </c>
      <c r="O675" s="501"/>
    </row>
    <row r="676" spans="1:18">
      <c r="A676" s="486">
        <f t="shared" si="29"/>
        <v>2063</v>
      </c>
      <c r="B676" s="486">
        <f t="shared" si="30"/>
        <v>11</v>
      </c>
      <c r="C676" s="482">
        <v>97633.122763717794</v>
      </c>
      <c r="D676" s="482"/>
      <c r="E676" s="482">
        <f t="shared" si="27"/>
        <v>616309.4059602815</v>
      </c>
      <c r="F676" s="482">
        <f t="shared" si="31"/>
        <v>0</v>
      </c>
      <c r="G676" s="482">
        <v>0</v>
      </c>
      <c r="H676" s="482"/>
      <c r="I676" s="482"/>
      <c r="J676" s="482"/>
      <c r="K676" s="482"/>
      <c r="L676" s="482"/>
      <c r="M676" s="482"/>
      <c r="N676" s="482">
        <f t="shared" si="28"/>
        <v>713942.52872399928</v>
      </c>
      <c r="O676" s="501"/>
    </row>
    <row r="677" spans="1:18">
      <c r="A677" s="486">
        <f t="shared" si="29"/>
        <v>2063</v>
      </c>
      <c r="B677" s="486">
        <f t="shared" si="30"/>
        <v>12</v>
      </c>
      <c r="C677" s="482">
        <v>100740.79925034315</v>
      </c>
      <c r="D677" s="482"/>
      <c r="E677" s="482">
        <f t="shared" si="27"/>
        <v>577275.64052520809</v>
      </c>
      <c r="F677" s="482">
        <f t="shared" si="31"/>
        <v>0</v>
      </c>
      <c r="G677" s="482">
        <v>0</v>
      </c>
      <c r="H677" s="482"/>
      <c r="I677" s="482"/>
      <c r="J677" s="482"/>
      <c r="K677" s="482"/>
      <c r="L677" s="482"/>
      <c r="M677" s="482"/>
      <c r="N677" s="482">
        <f t="shared" si="28"/>
        <v>678016.4397755512</v>
      </c>
      <c r="O677" s="501"/>
    </row>
    <row r="678" spans="1:18">
      <c r="B678" s="486"/>
      <c r="C678" s="472"/>
      <c r="D678" s="472"/>
      <c r="E678" s="472"/>
      <c r="F678" s="475"/>
      <c r="G678" s="475"/>
      <c r="H678" s="475"/>
      <c r="I678" s="475"/>
      <c r="J678" s="475"/>
      <c r="K678" s="475"/>
      <c r="L678" s="475"/>
      <c r="M678" s="475"/>
      <c r="N678" s="475"/>
      <c r="O678" s="501"/>
    </row>
    <row r="679" spans="1:18">
      <c r="B679" s="500"/>
      <c r="C679" s="475"/>
      <c r="D679" s="475"/>
      <c r="E679" s="475"/>
      <c r="F679" s="475"/>
      <c r="G679" s="475"/>
      <c r="H679" s="475"/>
      <c r="I679" s="475"/>
      <c r="J679" s="475"/>
      <c r="K679" s="475"/>
      <c r="L679" s="475"/>
      <c r="M679" s="475"/>
      <c r="N679" s="475"/>
      <c r="O679" s="501"/>
    </row>
    <row r="680" spans="1:18">
      <c r="A680" s="486">
        <v>2007</v>
      </c>
      <c r="C680" s="475"/>
      <c r="D680" s="475"/>
      <c r="E680" s="475"/>
      <c r="F680" s="475"/>
      <c r="G680" s="475"/>
      <c r="H680" s="475"/>
      <c r="I680" s="475"/>
      <c r="J680" s="475"/>
      <c r="K680" s="475"/>
      <c r="L680" s="475"/>
      <c r="M680" s="475"/>
      <c r="N680" s="475"/>
      <c r="P680" s="478"/>
    </row>
    <row r="681" spans="1:18">
      <c r="A681" s="486">
        <v>2008</v>
      </c>
      <c r="C681" s="475">
        <f>SUM(C6:C17)</f>
        <v>721384.2790000001</v>
      </c>
      <c r="D681" s="475">
        <f t="shared" ref="D681:N681" si="32">SUM(D6:D17)</f>
        <v>258225</v>
      </c>
      <c r="E681" s="475">
        <f t="shared" si="32"/>
        <v>0</v>
      </c>
      <c r="F681" s="475">
        <f t="shared" si="32"/>
        <v>6959.0720000000001</v>
      </c>
      <c r="G681" s="475">
        <f t="shared" si="32"/>
        <v>3250</v>
      </c>
      <c r="H681" s="475">
        <f t="shared" si="32"/>
        <v>0</v>
      </c>
      <c r="I681" s="475">
        <f t="shared" si="32"/>
        <v>0</v>
      </c>
      <c r="J681" s="475">
        <f t="shared" si="32"/>
        <v>0</v>
      </c>
      <c r="K681" s="475">
        <f t="shared" si="32"/>
        <v>0</v>
      </c>
      <c r="L681" s="475">
        <f t="shared" si="32"/>
        <v>0</v>
      </c>
      <c r="M681" s="475">
        <f t="shared" si="32"/>
        <v>0</v>
      </c>
      <c r="N681" s="475">
        <f t="shared" si="32"/>
        <v>989818.35099999991</v>
      </c>
      <c r="O681" s="478">
        <f>SUM(C681:M681)</f>
        <v>989818.35100000014</v>
      </c>
      <c r="P681" s="461"/>
      <c r="Q681" s="478"/>
      <c r="R681" s="478"/>
    </row>
    <row r="682" spans="1:18">
      <c r="A682" s="486">
        <v>2009</v>
      </c>
      <c r="C682" s="475">
        <f>SUM(C18:C29)</f>
        <v>715316.12899999996</v>
      </c>
      <c r="D682" s="475">
        <f t="shared" ref="D682:N682" si="33">SUM(D18:D29)</f>
        <v>225928</v>
      </c>
      <c r="E682" s="475">
        <f t="shared" si="33"/>
        <v>0</v>
      </c>
      <c r="F682" s="475">
        <f t="shared" si="33"/>
        <v>6243.2070000000003</v>
      </c>
      <c r="G682" s="475">
        <f t="shared" si="33"/>
        <v>213450</v>
      </c>
      <c r="H682" s="475">
        <f t="shared" si="33"/>
        <v>0</v>
      </c>
      <c r="I682" s="475">
        <f t="shared" si="33"/>
        <v>0</v>
      </c>
      <c r="J682" s="475">
        <f t="shared" si="33"/>
        <v>0</v>
      </c>
      <c r="K682" s="475">
        <f t="shared" si="33"/>
        <v>0</v>
      </c>
      <c r="L682" s="475">
        <f t="shared" si="33"/>
        <v>0</v>
      </c>
      <c r="M682" s="475">
        <f t="shared" si="33"/>
        <v>0</v>
      </c>
      <c r="N682" s="475">
        <f t="shared" si="33"/>
        <v>1160937.3360000001</v>
      </c>
      <c r="O682" s="478">
        <f t="shared" ref="O682:O736" si="34">SUM(C682:M682)</f>
        <v>1160937.3360000001</v>
      </c>
      <c r="P682" s="502">
        <f>O682-N682</f>
        <v>0</v>
      </c>
      <c r="Q682" s="478"/>
      <c r="R682" s="478"/>
    </row>
    <row r="683" spans="1:18">
      <c r="A683" s="486">
        <v>2010</v>
      </c>
      <c r="C683" s="475">
        <f>SUM(C30:C41)</f>
        <v>700571.71299999999</v>
      </c>
      <c r="D683" s="475">
        <f t="shared" ref="D683:N683" si="35">SUM(D30:D41)</f>
        <v>227430</v>
      </c>
      <c r="E683" s="475">
        <f t="shared" si="35"/>
        <v>1210527.0390000001</v>
      </c>
      <c r="F683" s="475">
        <f t="shared" si="35"/>
        <v>6592.3580000000002</v>
      </c>
      <c r="G683" s="475">
        <f t="shared" si="35"/>
        <v>0</v>
      </c>
      <c r="H683" s="475">
        <f t="shared" si="35"/>
        <v>0</v>
      </c>
      <c r="I683" s="475">
        <f t="shared" si="35"/>
        <v>0</v>
      </c>
      <c r="J683" s="475">
        <f t="shared" si="35"/>
        <v>0</v>
      </c>
      <c r="K683" s="475">
        <f t="shared" si="35"/>
        <v>0</v>
      </c>
      <c r="L683" s="475">
        <f t="shared" si="35"/>
        <v>0</v>
      </c>
      <c r="M683" s="475">
        <f t="shared" si="35"/>
        <v>0</v>
      </c>
      <c r="N683" s="475">
        <f t="shared" si="35"/>
        <v>2145121.11</v>
      </c>
      <c r="O683" s="478">
        <f t="shared" si="34"/>
        <v>2145121.1100000003</v>
      </c>
      <c r="P683" s="502">
        <f t="shared" ref="P683:P736" si="36">O683-N683</f>
        <v>0</v>
      </c>
      <c r="Q683" s="478"/>
      <c r="R683" s="478"/>
    </row>
    <row r="684" spans="1:18">
      <c r="A684" s="486">
        <v>2011</v>
      </c>
      <c r="C684" s="475">
        <f t="shared" ref="C684:N684" si="37">SUM(C42:C53)</f>
        <v>737954.81099999987</v>
      </c>
      <c r="D684" s="475">
        <f t="shared" si="37"/>
        <v>226755</v>
      </c>
      <c r="E684" s="475">
        <f t="shared" si="37"/>
        <v>1177915.2519999999</v>
      </c>
      <c r="F684" s="475">
        <f t="shared" si="37"/>
        <v>7159.0049999999992</v>
      </c>
      <c r="G684" s="475">
        <f t="shared" si="37"/>
        <v>0</v>
      </c>
      <c r="H684" s="475">
        <f t="shared" si="37"/>
        <v>0</v>
      </c>
      <c r="I684" s="475">
        <f t="shared" si="37"/>
        <v>13628.775</v>
      </c>
      <c r="J684" s="475">
        <f t="shared" si="37"/>
        <v>0</v>
      </c>
      <c r="K684" s="475">
        <f t="shared" si="37"/>
        <v>0</v>
      </c>
      <c r="L684" s="475">
        <f t="shared" si="37"/>
        <v>0</v>
      </c>
      <c r="M684" s="475">
        <f t="shared" si="37"/>
        <v>0</v>
      </c>
      <c r="N684" s="475">
        <f t="shared" si="37"/>
        <v>2163412.8430000003</v>
      </c>
      <c r="O684" s="478">
        <f t="shared" si="34"/>
        <v>2163412.8429999994</v>
      </c>
      <c r="P684" s="502">
        <f t="shared" si="36"/>
        <v>0</v>
      </c>
      <c r="Q684" s="478"/>
      <c r="R684" s="478"/>
    </row>
    <row r="685" spans="1:18">
      <c r="A685" s="486">
        <v>2012</v>
      </c>
      <c r="C685" s="475">
        <f t="shared" ref="C685:N685" si="38">SUM(C54:C65)</f>
        <v>736959.8724365962</v>
      </c>
      <c r="D685" s="475">
        <f t="shared" si="38"/>
        <v>225675</v>
      </c>
      <c r="E685" s="475">
        <f t="shared" si="38"/>
        <v>1184367.7139943468</v>
      </c>
      <c r="F685" s="475">
        <f t="shared" si="38"/>
        <v>6108.3960000000006</v>
      </c>
      <c r="G685" s="475">
        <f t="shared" si="38"/>
        <v>0</v>
      </c>
      <c r="H685" s="475">
        <f t="shared" si="38"/>
        <v>0</v>
      </c>
      <c r="I685" s="475">
        <f t="shared" si="38"/>
        <v>63284.559886288225</v>
      </c>
      <c r="J685" s="475">
        <f t="shared" si="38"/>
        <v>27612.84231018924</v>
      </c>
      <c r="K685" s="475">
        <f t="shared" si="38"/>
        <v>0</v>
      </c>
      <c r="L685" s="475">
        <f t="shared" si="38"/>
        <v>0</v>
      </c>
      <c r="M685" s="475">
        <f t="shared" si="38"/>
        <v>0</v>
      </c>
      <c r="N685" s="475">
        <f t="shared" si="38"/>
        <v>2244008.3846274205</v>
      </c>
      <c r="O685" s="478">
        <f t="shared" si="34"/>
        <v>2244008.3846274209</v>
      </c>
      <c r="P685" s="502">
        <f t="shared" si="36"/>
        <v>0</v>
      </c>
      <c r="Q685" s="458"/>
      <c r="R685" s="458"/>
    </row>
    <row r="686" spans="1:18">
      <c r="A686" s="486">
        <v>2013</v>
      </c>
      <c r="C686" s="475">
        <f t="shared" ref="C686:N686" si="39">SUM(C66:C77)</f>
        <v>758684.10065496736</v>
      </c>
      <c r="D686" s="475">
        <f t="shared" si="39"/>
        <v>86175</v>
      </c>
      <c r="E686" s="475">
        <f t="shared" si="39"/>
        <v>1202479.9526656251</v>
      </c>
      <c r="F686" s="475">
        <f t="shared" si="39"/>
        <v>5251.1829000000007</v>
      </c>
      <c r="G686" s="475">
        <f t="shared" si="39"/>
        <v>0</v>
      </c>
      <c r="H686" s="475">
        <f t="shared" si="39"/>
        <v>0</v>
      </c>
      <c r="I686" s="475">
        <f t="shared" si="39"/>
        <v>61754.245287379017</v>
      </c>
      <c r="J686" s="475">
        <f t="shared" si="39"/>
        <v>38143.791103609714</v>
      </c>
      <c r="K686" s="475">
        <f t="shared" si="39"/>
        <v>0</v>
      </c>
      <c r="L686" s="475">
        <f t="shared" si="39"/>
        <v>0</v>
      </c>
      <c r="M686" s="475">
        <f t="shared" si="39"/>
        <v>0</v>
      </c>
      <c r="N686" s="475">
        <f t="shared" si="39"/>
        <v>2152488.2726115813</v>
      </c>
      <c r="O686" s="478">
        <f t="shared" si="34"/>
        <v>2152488.2726115813</v>
      </c>
      <c r="P686" s="502">
        <f t="shared" si="36"/>
        <v>0</v>
      </c>
      <c r="Q686" s="458"/>
      <c r="R686" s="458"/>
    </row>
    <row r="687" spans="1:18">
      <c r="A687" s="486">
        <v>2014</v>
      </c>
      <c r="C687" s="475">
        <f t="shared" ref="C687:N687" si="40">SUM(C78:C89)</f>
        <v>780476.94840296113</v>
      </c>
      <c r="D687" s="475">
        <f t="shared" si="40"/>
        <v>0</v>
      </c>
      <c r="E687" s="475">
        <f t="shared" si="40"/>
        <v>3831423.6471617003</v>
      </c>
      <c r="F687" s="475">
        <f t="shared" si="40"/>
        <v>0</v>
      </c>
      <c r="G687" s="475">
        <f t="shared" si="40"/>
        <v>504600</v>
      </c>
      <c r="H687" s="475">
        <f t="shared" si="40"/>
        <v>182238</v>
      </c>
      <c r="I687" s="475">
        <f t="shared" si="40"/>
        <v>63201.285238373661</v>
      </c>
      <c r="J687" s="475">
        <f t="shared" si="40"/>
        <v>38687.628941096271</v>
      </c>
      <c r="K687" s="475">
        <f t="shared" si="40"/>
        <v>197018</v>
      </c>
      <c r="L687" s="475">
        <f t="shared" si="40"/>
        <v>0</v>
      </c>
      <c r="M687" s="475">
        <f t="shared" si="40"/>
        <v>0</v>
      </c>
      <c r="N687" s="475">
        <f t="shared" si="40"/>
        <v>5597645.5097441319</v>
      </c>
      <c r="O687" s="478">
        <f t="shared" si="34"/>
        <v>5597645.5097441319</v>
      </c>
      <c r="P687" s="502">
        <f t="shared" si="36"/>
        <v>0</v>
      </c>
      <c r="Q687" s="458"/>
      <c r="R687" s="458"/>
    </row>
    <row r="688" spans="1:18">
      <c r="A688" s="486">
        <v>2015</v>
      </c>
      <c r="C688" s="475">
        <f t="shared" ref="C688:N688" si="41">SUM(C90:C101)</f>
        <v>816569.50693105895</v>
      </c>
      <c r="D688" s="475">
        <f t="shared" si="41"/>
        <v>0</v>
      </c>
      <c r="E688" s="475">
        <f t="shared" si="41"/>
        <v>3907837.2817018116</v>
      </c>
      <c r="F688" s="475">
        <f t="shared" si="41"/>
        <v>0</v>
      </c>
      <c r="G688" s="475">
        <f t="shared" si="41"/>
        <v>1102340</v>
      </c>
      <c r="H688" s="475">
        <f t="shared" si="41"/>
        <v>244050</v>
      </c>
      <c r="I688" s="475">
        <f t="shared" si="41"/>
        <v>64328.029790320485</v>
      </c>
      <c r="J688" s="475">
        <f t="shared" si="41"/>
        <v>38582.142669322755</v>
      </c>
      <c r="K688" s="475">
        <f t="shared" si="41"/>
        <v>236146.96259599988</v>
      </c>
      <c r="L688" s="475">
        <f t="shared" si="41"/>
        <v>3930</v>
      </c>
      <c r="M688" s="475">
        <f t="shared" si="41"/>
        <v>0</v>
      </c>
      <c r="N688" s="475">
        <f t="shared" si="41"/>
        <v>6413783.9236885123</v>
      </c>
      <c r="O688" s="478">
        <f t="shared" si="34"/>
        <v>6413783.9236885142</v>
      </c>
      <c r="P688" s="502">
        <f t="shared" si="36"/>
        <v>0</v>
      </c>
      <c r="Q688" s="458"/>
      <c r="R688" s="458"/>
    </row>
    <row r="689" spans="1:18">
      <c r="A689" s="486">
        <v>2016</v>
      </c>
      <c r="C689" s="475">
        <f t="shared" ref="C689:N689" si="42">SUM(C102:C113)</f>
        <v>804974.43736751343</v>
      </c>
      <c r="D689" s="475">
        <f t="shared" si="42"/>
        <v>0</v>
      </c>
      <c r="E689" s="475">
        <f t="shared" si="42"/>
        <v>3969952.3279999997</v>
      </c>
      <c r="F689" s="475">
        <f t="shared" si="42"/>
        <v>0</v>
      </c>
      <c r="G689" s="475">
        <f t="shared" si="42"/>
        <v>1102340</v>
      </c>
      <c r="H689" s="475">
        <f t="shared" si="42"/>
        <v>285480</v>
      </c>
      <c r="I689" s="475">
        <f t="shared" si="42"/>
        <v>63764.657514347076</v>
      </c>
      <c r="J689" s="475">
        <f t="shared" si="42"/>
        <v>38634.885805209509</v>
      </c>
      <c r="K689" s="475">
        <f t="shared" si="42"/>
        <v>270200.33028999984</v>
      </c>
      <c r="L689" s="475">
        <f t="shared" si="42"/>
        <v>144</v>
      </c>
      <c r="M689" s="475">
        <f t="shared" si="42"/>
        <v>152</v>
      </c>
      <c r="N689" s="475">
        <f t="shared" si="42"/>
        <v>6535642.6389770703</v>
      </c>
      <c r="O689" s="478">
        <f t="shared" si="34"/>
        <v>6535642.6389770694</v>
      </c>
      <c r="P689" s="502">
        <f t="shared" si="36"/>
        <v>0</v>
      </c>
      <c r="Q689" s="458"/>
      <c r="R689" s="458"/>
    </row>
    <row r="690" spans="1:18">
      <c r="A690" s="486">
        <v>2017</v>
      </c>
      <c r="C690" s="475">
        <f>SUM(C114:C125)</f>
        <v>814871.16515741893</v>
      </c>
      <c r="D690" s="475">
        <f t="shared" ref="D690:N690" si="43">SUM(D114:D125)</f>
        <v>0</v>
      </c>
      <c r="E690" s="475">
        <f t="shared" si="43"/>
        <v>4029501.6120000007</v>
      </c>
      <c r="F690" s="475">
        <f t="shared" si="43"/>
        <v>0</v>
      </c>
      <c r="G690" s="475">
        <f t="shared" si="43"/>
        <v>1102340</v>
      </c>
      <c r="H690" s="475">
        <f t="shared" si="43"/>
        <v>360</v>
      </c>
      <c r="I690" s="475">
        <f t="shared" si="43"/>
        <v>0</v>
      </c>
      <c r="J690" s="475">
        <f t="shared" si="43"/>
        <v>0</v>
      </c>
      <c r="K690" s="475">
        <f t="shared" si="43"/>
        <v>480</v>
      </c>
      <c r="L690" s="475">
        <f t="shared" si="43"/>
        <v>168</v>
      </c>
      <c r="M690" s="475">
        <f t="shared" si="43"/>
        <v>152</v>
      </c>
      <c r="N690" s="475">
        <f t="shared" si="43"/>
        <v>5947872.7771574194</v>
      </c>
      <c r="O690" s="478">
        <f t="shared" si="34"/>
        <v>5947872.7771574194</v>
      </c>
      <c r="P690" s="502">
        <f t="shared" si="36"/>
        <v>0</v>
      </c>
      <c r="Q690" s="458"/>
      <c r="R690" s="458"/>
    </row>
    <row r="691" spans="1:18">
      <c r="A691" s="486">
        <v>2018</v>
      </c>
      <c r="C691" s="475">
        <f>SUM(C126:C137)</f>
        <v>824889.56789301324</v>
      </c>
      <c r="D691" s="475">
        <f t="shared" ref="D691:N691" si="44">SUM(D126:D137)</f>
        <v>0</v>
      </c>
      <c r="E691" s="475">
        <f t="shared" si="44"/>
        <v>4089944.14</v>
      </c>
      <c r="F691" s="475">
        <f t="shared" si="44"/>
        <v>0</v>
      </c>
      <c r="G691" s="475">
        <f t="shared" si="44"/>
        <v>1102340</v>
      </c>
      <c r="H691" s="475">
        <f t="shared" si="44"/>
        <v>0</v>
      </c>
      <c r="I691" s="475">
        <f t="shared" si="44"/>
        <v>0</v>
      </c>
      <c r="J691" s="475">
        <f t="shared" si="44"/>
        <v>0</v>
      </c>
      <c r="K691" s="475">
        <f t="shared" si="44"/>
        <v>480</v>
      </c>
      <c r="L691" s="475">
        <f t="shared" si="44"/>
        <v>192</v>
      </c>
      <c r="M691" s="475">
        <f t="shared" si="44"/>
        <v>152</v>
      </c>
      <c r="N691" s="475">
        <f t="shared" si="44"/>
        <v>6017997.707893013</v>
      </c>
      <c r="O691" s="478">
        <f t="shared" si="34"/>
        <v>6017997.707893013</v>
      </c>
      <c r="P691" s="502">
        <f t="shared" si="36"/>
        <v>0</v>
      </c>
      <c r="Q691" s="478"/>
      <c r="R691" s="478"/>
    </row>
    <row r="692" spans="1:18">
      <c r="A692" s="486">
        <v>2019</v>
      </c>
      <c r="C692" s="475">
        <f>SUM(C138:C149)</f>
        <v>835031.14150231611</v>
      </c>
      <c r="D692" s="475">
        <f t="shared" ref="D692:N692" si="45">SUM(D138:D149)</f>
        <v>0</v>
      </c>
      <c r="E692" s="475">
        <f t="shared" si="45"/>
        <v>4151293.3000000003</v>
      </c>
      <c r="F692" s="475">
        <f t="shared" si="45"/>
        <v>0</v>
      </c>
      <c r="G692" s="475">
        <f t="shared" si="45"/>
        <v>1102340</v>
      </c>
      <c r="H692" s="475">
        <f t="shared" si="45"/>
        <v>0</v>
      </c>
      <c r="I692" s="475">
        <f t="shared" si="45"/>
        <v>0</v>
      </c>
      <c r="J692" s="475">
        <f t="shared" si="45"/>
        <v>0</v>
      </c>
      <c r="K692" s="475">
        <f t="shared" si="45"/>
        <v>480</v>
      </c>
      <c r="L692" s="475">
        <f t="shared" si="45"/>
        <v>216</v>
      </c>
      <c r="M692" s="475">
        <f t="shared" si="45"/>
        <v>152</v>
      </c>
      <c r="N692" s="475">
        <f t="shared" si="45"/>
        <v>6089512.4415023159</v>
      </c>
      <c r="O692" s="478">
        <f t="shared" si="34"/>
        <v>6089512.4415023159</v>
      </c>
      <c r="P692" s="502">
        <f t="shared" si="36"/>
        <v>0</v>
      </c>
      <c r="Q692" s="478"/>
      <c r="R692" s="478"/>
    </row>
    <row r="693" spans="1:18">
      <c r="A693" s="486">
        <v>2020</v>
      </c>
      <c r="C693" s="475">
        <f>SUM(C150:C161)</f>
        <v>845297.40030497883</v>
      </c>
      <c r="D693" s="475">
        <f t="shared" ref="D693:N693" si="46">SUM(D150:D161)</f>
        <v>0</v>
      </c>
      <c r="E693" s="475">
        <f t="shared" si="46"/>
        <v>4213562.6979999999</v>
      </c>
      <c r="F693" s="475">
        <f t="shared" si="46"/>
        <v>0</v>
      </c>
      <c r="G693" s="475">
        <f t="shared" si="46"/>
        <v>1102340</v>
      </c>
      <c r="H693" s="475">
        <f t="shared" si="46"/>
        <v>0</v>
      </c>
      <c r="I693" s="475">
        <f t="shared" si="46"/>
        <v>0</v>
      </c>
      <c r="J693" s="475">
        <f t="shared" si="46"/>
        <v>0</v>
      </c>
      <c r="K693" s="475">
        <f t="shared" si="46"/>
        <v>0</v>
      </c>
      <c r="L693" s="475">
        <f t="shared" si="46"/>
        <v>216</v>
      </c>
      <c r="M693" s="475">
        <f t="shared" si="46"/>
        <v>152</v>
      </c>
      <c r="N693" s="475">
        <f t="shared" si="46"/>
        <v>6161568.0983049814</v>
      </c>
      <c r="O693" s="478">
        <f t="shared" si="34"/>
        <v>6161568.0983049786</v>
      </c>
      <c r="P693" s="502">
        <f t="shared" si="36"/>
        <v>0</v>
      </c>
      <c r="Q693" s="478"/>
      <c r="R693" s="478"/>
    </row>
    <row r="694" spans="1:18">
      <c r="A694" s="486">
        <v>2021</v>
      </c>
      <c r="C694" s="475">
        <f>SUM(C162:C173)</f>
        <v>855689.8772383969</v>
      </c>
      <c r="D694" s="475">
        <f t="shared" ref="D694:N694" si="47">SUM(D162:D173)</f>
        <v>0</v>
      </c>
      <c r="E694" s="475">
        <f t="shared" si="47"/>
        <v>4276766.1370000001</v>
      </c>
      <c r="F694" s="475">
        <f t="shared" si="47"/>
        <v>0</v>
      </c>
      <c r="G694" s="475">
        <f t="shared" si="47"/>
        <v>510265</v>
      </c>
      <c r="H694" s="475">
        <f t="shared" si="47"/>
        <v>0</v>
      </c>
      <c r="I694" s="475">
        <f t="shared" si="47"/>
        <v>0</v>
      </c>
      <c r="J694" s="475">
        <f t="shared" si="47"/>
        <v>0</v>
      </c>
      <c r="K694" s="475">
        <f t="shared" si="47"/>
        <v>0</v>
      </c>
      <c r="L694" s="475">
        <f t="shared" si="47"/>
        <v>216</v>
      </c>
      <c r="M694" s="475">
        <f t="shared" si="47"/>
        <v>152</v>
      </c>
      <c r="N694" s="475">
        <f t="shared" si="47"/>
        <v>5643089.0142383976</v>
      </c>
      <c r="O694" s="478">
        <f t="shared" si="34"/>
        <v>5643089.0142383967</v>
      </c>
      <c r="P694" s="502">
        <f t="shared" si="36"/>
        <v>0</v>
      </c>
      <c r="Q694" s="478"/>
      <c r="R694" s="478"/>
    </row>
    <row r="695" spans="1:18">
      <c r="A695" s="486">
        <v>2022</v>
      </c>
      <c r="C695" s="475">
        <f>SUM(C174:C185)</f>
        <v>866210.12408660795</v>
      </c>
      <c r="D695" s="475">
        <f t="shared" ref="D695:N695" si="48">SUM(D174:D185)</f>
        <v>0</v>
      </c>
      <c r="E695" s="475">
        <f t="shared" si="48"/>
        <v>4340917.6289999988</v>
      </c>
      <c r="F695" s="475">
        <f t="shared" si="48"/>
        <v>0</v>
      </c>
      <c r="G695" s="475">
        <f t="shared" si="48"/>
        <v>0</v>
      </c>
      <c r="H695" s="475">
        <f t="shared" si="48"/>
        <v>0</v>
      </c>
      <c r="I695" s="475">
        <f t="shared" si="48"/>
        <v>0</v>
      </c>
      <c r="J695" s="475">
        <f t="shared" si="48"/>
        <v>0</v>
      </c>
      <c r="K695" s="475">
        <f t="shared" si="48"/>
        <v>0</v>
      </c>
      <c r="L695" s="475">
        <f t="shared" si="48"/>
        <v>216</v>
      </c>
      <c r="M695" s="475">
        <f t="shared" si="48"/>
        <v>152</v>
      </c>
      <c r="N695" s="475">
        <f t="shared" si="48"/>
        <v>5207495.753086607</v>
      </c>
      <c r="O695" s="478">
        <f t="shared" si="34"/>
        <v>5207495.753086607</v>
      </c>
      <c r="P695" s="502">
        <f t="shared" si="36"/>
        <v>0</v>
      </c>
      <c r="Q695" s="478"/>
      <c r="R695" s="478"/>
    </row>
    <row r="696" spans="1:18">
      <c r="A696" s="486">
        <v>2023</v>
      </c>
      <c r="C696" s="475">
        <f>SUM(C186:C197)</f>
        <v>876859.71171199926</v>
      </c>
      <c r="D696" s="475">
        <f t="shared" ref="D696:N696" si="49">SUM(D186:D197)</f>
        <v>0</v>
      </c>
      <c r="E696" s="475">
        <f t="shared" si="49"/>
        <v>4406031.398000001</v>
      </c>
      <c r="F696" s="475">
        <f t="shared" si="49"/>
        <v>0</v>
      </c>
      <c r="G696" s="475">
        <f t="shared" si="49"/>
        <v>0</v>
      </c>
      <c r="H696" s="475">
        <f t="shared" si="49"/>
        <v>0</v>
      </c>
      <c r="I696" s="475">
        <f t="shared" si="49"/>
        <v>0</v>
      </c>
      <c r="J696" s="475">
        <f t="shared" si="49"/>
        <v>0</v>
      </c>
      <c r="K696" s="475">
        <f t="shared" si="49"/>
        <v>0</v>
      </c>
      <c r="L696" s="475">
        <f t="shared" si="49"/>
        <v>216</v>
      </c>
      <c r="M696" s="475">
        <f t="shared" si="49"/>
        <v>152</v>
      </c>
      <c r="N696" s="475">
        <f t="shared" si="49"/>
        <v>5283259.109712</v>
      </c>
      <c r="O696" s="478">
        <f t="shared" si="34"/>
        <v>5283259.109712</v>
      </c>
      <c r="P696" s="502">
        <f t="shared" si="36"/>
        <v>0</v>
      </c>
      <c r="Q696" s="478"/>
      <c r="R696" s="478"/>
    </row>
    <row r="697" spans="1:18">
      <c r="A697" s="486">
        <v>2024</v>
      </c>
      <c r="C697" s="475">
        <f>SUM(C198:C209)</f>
        <v>887640.23028986645</v>
      </c>
      <c r="D697" s="475">
        <f t="shared" ref="D697:N697" si="50">SUM(D198:D209)</f>
        <v>0</v>
      </c>
      <c r="E697" s="475">
        <f t="shared" si="50"/>
        <v>4472121.8670000006</v>
      </c>
      <c r="F697" s="475">
        <f t="shared" si="50"/>
        <v>0</v>
      </c>
      <c r="G697" s="475">
        <f t="shared" si="50"/>
        <v>0</v>
      </c>
      <c r="H697" s="475">
        <f t="shared" si="50"/>
        <v>0</v>
      </c>
      <c r="I697" s="475">
        <f t="shared" si="50"/>
        <v>0</v>
      </c>
      <c r="J697" s="475">
        <f t="shared" si="50"/>
        <v>0</v>
      </c>
      <c r="K697" s="475">
        <f t="shared" si="50"/>
        <v>0</v>
      </c>
      <c r="L697" s="475">
        <f t="shared" si="50"/>
        <v>216</v>
      </c>
      <c r="M697" s="475">
        <f t="shared" si="50"/>
        <v>0</v>
      </c>
      <c r="N697" s="475">
        <f t="shared" si="50"/>
        <v>5359978.0972898668</v>
      </c>
      <c r="O697" s="478">
        <f t="shared" si="34"/>
        <v>5359978.0972898668</v>
      </c>
      <c r="P697" s="502">
        <f>O697-N697</f>
        <v>0</v>
      </c>
      <c r="Q697" s="478"/>
      <c r="R697" s="478"/>
    </row>
    <row r="698" spans="1:18">
      <c r="A698" s="486">
        <v>2025</v>
      </c>
      <c r="C698" s="475">
        <f>SUM(C210:C221)</f>
        <v>898553.28954585537</v>
      </c>
      <c r="D698" s="475">
        <f t="shared" ref="D698:N698" si="51">SUM(D210:D221)</f>
        <v>0</v>
      </c>
      <c r="E698" s="475">
        <f t="shared" si="51"/>
        <v>4539203.6950000003</v>
      </c>
      <c r="F698" s="475">
        <f t="shared" si="51"/>
        <v>0</v>
      </c>
      <c r="G698" s="475">
        <f t="shared" si="51"/>
        <v>0</v>
      </c>
      <c r="H698" s="475">
        <f t="shared" si="51"/>
        <v>0</v>
      </c>
      <c r="I698" s="475">
        <f t="shared" si="51"/>
        <v>0</v>
      </c>
      <c r="J698" s="475">
        <f t="shared" si="51"/>
        <v>0</v>
      </c>
      <c r="K698" s="475">
        <f t="shared" si="51"/>
        <v>0</v>
      </c>
      <c r="L698" s="475">
        <f t="shared" si="51"/>
        <v>0</v>
      </c>
      <c r="M698" s="475">
        <f t="shared" si="51"/>
        <v>0</v>
      </c>
      <c r="N698" s="475">
        <f t="shared" si="51"/>
        <v>5437756.9845458558</v>
      </c>
      <c r="O698" s="478">
        <f t="shared" si="34"/>
        <v>5437756.9845458558</v>
      </c>
      <c r="P698" s="502">
        <f t="shared" si="36"/>
        <v>0</v>
      </c>
      <c r="Q698" s="478"/>
      <c r="R698" s="478"/>
    </row>
    <row r="699" spans="1:18">
      <c r="A699" s="486">
        <v>2026</v>
      </c>
      <c r="C699" s="475">
        <f>SUM(C222:C233)</f>
        <v>909600.51899632218</v>
      </c>
      <c r="D699" s="475">
        <f t="shared" ref="D699:N699" si="52">SUM(D222:D233)</f>
        <v>0</v>
      </c>
      <c r="E699" s="475">
        <f t="shared" si="52"/>
        <v>4607291.7504669297</v>
      </c>
      <c r="F699" s="475">
        <f t="shared" si="52"/>
        <v>0</v>
      </c>
      <c r="G699" s="475">
        <f t="shared" si="52"/>
        <v>0</v>
      </c>
      <c r="H699" s="475">
        <f t="shared" si="52"/>
        <v>0</v>
      </c>
      <c r="I699" s="475">
        <f t="shared" si="52"/>
        <v>0</v>
      </c>
      <c r="J699" s="475">
        <f t="shared" si="52"/>
        <v>0</v>
      </c>
      <c r="K699" s="475">
        <f t="shared" si="52"/>
        <v>0</v>
      </c>
      <c r="L699" s="475">
        <f t="shared" si="52"/>
        <v>0</v>
      </c>
      <c r="M699" s="475">
        <f t="shared" si="52"/>
        <v>0</v>
      </c>
      <c r="N699" s="475">
        <f t="shared" si="52"/>
        <v>5516892.2694632523</v>
      </c>
      <c r="O699" s="478">
        <f t="shared" si="34"/>
        <v>5516892.2694632523</v>
      </c>
      <c r="P699" s="502">
        <f t="shared" si="36"/>
        <v>0</v>
      </c>
      <c r="Q699" s="478"/>
      <c r="R699" s="478"/>
    </row>
    <row r="700" spans="1:18">
      <c r="A700" s="486">
        <v>2027</v>
      </c>
      <c r="C700" s="475">
        <f>SUM(C234:C245)</f>
        <v>920783.56819165172</v>
      </c>
      <c r="D700" s="475">
        <f t="shared" ref="D700:N700" si="53">SUM(D234:D245)</f>
        <v>0</v>
      </c>
      <c r="E700" s="475">
        <f t="shared" si="53"/>
        <v>4676401.1267664917</v>
      </c>
      <c r="F700" s="475">
        <f t="shared" si="53"/>
        <v>0</v>
      </c>
      <c r="G700" s="475">
        <f t="shared" si="53"/>
        <v>0</v>
      </c>
      <c r="H700" s="475">
        <f t="shared" si="53"/>
        <v>0</v>
      </c>
      <c r="I700" s="475">
        <f t="shared" si="53"/>
        <v>0</v>
      </c>
      <c r="J700" s="475">
        <f t="shared" si="53"/>
        <v>0</v>
      </c>
      <c r="K700" s="475">
        <f t="shared" si="53"/>
        <v>0</v>
      </c>
      <c r="L700" s="475">
        <f t="shared" si="53"/>
        <v>0</v>
      </c>
      <c r="M700" s="475">
        <f t="shared" si="53"/>
        <v>0</v>
      </c>
      <c r="N700" s="475">
        <f t="shared" si="53"/>
        <v>5597184.694958142</v>
      </c>
      <c r="O700" s="478">
        <f t="shared" si="34"/>
        <v>5597184.6949581429</v>
      </c>
      <c r="P700" s="502">
        <f t="shared" si="36"/>
        <v>0</v>
      </c>
      <c r="Q700" s="478"/>
      <c r="R700" s="478"/>
    </row>
    <row r="701" spans="1:18">
      <c r="A701" s="486">
        <v>2028</v>
      </c>
      <c r="C701" s="475">
        <f>SUM(C246:C257)</f>
        <v>932104.10696256196</v>
      </c>
      <c r="D701" s="475">
        <f t="shared" ref="D701:N701" si="54">SUM(D246:D257)</f>
        <v>0</v>
      </c>
      <c r="E701" s="475">
        <f t="shared" si="54"/>
        <v>4746547.143711186</v>
      </c>
      <c r="F701" s="475">
        <f t="shared" si="54"/>
        <v>0</v>
      </c>
      <c r="G701" s="475">
        <f t="shared" si="54"/>
        <v>0</v>
      </c>
      <c r="H701" s="475">
        <f t="shared" si="54"/>
        <v>0</v>
      </c>
      <c r="I701" s="475">
        <f t="shared" si="54"/>
        <v>0</v>
      </c>
      <c r="J701" s="475">
        <f t="shared" si="54"/>
        <v>0</v>
      </c>
      <c r="K701" s="475">
        <f t="shared" si="54"/>
        <v>0</v>
      </c>
      <c r="L701" s="475">
        <f t="shared" si="54"/>
        <v>0</v>
      </c>
      <c r="M701" s="475">
        <f t="shared" si="54"/>
        <v>0</v>
      </c>
      <c r="N701" s="475">
        <f t="shared" si="54"/>
        <v>5678651.2506737476</v>
      </c>
      <c r="O701" s="478">
        <f t="shared" si="34"/>
        <v>5678651.2506737476</v>
      </c>
      <c r="P701" s="502">
        <f t="shared" si="36"/>
        <v>0</v>
      </c>
      <c r="Q701" s="478"/>
      <c r="R701" s="478"/>
    </row>
    <row r="702" spans="1:18">
      <c r="A702" s="486">
        <v>2029</v>
      </c>
      <c r="C702" s="475">
        <f>SUM(C258:C269)</f>
        <v>943563.82566944289</v>
      </c>
      <c r="D702" s="475">
        <f t="shared" ref="D702:N702" si="55">SUM(D258:D269)</f>
        <v>0</v>
      </c>
      <c r="E702" s="475">
        <f t="shared" si="55"/>
        <v>4817745.3509106981</v>
      </c>
      <c r="F702" s="475">
        <f t="shared" si="55"/>
        <v>0</v>
      </c>
      <c r="G702" s="475">
        <f t="shared" si="55"/>
        <v>0</v>
      </c>
      <c r="H702" s="475">
        <f t="shared" si="55"/>
        <v>0</v>
      </c>
      <c r="I702" s="475">
        <f t="shared" si="55"/>
        <v>0</v>
      </c>
      <c r="J702" s="475">
        <f t="shared" si="55"/>
        <v>0</v>
      </c>
      <c r="K702" s="475">
        <f t="shared" si="55"/>
        <v>0</v>
      </c>
      <c r="L702" s="475">
        <f t="shared" si="55"/>
        <v>0</v>
      </c>
      <c r="M702" s="475">
        <f t="shared" si="55"/>
        <v>0</v>
      </c>
      <c r="N702" s="475">
        <f t="shared" si="55"/>
        <v>5761309.1765801413</v>
      </c>
      <c r="O702" s="478">
        <f t="shared" si="34"/>
        <v>5761309.1765801413</v>
      </c>
      <c r="P702" s="502">
        <f t="shared" si="36"/>
        <v>0</v>
      </c>
      <c r="Q702" s="478"/>
      <c r="R702" s="478"/>
    </row>
    <row r="703" spans="1:18">
      <c r="A703" s="486">
        <v>2030</v>
      </c>
      <c r="C703" s="475">
        <f>SUM(C270:C281)</f>
        <v>955164.43545475579</v>
      </c>
      <c r="D703" s="475">
        <f t="shared" ref="D703:N703" si="56">SUM(D270:D281)</f>
        <v>0</v>
      </c>
      <c r="E703" s="475">
        <f t="shared" si="56"/>
        <v>4890011.5312188603</v>
      </c>
      <c r="F703" s="475">
        <f t="shared" si="56"/>
        <v>0</v>
      </c>
      <c r="G703" s="475">
        <f t="shared" si="56"/>
        <v>0</v>
      </c>
      <c r="H703" s="475">
        <f t="shared" si="56"/>
        <v>0</v>
      </c>
      <c r="I703" s="475">
        <f t="shared" si="56"/>
        <v>0</v>
      </c>
      <c r="J703" s="475">
        <f t="shared" si="56"/>
        <v>0</v>
      </c>
      <c r="K703" s="475">
        <f t="shared" si="56"/>
        <v>0</v>
      </c>
      <c r="L703" s="475">
        <f t="shared" si="56"/>
        <v>0</v>
      </c>
      <c r="M703" s="475">
        <f t="shared" si="56"/>
        <v>0</v>
      </c>
      <c r="N703" s="475">
        <f t="shared" si="56"/>
        <v>5845175.9666736173</v>
      </c>
      <c r="O703" s="478">
        <f t="shared" si="34"/>
        <v>5845175.9666736163</v>
      </c>
      <c r="P703" s="502">
        <f t="shared" si="36"/>
        <v>0</v>
      </c>
      <c r="Q703" s="478"/>
      <c r="R703" s="478"/>
    </row>
    <row r="704" spans="1:18">
      <c r="A704" s="486">
        <v>2031</v>
      </c>
      <c r="C704" s="475">
        <f>SUM(C282:C293)</f>
        <v>966907.66849853843</v>
      </c>
      <c r="D704" s="475">
        <f t="shared" ref="D704:N704" si="57">SUM(D282:D293)</f>
        <v>0</v>
      </c>
      <c r="E704" s="475">
        <f t="shared" si="57"/>
        <v>4963361.7042323137</v>
      </c>
      <c r="F704" s="475">
        <f t="shared" si="57"/>
        <v>0</v>
      </c>
      <c r="G704" s="475">
        <f t="shared" si="57"/>
        <v>0</v>
      </c>
      <c r="H704" s="475">
        <f t="shared" si="57"/>
        <v>0</v>
      </c>
      <c r="I704" s="475">
        <f t="shared" si="57"/>
        <v>0</v>
      </c>
      <c r="J704" s="475">
        <f t="shared" si="57"/>
        <v>0</v>
      </c>
      <c r="K704" s="475">
        <f t="shared" si="57"/>
        <v>0</v>
      </c>
      <c r="L704" s="475">
        <f t="shared" si="57"/>
        <v>0</v>
      </c>
      <c r="M704" s="475">
        <f t="shared" si="57"/>
        <v>0</v>
      </c>
      <c r="N704" s="475">
        <f t="shared" si="57"/>
        <v>5930269.372730853</v>
      </c>
      <c r="O704" s="478">
        <f t="shared" si="34"/>
        <v>5930269.3727308521</v>
      </c>
      <c r="P704" s="502">
        <f t="shared" si="36"/>
        <v>0</v>
      </c>
      <c r="Q704" s="478"/>
      <c r="R704" s="478"/>
    </row>
    <row r="705" spans="1:18">
      <c r="A705" s="486">
        <v>2032</v>
      </c>
      <c r="C705" s="475">
        <f>SUM(C294:C305)</f>
        <v>978795.27827705047</v>
      </c>
      <c r="D705" s="475">
        <f t="shared" ref="D705:N705" si="58">SUM(D294:D305)</f>
        <v>0</v>
      </c>
      <c r="E705" s="475">
        <f t="shared" si="58"/>
        <v>5037812.1298416471</v>
      </c>
      <c r="F705" s="475">
        <f t="shared" si="58"/>
        <v>0</v>
      </c>
      <c r="G705" s="475">
        <f t="shared" si="58"/>
        <v>0</v>
      </c>
      <c r="H705" s="475">
        <f t="shared" si="58"/>
        <v>0</v>
      </c>
      <c r="I705" s="475">
        <f t="shared" si="58"/>
        <v>0</v>
      </c>
      <c r="J705" s="475">
        <f t="shared" si="58"/>
        <v>0</v>
      </c>
      <c r="K705" s="475">
        <f t="shared" si="58"/>
        <v>0</v>
      </c>
      <c r="L705" s="475">
        <f t="shared" si="58"/>
        <v>0</v>
      </c>
      <c r="M705" s="475">
        <f t="shared" si="58"/>
        <v>0</v>
      </c>
      <c r="N705" s="475">
        <f t="shared" si="58"/>
        <v>6016607.408118696</v>
      </c>
      <c r="O705" s="478">
        <f t="shared" si="34"/>
        <v>6016607.4081186978</v>
      </c>
      <c r="P705" s="502">
        <f t="shared" si="36"/>
        <v>0</v>
      </c>
      <c r="Q705" s="478"/>
      <c r="R705" s="478"/>
    </row>
    <row r="706" spans="1:18">
      <c r="A706" s="486">
        <v>2033</v>
      </c>
      <c r="C706" s="475">
        <f>SUM(C306:C317)</f>
        <v>990829.03982459917</v>
      </c>
      <c r="D706" s="475">
        <f t="shared" ref="D706:N706" si="59">SUM(D306:D317)</f>
        <v>0</v>
      </c>
      <c r="E706" s="475">
        <f t="shared" si="59"/>
        <v>5113379.3118358059</v>
      </c>
      <c r="F706" s="475">
        <f t="shared" si="59"/>
        <v>0</v>
      </c>
      <c r="G706" s="475">
        <f t="shared" si="59"/>
        <v>0</v>
      </c>
      <c r="H706" s="475">
        <f t="shared" si="59"/>
        <v>0</v>
      </c>
      <c r="I706" s="475">
        <f t="shared" si="59"/>
        <v>0</v>
      </c>
      <c r="J706" s="475">
        <f t="shared" si="59"/>
        <v>0</v>
      </c>
      <c r="K706" s="475">
        <f t="shared" si="59"/>
        <v>0</v>
      </c>
      <c r="L706" s="475">
        <f t="shared" si="59"/>
        <v>0</v>
      </c>
      <c r="M706" s="475">
        <f t="shared" si="59"/>
        <v>0</v>
      </c>
      <c r="N706" s="475">
        <f t="shared" si="59"/>
        <v>6104208.3516604053</v>
      </c>
      <c r="O706" s="478">
        <f t="shared" si="34"/>
        <v>6104208.3516604053</v>
      </c>
      <c r="P706" s="502">
        <f t="shared" si="36"/>
        <v>0</v>
      </c>
      <c r="Q706" s="478"/>
      <c r="R706" s="478"/>
    </row>
    <row r="707" spans="1:18">
      <c r="A707" s="486">
        <v>2034</v>
      </c>
      <c r="C707" s="475">
        <f>SUM(C318:C329)</f>
        <v>1003010.7499985839</v>
      </c>
      <c r="D707" s="475">
        <f t="shared" ref="D707:N707" si="60">SUM(D318:D329)</f>
        <v>0</v>
      </c>
      <c r="E707" s="475">
        <f t="shared" si="60"/>
        <v>5190080.0015605763</v>
      </c>
      <c r="F707" s="475">
        <f t="shared" si="60"/>
        <v>0</v>
      </c>
      <c r="G707" s="475">
        <f t="shared" si="60"/>
        <v>0</v>
      </c>
      <c r="H707" s="475">
        <f t="shared" si="60"/>
        <v>0</v>
      </c>
      <c r="I707" s="475">
        <f t="shared" si="60"/>
        <v>0</v>
      </c>
      <c r="J707" s="475">
        <f t="shared" si="60"/>
        <v>0</v>
      </c>
      <c r="K707" s="475">
        <f t="shared" si="60"/>
        <v>0</v>
      </c>
      <c r="L707" s="475">
        <f t="shared" si="60"/>
        <v>0</v>
      </c>
      <c r="M707" s="475">
        <f t="shared" si="60"/>
        <v>0</v>
      </c>
      <c r="N707" s="475">
        <f t="shared" si="60"/>
        <v>6193090.7515591597</v>
      </c>
      <c r="O707" s="478">
        <f t="shared" si="34"/>
        <v>6193090.7515591606</v>
      </c>
      <c r="P707" s="502">
        <f t="shared" si="36"/>
        <v>0</v>
      </c>
      <c r="Q707" s="478"/>
      <c r="R707" s="478"/>
    </row>
    <row r="708" spans="1:18">
      <c r="A708" s="486">
        <v>2035</v>
      </c>
      <c r="C708" s="475">
        <f>SUM(C330:C341)</f>
        <v>1015342.2277477996</v>
      </c>
      <c r="D708" s="475">
        <f t="shared" ref="D708:N708" si="61">SUM(D330:D341)</f>
        <v>0</v>
      </c>
      <c r="E708" s="475">
        <f t="shared" si="61"/>
        <v>5267931.201631926</v>
      </c>
      <c r="F708" s="475">
        <f t="shared" si="61"/>
        <v>0</v>
      </c>
      <c r="G708" s="475">
        <f t="shared" si="61"/>
        <v>0</v>
      </c>
      <c r="H708" s="475">
        <f t="shared" si="61"/>
        <v>0</v>
      </c>
      <c r="I708" s="475">
        <f t="shared" si="61"/>
        <v>0</v>
      </c>
      <c r="J708" s="475">
        <f t="shared" si="61"/>
        <v>0</v>
      </c>
      <c r="K708" s="475">
        <f t="shared" si="61"/>
        <v>0</v>
      </c>
      <c r="L708" s="475">
        <f t="shared" si="61"/>
        <v>0</v>
      </c>
      <c r="M708" s="475">
        <f t="shared" si="61"/>
        <v>0</v>
      </c>
      <c r="N708" s="475">
        <f t="shared" si="61"/>
        <v>6283273.4293797258</v>
      </c>
      <c r="O708" s="478">
        <f t="shared" si="34"/>
        <v>6283273.4293797258</v>
      </c>
      <c r="P708" s="502">
        <f t="shared" si="36"/>
        <v>0</v>
      </c>
      <c r="Q708" s="478"/>
      <c r="R708" s="478"/>
    </row>
    <row r="709" spans="1:18">
      <c r="A709" s="486">
        <v>2036</v>
      </c>
      <c r="C709" s="475">
        <f>SUM(C342:C353)</f>
        <v>1027825.3143840383</v>
      </c>
      <c r="D709" s="475">
        <f t="shared" ref="D709:N709" si="62">SUM(D342:D353)</f>
        <v>0</v>
      </c>
      <c r="E709" s="475">
        <f t="shared" si="62"/>
        <v>5346950.1697050668</v>
      </c>
      <c r="F709" s="475">
        <f t="shared" si="62"/>
        <v>0</v>
      </c>
      <c r="G709" s="475">
        <f t="shared" si="62"/>
        <v>0</v>
      </c>
      <c r="H709" s="475">
        <f t="shared" si="62"/>
        <v>0</v>
      </c>
      <c r="I709" s="475">
        <f t="shared" si="62"/>
        <v>0</v>
      </c>
      <c r="J709" s="475">
        <f t="shared" si="62"/>
        <v>0</v>
      </c>
      <c r="K709" s="475">
        <f t="shared" si="62"/>
        <v>0</v>
      </c>
      <c r="L709" s="475">
        <f t="shared" si="62"/>
        <v>0</v>
      </c>
      <c r="M709" s="475">
        <f t="shared" si="62"/>
        <v>0</v>
      </c>
      <c r="N709" s="475">
        <f t="shared" si="62"/>
        <v>6374775.4840891054</v>
      </c>
      <c r="O709" s="478">
        <f t="shared" si="34"/>
        <v>6374775.4840891054</v>
      </c>
      <c r="P709" s="502">
        <f t="shared" si="36"/>
        <v>0</v>
      </c>
      <c r="Q709" s="478"/>
      <c r="R709" s="478"/>
    </row>
    <row r="710" spans="1:18">
      <c r="A710" s="486">
        <v>2037</v>
      </c>
      <c r="C710" s="475">
        <f>SUM(C354:C365)</f>
        <v>1040461.8738570306</v>
      </c>
      <c r="D710" s="475">
        <f t="shared" ref="D710:N710" si="63">SUM(D354:D365)</f>
        <v>0</v>
      </c>
      <c r="E710" s="475">
        <f t="shared" si="63"/>
        <v>5427154.4223000333</v>
      </c>
      <c r="F710" s="475">
        <f t="shared" si="63"/>
        <v>0</v>
      </c>
      <c r="G710" s="475">
        <f t="shared" si="63"/>
        <v>0</v>
      </c>
      <c r="H710" s="475">
        <f t="shared" si="63"/>
        <v>0</v>
      </c>
      <c r="I710" s="475">
        <f t="shared" si="63"/>
        <v>0</v>
      </c>
      <c r="J710" s="475">
        <f t="shared" si="63"/>
        <v>0</v>
      </c>
      <c r="K710" s="475">
        <f t="shared" si="63"/>
        <v>0</v>
      </c>
      <c r="L710" s="475">
        <f t="shared" si="63"/>
        <v>0</v>
      </c>
      <c r="M710" s="475">
        <f t="shared" si="63"/>
        <v>0</v>
      </c>
      <c r="N710" s="475">
        <f t="shared" si="63"/>
        <v>6467616.296157063</v>
      </c>
      <c r="O710" s="478">
        <f t="shared" si="34"/>
        <v>6467616.2961570639</v>
      </c>
      <c r="P710" s="502">
        <f t="shared" si="36"/>
        <v>0</v>
      </c>
      <c r="Q710" s="478"/>
      <c r="R710" s="478"/>
    </row>
    <row r="711" spans="1:18">
      <c r="A711" s="486">
        <v>2038</v>
      </c>
      <c r="C711" s="475">
        <f>SUM(C366:C377)</f>
        <v>1053253.7930327656</v>
      </c>
      <c r="D711" s="475">
        <f t="shared" ref="D711:N711" si="64">SUM(D366:D377)</f>
        <v>0</v>
      </c>
      <c r="E711" s="475">
        <f t="shared" si="64"/>
        <v>5508561.7386846654</v>
      </c>
      <c r="F711" s="475">
        <f t="shared" si="64"/>
        <v>0</v>
      </c>
      <c r="G711" s="475">
        <f t="shared" si="64"/>
        <v>0</v>
      </c>
      <c r="H711" s="475">
        <f t="shared" si="64"/>
        <v>0</v>
      </c>
      <c r="I711" s="475">
        <f t="shared" si="64"/>
        <v>0</v>
      </c>
      <c r="J711" s="475">
        <f t="shared" si="64"/>
        <v>0</v>
      </c>
      <c r="K711" s="475">
        <f t="shared" si="64"/>
        <v>0</v>
      </c>
      <c r="L711" s="475">
        <f t="shared" si="64"/>
        <v>0</v>
      </c>
      <c r="M711" s="475">
        <f t="shared" si="64"/>
        <v>0</v>
      </c>
      <c r="N711" s="475">
        <f t="shared" si="64"/>
        <v>6561815.5317174317</v>
      </c>
      <c r="O711" s="478">
        <f t="shared" si="34"/>
        <v>6561815.5317174308</v>
      </c>
      <c r="P711" s="502">
        <f t="shared" si="36"/>
        <v>0</v>
      </c>
      <c r="Q711" s="478"/>
      <c r="R711" s="478"/>
    </row>
    <row r="712" spans="1:18">
      <c r="A712" s="486">
        <v>2039</v>
      </c>
      <c r="C712" s="475">
        <f>SUM(C378:C389)</f>
        <v>1066202.981975236</v>
      </c>
      <c r="D712" s="475">
        <f t="shared" ref="D712:N712" si="65">SUM(D378:D389)</f>
        <v>0</v>
      </c>
      <c r="E712" s="475">
        <f t="shared" si="65"/>
        <v>5591190.1648158189</v>
      </c>
      <c r="F712" s="475">
        <f t="shared" si="65"/>
        <v>0</v>
      </c>
      <c r="G712" s="475">
        <f t="shared" si="65"/>
        <v>0</v>
      </c>
      <c r="H712" s="475">
        <f t="shared" si="65"/>
        <v>0</v>
      </c>
      <c r="I712" s="475">
        <f t="shared" si="65"/>
        <v>0</v>
      </c>
      <c r="J712" s="475">
        <f t="shared" si="65"/>
        <v>0</v>
      </c>
      <c r="K712" s="475">
        <f t="shared" si="65"/>
        <v>0</v>
      </c>
      <c r="L712" s="475">
        <f t="shared" si="65"/>
        <v>0</v>
      </c>
      <c r="M712" s="475">
        <f t="shared" si="65"/>
        <v>0</v>
      </c>
      <c r="N712" s="475">
        <f t="shared" si="65"/>
        <v>6657393.1467910539</v>
      </c>
      <c r="O712" s="478">
        <f t="shared" si="34"/>
        <v>6657393.1467910549</v>
      </c>
      <c r="P712" s="502">
        <f t="shared" si="36"/>
        <v>0</v>
      </c>
      <c r="Q712" s="478"/>
      <c r="R712" s="478"/>
    </row>
    <row r="713" spans="1:18">
      <c r="A713" s="486">
        <v>2040</v>
      </c>
      <c r="C713" s="475">
        <f>SUM(C390:C401)</f>
        <v>1079311.3742316433</v>
      </c>
      <c r="D713" s="475">
        <f t="shared" ref="D713:N713" si="66">SUM(D390:D401)</f>
        <v>0</v>
      </c>
      <c r="E713" s="475">
        <f t="shared" si="66"/>
        <v>5675058.0173397027</v>
      </c>
      <c r="F713" s="475">
        <f t="shared" si="66"/>
        <v>0</v>
      </c>
      <c r="G713" s="475">
        <f t="shared" si="66"/>
        <v>0</v>
      </c>
      <c r="H713" s="475">
        <f t="shared" si="66"/>
        <v>0</v>
      </c>
      <c r="I713" s="475">
        <f t="shared" si="66"/>
        <v>0</v>
      </c>
      <c r="J713" s="475">
        <f t="shared" si="66"/>
        <v>0</v>
      </c>
      <c r="K713" s="475">
        <f t="shared" si="66"/>
        <v>0</v>
      </c>
      <c r="L713" s="475">
        <f t="shared" si="66"/>
        <v>0</v>
      </c>
      <c r="M713" s="475">
        <f t="shared" si="66"/>
        <v>0</v>
      </c>
      <c r="N713" s="475">
        <f t="shared" si="66"/>
        <v>6754369.3915713467</v>
      </c>
      <c r="O713" s="478">
        <f t="shared" si="34"/>
        <v>6754369.3915713457</v>
      </c>
      <c r="P713" s="502">
        <f t="shared" si="36"/>
        <v>0</v>
      </c>
      <c r="Q713" s="478"/>
      <c r="R713" s="478"/>
    </row>
    <row r="714" spans="1:18">
      <c r="A714" s="486">
        <v>2041</v>
      </c>
      <c r="C714" s="475">
        <f>SUM(C402:C413)</f>
        <v>1092580.9271211131</v>
      </c>
      <c r="D714" s="475">
        <f t="shared" ref="D714:N714" si="67">SUM(D402:D413)</f>
        <v>0</v>
      </c>
      <c r="E714" s="475">
        <f t="shared" si="67"/>
        <v>5760183.8876522202</v>
      </c>
      <c r="F714" s="475">
        <f t="shared" si="67"/>
        <v>0</v>
      </c>
      <c r="G714" s="475">
        <f t="shared" si="67"/>
        <v>0</v>
      </c>
      <c r="H714" s="475">
        <f t="shared" si="67"/>
        <v>0</v>
      </c>
      <c r="I714" s="475">
        <f t="shared" si="67"/>
        <v>0</v>
      </c>
      <c r="J714" s="475">
        <f t="shared" si="67"/>
        <v>0</v>
      </c>
      <c r="K714" s="475">
        <f t="shared" si="67"/>
        <v>0</v>
      </c>
      <c r="L714" s="475">
        <f t="shared" si="67"/>
        <v>0</v>
      </c>
      <c r="M714" s="475">
        <f t="shared" si="67"/>
        <v>0</v>
      </c>
      <c r="N714" s="475">
        <f t="shared" si="67"/>
        <v>6852764.8147733333</v>
      </c>
      <c r="O714" s="478">
        <f t="shared" si="34"/>
        <v>6852764.8147733333</v>
      </c>
      <c r="P714" s="502">
        <f t="shared" si="36"/>
        <v>0</v>
      </c>
      <c r="Q714" s="478"/>
      <c r="R714" s="478"/>
    </row>
    <row r="715" spans="1:18">
      <c r="A715" s="486">
        <v>2042</v>
      </c>
      <c r="C715" s="475">
        <f>SUM(C414:C425)</f>
        <v>1106013.6220269559</v>
      </c>
      <c r="D715" s="475">
        <f t="shared" ref="D715:N715" si="68">SUM(D414:D425)</f>
        <v>0</v>
      </c>
      <c r="E715" s="475">
        <f t="shared" si="68"/>
        <v>5846586.6460202113</v>
      </c>
      <c r="F715" s="475">
        <f t="shared" si="68"/>
        <v>0</v>
      </c>
      <c r="G715" s="475">
        <f t="shared" si="68"/>
        <v>0</v>
      </c>
      <c r="H715" s="475">
        <f t="shared" si="68"/>
        <v>0</v>
      </c>
      <c r="I715" s="475">
        <f t="shared" si="68"/>
        <v>0</v>
      </c>
      <c r="J715" s="475">
        <f t="shared" si="68"/>
        <v>0</v>
      </c>
      <c r="K715" s="475">
        <f t="shared" si="68"/>
        <v>0</v>
      </c>
      <c r="L715" s="475">
        <f t="shared" si="68"/>
        <v>0</v>
      </c>
      <c r="M715" s="475">
        <f t="shared" si="68"/>
        <v>0</v>
      </c>
      <c r="N715" s="475">
        <f t="shared" si="68"/>
        <v>6952600.2680471679</v>
      </c>
      <c r="O715" s="478">
        <f t="shared" si="34"/>
        <v>6952600.268047167</v>
      </c>
      <c r="P715" s="502">
        <f t="shared" si="36"/>
        <v>0</v>
      </c>
      <c r="Q715" s="478"/>
      <c r="R715" s="478"/>
    </row>
    <row r="716" spans="1:18">
      <c r="A716" s="486">
        <v>2043</v>
      </c>
      <c r="C716" s="475">
        <f>SUM(C426:C437)</f>
        <v>1119611.4646925249</v>
      </c>
      <c r="D716" s="475">
        <f t="shared" ref="D716:N716" si="69">SUM(D426:D437)</f>
        <v>0</v>
      </c>
      <c r="E716" s="475">
        <f t="shared" si="69"/>
        <v>5934285.4457645202</v>
      </c>
      <c r="F716" s="475">
        <f t="shared" si="69"/>
        <v>0</v>
      </c>
      <c r="G716" s="475">
        <f t="shared" si="69"/>
        <v>0</v>
      </c>
      <c r="H716" s="475">
        <f t="shared" si="69"/>
        <v>0</v>
      </c>
      <c r="I716" s="475">
        <f t="shared" si="69"/>
        <v>0</v>
      </c>
      <c r="J716" s="475">
        <f t="shared" si="69"/>
        <v>0</v>
      </c>
      <c r="K716" s="475">
        <f t="shared" si="69"/>
        <v>0</v>
      </c>
      <c r="L716" s="475">
        <f t="shared" si="69"/>
        <v>0</v>
      </c>
      <c r="M716" s="475">
        <f t="shared" si="69"/>
        <v>0</v>
      </c>
      <c r="N716" s="475">
        <f t="shared" si="69"/>
        <v>7053896.9104570448</v>
      </c>
      <c r="O716" s="478">
        <f t="shared" si="34"/>
        <v>7053896.9104570448</v>
      </c>
      <c r="P716" s="502">
        <f t="shared" si="36"/>
        <v>0</v>
      </c>
      <c r="Q716" s="478"/>
      <c r="R716" s="478"/>
    </row>
    <row r="717" spans="1:18">
      <c r="A717" s="486">
        <v>2044</v>
      </c>
      <c r="C717" s="475">
        <f>SUM(C438:C449)</f>
        <v>1133376.4855207084</v>
      </c>
      <c r="D717" s="475">
        <f t="shared" ref="D717:N717" si="70">SUM(D438:D449)</f>
        <v>0</v>
      </c>
      <c r="E717" s="475">
        <f t="shared" si="70"/>
        <v>6023299.727505804</v>
      </c>
      <c r="F717" s="475">
        <f t="shared" si="70"/>
        <v>0</v>
      </c>
      <c r="G717" s="475">
        <f t="shared" si="70"/>
        <v>0</v>
      </c>
      <c r="H717" s="475">
        <f t="shared" si="70"/>
        <v>0</v>
      </c>
      <c r="I717" s="475">
        <f t="shared" si="70"/>
        <v>0</v>
      </c>
      <c r="J717" s="475">
        <f t="shared" si="70"/>
        <v>0</v>
      </c>
      <c r="K717" s="475">
        <f t="shared" si="70"/>
        <v>0</v>
      </c>
      <c r="L717" s="475">
        <f t="shared" si="70"/>
        <v>0</v>
      </c>
      <c r="M717" s="475">
        <f t="shared" si="70"/>
        <v>0</v>
      </c>
      <c r="N717" s="475">
        <f t="shared" si="70"/>
        <v>7156676.2130265124</v>
      </c>
      <c r="O717" s="478">
        <f t="shared" si="34"/>
        <v>7156676.2130265124</v>
      </c>
      <c r="P717" s="502">
        <f t="shared" si="36"/>
        <v>0</v>
      </c>
      <c r="Q717" s="478"/>
      <c r="R717" s="478"/>
    </row>
    <row r="718" spans="1:18">
      <c r="A718" s="486">
        <v>2045</v>
      </c>
      <c r="C718" s="475">
        <f>SUM(C450:C461)</f>
        <v>1147310.7398771073</v>
      </c>
      <c r="D718" s="475">
        <f t="shared" ref="D718:N718" si="71">SUM(D450:D461)</f>
        <v>0</v>
      </c>
      <c r="E718" s="475">
        <f t="shared" si="71"/>
        <v>6113649.2234740295</v>
      </c>
      <c r="F718" s="475">
        <f t="shared" si="71"/>
        <v>0</v>
      </c>
      <c r="G718" s="475">
        <f t="shared" si="71"/>
        <v>0</v>
      </c>
      <c r="H718" s="475">
        <f t="shared" si="71"/>
        <v>0</v>
      </c>
      <c r="I718" s="475">
        <f t="shared" si="71"/>
        <v>0</v>
      </c>
      <c r="J718" s="475">
        <f t="shared" si="71"/>
        <v>0</v>
      </c>
      <c r="K718" s="475">
        <f t="shared" si="71"/>
        <v>0</v>
      </c>
      <c r="L718" s="475">
        <f t="shared" si="71"/>
        <v>0</v>
      </c>
      <c r="M718" s="475">
        <f t="shared" si="71"/>
        <v>0</v>
      </c>
      <c r="N718" s="475">
        <f t="shared" si="71"/>
        <v>7260959.9633511361</v>
      </c>
      <c r="O718" s="478">
        <f t="shared" si="34"/>
        <v>7260959.963351137</v>
      </c>
      <c r="P718" s="502">
        <f t="shared" si="36"/>
        <v>0</v>
      </c>
      <c r="Q718" s="478"/>
      <c r="R718" s="478"/>
    </row>
    <row r="719" spans="1:18">
      <c r="A719" s="486">
        <v>2046</v>
      </c>
      <c r="C719" s="475">
        <f>SUM(C462:C473)</f>
        <v>1161416.3083969371</v>
      </c>
      <c r="D719" s="475">
        <f t="shared" ref="D719:N719" si="72">SUM(D462:D473)</f>
        <v>0</v>
      </c>
      <c r="E719" s="475">
        <f t="shared" si="72"/>
        <v>6205353.9618826127</v>
      </c>
      <c r="F719" s="475">
        <f t="shared" si="72"/>
        <v>0</v>
      </c>
      <c r="G719" s="475">
        <f t="shared" si="72"/>
        <v>0</v>
      </c>
      <c r="H719" s="475">
        <f t="shared" si="72"/>
        <v>0</v>
      </c>
      <c r="I719" s="475">
        <f t="shared" si="72"/>
        <v>0</v>
      </c>
      <c r="J719" s="475">
        <f t="shared" si="72"/>
        <v>0</v>
      </c>
      <c r="K719" s="475">
        <f t="shared" si="72"/>
        <v>0</v>
      </c>
      <c r="L719" s="475">
        <f t="shared" si="72"/>
        <v>0</v>
      </c>
      <c r="M719" s="475">
        <f t="shared" si="72"/>
        <v>0</v>
      </c>
      <c r="N719" s="475">
        <f t="shared" si="72"/>
        <v>7366770.2702795491</v>
      </c>
      <c r="O719" s="478">
        <f t="shared" si="34"/>
        <v>7366770.27027955</v>
      </c>
      <c r="P719" s="502">
        <f t="shared" si="36"/>
        <v>0</v>
      </c>
      <c r="Q719" s="478"/>
      <c r="R719" s="478"/>
    </row>
    <row r="720" spans="1:18">
      <c r="A720" s="486">
        <v>2047</v>
      </c>
      <c r="C720" s="475">
        <f>SUM(C474:C485)</f>
        <v>1175695.2972957033</v>
      </c>
      <c r="D720" s="475">
        <f t="shared" ref="D720:N720" si="73">SUM(D474:D485)</f>
        <v>0</v>
      </c>
      <c r="E720" s="475">
        <f t="shared" si="73"/>
        <v>6298434.271368172</v>
      </c>
      <c r="F720" s="475">
        <f t="shared" si="73"/>
        <v>0</v>
      </c>
      <c r="G720" s="475">
        <f t="shared" si="73"/>
        <v>0</v>
      </c>
      <c r="H720" s="475">
        <f t="shared" si="73"/>
        <v>0</v>
      </c>
      <c r="I720" s="475">
        <f t="shared" si="73"/>
        <v>0</v>
      </c>
      <c r="J720" s="475">
        <f t="shared" si="73"/>
        <v>0</v>
      </c>
      <c r="K720" s="475">
        <f t="shared" si="73"/>
        <v>0</v>
      </c>
      <c r="L720" s="475">
        <f t="shared" si="73"/>
        <v>0</v>
      </c>
      <c r="M720" s="475">
        <f t="shared" si="73"/>
        <v>0</v>
      </c>
      <c r="N720" s="475">
        <f t="shared" si="73"/>
        <v>7474129.5686638765</v>
      </c>
      <c r="O720" s="478">
        <f t="shared" si="34"/>
        <v>7474129.5686638756</v>
      </c>
      <c r="P720" s="502">
        <f t="shared" si="36"/>
        <v>0</v>
      </c>
      <c r="Q720" s="478"/>
      <c r="R720" s="478"/>
    </row>
    <row r="721" spans="1:18">
      <c r="A721" s="486">
        <v>2048</v>
      </c>
      <c r="C721" s="475">
        <f>SUM(C486:C497)</f>
        <v>1190149.8386836993</v>
      </c>
      <c r="D721" s="475">
        <f t="shared" ref="D721:N721" si="74">SUM(D486:D497)</f>
        <v>0</v>
      </c>
      <c r="E721" s="475">
        <f t="shared" si="74"/>
        <v>6392910.7854968738</v>
      </c>
      <c r="F721" s="475">
        <f t="shared" si="74"/>
        <v>0</v>
      </c>
      <c r="G721" s="475">
        <f t="shared" si="74"/>
        <v>0</v>
      </c>
      <c r="H721" s="475">
        <f t="shared" si="74"/>
        <v>0</v>
      </c>
      <c r="I721" s="475">
        <f t="shared" si="74"/>
        <v>0</v>
      </c>
      <c r="J721" s="475">
        <f t="shared" si="74"/>
        <v>0</v>
      </c>
      <c r="K721" s="475">
        <f t="shared" si="74"/>
        <v>0</v>
      </c>
      <c r="L721" s="475">
        <f t="shared" si="74"/>
        <v>0</v>
      </c>
      <c r="M721" s="475">
        <f t="shared" si="74"/>
        <v>0</v>
      </c>
      <c r="N721" s="475">
        <f t="shared" si="74"/>
        <v>7583060.624180573</v>
      </c>
      <c r="O721" s="478">
        <f t="shared" si="34"/>
        <v>7583060.624180573</v>
      </c>
      <c r="P721" s="502">
        <f t="shared" si="36"/>
        <v>0</v>
      </c>
      <c r="Q721" s="478"/>
      <c r="R721" s="478"/>
    </row>
    <row r="722" spans="1:18">
      <c r="A722" s="486">
        <v>2049</v>
      </c>
      <c r="C722" s="475">
        <f>SUM(C498:C509)</f>
        <v>1204782.0908843675</v>
      </c>
      <c r="D722" s="475">
        <f t="shared" ref="D722:N722" si="75">SUM(D498:D509)</f>
        <v>0</v>
      </c>
      <c r="E722" s="475">
        <f t="shared" si="75"/>
        <v>6488804.4473383799</v>
      </c>
      <c r="F722" s="475">
        <f t="shared" si="75"/>
        <v>0</v>
      </c>
      <c r="G722" s="475">
        <f t="shared" si="75"/>
        <v>0</v>
      </c>
      <c r="H722" s="475">
        <f t="shared" si="75"/>
        <v>0</v>
      </c>
      <c r="I722" s="475">
        <f t="shared" si="75"/>
        <v>0</v>
      </c>
      <c r="J722" s="475">
        <f t="shared" si="75"/>
        <v>0</v>
      </c>
      <c r="K722" s="475">
        <f t="shared" si="75"/>
        <v>0</v>
      </c>
      <c r="L722" s="475">
        <f t="shared" si="75"/>
        <v>0</v>
      </c>
      <c r="M722" s="475">
        <f t="shared" si="75"/>
        <v>0</v>
      </c>
      <c r="N722" s="475">
        <f t="shared" si="75"/>
        <v>7693586.5382227479</v>
      </c>
      <c r="O722" s="478">
        <f t="shared" si="34"/>
        <v>7693586.5382227469</v>
      </c>
      <c r="P722" s="502">
        <f t="shared" si="36"/>
        <v>0</v>
      </c>
      <c r="Q722" s="478"/>
      <c r="R722" s="478"/>
    </row>
    <row r="723" spans="1:18">
      <c r="A723" s="486">
        <v>2050</v>
      </c>
      <c r="C723" s="475">
        <f>SUM(C510:C521)</f>
        <v>1219594.2387565766</v>
      </c>
      <c r="D723" s="475">
        <f t="shared" ref="D723:N723" si="76">SUM(D510:D521)</f>
        <v>0</v>
      </c>
      <c r="E723" s="475">
        <f t="shared" si="76"/>
        <v>6586136.5141083924</v>
      </c>
      <c r="F723" s="475">
        <f t="shared" si="76"/>
        <v>0</v>
      </c>
      <c r="G723" s="475">
        <f t="shared" si="76"/>
        <v>0</v>
      </c>
      <c r="H723" s="475">
        <f t="shared" si="76"/>
        <v>0</v>
      </c>
      <c r="I723" s="475">
        <f t="shared" si="76"/>
        <v>0</v>
      </c>
      <c r="J723" s="475">
        <f t="shared" si="76"/>
        <v>0</v>
      </c>
      <c r="K723" s="475">
        <f t="shared" si="76"/>
        <v>0</v>
      </c>
      <c r="L723" s="475">
        <f t="shared" si="76"/>
        <v>0</v>
      </c>
      <c r="M723" s="475">
        <f t="shared" si="76"/>
        <v>0</v>
      </c>
      <c r="N723" s="475">
        <f t="shared" si="76"/>
        <v>7805730.7528649699</v>
      </c>
      <c r="O723" s="478">
        <f t="shared" si="34"/>
        <v>7805730.752864969</v>
      </c>
      <c r="P723" s="502">
        <f t="shared" si="36"/>
        <v>0</v>
      </c>
      <c r="Q723" s="478"/>
      <c r="R723" s="478"/>
    </row>
    <row r="724" spans="1:18">
      <c r="A724" s="486">
        <v>2051</v>
      </c>
      <c r="C724" s="475">
        <f>SUM(C522:C533)</f>
        <v>1234588.4940208588</v>
      </c>
      <c r="D724" s="475">
        <f t="shared" ref="D724:N724" si="77">SUM(D522:D533)</f>
        <v>0</v>
      </c>
      <c r="E724" s="475">
        <f t="shared" si="77"/>
        <v>6684928.5618808568</v>
      </c>
      <c r="F724" s="475">
        <f t="shared" si="77"/>
        <v>0</v>
      </c>
      <c r="G724" s="475">
        <f t="shared" si="77"/>
        <v>0</v>
      </c>
      <c r="H724" s="475">
        <f t="shared" si="77"/>
        <v>0</v>
      </c>
      <c r="I724" s="475">
        <f t="shared" si="77"/>
        <v>0</v>
      </c>
      <c r="J724" s="475">
        <f t="shared" si="77"/>
        <v>0</v>
      </c>
      <c r="K724" s="475">
        <f t="shared" si="77"/>
        <v>0</v>
      </c>
      <c r="L724" s="475">
        <f t="shared" si="77"/>
        <v>0</v>
      </c>
      <c r="M724" s="475">
        <f t="shared" si="77"/>
        <v>0</v>
      </c>
      <c r="N724" s="475">
        <f t="shared" si="77"/>
        <v>7919517.0559017146</v>
      </c>
      <c r="O724" s="478">
        <f t="shared" si="34"/>
        <v>7919517.0559017155</v>
      </c>
      <c r="P724" s="502">
        <f t="shared" si="36"/>
        <v>0</v>
      </c>
      <c r="Q724" s="478"/>
      <c r="R724" s="478"/>
    </row>
    <row r="725" spans="1:18">
      <c r="A725" s="486">
        <v>2052</v>
      </c>
      <c r="C725" s="475">
        <f>SUM(C534:C545)</f>
        <v>1249767.0955896631</v>
      </c>
      <c r="D725" s="475">
        <f t="shared" ref="D725:N725" si="78">SUM(D534:D545)</f>
        <v>0</v>
      </c>
      <c r="E725" s="475">
        <f t="shared" si="78"/>
        <v>6785202.4903708184</v>
      </c>
      <c r="F725" s="475">
        <f t="shared" si="78"/>
        <v>0</v>
      </c>
      <c r="G725" s="475">
        <f t="shared" si="78"/>
        <v>0</v>
      </c>
      <c r="H725" s="475">
        <f t="shared" si="78"/>
        <v>0</v>
      </c>
      <c r="I725" s="475">
        <f t="shared" si="78"/>
        <v>0</v>
      </c>
      <c r="J725" s="475">
        <f t="shared" si="78"/>
        <v>0</v>
      </c>
      <c r="K725" s="475">
        <f t="shared" si="78"/>
        <v>0</v>
      </c>
      <c r="L725" s="475">
        <f t="shared" si="78"/>
        <v>0</v>
      </c>
      <c r="M725" s="475">
        <f t="shared" si="78"/>
        <v>0</v>
      </c>
      <c r="N725" s="475">
        <f t="shared" si="78"/>
        <v>8034969.5859604822</v>
      </c>
      <c r="O725" s="478">
        <f t="shared" si="34"/>
        <v>8034969.5859604813</v>
      </c>
      <c r="P725" s="502">
        <f t="shared" si="36"/>
        <v>0</v>
      </c>
      <c r="Q725" s="478"/>
      <c r="R725" s="478"/>
    </row>
    <row r="726" spans="1:18">
      <c r="A726" s="486">
        <v>2053</v>
      </c>
      <c r="C726" s="475">
        <f>SUM(C546:C557)</f>
        <v>1265132.3099016608</v>
      </c>
      <c r="D726" s="475">
        <f t="shared" ref="D726:N726" si="79">SUM(D546:D557)</f>
        <v>0</v>
      </c>
      <c r="E726" s="475">
        <f t="shared" si="79"/>
        <v>6886980.5277890582</v>
      </c>
      <c r="F726" s="475">
        <f t="shared" si="79"/>
        <v>0</v>
      </c>
      <c r="G726" s="475">
        <f t="shared" si="79"/>
        <v>0</v>
      </c>
      <c r="H726" s="475">
        <f t="shared" si="79"/>
        <v>0</v>
      </c>
      <c r="I726" s="475">
        <f t="shared" si="79"/>
        <v>0</v>
      </c>
      <c r="J726" s="475">
        <f t="shared" si="79"/>
        <v>0</v>
      </c>
      <c r="K726" s="475">
        <f t="shared" si="79"/>
        <v>0</v>
      </c>
      <c r="L726" s="475">
        <f t="shared" si="79"/>
        <v>0</v>
      </c>
      <c r="M726" s="475">
        <f t="shared" si="79"/>
        <v>0</v>
      </c>
      <c r="N726" s="475">
        <f t="shared" si="79"/>
        <v>8152112.8376907185</v>
      </c>
      <c r="O726" s="478">
        <f t="shared" si="34"/>
        <v>8152112.8376907185</v>
      </c>
      <c r="P726" s="502">
        <f t="shared" si="36"/>
        <v>0</v>
      </c>
      <c r="Q726" s="478"/>
      <c r="R726" s="478"/>
    </row>
    <row r="727" spans="1:18">
      <c r="A727" s="486">
        <v>2054</v>
      </c>
      <c r="C727" s="475">
        <f>SUM(C558:C569)</f>
        <v>1280686.4312601688</v>
      </c>
      <c r="D727" s="475">
        <f t="shared" ref="D727:N727" si="80">SUM(D558:D569)</f>
        <v>0</v>
      </c>
      <c r="E727" s="475">
        <f t="shared" si="80"/>
        <v>6990285.2357695103</v>
      </c>
      <c r="F727" s="475">
        <f t="shared" si="80"/>
        <v>0</v>
      </c>
      <c r="G727" s="475">
        <f t="shared" si="80"/>
        <v>0</v>
      </c>
      <c r="H727" s="475">
        <f t="shared" si="80"/>
        <v>0</v>
      </c>
      <c r="I727" s="475">
        <f t="shared" si="80"/>
        <v>0</v>
      </c>
      <c r="J727" s="475">
        <f t="shared" si="80"/>
        <v>0</v>
      </c>
      <c r="K727" s="475">
        <f t="shared" si="80"/>
        <v>0</v>
      </c>
      <c r="L727" s="475">
        <f t="shared" si="80"/>
        <v>0</v>
      </c>
      <c r="M727" s="475">
        <f t="shared" si="80"/>
        <v>0</v>
      </c>
      <c r="N727" s="475">
        <f t="shared" si="80"/>
        <v>8270971.6670296788</v>
      </c>
      <c r="O727" s="478">
        <f t="shared" si="34"/>
        <v>8270971.6670296788</v>
      </c>
      <c r="P727" s="502">
        <f t="shared" si="36"/>
        <v>0</v>
      </c>
    </row>
    <row r="728" spans="1:18">
      <c r="A728" s="486">
        <v>2055</v>
      </c>
      <c r="C728" s="475">
        <f>SUM(C570:C581)</f>
        <v>1296431.7821757293</v>
      </c>
      <c r="D728" s="475">
        <f t="shared" ref="D728:N728" si="81">SUM(D570:D581)</f>
        <v>0</v>
      </c>
      <c r="E728" s="475">
        <f t="shared" si="81"/>
        <v>7095139.514370623</v>
      </c>
      <c r="F728" s="475">
        <f t="shared" si="81"/>
        <v>0</v>
      </c>
      <c r="G728" s="475">
        <f t="shared" si="81"/>
        <v>0</v>
      </c>
      <c r="H728" s="475">
        <f t="shared" si="81"/>
        <v>0</v>
      </c>
      <c r="I728" s="475">
        <f t="shared" si="81"/>
        <v>0</v>
      </c>
      <c r="J728" s="475">
        <f t="shared" si="81"/>
        <v>0</v>
      </c>
      <c r="K728" s="475">
        <f t="shared" si="81"/>
        <v>0</v>
      </c>
      <c r="L728" s="475">
        <f t="shared" si="81"/>
        <v>0</v>
      </c>
      <c r="M728" s="475">
        <f t="shared" si="81"/>
        <v>0</v>
      </c>
      <c r="N728" s="475">
        <f t="shared" si="81"/>
        <v>8391571.296546353</v>
      </c>
      <c r="O728" s="478">
        <f t="shared" si="34"/>
        <v>8391571.296546353</v>
      </c>
      <c r="P728" s="502">
        <f t="shared" si="36"/>
        <v>0</v>
      </c>
    </row>
    <row r="729" spans="1:18">
      <c r="A729" s="486">
        <v>2056</v>
      </c>
      <c r="C729" s="475">
        <f>SUM(C582:C593)</f>
        <v>1312370.7137129025</v>
      </c>
      <c r="D729" s="475">
        <f t="shared" ref="D729:N729" si="82">SUM(D582:D593)</f>
        <v>0</v>
      </c>
      <c r="E729" s="475">
        <f t="shared" si="82"/>
        <v>7201566.6071517225</v>
      </c>
      <c r="F729" s="475">
        <f t="shared" si="82"/>
        <v>0</v>
      </c>
      <c r="G729" s="475">
        <f t="shared" si="82"/>
        <v>0</v>
      </c>
      <c r="H729" s="475">
        <f t="shared" si="82"/>
        <v>0</v>
      </c>
      <c r="I729" s="475">
        <f t="shared" si="82"/>
        <v>0</v>
      </c>
      <c r="J729" s="475">
        <f t="shared" si="82"/>
        <v>0</v>
      </c>
      <c r="K729" s="475">
        <f t="shared" si="82"/>
        <v>0</v>
      </c>
      <c r="L729" s="475">
        <f t="shared" si="82"/>
        <v>0</v>
      </c>
      <c r="M729" s="475">
        <f t="shared" si="82"/>
        <v>0</v>
      </c>
      <c r="N729" s="475">
        <f t="shared" si="82"/>
        <v>8513937.3208646234</v>
      </c>
      <c r="O729" s="478">
        <f t="shared" si="34"/>
        <v>8513937.3208646253</v>
      </c>
      <c r="P729" s="502">
        <f t="shared" si="36"/>
        <v>0</v>
      </c>
    </row>
    <row r="730" spans="1:18">
      <c r="A730" s="486">
        <v>2057</v>
      </c>
      <c r="C730" s="475">
        <f>SUM(C594:C605)</f>
        <v>1328505.6058413228</v>
      </c>
      <c r="D730" s="475">
        <f t="shared" ref="D730:N730" si="83">SUM(D594:D605)</f>
        <v>0</v>
      </c>
      <c r="E730" s="475">
        <f t="shared" si="83"/>
        <v>7309590.1063255193</v>
      </c>
      <c r="F730" s="475">
        <f t="shared" si="83"/>
        <v>0</v>
      </c>
      <c r="G730" s="475">
        <f t="shared" si="83"/>
        <v>0</v>
      </c>
      <c r="H730" s="475">
        <f t="shared" si="83"/>
        <v>0</v>
      </c>
      <c r="I730" s="475">
        <f t="shared" si="83"/>
        <v>0</v>
      </c>
      <c r="J730" s="475">
        <f t="shared" si="83"/>
        <v>0</v>
      </c>
      <c r="K730" s="475">
        <f t="shared" si="83"/>
        <v>0</v>
      </c>
      <c r="L730" s="475">
        <f t="shared" si="83"/>
        <v>0</v>
      </c>
      <c r="M730" s="475">
        <f t="shared" si="83"/>
        <v>0</v>
      </c>
      <c r="N730" s="475">
        <f t="shared" si="83"/>
        <v>8638095.7121668421</v>
      </c>
      <c r="O730" s="478">
        <f t="shared" si="34"/>
        <v>8638095.7121668421</v>
      </c>
      <c r="P730" s="502">
        <f t="shared" si="36"/>
        <v>0</v>
      </c>
    </row>
    <row r="731" spans="1:18">
      <c r="A731" s="486">
        <v>2058</v>
      </c>
      <c r="C731" s="475">
        <f>SUM(C606:C617)</f>
        <v>1344838.8677910711</v>
      </c>
      <c r="D731" s="475">
        <f t="shared" ref="D731:N731" si="84">SUM(D606:D617)</f>
        <v>0</v>
      </c>
      <c r="E731" s="475">
        <f t="shared" si="84"/>
        <v>7419233.9579879222</v>
      </c>
      <c r="F731" s="475">
        <f t="shared" si="84"/>
        <v>0</v>
      </c>
      <c r="G731" s="475">
        <f t="shared" si="84"/>
        <v>0</v>
      </c>
      <c r="H731" s="475">
        <f t="shared" si="84"/>
        <v>0</v>
      </c>
      <c r="I731" s="475">
        <f t="shared" si="84"/>
        <v>0</v>
      </c>
      <c r="J731" s="475">
        <f t="shared" si="84"/>
        <v>0</v>
      </c>
      <c r="K731" s="475">
        <f t="shared" si="84"/>
        <v>0</v>
      </c>
      <c r="L731" s="475">
        <f t="shared" si="84"/>
        <v>0</v>
      </c>
      <c r="M731" s="475">
        <f t="shared" si="84"/>
        <v>0</v>
      </c>
      <c r="N731" s="475">
        <f t="shared" si="84"/>
        <v>8764072.8257789928</v>
      </c>
      <c r="O731" s="478">
        <f t="shared" si="34"/>
        <v>8764072.8257789928</v>
      </c>
      <c r="P731" s="502">
        <f t="shared" si="36"/>
        <v>0</v>
      </c>
    </row>
    <row r="732" spans="1:18">
      <c r="A732" s="486">
        <v>2059</v>
      </c>
      <c r="C732" s="475">
        <f>SUM(C618:C629)</f>
        <v>1361372.9384124174</v>
      </c>
      <c r="D732" s="475">
        <f t="shared" ref="D732:N732" si="85">SUM(D618:D629)</f>
        <v>0</v>
      </c>
      <c r="E732" s="475">
        <f t="shared" si="85"/>
        <v>7530522.4674262749</v>
      </c>
      <c r="F732" s="475">
        <f t="shared" si="85"/>
        <v>0</v>
      </c>
      <c r="G732" s="475">
        <f t="shared" si="85"/>
        <v>0</v>
      </c>
      <c r="H732" s="475">
        <f t="shared" si="85"/>
        <v>0</v>
      </c>
      <c r="I732" s="475">
        <f t="shared" si="85"/>
        <v>0</v>
      </c>
      <c r="J732" s="475">
        <f t="shared" si="85"/>
        <v>0</v>
      </c>
      <c r="K732" s="475">
        <f t="shared" si="85"/>
        <v>0</v>
      </c>
      <c r="L732" s="475">
        <f t="shared" si="85"/>
        <v>0</v>
      </c>
      <c r="M732" s="475">
        <f t="shared" si="85"/>
        <v>0</v>
      </c>
      <c r="N732" s="475">
        <f t="shared" si="85"/>
        <v>8891895.4058386926</v>
      </c>
      <c r="O732" s="478">
        <f t="shared" si="34"/>
        <v>8891895.4058386926</v>
      </c>
      <c r="P732" s="502">
        <f t="shared" si="36"/>
        <v>0</v>
      </c>
    </row>
    <row r="733" spans="1:18">
      <c r="A733" s="486">
        <v>2060</v>
      </c>
      <c r="C733" s="475">
        <f>SUM(C630:C641)</f>
        <v>1378110.286539983</v>
      </c>
      <c r="D733" s="475">
        <f t="shared" ref="D733:N733" si="86">SUM(D630:D641)</f>
        <v>0</v>
      </c>
      <c r="E733" s="475">
        <f t="shared" si="86"/>
        <v>7643480.3045072295</v>
      </c>
      <c r="F733" s="475">
        <f t="shared" si="86"/>
        <v>0</v>
      </c>
      <c r="G733" s="475">
        <f t="shared" si="86"/>
        <v>0</v>
      </c>
      <c r="H733" s="475">
        <f t="shared" si="86"/>
        <v>0</v>
      </c>
      <c r="I733" s="475">
        <f t="shared" si="86"/>
        <v>0</v>
      </c>
      <c r="J733" s="475">
        <f t="shared" si="86"/>
        <v>0</v>
      </c>
      <c r="K733" s="475">
        <f t="shared" si="86"/>
        <v>0</v>
      </c>
      <c r="L733" s="475">
        <f t="shared" si="86"/>
        <v>0</v>
      </c>
      <c r="M733" s="475">
        <f t="shared" si="86"/>
        <v>0</v>
      </c>
      <c r="N733" s="475">
        <f t="shared" si="86"/>
        <v>9021590.5910472125</v>
      </c>
      <c r="O733" s="478">
        <f t="shared" si="34"/>
        <v>9021590.5910472125</v>
      </c>
      <c r="P733" s="502">
        <f t="shared" si="36"/>
        <v>0</v>
      </c>
    </row>
    <row r="734" spans="1:18">
      <c r="A734" s="486">
        <v>2061</v>
      </c>
      <c r="C734" s="475">
        <f>SUM(C642:C653)</f>
        <v>1395053.411361384</v>
      </c>
      <c r="D734" s="475">
        <f t="shared" ref="D734:N734" si="87">SUM(D642:D653)</f>
        <v>0</v>
      </c>
      <c r="E734" s="475">
        <f t="shared" si="87"/>
        <v>7758132.5091454405</v>
      </c>
      <c r="F734" s="475">
        <f t="shared" si="87"/>
        <v>0</v>
      </c>
      <c r="G734" s="475">
        <f t="shared" si="87"/>
        <v>0</v>
      </c>
      <c r="H734" s="475">
        <f t="shared" si="87"/>
        <v>0</v>
      </c>
      <c r="I734" s="475">
        <f t="shared" si="87"/>
        <v>0</v>
      </c>
      <c r="J734" s="475">
        <f t="shared" si="87"/>
        <v>0</v>
      </c>
      <c r="K734" s="475">
        <f t="shared" si="87"/>
        <v>0</v>
      </c>
      <c r="L734" s="475">
        <f t="shared" si="87"/>
        <v>0</v>
      </c>
      <c r="M734" s="475">
        <f t="shared" si="87"/>
        <v>0</v>
      </c>
      <c r="N734" s="475">
        <f t="shared" si="87"/>
        <v>9153185.9205068275</v>
      </c>
      <c r="O734" s="478">
        <f t="shared" si="34"/>
        <v>9153185.9205068238</v>
      </c>
      <c r="P734" s="502">
        <f t="shared" si="36"/>
        <v>0</v>
      </c>
    </row>
    <row r="735" spans="1:18">
      <c r="A735" s="486">
        <v>2062</v>
      </c>
      <c r="C735" s="475">
        <f>SUM(C654:C665)</f>
        <v>1412204.8427904039</v>
      </c>
      <c r="D735" s="475">
        <f t="shared" ref="D735:N735" si="88">SUM(D654:D665)</f>
        <v>0</v>
      </c>
      <c r="E735" s="475">
        <f t="shared" si="88"/>
        <v>7874504.4968542857</v>
      </c>
      <c r="F735" s="475">
        <f t="shared" si="88"/>
        <v>0</v>
      </c>
      <c r="G735" s="475">
        <f t="shared" si="88"/>
        <v>0</v>
      </c>
      <c r="H735" s="475">
        <f t="shared" si="88"/>
        <v>0</v>
      </c>
      <c r="I735" s="475">
        <f t="shared" si="88"/>
        <v>0</v>
      </c>
      <c r="J735" s="475">
        <f t="shared" si="88"/>
        <v>0</v>
      </c>
      <c r="K735" s="475">
        <f t="shared" si="88"/>
        <v>0</v>
      </c>
      <c r="L735" s="475">
        <f t="shared" si="88"/>
        <v>0</v>
      </c>
      <c r="M735" s="475">
        <f t="shared" si="88"/>
        <v>0</v>
      </c>
      <c r="N735" s="475">
        <f t="shared" si="88"/>
        <v>9286709.3396446891</v>
      </c>
      <c r="O735" s="478">
        <f t="shared" si="34"/>
        <v>9286709.3396446891</v>
      </c>
      <c r="P735" s="502">
        <f t="shared" si="36"/>
        <v>0</v>
      </c>
    </row>
    <row r="736" spans="1:18">
      <c r="A736" s="486">
        <v>2063</v>
      </c>
      <c r="C736" s="475">
        <f>SUM(C666:C677)</f>
        <v>1429567.141844755</v>
      </c>
      <c r="D736" s="475">
        <f t="shared" ref="D736:N736" si="89">SUM(D666:D677)</f>
        <v>0</v>
      </c>
      <c r="E736" s="475">
        <f t="shared" si="89"/>
        <v>7992622.0643798392</v>
      </c>
      <c r="F736" s="475">
        <f t="shared" si="89"/>
        <v>0</v>
      </c>
      <c r="G736" s="475">
        <f t="shared" si="89"/>
        <v>0</v>
      </c>
      <c r="H736" s="475">
        <f t="shared" si="89"/>
        <v>0</v>
      </c>
      <c r="I736" s="475">
        <f t="shared" si="89"/>
        <v>0</v>
      </c>
      <c r="J736" s="475">
        <f t="shared" si="89"/>
        <v>0</v>
      </c>
      <c r="K736" s="475">
        <f t="shared" si="89"/>
        <v>0</v>
      </c>
      <c r="L736" s="475">
        <f t="shared" si="89"/>
        <v>0</v>
      </c>
      <c r="M736" s="475">
        <f t="shared" si="89"/>
        <v>0</v>
      </c>
      <c r="N736" s="475">
        <f t="shared" si="89"/>
        <v>9422189.2062245943</v>
      </c>
      <c r="O736" s="478">
        <f t="shared" si="34"/>
        <v>9422189.2062245943</v>
      </c>
      <c r="P736" s="502">
        <f t="shared" si="36"/>
        <v>0</v>
      </c>
    </row>
    <row r="738" spans="7:8">
      <c r="G738" s="478"/>
      <c r="H738" s="478"/>
    </row>
    <row r="739" spans="7:8">
      <c r="G739" s="478"/>
      <c r="H739" s="478"/>
    </row>
  </sheetData>
  <mergeCells count="1">
    <mergeCell ref="A4:N4"/>
  </mergeCells>
  <pageMargins left="0.25" right="0.24" top="0.19" bottom="0.2" header="0.17" footer="0.18"/>
  <pageSetup scale="10"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FF00"/>
  </sheetPr>
  <dimension ref="A1:S765"/>
  <sheetViews>
    <sheetView zoomScale="75" zoomScaleNormal="75" workbookViewId="0">
      <selection activeCell="B2" sqref="B2"/>
    </sheetView>
  </sheetViews>
  <sheetFormatPr defaultColWidth="9.109375" defaultRowHeight="11.4"/>
  <cols>
    <col min="1" max="1" width="5" style="465" bestFit="1" customWidth="1"/>
    <col min="2" max="2" width="6.109375" style="442" bestFit="1" customWidth="1"/>
    <col min="3" max="3" width="10.6640625" style="442" bestFit="1" customWidth="1"/>
    <col min="4" max="4" width="8.33203125" style="442" bestFit="1" customWidth="1"/>
    <col min="5" max="5" width="9.88671875" style="442" bestFit="1" customWidth="1"/>
    <col min="6" max="6" width="10" style="442" bestFit="1" customWidth="1"/>
    <col min="7" max="7" width="17.88671875" style="442" bestFit="1" customWidth="1"/>
    <col min="8" max="8" width="17.88671875" style="452" customWidth="1"/>
    <col min="9" max="9" width="8.88671875" style="442" bestFit="1" customWidth="1"/>
    <col min="10" max="10" width="10.6640625" style="442" bestFit="1" customWidth="1"/>
    <col min="11" max="11" width="10" style="442" bestFit="1" customWidth="1"/>
    <col min="12" max="13" width="10" style="442" customWidth="1"/>
    <col min="14" max="14" width="14.33203125" style="442" bestFit="1" customWidth="1"/>
    <col min="15" max="15" width="15.88671875" style="442" bestFit="1" customWidth="1"/>
    <col min="16" max="16" width="22.5546875" style="442" bestFit="1" customWidth="1"/>
    <col min="17" max="16384" width="9.109375" style="442"/>
  </cols>
  <sheetData>
    <row r="1" spans="1:17" s="455" customFormat="1" ht="12">
      <c r="A1" s="621"/>
      <c r="B1" s="455" t="s">
        <v>1311</v>
      </c>
      <c r="H1" s="622"/>
    </row>
    <row r="2" spans="1:17" s="455" customFormat="1" ht="12">
      <c r="A2" s="621"/>
      <c r="B2" s="455" t="s">
        <v>1267</v>
      </c>
      <c r="H2" s="622"/>
    </row>
    <row r="3" spans="1:17" s="455" customFormat="1" ht="12">
      <c r="A3" s="621"/>
      <c r="H3" s="622"/>
    </row>
    <row r="4" spans="1:17" ht="13.2">
      <c r="A4" s="609" t="s">
        <v>1194</v>
      </c>
      <c r="B4" s="609"/>
      <c r="C4" s="609"/>
      <c r="D4" s="609"/>
      <c r="E4" s="609"/>
      <c r="F4" s="609"/>
      <c r="G4" s="609"/>
      <c r="H4" s="609"/>
      <c r="I4" s="609"/>
      <c r="J4" s="609"/>
      <c r="K4" s="609"/>
      <c r="L4" s="609"/>
      <c r="M4" s="609"/>
      <c r="N4" s="609"/>
    </row>
    <row r="5" spans="1:17" ht="12" thickBot="1">
      <c r="A5" s="443" t="s">
        <v>483</v>
      </c>
      <c r="B5" s="443" t="s">
        <v>484</v>
      </c>
      <c r="C5" s="444" t="s">
        <v>485</v>
      </c>
      <c r="D5" s="444" t="s">
        <v>486</v>
      </c>
      <c r="E5" s="444" t="s">
        <v>487</v>
      </c>
      <c r="F5" s="444" t="s">
        <v>488</v>
      </c>
      <c r="G5" s="444" t="s">
        <v>489</v>
      </c>
      <c r="H5" s="445" t="s">
        <v>1053</v>
      </c>
      <c r="I5" s="444" t="s">
        <v>1054</v>
      </c>
      <c r="J5" s="444" t="s">
        <v>1055</v>
      </c>
      <c r="K5" s="444" t="s">
        <v>1056</v>
      </c>
      <c r="L5" s="444" t="s">
        <v>1057</v>
      </c>
      <c r="M5" s="444" t="s">
        <v>1058</v>
      </c>
      <c r="N5" s="444" t="s">
        <v>490</v>
      </c>
      <c r="P5" s="442" t="s">
        <v>1195</v>
      </c>
      <c r="Q5" s="442" t="s">
        <v>1196</v>
      </c>
    </row>
    <row r="6" spans="1:17">
      <c r="A6" s="446">
        <v>2008</v>
      </c>
      <c r="B6" s="447">
        <v>1</v>
      </c>
      <c r="C6" s="448">
        <v>115.61186290254741</v>
      </c>
      <c r="D6" s="448">
        <v>45</v>
      </c>
      <c r="E6" s="449"/>
      <c r="F6" s="450"/>
      <c r="G6" s="448"/>
      <c r="H6" s="448"/>
      <c r="I6" s="448"/>
      <c r="J6" s="448"/>
      <c r="K6" s="448"/>
      <c r="L6" s="448"/>
      <c r="M6" s="448"/>
      <c r="N6" s="451">
        <f>SUM(C6:M6)</f>
        <v>160.61186290254741</v>
      </c>
      <c r="P6" s="451">
        <f>E6+G6</f>
        <v>0</v>
      </c>
    </row>
    <row r="7" spans="1:17">
      <c r="A7" s="446">
        <v>2008</v>
      </c>
      <c r="B7" s="447">
        <v>2</v>
      </c>
      <c r="C7" s="448">
        <v>123.01517187832414</v>
      </c>
      <c r="D7" s="448">
        <v>45</v>
      </c>
      <c r="E7" s="452"/>
      <c r="F7" s="450"/>
      <c r="G7" s="448"/>
      <c r="H7" s="448"/>
      <c r="I7" s="448"/>
      <c r="J7" s="448"/>
      <c r="K7" s="448"/>
      <c r="L7" s="448"/>
      <c r="M7" s="448"/>
      <c r="N7" s="451">
        <f t="shared" ref="N7:N70" si="0">SUM(C7:M7)</f>
        <v>168.01517187832414</v>
      </c>
      <c r="P7" s="451">
        <f t="shared" ref="P7:P69" si="1">E7+G7</f>
        <v>0</v>
      </c>
    </row>
    <row r="8" spans="1:17">
      <c r="A8" s="446">
        <v>2008</v>
      </c>
      <c r="B8" s="447">
        <v>3</v>
      </c>
      <c r="C8" s="448">
        <v>116.73776778585409</v>
      </c>
      <c r="D8" s="448">
        <v>45</v>
      </c>
      <c r="E8" s="452"/>
      <c r="F8" s="450"/>
      <c r="G8" s="448"/>
      <c r="H8" s="448"/>
      <c r="I8" s="448"/>
      <c r="J8" s="448"/>
      <c r="K8" s="448"/>
      <c r="L8" s="448"/>
      <c r="M8" s="448"/>
      <c r="N8" s="451">
        <f t="shared" si="0"/>
        <v>161.73776778585409</v>
      </c>
      <c r="P8" s="451">
        <f t="shared" si="1"/>
        <v>0</v>
      </c>
    </row>
    <row r="9" spans="1:17">
      <c r="A9" s="446">
        <v>2008</v>
      </c>
      <c r="B9" s="447">
        <v>4</v>
      </c>
      <c r="C9" s="448">
        <v>138.6322481216246</v>
      </c>
      <c r="D9" s="448">
        <v>45</v>
      </c>
      <c r="E9" s="452"/>
      <c r="F9" s="450"/>
      <c r="G9" s="448"/>
      <c r="H9" s="448"/>
      <c r="I9" s="448"/>
      <c r="J9" s="448"/>
      <c r="K9" s="448"/>
      <c r="L9" s="448"/>
      <c r="M9" s="448"/>
      <c r="N9" s="451">
        <f t="shared" si="0"/>
        <v>183.6322481216246</v>
      </c>
      <c r="P9" s="451">
        <f t="shared" si="1"/>
        <v>0</v>
      </c>
    </row>
    <row r="10" spans="1:17">
      <c r="A10" s="446">
        <v>2008</v>
      </c>
      <c r="B10" s="447">
        <v>5</v>
      </c>
      <c r="C10" s="448">
        <v>147.36466410298843</v>
      </c>
      <c r="D10" s="448">
        <v>45</v>
      </c>
      <c r="E10" s="452"/>
      <c r="F10" s="450"/>
      <c r="G10" s="448"/>
      <c r="H10" s="448"/>
      <c r="I10" s="448"/>
      <c r="J10" s="448"/>
      <c r="K10" s="448"/>
      <c r="L10" s="448"/>
      <c r="M10" s="448"/>
      <c r="N10" s="451">
        <f t="shared" si="0"/>
        <v>192.36466410298843</v>
      </c>
      <c r="P10" s="451">
        <f t="shared" si="1"/>
        <v>0</v>
      </c>
    </row>
    <row r="11" spans="1:17">
      <c r="A11" s="446">
        <v>2008</v>
      </c>
      <c r="B11" s="447">
        <v>6</v>
      </c>
      <c r="C11" s="448">
        <v>151.66111083947965</v>
      </c>
      <c r="D11" s="448">
        <v>45</v>
      </c>
      <c r="E11" s="452"/>
      <c r="F11" s="450"/>
      <c r="G11" s="448"/>
      <c r="H11" s="448"/>
      <c r="I11" s="448"/>
      <c r="J11" s="448"/>
      <c r="K11" s="448"/>
      <c r="L11" s="448"/>
      <c r="M11" s="448"/>
      <c r="N11" s="451">
        <f t="shared" si="0"/>
        <v>196.66111083947965</v>
      </c>
      <c r="P11" s="451">
        <f t="shared" si="1"/>
        <v>0</v>
      </c>
    </row>
    <row r="12" spans="1:17">
      <c r="A12" s="446">
        <v>2008</v>
      </c>
      <c r="B12" s="447">
        <v>7</v>
      </c>
      <c r="C12" s="448">
        <v>164.28777128385175</v>
      </c>
      <c r="D12" s="448">
        <v>45</v>
      </c>
      <c r="E12" s="452"/>
      <c r="F12" s="450"/>
      <c r="G12" s="448"/>
      <c r="H12" s="448"/>
      <c r="I12" s="448"/>
      <c r="J12" s="448"/>
      <c r="K12" s="448"/>
      <c r="L12" s="448"/>
      <c r="M12" s="448"/>
      <c r="N12" s="451">
        <f t="shared" si="0"/>
        <v>209.28777128385175</v>
      </c>
      <c r="P12" s="451">
        <f t="shared" si="1"/>
        <v>0</v>
      </c>
    </row>
    <row r="13" spans="1:17">
      <c r="A13" s="446">
        <v>2008</v>
      </c>
      <c r="B13" s="447">
        <v>8</v>
      </c>
      <c r="C13" s="448">
        <v>160.26077201617903</v>
      </c>
      <c r="D13" s="448">
        <v>45</v>
      </c>
      <c r="E13" s="452"/>
      <c r="F13" s="450"/>
      <c r="G13" s="448"/>
      <c r="H13" s="448"/>
      <c r="I13" s="448"/>
      <c r="J13" s="448"/>
      <c r="K13" s="448"/>
      <c r="L13" s="448"/>
      <c r="M13" s="448"/>
      <c r="N13" s="451">
        <f t="shared" si="0"/>
        <v>205.26077201617903</v>
      </c>
      <c r="P13" s="451">
        <f t="shared" si="1"/>
        <v>0</v>
      </c>
    </row>
    <row r="14" spans="1:17">
      <c r="A14" s="446">
        <v>2008</v>
      </c>
      <c r="B14" s="447">
        <v>9</v>
      </c>
      <c r="C14" s="448">
        <v>147.84728686037187</v>
      </c>
      <c r="D14" s="448">
        <v>45</v>
      </c>
      <c r="E14" s="452"/>
      <c r="F14" s="450"/>
      <c r="G14" s="448"/>
      <c r="H14" s="448"/>
      <c r="I14" s="448"/>
      <c r="J14" s="448"/>
      <c r="K14" s="448"/>
      <c r="L14" s="448"/>
      <c r="M14" s="448"/>
      <c r="N14" s="451">
        <f t="shared" si="0"/>
        <v>192.84728686037187</v>
      </c>
      <c r="P14" s="451">
        <f t="shared" si="1"/>
        <v>0</v>
      </c>
    </row>
    <row r="15" spans="1:17">
      <c r="A15" s="446">
        <v>2008</v>
      </c>
      <c r="B15" s="447">
        <v>10</v>
      </c>
      <c r="C15" s="448">
        <v>141.35400908822922</v>
      </c>
      <c r="D15" s="448">
        <v>45</v>
      </c>
      <c r="E15" s="452"/>
      <c r="F15" s="450"/>
      <c r="G15" s="448"/>
      <c r="H15" s="448"/>
      <c r="I15" s="448"/>
      <c r="J15" s="448"/>
      <c r="K15" s="448"/>
      <c r="L15" s="448"/>
      <c r="M15" s="448"/>
      <c r="N15" s="451">
        <f t="shared" si="0"/>
        <v>186.35400908822922</v>
      </c>
      <c r="P15" s="451">
        <f t="shared" si="1"/>
        <v>0</v>
      </c>
    </row>
    <row r="16" spans="1:17">
      <c r="A16" s="446">
        <v>2008</v>
      </c>
      <c r="B16" s="447">
        <v>11</v>
      </c>
      <c r="C16" s="448">
        <v>125.40588033944847</v>
      </c>
      <c r="D16" s="448">
        <v>45</v>
      </c>
      <c r="E16" s="452"/>
      <c r="F16" s="450"/>
      <c r="G16" s="448"/>
      <c r="H16" s="448"/>
      <c r="I16" s="448"/>
      <c r="J16" s="448"/>
      <c r="K16" s="448"/>
      <c r="L16" s="448"/>
      <c r="M16" s="448"/>
      <c r="N16" s="451">
        <f t="shared" si="0"/>
        <v>170.40588033944846</v>
      </c>
      <c r="P16" s="451">
        <f t="shared" si="1"/>
        <v>0</v>
      </c>
    </row>
    <row r="17" spans="1:16">
      <c r="A17" s="446">
        <v>2008</v>
      </c>
      <c r="B17" s="447">
        <v>12</v>
      </c>
      <c r="C17" s="448">
        <v>119.53050713338548</v>
      </c>
      <c r="D17" s="448">
        <v>45</v>
      </c>
      <c r="E17" s="453"/>
      <c r="F17" s="450"/>
      <c r="G17" s="448">
        <v>75</v>
      </c>
      <c r="H17" s="448"/>
      <c r="I17" s="448"/>
      <c r="J17" s="448"/>
      <c r="K17" s="448"/>
      <c r="L17" s="448"/>
      <c r="M17" s="448"/>
      <c r="N17" s="451">
        <f t="shared" si="0"/>
        <v>239.53050713338547</v>
      </c>
      <c r="O17" s="454"/>
      <c r="P17" s="451">
        <f t="shared" si="1"/>
        <v>75</v>
      </c>
    </row>
    <row r="18" spans="1:16">
      <c r="A18" s="446">
        <v>2009</v>
      </c>
      <c r="B18" s="447">
        <v>1</v>
      </c>
      <c r="C18" s="448">
        <v>116.70157721489144</v>
      </c>
      <c r="D18" s="448">
        <v>45</v>
      </c>
      <c r="E18" s="449"/>
      <c r="F18" s="450"/>
      <c r="G18" s="448">
        <v>75</v>
      </c>
      <c r="H18" s="448"/>
      <c r="I18" s="448"/>
      <c r="J18" s="448"/>
      <c r="K18" s="448"/>
      <c r="L18" s="448"/>
      <c r="M18" s="448"/>
      <c r="N18" s="451">
        <f t="shared" si="0"/>
        <v>236.70157721489144</v>
      </c>
      <c r="P18" s="451">
        <f t="shared" si="1"/>
        <v>75</v>
      </c>
    </row>
    <row r="19" spans="1:16">
      <c r="A19" s="446">
        <v>2009</v>
      </c>
      <c r="B19" s="447">
        <v>2</v>
      </c>
      <c r="C19" s="448">
        <v>124.17466702065455</v>
      </c>
      <c r="D19" s="448">
        <v>45</v>
      </c>
      <c r="E19" s="452"/>
      <c r="F19" s="450"/>
      <c r="G19" s="448">
        <v>75</v>
      </c>
      <c r="H19" s="448"/>
      <c r="I19" s="448"/>
      <c r="J19" s="448"/>
      <c r="K19" s="448"/>
      <c r="L19" s="448"/>
      <c r="M19" s="448"/>
      <c r="N19" s="451">
        <f t="shared" si="0"/>
        <v>244.17466702065457</v>
      </c>
      <c r="P19" s="451">
        <f t="shared" si="1"/>
        <v>75</v>
      </c>
    </row>
    <row r="20" spans="1:16">
      <c r="A20" s="446">
        <v>2009</v>
      </c>
      <c r="B20" s="447">
        <v>3</v>
      </c>
      <c r="C20" s="448">
        <v>117.83809445782002</v>
      </c>
      <c r="D20" s="448">
        <v>45</v>
      </c>
      <c r="E20" s="452"/>
      <c r="F20" s="450"/>
      <c r="G20" s="448">
        <v>75</v>
      </c>
      <c r="H20" s="448"/>
      <c r="I20" s="448"/>
      <c r="J20" s="448"/>
      <c r="K20" s="448"/>
      <c r="L20" s="448"/>
      <c r="M20" s="448"/>
      <c r="N20" s="451">
        <f t="shared" si="0"/>
        <v>237.83809445782003</v>
      </c>
      <c r="P20" s="451">
        <f t="shared" si="1"/>
        <v>75</v>
      </c>
    </row>
    <row r="21" spans="1:16">
      <c r="A21" s="446">
        <v>2009</v>
      </c>
      <c r="B21" s="447">
        <v>4</v>
      </c>
      <c r="C21" s="448">
        <v>139.9389440015959</v>
      </c>
      <c r="D21" s="448">
        <v>45</v>
      </c>
      <c r="E21" s="452"/>
      <c r="F21" s="450"/>
      <c r="G21" s="448">
        <v>75</v>
      </c>
      <c r="H21" s="448"/>
      <c r="I21" s="448"/>
      <c r="J21" s="448"/>
      <c r="K21" s="448"/>
      <c r="L21" s="448"/>
      <c r="M21" s="448"/>
      <c r="N21" s="451">
        <f t="shared" si="0"/>
        <v>259.93894400159593</v>
      </c>
      <c r="P21" s="451">
        <f t="shared" si="1"/>
        <v>75</v>
      </c>
    </row>
    <row r="22" spans="1:16">
      <c r="A22" s="446">
        <v>2009</v>
      </c>
      <c r="B22" s="447">
        <v>5</v>
      </c>
      <c r="C22" s="448">
        <v>148.75366848000607</v>
      </c>
      <c r="D22" s="448">
        <v>45</v>
      </c>
      <c r="E22" s="452"/>
      <c r="F22" s="450"/>
      <c r="G22" s="448">
        <v>75</v>
      </c>
      <c r="H22" s="448"/>
      <c r="I22" s="448"/>
      <c r="J22" s="448"/>
      <c r="K22" s="448"/>
      <c r="L22" s="448"/>
      <c r="M22" s="448"/>
      <c r="N22" s="451">
        <f t="shared" si="0"/>
        <v>268.75366848000607</v>
      </c>
      <c r="P22" s="451">
        <f t="shared" si="1"/>
        <v>75</v>
      </c>
    </row>
    <row r="23" spans="1:16">
      <c r="A23" s="446">
        <v>2009</v>
      </c>
      <c r="B23" s="447">
        <v>6</v>
      </c>
      <c r="C23" s="448">
        <v>153.09061192144981</v>
      </c>
      <c r="D23" s="448">
        <v>45</v>
      </c>
      <c r="E23" s="452"/>
      <c r="F23" s="450"/>
      <c r="G23" s="448">
        <v>75</v>
      </c>
      <c r="H23" s="448"/>
      <c r="I23" s="448"/>
      <c r="J23" s="448"/>
      <c r="K23" s="448"/>
      <c r="L23" s="448"/>
      <c r="M23" s="448"/>
      <c r="N23" s="451">
        <f t="shared" si="0"/>
        <v>273.09061192144981</v>
      </c>
      <c r="P23" s="451">
        <f t="shared" si="1"/>
        <v>75</v>
      </c>
    </row>
    <row r="24" spans="1:16">
      <c r="A24" s="446">
        <v>2009</v>
      </c>
      <c r="B24" s="447">
        <v>7</v>
      </c>
      <c r="C24" s="448">
        <v>165.83625587543298</v>
      </c>
      <c r="D24" s="448">
        <v>45</v>
      </c>
      <c r="E24" s="452"/>
      <c r="F24" s="450"/>
      <c r="G24" s="448">
        <v>75</v>
      </c>
      <c r="H24" s="448"/>
      <c r="I24" s="448"/>
      <c r="J24" s="448"/>
      <c r="K24" s="448"/>
      <c r="L24" s="448"/>
      <c r="M24" s="448"/>
      <c r="N24" s="451">
        <f t="shared" si="0"/>
        <v>285.83625587543298</v>
      </c>
      <c r="P24" s="451">
        <f t="shared" si="1"/>
        <v>75</v>
      </c>
    </row>
    <row r="25" spans="1:16" s="455" customFormat="1" ht="12">
      <c r="A25" s="446">
        <v>2009</v>
      </c>
      <c r="B25" s="447">
        <v>8</v>
      </c>
      <c r="C25" s="448">
        <v>161.77133029790608</v>
      </c>
      <c r="D25" s="448">
        <v>45</v>
      </c>
      <c r="E25" s="452"/>
      <c r="F25" s="450"/>
      <c r="G25" s="448">
        <v>75</v>
      </c>
      <c r="H25" s="448"/>
      <c r="I25" s="448"/>
      <c r="J25" s="448"/>
      <c r="K25" s="448"/>
      <c r="L25" s="448"/>
      <c r="M25" s="448"/>
      <c r="N25" s="451">
        <f t="shared" si="0"/>
        <v>281.77133029790605</v>
      </c>
      <c r="P25" s="451">
        <f t="shared" si="1"/>
        <v>75</v>
      </c>
    </row>
    <row r="26" spans="1:16">
      <c r="A26" s="446">
        <v>2009</v>
      </c>
      <c r="B26" s="447">
        <v>9</v>
      </c>
      <c r="C26" s="448">
        <v>149.24084025954846</v>
      </c>
      <c r="D26" s="448">
        <v>45</v>
      </c>
      <c r="E26" s="452"/>
      <c r="F26" s="450"/>
      <c r="G26" s="448">
        <v>75</v>
      </c>
      <c r="H26" s="448"/>
      <c r="I26" s="448"/>
      <c r="J26" s="448"/>
      <c r="K26" s="448"/>
      <c r="L26" s="448"/>
      <c r="M26" s="448"/>
      <c r="N26" s="451">
        <f t="shared" si="0"/>
        <v>269.24084025954846</v>
      </c>
      <c r="P26" s="451">
        <f t="shared" si="1"/>
        <v>75</v>
      </c>
    </row>
    <row r="27" spans="1:16">
      <c r="A27" s="446">
        <v>2009</v>
      </c>
      <c r="B27" s="447">
        <v>10</v>
      </c>
      <c r="C27" s="448">
        <v>142.686359272228</v>
      </c>
      <c r="D27" s="448">
        <v>45</v>
      </c>
      <c r="E27" s="452"/>
      <c r="F27" s="450"/>
      <c r="G27" s="448">
        <v>75</v>
      </c>
      <c r="H27" s="448"/>
      <c r="I27" s="448"/>
      <c r="J27" s="448"/>
      <c r="K27" s="448"/>
      <c r="L27" s="448"/>
      <c r="M27" s="448"/>
      <c r="N27" s="451">
        <f t="shared" si="0"/>
        <v>262.686359272228</v>
      </c>
      <c r="P27" s="451">
        <f t="shared" si="1"/>
        <v>75</v>
      </c>
    </row>
    <row r="28" spans="1:16">
      <c r="A28" s="446">
        <v>2009</v>
      </c>
      <c r="B28" s="447">
        <v>11</v>
      </c>
      <c r="C28" s="448">
        <v>126.58790940832692</v>
      </c>
      <c r="D28" s="448">
        <v>45</v>
      </c>
      <c r="E28" s="452"/>
      <c r="F28" s="450"/>
      <c r="G28" s="448">
        <v>75</v>
      </c>
      <c r="H28" s="448"/>
      <c r="I28" s="448"/>
      <c r="J28" s="448"/>
      <c r="K28" s="448"/>
      <c r="L28" s="448"/>
      <c r="M28" s="448"/>
      <c r="N28" s="451">
        <f t="shared" si="0"/>
        <v>246.58790940832694</v>
      </c>
      <c r="P28" s="451">
        <f t="shared" si="1"/>
        <v>75</v>
      </c>
    </row>
    <row r="29" spans="1:16">
      <c r="A29" s="446">
        <v>2009</v>
      </c>
      <c r="B29" s="447">
        <v>12</v>
      </c>
      <c r="C29" s="448">
        <v>120.6571571251323</v>
      </c>
      <c r="D29" s="448">
        <v>45</v>
      </c>
      <c r="E29" s="453"/>
      <c r="F29" s="450"/>
      <c r="G29" s="448">
        <v>75</v>
      </c>
      <c r="H29" s="448"/>
      <c r="I29" s="448"/>
      <c r="J29" s="448"/>
      <c r="K29" s="448"/>
      <c r="L29" s="448"/>
      <c r="M29" s="448"/>
      <c r="N29" s="451">
        <f t="shared" si="0"/>
        <v>240.6571571251323</v>
      </c>
      <c r="O29" s="454"/>
      <c r="P29" s="451">
        <f t="shared" si="1"/>
        <v>75</v>
      </c>
    </row>
    <row r="30" spans="1:16">
      <c r="A30" s="446">
        <v>2010</v>
      </c>
      <c r="B30" s="447">
        <v>1</v>
      </c>
      <c r="C30" s="448">
        <v>117.80156276802961</v>
      </c>
      <c r="D30" s="448">
        <v>45</v>
      </c>
      <c r="E30" s="448">
        <v>320.762</v>
      </c>
      <c r="F30" s="450">
        <v>0.61099999999999999</v>
      </c>
      <c r="G30" s="448">
        <v>0</v>
      </c>
      <c r="H30" s="448"/>
      <c r="I30" s="448"/>
      <c r="J30" s="448"/>
      <c r="K30" s="448"/>
      <c r="L30" s="448"/>
      <c r="M30" s="448"/>
      <c r="N30" s="451">
        <f t="shared" si="0"/>
        <v>484.1745627680296</v>
      </c>
      <c r="P30" s="451">
        <f t="shared" si="1"/>
        <v>320.762</v>
      </c>
    </row>
    <row r="31" spans="1:16">
      <c r="A31" s="446">
        <v>2010</v>
      </c>
      <c r="B31" s="447">
        <v>2</v>
      </c>
      <c r="C31" s="448">
        <v>125.34509113186381</v>
      </c>
      <c r="D31" s="448">
        <v>45</v>
      </c>
      <c r="E31" s="448">
        <v>197.95099999999999</v>
      </c>
      <c r="F31" s="450">
        <v>0</v>
      </c>
      <c r="G31" s="448">
        <v>0</v>
      </c>
      <c r="H31" s="448"/>
      <c r="I31" s="448"/>
      <c r="J31" s="448"/>
      <c r="K31" s="448"/>
      <c r="L31" s="448"/>
      <c r="M31" s="448"/>
      <c r="N31" s="451">
        <f t="shared" si="0"/>
        <v>368.29609113186382</v>
      </c>
      <c r="P31" s="451">
        <f t="shared" si="1"/>
        <v>197.95099999999999</v>
      </c>
    </row>
    <row r="32" spans="1:16">
      <c r="A32" s="446">
        <v>2010</v>
      </c>
      <c r="B32" s="447">
        <v>3</v>
      </c>
      <c r="C32" s="448">
        <v>118.94879239872488</v>
      </c>
      <c r="D32" s="448">
        <v>45</v>
      </c>
      <c r="E32" s="448">
        <v>218.88800000000001</v>
      </c>
      <c r="F32" s="450">
        <v>1.1020000000000001</v>
      </c>
      <c r="G32" s="448">
        <v>0</v>
      </c>
      <c r="H32" s="448"/>
      <c r="I32" s="448"/>
      <c r="J32" s="448"/>
      <c r="K32" s="448"/>
      <c r="L32" s="448"/>
      <c r="M32" s="448"/>
      <c r="N32" s="451">
        <f t="shared" si="0"/>
        <v>383.9387923987249</v>
      </c>
      <c r="P32" s="451">
        <f t="shared" si="1"/>
        <v>218.88800000000001</v>
      </c>
    </row>
    <row r="33" spans="1:16">
      <c r="A33" s="446">
        <v>2010</v>
      </c>
      <c r="B33" s="447">
        <v>4</v>
      </c>
      <c r="C33" s="448">
        <v>141.25795630971336</v>
      </c>
      <c r="D33" s="448">
        <v>45</v>
      </c>
      <c r="E33" s="448">
        <v>172.84100000000001</v>
      </c>
      <c r="F33" s="450">
        <v>0.63400000000000001</v>
      </c>
      <c r="G33" s="448">
        <v>0</v>
      </c>
      <c r="H33" s="448"/>
      <c r="I33" s="448"/>
      <c r="J33" s="448"/>
      <c r="K33" s="448"/>
      <c r="L33" s="448"/>
      <c r="M33" s="448"/>
      <c r="N33" s="451">
        <f t="shared" si="0"/>
        <v>359.73295630971336</v>
      </c>
      <c r="P33" s="451">
        <f t="shared" si="1"/>
        <v>172.84100000000001</v>
      </c>
    </row>
    <row r="34" spans="1:16">
      <c r="A34" s="446">
        <v>2010</v>
      </c>
      <c r="B34" s="447">
        <v>5</v>
      </c>
      <c r="C34" s="448">
        <v>150.15576509437321</v>
      </c>
      <c r="D34" s="448">
        <v>45</v>
      </c>
      <c r="E34" s="448">
        <v>209.88399999999999</v>
      </c>
      <c r="F34" s="450">
        <v>1.0169999999999999</v>
      </c>
      <c r="G34" s="448">
        <v>0</v>
      </c>
      <c r="H34" s="448"/>
      <c r="I34" s="448"/>
      <c r="J34" s="448"/>
      <c r="K34" s="448"/>
      <c r="L34" s="448"/>
      <c r="M34" s="448"/>
      <c r="N34" s="451">
        <f t="shared" si="0"/>
        <v>406.05676509437319</v>
      </c>
      <c r="P34" s="451">
        <f t="shared" si="1"/>
        <v>209.88399999999999</v>
      </c>
    </row>
    <row r="35" spans="1:16">
      <c r="A35" s="446">
        <v>2010</v>
      </c>
      <c r="B35" s="447">
        <v>6</v>
      </c>
      <c r="C35" s="448">
        <v>154.5335869476107</v>
      </c>
      <c r="D35" s="448">
        <v>45</v>
      </c>
      <c r="E35" s="448">
        <v>233.482</v>
      </c>
      <c r="F35" s="450">
        <v>0.40300000000000002</v>
      </c>
      <c r="G35" s="448">
        <v>0</v>
      </c>
      <c r="H35" s="448"/>
      <c r="I35" s="448"/>
      <c r="J35" s="448"/>
      <c r="K35" s="448"/>
      <c r="L35" s="448"/>
      <c r="M35" s="448"/>
      <c r="N35" s="451">
        <f t="shared" si="0"/>
        <v>433.41858694761072</v>
      </c>
      <c r="P35" s="451">
        <f t="shared" si="1"/>
        <v>233.482</v>
      </c>
    </row>
    <row r="36" spans="1:16">
      <c r="A36" s="446">
        <v>2010</v>
      </c>
      <c r="B36" s="447">
        <v>7</v>
      </c>
      <c r="C36" s="448">
        <v>167.39938565545916</v>
      </c>
      <c r="D36" s="448">
        <v>45</v>
      </c>
      <c r="E36" s="448">
        <v>219.078</v>
      </c>
      <c r="F36" s="450">
        <v>0.34899999999999998</v>
      </c>
      <c r="G36" s="448">
        <v>0</v>
      </c>
      <c r="H36" s="448"/>
      <c r="I36" s="448"/>
      <c r="J36" s="448"/>
      <c r="K36" s="448"/>
      <c r="L36" s="448"/>
      <c r="M36" s="448"/>
      <c r="N36" s="451">
        <f t="shared" si="0"/>
        <v>431.82638565545915</v>
      </c>
      <c r="P36" s="451">
        <f t="shared" si="1"/>
        <v>219.078</v>
      </c>
    </row>
    <row r="37" spans="1:16" s="455" customFormat="1" ht="12">
      <c r="A37" s="446">
        <v>2010</v>
      </c>
      <c r="B37" s="447">
        <v>8</v>
      </c>
      <c r="C37" s="448">
        <v>163.29612653876555</v>
      </c>
      <c r="D37" s="448">
        <v>45</v>
      </c>
      <c r="E37" s="448">
        <v>232.25</v>
      </c>
      <c r="F37" s="450">
        <v>0.626</v>
      </c>
      <c r="G37" s="448">
        <v>0</v>
      </c>
      <c r="H37" s="448"/>
      <c r="I37" s="448"/>
      <c r="J37" s="448"/>
      <c r="K37" s="448"/>
      <c r="L37" s="448"/>
      <c r="M37" s="448"/>
      <c r="N37" s="451">
        <f t="shared" si="0"/>
        <v>441.1721265387655</v>
      </c>
      <c r="P37" s="451">
        <f t="shared" si="1"/>
        <v>232.25</v>
      </c>
    </row>
    <row r="38" spans="1:16">
      <c r="A38" s="446">
        <v>2010</v>
      </c>
      <c r="B38" s="447">
        <v>9</v>
      </c>
      <c r="C38" s="448">
        <v>150.64752877346132</v>
      </c>
      <c r="D38" s="448">
        <v>45</v>
      </c>
      <c r="E38" s="448">
        <v>221.089</v>
      </c>
      <c r="F38" s="450">
        <v>0.85599999999999998</v>
      </c>
      <c r="G38" s="448">
        <v>0</v>
      </c>
      <c r="H38" s="448"/>
      <c r="I38" s="448"/>
      <c r="J38" s="448"/>
      <c r="K38" s="448"/>
      <c r="L38" s="448"/>
      <c r="M38" s="448"/>
      <c r="N38" s="451">
        <f t="shared" si="0"/>
        <v>417.59252877346131</v>
      </c>
      <c r="P38" s="451">
        <f t="shared" si="1"/>
        <v>221.089</v>
      </c>
    </row>
    <row r="39" spans="1:16">
      <c r="A39" s="446">
        <v>2010</v>
      </c>
      <c r="B39" s="447">
        <v>10</v>
      </c>
      <c r="C39" s="448">
        <v>144.03126769227723</v>
      </c>
      <c r="D39" s="448">
        <v>45</v>
      </c>
      <c r="E39" s="448">
        <v>203.81299999999999</v>
      </c>
      <c r="F39" s="450">
        <v>0.114</v>
      </c>
      <c r="G39" s="448">
        <v>0</v>
      </c>
      <c r="H39" s="448"/>
      <c r="I39" s="448"/>
      <c r="J39" s="448"/>
      <c r="K39" s="448"/>
      <c r="L39" s="448"/>
      <c r="M39" s="448"/>
      <c r="N39" s="451">
        <f t="shared" si="0"/>
        <v>392.95826769227716</v>
      </c>
      <c r="P39" s="451">
        <f t="shared" si="1"/>
        <v>203.81299999999999</v>
      </c>
    </row>
    <row r="40" spans="1:16">
      <c r="A40" s="446">
        <v>2010</v>
      </c>
      <c r="B40" s="447">
        <v>11</v>
      </c>
      <c r="C40" s="448">
        <v>127.78107984247383</v>
      </c>
      <c r="D40" s="448">
        <v>45</v>
      </c>
      <c r="E40" s="448">
        <v>191.816</v>
      </c>
      <c r="F40" s="450">
        <v>0.57799999999999996</v>
      </c>
      <c r="G40" s="448">
        <v>0</v>
      </c>
      <c r="H40" s="448"/>
      <c r="I40" s="448"/>
      <c r="J40" s="448"/>
      <c r="K40" s="448"/>
      <c r="L40" s="448"/>
      <c r="M40" s="448"/>
      <c r="N40" s="451">
        <f t="shared" si="0"/>
        <v>365.17507984247379</v>
      </c>
      <c r="P40" s="451">
        <f t="shared" si="1"/>
        <v>191.816</v>
      </c>
    </row>
    <row r="41" spans="1:16">
      <c r="A41" s="446">
        <v>2010</v>
      </c>
      <c r="B41" s="447">
        <v>12</v>
      </c>
      <c r="C41" s="448">
        <v>121.79442649961534</v>
      </c>
      <c r="D41" s="448">
        <v>45</v>
      </c>
      <c r="E41" s="448">
        <v>255.75399999999999</v>
      </c>
      <c r="F41" s="450">
        <v>1.0089999999999999</v>
      </c>
      <c r="G41" s="448">
        <v>0</v>
      </c>
      <c r="H41" s="448"/>
      <c r="I41" s="448"/>
      <c r="J41" s="448"/>
      <c r="K41" s="448"/>
      <c r="L41" s="448"/>
      <c r="M41" s="448"/>
      <c r="N41" s="451">
        <f t="shared" si="0"/>
        <v>423.5574264996153</v>
      </c>
      <c r="O41" s="454"/>
      <c r="P41" s="451">
        <f t="shared" si="1"/>
        <v>255.75399999999999</v>
      </c>
    </row>
    <row r="42" spans="1:16">
      <c r="A42" s="446">
        <v>2011</v>
      </c>
      <c r="B42" s="447">
        <v>1</v>
      </c>
      <c r="C42" s="448">
        <v>118.91191637484781</v>
      </c>
      <c r="D42" s="448">
        <v>45</v>
      </c>
      <c r="E42" s="448">
        <v>235.322</v>
      </c>
      <c r="F42" s="450">
        <v>0.318</v>
      </c>
      <c r="G42" s="448">
        <v>0</v>
      </c>
      <c r="H42" s="448"/>
      <c r="I42" s="448"/>
      <c r="J42" s="448"/>
      <c r="K42" s="448"/>
      <c r="L42" s="448"/>
      <c r="M42" s="448"/>
      <c r="N42" s="451">
        <f t="shared" si="0"/>
        <v>399.55191637484779</v>
      </c>
      <c r="P42" s="451">
        <f t="shared" si="1"/>
        <v>235.322</v>
      </c>
    </row>
    <row r="43" spans="1:16">
      <c r="A43" s="446">
        <v>2011</v>
      </c>
      <c r="B43" s="447">
        <v>2</v>
      </c>
      <c r="C43" s="448">
        <v>126.52654722433761</v>
      </c>
      <c r="D43" s="448">
        <v>45</v>
      </c>
      <c r="E43" s="448">
        <v>159.958</v>
      </c>
      <c r="F43" s="450">
        <v>0.70499999999999996</v>
      </c>
      <c r="G43" s="448">
        <v>0</v>
      </c>
      <c r="H43" s="448"/>
      <c r="I43" s="448"/>
      <c r="J43" s="448"/>
      <c r="K43" s="448"/>
      <c r="L43" s="448"/>
      <c r="M43" s="448"/>
      <c r="N43" s="451">
        <f t="shared" si="0"/>
        <v>332.18954722433756</v>
      </c>
      <c r="P43" s="451">
        <f t="shared" si="1"/>
        <v>159.958</v>
      </c>
    </row>
    <row r="44" spans="1:16">
      <c r="A44" s="446">
        <v>2011</v>
      </c>
      <c r="B44" s="447">
        <v>3</v>
      </c>
      <c r="C44" s="448">
        <v>120.06995936428264</v>
      </c>
      <c r="D44" s="448">
        <v>45</v>
      </c>
      <c r="E44" s="448">
        <v>183.48099999999999</v>
      </c>
      <c r="F44" s="450">
        <v>1.159</v>
      </c>
      <c r="G44" s="448">
        <v>0</v>
      </c>
      <c r="H44" s="448"/>
      <c r="I44" s="448"/>
      <c r="J44" s="448"/>
      <c r="K44" s="448"/>
      <c r="L44" s="448"/>
      <c r="M44" s="448"/>
      <c r="N44" s="451">
        <f t="shared" si="0"/>
        <v>349.70995936428261</v>
      </c>
      <c r="P44" s="451">
        <f t="shared" si="1"/>
        <v>183.48099999999999</v>
      </c>
    </row>
    <row r="45" spans="1:16">
      <c r="A45" s="446">
        <v>2011</v>
      </c>
      <c r="B45" s="447">
        <v>4</v>
      </c>
      <c r="C45" s="448">
        <v>142.58940113603637</v>
      </c>
      <c r="D45" s="448">
        <v>45</v>
      </c>
      <c r="E45" s="448">
        <v>220.28300000000002</v>
      </c>
      <c r="F45" s="450">
        <v>1.032</v>
      </c>
      <c r="G45" s="448">
        <v>0</v>
      </c>
      <c r="H45" s="448"/>
      <c r="I45" s="448"/>
      <c r="J45" s="448"/>
      <c r="K45" s="448"/>
      <c r="L45" s="448"/>
      <c r="M45" s="448"/>
      <c r="N45" s="451">
        <f t="shared" si="0"/>
        <v>408.90440113603637</v>
      </c>
      <c r="P45" s="451">
        <f t="shared" si="1"/>
        <v>220.28300000000002</v>
      </c>
    </row>
    <row r="46" spans="1:16">
      <c r="A46" s="446">
        <v>2011</v>
      </c>
      <c r="B46" s="447">
        <v>5</v>
      </c>
      <c r="C46" s="448">
        <v>151.57107734863757</v>
      </c>
      <c r="D46" s="448">
        <v>45</v>
      </c>
      <c r="E46" s="448">
        <v>217.24799999999999</v>
      </c>
      <c r="F46" s="450">
        <v>0.36299999999999999</v>
      </c>
      <c r="G46" s="448">
        <v>0</v>
      </c>
      <c r="H46" s="448"/>
      <c r="I46" s="448"/>
      <c r="J46" s="448"/>
      <c r="K46" s="448"/>
      <c r="L46" s="448"/>
      <c r="M46" s="448"/>
      <c r="N46" s="451">
        <f t="shared" si="0"/>
        <v>414.18207734863756</v>
      </c>
      <c r="P46" s="451">
        <f t="shared" si="1"/>
        <v>217.24799999999999</v>
      </c>
    </row>
    <row r="47" spans="1:16">
      <c r="A47" s="446">
        <v>2011</v>
      </c>
      <c r="B47" s="447">
        <v>6</v>
      </c>
      <c r="C47" s="448">
        <v>135</v>
      </c>
      <c r="D47" s="448">
        <v>45</v>
      </c>
      <c r="E47" s="448">
        <v>221.02100000000002</v>
      </c>
      <c r="F47" s="450">
        <v>0.54700000000000004</v>
      </c>
      <c r="G47" s="448">
        <v>0</v>
      </c>
      <c r="H47" s="448"/>
      <c r="I47" s="448"/>
      <c r="J47" s="448"/>
      <c r="K47" s="448"/>
      <c r="L47" s="448"/>
      <c r="M47" s="448"/>
      <c r="N47" s="451">
        <f t="shared" si="0"/>
        <v>401.56800000000004</v>
      </c>
      <c r="P47" s="451">
        <f t="shared" si="1"/>
        <v>221.02100000000002</v>
      </c>
    </row>
    <row r="48" spans="1:16">
      <c r="A48" s="446">
        <v>2011</v>
      </c>
      <c r="B48" s="447">
        <v>7</v>
      </c>
      <c r="C48" s="448">
        <v>144</v>
      </c>
      <c r="D48" s="448">
        <v>45</v>
      </c>
      <c r="E48" s="448">
        <v>224.38800000000001</v>
      </c>
      <c r="F48" s="450">
        <v>0.81500000000000006</v>
      </c>
      <c r="G48" s="448">
        <v>0</v>
      </c>
      <c r="H48" s="448"/>
      <c r="I48" s="448"/>
      <c r="J48" s="448"/>
      <c r="K48" s="448"/>
      <c r="L48" s="448"/>
      <c r="M48" s="448"/>
      <c r="N48" s="451">
        <f t="shared" si="0"/>
        <v>414.20300000000003</v>
      </c>
      <c r="P48" s="451">
        <f t="shared" si="1"/>
        <v>224.38800000000001</v>
      </c>
    </row>
    <row r="49" spans="1:16" s="455" customFormat="1" ht="12">
      <c r="A49" s="446">
        <v>2011</v>
      </c>
      <c r="B49" s="447">
        <v>8</v>
      </c>
      <c r="C49" s="448">
        <v>146</v>
      </c>
      <c r="D49" s="448">
        <v>45</v>
      </c>
      <c r="E49" s="448">
        <v>234.47900000000001</v>
      </c>
      <c r="F49" s="450">
        <v>0.997</v>
      </c>
      <c r="G49" s="448">
        <v>0</v>
      </c>
      <c r="H49" s="448"/>
      <c r="I49" s="448"/>
      <c r="J49" s="448"/>
      <c r="K49" s="448"/>
      <c r="L49" s="448"/>
      <c r="M49" s="448"/>
      <c r="N49" s="451">
        <f t="shared" si="0"/>
        <v>426.47600000000006</v>
      </c>
      <c r="P49" s="451">
        <f t="shared" si="1"/>
        <v>234.47900000000001</v>
      </c>
    </row>
    <row r="50" spans="1:16">
      <c r="A50" s="446">
        <v>2011</v>
      </c>
      <c r="B50" s="447">
        <v>9</v>
      </c>
      <c r="C50" s="448">
        <v>133</v>
      </c>
      <c r="D50" s="448">
        <v>45</v>
      </c>
      <c r="E50" s="448">
        <v>218.94300000000001</v>
      </c>
      <c r="F50" s="450">
        <v>0.97599999999999998</v>
      </c>
      <c r="G50" s="448">
        <v>0</v>
      </c>
      <c r="H50" s="448"/>
      <c r="I50" s="448"/>
      <c r="J50" s="448"/>
      <c r="K50" s="448"/>
      <c r="L50" s="448"/>
      <c r="M50" s="448"/>
      <c r="N50" s="451">
        <f t="shared" si="0"/>
        <v>397.91899999999998</v>
      </c>
      <c r="P50" s="451">
        <f t="shared" si="1"/>
        <v>218.94300000000001</v>
      </c>
    </row>
    <row r="51" spans="1:16">
      <c r="A51" s="446">
        <v>2011</v>
      </c>
      <c r="B51" s="447">
        <v>10</v>
      </c>
      <c r="C51" s="448">
        <v>113</v>
      </c>
      <c r="D51" s="448">
        <v>45</v>
      </c>
      <c r="E51" s="448">
        <v>199.83</v>
      </c>
      <c r="F51" s="450">
        <v>0.77800000000000002</v>
      </c>
      <c r="G51" s="448">
        <v>0</v>
      </c>
      <c r="H51" s="448"/>
      <c r="I51" s="456">
        <v>11.157</v>
      </c>
      <c r="J51" s="456"/>
      <c r="K51" s="456"/>
      <c r="L51" s="456"/>
      <c r="M51" s="456"/>
      <c r="N51" s="451">
        <f t="shared" si="0"/>
        <v>369.76500000000004</v>
      </c>
      <c r="P51" s="451">
        <f t="shared" si="1"/>
        <v>199.83</v>
      </c>
    </row>
    <row r="52" spans="1:16">
      <c r="A52" s="446">
        <v>2011</v>
      </c>
      <c r="B52" s="447">
        <v>11</v>
      </c>
      <c r="C52" s="448">
        <v>102</v>
      </c>
      <c r="D52" s="448">
        <v>45</v>
      </c>
      <c r="E52" s="448">
        <v>183.04</v>
      </c>
      <c r="F52" s="450">
        <v>0.95600000000000007</v>
      </c>
      <c r="G52" s="448">
        <v>0</v>
      </c>
      <c r="H52" s="448"/>
      <c r="I52" s="456">
        <v>10.145</v>
      </c>
      <c r="J52" s="456"/>
      <c r="K52" s="456"/>
      <c r="L52" s="456"/>
      <c r="M52" s="456"/>
      <c r="N52" s="451">
        <f t="shared" si="0"/>
        <v>341.14099999999996</v>
      </c>
      <c r="P52" s="451">
        <f t="shared" si="1"/>
        <v>183.04</v>
      </c>
    </row>
    <row r="53" spans="1:16">
      <c r="A53" s="446">
        <v>2011</v>
      </c>
      <c r="B53" s="447">
        <v>12</v>
      </c>
      <c r="C53" s="448">
        <v>96</v>
      </c>
      <c r="D53" s="448">
        <v>45</v>
      </c>
      <c r="E53" s="448">
        <v>157.739</v>
      </c>
      <c r="F53" s="450">
        <v>0.90600000000000003</v>
      </c>
      <c r="G53" s="448">
        <v>0</v>
      </c>
      <c r="H53" s="448"/>
      <c r="I53" s="456">
        <v>8.484</v>
      </c>
      <c r="J53" s="456"/>
      <c r="K53" s="456"/>
      <c r="L53" s="456"/>
      <c r="M53" s="456"/>
      <c r="N53" s="451">
        <f t="shared" si="0"/>
        <v>308.12900000000002</v>
      </c>
      <c r="O53" s="454"/>
      <c r="P53" s="451">
        <f t="shared" si="1"/>
        <v>157.739</v>
      </c>
    </row>
    <row r="54" spans="1:16">
      <c r="A54" s="446">
        <v>2012</v>
      </c>
      <c r="B54" s="447">
        <v>1</v>
      </c>
      <c r="C54" s="448">
        <v>97</v>
      </c>
      <c r="D54" s="448">
        <v>45</v>
      </c>
      <c r="E54" s="448">
        <v>224.965</v>
      </c>
      <c r="F54" s="450">
        <v>0.97799999999999998</v>
      </c>
      <c r="G54" s="448">
        <v>0</v>
      </c>
      <c r="H54" s="448"/>
      <c r="I54" s="456">
        <v>13</v>
      </c>
      <c r="J54" s="456"/>
      <c r="K54" s="456"/>
      <c r="L54" s="456"/>
      <c r="M54" s="456"/>
      <c r="N54" s="451">
        <f t="shared" si="0"/>
        <v>380.94300000000004</v>
      </c>
      <c r="P54" s="451">
        <f t="shared" si="1"/>
        <v>224.965</v>
      </c>
    </row>
    <row r="55" spans="1:16">
      <c r="A55" s="446">
        <v>2012</v>
      </c>
      <c r="B55" s="447">
        <v>2</v>
      </c>
      <c r="C55" s="448">
        <v>110</v>
      </c>
      <c r="D55" s="448">
        <v>45</v>
      </c>
      <c r="E55" s="448">
        <v>178.631</v>
      </c>
      <c r="F55" s="450">
        <v>0.92</v>
      </c>
      <c r="G55" s="448">
        <v>0</v>
      </c>
      <c r="H55" s="448"/>
      <c r="I55" s="456">
        <v>10</v>
      </c>
      <c r="J55" s="456"/>
      <c r="K55" s="456"/>
      <c r="L55" s="456"/>
      <c r="M55" s="456"/>
      <c r="N55" s="451">
        <f t="shared" si="0"/>
        <v>344.55099999999999</v>
      </c>
      <c r="P55" s="451">
        <f t="shared" si="1"/>
        <v>178.631</v>
      </c>
    </row>
    <row r="56" spans="1:16">
      <c r="A56" s="446">
        <v>2012</v>
      </c>
      <c r="B56" s="447">
        <v>3</v>
      </c>
      <c r="C56" s="448">
        <v>103</v>
      </c>
      <c r="D56" s="448">
        <v>45</v>
      </c>
      <c r="E56" s="448">
        <v>189.024</v>
      </c>
      <c r="F56" s="450">
        <v>0.35</v>
      </c>
      <c r="G56" s="448">
        <v>0</v>
      </c>
      <c r="H56" s="448"/>
      <c r="I56" s="456">
        <v>11</v>
      </c>
      <c r="J56" s="456"/>
      <c r="K56" s="456"/>
      <c r="L56" s="456"/>
      <c r="M56" s="456"/>
      <c r="N56" s="451">
        <f t="shared" si="0"/>
        <v>348.37400000000002</v>
      </c>
      <c r="P56" s="451">
        <f t="shared" si="1"/>
        <v>189.024</v>
      </c>
    </row>
    <row r="57" spans="1:16">
      <c r="A57" s="446">
        <v>2012</v>
      </c>
      <c r="B57" s="447">
        <v>4</v>
      </c>
      <c r="C57" s="448">
        <v>117</v>
      </c>
      <c r="D57" s="448">
        <v>45</v>
      </c>
      <c r="E57" s="448">
        <v>205.48599999999999</v>
      </c>
      <c r="F57" s="450">
        <v>0.56999999999999995</v>
      </c>
      <c r="G57" s="448">
        <v>0</v>
      </c>
      <c r="H57" s="448"/>
      <c r="I57" s="456">
        <v>11</v>
      </c>
      <c r="J57" s="456"/>
      <c r="K57" s="456"/>
      <c r="L57" s="456"/>
      <c r="M57" s="456"/>
      <c r="N57" s="451">
        <f t="shared" si="0"/>
        <v>379.05599999999998</v>
      </c>
      <c r="P57" s="451">
        <f t="shared" si="1"/>
        <v>205.48599999999999</v>
      </c>
    </row>
    <row r="58" spans="1:16">
      <c r="A58" s="446">
        <v>2012</v>
      </c>
      <c r="B58" s="447">
        <v>5</v>
      </c>
      <c r="C58" s="448">
        <v>123</v>
      </c>
      <c r="D58" s="448">
        <v>45</v>
      </c>
      <c r="E58" s="448">
        <v>215.85499999999999</v>
      </c>
      <c r="F58" s="450">
        <v>0.89600000000000002</v>
      </c>
      <c r="G58" s="448">
        <v>0</v>
      </c>
      <c r="H58" s="448"/>
      <c r="I58" s="456">
        <v>13</v>
      </c>
      <c r="J58" s="456">
        <v>8</v>
      </c>
      <c r="K58" s="456"/>
      <c r="L58" s="456"/>
      <c r="M58" s="456"/>
      <c r="N58" s="451">
        <f t="shared" si="0"/>
        <v>405.75100000000003</v>
      </c>
      <c r="P58" s="451">
        <f t="shared" si="1"/>
        <v>215.85499999999999</v>
      </c>
    </row>
    <row r="59" spans="1:16">
      <c r="A59" s="446">
        <v>2012</v>
      </c>
      <c r="B59" s="447">
        <v>6</v>
      </c>
      <c r="C59" s="448">
        <v>122</v>
      </c>
      <c r="D59" s="448">
        <v>45</v>
      </c>
      <c r="E59" s="448">
        <v>206.01900000000001</v>
      </c>
      <c r="F59" s="450">
        <v>0.89800000000000002</v>
      </c>
      <c r="G59" s="448">
        <v>0</v>
      </c>
      <c r="H59" s="448"/>
      <c r="I59" s="456">
        <v>12</v>
      </c>
      <c r="J59" s="456">
        <v>8</v>
      </c>
      <c r="K59" s="456"/>
      <c r="L59" s="456"/>
      <c r="M59" s="456"/>
      <c r="N59" s="451">
        <f t="shared" si="0"/>
        <v>393.91700000000003</v>
      </c>
      <c r="P59" s="451">
        <f t="shared" si="1"/>
        <v>206.01900000000001</v>
      </c>
    </row>
    <row r="60" spans="1:16">
      <c r="A60" s="446">
        <v>2012</v>
      </c>
      <c r="B60" s="447">
        <v>7</v>
      </c>
      <c r="C60" s="448">
        <v>145</v>
      </c>
      <c r="D60" s="448">
        <v>45</v>
      </c>
      <c r="E60" s="448">
        <v>226.667</v>
      </c>
      <c r="F60" s="450">
        <v>0.60099999999999998</v>
      </c>
      <c r="G60" s="448">
        <v>0</v>
      </c>
      <c r="H60" s="448"/>
      <c r="I60" s="456">
        <v>13</v>
      </c>
      <c r="J60" s="456">
        <v>8</v>
      </c>
      <c r="K60" s="456"/>
      <c r="L60" s="456"/>
      <c r="M60" s="456"/>
      <c r="N60" s="451">
        <f t="shared" si="0"/>
        <v>438.26800000000003</v>
      </c>
      <c r="P60" s="451">
        <f t="shared" si="1"/>
        <v>226.667</v>
      </c>
    </row>
    <row r="61" spans="1:16" s="455" customFormat="1" ht="12">
      <c r="A61" s="446">
        <v>2012</v>
      </c>
      <c r="B61" s="447">
        <v>8</v>
      </c>
      <c r="C61" s="448">
        <v>143</v>
      </c>
      <c r="D61" s="448">
        <v>45</v>
      </c>
      <c r="E61" s="448">
        <v>223.40299999999999</v>
      </c>
      <c r="F61" s="450">
        <v>0.36299999999999999</v>
      </c>
      <c r="G61" s="448">
        <v>0</v>
      </c>
      <c r="H61" s="448"/>
      <c r="I61" s="456">
        <v>13</v>
      </c>
      <c r="J61" s="456">
        <v>6</v>
      </c>
      <c r="K61" s="456"/>
      <c r="L61" s="456"/>
      <c r="M61" s="456"/>
      <c r="N61" s="451">
        <f t="shared" si="0"/>
        <v>430.76600000000002</v>
      </c>
      <c r="O61" s="457"/>
      <c r="P61" s="451">
        <f t="shared" si="1"/>
        <v>223.40299999999999</v>
      </c>
    </row>
    <row r="62" spans="1:16">
      <c r="A62" s="446">
        <v>2012</v>
      </c>
      <c r="B62" s="447">
        <v>9</v>
      </c>
      <c r="C62" s="448">
        <v>134</v>
      </c>
      <c r="D62" s="448">
        <v>45</v>
      </c>
      <c r="E62" s="448">
        <v>215.81700000000001</v>
      </c>
      <c r="F62" s="450">
        <v>0.68200000000000005</v>
      </c>
      <c r="G62" s="448">
        <v>0</v>
      </c>
      <c r="H62" s="448"/>
      <c r="I62" s="456">
        <v>11</v>
      </c>
      <c r="J62" s="456">
        <v>7</v>
      </c>
      <c r="K62" s="456"/>
      <c r="L62" s="456"/>
      <c r="M62" s="456"/>
      <c r="N62" s="451">
        <f t="shared" si="0"/>
        <v>413.49900000000002</v>
      </c>
      <c r="P62" s="451">
        <f t="shared" si="1"/>
        <v>215.81700000000001</v>
      </c>
    </row>
    <row r="63" spans="1:16">
      <c r="A63" s="446">
        <v>2012</v>
      </c>
      <c r="B63" s="447">
        <v>10</v>
      </c>
      <c r="C63" s="448">
        <v>125</v>
      </c>
      <c r="D63" s="448">
        <v>45</v>
      </c>
      <c r="E63" s="448">
        <v>211.904</v>
      </c>
      <c r="F63" s="450">
        <v>0.30099999999999999</v>
      </c>
      <c r="G63" s="448">
        <v>0</v>
      </c>
      <c r="H63" s="448"/>
      <c r="I63" s="456">
        <v>11</v>
      </c>
      <c r="J63" s="456">
        <v>6</v>
      </c>
      <c r="K63" s="456"/>
      <c r="L63" s="456"/>
      <c r="M63" s="456"/>
      <c r="N63" s="451">
        <f t="shared" si="0"/>
        <v>399.20499999999998</v>
      </c>
      <c r="P63" s="451">
        <f t="shared" si="1"/>
        <v>211.904</v>
      </c>
    </row>
    <row r="64" spans="1:16">
      <c r="A64" s="446">
        <v>2012</v>
      </c>
      <c r="B64" s="447">
        <v>11</v>
      </c>
      <c r="C64" s="448">
        <v>85</v>
      </c>
      <c r="D64" s="448">
        <v>45</v>
      </c>
      <c r="E64" s="448">
        <v>147.77199999999999</v>
      </c>
      <c r="F64" s="450">
        <v>0.57299999999999995</v>
      </c>
      <c r="G64" s="448">
        <v>0</v>
      </c>
      <c r="H64" s="448"/>
      <c r="I64" s="456">
        <v>8</v>
      </c>
      <c r="J64" s="456">
        <v>4</v>
      </c>
      <c r="K64" s="456"/>
      <c r="L64" s="456"/>
      <c r="M64" s="456"/>
      <c r="N64" s="451">
        <f t="shared" si="0"/>
        <v>290.34499999999997</v>
      </c>
      <c r="P64" s="451">
        <f t="shared" si="1"/>
        <v>147.77199999999999</v>
      </c>
    </row>
    <row r="65" spans="1:16">
      <c r="A65" s="446">
        <v>2012</v>
      </c>
      <c r="B65" s="447">
        <v>12</v>
      </c>
      <c r="C65" s="448">
        <v>99</v>
      </c>
      <c r="D65" s="448">
        <v>45</v>
      </c>
      <c r="E65" s="448">
        <v>174.495</v>
      </c>
      <c r="F65" s="450">
        <v>0.66</v>
      </c>
      <c r="G65" s="448">
        <v>0</v>
      </c>
      <c r="H65" s="448"/>
      <c r="I65" s="456">
        <v>9</v>
      </c>
      <c r="J65" s="456">
        <v>5</v>
      </c>
      <c r="K65" s="456"/>
      <c r="L65" s="456"/>
      <c r="M65" s="456"/>
      <c r="N65" s="451">
        <f t="shared" si="0"/>
        <v>333.15500000000003</v>
      </c>
      <c r="O65" s="454"/>
      <c r="P65" s="451">
        <f t="shared" si="1"/>
        <v>174.495</v>
      </c>
    </row>
    <row r="66" spans="1:16">
      <c r="A66" s="446">
        <v>2013</v>
      </c>
      <c r="B66" s="447">
        <v>1</v>
      </c>
      <c r="C66" s="448">
        <v>102</v>
      </c>
      <c r="D66" s="448">
        <v>45</v>
      </c>
      <c r="E66" s="448">
        <v>173</v>
      </c>
      <c r="F66" s="450">
        <v>0.77075993508158613</v>
      </c>
      <c r="G66" s="448">
        <v>0</v>
      </c>
      <c r="H66" s="448"/>
      <c r="I66" s="456">
        <v>9</v>
      </c>
      <c r="J66" s="456">
        <v>4</v>
      </c>
      <c r="K66" s="456"/>
      <c r="L66" s="456"/>
      <c r="M66" s="456"/>
      <c r="N66" s="451">
        <f t="shared" si="0"/>
        <v>333.77075993508157</v>
      </c>
      <c r="P66" s="451">
        <f t="shared" si="1"/>
        <v>173</v>
      </c>
    </row>
    <row r="67" spans="1:16">
      <c r="A67" s="446">
        <v>2013</v>
      </c>
      <c r="B67" s="447">
        <v>2</v>
      </c>
      <c r="C67" s="448">
        <v>111</v>
      </c>
      <c r="D67" s="448">
        <v>45</v>
      </c>
      <c r="E67" s="448">
        <v>180</v>
      </c>
      <c r="F67" s="450">
        <v>0.57388367323850598</v>
      </c>
      <c r="G67" s="448">
        <v>0</v>
      </c>
      <c r="H67" s="448"/>
      <c r="I67" s="456">
        <v>10</v>
      </c>
      <c r="J67" s="456">
        <v>4</v>
      </c>
      <c r="K67" s="456"/>
      <c r="L67" s="456"/>
      <c r="M67" s="456"/>
      <c r="N67" s="451">
        <f t="shared" si="0"/>
        <v>350.57388367323853</v>
      </c>
      <c r="P67" s="451">
        <f t="shared" si="1"/>
        <v>180</v>
      </c>
    </row>
    <row r="68" spans="1:16">
      <c r="A68" s="446">
        <v>2013</v>
      </c>
      <c r="B68" s="447">
        <v>3</v>
      </c>
      <c r="C68" s="448">
        <v>88</v>
      </c>
      <c r="D68" s="448">
        <v>45</v>
      </c>
      <c r="E68" s="448">
        <v>196</v>
      </c>
      <c r="F68" s="450">
        <v>0.83725887989483894</v>
      </c>
      <c r="G68" s="448">
        <v>0</v>
      </c>
      <c r="H68" s="448"/>
      <c r="I68" s="456">
        <v>11</v>
      </c>
      <c r="J68" s="456">
        <v>7</v>
      </c>
      <c r="K68" s="456"/>
      <c r="L68" s="456"/>
      <c r="M68" s="456"/>
      <c r="N68" s="451">
        <f t="shared" si="0"/>
        <v>347.83725887989482</v>
      </c>
      <c r="P68" s="451">
        <f t="shared" si="1"/>
        <v>196</v>
      </c>
    </row>
    <row r="69" spans="1:16">
      <c r="A69" s="446">
        <v>2013</v>
      </c>
      <c r="B69" s="447">
        <v>4</v>
      </c>
      <c r="C69" s="448">
        <v>120</v>
      </c>
      <c r="D69" s="448">
        <v>45</v>
      </c>
      <c r="E69" s="448">
        <v>207</v>
      </c>
      <c r="F69" s="450">
        <v>0.73948675590640567</v>
      </c>
      <c r="G69" s="448">
        <v>0</v>
      </c>
      <c r="H69" s="448"/>
      <c r="I69" s="456">
        <v>10</v>
      </c>
      <c r="J69" s="456">
        <v>4</v>
      </c>
      <c r="K69" s="456"/>
      <c r="L69" s="456"/>
      <c r="M69" s="456"/>
      <c r="N69" s="451">
        <f t="shared" si="0"/>
        <v>386.7394867559064</v>
      </c>
      <c r="P69" s="451">
        <f t="shared" si="1"/>
        <v>207</v>
      </c>
    </row>
    <row r="70" spans="1:16">
      <c r="A70" s="446">
        <v>2013</v>
      </c>
      <c r="B70" s="447">
        <v>5</v>
      </c>
      <c r="C70" s="448">
        <v>139</v>
      </c>
      <c r="D70" s="448">
        <v>45</v>
      </c>
      <c r="E70" s="448">
        <v>224</v>
      </c>
      <c r="F70" s="450">
        <v>0.78311067675493906</v>
      </c>
      <c r="G70" s="448">
        <v>0</v>
      </c>
      <c r="H70" s="448"/>
      <c r="I70" s="456">
        <v>12</v>
      </c>
      <c r="J70" s="456">
        <v>7</v>
      </c>
      <c r="K70" s="456"/>
      <c r="L70" s="456"/>
      <c r="M70" s="456"/>
      <c r="N70" s="451">
        <f t="shared" si="0"/>
        <v>427.78311067675492</v>
      </c>
      <c r="P70" s="451">
        <f>E70+G70</f>
        <v>224</v>
      </c>
    </row>
    <row r="71" spans="1:16">
      <c r="A71" s="446">
        <v>2013</v>
      </c>
      <c r="B71" s="447">
        <v>6</v>
      </c>
      <c r="C71" s="448">
        <v>137</v>
      </c>
      <c r="D71" s="448">
        <v>0</v>
      </c>
      <c r="E71" s="448">
        <v>221</v>
      </c>
      <c r="F71" s="450">
        <v>0.64613850481711455</v>
      </c>
      <c r="G71" s="448">
        <v>0</v>
      </c>
      <c r="H71" s="448"/>
      <c r="I71" s="456">
        <v>12</v>
      </c>
      <c r="J71" s="456">
        <v>8</v>
      </c>
      <c r="K71" s="456"/>
      <c r="L71" s="456"/>
      <c r="M71" s="456"/>
      <c r="N71" s="451">
        <f t="shared" ref="N71:N134" si="2">SUM(C71:M71)</f>
        <v>378.64613850481709</v>
      </c>
      <c r="O71" s="458"/>
      <c r="P71" s="451">
        <f>E71+G71-45</f>
        <v>176</v>
      </c>
    </row>
    <row r="72" spans="1:16">
      <c r="A72" s="446">
        <v>2013</v>
      </c>
      <c r="B72" s="447">
        <v>7</v>
      </c>
      <c r="C72" s="448">
        <v>146</v>
      </c>
      <c r="D72" s="448">
        <v>0</v>
      </c>
      <c r="E72" s="448">
        <v>216</v>
      </c>
      <c r="F72" s="450">
        <v>0.59928851752094436</v>
      </c>
      <c r="G72" s="448">
        <v>0</v>
      </c>
      <c r="H72" s="448"/>
      <c r="I72" s="456">
        <v>11</v>
      </c>
      <c r="J72" s="456">
        <v>8</v>
      </c>
      <c r="K72" s="456"/>
      <c r="L72" s="456"/>
      <c r="M72" s="456"/>
      <c r="N72" s="451">
        <f t="shared" si="2"/>
        <v>381.59928851752096</v>
      </c>
      <c r="O72" s="458"/>
      <c r="P72" s="451">
        <f>E72+G72-45</f>
        <v>171</v>
      </c>
    </row>
    <row r="73" spans="1:16" s="455" customFormat="1" ht="12">
      <c r="A73" s="446">
        <v>2013</v>
      </c>
      <c r="B73" s="447">
        <v>8</v>
      </c>
      <c r="C73" s="448">
        <v>139</v>
      </c>
      <c r="D73" s="448">
        <v>0</v>
      </c>
      <c r="E73" s="448">
        <v>236</v>
      </c>
      <c r="F73" s="450">
        <v>0.80065614331468005</v>
      </c>
      <c r="G73" s="448">
        <v>0</v>
      </c>
      <c r="H73" s="448"/>
      <c r="I73" s="456">
        <v>13</v>
      </c>
      <c r="J73" s="456">
        <v>6</v>
      </c>
      <c r="K73" s="456"/>
      <c r="L73" s="456"/>
      <c r="M73" s="456"/>
      <c r="N73" s="451">
        <f t="shared" si="2"/>
        <v>394.80065614331465</v>
      </c>
      <c r="O73" s="457"/>
      <c r="P73" s="451">
        <f>E73+G73-45</f>
        <v>191</v>
      </c>
    </row>
    <row r="74" spans="1:16">
      <c r="A74" s="446">
        <v>2013</v>
      </c>
      <c r="B74" s="447">
        <v>9</v>
      </c>
      <c r="C74" s="448">
        <v>133</v>
      </c>
      <c r="D74" s="448">
        <v>0</v>
      </c>
      <c r="E74" s="448">
        <v>224</v>
      </c>
      <c r="F74" s="450">
        <v>0.9105170500062737</v>
      </c>
      <c r="G74" s="448">
        <v>0</v>
      </c>
      <c r="H74" s="448"/>
      <c r="I74" s="456">
        <v>13</v>
      </c>
      <c r="J74" s="456">
        <v>8</v>
      </c>
      <c r="K74" s="456"/>
      <c r="L74" s="456"/>
      <c r="M74" s="456"/>
      <c r="N74" s="451">
        <f t="shared" si="2"/>
        <v>378.91051705000626</v>
      </c>
      <c r="O74" s="458"/>
      <c r="P74" s="451">
        <f t="shared" ref="P74:P137" si="3">E74+G74-45</f>
        <v>179</v>
      </c>
    </row>
    <row r="75" spans="1:16">
      <c r="A75" s="446">
        <v>2013</v>
      </c>
      <c r="B75" s="447">
        <v>10</v>
      </c>
      <c r="C75" s="448">
        <v>129</v>
      </c>
      <c r="D75" s="448">
        <v>0</v>
      </c>
      <c r="E75" s="448">
        <v>221</v>
      </c>
      <c r="F75" s="450">
        <v>0.86879275653923549</v>
      </c>
      <c r="G75" s="448">
        <v>0</v>
      </c>
      <c r="H75" s="448"/>
      <c r="I75" s="456">
        <v>11</v>
      </c>
      <c r="J75" s="456">
        <v>5</v>
      </c>
      <c r="K75" s="456"/>
      <c r="L75" s="456"/>
      <c r="M75" s="456"/>
      <c r="N75" s="451">
        <f t="shared" si="2"/>
        <v>366.86879275653922</v>
      </c>
      <c r="O75" s="458"/>
      <c r="P75" s="451">
        <f t="shared" si="3"/>
        <v>176</v>
      </c>
    </row>
    <row r="76" spans="1:16">
      <c r="A76" s="446">
        <v>2013</v>
      </c>
      <c r="B76" s="447">
        <v>11</v>
      </c>
      <c r="C76" s="448">
        <v>114</v>
      </c>
      <c r="D76" s="448">
        <v>0</v>
      </c>
      <c r="E76" s="448">
        <v>200</v>
      </c>
      <c r="F76" s="450">
        <v>1.1100000000000001</v>
      </c>
      <c r="G76" s="448">
        <v>0</v>
      </c>
      <c r="H76" s="448"/>
      <c r="I76" s="456">
        <v>10</v>
      </c>
      <c r="J76" s="456">
        <v>5</v>
      </c>
      <c r="K76" s="456"/>
      <c r="L76" s="456"/>
      <c r="M76" s="456"/>
      <c r="N76" s="451">
        <f t="shared" si="2"/>
        <v>330.11</v>
      </c>
      <c r="O76" s="458"/>
      <c r="P76" s="451">
        <f t="shared" si="3"/>
        <v>155</v>
      </c>
    </row>
    <row r="77" spans="1:16">
      <c r="A77" s="446">
        <v>2013</v>
      </c>
      <c r="B77" s="447">
        <v>12</v>
      </c>
      <c r="C77" s="448">
        <v>111</v>
      </c>
      <c r="D77" s="448">
        <v>0</v>
      </c>
      <c r="E77" s="448">
        <v>180</v>
      </c>
      <c r="F77" s="448">
        <v>0</v>
      </c>
      <c r="G77" s="448">
        <v>0</v>
      </c>
      <c r="H77" s="448"/>
      <c r="I77" s="456">
        <v>9</v>
      </c>
      <c r="J77" s="456">
        <v>4</v>
      </c>
      <c r="K77" s="456"/>
      <c r="L77" s="456"/>
      <c r="M77" s="456"/>
      <c r="N77" s="451">
        <f t="shared" si="2"/>
        <v>304</v>
      </c>
      <c r="O77" s="458"/>
      <c r="P77" s="451">
        <f t="shared" si="3"/>
        <v>135</v>
      </c>
    </row>
    <row r="78" spans="1:16">
      <c r="A78" s="446">
        <f>A66+1</f>
        <v>2014</v>
      </c>
      <c r="B78" s="446">
        <f>B66</f>
        <v>1</v>
      </c>
      <c r="C78" s="448">
        <v>88</v>
      </c>
      <c r="D78" s="448">
        <v>0</v>
      </c>
      <c r="E78" s="448">
        <v>760</v>
      </c>
      <c r="F78" s="448">
        <v>0</v>
      </c>
      <c r="G78" s="448">
        <v>0</v>
      </c>
      <c r="H78" s="448">
        <v>0</v>
      </c>
      <c r="I78" s="456">
        <v>12</v>
      </c>
      <c r="J78" s="456">
        <v>7</v>
      </c>
      <c r="K78" s="456">
        <v>23</v>
      </c>
      <c r="L78" s="456"/>
      <c r="M78" s="456"/>
      <c r="N78" s="451">
        <f t="shared" si="2"/>
        <v>890</v>
      </c>
      <c r="O78" s="458"/>
      <c r="P78" s="451">
        <f t="shared" si="3"/>
        <v>715</v>
      </c>
    </row>
    <row r="79" spans="1:16">
      <c r="A79" s="446">
        <f t="shared" ref="A79:A142" si="4">A67+1</f>
        <v>2014</v>
      </c>
      <c r="B79" s="446">
        <f t="shared" ref="B79:B142" si="5">B67</f>
        <v>2</v>
      </c>
      <c r="C79" s="448">
        <v>111</v>
      </c>
      <c r="D79" s="448">
        <v>0</v>
      </c>
      <c r="E79" s="448">
        <v>556</v>
      </c>
      <c r="F79" s="448">
        <v>0</v>
      </c>
      <c r="G79" s="448">
        <v>0</v>
      </c>
      <c r="H79" s="448">
        <v>30</v>
      </c>
      <c r="I79" s="456">
        <v>9</v>
      </c>
      <c r="J79" s="456">
        <v>4</v>
      </c>
      <c r="K79" s="456">
        <v>22</v>
      </c>
      <c r="L79" s="456"/>
      <c r="M79" s="456"/>
      <c r="N79" s="451">
        <f t="shared" si="2"/>
        <v>732</v>
      </c>
      <c r="O79" s="458"/>
      <c r="P79" s="451">
        <f t="shared" si="3"/>
        <v>511</v>
      </c>
    </row>
    <row r="80" spans="1:16">
      <c r="A80" s="446">
        <f t="shared" si="4"/>
        <v>2014</v>
      </c>
      <c r="B80" s="446">
        <f t="shared" si="5"/>
        <v>3</v>
      </c>
      <c r="C80" s="448">
        <v>123</v>
      </c>
      <c r="D80" s="448">
        <v>0</v>
      </c>
      <c r="E80" s="448">
        <v>586</v>
      </c>
      <c r="F80" s="448">
        <v>0</v>
      </c>
      <c r="G80" s="448">
        <v>0</v>
      </c>
      <c r="H80" s="448">
        <v>20</v>
      </c>
      <c r="I80" s="456">
        <v>8</v>
      </c>
      <c r="J80" s="456">
        <v>3</v>
      </c>
      <c r="K80" s="456">
        <v>23</v>
      </c>
      <c r="L80" s="456"/>
      <c r="M80" s="456"/>
      <c r="N80" s="451">
        <f t="shared" si="2"/>
        <v>763</v>
      </c>
      <c r="O80" s="458"/>
      <c r="P80" s="451">
        <f t="shared" si="3"/>
        <v>541</v>
      </c>
    </row>
    <row r="81" spans="1:16">
      <c r="A81" s="446">
        <f t="shared" si="4"/>
        <v>2014</v>
      </c>
      <c r="B81" s="446">
        <f t="shared" si="5"/>
        <v>4</v>
      </c>
      <c r="C81" s="448">
        <v>129</v>
      </c>
      <c r="D81" s="448">
        <v>0</v>
      </c>
      <c r="E81" s="448">
        <v>711</v>
      </c>
      <c r="F81" s="448">
        <v>0</v>
      </c>
      <c r="G81" s="448">
        <v>0</v>
      </c>
      <c r="H81" s="448">
        <v>10</v>
      </c>
      <c r="I81" s="456">
        <v>12</v>
      </c>
      <c r="J81" s="456">
        <v>7</v>
      </c>
      <c r="K81" s="456">
        <v>23</v>
      </c>
      <c r="L81" s="456"/>
      <c r="M81" s="456"/>
      <c r="N81" s="451">
        <f t="shared" si="2"/>
        <v>892</v>
      </c>
      <c r="O81" s="458"/>
      <c r="P81" s="451">
        <f t="shared" si="3"/>
        <v>666</v>
      </c>
    </row>
    <row r="82" spans="1:16">
      <c r="A82" s="446">
        <f t="shared" si="4"/>
        <v>2014</v>
      </c>
      <c r="B82" s="446">
        <f t="shared" si="5"/>
        <v>5</v>
      </c>
      <c r="C82" s="448">
        <v>123</v>
      </c>
      <c r="D82" s="448">
        <v>0</v>
      </c>
      <c r="E82" s="448">
        <v>728</v>
      </c>
      <c r="F82" s="448">
        <v>0</v>
      </c>
      <c r="G82" s="448">
        <v>0</v>
      </c>
      <c r="H82" s="448">
        <v>30</v>
      </c>
      <c r="I82" s="456">
        <v>13</v>
      </c>
      <c r="J82" s="456">
        <v>7</v>
      </c>
      <c r="K82" s="456">
        <v>23</v>
      </c>
      <c r="L82" s="456"/>
      <c r="M82" s="456"/>
      <c r="N82" s="451">
        <f t="shared" si="2"/>
        <v>924</v>
      </c>
      <c r="O82" s="458"/>
      <c r="P82" s="451">
        <f t="shared" si="3"/>
        <v>683</v>
      </c>
    </row>
    <row r="83" spans="1:16">
      <c r="A83" s="446">
        <f t="shared" si="4"/>
        <v>2014</v>
      </c>
      <c r="B83" s="446">
        <f t="shared" si="5"/>
        <v>6</v>
      </c>
      <c r="C83" s="448">
        <v>140</v>
      </c>
      <c r="D83" s="448">
        <v>0</v>
      </c>
      <c r="E83" s="448">
        <v>781</v>
      </c>
      <c r="F83" s="448">
        <v>0</v>
      </c>
      <c r="G83" s="448">
        <v>200</v>
      </c>
      <c r="H83" s="448">
        <v>35</v>
      </c>
      <c r="I83" s="456">
        <v>13</v>
      </c>
      <c r="J83" s="456">
        <v>7</v>
      </c>
      <c r="K83" s="456">
        <v>22</v>
      </c>
      <c r="L83" s="456"/>
      <c r="M83" s="456"/>
      <c r="N83" s="451">
        <f t="shared" si="2"/>
        <v>1198</v>
      </c>
      <c r="O83" s="458"/>
      <c r="P83" s="451">
        <f t="shared" si="3"/>
        <v>936</v>
      </c>
    </row>
    <row r="84" spans="1:16">
      <c r="A84" s="446">
        <f t="shared" si="4"/>
        <v>2014</v>
      </c>
      <c r="B84" s="446">
        <f t="shared" si="5"/>
        <v>7</v>
      </c>
      <c r="C84" s="448">
        <v>151</v>
      </c>
      <c r="D84" s="448">
        <v>0</v>
      </c>
      <c r="E84" s="448">
        <v>725</v>
      </c>
      <c r="F84" s="448">
        <v>0</v>
      </c>
      <c r="G84" s="448">
        <v>200</v>
      </c>
      <c r="H84" s="448">
        <v>35</v>
      </c>
      <c r="I84" s="456">
        <v>13</v>
      </c>
      <c r="J84" s="456">
        <v>8</v>
      </c>
      <c r="K84" s="456">
        <v>23</v>
      </c>
      <c r="L84" s="456"/>
      <c r="M84" s="456"/>
      <c r="N84" s="451">
        <f t="shared" si="2"/>
        <v>1155</v>
      </c>
      <c r="O84" s="458"/>
      <c r="P84" s="451">
        <f t="shared" si="3"/>
        <v>880</v>
      </c>
    </row>
    <row r="85" spans="1:16" s="455" customFormat="1" ht="12">
      <c r="A85" s="446">
        <f t="shared" si="4"/>
        <v>2014</v>
      </c>
      <c r="B85" s="446">
        <f t="shared" si="5"/>
        <v>8</v>
      </c>
      <c r="C85" s="448">
        <v>146</v>
      </c>
      <c r="D85" s="448">
        <v>0</v>
      </c>
      <c r="E85" s="448">
        <v>829</v>
      </c>
      <c r="F85" s="448">
        <v>0</v>
      </c>
      <c r="G85" s="448">
        <v>200</v>
      </c>
      <c r="H85" s="448">
        <v>35</v>
      </c>
      <c r="I85" s="456">
        <v>14</v>
      </c>
      <c r="J85" s="456">
        <v>8</v>
      </c>
      <c r="K85" s="456">
        <v>23</v>
      </c>
      <c r="L85" s="456"/>
      <c r="M85" s="456"/>
      <c r="N85" s="451">
        <f t="shared" si="2"/>
        <v>1255</v>
      </c>
      <c r="O85" s="457"/>
      <c r="P85" s="451">
        <f t="shared" si="3"/>
        <v>984</v>
      </c>
    </row>
    <row r="86" spans="1:16">
      <c r="A86" s="446">
        <f t="shared" si="4"/>
        <v>2014</v>
      </c>
      <c r="B86" s="446">
        <f t="shared" si="5"/>
        <v>9</v>
      </c>
      <c r="C86" s="448">
        <v>128</v>
      </c>
      <c r="D86" s="448">
        <v>0</v>
      </c>
      <c r="E86" s="448">
        <v>701</v>
      </c>
      <c r="F86" s="448">
        <v>0</v>
      </c>
      <c r="G86" s="448">
        <v>200</v>
      </c>
      <c r="H86" s="448">
        <v>25</v>
      </c>
      <c r="I86" s="456">
        <v>12</v>
      </c>
      <c r="J86" s="456">
        <v>7</v>
      </c>
      <c r="K86" s="456">
        <v>23</v>
      </c>
      <c r="L86" s="456"/>
      <c r="M86" s="456"/>
      <c r="N86" s="451">
        <f t="shared" si="2"/>
        <v>1096</v>
      </c>
      <c r="O86" s="458"/>
      <c r="P86" s="451">
        <f t="shared" si="3"/>
        <v>856</v>
      </c>
    </row>
    <row r="87" spans="1:16">
      <c r="A87" s="446">
        <f t="shared" si="4"/>
        <v>2014</v>
      </c>
      <c r="B87" s="446">
        <f t="shared" si="5"/>
        <v>10</v>
      </c>
      <c r="C87" s="448">
        <v>137</v>
      </c>
      <c r="D87" s="448">
        <v>0</v>
      </c>
      <c r="E87" s="448">
        <v>760</v>
      </c>
      <c r="F87" s="448">
        <v>0</v>
      </c>
      <c r="G87" s="448">
        <v>200</v>
      </c>
      <c r="H87" s="448">
        <v>20</v>
      </c>
      <c r="I87" s="456">
        <v>12</v>
      </c>
      <c r="J87" s="456">
        <v>7</v>
      </c>
      <c r="K87" s="456">
        <v>22</v>
      </c>
      <c r="L87" s="456"/>
      <c r="M87" s="456"/>
      <c r="N87" s="451">
        <f t="shared" si="2"/>
        <v>1158</v>
      </c>
      <c r="O87" s="458"/>
      <c r="P87" s="451">
        <f t="shared" si="3"/>
        <v>915</v>
      </c>
    </row>
    <row r="88" spans="1:16">
      <c r="A88" s="446">
        <f t="shared" si="4"/>
        <v>2014</v>
      </c>
      <c r="B88" s="446">
        <f t="shared" si="5"/>
        <v>11</v>
      </c>
      <c r="C88" s="448">
        <v>115</v>
      </c>
      <c r="D88" s="448">
        <v>0</v>
      </c>
      <c r="E88" s="448">
        <v>598</v>
      </c>
      <c r="F88" s="448">
        <v>0</v>
      </c>
      <c r="G88" s="448">
        <v>0</v>
      </c>
      <c r="H88" s="448">
        <v>20</v>
      </c>
      <c r="I88" s="456">
        <v>9</v>
      </c>
      <c r="J88" s="456">
        <v>4</v>
      </c>
      <c r="K88" s="456">
        <v>23</v>
      </c>
      <c r="L88" s="456"/>
      <c r="M88" s="456"/>
      <c r="N88" s="451">
        <f t="shared" si="2"/>
        <v>769</v>
      </c>
      <c r="O88" s="458"/>
      <c r="P88" s="451">
        <f t="shared" si="3"/>
        <v>553</v>
      </c>
    </row>
    <row r="89" spans="1:16">
      <c r="A89" s="446">
        <f t="shared" si="4"/>
        <v>2014</v>
      </c>
      <c r="B89" s="446">
        <f t="shared" si="5"/>
        <v>12</v>
      </c>
      <c r="C89" s="448">
        <v>105</v>
      </c>
      <c r="D89" s="448">
        <v>0</v>
      </c>
      <c r="E89" s="448">
        <v>557</v>
      </c>
      <c r="F89" s="448">
        <v>0</v>
      </c>
      <c r="G89" s="448">
        <v>0</v>
      </c>
      <c r="H89" s="448">
        <v>20</v>
      </c>
      <c r="I89" s="456">
        <v>9</v>
      </c>
      <c r="J89" s="456">
        <v>4</v>
      </c>
      <c r="K89" s="456">
        <v>23</v>
      </c>
      <c r="L89" s="456"/>
      <c r="M89" s="456"/>
      <c r="N89" s="451">
        <f t="shared" si="2"/>
        <v>718</v>
      </c>
      <c r="O89" s="458"/>
      <c r="P89" s="451">
        <f t="shared" si="3"/>
        <v>512</v>
      </c>
    </row>
    <row r="90" spans="1:16">
      <c r="A90" s="446">
        <f t="shared" si="4"/>
        <v>2015</v>
      </c>
      <c r="B90" s="446">
        <f t="shared" si="5"/>
        <v>1</v>
      </c>
      <c r="C90" s="448">
        <v>113</v>
      </c>
      <c r="D90" s="448">
        <v>0</v>
      </c>
      <c r="E90" s="448">
        <v>586</v>
      </c>
      <c r="F90" s="448">
        <v>0</v>
      </c>
      <c r="G90" s="448">
        <v>0</v>
      </c>
      <c r="H90" s="448">
        <v>35</v>
      </c>
      <c r="I90" s="456">
        <v>8</v>
      </c>
      <c r="J90" s="456">
        <v>3</v>
      </c>
      <c r="K90" s="456">
        <v>26</v>
      </c>
      <c r="L90" s="456">
        <v>0</v>
      </c>
      <c r="M90" s="456"/>
      <c r="N90" s="451">
        <f t="shared" si="2"/>
        <v>771</v>
      </c>
      <c r="O90" s="458"/>
      <c r="P90" s="451">
        <f t="shared" si="3"/>
        <v>541</v>
      </c>
    </row>
    <row r="91" spans="1:16">
      <c r="A91" s="446">
        <f t="shared" si="4"/>
        <v>2015</v>
      </c>
      <c r="B91" s="446">
        <f t="shared" si="5"/>
        <v>2</v>
      </c>
      <c r="C91" s="448">
        <v>116</v>
      </c>
      <c r="D91" s="448">
        <v>0</v>
      </c>
      <c r="E91" s="448">
        <v>907</v>
      </c>
      <c r="F91" s="448">
        <v>0</v>
      </c>
      <c r="G91" s="448">
        <v>200</v>
      </c>
      <c r="H91" s="448">
        <v>40</v>
      </c>
      <c r="I91" s="456">
        <v>13</v>
      </c>
      <c r="J91" s="456">
        <v>8</v>
      </c>
      <c r="K91" s="456">
        <v>45</v>
      </c>
      <c r="L91" s="456">
        <v>0</v>
      </c>
      <c r="M91" s="456"/>
      <c r="N91" s="451">
        <f t="shared" si="2"/>
        <v>1329</v>
      </c>
      <c r="O91" s="458"/>
      <c r="P91" s="451">
        <f t="shared" si="3"/>
        <v>1062</v>
      </c>
    </row>
    <row r="92" spans="1:16">
      <c r="A92" s="446">
        <f t="shared" si="4"/>
        <v>2015</v>
      </c>
      <c r="B92" s="446">
        <f t="shared" si="5"/>
        <v>3</v>
      </c>
      <c r="C92" s="448">
        <v>120</v>
      </c>
      <c r="D92" s="448">
        <v>0</v>
      </c>
      <c r="E92" s="448">
        <v>688</v>
      </c>
      <c r="F92" s="448">
        <v>0</v>
      </c>
      <c r="G92" s="448">
        <v>200</v>
      </c>
      <c r="H92" s="448">
        <v>20</v>
      </c>
      <c r="I92" s="456">
        <v>10</v>
      </c>
      <c r="J92" s="456">
        <v>4</v>
      </c>
      <c r="K92" s="456">
        <v>36</v>
      </c>
      <c r="L92" s="456">
        <v>0</v>
      </c>
      <c r="M92" s="456"/>
      <c r="N92" s="451">
        <f t="shared" si="2"/>
        <v>1078</v>
      </c>
      <c r="O92" s="458"/>
      <c r="P92" s="451">
        <f t="shared" si="3"/>
        <v>843</v>
      </c>
    </row>
    <row r="93" spans="1:16">
      <c r="A93" s="446">
        <f t="shared" si="4"/>
        <v>2015</v>
      </c>
      <c r="B93" s="446">
        <f t="shared" si="5"/>
        <v>4</v>
      </c>
      <c r="C93" s="448">
        <v>151</v>
      </c>
      <c r="D93" s="448">
        <v>0</v>
      </c>
      <c r="E93" s="448">
        <v>787</v>
      </c>
      <c r="F93" s="448">
        <v>0</v>
      </c>
      <c r="G93" s="448">
        <v>200</v>
      </c>
      <c r="H93" s="448">
        <v>20</v>
      </c>
      <c r="I93" s="456">
        <v>11</v>
      </c>
      <c r="J93" s="456">
        <v>5</v>
      </c>
      <c r="K93" s="456">
        <v>45</v>
      </c>
      <c r="L93" s="456">
        <v>0</v>
      </c>
      <c r="M93" s="456"/>
      <c r="N93" s="451">
        <f t="shared" si="2"/>
        <v>1219</v>
      </c>
      <c r="O93" s="458"/>
      <c r="P93" s="451">
        <f t="shared" si="3"/>
        <v>942</v>
      </c>
    </row>
    <row r="94" spans="1:16">
      <c r="A94" s="446">
        <f t="shared" si="4"/>
        <v>2015</v>
      </c>
      <c r="B94" s="446">
        <f t="shared" si="5"/>
        <v>5</v>
      </c>
      <c r="C94" s="448">
        <v>138</v>
      </c>
      <c r="D94" s="448">
        <v>0</v>
      </c>
      <c r="E94" s="448">
        <v>761</v>
      </c>
      <c r="F94" s="448">
        <v>0</v>
      </c>
      <c r="G94" s="448">
        <v>200</v>
      </c>
      <c r="H94" s="448">
        <v>25</v>
      </c>
      <c r="I94" s="456">
        <v>12</v>
      </c>
      <c r="J94" s="456">
        <v>7</v>
      </c>
      <c r="K94" s="456">
        <v>54</v>
      </c>
      <c r="L94" s="456">
        <v>0</v>
      </c>
      <c r="M94" s="456"/>
      <c r="N94" s="451">
        <f t="shared" si="2"/>
        <v>1197</v>
      </c>
      <c r="P94" s="451">
        <f t="shared" si="3"/>
        <v>916</v>
      </c>
    </row>
    <row r="95" spans="1:16">
      <c r="A95" s="446">
        <f t="shared" si="4"/>
        <v>2015</v>
      </c>
      <c r="B95" s="446">
        <f t="shared" si="5"/>
        <v>6</v>
      </c>
      <c r="C95" s="448">
        <v>146</v>
      </c>
      <c r="D95" s="448">
        <v>0</v>
      </c>
      <c r="E95" s="448">
        <v>836</v>
      </c>
      <c r="F95" s="448">
        <v>0</v>
      </c>
      <c r="G95" s="448">
        <v>200</v>
      </c>
      <c r="H95" s="448">
        <v>40</v>
      </c>
      <c r="I95" s="456">
        <v>13</v>
      </c>
      <c r="J95" s="456">
        <v>8</v>
      </c>
      <c r="K95" s="456">
        <v>60</v>
      </c>
      <c r="L95" s="456">
        <v>0</v>
      </c>
      <c r="M95" s="456"/>
      <c r="N95" s="451">
        <f t="shared" si="2"/>
        <v>1303</v>
      </c>
      <c r="P95" s="451">
        <f t="shared" si="3"/>
        <v>991</v>
      </c>
    </row>
    <row r="96" spans="1:16">
      <c r="A96" s="446">
        <f t="shared" si="4"/>
        <v>2015</v>
      </c>
      <c r="B96" s="446">
        <f t="shared" si="5"/>
        <v>7</v>
      </c>
      <c r="C96" s="448">
        <v>152.80399085120462</v>
      </c>
      <c r="D96" s="448">
        <v>0</v>
      </c>
      <c r="E96" s="448">
        <v>746</v>
      </c>
      <c r="F96" s="448">
        <v>0</v>
      </c>
      <c r="G96" s="448">
        <v>200</v>
      </c>
      <c r="H96" s="448">
        <v>45</v>
      </c>
      <c r="I96" s="456">
        <v>12</v>
      </c>
      <c r="J96" s="456">
        <v>7</v>
      </c>
      <c r="K96" s="456">
        <v>55</v>
      </c>
      <c r="L96" s="456">
        <v>0</v>
      </c>
      <c r="M96" s="456"/>
      <c r="N96" s="451">
        <f t="shared" si="2"/>
        <v>1217.8039908512046</v>
      </c>
      <c r="P96" s="451">
        <f t="shared" si="3"/>
        <v>901</v>
      </c>
    </row>
    <row r="97" spans="1:16" s="455" customFormat="1" ht="12">
      <c r="A97" s="446">
        <f t="shared" si="4"/>
        <v>2015</v>
      </c>
      <c r="B97" s="446">
        <f t="shared" si="5"/>
        <v>8</v>
      </c>
      <c r="C97" s="459">
        <v>149.08922817258369</v>
      </c>
      <c r="D97" s="459">
        <v>0</v>
      </c>
      <c r="E97" s="459">
        <v>768.41322194028521</v>
      </c>
      <c r="F97" s="459">
        <v>0</v>
      </c>
      <c r="G97" s="459">
        <v>200</v>
      </c>
      <c r="H97" s="459">
        <v>45</v>
      </c>
      <c r="I97" s="460">
        <v>13</v>
      </c>
      <c r="J97" s="460">
        <v>9</v>
      </c>
      <c r="K97" s="460">
        <v>60</v>
      </c>
      <c r="L97" s="460">
        <v>25</v>
      </c>
      <c r="M97" s="460"/>
      <c r="N97" s="459">
        <f t="shared" si="2"/>
        <v>1269.5024501128689</v>
      </c>
      <c r="O97" s="457"/>
      <c r="P97" s="451">
        <f t="shared" si="3"/>
        <v>923.41322194028521</v>
      </c>
    </row>
    <row r="98" spans="1:16">
      <c r="A98" s="446">
        <f t="shared" si="4"/>
        <v>2015</v>
      </c>
      <c r="B98" s="446">
        <f t="shared" si="5"/>
        <v>9</v>
      </c>
      <c r="C98" s="459">
        <v>137.52329672915712</v>
      </c>
      <c r="D98" s="459">
        <v>0</v>
      </c>
      <c r="E98" s="459">
        <v>659.50849513881133</v>
      </c>
      <c r="F98" s="459">
        <v>0</v>
      </c>
      <c r="G98" s="459">
        <v>200</v>
      </c>
      <c r="H98" s="459">
        <v>30</v>
      </c>
      <c r="I98" s="460">
        <v>13</v>
      </c>
      <c r="J98" s="460">
        <v>9</v>
      </c>
      <c r="K98" s="460">
        <v>60</v>
      </c>
      <c r="L98" s="460">
        <v>21</v>
      </c>
      <c r="M98" s="460"/>
      <c r="N98" s="459">
        <f t="shared" si="2"/>
        <v>1130.0317918679684</v>
      </c>
      <c r="P98" s="451">
        <f t="shared" si="3"/>
        <v>814.50849513881133</v>
      </c>
    </row>
    <row r="99" spans="1:16">
      <c r="A99" s="446">
        <f t="shared" si="4"/>
        <v>2015</v>
      </c>
      <c r="B99" s="446">
        <f t="shared" si="5"/>
        <v>10</v>
      </c>
      <c r="C99" s="459">
        <v>131.47529222993913</v>
      </c>
      <c r="D99" s="459">
        <v>0</v>
      </c>
      <c r="E99" s="459">
        <v>681.27973337934486</v>
      </c>
      <c r="F99" s="459">
        <v>0</v>
      </c>
      <c r="G99" s="459">
        <v>200</v>
      </c>
      <c r="H99" s="459">
        <v>20</v>
      </c>
      <c r="I99" s="460">
        <v>13</v>
      </c>
      <c r="J99" s="460">
        <v>9</v>
      </c>
      <c r="K99" s="460">
        <v>60</v>
      </c>
      <c r="L99" s="460">
        <v>8</v>
      </c>
      <c r="M99" s="460"/>
      <c r="N99" s="459">
        <f t="shared" si="2"/>
        <v>1122.7550256092841</v>
      </c>
      <c r="P99" s="451">
        <f t="shared" si="3"/>
        <v>836.27973337934486</v>
      </c>
    </row>
    <row r="100" spans="1:16">
      <c r="A100" s="446">
        <f t="shared" si="4"/>
        <v>2015</v>
      </c>
      <c r="B100" s="446">
        <f t="shared" si="5"/>
        <v>11</v>
      </c>
      <c r="C100" s="459">
        <v>116.61309603833547</v>
      </c>
      <c r="D100" s="459">
        <v>0</v>
      </c>
      <c r="E100" s="459">
        <v>607.85977166682403</v>
      </c>
      <c r="F100" s="459">
        <v>0</v>
      </c>
      <c r="G100" s="459">
        <v>200</v>
      </c>
      <c r="H100" s="459">
        <v>15</v>
      </c>
      <c r="I100" s="460">
        <v>13</v>
      </c>
      <c r="J100" s="460">
        <v>9</v>
      </c>
      <c r="K100" s="460">
        <v>60</v>
      </c>
      <c r="L100" s="460">
        <v>0</v>
      </c>
      <c r="M100" s="460"/>
      <c r="N100" s="459">
        <f t="shared" si="2"/>
        <v>1021.4728677051595</v>
      </c>
      <c r="P100" s="451">
        <f t="shared" si="3"/>
        <v>762.85977166682403</v>
      </c>
    </row>
    <row r="101" spans="1:16">
      <c r="A101" s="446">
        <f t="shared" si="4"/>
        <v>2015</v>
      </c>
      <c r="B101" s="446">
        <f t="shared" si="5"/>
        <v>12</v>
      </c>
      <c r="C101" s="459">
        <v>111.1608902483644</v>
      </c>
      <c r="D101" s="459">
        <v>0</v>
      </c>
      <c r="E101" s="459">
        <v>615.85281351076048</v>
      </c>
      <c r="F101" s="459">
        <v>0</v>
      </c>
      <c r="G101" s="459">
        <v>200</v>
      </c>
      <c r="H101" s="459">
        <v>20</v>
      </c>
      <c r="I101" s="460">
        <v>13</v>
      </c>
      <c r="J101" s="460">
        <v>9</v>
      </c>
      <c r="K101" s="460">
        <v>60</v>
      </c>
      <c r="L101" s="460">
        <v>0</v>
      </c>
      <c r="M101" s="460"/>
      <c r="N101" s="459">
        <f t="shared" si="2"/>
        <v>1029.0137037591248</v>
      </c>
      <c r="O101" s="454"/>
      <c r="P101" s="451">
        <f t="shared" si="3"/>
        <v>770.85281351076048</v>
      </c>
    </row>
    <row r="102" spans="1:16">
      <c r="A102" s="446">
        <f t="shared" si="4"/>
        <v>2016</v>
      </c>
      <c r="B102" s="446">
        <f t="shared" si="5"/>
        <v>1</v>
      </c>
      <c r="C102" s="459">
        <v>111.35381326672707</v>
      </c>
      <c r="D102" s="459">
        <v>0</v>
      </c>
      <c r="E102" s="459">
        <v>744.42379360659265</v>
      </c>
      <c r="F102" s="459">
        <v>0</v>
      </c>
      <c r="G102" s="459">
        <v>200</v>
      </c>
      <c r="H102" s="459">
        <v>40</v>
      </c>
      <c r="I102" s="460">
        <v>13</v>
      </c>
      <c r="J102" s="460">
        <v>9</v>
      </c>
      <c r="K102" s="460">
        <v>60</v>
      </c>
      <c r="L102" s="460">
        <v>18</v>
      </c>
      <c r="M102" s="460">
        <v>19</v>
      </c>
      <c r="N102" s="459">
        <f t="shared" si="2"/>
        <v>1214.7776068733197</v>
      </c>
      <c r="O102" s="461"/>
      <c r="P102" s="451">
        <f t="shared" si="3"/>
        <v>899.42379360659265</v>
      </c>
    </row>
    <row r="103" spans="1:16">
      <c r="A103" s="446">
        <f t="shared" si="4"/>
        <v>2016</v>
      </c>
      <c r="B103" s="446">
        <f t="shared" si="5"/>
        <v>2</v>
      </c>
      <c r="C103" s="459">
        <v>118.48445422819506</v>
      </c>
      <c r="D103" s="459">
        <v>0</v>
      </c>
      <c r="E103" s="459">
        <v>668.27951810135085</v>
      </c>
      <c r="F103" s="459">
        <v>0</v>
      </c>
      <c r="G103" s="459">
        <v>200</v>
      </c>
      <c r="H103" s="459">
        <v>40</v>
      </c>
      <c r="I103" s="460">
        <v>13</v>
      </c>
      <c r="J103" s="460">
        <v>9</v>
      </c>
      <c r="K103" s="460">
        <v>60</v>
      </c>
      <c r="L103" s="460">
        <v>0</v>
      </c>
      <c r="M103" s="460">
        <v>0</v>
      </c>
      <c r="N103" s="459">
        <f t="shared" si="2"/>
        <v>1108.763972329546</v>
      </c>
      <c r="O103" s="461"/>
      <c r="P103" s="451">
        <f t="shared" si="3"/>
        <v>823.27951810135085</v>
      </c>
    </row>
    <row r="104" spans="1:16">
      <c r="A104" s="446">
        <f t="shared" si="4"/>
        <v>2016</v>
      </c>
      <c r="B104" s="446">
        <f t="shared" si="5"/>
        <v>3</v>
      </c>
      <c r="C104" s="459">
        <v>112.43825044284546</v>
      </c>
      <c r="D104" s="459">
        <v>0</v>
      </c>
      <c r="E104" s="459">
        <v>615.77147353287455</v>
      </c>
      <c r="F104" s="459">
        <v>0</v>
      </c>
      <c r="G104" s="459">
        <v>200</v>
      </c>
      <c r="H104" s="459">
        <v>25</v>
      </c>
      <c r="I104" s="460">
        <v>13</v>
      </c>
      <c r="J104" s="460">
        <v>9</v>
      </c>
      <c r="K104" s="460">
        <v>60</v>
      </c>
      <c r="L104" s="460">
        <v>0</v>
      </c>
      <c r="M104" s="460">
        <v>0</v>
      </c>
      <c r="N104" s="459">
        <f t="shared" si="2"/>
        <v>1035.20972397572</v>
      </c>
      <c r="O104" s="461"/>
      <c r="P104" s="451">
        <f t="shared" si="3"/>
        <v>770.77147353287455</v>
      </c>
    </row>
    <row r="105" spans="1:16">
      <c r="A105" s="446">
        <f t="shared" si="4"/>
        <v>2016</v>
      </c>
      <c r="B105" s="446">
        <f t="shared" si="5"/>
        <v>4</v>
      </c>
      <c r="C105" s="459">
        <v>133.52634481025919</v>
      </c>
      <c r="D105" s="459">
        <v>0</v>
      </c>
      <c r="E105" s="459">
        <v>600.1545348394036</v>
      </c>
      <c r="F105" s="459">
        <v>0</v>
      </c>
      <c r="G105" s="459">
        <v>200</v>
      </c>
      <c r="H105" s="459">
        <v>20</v>
      </c>
      <c r="I105" s="460">
        <v>13</v>
      </c>
      <c r="J105" s="460">
        <v>9</v>
      </c>
      <c r="K105" s="460">
        <v>60</v>
      </c>
      <c r="L105" s="460">
        <v>0</v>
      </c>
      <c r="M105" s="460">
        <v>0</v>
      </c>
      <c r="N105" s="459">
        <f t="shared" si="2"/>
        <v>1035.6808796496628</v>
      </c>
      <c r="O105" s="461"/>
      <c r="P105" s="451">
        <f t="shared" si="3"/>
        <v>755.1545348394036</v>
      </c>
    </row>
    <row r="106" spans="1:16">
      <c r="A106" s="446">
        <f t="shared" si="4"/>
        <v>2016</v>
      </c>
      <c r="B106" s="446">
        <f t="shared" si="5"/>
        <v>5</v>
      </c>
      <c r="C106" s="459">
        <v>141.93714102220008</v>
      </c>
      <c r="D106" s="459">
        <v>0</v>
      </c>
      <c r="E106" s="459">
        <v>696.31411686990054</v>
      </c>
      <c r="F106" s="459">
        <v>0</v>
      </c>
      <c r="G106" s="459">
        <v>200</v>
      </c>
      <c r="H106" s="459">
        <v>30</v>
      </c>
      <c r="I106" s="460">
        <v>13</v>
      </c>
      <c r="J106" s="460">
        <v>9</v>
      </c>
      <c r="K106" s="460">
        <v>60</v>
      </c>
      <c r="L106" s="460">
        <v>0</v>
      </c>
      <c r="M106" s="460">
        <v>0</v>
      </c>
      <c r="N106" s="459">
        <f t="shared" si="2"/>
        <v>1150.2512578921005</v>
      </c>
      <c r="O106" s="461"/>
      <c r="P106" s="451">
        <f t="shared" si="3"/>
        <v>851.31411686990054</v>
      </c>
    </row>
    <row r="107" spans="1:16">
      <c r="A107" s="446">
        <f t="shared" si="4"/>
        <v>2016</v>
      </c>
      <c r="B107" s="446">
        <f t="shared" si="5"/>
        <v>6</v>
      </c>
      <c r="C107" s="459">
        <v>146.0753472200274</v>
      </c>
      <c r="D107" s="459">
        <v>0</v>
      </c>
      <c r="E107" s="459">
        <v>765.84739959939191</v>
      </c>
      <c r="F107" s="459">
        <v>0</v>
      </c>
      <c r="G107" s="459">
        <v>200</v>
      </c>
      <c r="H107" s="459">
        <v>40</v>
      </c>
      <c r="I107" s="460">
        <v>13</v>
      </c>
      <c r="J107" s="460">
        <v>9</v>
      </c>
      <c r="K107" s="460">
        <v>60</v>
      </c>
      <c r="L107" s="460">
        <v>0</v>
      </c>
      <c r="M107" s="460">
        <v>0</v>
      </c>
      <c r="N107" s="459">
        <f t="shared" si="2"/>
        <v>1233.9227468194194</v>
      </c>
      <c r="O107" s="461"/>
      <c r="P107" s="451">
        <f t="shared" si="3"/>
        <v>920.84739959939191</v>
      </c>
    </row>
    <row r="108" spans="1:16">
      <c r="A108" s="446">
        <f t="shared" si="4"/>
        <v>2016</v>
      </c>
      <c r="B108" s="446">
        <f t="shared" si="5"/>
        <v>7</v>
      </c>
      <c r="C108" s="459">
        <v>158.23637941839121</v>
      </c>
      <c r="D108" s="459">
        <v>0</v>
      </c>
      <c r="E108" s="459">
        <v>744.90402897998797</v>
      </c>
      <c r="F108" s="459">
        <v>0</v>
      </c>
      <c r="G108" s="459">
        <v>200</v>
      </c>
      <c r="H108" s="459">
        <v>45</v>
      </c>
      <c r="I108" s="460">
        <v>13</v>
      </c>
      <c r="J108" s="460">
        <v>9</v>
      </c>
      <c r="K108" s="460">
        <v>60</v>
      </c>
      <c r="L108" s="460">
        <v>0</v>
      </c>
      <c r="M108" s="460">
        <v>0</v>
      </c>
      <c r="N108" s="459">
        <f t="shared" si="2"/>
        <v>1230.1404083983791</v>
      </c>
      <c r="O108" s="461"/>
      <c r="P108" s="451">
        <f t="shared" si="3"/>
        <v>899.90402897998797</v>
      </c>
    </row>
    <row r="109" spans="1:16" s="455" customFormat="1" ht="12">
      <c r="A109" s="446">
        <f t="shared" si="4"/>
        <v>2016</v>
      </c>
      <c r="B109" s="446">
        <f t="shared" si="5"/>
        <v>8</v>
      </c>
      <c r="C109" s="459">
        <v>154.35827806108213</v>
      </c>
      <c r="D109" s="459">
        <v>0</v>
      </c>
      <c r="E109" s="459">
        <v>779.04235336340776</v>
      </c>
      <c r="F109" s="459">
        <v>0</v>
      </c>
      <c r="G109" s="459">
        <v>200</v>
      </c>
      <c r="H109" s="459">
        <v>45</v>
      </c>
      <c r="I109" s="460">
        <v>13</v>
      </c>
      <c r="J109" s="460">
        <v>9</v>
      </c>
      <c r="K109" s="460">
        <v>60</v>
      </c>
      <c r="L109" s="460">
        <v>18</v>
      </c>
      <c r="M109" s="460">
        <v>19</v>
      </c>
      <c r="N109" s="459">
        <f t="shared" si="2"/>
        <v>1297.4006314244898</v>
      </c>
      <c r="O109" s="457"/>
      <c r="P109" s="451">
        <f t="shared" si="3"/>
        <v>934.04235336340776</v>
      </c>
    </row>
    <row r="110" spans="1:16">
      <c r="A110" s="446">
        <f t="shared" si="4"/>
        <v>2016</v>
      </c>
      <c r="B110" s="446">
        <f t="shared" si="5"/>
        <v>9</v>
      </c>
      <c r="C110" s="459">
        <v>142.4019885132335</v>
      </c>
      <c r="D110" s="459">
        <v>0</v>
      </c>
      <c r="E110" s="459">
        <v>668.99971586675804</v>
      </c>
      <c r="F110" s="459">
        <v>0</v>
      </c>
      <c r="G110" s="459">
        <v>200</v>
      </c>
      <c r="H110" s="459">
        <v>35</v>
      </c>
      <c r="I110" s="460">
        <v>13</v>
      </c>
      <c r="J110" s="460">
        <v>9</v>
      </c>
      <c r="K110" s="460">
        <v>60</v>
      </c>
      <c r="L110" s="460">
        <v>0</v>
      </c>
      <c r="M110" s="460">
        <v>0</v>
      </c>
      <c r="N110" s="459">
        <f t="shared" si="2"/>
        <v>1128.4017043799915</v>
      </c>
      <c r="O110" s="461"/>
      <c r="P110" s="451">
        <f t="shared" si="3"/>
        <v>823.99971586675804</v>
      </c>
    </row>
    <row r="111" spans="1:16">
      <c r="A111" s="446">
        <f t="shared" si="4"/>
        <v>2016</v>
      </c>
      <c r="B111" s="446">
        <f t="shared" si="5"/>
        <v>10</v>
      </c>
      <c r="C111" s="459">
        <v>136.14786179669019</v>
      </c>
      <c r="D111" s="459">
        <v>0</v>
      </c>
      <c r="E111" s="459">
        <v>706.27043479170379</v>
      </c>
      <c r="F111" s="459">
        <v>0</v>
      </c>
      <c r="G111" s="459">
        <v>200</v>
      </c>
      <c r="H111" s="459">
        <v>25</v>
      </c>
      <c r="I111" s="460">
        <v>13</v>
      </c>
      <c r="J111" s="460">
        <v>9</v>
      </c>
      <c r="K111" s="460">
        <v>60</v>
      </c>
      <c r="L111" s="460">
        <v>0</v>
      </c>
      <c r="M111" s="460">
        <v>0</v>
      </c>
      <c r="N111" s="459">
        <f t="shared" si="2"/>
        <v>1149.418296588394</v>
      </c>
      <c r="O111" s="461"/>
      <c r="P111" s="451">
        <f t="shared" si="3"/>
        <v>861.27043479170379</v>
      </c>
    </row>
    <row r="112" spans="1:16">
      <c r="A112" s="446">
        <f t="shared" si="4"/>
        <v>2016</v>
      </c>
      <c r="B112" s="446">
        <f t="shared" si="5"/>
        <v>11</v>
      </c>
      <c r="C112" s="459">
        <v>120.78711155826183</v>
      </c>
      <c r="D112" s="459">
        <v>0</v>
      </c>
      <c r="E112" s="459">
        <v>580.93450240306311</v>
      </c>
      <c r="F112" s="459">
        <v>0</v>
      </c>
      <c r="G112" s="459">
        <v>200</v>
      </c>
      <c r="H112" s="459">
        <v>20</v>
      </c>
      <c r="I112" s="460">
        <v>13</v>
      </c>
      <c r="J112" s="460">
        <v>9</v>
      </c>
      <c r="K112" s="460">
        <v>60</v>
      </c>
      <c r="L112" s="460">
        <v>0</v>
      </c>
      <c r="M112" s="460">
        <v>0</v>
      </c>
      <c r="N112" s="459">
        <f t="shared" si="2"/>
        <v>1003.7216139613249</v>
      </c>
      <c r="O112" s="461"/>
      <c r="P112" s="451">
        <f t="shared" si="3"/>
        <v>735.93450240306311</v>
      </c>
    </row>
    <row r="113" spans="1:19">
      <c r="A113" s="446">
        <f t="shared" si="4"/>
        <v>2016</v>
      </c>
      <c r="B113" s="446">
        <f t="shared" si="5"/>
        <v>12</v>
      </c>
      <c r="C113" s="459">
        <v>115.12813163669655</v>
      </c>
      <c r="D113" s="459">
        <v>0</v>
      </c>
      <c r="E113" s="459">
        <v>545.6726856701282</v>
      </c>
      <c r="F113" s="459">
        <v>0</v>
      </c>
      <c r="G113" s="459">
        <v>200</v>
      </c>
      <c r="H113" s="459">
        <v>25</v>
      </c>
      <c r="I113" s="460">
        <v>13</v>
      </c>
      <c r="J113" s="460">
        <v>9</v>
      </c>
      <c r="K113" s="460">
        <v>60</v>
      </c>
      <c r="L113" s="460">
        <v>0</v>
      </c>
      <c r="M113" s="460">
        <v>0</v>
      </c>
      <c r="N113" s="459">
        <f t="shared" si="2"/>
        <v>967.8008173068248</v>
      </c>
      <c r="O113" s="454"/>
      <c r="P113" s="451">
        <f t="shared" si="3"/>
        <v>700.6726856701282</v>
      </c>
    </row>
    <row r="114" spans="1:19">
      <c r="A114" s="446">
        <f t="shared" si="4"/>
        <v>2017</v>
      </c>
      <c r="B114" s="446">
        <f t="shared" si="5"/>
        <v>1</v>
      </c>
      <c r="C114" s="459">
        <v>112.40339279087264</v>
      </c>
      <c r="D114" s="459">
        <v>0</v>
      </c>
      <c r="E114" s="459">
        <v>745.1678696363025</v>
      </c>
      <c r="F114" s="459">
        <v>0</v>
      </c>
      <c r="G114" s="459">
        <v>200</v>
      </c>
      <c r="H114" s="459">
        <v>45</v>
      </c>
      <c r="I114" s="460"/>
      <c r="J114" s="460">
        <v>0</v>
      </c>
      <c r="K114" s="460">
        <v>60</v>
      </c>
      <c r="L114" s="460">
        <v>21</v>
      </c>
      <c r="M114" s="460">
        <v>19</v>
      </c>
      <c r="N114" s="459">
        <f t="shared" si="2"/>
        <v>1202.571262427175</v>
      </c>
      <c r="P114" s="451">
        <f t="shared" si="3"/>
        <v>900.1678696363025</v>
      </c>
    </row>
    <row r="115" spans="1:19">
      <c r="A115" s="446">
        <f t="shared" si="4"/>
        <v>2017</v>
      </c>
      <c r="B115" s="446">
        <f t="shared" si="5"/>
        <v>2</v>
      </c>
      <c r="C115" s="459">
        <v>119.60124451529191</v>
      </c>
      <c r="D115" s="459">
        <v>0</v>
      </c>
      <c r="E115" s="459">
        <v>668.94580175186036</v>
      </c>
      <c r="F115" s="459">
        <v>0</v>
      </c>
      <c r="G115" s="459">
        <v>200</v>
      </c>
      <c r="H115" s="459">
        <v>0</v>
      </c>
      <c r="I115" s="460"/>
      <c r="J115" s="460">
        <v>0</v>
      </c>
      <c r="K115" s="460">
        <v>0</v>
      </c>
      <c r="L115" s="460">
        <v>0</v>
      </c>
      <c r="M115" s="460">
        <v>0</v>
      </c>
      <c r="N115" s="459">
        <f t="shared" si="2"/>
        <v>988.54704626715227</v>
      </c>
      <c r="P115" s="451">
        <f t="shared" si="3"/>
        <v>823.94580175186036</v>
      </c>
    </row>
    <row r="116" spans="1:19">
      <c r="A116" s="446">
        <f t="shared" si="4"/>
        <v>2017</v>
      </c>
      <c r="B116" s="446">
        <f t="shared" si="5"/>
        <v>3</v>
      </c>
      <c r="C116" s="459">
        <v>113.49805146746674</v>
      </c>
      <c r="D116" s="459">
        <v>0</v>
      </c>
      <c r="E116" s="459">
        <v>616.44913839736409</v>
      </c>
      <c r="F116" s="459">
        <v>0</v>
      </c>
      <c r="G116" s="459">
        <v>200</v>
      </c>
      <c r="H116" s="459">
        <v>0</v>
      </c>
      <c r="I116" s="460"/>
      <c r="J116" s="460">
        <v>0</v>
      </c>
      <c r="K116" s="460">
        <v>0</v>
      </c>
      <c r="L116" s="460">
        <v>0</v>
      </c>
      <c r="M116" s="460">
        <v>0</v>
      </c>
      <c r="N116" s="459">
        <f t="shared" si="2"/>
        <v>929.94718986483088</v>
      </c>
      <c r="P116" s="451">
        <f t="shared" si="3"/>
        <v>771.44913839736409</v>
      </c>
    </row>
    <row r="117" spans="1:19">
      <c r="A117" s="446">
        <f t="shared" si="4"/>
        <v>2017</v>
      </c>
      <c r="B117" s="446">
        <f t="shared" si="5"/>
        <v>4</v>
      </c>
      <c r="C117" s="459">
        <v>134.78491434941952</v>
      </c>
      <c r="D117" s="459">
        <v>0</v>
      </c>
      <c r="E117" s="459">
        <v>603.91822942080398</v>
      </c>
      <c r="F117" s="459">
        <v>0</v>
      </c>
      <c r="G117" s="459">
        <v>200</v>
      </c>
      <c r="H117" s="459">
        <v>0</v>
      </c>
      <c r="I117" s="460"/>
      <c r="J117" s="460">
        <v>0</v>
      </c>
      <c r="K117" s="460">
        <v>0</v>
      </c>
      <c r="L117" s="460">
        <v>0</v>
      </c>
      <c r="M117" s="460">
        <v>0</v>
      </c>
      <c r="N117" s="459">
        <f t="shared" si="2"/>
        <v>938.70314377022351</v>
      </c>
      <c r="P117" s="451">
        <f t="shared" si="3"/>
        <v>758.91822942080398</v>
      </c>
    </row>
    <row r="118" spans="1:19" ht="13.2">
      <c r="A118" s="446">
        <f t="shared" si="4"/>
        <v>2017</v>
      </c>
      <c r="B118" s="446">
        <f t="shared" si="5"/>
        <v>5</v>
      </c>
      <c r="C118" s="459">
        <v>143.27498759038022</v>
      </c>
      <c r="D118" s="459">
        <v>0</v>
      </c>
      <c r="E118" s="459">
        <v>699.80199552638896</v>
      </c>
      <c r="F118" s="459">
        <v>0</v>
      </c>
      <c r="G118" s="459">
        <v>200</v>
      </c>
      <c r="H118" s="459">
        <v>0</v>
      </c>
      <c r="I118" s="460"/>
      <c r="J118" s="462"/>
      <c r="K118" s="460">
        <v>0</v>
      </c>
      <c r="L118" s="460">
        <v>0</v>
      </c>
      <c r="M118" s="460">
        <v>0</v>
      </c>
      <c r="N118" s="459">
        <f t="shared" si="2"/>
        <v>1043.076983116769</v>
      </c>
      <c r="P118" s="451">
        <f t="shared" si="3"/>
        <v>854.80199552638896</v>
      </c>
    </row>
    <row r="119" spans="1:19">
      <c r="A119" s="446">
        <f t="shared" si="4"/>
        <v>2017</v>
      </c>
      <c r="B119" s="446">
        <f t="shared" si="5"/>
        <v>6</v>
      </c>
      <c r="C119" s="459">
        <v>147.45219897684464</v>
      </c>
      <c r="D119" s="459">
        <v>0</v>
      </c>
      <c r="E119" s="459">
        <v>768.53240615780908</v>
      </c>
      <c r="F119" s="459">
        <v>0</v>
      </c>
      <c r="G119" s="459">
        <v>200</v>
      </c>
      <c r="H119" s="459">
        <v>0</v>
      </c>
      <c r="I119" s="460"/>
      <c r="J119" s="460"/>
      <c r="K119" s="460">
        <v>0</v>
      </c>
      <c r="L119" s="460">
        <v>0</v>
      </c>
      <c r="M119" s="460">
        <v>0</v>
      </c>
      <c r="N119" s="459">
        <f t="shared" si="2"/>
        <v>1115.9846051346537</v>
      </c>
      <c r="P119" s="451">
        <f t="shared" si="3"/>
        <v>923.53240615780908</v>
      </c>
    </row>
    <row r="120" spans="1:19">
      <c r="A120" s="446">
        <f t="shared" si="4"/>
        <v>2017</v>
      </c>
      <c r="B120" s="446">
        <f t="shared" si="5"/>
        <v>7</v>
      </c>
      <c r="C120" s="459">
        <v>158.73890960037826</v>
      </c>
      <c r="D120" s="459">
        <v>0</v>
      </c>
      <c r="E120" s="459">
        <v>749.12397131151192</v>
      </c>
      <c r="F120" s="459">
        <v>0</v>
      </c>
      <c r="G120" s="459">
        <v>200</v>
      </c>
      <c r="H120" s="459">
        <v>0</v>
      </c>
      <c r="I120" s="460"/>
      <c r="J120" s="460"/>
      <c r="K120" s="460">
        <v>0</v>
      </c>
      <c r="L120" s="460">
        <v>0</v>
      </c>
      <c r="M120" s="460">
        <v>0</v>
      </c>
      <c r="N120" s="459">
        <f t="shared" si="2"/>
        <v>1107.8628809118902</v>
      </c>
      <c r="P120" s="451">
        <f t="shared" si="3"/>
        <v>904.12397131151192</v>
      </c>
    </row>
    <row r="121" spans="1:19" s="455" customFormat="1" ht="12">
      <c r="A121" s="446">
        <f t="shared" si="4"/>
        <v>2017</v>
      </c>
      <c r="B121" s="446">
        <f t="shared" si="5"/>
        <v>8</v>
      </c>
      <c r="C121" s="459">
        <v>155.81320163560952</v>
      </c>
      <c r="D121" s="459">
        <v>0</v>
      </c>
      <c r="E121" s="459">
        <v>783.47567703109326</v>
      </c>
      <c r="F121" s="459">
        <v>0</v>
      </c>
      <c r="G121" s="459">
        <v>200</v>
      </c>
      <c r="H121" s="459">
        <v>45</v>
      </c>
      <c r="I121" s="460"/>
      <c r="J121" s="460"/>
      <c r="K121" s="460">
        <v>60</v>
      </c>
      <c r="L121" s="460">
        <v>21</v>
      </c>
      <c r="M121" s="460">
        <v>19</v>
      </c>
      <c r="N121" s="459">
        <f t="shared" si="2"/>
        <v>1284.2888786667027</v>
      </c>
      <c r="O121" s="457"/>
      <c r="P121" s="451">
        <f t="shared" si="3"/>
        <v>938.47567703109326</v>
      </c>
      <c r="R121" s="442"/>
      <c r="S121" s="442"/>
    </row>
    <row r="122" spans="1:19">
      <c r="A122" s="446">
        <f t="shared" si="4"/>
        <v>2017</v>
      </c>
      <c r="B122" s="446">
        <f t="shared" si="5"/>
        <v>9</v>
      </c>
      <c r="C122" s="459">
        <v>143.74421656053971</v>
      </c>
      <c r="D122" s="459">
        <v>0</v>
      </c>
      <c r="E122" s="459">
        <v>672.81595490237191</v>
      </c>
      <c r="F122" s="459">
        <v>0</v>
      </c>
      <c r="G122" s="459">
        <v>200</v>
      </c>
      <c r="H122" s="459">
        <v>0</v>
      </c>
      <c r="I122" s="460"/>
      <c r="J122" s="460"/>
      <c r="K122" s="460">
        <v>0</v>
      </c>
      <c r="L122" s="460">
        <v>0</v>
      </c>
      <c r="M122" s="460">
        <v>0</v>
      </c>
      <c r="N122" s="459">
        <f t="shared" si="2"/>
        <v>1016.5601714629116</v>
      </c>
      <c r="P122" s="451">
        <f t="shared" si="3"/>
        <v>827.81595490237191</v>
      </c>
    </row>
    <row r="123" spans="1:19">
      <c r="A123" s="446">
        <f t="shared" si="4"/>
        <v>2017</v>
      </c>
      <c r="B123" s="446">
        <f t="shared" si="5"/>
        <v>10</v>
      </c>
      <c r="C123" s="459">
        <v>137.43114077749814</v>
      </c>
      <c r="D123" s="459">
        <v>0</v>
      </c>
      <c r="E123" s="459">
        <v>708.66905835224725</v>
      </c>
      <c r="F123" s="459">
        <v>0</v>
      </c>
      <c r="G123" s="459">
        <v>200</v>
      </c>
      <c r="H123" s="459">
        <v>0</v>
      </c>
      <c r="I123" s="460"/>
      <c r="J123" s="460"/>
      <c r="K123" s="460">
        <v>0</v>
      </c>
      <c r="L123" s="460">
        <v>0</v>
      </c>
      <c r="M123" s="460">
        <v>0</v>
      </c>
      <c r="N123" s="459">
        <f t="shared" si="2"/>
        <v>1046.1001991297453</v>
      </c>
      <c r="P123" s="451">
        <f t="shared" si="3"/>
        <v>863.66905835224725</v>
      </c>
    </row>
    <row r="124" spans="1:19">
      <c r="A124" s="446">
        <f t="shared" si="4"/>
        <v>2017</v>
      </c>
      <c r="B124" s="446">
        <f t="shared" si="5"/>
        <v>11</v>
      </c>
      <c r="C124" s="459">
        <v>121.92560583477636</v>
      </c>
      <c r="D124" s="459">
        <v>0</v>
      </c>
      <c r="E124" s="459">
        <v>582.11712190809203</v>
      </c>
      <c r="F124" s="459">
        <v>0</v>
      </c>
      <c r="G124" s="459">
        <v>200</v>
      </c>
      <c r="H124" s="459">
        <v>0</v>
      </c>
      <c r="I124" s="460"/>
      <c r="J124" s="460"/>
      <c r="K124" s="460">
        <v>0</v>
      </c>
      <c r="L124" s="460">
        <v>0</v>
      </c>
      <c r="M124" s="460">
        <v>0</v>
      </c>
      <c r="N124" s="459">
        <f t="shared" si="2"/>
        <v>904.04272774286835</v>
      </c>
      <c r="P124" s="451">
        <f t="shared" si="3"/>
        <v>737.11712190809203</v>
      </c>
    </row>
    <row r="125" spans="1:19">
      <c r="A125" s="446">
        <f t="shared" si="4"/>
        <v>2017</v>
      </c>
      <c r="B125" s="446">
        <f t="shared" si="5"/>
        <v>12</v>
      </c>
      <c r="C125" s="459">
        <v>116.21328647849414</v>
      </c>
      <c r="D125" s="459">
        <v>0</v>
      </c>
      <c r="E125" s="459">
        <v>547.18016422875758</v>
      </c>
      <c r="F125" s="459">
        <v>0</v>
      </c>
      <c r="G125" s="459">
        <v>200</v>
      </c>
      <c r="H125" s="459">
        <v>0</v>
      </c>
      <c r="I125" s="460"/>
      <c r="J125" s="460"/>
      <c r="K125" s="460">
        <v>0</v>
      </c>
      <c r="L125" s="460">
        <v>0</v>
      </c>
      <c r="M125" s="460">
        <v>0</v>
      </c>
      <c r="N125" s="459">
        <f t="shared" si="2"/>
        <v>863.39345070725176</v>
      </c>
      <c r="O125" s="454"/>
      <c r="P125" s="451">
        <f t="shared" si="3"/>
        <v>702.18016422875758</v>
      </c>
    </row>
    <row r="126" spans="1:19">
      <c r="A126" s="446">
        <f t="shared" si="4"/>
        <v>2018</v>
      </c>
      <c r="B126" s="446">
        <f t="shared" si="5"/>
        <v>1</v>
      </c>
      <c r="C126" s="459">
        <v>113.46286526026356</v>
      </c>
      <c r="D126" s="459">
        <v>0</v>
      </c>
      <c r="E126" s="459">
        <v>745.91194566601234</v>
      </c>
      <c r="F126" s="459">
        <v>0</v>
      </c>
      <c r="G126" s="459">
        <v>200</v>
      </c>
      <c r="H126" s="459"/>
      <c r="I126" s="460"/>
      <c r="J126" s="460"/>
      <c r="K126" s="460">
        <v>60</v>
      </c>
      <c r="L126" s="460">
        <v>24</v>
      </c>
      <c r="M126" s="460">
        <v>19</v>
      </c>
      <c r="N126" s="459">
        <f t="shared" si="2"/>
        <v>1162.374810926276</v>
      </c>
      <c r="P126" s="451">
        <f t="shared" si="3"/>
        <v>900.91194566601234</v>
      </c>
    </row>
    <row r="127" spans="1:19">
      <c r="A127" s="446">
        <f t="shared" si="4"/>
        <v>2018</v>
      </c>
      <c r="B127" s="446">
        <f t="shared" si="5"/>
        <v>2</v>
      </c>
      <c r="C127" s="459">
        <v>120.72856125122526</v>
      </c>
      <c r="D127" s="459">
        <v>0</v>
      </c>
      <c r="E127" s="459">
        <v>669.61606321520867</v>
      </c>
      <c r="F127" s="459">
        <v>0</v>
      </c>
      <c r="G127" s="459">
        <v>200</v>
      </c>
      <c r="H127" s="459"/>
      <c r="I127" s="460"/>
      <c r="J127" s="460"/>
      <c r="K127" s="460">
        <v>0</v>
      </c>
      <c r="L127" s="460">
        <v>0</v>
      </c>
      <c r="M127" s="460">
        <v>0</v>
      </c>
      <c r="N127" s="459">
        <f t="shared" si="2"/>
        <v>990.34462446643397</v>
      </c>
      <c r="P127" s="451">
        <f t="shared" si="3"/>
        <v>824.61606321520867</v>
      </c>
    </row>
    <row r="128" spans="1:19">
      <c r="A128" s="446">
        <f t="shared" si="4"/>
        <v>2018</v>
      </c>
      <c r="B128" s="446">
        <f t="shared" si="5"/>
        <v>3</v>
      </c>
      <c r="C128" s="459">
        <v>114.5678417813856</v>
      </c>
      <c r="D128" s="459">
        <v>0</v>
      </c>
      <c r="E128" s="459">
        <v>617.12779836444474</v>
      </c>
      <c r="F128" s="459">
        <v>0</v>
      </c>
      <c r="G128" s="459">
        <v>200</v>
      </c>
      <c r="H128" s="459"/>
      <c r="I128" s="460"/>
      <c r="J128" s="460"/>
      <c r="K128" s="460">
        <v>0</v>
      </c>
      <c r="L128" s="460">
        <v>0</v>
      </c>
      <c r="M128" s="460">
        <v>0</v>
      </c>
      <c r="N128" s="459">
        <f t="shared" si="2"/>
        <v>931.69564014583034</v>
      </c>
      <c r="P128" s="451">
        <f t="shared" si="3"/>
        <v>772.12779836444474</v>
      </c>
    </row>
    <row r="129" spans="1:16">
      <c r="A129" s="446">
        <f t="shared" si="4"/>
        <v>2018</v>
      </c>
      <c r="B129" s="446">
        <f t="shared" si="5"/>
        <v>4</v>
      </c>
      <c r="C129" s="459">
        <v>136.05534669578208</v>
      </c>
      <c r="D129" s="459">
        <v>0</v>
      </c>
      <c r="E129" s="459">
        <v>607.71344733245473</v>
      </c>
      <c r="F129" s="459">
        <v>0</v>
      </c>
      <c r="G129" s="459">
        <v>200</v>
      </c>
      <c r="H129" s="459"/>
      <c r="I129" s="460"/>
      <c r="J129" s="460"/>
      <c r="K129" s="460">
        <v>0</v>
      </c>
      <c r="L129" s="460">
        <v>0</v>
      </c>
      <c r="M129" s="460">
        <v>0</v>
      </c>
      <c r="N129" s="459">
        <f t="shared" si="2"/>
        <v>943.76879402823681</v>
      </c>
      <c r="P129" s="451">
        <f t="shared" si="3"/>
        <v>762.71344733245473</v>
      </c>
    </row>
    <row r="130" spans="1:16">
      <c r="A130" s="446">
        <f t="shared" si="4"/>
        <v>2018</v>
      </c>
      <c r="B130" s="446">
        <f t="shared" si="5"/>
        <v>5</v>
      </c>
      <c r="C130" s="459">
        <v>144.62544420147864</v>
      </c>
      <c r="D130" s="459">
        <v>0</v>
      </c>
      <c r="E130" s="459">
        <v>703.43350413311668</v>
      </c>
      <c r="F130" s="459">
        <v>0</v>
      </c>
      <c r="G130" s="459">
        <v>200</v>
      </c>
      <c r="H130" s="459"/>
      <c r="I130" s="460"/>
      <c r="J130" s="460"/>
      <c r="K130" s="460">
        <v>0</v>
      </c>
      <c r="L130" s="460">
        <v>0</v>
      </c>
      <c r="M130" s="460">
        <v>0</v>
      </c>
      <c r="N130" s="459">
        <f t="shared" si="2"/>
        <v>1048.0589483345952</v>
      </c>
      <c r="P130" s="451">
        <f t="shared" si="3"/>
        <v>858.43350413311668</v>
      </c>
    </row>
    <row r="131" spans="1:16">
      <c r="A131" s="446">
        <f t="shared" si="4"/>
        <v>2018</v>
      </c>
      <c r="B131" s="446">
        <f t="shared" si="5"/>
        <v>6</v>
      </c>
      <c r="C131" s="459">
        <v>148.84202842494474</v>
      </c>
      <c r="D131" s="459">
        <v>0</v>
      </c>
      <c r="E131" s="459">
        <v>771.22928889709669</v>
      </c>
      <c r="F131" s="459">
        <v>0</v>
      </c>
      <c r="G131" s="459">
        <v>200</v>
      </c>
      <c r="H131" s="459"/>
      <c r="I131" s="460"/>
      <c r="J131" s="460"/>
      <c r="K131" s="460">
        <v>0</v>
      </c>
      <c r="L131" s="460">
        <v>0</v>
      </c>
      <c r="M131" s="460">
        <v>0</v>
      </c>
      <c r="N131" s="459">
        <f t="shared" si="2"/>
        <v>1120.0713173220415</v>
      </c>
      <c r="P131" s="451">
        <f t="shared" si="3"/>
        <v>926.22928889709669</v>
      </c>
    </row>
    <row r="132" spans="1:16">
      <c r="A132" s="446">
        <f t="shared" si="4"/>
        <v>2018</v>
      </c>
      <c r="B132" s="446">
        <f t="shared" si="5"/>
        <v>7</v>
      </c>
      <c r="C132" s="459">
        <v>161.23376132012785</v>
      </c>
      <c r="D132" s="459">
        <v>0</v>
      </c>
      <c r="E132" s="459">
        <v>753.37070692768032</v>
      </c>
      <c r="F132" s="459">
        <v>0</v>
      </c>
      <c r="G132" s="459">
        <v>200</v>
      </c>
      <c r="H132" s="459"/>
      <c r="I132" s="460"/>
      <c r="J132" s="460"/>
      <c r="K132" s="460">
        <v>0</v>
      </c>
      <c r="L132" s="460">
        <v>0</v>
      </c>
      <c r="M132" s="460">
        <v>0</v>
      </c>
      <c r="N132" s="459">
        <f t="shared" si="2"/>
        <v>1114.6044682478082</v>
      </c>
      <c r="P132" s="451">
        <f t="shared" si="3"/>
        <v>908.37070692768032</v>
      </c>
    </row>
    <row r="133" spans="1:16" s="455" customFormat="1" ht="12">
      <c r="A133" s="446">
        <f t="shared" si="4"/>
        <v>2018</v>
      </c>
      <c r="B133" s="446">
        <f t="shared" si="5"/>
        <v>8</v>
      </c>
      <c r="C133" s="459">
        <v>157.28183877726335</v>
      </c>
      <c r="D133" s="459">
        <v>0</v>
      </c>
      <c r="E133" s="459">
        <v>787.93658582382216</v>
      </c>
      <c r="F133" s="459">
        <v>0</v>
      </c>
      <c r="G133" s="459">
        <v>200</v>
      </c>
      <c r="H133" s="459"/>
      <c r="I133" s="460"/>
      <c r="J133" s="460"/>
      <c r="K133" s="460">
        <v>60</v>
      </c>
      <c r="L133" s="460">
        <v>24</v>
      </c>
      <c r="M133" s="460">
        <v>19</v>
      </c>
      <c r="N133" s="459">
        <f t="shared" si="2"/>
        <v>1248.2184246010856</v>
      </c>
      <c r="O133" s="457"/>
      <c r="P133" s="451">
        <f t="shared" si="3"/>
        <v>942.93658582382216</v>
      </c>
    </row>
    <row r="134" spans="1:16">
      <c r="A134" s="446">
        <f t="shared" si="4"/>
        <v>2018</v>
      </c>
      <c r="B134" s="446">
        <f t="shared" si="5"/>
        <v>9</v>
      </c>
      <c r="C134" s="459">
        <v>145.09909594895282</v>
      </c>
      <c r="D134" s="459">
        <v>0</v>
      </c>
      <c r="E134" s="459">
        <v>676.65609522630905</v>
      </c>
      <c r="F134" s="459">
        <v>0</v>
      </c>
      <c r="G134" s="459">
        <v>200</v>
      </c>
      <c r="H134" s="459"/>
      <c r="I134" s="460"/>
      <c r="J134" s="460"/>
      <c r="K134" s="460">
        <v>0</v>
      </c>
      <c r="L134" s="460">
        <v>0</v>
      </c>
      <c r="M134" s="460">
        <v>0</v>
      </c>
      <c r="N134" s="459">
        <f t="shared" si="2"/>
        <v>1021.7551911752619</v>
      </c>
      <c r="P134" s="451">
        <f t="shared" si="3"/>
        <v>831.65609522630905</v>
      </c>
    </row>
    <row r="135" spans="1:16">
      <c r="A135" s="446">
        <f t="shared" si="4"/>
        <v>2018</v>
      </c>
      <c r="B135" s="446">
        <f t="shared" si="5"/>
        <v>10</v>
      </c>
      <c r="C135" s="459">
        <v>138.72651546749208</v>
      </c>
      <c r="D135" s="459">
        <v>0</v>
      </c>
      <c r="E135" s="459">
        <v>711.07563095524495</v>
      </c>
      <c r="F135" s="459">
        <v>0</v>
      </c>
      <c r="G135" s="459">
        <v>200</v>
      </c>
      <c r="H135" s="459"/>
      <c r="I135" s="460"/>
      <c r="J135" s="460"/>
      <c r="K135" s="460">
        <v>0</v>
      </c>
      <c r="L135" s="460">
        <v>0</v>
      </c>
      <c r="M135" s="460">
        <v>0</v>
      </c>
      <c r="N135" s="459">
        <f t="shared" ref="N135:N198" si="6">SUM(C135:M135)</f>
        <v>1049.802146422737</v>
      </c>
      <c r="P135" s="451">
        <f t="shared" si="3"/>
        <v>866.07563095524495</v>
      </c>
    </row>
    <row r="136" spans="1:16">
      <c r="A136" s="446">
        <f t="shared" si="4"/>
        <v>2018</v>
      </c>
      <c r="B136" s="446">
        <f t="shared" si="5"/>
        <v>11</v>
      </c>
      <c r="C136" s="459">
        <v>123.07483113383906</v>
      </c>
      <c r="D136" s="459">
        <v>0</v>
      </c>
      <c r="E136" s="459">
        <v>583.30769179634785</v>
      </c>
      <c r="F136" s="459">
        <v>0</v>
      </c>
      <c r="G136" s="459">
        <v>200</v>
      </c>
      <c r="H136" s="459"/>
      <c r="I136" s="460"/>
      <c r="J136" s="460"/>
      <c r="K136" s="460">
        <v>0</v>
      </c>
      <c r="L136" s="460">
        <v>0</v>
      </c>
      <c r="M136" s="460">
        <v>0</v>
      </c>
      <c r="N136" s="459">
        <f t="shared" si="6"/>
        <v>906.38252293018695</v>
      </c>
      <c r="P136" s="451">
        <f t="shared" si="3"/>
        <v>738.30769179634785</v>
      </c>
    </row>
    <row r="137" spans="1:16">
      <c r="A137" s="446">
        <f t="shared" si="4"/>
        <v>2018</v>
      </c>
      <c r="B137" s="446">
        <f t="shared" si="5"/>
        <v>12</v>
      </c>
      <c r="C137" s="459">
        <v>117.30866958521651</v>
      </c>
      <c r="D137" s="459">
        <v>0</v>
      </c>
      <c r="E137" s="459">
        <v>548.69751494559682</v>
      </c>
      <c r="F137" s="459">
        <v>0</v>
      </c>
      <c r="G137" s="459">
        <v>200</v>
      </c>
      <c r="H137" s="459"/>
      <c r="I137" s="459"/>
      <c r="J137" s="459"/>
      <c r="K137" s="460">
        <v>0</v>
      </c>
      <c r="L137" s="460">
        <v>0</v>
      </c>
      <c r="M137" s="460">
        <v>0</v>
      </c>
      <c r="N137" s="459">
        <f t="shared" si="6"/>
        <v>866.00618453081336</v>
      </c>
      <c r="O137" s="454"/>
      <c r="P137" s="451">
        <f t="shared" si="3"/>
        <v>703.69751494559682</v>
      </c>
    </row>
    <row r="138" spans="1:16">
      <c r="A138" s="446">
        <f t="shared" si="4"/>
        <v>2019</v>
      </c>
      <c r="B138" s="446">
        <f t="shared" si="5"/>
        <v>1</v>
      </c>
      <c r="C138" s="459">
        <v>114.53232392211292</v>
      </c>
      <c r="D138" s="459">
        <v>0</v>
      </c>
      <c r="E138" s="459">
        <v>746.65800325638725</v>
      </c>
      <c r="F138" s="459">
        <v>0</v>
      </c>
      <c r="G138" s="459">
        <v>200</v>
      </c>
      <c r="H138" s="459"/>
      <c r="I138" s="459"/>
      <c r="J138" s="459"/>
      <c r="K138" s="460">
        <v>60</v>
      </c>
      <c r="L138" s="460">
        <v>27</v>
      </c>
      <c r="M138" s="460">
        <v>19</v>
      </c>
      <c r="N138" s="459">
        <f t="shared" si="6"/>
        <v>1167.1903271785002</v>
      </c>
      <c r="P138" s="451">
        <f t="shared" ref="P138:P201" si="7">E138+G138-45</f>
        <v>901.65800325638725</v>
      </c>
    </row>
    <row r="139" spans="1:16">
      <c r="A139" s="446">
        <f t="shared" si="4"/>
        <v>2019</v>
      </c>
      <c r="B139" s="446">
        <f t="shared" si="5"/>
        <v>2</v>
      </c>
      <c r="C139" s="459">
        <v>121.8665036543769</v>
      </c>
      <c r="D139" s="459">
        <v>0</v>
      </c>
      <c r="E139" s="459">
        <v>670.28533022534725</v>
      </c>
      <c r="F139" s="459">
        <v>0</v>
      </c>
      <c r="G139" s="459">
        <v>200</v>
      </c>
      <c r="H139" s="459"/>
      <c r="I139" s="459"/>
      <c r="J139" s="459"/>
      <c r="K139" s="460">
        <v>0</v>
      </c>
      <c r="L139" s="460">
        <v>0</v>
      </c>
      <c r="M139" s="460">
        <v>0</v>
      </c>
      <c r="N139" s="459">
        <f t="shared" si="6"/>
        <v>992.15183387972411</v>
      </c>
      <c r="P139" s="451">
        <f t="shared" si="7"/>
        <v>825.28533022534725</v>
      </c>
    </row>
    <row r="140" spans="1:16">
      <c r="A140" s="446">
        <f t="shared" si="4"/>
        <v>2019</v>
      </c>
      <c r="B140" s="446">
        <f t="shared" si="5"/>
        <v>3</v>
      </c>
      <c r="C140" s="459">
        <v>115.64771553991832</v>
      </c>
      <c r="D140" s="459">
        <v>0</v>
      </c>
      <c r="E140" s="459">
        <v>617.80944363929848</v>
      </c>
      <c r="F140" s="459">
        <v>0</v>
      </c>
      <c r="G140" s="459">
        <v>200</v>
      </c>
      <c r="H140" s="459"/>
      <c r="I140" s="459"/>
      <c r="J140" s="459"/>
      <c r="K140" s="460">
        <v>0</v>
      </c>
      <c r="L140" s="460">
        <v>0</v>
      </c>
      <c r="M140" s="460">
        <v>0</v>
      </c>
      <c r="N140" s="459">
        <f t="shared" si="6"/>
        <v>933.45715917921677</v>
      </c>
      <c r="P140" s="451">
        <f t="shared" si="7"/>
        <v>772.80944363929848</v>
      </c>
    </row>
    <row r="141" spans="1:16">
      <c r="A141" s="446">
        <f t="shared" si="4"/>
        <v>2019</v>
      </c>
      <c r="B141" s="446">
        <f t="shared" si="5"/>
        <v>4</v>
      </c>
      <c r="C141" s="459">
        <v>137.33775366374431</v>
      </c>
      <c r="D141" s="459">
        <v>0</v>
      </c>
      <c r="E141" s="459">
        <v>611.53923332192392</v>
      </c>
      <c r="F141" s="459">
        <v>0</v>
      </c>
      <c r="G141" s="459">
        <v>200</v>
      </c>
      <c r="H141" s="459"/>
      <c r="I141" s="459"/>
      <c r="J141" s="459"/>
      <c r="K141" s="460">
        <v>0</v>
      </c>
      <c r="L141" s="460">
        <v>0</v>
      </c>
      <c r="M141" s="460">
        <v>0</v>
      </c>
      <c r="N141" s="459">
        <f t="shared" si="6"/>
        <v>948.87698698566828</v>
      </c>
      <c r="P141" s="451">
        <f t="shared" si="7"/>
        <v>766.53923332192392</v>
      </c>
    </row>
    <row r="142" spans="1:16">
      <c r="A142" s="446">
        <f t="shared" si="4"/>
        <v>2019</v>
      </c>
      <c r="B142" s="446">
        <f t="shared" si="5"/>
        <v>5</v>
      </c>
      <c r="C142" s="459">
        <v>145.98862971305815</v>
      </c>
      <c r="D142" s="459">
        <v>0</v>
      </c>
      <c r="E142" s="459">
        <v>707.08345171994279</v>
      </c>
      <c r="F142" s="459">
        <v>0</v>
      </c>
      <c r="G142" s="459">
        <v>200</v>
      </c>
      <c r="H142" s="459"/>
      <c r="I142" s="459"/>
      <c r="J142" s="459"/>
      <c r="K142" s="460">
        <v>0</v>
      </c>
      <c r="L142" s="460">
        <v>0</v>
      </c>
      <c r="M142" s="460">
        <v>0</v>
      </c>
      <c r="N142" s="459">
        <f t="shared" si="6"/>
        <v>1053.0720814330009</v>
      </c>
      <c r="P142" s="451">
        <f t="shared" si="7"/>
        <v>862.08345171994279</v>
      </c>
    </row>
    <row r="143" spans="1:16">
      <c r="A143" s="446">
        <f t="shared" ref="A143:A206" si="8">A131+1</f>
        <v>2019</v>
      </c>
      <c r="B143" s="446">
        <f t="shared" ref="B143:B206" si="9">B131</f>
        <v>6</v>
      </c>
      <c r="C143" s="459">
        <v>150.24495788720674</v>
      </c>
      <c r="D143" s="459">
        <v>0</v>
      </c>
      <c r="E143" s="459">
        <v>773.9390374989938</v>
      </c>
      <c r="F143" s="459">
        <v>0</v>
      </c>
      <c r="G143" s="459">
        <v>200</v>
      </c>
      <c r="H143" s="459"/>
      <c r="I143" s="459"/>
      <c r="J143" s="459"/>
      <c r="K143" s="460">
        <v>0</v>
      </c>
      <c r="L143" s="460">
        <v>0</v>
      </c>
      <c r="M143" s="460">
        <v>0</v>
      </c>
      <c r="N143" s="459">
        <f t="shared" si="6"/>
        <v>1124.1839953862004</v>
      </c>
      <c r="P143" s="451">
        <f t="shared" si="7"/>
        <v>928.9390374989938</v>
      </c>
    </row>
    <row r="144" spans="1:16">
      <c r="A144" s="446">
        <f t="shared" si="8"/>
        <v>2019</v>
      </c>
      <c r="B144" s="446">
        <f t="shared" si="9"/>
        <v>7</v>
      </c>
      <c r="C144" s="459">
        <v>162.7539318807155</v>
      </c>
      <c r="D144" s="459">
        <v>0</v>
      </c>
      <c r="E144" s="459">
        <v>757.64710653756242</v>
      </c>
      <c r="F144" s="459">
        <v>0</v>
      </c>
      <c r="G144" s="459">
        <v>200</v>
      </c>
      <c r="H144" s="459"/>
      <c r="I144" s="459"/>
      <c r="J144" s="459"/>
      <c r="K144" s="460">
        <v>0</v>
      </c>
      <c r="L144" s="460">
        <v>0</v>
      </c>
      <c r="M144" s="460">
        <v>0</v>
      </c>
      <c r="N144" s="459">
        <f t="shared" si="6"/>
        <v>1120.4010384182779</v>
      </c>
      <c r="P144" s="451">
        <f t="shared" si="7"/>
        <v>912.64710653756242</v>
      </c>
    </row>
    <row r="145" spans="1:16" s="455" customFormat="1" ht="12">
      <c r="A145" s="446">
        <f t="shared" si="8"/>
        <v>2019</v>
      </c>
      <c r="B145" s="446">
        <f t="shared" si="9"/>
        <v>8</v>
      </c>
      <c r="C145" s="459">
        <v>158.76431874501409</v>
      </c>
      <c r="D145" s="459">
        <v>0</v>
      </c>
      <c r="E145" s="459">
        <v>792.42803529070613</v>
      </c>
      <c r="F145" s="459">
        <v>0</v>
      </c>
      <c r="G145" s="459">
        <v>200</v>
      </c>
      <c r="H145" s="459"/>
      <c r="I145" s="459"/>
      <c r="J145" s="459"/>
      <c r="K145" s="460">
        <v>60</v>
      </c>
      <c r="L145" s="460">
        <v>27</v>
      </c>
      <c r="M145" s="460">
        <v>19</v>
      </c>
      <c r="N145" s="459">
        <f t="shared" si="6"/>
        <v>1257.1923540357202</v>
      </c>
      <c r="O145" s="457"/>
      <c r="P145" s="451">
        <f t="shared" si="7"/>
        <v>947.42803529070613</v>
      </c>
    </row>
    <row r="146" spans="1:16">
      <c r="A146" s="446">
        <f t="shared" si="8"/>
        <v>2019</v>
      </c>
      <c r="B146" s="446">
        <f t="shared" si="9"/>
        <v>9</v>
      </c>
      <c r="C146" s="459">
        <v>146.46674592529683</v>
      </c>
      <c r="D146" s="459">
        <v>0</v>
      </c>
      <c r="E146" s="459">
        <v>680.52367777017298</v>
      </c>
      <c r="F146" s="459">
        <v>0</v>
      </c>
      <c r="G146" s="459">
        <v>200</v>
      </c>
      <c r="H146" s="459"/>
      <c r="I146" s="459"/>
      <c r="J146" s="459"/>
      <c r="K146" s="460">
        <v>0</v>
      </c>
      <c r="L146" s="460">
        <v>0</v>
      </c>
      <c r="M146" s="460">
        <v>0</v>
      </c>
      <c r="N146" s="459">
        <f t="shared" si="6"/>
        <v>1026.9904236954699</v>
      </c>
      <c r="P146" s="451">
        <f t="shared" si="7"/>
        <v>835.52367777017298</v>
      </c>
    </row>
    <row r="147" spans="1:16">
      <c r="A147" s="446">
        <f t="shared" si="8"/>
        <v>2019</v>
      </c>
      <c r="B147" s="446">
        <f t="shared" si="9"/>
        <v>10</v>
      </c>
      <c r="C147" s="459">
        <v>140.0340998763167</v>
      </c>
      <c r="D147" s="459">
        <v>0</v>
      </c>
      <c r="E147" s="459">
        <v>713.5040634249915</v>
      </c>
      <c r="F147" s="459">
        <v>0</v>
      </c>
      <c r="G147" s="459">
        <v>200</v>
      </c>
      <c r="H147" s="459"/>
      <c r="I147" s="459"/>
      <c r="J147" s="459"/>
      <c r="K147" s="460">
        <v>0</v>
      </c>
      <c r="L147" s="460">
        <v>0</v>
      </c>
      <c r="M147" s="460">
        <v>0</v>
      </c>
      <c r="N147" s="459">
        <f t="shared" si="6"/>
        <v>1053.5381633013083</v>
      </c>
      <c r="P147" s="451">
        <f t="shared" si="7"/>
        <v>868.5040634249915</v>
      </c>
    </row>
    <row r="148" spans="1:16">
      <c r="A148" s="446">
        <f t="shared" si="8"/>
        <v>2019</v>
      </c>
      <c r="B148" s="446">
        <f t="shared" si="9"/>
        <v>11</v>
      </c>
      <c r="C148" s="459">
        <v>124.2348886020672</v>
      </c>
      <c r="D148" s="459">
        <v>0</v>
      </c>
      <c r="E148" s="459">
        <v>584.50124307831402</v>
      </c>
      <c r="F148" s="459">
        <v>0</v>
      </c>
      <c r="G148" s="459">
        <v>200</v>
      </c>
      <c r="H148" s="459"/>
      <c r="I148" s="459"/>
      <c r="J148" s="459"/>
      <c r="K148" s="460">
        <v>0</v>
      </c>
      <c r="L148" s="460">
        <v>0</v>
      </c>
      <c r="M148" s="460">
        <v>0</v>
      </c>
      <c r="N148" s="459">
        <f t="shared" si="6"/>
        <v>908.73613168038128</v>
      </c>
      <c r="P148" s="451">
        <f t="shared" si="7"/>
        <v>739.50124307831402</v>
      </c>
    </row>
    <row r="149" spans="1:16">
      <c r="A149" s="446">
        <f t="shared" si="8"/>
        <v>2019</v>
      </c>
      <c r="B149" s="446">
        <f t="shared" si="9"/>
        <v>12</v>
      </c>
      <c r="C149" s="459">
        <v>118.41437736467509</v>
      </c>
      <c r="D149" s="459">
        <v>0</v>
      </c>
      <c r="E149" s="459">
        <v>550.22177617318289</v>
      </c>
      <c r="F149" s="459">
        <v>0</v>
      </c>
      <c r="G149" s="459">
        <v>200</v>
      </c>
      <c r="H149" s="459"/>
      <c r="I149" s="459"/>
      <c r="J149" s="459"/>
      <c r="K149" s="460">
        <v>0</v>
      </c>
      <c r="L149" s="460">
        <v>0</v>
      </c>
      <c r="M149" s="460">
        <v>0</v>
      </c>
      <c r="N149" s="459">
        <f t="shared" si="6"/>
        <v>868.63615353785804</v>
      </c>
      <c r="O149" s="454"/>
      <c r="P149" s="451">
        <f t="shared" si="7"/>
        <v>705.22177617318289</v>
      </c>
    </row>
    <row r="150" spans="1:16">
      <c r="A150" s="446">
        <f t="shared" si="8"/>
        <v>2020</v>
      </c>
      <c r="B150" s="446">
        <f t="shared" si="9"/>
        <v>1</v>
      </c>
      <c r="C150" s="459">
        <v>115.61186290254741</v>
      </c>
      <c r="D150" s="459">
        <v>0</v>
      </c>
      <c r="E150" s="459">
        <v>747.40604240742721</v>
      </c>
      <c r="F150" s="459">
        <v>0</v>
      </c>
      <c r="G150" s="459">
        <v>200</v>
      </c>
      <c r="H150" s="459"/>
      <c r="I150" s="459"/>
      <c r="J150" s="459"/>
      <c r="K150" s="459"/>
      <c r="L150" s="459">
        <v>27</v>
      </c>
      <c r="M150" s="459">
        <v>19</v>
      </c>
      <c r="N150" s="459">
        <f t="shared" si="6"/>
        <v>1109.0179053099746</v>
      </c>
      <c r="P150" s="451">
        <f t="shared" si="7"/>
        <v>902.40604240742721</v>
      </c>
    </row>
    <row r="151" spans="1:16">
      <c r="A151" s="446">
        <f t="shared" si="8"/>
        <v>2020</v>
      </c>
      <c r="B151" s="446">
        <f t="shared" si="9"/>
        <v>2</v>
      </c>
      <c r="C151" s="459">
        <v>123.01517187832414</v>
      </c>
      <c r="D151" s="459">
        <v>0</v>
      </c>
      <c r="E151" s="459">
        <v>670.95459723548583</v>
      </c>
      <c r="F151" s="459">
        <v>0</v>
      </c>
      <c r="G151" s="459">
        <v>200</v>
      </c>
      <c r="H151" s="459"/>
      <c r="I151" s="459"/>
      <c r="J151" s="459"/>
      <c r="K151" s="459"/>
      <c r="L151" s="459">
        <v>0</v>
      </c>
      <c r="M151" s="459">
        <v>0</v>
      </c>
      <c r="N151" s="459">
        <f t="shared" si="6"/>
        <v>993.96976911381</v>
      </c>
      <c r="P151" s="451">
        <f t="shared" si="7"/>
        <v>825.95459723548583</v>
      </c>
    </row>
    <row r="152" spans="1:16">
      <c r="A152" s="446">
        <f t="shared" si="8"/>
        <v>2020</v>
      </c>
      <c r="B152" s="446">
        <f t="shared" si="9"/>
        <v>3</v>
      </c>
      <c r="C152" s="459">
        <v>116.73776778585409</v>
      </c>
      <c r="D152" s="459">
        <v>0</v>
      </c>
      <c r="E152" s="459">
        <v>618.49009381156111</v>
      </c>
      <c r="F152" s="459">
        <v>0</v>
      </c>
      <c r="G152" s="459">
        <v>200</v>
      </c>
      <c r="H152" s="459"/>
      <c r="I152" s="459"/>
      <c r="J152" s="459"/>
      <c r="K152" s="459"/>
      <c r="L152" s="459">
        <v>0</v>
      </c>
      <c r="M152" s="459">
        <v>0</v>
      </c>
      <c r="N152" s="459">
        <f t="shared" si="6"/>
        <v>935.2278615974152</v>
      </c>
      <c r="P152" s="451">
        <f t="shared" si="7"/>
        <v>773.49009381156111</v>
      </c>
    </row>
    <row r="153" spans="1:16">
      <c r="A153" s="446">
        <f t="shared" si="8"/>
        <v>2020</v>
      </c>
      <c r="B153" s="446">
        <f t="shared" si="9"/>
        <v>4</v>
      </c>
      <c r="C153" s="459">
        <v>138.6322481216246</v>
      </c>
      <c r="D153" s="459">
        <v>0</v>
      </c>
      <c r="E153" s="459">
        <v>615.39654264164335</v>
      </c>
      <c r="F153" s="459">
        <v>0</v>
      </c>
      <c r="G153" s="459">
        <v>200</v>
      </c>
      <c r="H153" s="459"/>
      <c r="I153" s="459"/>
      <c r="J153" s="459"/>
      <c r="K153" s="459"/>
      <c r="L153" s="459">
        <v>0</v>
      </c>
      <c r="M153" s="459">
        <v>0</v>
      </c>
      <c r="N153" s="459">
        <f t="shared" si="6"/>
        <v>954.02879076326792</v>
      </c>
      <c r="P153" s="451">
        <f t="shared" si="7"/>
        <v>770.39654264164335</v>
      </c>
    </row>
    <row r="154" spans="1:16">
      <c r="A154" s="446">
        <f t="shared" si="8"/>
        <v>2020</v>
      </c>
      <c r="B154" s="446">
        <f t="shared" si="9"/>
        <v>5</v>
      </c>
      <c r="C154" s="459">
        <v>147.36466410298843</v>
      </c>
      <c r="D154" s="459">
        <v>0</v>
      </c>
      <c r="E154" s="459">
        <v>710.75572017741422</v>
      </c>
      <c r="F154" s="459">
        <v>0</v>
      </c>
      <c r="G154" s="459">
        <v>200</v>
      </c>
      <c r="H154" s="459"/>
      <c r="I154" s="459"/>
      <c r="J154" s="459"/>
      <c r="K154" s="459"/>
      <c r="L154" s="459">
        <v>0</v>
      </c>
      <c r="M154" s="459">
        <v>0</v>
      </c>
      <c r="N154" s="459">
        <f t="shared" si="6"/>
        <v>1058.1203842804025</v>
      </c>
      <c r="P154" s="451">
        <f t="shared" si="7"/>
        <v>865.75572017741422</v>
      </c>
    </row>
    <row r="155" spans="1:16">
      <c r="A155" s="446">
        <f t="shared" si="8"/>
        <v>2020</v>
      </c>
      <c r="B155" s="446">
        <f t="shared" si="9"/>
        <v>6</v>
      </c>
      <c r="C155" s="459">
        <v>151.66111083947965</v>
      </c>
      <c r="D155" s="459">
        <v>0</v>
      </c>
      <c r="E155" s="459">
        <v>776.66165196350028</v>
      </c>
      <c r="F155" s="459">
        <v>0</v>
      </c>
      <c r="G155" s="459">
        <v>200</v>
      </c>
      <c r="H155" s="459"/>
      <c r="I155" s="459"/>
      <c r="J155" s="459"/>
      <c r="K155" s="459"/>
      <c r="L155" s="459">
        <v>0</v>
      </c>
      <c r="M155" s="459">
        <v>0</v>
      </c>
      <c r="N155" s="459">
        <f t="shared" si="6"/>
        <v>1128.3227628029799</v>
      </c>
      <c r="P155" s="451">
        <f t="shared" si="7"/>
        <v>931.66165196350028</v>
      </c>
    </row>
    <row r="156" spans="1:16">
      <c r="A156" s="446">
        <f t="shared" si="8"/>
        <v>2020</v>
      </c>
      <c r="B156" s="446">
        <f t="shared" si="9"/>
        <v>7</v>
      </c>
      <c r="C156" s="459">
        <v>164.28777128385175</v>
      </c>
      <c r="D156" s="459">
        <v>0</v>
      </c>
      <c r="E156" s="459">
        <v>761.95125633511213</v>
      </c>
      <c r="F156" s="459">
        <v>0</v>
      </c>
      <c r="G156" s="459">
        <v>200</v>
      </c>
      <c r="H156" s="459"/>
      <c r="I156" s="459"/>
      <c r="J156" s="459"/>
      <c r="K156" s="459"/>
      <c r="L156" s="459">
        <v>0</v>
      </c>
      <c r="M156" s="459">
        <v>0</v>
      </c>
      <c r="N156" s="459">
        <f t="shared" si="6"/>
        <v>1126.239027618964</v>
      </c>
      <c r="P156" s="451">
        <f t="shared" si="7"/>
        <v>916.95125633511213</v>
      </c>
    </row>
    <row r="157" spans="1:16" s="455" customFormat="1" ht="12">
      <c r="A157" s="446">
        <f t="shared" si="8"/>
        <v>2020</v>
      </c>
      <c r="B157" s="446">
        <f t="shared" si="9"/>
        <v>8</v>
      </c>
      <c r="C157" s="459">
        <v>160.26077201617903</v>
      </c>
      <c r="D157" s="459">
        <v>0</v>
      </c>
      <c r="E157" s="459">
        <v>796.9519957978199</v>
      </c>
      <c r="F157" s="459">
        <v>0</v>
      </c>
      <c r="G157" s="459">
        <v>200</v>
      </c>
      <c r="H157" s="459"/>
      <c r="I157" s="459"/>
      <c r="J157" s="459"/>
      <c r="K157" s="459"/>
      <c r="L157" s="459">
        <v>27</v>
      </c>
      <c r="M157" s="459">
        <v>19</v>
      </c>
      <c r="N157" s="459">
        <f t="shared" si="6"/>
        <v>1203.2127678139989</v>
      </c>
      <c r="O157" s="457"/>
      <c r="P157" s="451">
        <f>E157+G157-45</f>
        <v>951.9519957978199</v>
      </c>
    </row>
    <row r="158" spans="1:16">
      <c r="A158" s="446">
        <f t="shared" si="8"/>
        <v>2020</v>
      </c>
      <c r="B158" s="446">
        <f t="shared" si="9"/>
        <v>9</v>
      </c>
      <c r="C158" s="459">
        <v>147.84728686037187</v>
      </c>
      <c r="D158" s="459">
        <v>0</v>
      </c>
      <c r="E158" s="459">
        <v>684.41693206816183</v>
      </c>
      <c r="F158" s="459">
        <v>0</v>
      </c>
      <c r="G158" s="459">
        <v>200</v>
      </c>
      <c r="H158" s="459"/>
      <c r="I158" s="459"/>
      <c r="J158" s="459"/>
      <c r="K158" s="459"/>
      <c r="L158" s="459">
        <v>0</v>
      </c>
      <c r="M158" s="459">
        <v>0</v>
      </c>
      <c r="N158" s="459">
        <f t="shared" si="6"/>
        <v>1032.2642189285336</v>
      </c>
      <c r="P158" s="451">
        <f t="shared" si="7"/>
        <v>839.41693206816183</v>
      </c>
    </row>
    <row r="159" spans="1:16">
      <c r="A159" s="446">
        <f t="shared" si="8"/>
        <v>2020</v>
      </c>
      <c r="B159" s="446">
        <f t="shared" si="9"/>
        <v>10</v>
      </c>
      <c r="C159" s="459">
        <v>141.35400908822922</v>
      </c>
      <c r="D159" s="459">
        <v>0</v>
      </c>
      <c r="E159" s="459">
        <v>715.93647041596512</v>
      </c>
      <c r="F159" s="459">
        <v>0</v>
      </c>
      <c r="G159" s="459">
        <v>200</v>
      </c>
      <c r="H159" s="459"/>
      <c r="I159" s="459"/>
      <c r="J159" s="459"/>
      <c r="K159" s="459"/>
      <c r="L159" s="459">
        <v>0</v>
      </c>
      <c r="M159" s="459">
        <v>0</v>
      </c>
      <c r="N159" s="459">
        <f t="shared" si="6"/>
        <v>1057.2904795041943</v>
      </c>
      <c r="P159" s="451">
        <f t="shared" si="7"/>
        <v>870.93647041596512</v>
      </c>
    </row>
    <row r="160" spans="1:16">
      <c r="A160" s="446">
        <f t="shared" si="8"/>
        <v>2020</v>
      </c>
      <c r="B160" s="446">
        <f t="shared" si="9"/>
        <v>11</v>
      </c>
      <c r="C160" s="459">
        <v>125.40588033944847</v>
      </c>
      <c r="D160" s="459">
        <v>0</v>
      </c>
      <c r="E160" s="459">
        <v>585.70075714770041</v>
      </c>
      <c r="F160" s="459">
        <v>0</v>
      </c>
      <c r="G160" s="459">
        <v>200</v>
      </c>
      <c r="H160" s="459"/>
      <c r="I160" s="459"/>
      <c r="J160" s="459"/>
      <c r="K160" s="459"/>
      <c r="L160" s="459">
        <v>0</v>
      </c>
      <c r="M160" s="459">
        <v>0</v>
      </c>
      <c r="N160" s="459">
        <f t="shared" si="6"/>
        <v>911.10663748714887</v>
      </c>
      <c r="P160" s="451">
        <f t="shared" si="7"/>
        <v>740.70075714770041</v>
      </c>
    </row>
    <row r="161" spans="1:16">
      <c r="A161" s="446">
        <f t="shared" si="8"/>
        <v>2020</v>
      </c>
      <c r="B161" s="446">
        <f t="shared" si="9"/>
        <v>12</v>
      </c>
      <c r="C161" s="459">
        <v>119.53050713338548</v>
      </c>
      <c r="D161" s="459">
        <v>0</v>
      </c>
      <c r="E161" s="459">
        <v>551.75590955897871</v>
      </c>
      <c r="F161" s="459">
        <v>0</v>
      </c>
      <c r="G161" s="459">
        <v>200</v>
      </c>
      <c r="H161" s="459"/>
      <c r="I161" s="459"/>
      <c r="J161" s="459"/>
      <c r="K161" s="459"/>
      <c r="L161" s="459">
        <v>0</v>
      </c>
      <c r="M161" s="459">
        <v>0</v>
      </c>
      <c r="N161" s="459">
        <f t="shared" si="6"/>
        <v>871.28641669236424</v>
      </c>
      <c r="O161" s="454"/>
      <c r="P161" s="451">
        <f t="shared" si="7"/>
        <v>706.75590955897871</v>
      </c>
    </row>
    <row r="162" spans="1:16">
      <c r="A162" s="446">
        <f t="shared" si="8"/>
        <v>2021</v>
      </c>
      <c r="B162" s="446">
        <f t="shared" si="9"/>
        <v>1</v>
      </c>
      <c r="C162" s="459">
        <v>116.70157721489144</v>
      </c>
      <c r="D162" s="459">
        <v>0</v>
      </c>
      <c r="E162" s="459">
        <v>748.1530907781347</v>
      </c>
      <c r="F162" s="459">
        <v>0</v>
      </c>
      <c r="G162" s="459">
        <v>200</v>
      </c>
      <c r="H162" s="459"/>
      <c r="I162" s="459"/>
      <c r="J162" s="459"/>
      <c r="K162" s="459"/>
      <c r="L162" s="459">
        <v>27</v>
      </c>
      <c r="M162" s="459">
        <v>19</v>
      </c>
      <c r="N162" s="459">
        <f t="shared" si="6"/>
        <v>1110.8546679930262</v>
      </c>
      <c r="P162" s="451">
        <f t="shared" si="7"/>
        <v>903.1530907781347</v>
      </c>
    </row>
    <row r="163" spans="1:16">
      <c r="A163" s="446">
        <f t="shared" si="8"/>
        <v>2021</v>
      </c>
      <c r="B163" s="446">
        <f t="shared" si="9"/>
        <v>2</v>
      </c>
      <c r="C163" s="459">
        <v>124.17466702065455</v>
      </c>
      <c r="D163" s="459">
        <v>0</v>
      </c>
      <c r="E163" s="459">
        <v>671.62784205846333</v>
      </c>
      <c r="F163" s="459">
        <v>0</v>
      </c>
      <c r="G163" s="459">
        <v>200</v>
      </c>
      <c r="H163" s="459"/>
      <c r="I163" s="459"/>
      <c r="J163" s="459"/>
      <c r="K163" s="459"/>
      <c r="L163" s="459">
        <v>0</v>
      </c>
      <c r="M163" s="459">
        <v>0</v>
      </c>
      <c r="N163" s="459">
        <f t="shared" si="6"/>
        <v>995.80250907911784</v>
      </c>
      <c r="P163" s="451">
        <f t="shared" si="7"/>
        <v>826.62784205846333</v>
      </c>
    </row>
    <row r="164" spans="1:16">
      <c r="A164" s="446">
        <f t="shared" si="8"/>
        <v>2021</v>
      </c>
      <c r="B164" s="446">
        <f t="shared" si="9"/>
        <v>3</v>
      </c>
      <c r="C164" s="459">
        <v>117.83809445782002</v>
      </c>
      <c r="D164" s="459">
        <v>0</v>
      </c>
      <c r="E164" s="459">
        <v>619.17074398382374</v>
      </c>
      <c r="F164" s="459">
        <v>0</v>
      </c>
      <c r="G164" s="459">
        <v>200</v>
      </c>
      <c r="H164" s="459"/>
      <c r="I164" s="459"/>
      <c r="J164" s="459"/>
      <c r="K164" s="459"/>
      <c r="L164" s="459">
        <v>0</v>
      </c>
      <c r="M164" s="459">
        <v>0</v>
      </c>
      <c r="N164" s="459">
        <f t="shared" si="6"/>
        <v>937.00883844164377</v>
      </c>
      <c r="P164" s="451">
        <f t="shared" si="7"/>
        <v>774.17074398382374</v>
      </c>
    </row>
    <row r="165" spans="1:16">
      <c r="A165" s="446">
        <f t="shared" si="8"/>
        <v>2021</v>
      </c>
      <c r="B165" s="446">
        <f t="shared" si="9"/>
        <v>4</v>
      </c>
      <c r="C165" s="459">
        <v>139.9389440015959</v>
      </c>
      <c r="D165" s="459">
        <v>0</v>
      </c>
      <c r="E165" s="459">
        <v>619.28728579647668</v>
      </c>
      <c r="F165" s="459">
        <v>0</v>
      </c>
      <c r="G165" s="459">
        <v>200</v>
      </c>
      <c r="H165" s="459"/>
      <c r="I165" s="459"/>
      <c r="J165" s="459"/>
      <c r="K165" s="459"/>
      <c r="L165" s="459">
        <v>0</v>
      </c>
      <c r="M165" s="459">
        <v>0</v>
      </c>
      <c r="N165" s="459">
        <f t="shared" si="6"/>
        <v>959.22622979807261</v>
      </c>
      <c r="P165" s="451">
        <f t="shared" si="7"/>
        <v>774.28728579647668</v>
      </c>
    </row>
    <row r="166" spans="1:16">
      <c r="A166" s="446">
        <f t="shared" si="8"/>
        <v>2021</v>
      </c>
      <c r="B166" s="446">
        <f t="shared" si="9"/>
        <v>5</v>
      </c>
      <c r="C166" s="459">
        <v>148.75366848000607</v>
      </c>
      <c r="D166" s="459">
        <v>0</v>
      </c>
      <c r="E166" s="459">
        <v>714.44836856025745</v>
      </c>
      <c r="F166" s="459">
        <v>0</v>
      </c>
      <c r="G166" s="459">
        <v>200</v>
      </c>
      <c r="H166" s="459"/>
      <c r="I166" s="459"/>
      <c r="J166" s="459"/>
      <c r="K166" s="459"/>
      <c r="L166" s="459">
        <v>0</v>
      </c>
      <c r="M166" s="459">
        <v>0</v>
      </c>
      <c r="N166" s="459">
        <f t="shared" si="6"/>
        <v>1063.2020370402636</v>
      </c>
      <c r="P166" s="451">
        <f t="shared" si="7"/>
        <v>869.44836856025745</v>
      </c>
    </row>
    <row r="167" spans="1:16">
      <c r="A167" s="446">
        <f t="shared" si="8"/>
        <v>2021</v>
      </c>
      <c r="B167" s="446">
        <f t="shared" si="9"/>
        <v>6</v>
      </c>
      <c r="C167" s="459">
        <v>153.09061192144981</v>
      </c>
      <c r="D167" s="459">
        <v>0</v>
      </c>
      <c r="E167" s="459">
        <v>779.39713229061624</v>
      </c>
      <c r="F167" s="459">
        <v>0</v>
      </c>
      <c r="G167" s="459">
        <v>0</v>
      </c>
      <c r="H167" s="459"/>
      <c r="I167" s="459"/>
      <c r="J167" s="459"/>
      <c r="K167" s="459"/>
      <c r="L167" s="459">
        <v>0</v>
      </c>
      <c r="M167" s="459">
        <v>0</v>
      </c>
      <c r="N167" s="459">
        <f t="shared" si="6"/>
        <v>932.48774421206599</v>
      </c>
      <c r="P167" s="451">
        <f t="shared" si="7"/>
        <v>734.39713229061624</v>
      </c>
    </row>
    <row r="168" spans="1:16">
      <c r="A168" s="446">
        <f t="shared" si="8"/>
        <v>2021</v>
      </c>
      <c r="B168" s="446">
        <f t="shared" si="9"/>
        <v>7</v>
      </c>
      <c r="C168" s="459">
        <v>165.83625587543298</v>
      </c>
      <c r="D168" s="459">
        <v>0</v>
      </c>
      <c r="E168" s="459">
        <v>766.28507012637544</v>
      </c>
      <c r="F168" s="459">
        <v>0</v>
      </c>
      <c r="G168" s="459">
        <v>0</v>
      </c>
      <c r="H168" s="459"/>
      <c r="I168" s="459"/>
      <c r="J168" s="459"/>
      <c r="K168" s="459"/>
      <c r="L168" s="459">
        <v>0</v>
      </c>
      <c r="M168" s="459">
        <v>0</v>
      </c>
      <c r="N168" s="459">
        <f t="shared" si="6"/>
        <v>932.12132600180848</v>
      </c>
      <c r="P168" s="451">
        <f t="shared" si="7"/>
        <v>721.28507012637544</v>
      </c>
    </row>
    <row r="169" spans="1:16" s="455" customFormat="1" ht="12">
      <c r="A169" s="446">
        <f t="shared" si="8"/>
        <v>2021</v>
      </c>
      <c r="B169" s="446">
        <f t="shared" si="9"/>
        <v>8</v>
      </c>
      <c r="C169" s="459">
        <v>161.77133029790608</v>
      </c>
      <c r="D169" s="459">
        <v>0</v>
      </c>
      <c r="E169" s="459">
        <v>801.50551179605156</v>
      </c>
      <c r="F169" s="459">
        <v>0</v>
      </c>
      <c r="G169" s="459">
        <v>0</v>
      </c>
      <c r="H169" s="459"/>
      <c r="I169" s="459"/>
      <c r="J169" s="459"/>
      <c r="K169" s="459"/>
      <c r="L169" s="459">
        <v>27</v>
      </c>
      <c r="M169" s="459">
        <v>19</v>
      </c>
      <c r="N169" s="459">
        <f t="shared" si="6"/>
        <v>1009.2768420939576</v>
      </c>
      <c r="O169" s="457"/>
      <c r="P169" s="451">
        <f t="shared" si="7"/>
        <v>756.50551179605156</v>
      </c>
    </row>
    <row r="170" spans="1:16">
      <c r="A170" s="446">
        <f t="shared" si="8"/>
        <v>2021</v>
      </c>
      <c r="B170" s="446">
        <f t="shared" si="9"/>
        <v>9</v>
      </c>
      <c r="C170" s="459">
        <v>149.24084025954846</v>
      </c>
      <c r="D170" s="459">
        <v>0</v>
      </c>
      <c r="E170" s="459">
        <v>688.33762858607736</v>
      </c>
      <c r="F170" s="459">
        <v>0</v>
      </c>
      <c r="G170" s="459">
        <v>0</v>
      </c>
      <c r="H170" s="459"/>
      <c r="I170" s="459"/>
      <c r="J170" s="459"/>
      <c r="K170" s="459"/>
      <c r="L170" s="459">
        <v>0</v>
      </c>
      <c r="M170" s="459">
        <v>0</v>
      </c>
      <c r="N170" s="459">
        <f t="shared" si="6"/>
        <v>837.57846884562582</v>
      </c>
      <c r="P170" s="451">
        <f t="shared" si="7"/>
        <v>643.33762858607736</v>
      </c>
    </row>
    <row r="171" spans="1:16">
      <c r="A171" s="446">
        <f t="shared" si="8"/>
        <v>2021</v>
      </c>
      <c r="B171" s="446">
        <f t="shared" si="9"/>
        <v>10</v>
      </c>
      <c r="C171" s="459">
        <v>142.686359272228</v>
      </c>
      <c r="D171" s="459">
        <v>0</v>
      </c>
      <c r="E171" s="459">
        <v>718.38378186154034</v>
      </c>
      <c r="F171" s="459">
        <v>0</v>
      </c>
      <c r="G171" s="459">
        <v>0</v>
      </c>
      <c r="H171" s="459"/>
      <c r="I171" s="459"/>
      <c r="J171" s="459"/>
      <c r="K171" s="459"/>
      <c r="L171" s="459">
        <v>0</v>
      </c>
      <c r="M171" s="459">
        <v>0</v>
      </c>
      <c r="N171" s="459">
        <f t="shared" si="6"/>
        <v>861.0701411337684</v>
      </c>
      <c r="P171" s="451">
        <f t="shared" si="7"/>
        <v>673.38378186154034</v>
      </c>
    </row>
    <row r="172" spans="1:16">
      <c r="A172" s="446">
        <f t="shared" si="8"/>
        <v>2021</v>
      </c>
      <c r="B172" s="446">
        <f t="shared" si="9"/>
        <v>11</v>
      </c>
      <c r="C172" s="459">
        <v>126.58790940832692</v>
      </c>
      <c r="D172" s="459">
        <v>0</v>
      </c>
      <c r="E172" s="459">
        <v>586.90424640870037</v>
      </c>
      <c r="F172" s="459">
        <v>0</v>
      </c>
      <c r="G172" s="459">
        <v>0</v>
      </c>
      <c r="H172" s="459"/>
      <c r="I172" s="459"/>
      <c r="J172" s="459"/>
      <c r="K172" s="459"/>
      <c r="L172" s="459">
        <v>0</v>
      </c>
      <c r="M172" s="459">
        <v>0</v>
      </c>
      <c r="N172" s="459">
        <f t="shared" si="6"/>
        <v>713.49215581702731</v>
      </c>
      <c r="P172" s="451">
        <f t="shared" si="7"/>
        <v>541.90424640870037</v>
      </c>
    </row>
    <row r="173" spans="1:16">
      <c r="A173" s="446">
        <f t="shared" si="8"/>
        <v>2021</v>
      </c>
      <c r="B173" s="446">
        <f t="shared" si="9"/>
        <v>12</v>
      </c>
      <c r="C173" s="459">
        <v>120.6571571251323</v>
      </c>
      <c r="D173" s="459">
        <v>0</v>
      </c>
      <c r="E173" s="459">
        <v>553.29695345552136</v>
      </c>
      <c r="F173" s="459">
        <v>0</v>
      </c>
      <c r="G173" s="459">
        <v>0</v>
      </c>
      <c r="H173" s="459"/>
      <c r="I173" s="459"/>
      <c r="J173" s="459"/>
      <c r="K173" s="459"/>
      <c r="L173" s="459">
        <v>0</v>
      </c>
      <c r="M173" s="459">
        <v>0</v>
      </c>
      <c r="N173" s="459">
        <f t="shared" si="6"/>
        <v>673.95411058065361</v>
      </c>
      <c r="O173" s="454"/>
      <c r="P173" s="451">
        <f t="shared" si="7"/>
        <v>508.29695345552136</v>
      </c>
    </row>
    <row r="174" spans="1:16">
      <c r="A174" s="446">
        <f t="shared" si="8"/>
        <v>2022</v>
      </c>
      <c r="B174" s="446">
        <f t="shared" si="9"/>
        <v>1</v>
      </c>
      <c r="C174" s="459">
        <v>117.80156276802961</v>
      </c>
      <c r="D174" s="459">
        <v>0</v>
      </c>
      <c r="E174" s="459">
        <v>748.90013914884219</v>
      </c>
      <c r="F174" s="459">
        <v>0</v>
      </c>
      <c r="G174" s="459">
        <v>0</v>
      </c>
      <c r="H174" s="459"/>
      <c r="I174" s="459"/>
      <c r="J174" s="459"/>
      <c r="K174" s="459"/>
      <c r="L174" s="459">
        <v>27</v>
      </c>
      <c r="M174" s="459">
        <v>19</v>
      </c>
      <c r="N174" s="459">
        <f t="shared" si="6"/>
        <v>912.7017019168718</v>
      </c>
      <c r="P174" s="451">
        <f t="shared" si="7"/>
        <v>703.90013914884219</v>
      </c>
    </row>
    <row r="175" spans="1:16">
      <c r="A175" s="446">
        <f t="shared" si="8"/>
        <v>2022</v>
      </c>
      <c r="B175" s="446">
        <f t="shared" si="9"/>
        <v>2</v>
      </c>
      <c r="C175" s="459">
        <v>125.34509113186381</v>
      </c>
      <c r="D175" s="459">
        <v>0</v>
      </c>
      <c r="E175" s="459">
        <v>672.29810352181164</v>
      </c>
      <c r="F175" s="459">
        <v>0</v>
      </c>
      <c r="G175" s="459">
        <v>0</v>
      </c>
      <c r="H175" s="459"/>
      <c r="I175" s="459"/>
      <c r="J175" s="459"/>
      <c r="K175" s="459"/>
      <c r="L175" s="459">
        <v>0</v>
      </c>
      <c r="M175" s="459">
        <v>0</v>
      </c>
      <c r="N175" s="459">
        <f t="shared" si="6"/>
        <v>797.64319465367544</v>
      </c>
      <c r="P175" s="451">
        <f t="shared" si="7"/>
        <v>627.29810352181164</v>
      </c>
    </row>
    <row r="176" spans="1:16">
      <c r="A176" s="446">
        <f t="shared" si="8"/>
        <v>2022</v>
      </c>
      <c r="B176" s="446">
        <f t="shared" si="9"/>
        <v>3</v>
      </c>
      <c r="C176" s="459">
        <v>118.94879239872488</v>
      </c>
      <c r="D176" s="459">
        <v>0</v>
      </c>
      <c r="E176" s="459">
        <v>619.85437946385957</v>
      </c>
      <c r="F176" s="459">
        <v>0</v>
      </c>
      <c r="G176" s="459">
        <v>0</v>
      </c>
      <c r="H176" s="459"/>
      <c r="I176" s="459"/>
      <c r="J176" s="459"/>
      <c r="K176" s="459"/>
      <c r="L176" s="459">
        <v>0</v>
      </c>
      <c r="M176" s="459">
        <v>0</v>
      </c>
      <c r="N176" s="459">
        <f t="shared" si="6"/>
        <v>738.80317186258446</v>
      </c>
      <c r="P176" s="451">
        <f t="shared" si="7"/>
        <v>574.85437946385957</v>
      </c>
    </row>
    <row r="177" spans="1:16">
      <c r="A177" s="446">
        <f t="shared" si="8"/>
        <v>2022</v>
      </c>
      <c r="B177" s="446">
        <f t="shared" si="9"/>
        <v>4</v>
      </c>
      <c r="C177" s="459">
        <v>141.25795630971336</v>
      </c>
      <c r="D177" s="459">
        <v>0</v>
      </c>
      <c r="E177" s="459">
        <v>623.20955228156038</v>
      </c>
      <c r="F177" s="459">
        <v>0</v>
      </c>
      <c r="G177" s="459">
        <v>0</v>
      </c>
      <c r="H177" s="459"/>
      <c r="I177" s="459"/>
      <c r="J177" s="459"/>
      <c r="K177" s="459"/>
      <c r="L177" s="459">
        <v>0</v>
      </c>
      <c r="M177" s="459">
        <v>0</v>
      </c>
      <c r="N177" s="459">
        <f t="shared" si="6"/>
        <v>764.46750859127371</v>
      </c>
      <c r="P177" s="451">
        <f t="shared" si="7"/>
        <v>578.20955228156038</v>
      </c>
    </row>
    <row r="178" spans="1:16">
      <c r="A178" s="446">
        <f t="shared" si="8"/>
        <v>2022</v>
      </c>
      <c r="B178" s="446">
        <f t="shared" si="9"/>
        <v>5</v>
      </c>
      <c r="C178" s="459">
        <v>150.15576509437321</v>
      </c>
      <c r="D178" s="459">
        <v>0</v>
      </c>
      <c r="E178" s="459">
        <v>718.16139686847225</v>
      </c>
      <c r="F178" s="459">
        <v>0</v>
      </c>
      <c r="G178" s="459">
        <v>0</v>
      </c>
      <c r="H178" s="459"/>
      <c r="I178" s="459"/>
      <c r="J178" s="459"/>
      <c r="K178" s="459"/>
      <c r="L178" s="459">
        <v>0</v>
      </c>
      <c r="M178" s="459">
        <v>0</v>
      </c>
      <c r="N178" s="459">
        <f t="shared" si="6"/>
        <v>868.31716196284549</v>
      </c>
      <c r="P178" s="451">
        <f t="shared" si="7"/>
        <v>673.16139686847225</v>
      </c>
    </row>
    <row r="179" spans="1:16">
      <c r="A179" s="446">
        <f t="shared" si="8"/>
        <v>2022</v>
      </c>
      <c r="B179" s="446">
        <f t="shared" si="9"/>
        <v>6</v>
      </c>
      <c r="C179" s="459">
        <v>154.5335869476107</v>
      </c>
      <c r="D179" s="459">
        <v>0</v>
      </c>
      <c r="E179" s="459">
        <v>782.14448879860231</v>
      </c>
      <c r="F179" s="459">
        <v>0</v>
      </c>
      <c r="G179" s="459">
        <v>0</v>
      </c>
      <c r="H179" s="459"/>
      <c r="I179" s="459"/>
      <c r="J179" s="459"/>
      <c r="K179" s="459"/>
      <c r="L179" s="459">
        <v>0</v>
      </c>
      <c r="M179" s="459">
        <v>0</v>
      </c>
      <c r="N179" s="459">
        <f t="shared" si="6"/>
        <v>936.67807574621304</v>
      </c>
      <c r="P179" s="451">
        <f t="shared" si="7"/>
        <v>737.14448879860231</v>
      </c>
    </row>
    <row r="180" spans="1:16">
      <c r="A180" s="446">
        <f t="shared" si="8"/>
        <v>2022</v>
      </c>
      <c r="B180" s="446">
        <f t="shared" si="9"/>
        <v>7</v>
      </c>
      <c r="C180" s="459">
        <v>167.39938565545916</v>
      </c>
      <c r="D180" s="459">
        <v>0</v>
      </c>
      <c r="E180" s="459">
        <v>770.64854791135235</v>
      </c>
      <c r="F180" s="459">
        <v>0</v>
      </c>
      <c r="G180" s="459">
        <v>0</v>
      </c>
      <c r="H180" s="459"/>
      <c r="I180" s="459"/>
      <c r="J180" s="459"/>
      <c r="K180" s="459"/>
      <c r="L180" s="459">
        <v>0</v>
      </c>
      <c r="M180" s="459">
        <v>0</v>
      </c>
      <c r="N180" s="459">
        <f t="shared" si="6"/>
        <v>938.04793356681148</v>
      </c>
      <c r="P180" s="451">
        <f>E180+G180-45</f>
        <v>725.64854791135235</v>
      </c>
    </row>
    <row r="181" spans="1:16" s="455" customFormat="1" ht="12">
      <c r="A181" s="446">
        <f t="shared" si="8"/>
        <v>2022</v>
      </c>
      <c r="B181" s="446">
        <f t="shared" si="9"/>
        <v>8</v>
      </c>
      <c r="C181" s="459">
        <v>163.29612653876555</v>
      </c>
      <c r="D181" s="459">
        <v>0</v>
      </c>
      <c r="E181" s="459">
        <v>806.08858328540111</v>
      </c>
      <c r="F181" s="459">
        <v>0</v>
      </c>
      <c r="G181" s="459">
        <v>0</v>
      </c>
      <c r="H181" s="459"/>
      <c r="I181" s="459"/>
      <c r="J181" s="459"/>
      <c r="K181" s="459"/>
      <c r="L181" s="459">
        <v>27</v>
      </c>
      <c r="M181" s="459">
        <v>19</v>
      </c>
      <c r="N181" s="459">
        <f t="shared" si="6"/>
        <v>1015.3847098241666</v>
      </c>
      <c r="O181" s="457"/>
      <c r="P181" s="451">
        <f t="shared" si="7"/>
        <v>761.08858328540111</v>
      </c>
    </row>
    <row r="182" spans="1:16">
      <c r="A182" s="446">
        <f t="shared" si="8"/>
        <v>2022</v>
      </c>
      <c r="B182" s="446">
        <f t="shared" si="9"/>
        <v>9</v>
      </c>
      <c r="C182" s="459">
        <v>150.64752877346132</v>
      </c>
      <c r="D182" s="459">
        <v>0</v>
      </c>
      <c r="E182" s="459">
        <v>692.28488209101886</v>
      </c>
      <c r="F182" s="459">
        <v>0</v>
      </c>
      <c r="G182" s="459">
        <v>0</v>
      </c>
      <c r="H182" s="459"/>
      <c r="I182" s="459"/>
      <c r="J182" s="459"/>
      <c r="K182" s="459"/>
      <c r="L182" s="459">
        <v>0</v>
      </c>
      <c r="M182" s="459">
        <v>0</v>
      </c>
      <c r="N182" s="459">
        <f t="shared" si="6"/>
        <v>842.93241086448018</v>
      </c>
      <c r="P182" s="451">
        <f t="shared" si="7"/>
        <v>647.28488209101886</v>
      </c>
    </row>
    <row r="183" spans="1:16">
      <c r="A183" s="446">
        <f t="shared" si="8"/>
        <v>2022</v>
      </c>
      <c r="B183" s="446">
        <f t="shared" si="9"/>
        <v>10</v>
      </c>
      <c r="C183" s="459">
        <v>144.03126769227723</v>
      </c>
      <c r="D183" s="459">
        <v>0</v>
      </c>
      <c r="E183" s="459">
        <v>720.84003597987646</v>
      </c>
      <c r="F183" s="459">
        <v>0</v>
      </c>
      <c r="G183" s="459">
        <v>0</v>
      </c>
      <c r="H183" s="459"/>
      <c r="I183" s="459"/>
      <c r="J183" s="459"/>
      <c r="K183" s="459"/>
      <c r="L183" s="459">
        <v>0</v>
      </c>
      <c r="M183" s="459">
        <v>0</v>
      </c>
      <c r="N183" s="459">
        <f t="shared" si="6"/>
        <v>864.87130367215366</v>
      </c>
      <c r="P183" s="451">
        <f t="shared" si="7"/>
        <v>675.84003597987646</v>
      </c>
    </row>
    <row r="184" spans="1:16">
      <c r="A184" s="446">
        <f t="shared" si="8"/>
        <v>2022</v>
      </c>
      <c r="B184" s="446">
        <f t="shared" si="9"/>
        <v>11</v>
      </c>
      <c r="C184" s="459">
        <v>127.78107984247383</v>
      </c>
      <c r="D184" s="459">
        <v>0</v>
      </c>
      <c r="E184" s="459">
        <v>588.11369845712056</v>
      </c>
      <c r="F184" s="459">
        <v>0</v>
      </c>
      <c r="G184" s="459">
        <v>0</v>
      </c>
      <c r="H184" s="459"/>
      <c r="I184" s="459"/>
      <c r="J184" s="459"/>
      <c r="K184" s="459"/>
      <c r="L184" s="459">
        <v>0</v>
      </c>
      <c r="M184" s="459">
        <v>0</v>
      </c>
      <c r="N184" s="459">
        <f t="shared" si="6"/>
        <v>715.89477829959435</v>
      </c>
      <c r="P184" s="451">
        <f t="shared" si="7"/>
        <v>543.11369845712056</v>
      </c>
    </row>
    <row r="185" spans="1:16">
      <c r="A185" s="446">
        <f t="shared" si="8"/>
        <v>2022</v>
      </c>
      <c r="B185" s="446">
        <f t="shared" si="9"/>
        <v>12</v>
      </c>
      <c r="C185" s="459">
        <v>121.79442649961534</v>
      </c>
      <c r="D185" s="459">
        <v>0</v>
      </c>
      <c r="E185" s="459">
        <v>554.84589507863177</v>
      </c>
      <c r="F185" s="459">
        <v>0</v>
      </c>
      <c r="G185" s="459">
        <v>0</v>
      </c>
      <c r="H185" s="459"/>
      <c r="I185" s="459"/>
      <c r="J185" s="459"/>
      <c r="K185" s="459"/>
      <c r="L185" s="459">
        <v>0</v>
      </c>
      <c r="M185" s="459">
        <v>0</v>
      </c>
      <c r="N185" s="459">
        <f t="shared" si="6"/>
        <v>676.64032157824715</v>
      </c>
      <c r="O185" s="454"/>
      <c r="P185" s="451">
        <f t="shared" si="7"/>
        <v>509.84589507863177</v>
      </c>
    </row>
    <row r="186" spans="1:16">
      <c r="A186" s="446">
        <f t="shared" si="8"/>
        <v>2023</v>
      </c>
      <c r="B186" s="446">
        <f t="shared" si="9"/>
        <v>1</v>
      </c>
      <c r="C186" s="459">
        <v>118.91191637484781</v>
      </c>
      <c r="D186" s="459">
        <v>0</v>
      </c>
      <c r="E186" s="459">
        <v>749.65015986054698</v>
      </c>
      <c r="F186" s="459">
        <v>0</v>
      </c>
      <c r="G186" s="459">
        <v>0</v>
      </c>
      <c r="H186" s="459"/>
      <c r="I186" s="459"/>
      <c r="J186" s="459"/>
      <c r="K186" s="459"/>
      <c r="L186" s="459">
        <v>27</v>
      </c>
      <c r="M186" s="459">
        <v>19</v>
      </c>
      <c r="N186" s="459">
        <f t="shared" si="6"/>
        <v>914.56207623539478</v>
      </c>
      <c r="P186" s="451">
        <f t="shared" si="7"/>
        <v>704.65015986054698</v>
      </c>
    </row>
    <row r="187" spans="1:16">
      <c r="A187" s="446">
        <f t="shared" si="8"/>
        <v>2023</v>
      </c>
      <c r="B187" s="446">
        <f t="shared" si="9"/>
        <v>2</v>
      </c>
      <c r="C187" s="459">
        <v>126.52654722433761</v>
      </c>
      <c r="D187" s="459">
        <v>0</v>
      </c>
      <c r="E187" s="459">
        <v>672.97035389157941</v>
      </c>
      <c r="F187" s="459">
        <v>0</v>
      </c>
      <c r="G187" s="459">
        <v>0</v>
      </c>
      <c r="H187" s="459"/>
      <c r="I187" s="459"/>
      <c r="J187" s="459"/>
      <c r="K187" s="459"/>
      <c r="L187" s="459">
        <v>0</v>
      </c>
      <c r="M187" s="459">
        <v>0</v>
      </c>
      <c r="N187" s="459">
        <f t="shared" si="6"/>
        <v>799.49690111591701</v>
      </c>
      <c r="P187" s="451">
        <f t="shared" si="7"/>
        <v>627.97035389157941</v>
      </c>
    </row>
    <row r="188" spans="1:16">
      <c r="A188" s="446">
        <f t="shared" si="8"/>
        <v>2023</v>
      </c>
      <c r="B188" s="446">
        <f t="shared" si="9"/>
        <v>3</v>
      </c>
      <c r="C188" s="459">
        <v>120.06995936428264</v>
      </c>
      <c r="D188" s="459">
        <v>0</v>
      </c>
      <c r="E188" s="459">
        <v>620.53801494389529</v>
      </c>
      <c r="F188" s="459">
        <v>0</v>
      </c>
      <c r="G188" s="459">
        <v>0</v>
      </c>
      <c r="H188" s="459"/>
      <c r="I188" s="459"/>
      <c r="J188" s="459"/>
      <c r="K188" s="459"/>
      <c r="L188" s="459">
        <v>0</v>
      </c>
      <c r="M188" s="459">
        <v>0</v>
      </c>
      <c r="N188" s="459">
        <f t="shared" si="6"/>
        <v>740.60797430817797</v>
      </c>
      <c r="P188" s="451">
        <f t="shared" si="7"/>
        <v>575.53801494389529</v>
      </c>
    </row>
    <row r="189" spans="1:16">
      <c r="A189" s="446">
        <f t="shared" si="8"/>
        <v>2023</v>
      </c>
      <c r="B189" s="446">
        <f t="shared" si="9"/>
        <v>4</v>
      </c>
      <c r="C189" s="459">
        <v>142.58940113603637</v>
      </c>
      <c r="D189" s="459">
        <v>0</v>
      </c>
      <c r="E189" s="459">
        <v>627.16238684446262</v>
      </c>
      <c r="F189" s="459">
        <v>0</v>
      </c>
      <c r="G189" s="459">
        <v>0</v>
      </c>
      <c r="H189" s="459"/>
      <c r="I189" s="459"/>
      <c r="J189" s="459"/>
      <c r="K189" s="459"/>
      <c r="L189" s="459">
        <v>0</v>
      </c>
      <c r="M189" s="459">
        <v>0</v>
      </c>
      <c r="N189" s="459">
        <f t="shared" si="6"/>
        <v>769.75178798049899</v>
      </c>
      <c r="P189" s="451">
        <f t="shared" si="7"/>
        <v>582.16238684446262</v>
      </c>
    </row>
    <row r="190" spans="1:16">
      <c r="A190" s="446">
        <f t="shared" si="8"/>
        <v>2023</v>
      </c>
      <c r="B190" s="446">
        <f t="shared" si="9"/>
        <v>5</v>
      </c>
      <c r="C190" s="459">
        <v>151.57107734863757</v>
      </c>
      <c r="D190" s="459">
        <v>0</v>
      </c>
      <c r="E190" s="459">
        <v>721.89674604733261</v>
      </c>
      <c r="F190" s="459">
        <v>0</v>
      </c>
      <c r="G190" s="459">
        <v>0</v>
      </c>
      <c r="H190" s="459"/>
      <c r="I190" s="459"/>
      <c r="J190" s="459"/>
      <c r="K190" s="459"/>
      <c r="L190" s="459">
        <v>0</v>
      </c>
      <c r="M190" s="459">
        <v>0</v>
      </c>
      <c r="N190" s="459">
        <f t="shared" si="6"/>
        <v>873.46782339597019</v>
      </c>
      <c r="P190" s="451">
        <f t="shared" si="7"/>
        <v>676.89674604733261</v>
      </c>
    </row>
    <row r="191" spans="1:16">
      <c r="A191" s="446">
        <f t="shared" si="8"/>
        <v>2023</v>
      </c>
      <c r="B191" s="446">
        <f t="shared" si="9"/>
        <v>6</v>
      </c>
      <c r="C191" s="459">
        <v>155.9901629183363</v>
      </c>
      <c r="D191" s="459">
        <v>0</v>
      </c>
      <c r="E191" s="459">
        <v>784.90471116919787</v>
      </c>
      <c r="F191" s="459">
        <v>0</v>
      </c>
      <c r="G191" s="459">
        <v>0</v>
      </c>
      <c r="H191" s="459"/>
      <c r="I191" s="459"/>
      <c r="J191" s="459"/>
      <c r="K191" s="459"/>
      <c r="L191" s="459">
        <v>0</v>
      </c>
      <c r="M191" s="459">
        <v>0</v>
      </c>
      <c r="N191" s="459">
        <f t="shared" si="6"/>
        <v>940.89487408753416</v>
      </c>
      <c r="P191" s="451">
        <f t="shared" si="7"/>
        <v>739.90471116919787</v>
      </c>
    </row>
    <row r="192" spans="1:16">
      <c r="A192" s="446">
        <f t="shared" si="8"/>
        <v>2023</v>
      </c>
      <c r="B192" s="446">
        <f t="shared" si="9"/>
        <v>7</v>
      </c>
      <c r="C192" s="459">
        <v>168.9771606239303</v>
      </c>
      <c r="D192" s="459">
        <v>0</v>
      </c>
      <c r="E192" s="459">
        <v>775.03881898097404</v>
      </c>
      <c r="F192" s="459">
        <v>0</v>
      </c>
      <c r="G192" s="459">
        <v>0</v>
      </c>
      <c r="H192" s="459"/>
      <c r="I192" s="459"/>
      <c r="J192" s="459"/>
      <c r="K192" s="459"/>
      <c r="L192" s="459">
        <v>0</v>
      </c>
      <c r="M192" s="459">
        <v>0</v>
      </c>
      <c r="N192" s="459">
        <f t="shared" si="6"/>
        <v>944.01597960490437</v>
      </c>
      <c r="P192" s="451">
        <f t="shared" si="7"/>
        <v>730.03881898097404</v>
      </c>
    </row>
    <row r="193" spans="1:16" s="455" customFormat="1" ht="12">
      <c r="A193" s="446">
        <f t="shared" si="8"/>
        <v>2023</v>
      </c>
      <c r="B193" s="446">
        <f t="shared" si="9"/>
        <v>8</v>
      </c>
      <c r="C193" s="459">
        <v>164.83529494045135</v>
      </c>
      <c r="D193" s="459">
        <v>0</v>
      </c>
      <c r="E193" s="459">
        <v>810.70416581498046</v>
      </c>
      <c r="F193" s="459">
        <v>0</v>
      </c>
      <c r="G193" s="459">
        <v>0</v>
      </c>
      <c r="H193" s="459"/>
      <c r="I193" s="459"/>
      <c r="J193" s="459"/>
      <c r="K193" s="459"/>
      <c r="L193" s="459">
        <v>27</v>
      </c>
      <c r="M193" s="459">
        <v>19</v>
      </c>
      <c r="N193" s="459">
        <f t="shared" si="6"/>
        <v>1021.5394607554318</v>
      </c>
      <c r="O193" s="457"/>
      <c r="P193" s="451">
        <f t="shared" si="7"/>
        <v>765.70416581498046</v>
      </c>
    </row>
    <row r="194" spans="1:16">
      <c r="A194" s="446">
        <f t="shared" si="8"/>
        <v>2023</v>
      </c>
      <c r="B194" s="446">
        <f t="shared" si="9"/>
        <v>9</v>
      </c>
      <c r="C194" s="459">
        <v>152.06747620880429</v>
      </c>
      <c r="D194" s="459">
        <v>0</v>
      </c>
      <c r="E194" s="459">
        <v>696.25692211718433</v>
      </c>
      <c r="F194" s="459">
        <v>0</v>
      </c>
      <c r="G194" s="459">
        <v>0</v>
      </c>
      <c r="H194" s="459"/>
      <c r="I194" s="459"/>
      <c r="J194" s="459"/>
      <c r="K194" s="459"/>
      <c r="L194" s="459">
        <v>0</v>
      </c>
      <c r="M194" s="459">
        <v>0</v>
      </c>
      <c r="N194" s="459">
        <f t="shared" si="6"/>
        <v>848.32439832598857</v>
      </c>
      <c r="P194" s="451">
        <f t="shared" si="7"/>
        <v>651.25692211718433</v>
      </c>
    </row>
    <row r="195" spans="1:16">
      <c r="A195" s="446">
        <f t="shared" si="8"/>
        <v>2023</v>
      </c>
      <c r="B195" s="446">
        <f t="shared" si="9"/>
        <v>10</v>
      </c>
      <c r="C195" s="459">
        <v>145.38885271762734</v>
      </c>
      <c r="D195" s="459">
        <v>0</v>
      </c>
      <c r="E195" s="459">
        <v>723.30920729220054</v>
      </c>
      <c r="F195" s="459">
        <v>0</v>
      </c>
      <c r="G195" s="459">
        <v>0</v>
      </c>
      <c r="H195" s="459"/>
      <c r="I195" s="459"/>
      <c r="J195" s="459"/>
      <c r="K195" s="459"/>
      <c r="L195" s="459">
        <v>0</v>
      </c>
      <c r="M195" s="459">
        <v>0</v>
      </c>
      <c r="N195" s="459">
        <f t="shared" si="6"/>
        <v>868.69806000982794</v>
      </c>
      <c r="P195" s="451">
        <f t="shared" si="7"/>
        <v>678.30920729220054</v>
      </c>
    </row>
    <row r="196" spans="1:16">
      <c r="A196" s="446">
        <f t="shared" si="8"/>
        <v>2023</v>
      </c>
      <c r="B196" s="446">
        <f t="shared" si="9"/>
        <v>11</v>
      </c>
      <c r="C196" s="459">
        <v>128.98549665624401</v>
      </c>
      <c r="D196" s="459">
        <v>0</v>
      </c>
      <c r="E196" s="459">
        <v>589.32811949505765</v>
      </c>
      <c r="F196" s="459">
        <v>0</v>
      </c>
      <c r="G196" s="459">
        <v>0</v>
      </c>
      <c r="H196" s="459"/>
      <c r="I196" s="459"/>
      <c r="J196" s="459"/>
      <c r="K196" s="459"/>
      <c r="L196" s="459">
        <v>0</v>
      </c>
      <c r="M196" s="459">
        <v>0</v>
      </c>
      <c r="N196" s="459">
        <f t="shared" si="6"/>
        <v>718.31361615130163</v>
      </c>
      <c r="P196" s="451">
        <f t="shared" si="7"/>
        <v>544.32811949505765</v>
      </c>
    </row>
    <row r="197" spans="1:16">
      <c r="A197" s="446">
        <f t="shared" si="8"/>
        <v>2023</v>
      </c>
      <c r="B197" s="446">
        <f t="shared" si="9"/>
        <v>12</v>
      </c>
      <c r="C197" s="459">
        <v>122.94241535117669</v>
      </c>
      <c r="D197" s="459">
        <v>0</v>
      </c>
      <c r="E197" s="459">
        <v>556.40569607577299</v>
      </c>
      <c r="F197" s="459">
        <v>0</v>
      </c>
      <c r="G197" s="459">
        <v>0</v>
      </c>
      <c r="H197" s="459"/>
      <c r="I197" s="459"/>
      <c r="J197" s="459"/>
      <c r="K197" s="459"/>
      <c r="L197" s="459">
        <v>0</v>
      </c>
      <c r="M197" s="459">
        <v>0</v>
      </c>
      <c r="N197" s="459">
        <f t="shared" si="6"/>
        <v>679.34811142694969</v>
      </c>
      <c r="O197" s="454"/>
      <c r="P197" s="451">
        <f t="shared" si="7"/>
        <v>511.40569607577299</v>
      </c>
    </row>
    <row r="198" spans="1:16">
      <c r="A198" s="446">
        <f t="shared" si="8"/>
        <v>2024</v>
      </c>
      <c r="B198" s="446">
        <f t="shared" si="9"/>
        <v>1</v>
      </c>
      <c r="C198" s="459">
        <v>120.03273576075424</v>
      </c>
      <c r="D198" s="459">
        <v>0</v>
      </c>
      <c r="E198" s="459">
        <v>750.400180572252</v>
      </c>
      <c r="F198" s="459">
        <v>0</v>
      </c>
      <c r="G198" s="459">
        <v>0</v>
      </c>
      <c r="H198" s="459"/>
      <c r="I198" s="459"/>
      <c r="J198" s="459"/>
      <c r="K198" s="459"/>
      <c r="L198" s="459">
        <v>27</v>
      </c>
      <c r="M198" s="459"/>
      <c r="N198" s="459">
        <f t="shared" si="6"/>
        <v>897.43291633300623</v>
      </c>
      <c r="P198" s="451">
        <f t="shared" si="7"/>
        <v>705.400180572252</v>
      </c>
    </row>
    <row r="199" spans="1:16">
      <c r="A199" s="446">
        <f t="shared" si="8"/>
        <v>2024</v>
      </c>
      <c r="B199" s="446">
        <f t="shared" si="9"/>
        <v>2</v>
      </c>
      <c r="C199" s="459">
        <v>127.7191392814179</v>
      </c>
      <c r="D199" s="459">
        <v>0</v>
      </c>
      <c r="E199" s="459">
        <v>675.63349958719778</v>
      </c>
      <c r="F199" s="459">
        <v>0</v>
      </c>
      <c r="G199" s="459">
        <v>0</v>
      </c>
      <c r="H199" s="459"/>
      <c r="I199" s="459"/>
      <c r="J199" s="459"/>
      <c r="K199" s="459"/>
      <c r="L199" s="459">
        <v>0</v>
      </c>
      <c r="M199" s="459"/>
      <c r="N199" s="459">
        <f t="shared" ref="N199:N262" si="10">SUM(C199:M199)</f>
        <v>803.35263886861571</v>
      </c>
      <c r="P199" s="451">
        <f t="shared" si="7"/>
        <v>630.63349958719778</v>
      </c>
    </row>
    <row r="200" spans="1:16">
      <c r="A200" s="446">
        <f t="shared" si="8"/>
        <v>2024</v>
      </c>
      <c r="B200" s="446">
        <f t="shared" si="9"/>
        <v>3</v>
      </c>
      <c r="C200" s="459">
        <v>121.20169403161617</v>
      </c>
      <c r="D200" s="459">
        <v>0</v>
      </c>
      <c r="E200" s="459">
        <v>621.22165042393112</v>
      </c>
      <c r="F200" s="459">
        <v>0</v>
      </c>
      <c r="G200" s="459">
        <v>0</v>
      </c>
      <c r="H200" s="459"/>
      <c r="I200" s="459"/>
      <c r="J200" s="459"/>
      <c r="K200" s="459"/>
      <c r="L200" s="459">
        <v>0</v>
      </c>
      <c r="M200" s="459"/>
      <c r="N200" s="459">
        <f t="shared" si="10"/>
        <v>742.42334445554729</v>
      </c>
      <c r="P200" s="451">
        <f t="shared" si="7"/>
        <v>576.22165042393112</v>
      </c>
    </row>
    <row r="201" spans="1:16">
      <c r="A201" s="446">
        <f t="shared" si="8"/>
        <v>2024</v>
      </c>
      <c r="B201" s="446">
        <f t="shared" si="9"/>
        <v>4</v>
      </c>
      <c r="C201" s="459">
        <v>143.93339566484593</v>
      </c>
      <c r="D201" s="459">
        <v>0</v>
      </c>
      <c r="E201" s="459">
        <v>631.1505657473424</v>
      </c>
      <c r="F201" s="459">
        <v>0</v>
      </c>
      <c r="G201" s="459">
        <v>0</v>
      </c>
      <c r="H201" s="459"/>
      <c r="I201" s="459"/>
      <c r="J201" s="459"/>
      <c r="K201" s="459"/>
      <c r="L201" s="459">
        <v>0</v>
      </c>
      <c r="M201" s="459"/>
      <c r="N201" s="459">
        <f t="shared" si="10"/>
        <v>775.08396141218827</v>
      </c>
      <c r="P201" s="451">
        <f t="shared" si="7"/>
        <v>586.1505657473424</v>
      </c>
    </row>
    <row r="202" spans="1:16">
      <c r="A202" s="446">
        <f t="shared" si="8"/>
        <v>2024</v>
      </c>
      <c r="B202" s="446">
        <f t="shared" si="9"/>
        <v>5</v>
      </c>
      <c r="C202" s="459">
        <v>152.99972980849319</v>
      </c>
      <c r="D202" s="459">
        <v>0</v>
      </c>
      <c r="E202" s="459">
        <v>725.65344562420137</v>
      </c>
      <c r="F202" s="459">
        <v>0</v>
      </c>
      <c r="G202" s="459">
        <v>0</v>
      </c>
      <c r="H202" s="459"/>
      <c r="I202" s="459"/>
      <c r="J202" s="459"/>
      <c r="K202" s="459"/>
      <c r="L202" s="459">
        <v>0</v>
      </c>
      <c r="M202" s="459"/>
      <c r="N202" s="459">
        <f t="shared" si="10"/>
        <v>878.65317543269452</v>
      </c>
      <c r="P202" s="451">
        <f t="shared" ref="P202:P265" si="11">E202+G202-45</f>
        <v>680.65344562420137</v>
      </c>
    </row>
    <row r="203" spans="1:16">
      <c r="A203" s="446">
        <f t="shared" si="8"/>
        <v>2024</v>
      </c>
      <c r="B203" s="446">
        <f t="shared" si="9"/>
        <v>6</v>
      </c>
      <c r="C203" s="459">
        <v>157.46046803105878</v>
      </c>
      <c r="D203" s="459">
        <v>0</v>
      </c>
      <c r="E203" s="459">
        <v>787.67878908414207</v>
      </c>
      <c r="F203" s="459">
        <v>0</v>
      </c>
      <c r="G203" s="459">
        <v>0</v>
      </c>
      <c r="H203" s="459"/>
      <c r="I203" s="459"/>
      <c r="J203" s="459"/>
      <c r="K203" s="459"/>
      <c r="L203" s="459">
        <v>0</v>
      </c>
      <c r="M203" s="459"/>
      <c r="N203" s="459">
        <f t="shared" si="10"/>
        <v>945.13925711520085</v>
      </c>
      <c r="P203" s="451">
        <f t="shared" si="11"/>
        <v>742.67878908414207</v>
      </c>
    </row>
    <row r="204" spans="1:16">
      <c r="A204" s="446">
        <f t="shared" si="8"/>
        <v>2024</v>
      </c>
      <c r="B204" s="446">
        <f t="shared" si="9"/>
        <v>7</v>
      </c>
      <c r="C204" s="459">
        <v>170.56958078084642</v>
      </c>
      <c r="D204" s="459">
        <v>0</v>
      </c>
      <c r="E204" s="459">
        <v>779.46162475337837</v>
      </c>
      <c r="F204" s="459">
        <v>0</v>
      </c>
      <c r="G204" s="459">
        <v>0</v>
      </c>
      <c r="H204" s="459"/>
      <c r="I204" s="459"/>
      <c r="J204" s="459"/>
      <c r="K204" s="459"/>
      <c r="L204" s="459">
        <v>0</v>
      </c>
      <c r="M204" s="459"/>
      <c r="N204" s="459">
        <f t="shared" si="10"/>
        <v>950.0312055342248</v>
      </c>
      <c r="P204" s="451">
        <f t="shared" si="11"/>
        <v>734.46162475337837</v>
      </c>
    </row>
    <row r="205" spans="1:16" s="455" customFormat="1" ht="12">
      <c r="A205" s="446">
        <f t="shared" si="8"/>
        <v>2024</v>
      </c>
      <c r="B205" s="446">
        <f t="shared" si="9"/>
        <v>8</v>
      </c>
      <c r="C205" s="459">
        <v>166.38897096959269</v>
      </c>
      <c r="D205" s="459">
        <v>0</v>
      </c>
      <c r="E205" s="459">
        <v>815.35127420175218</v>
      </c>
      <c r="F205" s="459">
        <v>0</v>
      </c>
      <c r="G205" s="459">
        <v>0</v>
      </c>
      <c r="H205" s="459"/>
      <c r="I205" s="459"/>
      <c r="J205" s="459"/>
      <c r="K205" s="459"/>
      <c r="L205" s="459">
        <v>27</v>
      </c>
      <c r="M205" s="459"/>
      <c r="N205" s="459">
        <f t="shared" si="10"/>
        <v>1008.7402451713449</v>
      </c>
      <c r="O205" s="457"/>
      <c r="P205" s="451">
        <f t="shared" si="11"/>
        <v>770.35127420175218</v>
      </c>
    </row>
    <row r="206" spans="1:16">
      <c r="A206" s="446">
        <f t="shared" si="8"/>
        <v>2024</v>
      </c>
      <c r="B206" s="446">
        <f t="shared" si="9"/>
        <v>9</v>
      </c>
      <c r="C206" s="459">
        <v>153.50080753922717</v>
      </c>
      <c r="D206" s="459">
        <v>0</v>
      </c>
      <c r="E206" s="459">
        <v>700.25728959617743</v>
      </c>
      <c r="F206" s="459">
        <v>0</v>
      </c>
      <c r="G206" s="459">
        <v>0</v>
      </c>
      <c r="H206" s="459"/>
      <c r="I206" s="459"/>
      <c r="J206" s="459"/>
      <c r="K206" s="459"/>
      <c r="L206" s="459">
        <v>0</v>
      </c>
      <c r="M206" s="459"/>
      <c r="N206" s="459">
        <f t="shared" si="10"/>
        <v>853.75809713540457</v>
      </c>
      <c r="P206" s="451">
        <f t="shared" si="11"/>
        <v>655.25728959617743</v>
      </c>
    </row>
    <row r="207" spans="1:16">
      <c r="A207" s="446">
        <f t="shared" ref="A207:A270" si="12">A195+1</f>
        <v>2024</v>
      </c>
      <c r="B207" s="446">
        <f t="shared" ref="B207:B270" si="13">B195</f>
        <v>10</v>
      </c>
      <c r="C207" s="459">
        <v>146.75923383323331</v>
      </c>
      <c r="D207" s="459">
        <v>0</v>
      </c>
      <c r="E207" s="459">
        <v>725.78930853789916</v>
      </c>
      <c r="F207" s="459">
        <v>0</v>
      </c>
      <c r="G207" s="459">
        <v>0</v>
      </c>
      <c r="H207" s="459"/>
      <c r="I207" s="459"/>
      <c r="J207" s="459"/>
      <c r="K207" s="459"/>
      <c r="L207" s="459">
        <v>0</v>
      </c>
      <c r="M207" s="459"/>
      <c r="N207" s="459">
        <f t="shared" si="10"/>
        <v>872.5485423711325</v>
      </c>
      <c r="P207" s="451">
        <f t="shared" si="11"/>
        <v>680.78930853789916</v>
      </c>
    </row>
    <row r="208" spans="1:16">
      <c r="A208" s="446">
        <f t="shared" si="12"/>
        <v>2024</v>
      </c>
      <c r="B208" s="446">
        <f t="shared" si="13"/>
        <v>11</v>
      </c>
      <c r="C208" s="459">
        <v>130.2012658538184</v>
      </c>
      <c r="D208" s="459">
        <v>0</v>
      </c>
      <c r="E208" s="459">
        <v>590.54651572460841</v>
      </c>
      <c r="F208" s="459">
        <v>0</v>
      </c>
      <c r="G208" s="459">
        <v>0</v>
      </c>
      <c r="H208" s="459"/>
      <c r="I208" s="459"/>
      <c r="J208" s="459"/>
      <c r="K208" s="459"/>
      <c r="L208" s="459">
        <v>0</v>
      </c>
      <c r="M208" s="459"/>
      <c r="N208" s="459">
        <f t="shared" si="10"/>
        <v>720.74778157842684</v>
      </c>
      <c r="P208" s="451">
        <f t="shared" si="11"/>
        <v>545.54651572460841</v>
      </c>
    </row>
    <row r="209" spans="1:16">
      <c r="A209" s="446">
        <f t="shared" si="12"/>
        <v>2024</v>
      </c>
      <c r="B209" s="446">
        <f t="shared" si="13"/>
        <v>12</v>
      </c>
      <c r="C209" s="459">
        <v>124.10122471761042</v>
      </c>
      <c r="D209" s="459">
        <v>0</v>
      </c>
      <c r="E209" s="459">
        <v>557.97142036783998</v>
      </c>
      <c r="F209" s="459">
        <v>0</v>
      </c>
      <c r="G209" s="459">
        <v>0</v>
      </c>
      <c r="H209" s="459"/>
      <c r="I209" s="459"/>
      <c r="J209" s="459"/>
      <c r="K209" s="459"/>
      <c r="L209" s="459">
        <v>0</v>
      </c>
      <c r="M209" s="459"/>
      <c r="N209" s="459">
        <f t="shared" si="10"/>
        <v>682.0726450854504</v>
      </c>
      <c r="O209" s="454"/>
      <c r="P209" s="451">
        <f t="shared" si="11"/>
        <v>512.97142036783998</v>
      </c>
    </row>
    <row r="210" spans="1:16">
      <c r="A210" s="446">
        <f t="shared" si="12"/>
        <v>2025</v>
      </c>
      <c r="B210" s="446">
        <f t="shared" si="13"/>
        <v>1</v>
      </c>
      <c r="C210" s="459">
        <v>121.1641195722802</v>
      </c>
      <c r="D210" s="459">
        <v>0</v>
      </c>
      <c r="E210" s="459">
        <v>751.15020128395679</v>
      </c>
      <c r="F210" s="459">
        <v>0</v>
      </c>
      <c r="G210" s="459">
        <v>0</v>
      </c>
      <c r="H210" s="459"/>
      <c r="I210" s="459"/>
      <c r="J210" s="459"/>
      <c r="K210" s="459"/>
      <c r="L210" s="459"/>
      <c r="M210" s="459"/>
      <c r="N210" s="459">
        <f t="shared" si="10"/>
        <v>872.31432085623703</v>
      </c>
      <c r="P210" s="451">
        <f t="shared" si="11"/>
        <v>706.15020128395679</v>
      </c>
    </row>
    <row r="211" spans="1:16">
      <c r="A211" s="446">
        <f t="shared" si="12"/>
        <v>2025</v>
      </c>
      <c r="B211" s="446">
        <f t="shared" si="13"/>
        <v>2</v>
      </c>
      <c r="C211" s="459">
        <v>128.92297226655486</v>
      </c>
      <c r="D211" s="459">
        <v>0</v>
      </c>
      <c r="E211" s="459">
        <v>674.31684353753428</v>
      </c>
      <c r="F211" s="459">
        <v>0</v>
      </c>
      <c r="G211" s="459">
        <v>0</v>
      </c>
      <c r="H211" s="459"/>
      <c r="I211" s="459"/>
      <c r="J211" s="459"/>
      <c r="K211" s="459"/>
      <c r="L211" s="459"/>
      <c r="M211" s="459"/>
      <c r="N211" s="459">
        <f t="shared" si="10"/>
        <v>803.23981580408918</v>
      </c>
      <c r="P211" s="451">
        <f t="shared" si="11"/>
        <v>629.31684353753428</v>
      </c>
    </row>
    <row r="212" spans="1:16">
      <c r="A212" s="446">
        <f t="shared" si="12"/>
        <v>2025</v>
      </c>
      <c r="B212" s="446">
        <f t="shared" si="13"/>
        <v>3</v>
      </c>
      <c r="C212" s="459">
        <v>122.3440960079421</v>
      </c>
      <c r="D212" s="459">
        <v>0</v>
      </c>
      <c r="E212" s="459">
        <v>621.90628100655795</v>
      </c>
      <c r="F212" s="459">
        <v>0</v>
      </c>
      <c r="G212" s="459">
        <v>0</v>
      </c>
      <c r="H212" s="459"/>
      <c r="I212" s="459"/>
      <c r="J212" s="459"/>
      <c r="K212" s="459"/>
      <c r="L212" s="459"/>
      <c r="M212" s="459"/>
      <c r="N212" s="459">
        <f t="shared" si="10"/>
        <v>744.25037701450003</v>
      </c>
      <c r="P212" s="451">
        <f t="shared" si="11"/>
        <v>576.90628100655795</v>
      </c>
    </row>
    <row r="213" spans="1:16">
      <c r="A213" s="446">
        <f t="shared" si="12"/>
        <v>2025</v>
      </c>
      <c r="B213" s="446">
        <f t="shared" si="13"/>
        <v>4</v>
      </c>
      <c r="C213" s="459">
        <v>145.29005818495833</v>
      </c>
      <c r="D213" s="459">
        <v>0</v>
      </c>
      <c r="E213" s="459">
        <v>635.17026798047243</v>
      </c>
      <c r="F213" s="459">
        <v>0</v>
      </c>
      <c r="G213" s="459">
        <v>0</v>
      </c>
      <c r="H213" s="459"/>
      <c r="I213" s="459"/>
      <c r="J213" s="459"/>
      <c r="K213" s="459"/>
      <c r="L213" s="459"/>
      <c r="M213" s="459"/>
      <c r="N213" s="459">
        <f t="shared" si="10"/>
        <v>780.46032616543073</v>
      </c>
      <c r="P213" s="451">
        <f t="shared" si="11"/>
        <v>590.17026798047243</v>
      </c>
    </row>
    <row r="214" spans="1:16">
      <c r="A214" s="446">
        <f t="shared" si="12"/>
        <v>2025</v>
      </c>
      <c r="B214" s="446">
        <f t="shared" si="13"/>
        <v>5</v>
      </c>
      <c r="C214" s="459">
        <v>154.4418482137439</v>
      </c>
      <c r="D214" s="459">
        <v>0</v>
      </c>
      <c r="E214" s="459">
        <v>729.43052512644203</v>
      </c>
      <c r="F214" s="459">
        <v>0</v>
      </c>
      <c r="G214" s="459">
        <v>0</v>
      </c>
      <c r="H214" s="459"/>
      <c r="I214" s="459"/>
      <c r="J214" s="459"/>
      <c r="K214" s="459"/>
      <c r="L214" s="459"/>
      <c r="M214" s="459"/>
      <c r="N214" s="459">
        <f t="shared" si="10"/>
        <v>883.87237334018596</v>
      </c>
      <c r="P214" s="451">
        <f t="shared" si="11"/>
        <v>684.43052512644203</v>
      </c>
    </row>
    <row r="215" spans="1:16">
      <c r="A215" s="446">
        <f t="shared" si="12"/>
        <v>2025</v>
      </c>
      <c r="B215" s="446">
        <f t="shared" si="13"/>
        <v>6</v>
      </c>
      <c r="C215" s="459">
        <v>158.94463169155156</v>
      </c>
      <c r="D215" s="459">
        <v>0</v>
      </c>
      <c r="E215" s="459">
        <v>790.46573286169576</v>
      </c>
      <c r="F215" s="459">
        <v>0</v>
      </c>
      <c r="G215" s="459">
        <v>0</v>
      </c>
      <c r="H215" s="459"/>
      <c r="I215" s="459"/>
      <c r="J215" s="459"/>
      <c r="K215" s="459"/>
      <c r="L215" s="459"/>
      <c r="M215" s="459"/>
      <c r="N215" s="459">
        <f t="shared" si="10"/>
        <v>949.41036455324729</v>
      </c>
      <c r="P215" s="451">
        <f t="shared" si="11"/>
        <v>745.46573286169576</v>
      </c>
    </row>
    <row r="216" spans="1:16">
      <c r="A216" s="446">
        <f t="shared" si="12"/>
        <v>2025</v>
      </c>
      <c r="B216" s="446">
        <f t="shared" si="13"/>
        <v>7</v>
      </c>
      <c r="C216" s="459">
        <v>172.17762247210385</v>
      </c>
      <c r="D216" s="459">
        <v>0</v>
      </c>
      <c r="E216" s="459">
        <v>783.91218071345031</v>
      </c>
      <c r="F216" s="459">
        <v>0</v>
      </c>
      <c r="G216" s="459">
        <v>0</v>
      </c>
      <c r="H216" s="459"/>
      <c r="I216" s="459"/>
      <c r="J216" s="459"/>
      <c r="K216" s="459"/>
      <c r="L216" s="459"/>
      <c r="M216" s="459"/>
      <c r="N216" s="459">
        <f t="shared" si="10"/>
        <v>956.08980318555416</v>
      </c>
      <c r="P216" s="451">
        <f t="shared" si="11"/>
        <v>738.91218071345031</v>
      </c>
    </row>
    <row r="217" spans="1:16" s="455" customFormat="1" ht="12">
      <c r="A217" s="446">
        <f t="shared" si="12"/>
        <v>2025</v>
      </c>
      <c r="B217" s="446">
        <f t="shared" si="13"/>
        <v>8</v>
      </c>
      <c r="C217" s="459">
        <v>167.95729136967651</v>
      </c>
      <c r="D217" s="459">
        <v>0</v>
      </c>
      <c r="E217" s="459">
        <v>820.02990844571627</v>
      </c>
      <c r="F217" s="459">
        <v>0</v>
      </c>
      <c r="G217" s="459">
        <v>0</v>
      </c>
      <c r="H217" s="459"/>
      <c r="I217" s="459"/>
      <c r="J217" s="459"/>
      <c r="K217" s="459"/>
      <c r="L217" s="459"/>
      <c r="M217" s="459"/>
      <c r="N217" s="459">
        <f t="shared" si="10"/>
        <v>987.98719981539284</v>
      </c>
      <c r="O217" s="457"/>
      <c r="P217" s="451">
        <f t="shared" si="11"/>
        <v>775.02990844571627</v>
      </c>
    </row>
    <row r="218" spans="1:16">
      <c r="A218" s="446">
        <f t="shared" si="12"/>
        <v>2025</v>
      </c>
      <c r="B218" s="446">
        <f t="shared" si="13"/>
        <v>9</v>
      </c>
      <c r="C218" s="459">
        <v>154.94764891633446</v>
      </c>
      <c r="D218" s="459">
        <v>0</v>
      </c>
      <c r="E218" s="459">
        <v>704.28421406219638</v>
      </c>
      <c r="F218" s="459">
        <v>0</v>
      </c>
      <c r="G218" s="459">
        <v>0</v>
      </c>
      <c r="H218" s="459"/>
      <c r="I218" s="459"/>
      <c r="J218" s="459"/>
      <c r="K218" s="459"/>
      <c r="L218" s="459"/>
      <c r="M218" s="459"/>
      <c r="N218" s="459">
        <f t="shared" si="10"/>
        <v>859.2318629785309</v>
      </c>
      <c r="P218" s="451">
        <f t="shared" si="11"/>
        <v>659.28421406219638</v>
      </c>
    </row>
    <row r="219" spans="1:16">
      <c r="A219" s="446">
        <f t="shared" si="12"/>
        <v>2025</v>
      </c>
      <c r="B219" s="446">
        <f t="shared" si="13"/>
        <v>10</v>
      </c>
      <c r="C219" s="459">
        <v>148.14253165027071</v>
      </c>
      <c r="D219" s="459">
        <v>0</v>
      </c>
      <c r="E219" s="459">
        <v>728.28232697758585</v>
      </c>
      <c r="F219" s="459">
        <v>0</v>
      </c>
      <c r="G219" s="459">
        <v>0</v>
      </c>
      <c r="H219" s="459"/>
      <c r="I219" s="459"/>
      <c r="J219" s="459"/>
      <c r="K219" s="459"/>
      <c r="L219" s="459"/>
      <c r="M219" s="459"/>
      <c r="N219" s="459">
        <f t="shared" si="10"/>
        <v>876.42485862785657</v>
      </c>
      <c r="P219" s="451">
        <f t="shared" si="11"/>
        <v>683.28232697758585</v>
      </c>
    </row>
    <row r="220" spans="1:16">
      <c r="A220" s="446">
        <f t="shared" si="12"/>
        <v>2025</v>
      </c>
      <c r="B220" s="446">
        <f t="shared" si="13"/>
        <v>11</v>
      </c>
      <c r="C220" s="459">
        <v>131.4284944385339</v>
      </c>
      <c r="D220" s="459">
        <v>0</v>
      </c>
      <c r="E220" s="459">
        <v>591.76888714577274</v>
      </c>
      <c r="F220" s="459">
        <v>0</v>
      </c>
      <c r="G220" s="459">
        <v>0</v>
      </c>
      <c r="H220" s="459"/>
      <c r="I220" s="459"/>
      <c r="J220" s="459"/>
      <c r="K220" s="459"/>
      <c r="L220" s="459"/>
      <c r="M220" s="459"/>
      <c r="N220" s="459">
        <f t="shared" si="10"/>
        <v>723.19738158430664</v>
      </c>
      <c r="P220" s="451">
        <f t="shared" si="11"/>
        <v>546.76888714577274</v>
      </c>
    </row>
    <row r="221" spans="1:16">
      <c r="A221" s="446">
        <f t="shared" si="12"/>
        <v>2025</v>
      </c>
      <c r="B221" s="446">
        <f t="shared" si="13"/>
        <v>12</v>
      </c>
      <c r="C221" s="459">
        <v>125.27095658905509</v>
      </c>
      <c r="D221" s="459">
        <v>0</v>
      </c>
      <c r="E221" s="459">
        <v>559.54701681811673</v>
      </c>
      <c r="F221" s="459">
        <v>0</v>
      </c>
      <c r="G221" s="459">
        <v>0</v>
      </c>
      <c r="H221" s="459"/>
      <c r="I221" s="459"/>
      <c r="J221" s="459"/>
      <c r="K221" s="459"/>
      <c r="L221" s="459"/>
      <c r="M221" s="459"/>
      <c r="N221" s="459">
        <f t="shared" si="10"/>
        <v>684.81797340717185</v>
      </c>
      <c r="O221" s="454"/>
      <c r="P221" s="451">
        <f t="shared" si="11"/>
        <v>514.54701681811673</v>
      </c>
    </row>
    <row r="222" spans="1:16">
      <c r="A222" s="446">
        <f t="shared" si="12"/>
        <v>2026</v>
      </c>
      <c r="B222" s="446">
        <f t="shared" si="13"/>
        <v>1</v>
      </c>
      <c r="C222" s="459">
        <v>122.30616738576258</v>
      </c>
      <c r="D222" s="459">
        <v>0</v>
      </c>
      <c r="E222" s="459">
        <v>751.9013216390797</v>
      </c>
      <c r="F222" s="459">
        <v>0</v>
      </c>
      <c r="G222" s="459">
        <v>0</v>
      </c>
      <c r="H222" s="459"/>
      <c r="I222" s="459"/>
      <c r="J222" s="459"/>
      <c r="K222" s="459"/>
      <c r="L222" s="459"/>
      <c r="M222" s="459"/>
      <c r="N222" s="459">
        <f t="shared" si="10"/>
        <v>874.20748902484229</v>
      </c>
      <c r="P222" s="451">
        <f t="shared" si="11"/>
        <v>706.9013216390797</v>
      </c>
    </row>
    <row r="223" spans="1:16">
      <c r="A223" s="446">
        <f t="shared" si="12"/>
        <v>2026</v>
      </c>
      <c r="B223" s="446">
        <f t="shared" si="13"/>
        <v>2</v>
      </c>
      <c r="C223" s="459">
        <v>130.13815213254506</v>
      </c>
      <c r="D223" s="459">
        <v>0</v>
      </c>
      <c r="E223" s="459">
        <v>674.99101529082145</v>
      </c>
      <c r="F223" s="459">
        <v>0</v>
      </c>
      <c r="G223" s="459">
        <v>0</v>
      </c>
      <c r="H223" s="459"/>
      <c r="I223" s="459"/>
      <c r="J223" s="459"/>
      <c r="K223" s="459"/>
      <c r="L223" s="459"/>
      <c r="M223" s="459"/>
      <c r="N223" s="459">
        <f t="shared" si="10"/>
        <v>805.12916742336654</v>
      </c>
      <c r="P223" s="451">
        <f t="shared" si="11"/>
        <v>629.99101529082145</v>
      </c>
    </row>
    <row r="224" spans="1:16">
      <c r="A224" s="446">
        <f t="shared" si="12"/>
        <v>2026</v>
      </c>
      <c r="B224" s="446">
        <f t="shared" si="13"/>
        <v>3</v>
      </c>
      <c r="C224" s="459">
        <v>123.49726583933754</v>
      </c>
      <c r="D224" s="459">
        <v>0</v>
      </c>
      <c r="E224" s="459">
        <v>622.5916880268494</v>
      </c>
      <c r="F224" s="459">
        <v>0</v>
      </c>
      <c r="G224" s="459">
        <v>0</v>
      </c>
      <c r="H224" s="459"/>
      <c r="I224" s="459"/>
      <c r="J224" s="459"/>
      <c r="K224" s="459"/>
      <c r="L224" s="459"/>
      <c r="M224" s="459"/>
      <c r="N224" s="459">
        <f t="shared" si="10"/>
        <v>746.0889538661869</v>
      </c>
      <c r="P224" s="451">
        <f t="shared" si="11"/>
        <v>577.5916880268494</v>
      </c>
    </row>
    <row r="225" spans="1:16">
      <c r="A225" s="446">
        <f t="shared" si="12"/>
        <v>2026</v>
      </c>
      <c r="B225" s="446">
        <f t="shared" si="13"/>
        <v>4</v>
      </c>
      <c r="C225" s="459">
        <v>146.65950810013618</v>
      </c>
      <c r="D225" s="459">
        <v>0</v>
      </c>
      <c r="E225" s="459">
        <v>639.18489267452776</v>
      </c>
      <c r="F225" s="459">
        <v>0</v>
      </c>
      <c r="G225" s="459">
        <v>0</v>
      </c>
      <c r="H225" s="459"/>
      <c r="I225" s="459"/>
      <c r="J225" s="459"/>
      <c r="K225" s="459"/>
      <c r="L225" s="459"/>
      <c r="M225" s="459"/>
      <c r="N225" s="459">
        <f t="shared" si="10"/>
        <v>785.84440077466388</v>
      </c>
      <c r="P225" s="451">
        <f t="shared" si="11"/>
        <v>594.18489267452776</v>
      </c>
    </row>
    <row r="226" spans="1:16">
      <c r="A226" s="446">
        <f t="shared" si="12"/>
        <v>2026</v>
      </c>
      <c r="B226" s="446">
        <f t="shared" si="13"/>
        <v>5</v>
      </c>
      <c r="C226" s="459">
        <v>155.89755948937</v>
      </c>
      <c r="D226" s="459">
        <v>0</v>
      </c>
      <c r="E226" s="459">
        <v>733.20600833976494</v>
      </c>
      <c r="F226" s="459">
        <v>0</v>
      </c>
      <c r="G226" s="459">
        <v>0</v>
      </c>
      <c r="H226" s="459"/>
      <c r="I226" s="459"/>
      <c r="J226" s="459"/>
      <c r="K226" s="459"/>
      <c r="L226" s="459"/>
      <c r="M226" s="459"/>
      <c r="N226" s="459">
        <f t="shared" si="10"/>
        <v>889.10356782913493</v>
      </c>
      <c r="P226" s="451">
        <f t="shared" si="11"/>
        <v>688.20600833976494</v>
      </c>
    </row>
    <row r="227" spans="1:16">
      <c r="A227" s="446">
        <f t="shared" si="12"/>
        <v>2026</v>
      </c>
      <c r="B227" s="446">
        <f t="shared" si="13"/>
        <v>6</v>
      </c>
      <c r="C227" s="459">
        <v>160.44278452531859</v>
      </c>
      <c r="D227" s="459">
        <v>0</v>
      </c>
      <c r="E227" s="459">
        <v>793.24949438112208</v>
      </c>
      <c r="F227" s="459">
        <v>0</v>
      </c>
      <c r="G227" s="459">
        <v>0</v>
      </c>
      <c r="H227" s="459"/>
      <c r="I227" s="459"/>
      <c r="J227" s="459"/>
      <c r="K227" s="459"/>
      <c r="L227" s="459"/>
      <c r="M227" s="459"/>
      <c r="N227" s="459">
        <f t="shared" si="10"/>
        <v>953.69227890644061</v>
      </c>
      <c r="P227" s="451">
        <f t="shared" si="11"/>
        <v>748.24949438112208</v>
      </c>
    </row>
    <row r="228" spans="1:16">
      <c r="A228" s="446">
        <f t="shared" si="12"/>
        <v>2026</v>
      </c>
      <c r="B228" s="446">
        <f t="shared" si="13"/>
        <v>7</v>
      </c>
      <c r="C228" s="459">
        <v>173.80082394782565</v>
      </c>
      <c r="D228" s="459">
        <v>0</v>
      </c>
      <c r="E228" s="459">
        <v>788.37060456123641</v>
      </c>
      <c r="F228" s="459">
        <v>0</v>
      </c>
      <c r="G228" s="459">
        <v>0</v>
      </c>
      <c r="H228" s="459"/>
      <c r="I228" s="459"/>
      <c r="J228" s="459"/>
      <c r="K228" s="459"/>
      <c r="L228" s="459"/>
      <c r="M228" s="459"/>
      <c r="N228" s="459">
        <f t="shared" si="10"/>
        <v>962.17142850906203</v>
      </c>
      <c r="P228" s="451">
        <f t="shared" si="11"/>
        <v>743.37060456123641</v>
      </c>
    </row>
    <row r="229" spans="1:16" s="455" customFormat="1" ht="12">
      <c r="A229" s="446">
        <f t="shared" si="12"/>
        <v>2026</v>
      </c>
      <c r="B229" s="446">
        <f t="shared" si="13"/>
        <v>8</v>
      </c>
      <c r="C229" s="459">
        <v>169.54039417308303</v>
      </c>
      <c r="D229" s="459">
        <v>0</v>
      </c>
      <c r="E229" s="459">
        <v>824.71517143439223</v>
      </c>
      <c r="F229" s="459">
        <v>0</v>
      </c>
      <c r="G229" s="459">
        <v>0</v>
      </c>
      <c r="H229" s="459"/>
      <c r="I229" s="459"/>
      <c r="J229" s="459"/>
      <c r="K229" s="459"/>
      <c r="L229" s="459"/>
      <c r="M229" s="459"/>
      <c r="N229" s="459">
        <f t="shared" si="10"/>
        <v>994.25556560747532</v>
      </c>
      <c r="O229" s="457"/>
      <c r="P229" s="451">
        <f t="shared" si="11"/>
        <v>779.71517143439223</v>
      </c>
    </row>
    <row r="230" spans="1:16">
      <c r="A230" s="446">
        <f t="shared" si="12"/>
        <v>2026</v>
      </c>
      <c r="B230" s="446">
        <f t="shared" si="13"/>
        <v>9</v>
      </c>
      <c r="C230" s="459">
        <v>156.40812768078891</v>
      </c>
      <c r="D230" s="459">
        <v>0</v>
      </c>
      <c r="E230" s="459">
        <v>708.31783743734593</v>
      </c>
      <c r="F230" s="459">
        <v>0</v>
      </c>
      <c r="G230" s="459">
        <v>0</v>
      </c>
      <c r="H230" s="459"/>
      <c r="I230" s="459"/>
      <c r="J230" s="459"/>
      <c r="K230" s="459"/>
      <c r="L230" s="459"/>
      <c r="M230" s="459"/>
      <c r="N230" s="459">
        <f t="shared" si="10"/>
        <v>864.72596511813481</v>
      </c>
      <c r="P230" s="451">
        <f t="shared" si="11"/>
        <v>663.31783743734593</v>
      </c>
    </row>
    <row r="231" spans="1:16">
      <c r="A231" s="446">
        <f t="shared" si="12"/>
        <v>2026</v>
      </c>
      <c r="B231" s="446">
        <f t="shared" si="13"/>
        <v>10</v>
      </c>
      <c r="C231" s="459">
        <v>149.53886791675109</v>
      </c>
      <c r="D231" s="459">
        <v>0</v>
      </c>
      <c r="E231" s="459">
        <v>730.7700549629858</v>
      </c>
      <c r="F231" s="459">
        <v>0</v>
      </c>
      <c r="G231" s="459">
        <v>0</v>
      </c>
      <c r="H231" s="459"/>
      <c r="I231" s="459"/>
      <c r="J231" s="459"/>
      <c r="K231" s="459"/>
      <c r="L231" s="459"/>
      <c r="M231" s="459"/>
      <c r="N231" s="459">
        <f t="shared" si="10"/>
        <v>880.30892287973688</v>
      </c>
      <c r="P231" s="451">
        <f t="shared" si="11"/>
        <v>685.7700549629858</v>
      </c>
    </row>
    <row r="232" spans="1:16">
      <c r="A232" s="446">
        <f t="shared" si="12"/>
        <v>2026</v>
      </c>
      <c r="B232" s="446">
        <f t="shared" si="13"/>
        <v>11</v>
      </c>
      <c r="C232" s="459">
        <v>132.66729042230091</v>
      </c>
      <c r="D232" s="459">
        <v>0</v>
      </c>
      <c r="E232" s="459">
        <v>592.98511221731576</v>
      </c>
      <c r="F232" s="459">
        <v>0</v>
      </c>
      <c r="G232" s="459">
        <v>0</v>
      </c>
      <c r="H232" s="459"/>
      <c r="I232" s="459"/>
      <c r="J232" s="459"/>
      <c r="K232" s="459"/>
      <c r="L232" s="459"/>
      <c r="M232" s="459"/>
      <c r="N232" s="459">
        <f t="shared" si="10"/>
        <v>725.65240263961664</v>
      </c>
      <c r="P232" s="451">
        <f t="shared" si="11"/>
        <v>547.98511221731576</v>
      </c>
    </row>
    <row r="233" spans="1:16">
      <c r="A233" s="446">
        <f t="shared" si="12"/>
        <v>2026</v>
      </c>
      <c r="B233" s="446">
        <f t="shared" si="13"/>
        <v>12</v>
      </c>
      <c r="C233" s="459">
        <v>126.45171391697039</v>
      </c>
      <c r="D233" s="459">
        <v>0</v>
      </c>
      <c r="E233" s="459">
        <v>561.11022299516833</v>
      </c>
      <c r="F233" s="459">
        <v>0</v>
      </c>
      <c r="G233" s="459">
        <v>0</v>
      </c>
      <c r="H233" s="459"/>
      <c r="I233" s="459"/>
      <c r="J233" s="459"/>
      <c r="K233" s="459"/>
      <c r="L233" s="459"/>
      <c r="M233" s="459"/>
      <c r="N233" s="459">
        <f t="shared" si="10"/>
        <v>687.56193691213866</v>
      </c>
      <c r="O233" s="454"/>
      <c r="P233" s="451">
        <f t="shared" si="11"/>
        <v>516.11022299516833</v>
      </c>
    </row>
    <row r="234" spans="1:16">
      <c r="A234" s="446">
        <f t="shared" si="12"/>
        <v>2027</v>
      </c>
      <c r="B234" s="446">
        <f t="shared" si="13"/>
        <v>1</v>
      </c>
      <c r="C234" s="459">
        <v>123.45897971610758</v>
      </c>
      <c r="D234" s="459">
        <v>0</v>
      </c>
      <c r="E234" s="459">
        <v>752.65319308471271</v>
      </c>
      <c r="F234" s="459">
        <v>0</v>
      </c>
      <c r="G234" s="459">
        <v>0</v>
      </c>
      <c r="H234" s="459"/>
      <c r="I234" s="459"/>
      <c r="J234" s="459"/>
      <c r="K234" s="459"/>
      <c r="L234" s="459"/>
      <c r="M234" s="459"/>
      <c r="N234" s="459">
        <f t="shared" si="10"/>
        <v>876.1121728008203</v>
      </c>
      <c r="P234" s="451">
        <f t="shared" si="11"/>
        <v>707.65319308471271</v>
      </c>
    </row>
    <row r="235" spans="1:16">
      <c r="A235" s="446">
        <f t="shared" si="12"/>
        <v>2027</v>
      </c>
      <c r="B235" s="446">
        <f t="shared" si="13"/>
        <v>2</v>
      </c>
      <c r="C235" s="459">
        <v>131.36478583085659</v>
      </c>
      <c r="D235" s="459">
        <v>0</v>
      </c>
      <c r="E235" s="459">
        <v>675.66586107080298</v>
      </c>
      <c r="F235" s="459">
        <v>0</v>
      </c>
      <c r="G235" s="459">
        <v>0</v>
      </c>
      <c r="H235" s="459"/>
      <c r="I235" s="459"/>
      <c r="J235" s="459"/>
      <c r="K235" s="459"/>
      <c r="L235" s="459"/>
      <c r="M235" s="459"/>
      <c r="N235" s="459">
        <f t="shared" si="10"/>
        <v>807.03064690165957</v>
      </c>
      <c r="P235" s="451">
        <f t="shared" si="11"/>
        <v>630.66586107080298</v>
      </c>
    </row>
    <row r="236" spans="1:16">
      <c r="A236" s="446">
        <f t="shared" si="12"/>
        <v>2027</v>
      </c>
      <c r="B236" s="446">
        <f t="shared" si="13"/>
        <v>3</v>
      </c>
      <c r="C236" s="459">
        <v>124.66130501958945</v>
      </c>
      <c r="D236" s="459">
        <v>0</v>
      </c>
      <c r="E236" s="459">
        <v>623.2778504387453</v>
      </c>
      <c r="F236" s="459">
        <v>0</v>
      </c>
      <c r="G236" s="459">
        <v>0</v>
      </c>
      <c r="H236" s="459"/>
      <c r="I236" s="459"/>
      <c r="J236" s="459"/>
      <c r="K236" s="459"/>
      <c r="L236" s="459"/>
      <c r="M236" s="459"/>
      <c r="N236" s="459">
        <f t="shared" si="10"/>
        <v>747.93915545833477</v>
      </c>
      <c r="P236" s="451">
        <f t="shared" si="11"/>
        <v>578.2778504387453</v>
      </c>
    </row>
    <row r="237" spans="1:16">
      <c r="A237" s="446">
        <f t="shared" si="12"/>
        <v>2027</v>
      </c>
      <c r="B237" s="446">
        <f t="shared" si="13"/>
        <v>4</v>
      </c>
      <c r="C237" s="459">
        <v>148.04186593959744</v>
      </c>
      <c r="D237" s="459">
        <v>0</v>
      </c>
      <c r="E237" s="459">
        <v>643.22489199999552</v>
      </c>
      <c r="F237" s="459">
        <v>0</v>
      </c>
      <c r="G237" s="459">
        <v>0</v>
      </c>
      <c r="H237" s="459"/>
      <c r="I237" s="459"/>
      <c r="J237" s="459"/>
      <c r="K237" s="459"/>
      <c r="L237" s="459"/>
      <c r="M237" s="459"/>
      <c r="N237" s="459">
        <f t="shared" si="10"/>
        <v>791.26675793959294</v>
      </c>
      <c r="P237" s="451">
        <f t="shared" si="11"/>
        <v>598.22489199999552</v>
      </c>
    </row>
    <row r="238" spans="1:16">
      <c r="A238" s="446">
        <f t="shared" si="12"/>
        <v>2027</v>
      </c>
      <c r="B238" s="446">
        <f t="shared" si="13"/>
        <v>5</v>
      </c>
      <c r="C238" s="459">
        <v>157.36699175669946</v>
      </c>
      <c r="D238" s="459">
        <v>0</v>
      </c>
      <c r="E238" s="459">
        <v>737.00103319962318</v>
      </c>
      <c r="F238" s="459">
        <v>0</v>
      </c>
      <c r="G238" s="459">
        <v>0</v>
      </c>
      <c r="H238" s="459"/>
      <c r="I238" s="459"/>
      <c r="J238" s="459"/>
      <c r="K238" s="459"/>
      <c r="L238" s="459"/>
      <c r="M238" s="459"/>
      <c r="N238" s="459">
        <f t="shared" si="10"/>
        <v>894.36802495632264</v>
      </c>
      <c r="P238" s="451">
        <f t="shared" si="11"/>
        <v>692.00103319962318</v>
      </c>
    </row>
    <row r="239" spans="1:16">
      <c r="A239" s="446">
        <f t="shared" si="12"/>
        <v>2027</v>
      </c>
      <c r="B239" s="446">
        <f t="shared" si="13"/>
        <v>6</v>
      </c>
      <c r="C239" s="459">
        <v>161.95505838909108</v>
      </c>
      <c r="D239" s="459">
        <v>0</v>
      </c>
      <c r="E239" s="459">
        <v>796.04305939724009</v>
      </c>
      <c r="F239" s="459">
        <v>0</v>
      </c>
      <c r="G239" s="459">
        <v>0</v>
      </c>
      <c r="H239" s="459"/>
      <c r="I239" s="459"/>
      <c r="J239" s="459"/>
      <c r="K239" s="459"/>
      <c r="L239" s="459"/>
      <c r="M239" s="459"/>
      <c r="N239" s="459">
        <f t="shared" si="10"/>
        <v>957.99811778633114</v>
      </c>
      <c r="P239" s="451">
        <f t="shared" si="11"/>
        <v>751.04305939724009</v>
      </c>
    </row>
    <row r="240" spans="1:16">
      <c r="A240" s="446">
        <f t="shared" si="12"/>
        <v>2027</v>
      </c>
      <c r="B240" s="446">
        <f t="shared" si="13"/>
        <v>7</v>
      </c>
      <c r="C240" s="459">
        <v>175.43932812661049</v>
      </c>
      <c r="D240" s="459">
        <v>0</v>
      </c>
      <c r="E240" s="459">
        <v>792.85438525854659</v>
      </c>
      <c r="F240" s="459">
        <v>0</v>
      </c>
      <c r="G240" s="459">
        <v>0</v>
      </c>
      <c r="H240" s="459"/>
      <c r="I240" s="459"/>
      <c r="J240" s="459"/>
      <c r="K240" s="459"/>
      <c r="L240" s="459"/>
      <c r="M240" s="459"/>
      <c r="N240" s="459">
        <f t="shared" si="10"/>
        <v>968.29371338515705</v>
      </c>
      <c r="P240" s="451">
        <f t="shared" si="11"/>
        <v>747.85438525854659</v>
      </c>
    </row>
    <row r="241" spans="1:16" s="455" customFormat="1" ht="12">
      <c r="A241" s="446">
        <f t="shared" si="12"/>
        <v>2027</v>
      </c>
      <c r="B241" s="446">
        <f t="shared" si="13"/>
        <v>8</v>
      </c>
      <c r="C241" s="459">
        <v>171.13841871323416</v>
      </c>
      <c r="D241" s="459">
        <v>0</v>
      </c>
      <c r="E241" s="459">
        <v>829.42720379946161</v>
      </c>
      <c r="F241" s="459">
        <v>0</v>
      </c>
      <c r="G241" s="459">
        <v>0</v>
      </c>
      <c r="H241" s="459"/>
      <c r="I241" s="459"/>
      <c r="J241" s="459"/>
      <c r="K241" s="459"/>
      <c r="L241" s="459"/>
      <c r="M241" s="459"/>
      <c r="N241" s="459">
        <f t="shared" si="10"/>
        <v>1000.5656225126958</v>
      </c>
      <c r="O241" s="457"/>
      <c r="P241" s="451">
        <f t="shared" si="11"/>
        <v>784.42720379946161</v>
      </c>
    </row>
    <row r="242" spans="1:16">
      <c r="A242" s="446">
        <f t="shared" si="12"/>
        <v>2027</v>
      </c>
      <c r="B242" s="446">
        <f t="shared" si="13"/>
        <v>9</v>
      </c>
      <c r="C242" s="459">
        <v>157.88237237351873</v>
      </c>
      <c r="D242" s="459">
        <v>0</v>
      </c>
      <c r="E242" s="459">
        <v>712.37456244846533</v>
      </c>
      <c r="F242" s="459">
        <v>0</v>
      </c>
      <c r="G242" s="459">
        <v>0</v>
      </c>
      <c r="H242" s="459"/>
      <c r="I242" s="459"/>
      <c r="J242" s="459"/>
      <c r="K242" s="459"/>
      <c r="L242" s="459"/>
      <c r="M242" s="459"/>
      <c r="N242" s="459">
        <f t="shared" si="10"/>
        <v>870.25693482198403</v>
      </c>
      <c r="P242" s="451">
        <f t="shared" si="11"/>
        <v>667.37456244846533</v>
      </c>
    </row>
    <row r="243" spans="1:16">
      <c r="A243" s="446">
        <f t="shared" si="12"/>
        <v>2027</v>
      </c>
      <c r="B243" s="446">
        <f t="shared" si="13"/>
        <v>10</v>
      </c>
      <c r="C243" s="459">
        <v>150.94836552823728</v>
      </c>
      <c r="D243" s="459">
        <v>0</v>
      </c>
      <c r="E243" s="459">
        <v>733.26628073873439</v>
      </c>
      <c r="F243" s="459">
        <v>0</v>
      </c>
      <c r="G243" s="459">
        <v>0</v>
      </c>
      <c r="H243" s="459"/>
      <c r="I243" s="459"/>
      <c r="J243" s="459"/>
      <c r="K243" s="459"/>
      <c r="L243" s="459"/>
      <c r="M243" s="459"/>
      <c r="N243" s="459">
        <f t="shared" si="10"/>
        <v>884.21464626697161</v>
      </c>
      <c r="P243" s="451">
        <f t="shared" si="11"/>
        <v>688.26628073873439</v>
      </c>
    </row>
    <row r="244" spans="1:16">
      <c r="A244" s="446">
        <f t="shared" si="12"/>
        <v>2027</v>
      </c>
      <c r="B244" s="446">
        <f t="shared" si="13"/>
        <v>11</v>
      </c>
      <c r="C244" s="459">
        <v>133.91776283510984</v>
      </c>
      <c r="D244" s="459">
        <v>0</v>
      </c>
      <c r="E244" s="459">
        <v>594.20383691913128</v>
      </c>
      <c r="F244" s="459">
        <v>0</v>
      </c>
      <c r="G244" s="459">
        <v>0</v>
      </c>
      <c r="H244" s="459"/>
      <c r="I244" s="459"/>
      <c r="J244" s="459"/>
      <c r="K244" s="459"/>
      <c r="L244" s="459"/>
      <c r="M244" s="459"/>
      <c r="N244" s="459">
        <f t="shared" si="10"/>
        <v>728.12159975424106</v>
      </c>
      <c r="P244" s="451">
        <f t="shared" si="11"/>
        <v>549.20383691913128</v>
      </c>
    </row>
    <row r="245" spans="1:16">
      <c r="A245" s="446">
        <f t="shared" si="12"/>
        <v>2027</v>
      </c>
      <c r="B245" s="446">
        <f t="shared" si="13"/>
        <v>12</v>
      </c>
      <c r="C245" s="459">
        <v>127.64360062319803</v>
      </c>
      <c r="D245" s="459">
        <v>0</v>
      </c>
      <c r="E245" s="459">
        <v>562.67779630041207</v>
      </c>
      <c r="F245" s="459">
        <v>0</v>
      </c>
      <c r="G245" s="459">
        <v>0</v>
      </c>
      <c r="H245" s="459"/>
      <c r="I245" s="459"/>
      <c r="J245" s="459"/>
      <c r="K245" s="459"/>
      <c r="L245" s="459"/>
      <c r="M245" s="459"/>
      <c r="N245" s="459">
        <f t="shared" si="10"/>
        <v>690.32139692361011</v>
      </c>
      <c r="O245" s="454"/>
      <c r="P245" s="451">
        <f t="shared" si="11"/>
        <v>517.67779630041207</v>
      </c>
    </row>
    <row r="246" spans="1:16">
      <c r="A246" s="446">
        <f t="shared" si="12"/>
        <v>2028</v>
      </c>
      <c r="B246" s="446">
        <f t="shared" si="13"/>
        <v>1</v>
      </c>
      <c r="C246" s="459">
        <v>124.62265802563745</v>
      </c>
      <c r="D246" s="459">
        <v>0</v>
      </c>
      <c r="E246" s="459">
        <v>753.40581637191656</v>
      </c>
      <c r="F246" s="459">
        <v>0</v>
      </c>
      <c r="G246" s="459">
        <v>0</v>
      </c>
      <c r="H246" s="459"/>
      <c r="I246" s="459"/>
      <c r="J246" s="459"/>
      <c r="K246" s="459"/>
      <c r="L246" s="459"/>
      <c r="M246" s="459"/>
      <c r="N246" s="459">
        <f t="shared" si="10"/>
        <v>878.02847439755396</v>
      </c>
      <c r="P246" s="451">
        <f t="shared" si="11"/>
        <v>708.40581637191656</v>
      </c>
    </row>
    <row r="247" spans="1:16">
      <c r="A247" s="446">
        <f t="shared" si="12"/>
        <v>2028</v>
      </c>
      <c r="B247" s="446">
        <f t="shared" si="13"/>
        <v>2</v>
      </c>
      <c r="C247" s="459">
        <v>132.60298132104219</v>
      </c>
      <c r="D247" s="459">
        <v>0</v>
      </c>
      <c r="E247" s="459">
        <v>676.34138155136043</v>
      </c>
      <c r="F247" s="459">
        <v>0</v>
      </c>
      <c r="G247" s="459">
        <v>0</v>
      </c>
      <c r="H247" s="459"/>
      <c r="I247" s="459"/>
      <c r="J247" s="459"/>
      <c r="K247" s="459"/>
      <c r="L247" s="459"/>
      <c r="M247" s="459"/>
      <c r="N247" s="459">
        <f t="shared" si="10"/>
        <v>808.94436287240262</v>
      </c>
      <c r="P247" s="451">
        <f t="shared" si="11"/>
        <v>631.34138155136043</v>
      </c>
    </row>
    <row r="248" spans="1:16">
      <c r="A248" s="446">
        <f t="shared" si="12"/>
        <v>2028</v>
      </c>
      <c r="B248" s="446">
        <f t="shared" si="13"/>
        <v>3</v>
      </c>
      <c r="C248" s="459">
        <v>125.83631599912738</v>
      </c>
      <c r="D248" s="459">
        <v>0</v>
      </c>
      <c r="E248" s="459">
        <v>623.96476907476767</v>
      </c>
      <c r="F248" s="459">
        <v>0</v>
      </c>
      <c r="G248" s="459">
        <v>0</v>
      </c>
      <c r="H248" s="459"/>
      <c r="I248" s="459"/>
      <c r="J248" s="459"/>
      <c r="K248" s="459"/>
      <c r="L248" s="459"/>
      <c r="M248" s="459"/>
      <c r="N248" s="459">
        <f t="shared" si="10"/>
        <v>749.80108507389502</v>
      </c>
      <c r="P248" s="451">
        <f t="shared" si="11"/>
        <v>578.96476907476767</v>
      </c>
    </row>
    <row r="249" spans="1:16">
      <c r="A249" s="446">
        <f t="shared" si="12"/>
        <v>2028</v>
      </c>
      <c r="B249" s="446">
        <f t="shared" si="13"/>
        <v>4</v>
      </c>
      <c r="C249" s="459">
        <v>149.43725336862346</v>
      </c>
      <c r="D249" s="459">
        <v>0</v>
      </c>
      <c r="E249" s="459">
        <v>647.29042633847257</v>
      </c>
      <c r="F249" s="459">
        <v>0</v>
      </c>
      <c r="G249" s="459">
        <v>0</v>
      </c>
      <c r="H249" s="459"/>
      <c r="I249" s="459"/>
      <c r="J249" s="459"/>
      <c r="K249" s="459"/>
      <c r="L249" s="459"/>
      <c r="M249" s="459"/>
      <c r="N249" s="459">
        <f t="shared" si="10"/>
        <v>796.72767970709606</v>
      </c>
      <c r="P249" s="451">
        <f t="shared" si="11"/>
        <v>602.29042633847257</v>
      </c>
    </row>
    <row r="250" spans="1:16">
      <c r="A250" s="446">
        <f t="shared" si="12"/>
        <v>2028</v>
      </c>
      <c r="B250" s="446">
        <f t="shared" si="13"/>
        <v>5</v>
      </c>
      <c r="C250" s="459">
        <v>158.85027434468395</v>
      </c>
      <c r="D250" s="459">
        <v>0</v>
      </c>
      <c r="E250" s="459">
        <v>740.81570085226144</v>
      </c>
      <c r="F250" s="459">
        <v>0</v>
      </c>
      <c r="G250" s="459">
        <v>0</v>
      </c>
      <c r="H250" s="459"/>
      <c r="I250" s="459"/>
      <c r="J250" s="459"/>
      <c r="K250" s="459"/>
      <c r="L250" s="459"/>
      <c r="M250" s="459"/>
      <c r="N250" s="459">
        <f t="shared" si="10"/>
        <v>899.6659751969454</v>
      </c>
      <c r="P250" s="451">
        <f t="shared" si="11"/>
        <v>695.81570085226144</v>
      </c>
    </row>
    <row r="251" spans="1:16">
      <c r="A251" s="446">
        <f t="shared" si="12"/>
        <v>2028</v>
      </c>
      <c r="B251" s="446">
        <f t="shared" si="13"/>
        <v>6</v>
      </c>
      <c r="C251" s="459">
        <v>163.48158638243268</v>
      </c>
      <c r="D251" s="459">
        <v>0</v>
      </c>
      <c r="E251" s="459">
        <v>798.84646243475572</v>
      </c>
      <c r="F251" s="459">
        <v>0</v>
      </c>
      <c r="G251" s="459">
        <v>0</v>
      </c>
      <c r="H251" s="459"/>
      <c r="I251" s="459"/>
      <c r="J251" s="459"/>
      <c r="K251" s="459"/>
      <c r="L251" s="459"/>
      <c r="M251" s="459"/>
      <c r="N251" s="459">
        <f t="shared" si="10"/>
        <v>962.32804881718835</v>
      </c>
      <c r="P251" s="451">
        <f t="shared" si="11"/>
        <v>753.84646243475572</v>
      </c>
    </row>
    <row r="252" spans="1:16">
      <c r="A252" s="446">
        <f t="shared" si="12"/>
        <v>2028</v>
      </c>
      <c r="B252" s="446">
        <f t="shared" si="13"/>
        <v>7</v>
      </c>
      <c r="C252" s="459">
        <v>177.09327927441947</v>
      </c>
      <c r="D252" s="459">
        <v>0</v>
      </c>
      <c r="E252" s="459">
        <v>797.36366701998236</v>
      </c>
      <c r="F252" s="459">
        <v>0</v>
      </c>
      <c r="G252" s="459">
        <v>0</v>
      </c>
      <c r="H252" s="459"/>
      <c r="I252" s="459"/>
      <c r="J252" s="459"/>
      <c r="K252" s="459"/>
      <c r="L252" s="459"/>
      <c r="M252" s="459"/>
      <c r="N252" s="459">
        <f t="shared" si="10"/>
        <v>974.45694629440186</v>
      </c>
      <c r="P252" s="451">
        <f t="shared" si="11"/>
        <v>752.36366701998236</v>
      </c>
    </row>
    <row r="253" spans="1:16" s="455" customFormat="1" ht="12">
      <c r="A253" s="446">
        <f t="shared" si="12"/>
        <v>2028</v>
      </c>
      <c r="B253" s="446">
        <f t="shared" si="13"/>
        <v>8</v>
      </c>
      <c r="C253" s="459">
        <v>172.75150563685671</v>
      </c>
      <c r="D253" s="459">
        <v>0</v>
      </c>
      <c r="E253" s="459">
        <v>834.16615848847812</v>
      </c>
      <c r="F253" s="459">
        <v>0</v>
      </c>
      <c r="G253" s="459">
        <v>0</v>
      </c>
      <c r="H253" s="459"/>
      <c r="I253" s="459"/>
      <c r="J253" s="459"/>
      <c r="K253" s="459"/>
      <c r="L253" s="459"/>
      <c r="M253" s="459"/>
      <c r="N253" s="459">
        <f t="shared" si="10"/>
        <v>1006.9176641253348</v>
      </c>
      <c r="O253" s="457"/>
      <c r="P253" s="451">
        <f t="shared" si="11"/>
        <v>789.16615848847812</v>
      </c>
    </row>
    <row r="254" spans="1:16">
      <c r="A254" s="446">
        <f t="shared" si="12"/>
        <v>2028</v>
      </c>
      <c r="B254" s="446">
        <f t="shared" si="13"/>
        <v>9</v>
      </c>
      <c r="C254" s="459">
        <v>159.37051274703106</v>
      </c>
      <c r="D254" s="459">
        <v>0</v>
      </c>
      <c r="E254" s="459">
        <v>716.45452140478005</v>
      </c>
      <c r="F254" s="459">
        <v>0</v>
      </c>
      <c r="G254" s="459">
        <v>0</v>
      </c>
      <c r="H254" s="459"/>
      <c r="I254" s="459"/>
      <c r="J254" s="459"/>
      <c r="K254" s="459"/>
      <c r="L254" s="459"/>
      <c r="M254" s="459"/>
      <c r="N254" s="459">
        <f t="shared" si="10"/>
        <v>875.82503415181111</v>
      </c>
      <c r="P254" s="451">
        <f t="shared" si="11"/>
        <v>671.45452140478005</v>
      </c>
    </row>
    <row r="255" spans="1:16">
      <c r="A255" s="446">
        <f t="shared" si="12"/>
        <v>2028</v>
      </c>
      <c r="B255" s="446">
        <f t="shared" si="13"/>
        <v>10</v>
      </c>
      <c r="C255" s="459">
        <v>152.37114853865998</v>
      </c>
      <c r="D255" s="459">
        <v>0</v>
      </c>
      <c r="E255" s="459">
        <v>735.77103333229832</v>
      </c>
      <c r="F255" s="459">
        <v>0</v>
      </c>
      <c r="G255" s="459">
        <v>0</v>
      </c>
      <c r="H255" s="459"/>
      <c r="I255" s="459"/>
      <c r="J255" s="459"/>
      <c r="K255" s="459"/>
      <c r="L255" s="459"/>
      <c r="M255" s="459"/>
      <c r="N255" s="459">
        <f t="shared" si="10"/>
        <v>888.14218187095832</v>
      </c>
      <c r="P255" s="451">
        <f t="shared" si="11"/>
        <v>690.77103333229832</v>
      </c>
    </row>
    <row r="256" spans="1:16">
      <c r="A256" s="446">
        <f t="shared" si="12"/>
        <v>2028</v>
      </c>
      <c r="B256" s="446">
        <f t="shared" si="13"/>
        <v>11</v>
      </c>
      <c r="C256" s="459">
        <v>135.18002173462713</v>
      </c>
      <c r="D256" s="459">
        <v>0</v>
      </c>
      <c r="E256" s="459">
        <v>595.42506638855093</v>
      </c>
      <c r="F256" s="459">
        <v>0</v>
      </c>
      <c r="G256" s="459">
        <v>0</v>
      </c>
      <c r="H256" s="459"/>
      <c r="I256" s="459"/>
      <c r="J256" s="459"/>
      <c r="K256" s="459"/>
      <c r="L256" s="459"/>
      <c r="M256" s="459"/>
      <c r="N256" s="459">
        <f t="shared" si="10"/>
        <v>730.60508812317812</v>
      </c>
      <c r="P256" s="451">
        <f t="shared" si="11"/>
        <v>550.42506638855093</v>
      </c>
    </row>
    <row r="257" spans="1:16">
      <c r="A257" s="446">
        <f t="shared" si="12"/>
        <v>2028</v>
      </c>
      <c r="B257" s="446">
        <f t="shared" si="13"/>
        <v>12</v>
      </c>
      <c r="C257" s="459">
        <v>128.84672160910822</v>
      </c>
      <c r="D257" s="459">
        <v>0</v>
      </c>
      <c r="E257" s="459">
        <v>564.24974893429146</v>
      </c>
      <c r="F257" s="459">
        <v>0</v>
      </c>
      <c r="G257" s="459">
        <v>0</v>
      </c>
      <c r="H257" s="459"/>
      <c r="I257" s="459"/>
      <c r="J257" s="459"/>
      <c r="K257" s="459"/>
      <c r="L257" s="459"/>
      <c r="M257" s="459"/>
      <c r="N257" s="459">
        <f t="shared" si="10"/>
        <v>693.09647054339962</v>
      </c>
      <c r="O257" s="454"/>
      <c r="P257" s="451">
        <f t="shared" si="11"/>
        <v>519.24974893429146</v>
      </c>
    </row>
    <row r="258" spans="1:16">
      <c r="A258" s="446">
        <f t="shared" si="12"/>
        <v>2029</v>
      </c>
      <c r="B258" s="446">
        <f t="shared" si="13"/>
        <v>1</v>
      </c>
      <c r="C258" s="459">
        <v>125.79730473302048</v>
      </c>
      <c r="D258" s="459">
        <v>0</v>
      </c>
      <c r="E258" s="459">
        <v>754.15919225250286</v>
      </c>
      <c r="F258" s="459">
        <v>0</v>
      </c>
      <c r="G258" s="459">
        <v>0</v>
      </c>
      <c r="H258" s="459"/>
      <c r="I258" s="459"/>
      <c r="J258" s="459"/>
      <c r="K258" s="459"/>
      <c r="L258" s="459"/>
      <c r="M258" s="459"/>
      <c r="N258" s="459">
        <f t="shared" si="10"/>
        <v>879.95649698552336</v>
      </c>
      <c r="P258" s="451">
        <f t="shared" si="11"/>
        <v>709.15919225250286</v>
      </c>
    </row>
    <row r="259" spans="1:16">
      <c r="A259" s="446">
        <f t="shared" si="12"/>
        <v>2029</v>
      </c>
      <c r="B259" s="446">
        <f t="shared" si="13"/>
        <v>2</v>
      </c>
      <c r="C259" s="459">
        <v>133.85284758024113</v>
      </c>
      <c r="D259" s="459">
        <v>0</v>
      </c>
      <c r="E259" s="459">
        <v>677.0175774070492</v>
      </c>
      <c r="F259" s="459">
        <v>0</v>
      </c>
      <c r="G259" s="459">
        <v>0</v>
      </c>
      <c r="H259" s="459"/>
      <c r="I259" s="459"/>
      <c r="J259" s="459"/>
      <c r="K259" s="459"/>
      <c r="L259" s="459"/>
      <c r="M259" s="459"/>
      <c r="N259" s="459">
        <f t="shared" si="10"/>
        <v>810.87042498729033</v>
      </c>
      <c r="P259" s="451">
        <f t="shared" si="11"/>
        <v>632.0175774070492</v>
      </c>
    </row>
    <row r="260" spans="1:16">
      <c r="A260" s="446">
        <f t="shared" si="12"/>
        <v>2029</v>
      </c>
      <c r="B260" s="446">
        <f t="shared" si="13"/>
        <v>3</v>
      </c>
      <c r="C260" s="459">
        <v>127.02240219404041</v>
      </c>
      <c r="D260" s="459">
        <v>0</v>
      </c>
      <c r="E260" s="459">
        <v>624.65244476835642</v>
      </c>
      <c r="F260" s="459">
        <v>0</v>
      </c>
      <c r="G260" s="459">
        <v>0</v>
      </c>
      <c r="H260" s="459"/>
      <c r="I260" s="459"/>
      <c r="J260" s="459"/>
      <c r="K260" s="459"/>
      <c r="L260" s="459"/>
      <c r="M260" s="459"/>
      <c r="N260" s="459">
        <f t="shared" si="10"/>
        <v>751.67484696239683</v>
      </c>
      <c r="P260" s="451">
        <f t="shared" si="11"/>
        <v>579.65244476835642</v>
      </c>
    </row>
    <row r="261" spans="1:16">
      <c r="A261" s="446">
        <f t="shared" si="12"/>
        <v>2029</v>
      </c>
      <c r="B261" s="446">
        <f t="shared" si="13"/>
        <v>4</v>
      </c>
      <c r="C261" s="459">
        <v>150.84579319926726</v>
      </c>
      <c r="D261" s="459">
        <v>0</v>
      </c>
      <c r="E261" s="459">
        <v>651.3816570852556</v>
      </c>
      <c r="F261" s="459">
        <v>0</v>
      </c>
      <c r="G261" s="459">
        <v>0</v>
      </c>
      <c r="H261" s="459"/>
      <c r="I261" s="459"/>
      <c r="J261" s="459"/>
      <c r="K261" s="459"/>
      <c r="L261" s="459"/>
      <c r="M261" s="459"/>
      <c r="N261" s="459">
        <f t="shared" si="10"/>
        <v>802.22745028452289</v>
      </c>
      <c r="P261" s="451">
        <f t="shared" si="11"/>
        <v>606.3816570852556</v>
      </c>
    </row>
    <row r="262" spans="1:16">
      <c r="A262" s="446">
        <f t="shared" si="12"/>
        <v>2029</v>
      </c>
      <c r="B262" s="446">
        <f t="shared" si="13"/>
        <v>5</v>
      </c>
      <c r="C262" s="459">
        <v>160.34753780128173</v>
      </c>
      <c r="D262" s="459">
        <v>0</v>
      </c>
      <c r="E262" s="459">
        <v>744.65011296745081</v>
      </c>
      <c r="F262" s="459">
        <v>0</v>
      </c>
      <c r="G262" s="459">
        <v>0</v>
      </c>
      <c r="H262" s="459"/>
      <c r="I262" s="459"/>
      <c r="J262" s="459"/>
      <c r="K262" s="459"/>
      <c r="L262" s="459"/>
      <c r="M262" s="459"/>
      <c r="N262" s="459">
        <f t="shared" si="10"/>
        <v>904.99765076873257</v>
      </c>
      <c r="P262" s="451">
        <f t="shared" si="11"/>
        <v>699.65011296745081</v>
      </c>
    </row>
    <row r="263" spans="1:16">
      <c r="A263" s="446">
        <f t="shared" si="12"/>
        <v>2029</v>
      </c>
      <c r="B263" s="446">
        <f t="shared" si="13"/>
        <v>6</v>
      </c>
      <c r="C263" s="459">
        <v>165.02250285945385</v>
      </c>
      <c r="D263" s="459">
        <v>0</v>
      </c>
      <c r="E263" s="459">
        <v>801.65973813995936</v>
      </c>
      <c r="F263" s="459">
        <v>0</v>
      </c>
      <c r="G263" s="459">
        <v>0</v>
      </c>
      <c r="H263" s="459"/>
      <c r="I263" s="459"/>
      <c r="J263" s="459"/>
      <c r="K263" s="459"/>
      <c r="L263" s="459"/>
      <c r="M263" s="459"/>
      <c r="N263" s="459">
        <f t="shared" ref="N263:N326" si="14">SUM(C263:M263)</f>
        <v>966.68224099941324</v>
      </c>
      <c r="P263" s="451">
        <f t="shared" si="11"/>
        <v>756.65973813995936</v>
      </c>
    </row>
    <row r="264" spans="1:16">
      <c r="A264" s="446">
        <f t="shared" si="12"/>
        <v>2029</v>
      </c>
      <c r="B264" s="446">
        <f t="shared" si="13"/>
        <v>7</v>
      </c>
      <c r="C264" s="459">
        <v>178.76282301727855</v>
      </c>
      <c r="D264" s="459">
        <v>0</v>
      </c>
      <c r="E264" s="459">
        <v>801.89859488035131</v>
      </c>
      <c r="F264" s="459">
        <v>0</v>
      </c>
      <c r="G264" s="459">
        <v>0</v>
      </c>
      <c r="H264" s="459"/>
      <c r="I264" s="459"/>
      <c r="J264" s="459"/>
      <c r="K264" s="459"/>
      <c r="L264" s="459"/>
      <c r="M264" s="459"/>
      <c r="N264" s="459">
        <f t="shared" si="14"/>
        <v>980.66141789762992</v>
      </c>
      <c r="P264" s="451">
        <f t="shared" si="11"/>
        <v>756.89859488035131</v>
      </c>
    </row>
    <row r="265" spans="1:16" s="455" customFormat="1" ht="12">
      <c r="A265" s="446">
        <f t="shared" si="12"/>
        <v>2029</v>
      </c>
      <c r="B265" s="446">
        <f t="shared" si="13"/>
        <v>8</v>
      </c>
      <c r="C265" s="459">
        <v>174.37979691636099</v>
      </c>
      <c r="D265" s="459">
        <v>0</v>
      </c>
      <c r="E265" s="459">
        <v>838.9321893228655</v>
      </c>
      <c r="F265" s="459">
        <v>0</v>
      </c>
      <c r="G265" s="459">
        <v>0</v>
      </c>
      <c r="H265" s="459"/>
      <c r="I265" s="459"/>
      <c r="J265" s="459"/>
      <c r="K265" s="459"/>
      <c r="L265" s="459"/>
      <c r="M265" s="459"/>
      <c r="N265" s="459">
        <f t="shared" si="14"/>
        <v>1013.3119862392265</v>
      </c>
      <c r="O265" s="457"/>
      <c r="P265" s="451">
        <f t="shared" si="11"/>
        <v>793.9321893228655</v>
      </c>
    </row>
    <row r="266" spans="1:16">
      <c r="A266" s="446">
        <f t="shared" si="12"/>
        <v>2029</v>
      </c>
      <c r="B266" s="446">
        <f t="shared" si="13"/>
        <v>9</v>
      </c>
      <c r="C266" s="459">
        <v>160.8726797768318</v>
      </c>
      <c r="D266" s="459">
        <v>0</v>
      </c>
      <c r="E266" s="459">
        <v>720.55784737328565</v>
      </c>
      <c r="F266" s="459">
        <v>0</v>
      </c>
      <c r="G266" s="459">
        <v>0</v>
      </c>
      <c r="H266" s="459"/>
      <c r="I266" s="459"/>
      <c r="J266" s="459"/>
      <c r="K266" s="459"/>
      <c r="L266" s="459"/>
      <c r="M266" s="459"/>
      <c r="N266" s="459">
        <f t="shared" si="14"/>
        <v>881.43052715011743</v>
      </c>
      <c r="P266" s="451">
        <f t="shared" ref="P266:P276" si="15">E266+G266-45</f>
        <v>675.55784737328565</v>
      </c>
    </row>
    <row r="267" spans="1:16">
      <c r="A267" s="446">
        <f t="shared" si="12"/>
        <v>2029</v>
      </c>
      <c r="B267" s="446">
        <f t="shared" si="13"/>
        <v>10</v>
      </c>
      <c r="C267" s="459">
        <v>153.80734217123592</v>
      </c>
      <c r="D267" s="459">
        <v>0</v>
      </c>
      <c r="E267" s="459">
        <v>738.28434187029836</v>
      </c>
      <c r="F267" s="459">
        <v>0</v>
      </c>
      <c r="G267" s="459">
        <v>0</v>
      </c>
      <c r="H267" s="459"/>
      <c r="I267" s="459"/>
      <c r="J267" s="459"/>
      <c r="K267" s="459"/>
      <c r="L267" s="459"/>
      <c r="M267" s="459"/>
      <c r="N267" s="459">
        <f t="shared" si="14"/>
        <v>892.09168404153434</v>
      </c>
      <c r="P267" s="451">
        <f t="shared" si="15"/>
        <v>693.28434187029836</v>
      </c>
    </row>
    <row r="268" spans="1:16">
      <c r="A268" s="446">
        <f t="shared" si="12"/>
        <v>2029</v>
      </c>
      <c r="B268" s="446">
        <f t="shared" si="13"/>
        <v>11</v>
      </c>
      <c r="C268" s="459">
        <v>136.45417821588174</v>
      </c>
      <c r="D268" s="459">
        <v>0</v>
      </c>
      <c r="E268" s="459">
        <v>596.6488057734648</v>
      </c>
      <c r="F268" s="459">
        <v>0</v>
      </c>
      <c r="G268" s="459">
        <v>0</v>
      </c>
      <c r="H268" s="459"/>
      <c r="I268" s="459"/>
      <c r="J268" s="459"/>
      <c r="K268" s="459"/>
      <c r="L268" s="459"/>
      <c r="M268" s="459"/>
      <c r="N268" s="459">
        <f t="shared" si="14"/>
        <v>733.10298398934651</v>
      </c>
      <c r="P268" s="451">
        <f t="shared" si="15"/>
        <v>551.6488057734648</v>
      </c>
    </row>
    <row r="269" spans="1:16">
      <c r="A269" s="446">
        <f t="shared" si="12"/>
        <v>2029</v>
      </c>
      <c r="B269" s="446">
        <f t="shared" si="13"/>
        <v>12</v>
      </c>
      <c r="C269" s="459">
        <v>130.06118276483238</v>
      </c>
      <c r="D269" s="459">
        <v>0</v>
      </c>
      <c r="E269" s="459">
        <v>565.82609313133435</v>
      </c>
      <c r="F269" s="459">
        <v>0</v>
      </c>
      <c r="G269" s="459">
        <v>0</v>
      </c>
      <c r="H269" s="459"/>
      <c r="I269" s="459"/>
      <c r="J269" s="459"/>
      <c r="K269" s="459"/>
      <c r="L269" s="459"/>
      <c r="M269" s="459"/>
      <c r="N269" s="459">
        <f t="shared" si="14"/>
        <v>695.88727589616678</v>
      </c>
      <c r="O269" s="454"/>
      <c r="P269" s="451">
        <f t="shared" si="15"/>
        <v>520.82609313133435</v>
      </c>
    </row>
    <row r="270" spans="1:16">
      <c r="A270" s="446">
        <f t="shared" si="12"/>
        <v>2030</v>
      </c>
      <c r="B270" s="446">
        <f t="shared" si="13"/>
        <v>1</v>
      </c>
      <c r="C270" s="459">
        <v>126.98302322228511</v>
      </c>
      <c r="D270" s="459">
        <v>0</v>
      </c>
      <c r="E270" s="459">
        <v>754.91332147903518</v>
      </c>
      <c r="F270" s="459">
        <v>0</v>
      </c>
      <c r="G270" s="459">
        <v>0</v>
      </c>
      <c r="H270" s="459"/>
      <c r="I270" s="459"/>
      <c r="J270" s="459"/>
      <c r="K270" s="459"/>
      <c r="L270" s="459"/>
      <c r="M270" s="459"/>
      <c r="N270" s="459">
        <f t="shared" si="14"/>
        <v>881.89634470132023</v>
      </c>
      <c r="P270" s="451">
        <f t="shared" si="15"/>
        <v>709.91332147903518</v>
      </c>
    </row>
    <row r="271" spans="1:16">
      <c r="A271" s="446">
        <f t="shared" ref="A271:A334" si="16">A259+1</f>
        <v>2030</v>
      </c>
      <c r="B271" s="446">
        <f t="shared" ref="B271:B334" si="17">B259</f>
        <v>2</v>
      </c>
      <c r="C271" s="459">
        <v>135.11449461277053</v>
      </c>
      <c r="D271" s="459">
        <v>0</v>
      </c>
      <c r="E271" s="459">
        <v>677.69444931309897</v>
      </c>
      <c r="F271" s="459">
        <v>0</v>
      </c>
      <c r="G271" s="459">
        <v>0</v>
      </c>
      <c r="H271" s="459"/>
      <c r="I271" s="459"/>
      <c r="J271" s="459"/>
      <c r="K271" s="459"/>
      <c r="L271" s="459"/>
      <c r="M271" s="459"/>
      <c r="N271" s="459">
        <f t="shared" si="14"/>
        <v>812.80894392586947</v>
      </c>
      <c r="P271" s="451">
        <f t="shared" si="15"/>
        <v>632.69444931309897</v>
      </c>
    </row>
    <row r="272" spans="1:16">
      <c r="A272" s="446">
        <f t="shared" si="16"/>
        <v>2030</v>
      </c>
      <c r="B272" s="446">
        <f t="shared" si="17"/>
        <v>3</v>
      </c>
      <c r="C272" s="459">
        <v>128.21966799517912</v>
      </c>
      <c r="D272" s="459">
        <v>0</v>
      </c>
      <c r="E272" s="459">
        <v>625.34087835386936</v>
      </c>
      <c r="F272" s="459">
        <v>0</v>
      </c>
      <c r="G272" s="459">
        <v>0</v>
      </c>
      <c r="H272" s="459"/>
      <c r="I272" s="459"/>
      <c r="J272" s="459"/>
      <c r="K272" s="459"/>
      <c r="L272" s="459"/>
      <c r="M272" s="459"/>
      <c r="N272" s="459">
        <f t="shared" si="14"/>
        <v>753.56054634904854</v>
      </c>
      <c r="P272" s="451">
        <f t="shared" si="15"/>
        <v>580.34087835386936</v>
      </c>
    </row>
    <row r="273" spans="1:16">
      <c r="A273" s="446">
        <f t="shared" si="16"/>
        <v>2030</v>
      </c>
      <c r="B273" s="446">
        <f t="shared" si="17"/>
        <v>4</v>
      </c>
      <c r="C273" s="459">
        <v>152.26760940116247</v>
      </c>
      <c r="D273" s="459">
        <v>0</v>
      </c>
      <c r="E273" s="459">
        <v>655.49874665574794</v>
      </c>
      <c r="F273" s="459">
        <v>0</v>
      </c>
      <c r="G273" s="459">
        <v>0</v>
      </c>
      <c r="H273" s="459"/>
      <c r="I273" s="459"/>
      <c r="J273" s="459"/>
      <c r="K273" s="459"/>
      <c r="L273" s="459"/>
      <c r="M273" s="459"/>
      <c r="N273" s="459">
        <f t="shared" si="14"/>
        <v>807.76635605691035</v>
      </c>
      <c r="P273" s="451">
        <f t="shared" si="15"/>
        <v>610.49874665574794</v>
      </c>
    </row>
    <row r="274" spans="1:16">
      <c r="A274" s="446">
        <f t="shared" si="16"/>
        <v>2030</v>
      </c>
      <c r="B274" s="446">
        <f t="shared" si="17"/>
        <v>5</v>
      </c>
      <c r="C274" s="459">
        <v>161.8589139049474</v>
      </c>
      <c r="D274" s="459">
        <v>0</v>
      </c>
      <c r="E274" s="459">
        <v>748.50437174119793</v>
      </c>
      <c r="F274" s="459">
        <v>0</v>
      </c>
      <c r="G274" s="459">
        <v>0</v>
      </c>
      <c r="H274" s="459"/>
      <c r="I274" s="459"/>
      <c r="J274" s="459"/>
      <c r="K274" s="459"/>
      <c r="L274" s="459"/>
      <c r="M274" s="459"/>
      <c r="N274" s="459">
        <f t="shared" si="14"/>
        <v>910.3632856461453</v>
      </c>
      <c r="P274" s="451">
        <f t="shared" si="15"/>
        <v>703.50437174119793</v>
      </c>
    </row>
    <row r="275" spans="1:16">
      <c r="A275" s="446">
        <f t="shared" si="16"/>
        <v>2030</v>
      </c>
      <c r="B275" s="446">
        <f t="shared" si="17"/>
        <v>6</v>
      </c>
      <c r="C275" s="459">
        <v>166.57794344063683</v>
      </c>
      <c r="D275" s="459">
        <v>0</v>
      </c>
      <c r="E275" s="459">
        <v>804.48292128115418</v>
      </c>
      <c r="F275" s="459">
        <v>0</v>
      </c>
      <c r="G275" s="459">
        <v>0</v>
      </c>
      <c r="H275" s="459"/>
      <c r="I275" s="459"/>
      <c r="J275" s="459"/>
      <c r="K275" s="459"/>
      <c r="L275" s="459"/>
      <c r="M275" s="459"/>
      <c r="N275" s="459">
        <f t="shared" si="14"/>
        <v>971.06086472179095</v>
      </c>
      <c r="P275" s="451">
        <f t="shared" si="15"/>
        <v>759.48292128115418</v>
      </c>
    </row>
    <row r="276" spans="1:16">
      <c r="A276" s="446">
        <f t="shared" si="16"/>
        <v>2030</v>
      </c>
      <c r="B276" s="446">
        <f t="shared" si="17"/>
        <v>7</v>
      </c>
      <c r="C276" s="459">
        <v>180.44810635410042</v>
      </c>
      <c r="D276" s="459">
        <v>0</v>
      </c>
      <c r="E276" s="459">
        <v>806.45931469933271</v>
      </c>
      <c r="F276" s="459">
        <v>0</v>
      </c>
      <c r="G276" s="459">
        <v>0</v>
      </c>
      <c r="H276" s="459"/>
      <c r="I276" s="459"/>
      <c r="J276" s="459"/>
      <c r="K276" s="459"/>
      <c r="L276" s="459"/>
      <c r="M276" s="459"/>
      <c r="N276" s="459">
        <f t="shared" si="14"/>
        <v>986.90742105343315</v>
      </c>
      <c r="P276" s="451">
        <f t="shared" si="15"/>
        <v>761.45931469933271</v>
      </c>
    </row>
    <row r="277" spans="1:16" s="455" customFormat="1" ht="12">
      <c r="A277" s="446">
        <f t="shared" si="16"/>
        <v>2030</v>
      </c>
      <c r="B277" s="446">
        <f t="shared" si="17"/>
        <v>8</v>
      </c>
      <c r="C277" s="459">
        <v>176.02343586233647</v>
      </c>
      <c r="D277" s="459">
        <v>0</v>
      </c>
      <c r="E277" s="459">
        <v>843.72545100291006</v>
      </c>
      <c r="F277" s="459">
        <v>0</v>
      </c>
      <c r="G277" s="459">
        <v>0</v>
      </c>
      <c r="H277" s="459"/>
      <c r="I277" s="459"/>
      <c r="J277" s="459"/>
      <c r="K277" s="459"/>
      <c r="L277" s="459"/>
      <c r="M277" s="459"/>
      <c r="N277" s="459">
        <f t="shared" si="14"/>
        <v>1019.7488868652465</v>
      </c>
      <c r="O277" s="457"/>
      <c r="P277" s="451">
        <f>E277+G277-45</f>
        <v>798.72545100291006</v>
      </c>
    </row>
    <row r="278" spans="1:16">
      <c r="A278" s="446">
        <f t="shared" si="16"/>
        <v>2030</v>
      </c>
      <c r="B278" s="446">
        <f t="shared" si="17"/>
        <v>9</v>
      </c>
      <c r="C278" s="459">
        <v>162.38900567295309</v>
      </c>
      <c r="D278" s="459">
        <v>0</v>
      </c>
      <c r="E278" s="459">
        <v>724.68467418308785</v>
      </c>
      <c r="F278" s="459">
        <v>0</v>
      </c>
      <c r="G278" s="459">
        <v>0</v>
      </c>
      <c r="H278" s="459"/>
      <c r="I278" s="459"/>
      <c r="J278" s="459"/>
      <c r="K278" s="459"/>
      <c r="L278" s="459"/>
      <c r="M278" s="459"/>
      <c r="N278" s="459">
        <f t="shared" si="14"/>
        <v>887.07367985604094</v>
      </c>
      <c r="P278" s="451"/>
    </row>
    <row r="279" spans="1:16">
      <c r="A279" s="446">
        <f t="shared" si="16"/>
        <v>2030</v>
      </c>
      <c r="B279" s="446">
        <f t="shared" si="17"/>
        <v>10</v>
      </c>
      <c r="C279" s="459">
        <v>155.25707282948918</v>
      </c>
      <c r="D279" s="459">
        <v>0</v>
      </c>
      <c r="E279" s="459">
        <v>740.80623557884894</v>
      </c>
      <c r="F279" s="459">
        <v>0</v>
      </c>
      <c r="G279" s="459">
        <v>0</v>
      </c>
      <c r="H279" s="459"/>
      <c r="I279" s="459"/>
      <c r="J279" s="459"/>
      <c r="K279" s="459"/>
      <c r="L279" s="459"/>
      <c r="M279" s="459"/>
      <c r="N279" s="459">
        <f t="shared" si="14"/>
        <v>896.06330840833812</v>
      </c>
      <c r="P279" s="451"/>
    </row>
    <row r="280" spans="1:16">
      <c r="A280" s="446">
        <f t="shared" si="16"/>
        <v>2030</v>
      </c>
      <c r="B280" s="446">
        <f t="shared" si="17"/>
        <v>11</v>
      </c>
      <c r="C280" s="459">
        <v>137.74034442104295</v>
      </c>
      <c r="D280" s="459">
        <v>0</v>
      </c>
      <c r="E280" s="459">
        <v>597.875060232343</v>
      </c>
      <c r="F280" s="459">
        <v>0</v>
      </c>
      <c r="G280" s="459">
        <v>0</v>
      </c>
      <c r="H280" s="459"/>
      <c r="I280" s="459"/>
      <c r="J280" s="459"/>
      <c r="K280" s="459"/>
      <c r="L280" s="459"/>
      <c r="M280" s="459"/>
      <c r="N280" s="459">
        <f t="shared" si="14"/>
        <v>735.61540465338589</v>
      </c>
      <c r="P280" s="451"/>
    </row>
    <row r="281" spans="1:16">
      <c r="A281" s="446">
        <f t="shared" si="16"/>
        <v>2030</v>
      </c>
      <c r="B281" s="446">
        <f t="shared" si="17"/>
        <v>12</v>
      </c>
      <c r="C281" s="459">
        <v>131.28709097858294</v>
      </c>
      <c r="D281" s="459">
        <v>0</v>
      </c>
      <c r="E281" s="459">
        <v>567.40684116024829</v>
      </c>
      <c r="F281" s="459">
        <v>0</v>
      </c>
      <c r="G281" s="459">
        <v>0</v>
      </c>
      <c r="H281" s="459"/>
      <c r="I281" s="459"/>
      <c r="J281" s="459"/>
      <c r="K281" s="459"/>
      <c r="L281" s="459"/>
      <c r="M281" s="459"/>
      <c r="N281" s="459">
        <f t="shared" si="14"/>
        <v>698.6939321388312</v>
      </c>
      <c r="O281" s="454"/>
      <c r="P281" s="451"/>
    </row>
    <row r="282" spans="1:16">
      <c r="A282" s="446">
        <f t="shared" si="16"/>
        <v>2031</v>
      </c>
      <c r="B282" s="446">
        <f t="shared" si="17"/>
        <v>1</v>
      </c>
      <c r="C282" s="459">
        <v>128.1799178519191</v>
      </c>
      <c r="D282" s="459">
        <v>0</v>
      </c>
      <c r="E282" s="459">
        <v>755.66820480482954</v>
      </c>
      <c r="F282" s="459">
        <v>0</v>
      </c>
      <c r="G282" s="459">
        <v>0</v>
      </c>
      <c r="H282" s="459"/>
      <c r="I282" s="459"/>
      <c r="J282" s="459"/>
      <c r="K282" s="459"/>
      <c r="L282" s="459"/>
      <c r="M282" s="459"/>
      <c r="N282" s="459">
        <f t="shared" si="14"/>
        <v>883.84812265674861</v>
      </c>
      <c r="P282" s="451"/>
    </row>
    <row r="283" spans="1:16">
      <c r="A283" s="446">
        <f t="shared" si="16"/>
        <v>2031</v>
      </c>
      <c r="B283" s="446">
        <f t="shared" si="17"/>
        <v>2</v>
      </c>
      <c r="C283" s="459">
        <v>136.38803345980713</v>
      </c>
      <c r="D283" s="459">
        <v>0</v>
      </c>
      <c r="E283" s="459">
        <v>678.37199794541493</v>
      </c>
      <c r="F283" s="459">
        <v>0</v>
      </c>
      <c r="G283" s="459">
        <v>0</v>
      </c>
      <c r="H283" s="459"/>
      <c r="I283" s="459"/>
      <c r="J283" s="459"/>
      <c r="K283" s="459"/>
      <c r="L283" s="459"/>
      <c r="M283" s="459"/>
      <c r="N283" s="459">
        <f t="shared" si="14"/>
        <v>814.76003140522209</v>
      </c>
      <c r="P283" s="451"/>
    </row>
    <row r="284" spans="1:16">
      <c r="A284" s="446">
        <f t="shared" si="16"/>
        <v>2031</v>
      </c>
      <c r="B284" s="446">
        <f t="shared" si="17"/>
        <v>3</v>
      </c>
      <c r="C284" s="459">
        <v>129.42821877734337</v>
      </c>
      <c r="D284" s="459">
        <v>0</v>
      </c>
      <c r="E284" s="459">
        <v>626.03007066658438</v>
      </c>
      <c r="F284" s="459">
        <v>0</v>
      </c>
      <c r="G284" s="459">
        <v>0</v>
      </c>
      <c r="H284" s="459"/>
      <c r="I284" s="459"/>
      <c r="J284" s="459"/>
      <c r="K284" s="459"/>
      <c r="L284" s="459"/>
      <c r="M284" s="459"/>
      <c r="N284" s="459">
        <f t="shared" si="14"/>
        <v>755.4582894439277</v>
      </c>
      <c r="P284" s="451"/>
    </row>
    <row r="285" spans="1:16">
      <c r="A285" s="446">
        <f t="shared" si="16"/>
        <v>2031</v>
      </c>
      <c r="B285" s="446">
        <f t="shared" si="17"/>
        <v>4</v>
      </c>
      <c r="C285" s="459">
        <v>153.70282711243419</v>
      </c>
      <c r="D285" s="459">
        <v>0</v>
      </c>
      <c r="E285" s="459">
        <v>659.64185849190744</v>
      </c>
      <c r="F285" s="459">
        <v>0</v>
      </c>
      <c r="G285" s="459">
        <v>0</v>
      </c>
      <c r="H285" s="459"/>
      <c r="I285" s="459"/>
      <c r="J285" s="459"/>
      <c r="K285" s="459"/>
      <c r="L285" s="459"/>
      <c r="M285" s="459"/>
      <c r="N285" s="459">
        <f t="shared" si="14"/>
        <v>813.34468560434163</v>
      </c>
      <c r="P285" s="451"/>
    </row>
    <row r="286" spans="1:16">
      <c r="A286" s="446">
        <f t="shared" si="16"/>
        <v>2031</v>
      </c>
      <c r="B286" s="446">
        <f t="shared" si="17"/>
        <v>5</v>
      </c>
      <c r="C286" s="459">
        <v>163.38453567623014</v>
      </c>
      <c r="D286" s="459">
        <v>0</v>
      </c>
      <c r="E286" s="459">
        <v>752.37857989846941</v>
      </c>
      <c r="F286" s="459">
        <v>0</v>
      </c>
      <c r="G286" s="459">
        <v>0</v>
      </c>
      <c r="H286" s="459"/>
      <c r="I286" s="459"/>
      <c r="J286" s="459"/>
      <c r="K286" s="459"/>
      <c r="L286" s="459"/>
      <c r="M286" s="459"/>
      <c r="N286" s="459">
        <f t="shared" si="14"/>
        <v>915.76311557469955</v>
      </c>
      <c r="P286" s="451"/>
    </row>
    <row r="287" spans="1:16">
      <c r="A287" s="446">
        <f t="shared" si="16"/>
        <v>2031</v>
      </c>
      <c r="B287" s="446">
        <f t="shared" si="17"/>
        <v>6</v>
      </c>
      <c r="C287" s="459">
        <v>168.1480450247719</v>
      </c>
      <c r="D287" s="459">
        <v>0</v>
      </c>
      <c r="E287" s="459">
        <v>807.31604674908635</v>
      </c>
      <c r="F287" s="459">
        <v>0</v>
      </c>
      <c r="G287" s="459">
        <v>0</v>
      </c>
      <c r="H287" s="459"/>
      <c r="I287" s="459"/>
      <c r="J287" s="459"/>
      <c r="K287" s="459"/>
      <c r="L287" s="459"/>
      <c r="M287" s="459"/>
      <c r="N287" s="459">
        <f t="shared" si="14"/>
        <v>975.46409177385829</v>
      </c>
      <c r="P287" s="451"/>
    </row>
    <row r="288" spans="1:16">
      <c r="A288" s="446">
        <f t="shared" si="16"/>
        <v>2031</v>
      </c>
      <c r="B288" s="446">
        <f t="shared" si="17"/>
        <v>7</v>
      </c>
      <c r="C288" s="459">
        <v>182.14927766962739</v>
      </c>
      <c r="D288" s="459">
        <v>0</v>
      </c>
      <c r="E288" s="459">
        <v>811.04597316616798</v>
      </c>
      <c r="F288" s="459">
        <v>0</v>
      </c>
      <c r="G288" s="459">
        <v>0</v>
      </c>
      <c r="H288" s="459"/>
      <c r="I288" s="459"/>
      <c r="J288" s="459"/>
      <c r="K288" s="459"/>
      <c r="L288" s="459"/>
      <c r="M288" s="459"/>
      <c r="N288" s="459">
        <f t="shared" si="14"/>
        <v>993.19525083579538</v>
      </c>
      <c r="P288" s="451"/>
    </row>
    <row r="289" spans="1:16" s="455" customFormat="1" ht="12">
      <c r="A289" s="446">
        <f t="shared" si="16"/>
        <v>2031</v>
      </c>
      <c r="B289" s="446">
        <f t="shared" si="17"/>
        <v>8</v>
      </c>
      <c r="C289" s="459">
        <v>177.68256713616469</v>
      </c>
      <c r="D289" s="459">
        <v>0</v>
      </c>
      <c r="E289" s="459">
        <v>848.54609911278271</v>
      </c>
      <c r="F289" s="459">
        <v>0</v>
      </c>
      <c r="G289" s="459">
        <v>0</v>
      </c>
      <c r="H289" s="459"/>
      <c r="I289" s="459"/>
      <c r="J289" s="459"/>
      <c r="K289" s="459"/>
      <c r="L289" s="459"/>
      <c r="M289" s="459"/>
      <c r="N289" s="459">
        <f t="shared" si="14"/>
        <v>1026.2286662489473</v>
      </c>
      <c r="O289" s="457"/>
      <c r="P289" s="451"/>
    </row>
    <row r="290" spans="1:16">
      <c r="A290" s="446">
        <f t="shared" si="16"/>
        <v>2031</v>
      </c>
      <c r="B290" s="446">
        <f t="shared" si="17"/>
        <v>9</v>
      </c>
      <c r="C290" s="459">
        <v>163.91962389158954</v>
      </c>
      <c r="D290" s="459">
        <v>0</v>
      </c>
      <c r="E290" s="459">
        <v>728.83513642976754</v>
      </c>
      <c r="F290" s="459">
        <v>0</v>
      </c>
      <c r="G290" s="459">
        <v>0</v>
      </c>
      <c r="H290" s="459"/>
      <c r="I290" s="459"/>
      <c r="J290" s="459"/>
      <c r="K290" s="459"/>
      <c r="L290" s="459"/>
      <c r="M290" s="459"/>
      <c r="N290" s="459">
        <f t="shared" si="14"/>
        <v>892.75476032135703</v>
      </c>
      <c r="P290" s="451"/>
    </row>
    <row r="291" spans="1:16">
      <c r="A291" s="446">
        <f t="shared" si="16"/>
        <v>2031</v>
      </c>
      <c r="B291" s="446">
        <f t="shared" si="17"/>
        <v>10</v>
      </c>
      <c r="C291" s="459">
        <v>156.72046810837634</v>
      </c>
      <c r="D291" s="459">
        <v>0</v>
      </c>
      <c r="E291" s="459">
        <v>743.33674378389696</v>
      </c>
      <c r="F291" s="459">
        <v>0</v>
      </c>
      <c r="G291" s="459">
        <v>0</v>
      </c>
      <c r="H291" s="459"/>
      <c r="I291" s="459"/>
      <c r="J291" s="459"/>
      <c r="K291" s="459"/>
      <c r="L291" s="459"/>
      <c r="M291" s="459"/>
      <c r="N291" s="459">
        <f t="shared" si="14"/>
        <v>900.05721189227324</v>
      </c>
      <c r="P291" s="451"/>
    </row>
    <row r="292" spans="1:16">
      <c r="A292" s="446">
        <f t="shared" si="16"/>
        <v>2031</v>
      </c>
      <c r="B292" s="446">
        <f t="shared" si="17"/>
        <v>11</v>
      </c>
      <c r="C292" s="459">
        <v>139.03863354929035</v>
      </c>
      <c r="D292" s="459">
        <v>0</v>
      </c>
      <c r="E292" s="459">
        <v>599.10383493425752</v>
      </c>
      <c r="F292" s="459">
        <v>0</v>
      </c>
      <c r="G292" s="459">
        <v>0</v>
      </c>
      <c r="H292" s="459"/>
      <c r="I292" s="459"/>
      <c r="J292" s="459"/>
      <c r="K292" s="459"/>
      <c r="L292" s="459"/>
      <c r="M292" s="459"/>
      <c r="N292" s="459">
        <f t="shared" si="14"/>
        <v>738.14246848354787</v>
      </c>
      <c r="P292" s="451"/>
    </row>
    <row r="293" spans="1:16">
      <c r="A293" s="446">
        <f t="shared" si="16"/>
        <v>2031</v>
      </c>
      <c r="B293" s="446">
        <f t="shared" si="17"/>
        <v>12</v>
      </c>
      <c r="C293" s="459">
        <v>132.52455414606058</v>
      </c>
      <c r="D293" s="459">
        <v>0</v>
      </c>
      <c r="E293" s="459">
        <v>568.99200532401562</v>
      </c>
      <c r="F293" s="459">
        <v>0</v>
      </c>
      <c r="G293" s="459">
        <v>0</v>
      </c>
      <c r="H293" s="459"/>
      <c r="I293" s="459"/>
      <c r="J293" s="459"/>
      <c r="K293" s="459"/>
      <c r="L293" s="459"/>
      <c r="M293" s="459"/>
      <c r="N293" s="459">
        <f t="shared" si="14"/>
        <v>701.51655947007623</v>
      </c>
      <c r="O293" s="454"/>
      <c r="P293" s="451"/>
    </row>
    <row r="294" spans="1:16">
      <c r="A294" s="446">
        <f t="shared" si="16"/>
        <v>2032</v>
      </c>
      <c r="B294" s="446">
        <f t="shared" si="17"/>
        <v>1</v>
      </c>
      <c r="C294" s="459">
        <v>129.38809396405438</v>
      </c>
      <c r="D294" s="459">
        <v>0</v>
      </c>
      <c r="E294" s="459">
        <v>756.42384298395518</v>
      </c>
      <c r="F294" s="459">
        <v>0</v>
      </c>
      <c r="G294" s="459">
        <v>0</v>
      </c>
      <c r="H294" s="459"/>
      <c r="I294" s="459"/>
      <c r="J294" s="459"/>
      <c r="K294" s="459"/>
      <c r="L294" s="459"/>
      <c r="M294" s="459"/>
      <c r="N294" s="459">
        <f t="shared" si="14"/>
        <v>885.81193694800959</v>
      </c>
      <c r="P294" s="451"/>
    </row>
    <row r="295" spans="1:16">
      <c r="A295" s="446">
        <f t="shared" si="16"/>
        <v>2032</v>
      </c>
      <c r="B295" s="446">
        <f t="shared" si="17"/>
        <v>2</v>
      </c>
      <c r="C295" s="459">
        <v>137.6735762091605</v>
      </c>
      <c r="D295" s="459">
        <v>0</v>
      </c>
      <c r="E295" s="459">
        <v>679.05022398057747</v>
      </c>
      <c r="F295" s="459">
        <v>0</v>
      </c>
      <c r="G295" s="459">
        <v>0</v>
      </c>
      <c r="H295" s="459"/>
      <c r="I295" s="459"/>
      <c r="J295" s="459"/>
      <c r="K295" s="459"/>
      <c r="L295" s="459"/>
      <c r="M295" s="459"/>
      <c r="N295" s="459">
        <f t="shared" si="14"/>
        <v>816.72380018973797</v>
      </c>
      <c r="P295" s="451"/>
    </row>
    <row r="296" spans="1:16">
      <c r="A296" s="446">
        <f t="shared" si="16"/>
        <v>2032</v>
      </c>
      <c r="B296" s="446">
        <f t="shared" si="17"/>
        <v>3</v>
      </c>
      <c r="C296" s="459">
        <v>130.64816090855658</v>
      </c>
      <c r="D296" s="459">
        <v>0</v>
      </c>
      <c r="E296" s="459">
        <v>626.72002254269967</v>
      </c>
      <c r="F296" s="459">
        <v>0</v>
      </c>
      <c r="G296" s="459">
        <v>0</v>
      </c>
      <c r="H296" s="459"/>
      <c r="I296" s="459"/>
      <c r="J296" s="459"/>
      <c r="K296" s="459"/>
      <c r="L296" s="459"/>
      <c r="M296" s="459"/>
      <c r="N296" s="459">
        <f t="shared" si="14"/>
        <v>757.3681834512563</v>
      </c>
      <c r="P296" s="451"/>
    </row>
    <row r="297" spans="1:16">
      <c r="A297" s="446">
        <f t="shared" si="16"/>
        <v>2032</v>
      </c>
      <c r="B297" s="446">
        <f t="shared" si="17"/>
        <v>4</v>
      </c>
      <c r="C297" s="459">
        <v>155.15157265071292</v>
      </c>
      <c r="D297" s="459">
        <v>0</v>
      </c>
      <c r="E297" s="459">
        <v>663.81115706873504</v>
      </c>
      <c r="F297" s="459">
        <v>0</v>
      </c>
      <c r="G297" s="459">
        <v>0</v>
      </c>
      <c r="H297" s="459"/>
      <c r="I297" s="459"/>
      <c r="J297" s="459"/>
      <c r="K297" s="459"/>
      <c r="L297" s="459"/>
      <c r="M297" s="459"/>
      <c r="N297" s="459">
        <f t="shared" si="14"/>
        <v>818.96272971944791</v>
      </c>
      <c r="P297" s="451"/>
    </row>
    <row r="298" spans="1:16">
      <c r="A298" s="446">
        <f t="shared" si="16"/>
        <v>2032</v>
      </c>
      <c r="B298" s="446">
        <f t="shared" si="17"/>
        <v>5</v>
      </c>
      <c r="C298" s="459">
        <v>164.92453738948123</v>
      </c>
      <c r="D298" s="459">
        <v>0</v>
      </c>
      <c r="E298" s="459">
        <v>756.27284069592918</v>
      </c>
      <c r="F298" s="459">
        <v>0</v>
      </c>
      <c r="G298" s="459">
        <v>0</v>
      </c>
      <c r="H298" s="459"/>
      <c r="I298" s="459"/>
      <c r="J298" s="459"/>
      <c r="K298" s="459"/>
      <c r="L298" s="459"/>
      <c r="M298" s="459"/>
      <c r="N298" s="459">
        <f t="shared" si="14"/>
        <v>921.19737808541038</v>
      </c>
      <c r="P298" s="451"/>
    </row>
    <row r="299" spans="1:16">
      <c r="A299" s="446">
        <f t="shared" si="16"/>
        <v>2032</v>
      </c>
      <c r="B299" s="446">
        <f t="shared" si="17"/>
        <v>6</v>
      </c>
      <c r="C299" s="459">
        <v>169.73294580100642</v>
      </c>
      <c r="D299" s="459">
        <v>0</v>
      </c>
      <c r="E299" s="459">
        <v>810.15914955737549</v>
      </c>
      <c r="F299" s="459">
        <v>0</v>
      </c>
      <c r="G299" s="459">
        <v>0</v>
      </c>
      <c r="H299" s="459"/>
      <c r="I299" s="459"/>
      <c r="J299" s="459"/>
      <c r="K299" s="459"/>
      <c r="L299" s="459"/>
      <c r="M299" s="459"/>
      <c r="N299" s="459">
        <f t="shared" si="14"/>
        <v>979.89209535838188</v>
      </c>
      <c r="P299" s="451"/>
    </row>
    <row r="300" spans="1:16">
      <c r="A300" s="446">
        <f t="shared" si="16"/>
        <v>2032</v>
      </c>
      <c r="B300" s="446">
        <f t="shared" si="17"/>
        <v>7</v>
      </c>
      <c r="C300" s="459">
        <v>183.86648674749637</v>
      </c>
      <c r="D300" s="459">
        <v>0</v>
      </c>
      <c r="E300" s="459">
        <v>815.65871780437988</v>
      </c>
      <c r="F300" s="459">
        <v>0</v>
      </c>
      <c r="G300" s="459">
        <v>0</v>
      </c>
      <c r="H300" s="459"/>
      <c r="I300" s="459"/>
      <c r="J300" s="459"/>
      <c r="K300" s="459"/>
      <c r="L300" s="459"/>
      <c r="M300" s="459"/>
      <c r="N300" s="459">
        <f t="shared" si="14"/>
        <v>999.52520455187619</v>
      </c>
      <c r="P300" s="451"/>
    </row>
    <row r="301" spans="1:16" s="455" customFormat="1" ht="12">
      <c r="A301" s="446">
        <f t="shared" si="16"/>
        <v>2032</v>
      </c>
      <c r="B301" s="446">
        <f t="shared" si="17"/>
        <v>8</v>
      </c>
      <c r="C301" s="459">
        <v>179.35733676275154</v>
      </c>
      <c r="D301" s="459">
        <v>0</v>
      </c>
      <c r="E301" s="459">
        <v>853.39429012558844</v>
      </c>
      <c r="F301" s="459">
        <v>0</v>
      </c>
      <c r="G301" s="459">
        <v>0</v>
      </c>
      <c r="H301" s="459"/>
      <c r="I301" s="459"/>
      <c r="J301" s="459"/>
      <c r="K301" s="459"/>
      <c r="L301" s="459"/>
      <c r="M301" s="459"/>
      <c r="N301" s="459">
        <f t="shared" si="14"/>
        <v>1032.7516268883401</v>
      </c>
      <c r="O301" s="457"/>
      <c r="P301" s="451"/>
    </row>
    <row r="302" spans="1:16">
      <c r="A302" s="446">
        <f t="shared" si="16"/>
        <v>2032</v>
      </c>
      <c r="B302" s="446">
        <f t="shared" si="17"/>
        <v>9</v>
      </c>
      <c r="C302" s="459">
        <v>165.46466914684405</v>
      </c>
      <c r="D302" s="459">
        <v>0</v>
      </c>
      <c r="E302" s="459">
        <v>733.00936947977016</v>
      </c>
      <c r="F302" s="459">
        <v>0</v>
      </c>
      <c r="G302" s="459">
        <v>0</v>
      </c>
      <c r="H302" s="459"/>
      <c r="I302" s="459"/>
      <c r="J302" s="459"/>
      <c r="K302" s="459"/>
      <c r="L302" s="459"/>
      <c r="M302" s="459"/>
      <c r="N302" s="459">
        <f t="shared" si="14"/>
        <v>898.47403862661417</v>
      </c>
      <c r="P302" s="451"/>
    </row>
    <row r="303" spans="1:16">
      <c r="A303" s="446">
        <f t="shared" si="16"/>
        <v>2032</v>
      </c>
      <c r="B303" s="446">
        <f t="shared" si="17"/>
        <v>10</v>
      </c>
      <c r="C303" s="459">
        <v>158.19765680551646</v>
      </c>
      <c r="D303" s="459">
        <v>0</v>
      </c>
      <c r="E303" s="459">
        <v>745.87589591156382</v>
      </c>
      <c r="F303" s="459">
        <v>0</v>
      </c>
      <c r="G303" s="459">
        <v>0</v>
      </c>
      <c r="H303" s="459"/>
      <c r="I303" s="459"/>
      <c r="J303" s="459"/>
      <c r="K303" s="459"/>
      <c r="L303" s="459"/>
      <c r="M303" s="459"/>
      <c r="N303" s="459">
        <f t="shared" si="14"/>
        <v>904.07355271708025</v>
      </c>
      <c r="P303" s="451"/>
    </row>
    <row r="304" spans="1:16">
      <c r="A304" s="446">
        <f t="shared" si="16"/>
        <v>2032</v>
      </c>
      <c r="B304" s="446">
        <f t="shared" si="17"/>
        <v>11</v>
      </c>
      <c r="C304" s="459">
        <v>140.34915986677672</v>
      </c>
      <c r="D304" s="459">
        <v>0</v>
      </c>
      <c r="E304" s="459">
        <v>600.33513505890414</v>
      </c>
      <c r="F304" s="459">
        <v>0</v>
      </c>
      <c r="G304" s="459">
        <v>0</v>
      </c>
      <c r="H304" s="459"/>
      <c r="I304" s="459"/>
      <c r="J304" s="459"/>
      <c r="K304" s="459"/>
      <c r="L304" s="459"/>
      <c r="M304" s="459"/>
      <c r="N304" s="459">
        <f t="shared" si="14"/>
        <v>740.68429492568089</v>
      </c>
      <c r="P304" s="451"/>
    </row>
    <row r="305" spans="1:16">
      <c r="A305" s="446">
        <f t="shared" si="16"/>
        <v>2032</v>
      </c>
      <c r="B305" s="446">
        <f t="shared" si="17"/>
        <v>12</v>
      </c>
      <c r="C305" s="459">
        <v>133.77368117995076</v>
      </c>
      <c r="D305" s="459">
        <v>0</v>
      </c>
      <c r="E305" s="459">
        <v>570.58159795998995</v>
      </c>
      <c r="F305" s="459">
        <v>0</v>
      </c>
      <c r="G305" s="459">
        <v>0</v>
      </c>
      <c r="H305" s="459"/>
      <c r="I305" s="459"/>
      <c r="J305" s="459"/>
      <c r="K305" s="459"/>
      <c r="L305" s="459"/>
      <c r="M305" s="459"/>
      <c r="N305" s="459">
        <f t="shared" si="14"/>
        <v>704.35527913994065</v>
      </c>
      <c r="O305" s="454"/>
      <c r="P305" s="451"/>
    </row>
    <row r="306" spans="1:16">
      <c r="A306" s="446">
        <f t="shared" si="16"/>
        <v>2033</v>
      </c>
      <c r="B306" s="446">
        <f t="shared" si="17"/>
        <v>1</v>
      </c>
      <c r="C306" s="459">
        <v>130.6076578937386</v>
      </c>
      <c r="D306" s="459">
        <v>0</v>
      </c>
      <c r="E306" s="459">
        <v>757.18023677123551</v>
      </c>
      <c r="F306" s="459">
        <v>0</v>
      </c>
      <c r="G306" s="459">
        <v>0</v>
      </c>
      <c r="H306" s="459"/>
      <c r="I306" s="459"/>
      <c r="J306" s="459"/>
      <c r="K306" s="459"/>
      <c r="L306" s="459"/>
      <c r="M306" s="459"/>
      <c r="N306" s="459">
        <f t="shared" si="14"/>
        <v>887.78789466497415</v>
      </c>
      <c r="P306" s="451"/>
    </row>
    <row r="307" spans="1:16">
      <c r="A307" s="446">
        <f t="shared" si="16"/>
        <v>2033</v>
      </c>
      <c r="B307" s="446">
        <f t="shared" si="17"/>
        <v>2</v>
      </c>
      <c r="C307" s="459">
        <v>138.97123600513808</v>
      </c>
      <c r="D307" s="459">
        <v>0</v>
      </c>
      <c r="E307" s="459">
        <v>679.72912809584375</v>
      </c>
      <c r="F307" s="459">
        <v>0</v>
      </c>
      <c r="G307" s="459">
        <v>0</v>
      </c>
      <c r="H307" s="459"/>
      <c r="I307" s="459"/>
      <c r="J307" s="459"/>
      <c r="K307" s="459"/>
      <c r="L307" s="459"/>
      <c r="M307" s="459"/>
      <c r="N307" s="459">
        <f t="shared" si="14"/>
        <v>818.7003641009818</v>
      </c>
      <c r="P307" s="451"/>
    </row>
    <row r="308" spans="1:16">
      <c r="A308" s="446">
        <f t="shared" si="16"/>
        <v>2033</v>
      </c>
      <c r="B308" s="446">
        <f t="shared" si="17"/>
        <v>3</v>
      </c>
      <c r="C308" s="459">
        <v>131.87960175942737</v>
      </c>
      <c r="D308" s="459">
        <v>0</v>
      </c>
      <c r="E308" s="459">
        <v>627.41073481933518</v>
      </c>
      <c r="F308" s="459">
        <v>0</v>
      </c>
      <c r="G308" s="459">
        <v>0</v>
      </c>
      <c r="H308" s="459"/>
      <c r="I308" s="459"/>
      <c r="J308" s="459"/>
      <c r="K308" s="459"/>
      <c r="L308" s="459"/>
      <c r="M308" s="459"/>
      <c r="N308" s="459">
        <f t="shared" si="14"/>
        <v>759.29033657876255</v>
      </c>
      <c r="P308" s="451"/>
    </row>
    <row r="309" spans="1:16">
      <c r="A309" s="446">
        <f t="shared" si="16"/>
        <v>2033</v>
      </c>
      <c r="B309" s="446">
        <f t="shared" si="17"/>
        <v>4</v>
      </c>
      <c r="C309" s="459">
        <v>156.613973524252</v>
      </c>
      <c r="D309" s="459">
        <v>0</v>
      </c>
      <c r="E309" s="459">
        <v>668.00680790080378</v>
      </c>
      <c r="F309" s="459">
        <v>0</v>
      </c>
      <c r="G309" s="459">
        <v>0</v>
      </c>
      <c r="H309" s="459"/>
      <c r="I309" s="459"/>
      <c r="J309" s="459"/>
      <c r="K309" s="459"/>
      <c r="L309" s="459"/>
      <c r="M309" s="459"/>
      <c r="N309" s="459">
        <f t="shared" si="14"/>
        <v>824.62078142505584</v>
      </c>
      <c r="P309" s="451"/>
    </row>
    <row r="310" spans="1:16">
      <c r="A310" s="446">
        <f t="shared" si="16"/>
        <v>2033</v>
      </c>
      <c r="B310" s="446">
        <f t="shared" si="17"/>
        <v>5</v>
      </c>
      <c r="C310" s="459">
        <v>166.47905458467187</v>
      </c>
      <c r="D310" s="459">
        <v>0</v>
      </c>
      <c r="E310" s="459">
        <v>760.18725792469058</v>
      </c>
      <c r="F310" s="459">
        <v>0</v>
      </c>
      <c r="G310" s="459">
        <v>0</v>
      </c>
      <c r="H310" s="459"/>
      <c r="I310" s="459"/>
      <c r="J310" s="459"/>
      <c r="K310" s="459"/>
      <c r="L310" s="459"/>
      <c r="M310" s="459"/>
      <c r="N310" s="459">
        <f t="shared" si="14"/>
        <v>926.66631250936246</v>
      </c>
      <c r="P310" s="451"/>
    </row>
    <row r="311" spans="1:16">
      <c r="A311" s="446">
        <f t="shared" si="16"/>
        <v>2033</v>
      </c>
      <c r="B311" s="446">
        <f t="shared" si="17"/>
        <v>6</v>
      </c>
      <c r="C311" s="459">
        <v>171.33278526100699</v>
      </c>
      <c r="D311" s="459">
        <v>0</v>
      </c>
      <c r="E311" s="459">
        <v>813.01226484294807</v>
      </c>
      <c r="F311" s="459">
        <v>0</v>
      </c>
      <c r="G311" s="459">
        <v>0</v>
      </c>
      <c r="H311" s="459"/>
      <c r="I311" s="459"/>
      <c r="J311" s="459"/>
      <c r="K311" s="459"/>
      <c r="L311" s="459"/>
      <c r="M311" s="459"/>
      <c r="N311" s="459">
        <f t="shared" si="14"/>
        <v>984.34505010395503</v>
      </c>
      <c r="P311" s="451"/>
    </row>
    <row r="312" spans="1:16">
      <c r="A312" s="446">
        <f t="shared" si="16"/>
        <v>2033</v>
      </c>
      <c r="B312" s="446">
        <f t="shared" si="17"/>
        <v>7</v>
      </c>
      <c r="C312" s="459">
        <v>185.59988478342677</v>
      </c>
      <c r="D312" s="459">
        <v>0</v>
      </c>
      <c r="E312" s="459">
        <v>820.29769697651625</v>
      </c>
      <c r="F312" s="459">
        <v>0</v>
      </c>
      <c r="G312" s="459">
        <v>0</v>
      </c>
      <c r="H312" s="459"/>
      <c r="I312" s="459"/>
      <c r="J312" s="459"/>
      <c r="K312" s="459"/>
      <c r="L312" s="459"/>
      <c r="M312" s="459"/>
      <c r="N312" s="459">
        <f t="shared" si="14"/>
        <v>1005.897581759943</v>
      </c>
      <c r="P312" s="451"/>
    </row>
    <row r="313" spans="1:16" s="455" customFormat="1" ht="12">
      <c r="A313" s="446">
        <f t="shared" si="16"/>
        <v>2033</v>
      </c>
      <c r="B313" s="446">
        <f t="shared" si="17"/>
        <v>8</v>
      </c>
      <c r="C313" s="459">
        <v>181.0478921433791</v>
      </c>
      <c r="D313" s="459">
        <v>0</v>
      </c>
      <c r="E313" s="459">
        <v>858.27018140844586</v>
      </c>
      <c r="F313" s="459">
        <v>0</v>
      </c>
      <c r="G313" s="459">
        <v>0</v>
      </c>
      <c r="H313" s="459"/>
      <c r="I313" s="459"/>
      <c r="J313" s="459"/>
      <c r="K313" s="459"/>
      <c r="L313" s="459"/>
      <c r="M313" s="459"/>
      <c r="N313" s="459">
        <f t="shared" si="14"/>
        <v>1039.3180735518249</v>
      </c>
      <c r="O313" s="457"/>
      <c r="P313" s="451"/>
    </row>
    <row r="314" spans="1:16">
      <c r="A314" s="446">
        <f t="shared" si="16"/>
        <v>2033</v>
      </c>
      <c r="B314" s="446">
        <f t="shared" si="17"/>
        <v>9</v>
      </c>
      <c r="C314" s="459">
        <v>167.02427742258456</v>
      </c>
      <c r="D314" s="459">
        <v>0</v>
      </c>
      <c r="E314" s="459">
        <v>737.20750947482077</v>
      </c>
      <c r="F314" s="459">
        <v>0</v>
      </c>
      <c r="G314" s="459">
        <v>0</v>
      </c>
      <c r="H314" s="459"/>
      <c r="I314" s="459"/>
      <c r="J314" s="459"/>
      <c r="K314" s="459"/>
      <c r="L314" s="459"/>
      <c r="M314" s="459"/>
      <c r="N314" s="459">
        <f t="shared" si="14"/>
        <v>904.2317868974053</v>
      </c>
      <c r="P314" s="451"/>
    </row>
    <row r="315" spans="1:16">
      <c r="A315" s="446">
        <f t="shared" si="16"/>
        <v>2033</v>
      </c>
      <c r="B315" s="446">
        <f t="shared" si="17"/>
        <v>10</v>
      </c>
      <c r="C315" s="459">
        <v>159.68876893252698</v>
      </c>
      <c r="D315" s="459">
        <v>0</v>
      </c>
      <c r="E315" s="459">
        <v>748.42372148848665</v>
      </c>
      <c r="F315" s="459">
        <v>0</v>
      </c>
      <c r="G315" s="459">
        <v>0</v>
      </c>
      <c r="H315" s="459"/>
      <c r="I315" s="459"/>
      <c r="J315" s="459"/>
      <c r="K315" s="459"/>
      <c r="L315" s="459"/>
      <c r="M315" s="459"/>
      <c r="N315" s="459">
        <f t="shared" si="14"/>
        <v>908.1124904210136</v>
      </c>
      <c r="P315" s="451"/>
    </row>
    <row r="316" spans="1:16">
      <c r="A316" s="446">
        <f t="shared" si="16"/>
        <v>2033</v>
      </c>
      <c r="B316" s="446">
        <f t="shared" si="17"/>
        <v>11</v>
      </c>
      <c r="C316" s="459">
        <v>141.67203871668505</v>
      </c>
      <c r="D316" s="459">
        <v>0</v>
      </c>
      <c r="E316" s="459">
        <v>601.56896579662407</v>
      </c>
      <c r="F316" s="459">
        <v>0</v>
      </c>
      <c r="G316" s="459">
        <v>0</v>
      </c>
      <c r="H316" s="459"/>
      <c r="I316" s="459"/>
      <c r="J316" s="459"/>
      <c r="K316" s="459"/>
      <c r="L316" s="459"/>
      <c r="M316" s="459"/>
      <c r="N316" s="459">
        <f t="shared" si="14"/>
        <v>743.24100451330912</v>
      </c>
      <c r="P316" s="451"/>
    </row>
    <row r="317" spans="1:16">
      <c r="A317" s="446">
        <f t="shared" si="16"/>
        <v>2033</v>
      </c>
      <c r="B317" s="446">
        <f t="shared" si="17"/>
        <v>12</v>
      </c>
      <c r="C317" s="459">
        <v>135.03458201950926</v>
      </c>
      <c r="D317" s="459">
        <v>0</v>
      </c>
      <c r="E317" s="459">
        <v>572.17563143999132</v>
      </c>
      <c r="F317" s="459">
        <v>0</v>
      </c>
      <c r="G317" s="459">
        <v>0</v>
      </c>
      <c r="H317" s="459"/>
      <c r="I317" s="459"/>
      <c r="J317" s="459"/>
      <c r="K317" s="459"/>
      <c r="L317" s="459"/>
      <c r="M317" s="459"/>
      <c r="N317" s="459">
        <f t="shared" si="14"/>
        <v>707.21021345950055</v>
      </c>
      <c r="O317" s="454"/>
      <c r="P317" s="451"/>
    </row>
    <row r="318" spans="1:16">
      <c r="A318" s="446">
        <f t="shared" si="16"/>
        <v>2034</v>
      </c>
      <c r="B318" s="446">
        <f t="shared" si="17"/>
        <v>1</v>
      </c>
      <c r="C318" s="459">
        <v>131.83871697829386</v>
      </c>
      <c r="D318" s="459">
        <v>0</v>
      </c>
      <c r="E318" s="459">
        <v>757.93738692224861</v>
      </c>
      <c r="F318" s="459">
        <v>0</v>
      </c>
      <c r="G318" s="459">
        <v>0</v>
      </c>
      <c r="H318" s="459"/>
      <c r="I318" s="459"/>
      <c r="J318" s="459"/>
      <c r="K318" s="459"/>
      <c r="L318" s="459"/>
      <c r="M318" s="459"/>
      <c r="N318" s="459">
        <f t="shared" si="14"/>
        <v>889.77610390054247</v>
      </c>
      <c r="P318" s="451"/>
    </row>
    <row r="319" spans="1:16">
      <c r="A319" s="446">
        <f t="shared" si="16"/>
        <v>2034</v>
      </c>
      <c r="B319" s="446">
        <f t="shared" si="17"/>
        <v>2</v>
      </c>
      <c r="C319" s="459">
        <v>140.28112705850336</v>
      </c>
      <c r="D319" s="459">
        <v>0</v>
      </c>
      <c r="E319" s="459">
        <v>680.40871096914805</v>
      </c>
      <c r="F319" s="459">
        <v>0</v>
      </c>
      <c r="G319" s="459">
        <v>0</v>
      </c>
      <c r="H319" s="459"/>
      <c r="I319" s="459"/>
      <c r="J319" s="459"/>
      <c r="K319" s="459"/>
      <c r="L319" s="459"/>
      <c r="M319" s="459"/>
      <c r="N319" s="459">
        <f t="shared" si="14"/>
        <v>820.68983802765138</v>
      </c>
      <c r="P319" s="451"/>
    </row>
    <row r="320" spans="1:16">
      <c r="A320" s="446">
        <f t="shared" si="16"/>
        <v>2034</v>
      </c>
      <c r="B320" s="446">
        <f t="shared" si="17"/>
        <v>3</v>
      </c>
      <c r="C320" s="459">
        <v>133.12264971259989</v>
      </c>
      <c r="D320" s="459">
        <v>0</v>
      </c>
      <c r="E320" s="459">
        <v>628.1022083345332</v>
      </c>
      <c r="F320" s="459">
        <v>0</v>
      </c>
      <c r="G320" s="459">
        <v>0</v>
      </c>
      <c r="H320" s="459"/>
      <c r="I320" s="459"/>
      <c r="J320" s="459"/>
      <c r="K320" s="459"/>
      <c r="L320" s="459"/>
      <c r="M320" s="459"/>
      <c r="N320" s="459">
        <f t="shared" si="14"/>
        <v>761.22485804713313</v>
      </c>
      <c r="P320" s="451"/>
    </row>
    <row r="321" spans="1:16">
      <c r="A321" s="446">
        <f t="shared" si="16"/>
        <v>2034</v>
      </c>
      <c r="B321" s="446">
        <f t="shared" si="17"/>
        <v>4</v>
      </c>
      <c r="C321" s="459">
        <v>158.09015844315002</v>
      </c>
      <c r="D321" s="459">
        <v>0</v>
      </c>
      <c r="E321" s="459">
        <v>672.22897754882968</v>
      </c>
      <c r="F321" s="459">
        <v>0</v>
      </c>
      <c r="G321" s="459">
        <v>0</v>
      </c>
      <c r="H321" s="459"/>
      <c r="I321" s="459"/>
      <c r="J321" s="459"/>
      <c r="K321" s="459"/>
      <c r="L321" s="459"/>
      <c r="M321" s="459"/>
      <c r="N321" s="459">
        <f t="shared" si="14"/>
        <v>830.31913599197969</v>
      </c>
      <c r="P321" s="451"/>
    </row>
    <row r="322" spans="1:16">
      <c r="A322" s="446">
        <f t="shared" si="16"/>
        <v>2034</v>
      </c>
      <c r="B322" s="446">
        <f t="shared" si="17"/>
        <v>5</v>
      </c>
      <c r="C322" s="459">
        <v>168.04822407932261</v>
      </c>
      <c r="D322" s="459">
        <v>0</v>
      </c>
      <c r="E322" s="459">
        <v>764.12193591308312</v>
      </c>
      <c r="F322" s="459">
        <v>0</v>
      </c>
      <c r="G322" s="459">
        <v>0</v>
      </c>
      <c r="H322" s="459"/>
      <c r="I322" s="459"/>
      <c r="J322" s="459"/>
      <c r="K322" s="459"/>
      <c r="L322" s="459"/>
      <c r="M322" s="459"/>
      <c r="N322" s="459">
        <f t="shared" si="14"/>
        <v>932.17015999240573</v>
      </c>
      <c r="P322" s="451"/>
    </row>
    <row r="323" spans="1:16">
      <c r="A323" s="446">
        <f t="shared" si="16"/>
        <v>2034</v>
      </c>
      <c r="B323" s="446">
        <f t="shared" si="17"/>
        <v>6</v>
      </c>
      <c r="C323" s="459">
        <v>172.94770421123673</v>
      </c>
      <c r="D323" s="459">
        <v>0</v>
      </c>
      <c r="E323" s="459">
        <v>815.87542786647089</v>
      </c>
      <c r="F323" s="459">
        <v>0</v>
      </c>
      <c r="G323" s="459">
        <v>0</v>
      </c>
      <c r="H323" s="459"/>
      <c r="I323" s="459"/>
      <c r="J323" s="459"/>
      <c r="K323" s="459"/>
      <c r="L323" s="459"/>
      <c r="M323" s="459"/>
      <c r="N323" s="459">
        <f t="shared" si="14"/>
        <v>988.82313207770767</v>
      </c>
      <c r="P323" s="451"/>
    </row>
    <row r="324" spans="1:16">
      <c r="A324" s="446">
        <f t="shared" si="16"/>
        <v>2034</v>
      </c>
      <c r="B324" s="446">
        <f t="shared" si="17"/>
        <v>7</v>
      </c>
      <c r="C324" s="459">
        <v>187.349624398533</v>
      </c>
      <c r="D324" s="459">
        <v>0</v>
      </c>
      <c r="E324" s="459">
        <v>824.96305988892254</v>
      </c>
      <c r="F324" s="459">
        <v>0</v>
      </c>
      <c r="G324" s="459">
        <v>0</v>
      </c>
      <c r="H324" s="459"/>
      <c r="I324" s="459"/>
      <c r="J324" s="459"/>
      <c r="K324" s="459"/>
      <c r="L324" s="459"/>
      <c r="M324" s="459"/>
      <c r="N324" s="459">
        <f t="shared" si="14"/>
        <v>1012.3126842874556</v>
      </c>
      <c r="P324" s="451"/>
    </row>
    <row r="325" spans="1:16" s="455" customFormat="1" ht="12">
      <c r="A325" s="446">
        <f t="shared" si="16"/>
        <v>2034</v>
      </c>
      <c r="B325" s="446">
        <f t="shared" si="17"/>
        <v>8</v>
      </c>
      <c r="C325" s="459">
        <v>182.75438206867906</v>
      </c>
      <c r="D325" s="459">
        <v>0</v>
      </c>
      <c r="E325" s="459">
        <v>863.17393122759461</v>
      </c>
      <c r="F325" s="459">
        <v>0</v>
      </c>
      <c r="G325" s="459">
        <v>0</v>
      </c>
      <c r="H325" s="459"/>
      <c r="I325" s="459"/>
      <c r="J325" s="459"/>
      <c r="K325" s="459"/>
      <c r="L325" s="459"/>
      <c r="M325" s="459"/>
      <c r="N325" s="459">
        <f t="shared" si="14"/>
        <v>1045.9283132962737</v>
      </c>
      <c r="O325" s="457"/>
      <c r="P325" s="451"/>
    </row>
    <row r="326" spans="1:16">
      <c r="A326" s="446">
        <f t="shared" si="16"/>
        <v>2034</v>
      </c>
      <c r="B326" s="446">
        <f t="shared" si="17"/>
        <v>9</v>
      </c>
      <c r="C326" s="459">
        <v>168.59858598441213</v>
      </c>
      <c r="D326" s="459">
        <v>0</v>
      </c>
      <c r="E326" s="459">
        <v>741.42969333636461</v>
      </c>
      <c r="F326" s="459">
        <v>0</v>
      </c>
      <c r="G326" s="459">
        <v>0</v>
      </c>
      <c r="H326" s="459"/>
      <c r="I326" s="459"/>
      <c r="J326" s="459"/>
      <c r="K326" s="459"/>
      <c r="L326" s="459"/>
      <c r="M326" s="459"/>
      <c r="N326" s="459">
        <f t="shared" si="14"/>
        <v>910.02827932077673</v>
      </c>
      <c r="P326" s="451"/>
    </row>
    <row r="327" spans="1:16">
      <c r="A327" s="446">
        <f t="shared" si="16"/>
        <v>2034</v>
      </c>
      <c r="B327" s="446">
        <f t="shared" si="17"/>
        <v>10</v>
      </c>
      <c r="C327" s="459">
        <v>161.19393572646629</v>
      </c>
      <c r="D327" s="459">
        <v>0</v>
      </c>
      <c r="E327" s="459">
        <v>750.98025014216262</v>
      </c>
      <c r="F327" s="459">
        <v>0</v>
      </c>
      <c r="G327" s="459">
        <v>0</v>
      </c>
      <c r="H327" s="459"/>
      <c r="I327" s="459"/>
      <c r="J327" s="459"/>
      <c r="K327" s="459"/>
      <c r="L327" s="459"/>
      <c r="M327" s="459"/>
      <c r="N327" s="459">
        <f t="shared" ref="N327:N390" si="18">SUM(C327:M327)</f>
        <v>912.17418586862891</v>
      </c>
      <c r="P327" s="451"/>
    </row>
    <row r="328" spans="1:16">
      <c r="A328" s="446">
        <f t="shared" si="16"/>
        <v>2034</v>
      </c>
      <c r="B328" s="446">
        <f t="shared" si="17"/>
        <v>11</v>
      </c>
      <c r="C328" s="459">
        <v>143.0073865293802</v>
      </c>
      <c r="D328" s="459">
        <v>0</v>
      </c>
      <c r="E328" s="459">
        <v>602.80533234842585</v>
      </c>
      <c r="F328" s="459">
        <v>0</v>
      </c>
      <c r="G328" s="459">
        <v>0</v>
      </c>
      <c r="H328" s="459"/>
      <c r="I328" s="459"/>
      <c r="J328" s="459"/>
      <c r="K328" s="459"/>
      <c r="L328" s="459"/>
      <c r="M328" s="459"/>
      <c r="N328" s="459">
        <f t="shared" si="18"/>
        <v>745.81271887780599</v>
      </c>
      <c r="P328" s="451"/>
    </row>
    <row r="329" spans="1:16">
      <c r="A329" s="446">
        <f t="shared" si="16"/>
        <v>2034</v>
      </c>
      <c r="B329" s="446">
        <f t="shared" si="17"/>
        <v>12</v>
      </c>
      <c r="C329" s="459">
        <v>136.30736764023828</v>
      </c>
      <c r="D329" s="459">
        <v>0</v>
      </c>
      <c r="E329" s="459">
        <v>573.77411817040331</v>
      </c>
      <c r="F329" s="459">
        <v>0</v>
      </c>
      <c r="G329" s="459">
        <v>0</v>
      </c>
      <c r="H329" s="459"/>
      <c r="I329" s="459"/>
      <c r="J329" s="459"/>
      <c r="K329" s="459"/>
      <c r="L329" s="459"/>
      <c r="M329" s="459"/>
      <c r="N329" s="459">
        <f t="shared" si="18"/>
        <v>710.08148581064165</v>
      </c>
      <c r="O329" s="454"/>
      <c r="P329" s="451"/>
    </row>
    <row r="330" spans="1:16">
      <c r="A330" s="446">
        <f t="shared" si="16"/>
        <v>2035</v>
      </c>
      <c r="B330" s="446">
        <f t="shared" si="17"/>
        <v>1</v>
      </c>
      <c r="C330" s="459">
        <v>133.08137956676387</v>
      </c>
      <c r="D330" s="459">
        <v>0</v>
      </c>
      <c r="E330" s="459">
        <v>758.6952941933281</v>
      </c>
      <c r="F330" s="459">
        <v>0</v>
      </c>
      <c r="G330" s="459">
        <v>0</v>
      </c>
      <c r="H330" s="459"/>
      <c r="I330" s="459"/>
      <c r="J330" s="459"/>
      <c r="K330" s="459"/>
      <c r="L330" s="459"/>
      <c r="M330" s="459"/>
      <c r="N330" s="459">
        <f t="shared" si="18"/>
        <v>891.77667376009197</v>
      </c>
      <c r="P330" s="451"/>
    </row>
    <row r="331" spans="1:16">
      <c r="A331" s="446">
        <f t="shared" si="16"/>
        <v>2035</v>
      </c>
      <c r="B331" s="446">
        <f t="shared" si="17"/>
        <v>2</v>
      </c>
      <c r="C331" s="459">
        <v>141.60336465652784</v>
      </c>
      <c r="D331" s="459">
        <v>0</v>
      </c>
      <c r="E331" s="459">
        <v>681.08897327910233</v>
      </c>
      <c r="F331" s="459">
        <v>0</v>
      </c>
      <c r="G331" s="459">
        <v>0</v>
      </c>
      <c r="H331" s="459"/>
      <c r="I331" s="459"/>
      <c r="J331" s="459"/>
      <c r="K331" s="459"/>
      <c r="L331" s="459"/>
      <c r="M331" s="459"/>
      <c r="N331" s="459">
        <f t="shared" si="18"/>
        <v>822.69233793563012</v>
      </c>
      <c r="P331" s="451"/>
    </row>
    <row r="332" spans="1:16">
      <c r="A332" s="446">
        <f t="shared" si="16"/>
        <v>2035</v>
      </c>
      <c r="B332" s="446">
        <f t="shared" si="17"/>
        <v>3</v>
      </c>
      <c r="C332" s="459">
        <v>134.3774141722925</v>
      </c>
      <c r="D332" s="459">
        <v>0</v>
      </c>
      <c r="E332" s="459">
        <v>628.79444392725986</v>
      </c>
      <c r="F332" s="459">
        <v>0</v>
      </c>
      <c r="G332" s="459">
        <v>0</v>
      </c>
      <c r="H332" s="459"/>
      <c r="I332" s="459"/>
      <c r="J332" s="459"/>
      <c r="K332" s="459"/>
      <c r="L332" s="459"/>
      <c r="M332" s="459"/>
      <c r="N332" s="459">
        <f t="shared" si="18"/>
        <v>763.17185809955231</v>
      </c>
      <c r="P332" s="451"/>
    </row>
    <row r="333" spans="1:16">
      <c r="A333" s="446">
        <f t="shared" si="16"/>
        <v>2035</v>
      </c>
      <c r="B333" s="446">
        <f t="shared" si="17"/>
        <v>4</v>
      </c>
      <c r="C333" s="459">
        <v>159.58025733067896</v>
      </c>
      <c r="D333" s="459">
        <v>0</v>
      </c>
      <c r="E333" s="459">
        <v>676.477833626284</v>
      </c>
      <c r="F333" s="459">
        <v>0</v>
      </c>
      <c r="G333" s="459">
        <v>0</v>
      </c>
      <c r="H333" s="459"/>
      <c r="I333" s="459"/>
      <c r="J333" s="459"/>
      <c r="K333" s="459"/>
      <c r="L333" s="459"/>
      <c r="M333" s="459"/>
      <c r="N333" s="459">
        <f t="shared" si="18"/>
        <v>836.05809095696293</v>
      </c>
      <c r="P333" s="451"/>
    </row>
    <row r="334" spans="1:16">
      <c r="A334" s="446">
        <f t="shared" si="16"/>
        <v>2035</v>
      </c>
      <c r="B334" s="446">
        <f t="shared" si="17"/>
        <v>5</v>
      </c>
      <c r="C334" s="459">
        <v>169.6321839805448</v>
      </c>
      <c r="D334" s="459">
        <v>0</v>
      </c>
      <c r="E334" s="459">
        <v>768.07697952943238</v>
      </c>
      <c r="F334" s="459">
        <v>0</v>
      </c>
      <c r="G334" s="459">
        <v>0</v>
      </c>
      <c r="H334" s="459"/>
      <c r="I334" s="459"/>
      <c r="J334" s="459"/>
      <c r="K334" s="459"/>
      <c r="L334" s="459"/>
      <c r="M334" s="459"/>
      <c r="N334" s="459">
        <f t="shared" si="18"/>
        <v>937.7091635099772</v>
      </c>
      <c r="P334" s="451"/>
    </row>
    <row r="335" spans="1:16">
      <c r="A335" s="446">
        <f t="shared" ref="A335:A375" si="19">A323+1</f>
        <v>2035</v>
      </c>
      <c r="B335" s="446">
        <f t="shared" ref="B335:B375" si="20">B323</f>
        <v>6</v>
      </c>
      <c r="C335" s="459">
        <v>174.57784478534796</v>
      </c>
      <c r="D335" s="459">
        <v>0</v>
      </c>
      <c r="E335" s="459">
        <v>818.74867401278743</v>
      </c>
      <c r="F335" s="459">
        <v>0</v>
      </c>
      <c r="G335" s="459">
        <v>0</v>
      </c>
      <c r="H335" s="459"/>
      <c r="I335" s="459"/>
      <c r="J335" s="459"/>
      <c r="K335" s="459"/>
      <c r="L335" s="459"/>
      <c r="M335" s="459"/>
      <c r="N335" s="459">
        <f t="shared" si="18"/>
        <v>993.32651879813534</v>
      </c>
      <c r="P335" s="451"/>
    </row>
    <row r="336" spans="1:16">
      <c r="A336" s="446">
        <f t="shared" si="19"/>
        <v>2035</v>
      </c>
      <c r="B336" s="446">
        <f t="shared" si="20"/>
        <v>7</v>
      </c>
      <c r="C336" s="459">
        <v>189.11585965276228</v>
      </c>
      <c r="D336" s="459">
        <v>0</v>
      </c>
      <c r="E336" s="459">
        <v>829.65495659654084</v>
      </c>
      <c r="F336" s="459">
        <v>0</v>
      </c>
      <c r="G336" s="459">
        <v>0</v>
      </c>
      <c r="H336" s="459"/>
      <c r="I336" s="459"/>
      <c r="J336" s="459"/>
      <c r="K336" s="459"/>
      <c r="L336" s="459"/>
      <c r="M336" s="459"/>
      <c r="N336" s="459">
        <f t="shared" si="18"/>
        <v>1018.7708162493032</v>
      </c>
      <c r="P336" s="451"/>
    </row>
    <row r="337" spans="1:16" s="455" customFormat="1" ht="12">
      <c r="A337" s="446">
        <f t="shared" si="19"/>
        <v>2035</v>
      </c>
      <c r="B337" s="446">
        <f t="shared" si="20"/>
        <v>8</v>
      </c>
      <c r="C337" s="459">
        <v>184.47695673172808</v>
      </c>
      <c r="D337" s="459">
        <v>0</v>
      </c>
      <c r="E337" s="459">
        <v>868.10569875353281</v>
      </c>
      <c r="F337" s="459">
        <v>0</v>
      </c>
      <c r="G337" s="459">
        <v>0</v>
      </c>
      <c r="H337" s="459"/>
      <c r="I337" s="459"/>
      <c r="J337" s="459"/>
      <c r="K337" s="459"/>
      <c r="L337" s="459"/>
      <c r="M337" s="459"/>
      <c r="N337" s="459">
        <f t="shared" si="18"/>
        <v>1052.5826554852608</v>
      </c>
      <c r="O337" s="457"/>
      <c r="P337" s="451"/>
    </row>
    <row r="338" spans="1:16">
      <c r="A338" s="446">
        <f t="shared" si="19"/>
        <v>2035</v>
      </c>
      <c r="B338" s="446">
        <f t="shared" si="20"/>
        <v>9</v>
      </c>
      <c r="C338" s="459">
        <v>170.1877333917422</v>
      </c>
      <c r="D338" s="459">
        <v>0</v>
      </c>
      <c r="E338" s="459">
        <v>745.67605877003234</v>
      </c>
      <c r="F338" s="459">
        <v>0</v>
      </c>
      <c r="G338" s="459">
        <v>0</v>
      </c>
      <c r="H338" s="459"/>
      <c r="I338" s="459"/>
      <c r="J338" s="459"/>
      <c r="K338" s="459"/>
      <c r="L338" s="459"/>
      <c r="M338" s="459"/>
      <c r="N338" s="459">
        <f t="shared" si="18"/>
        <v>915.86379216177454</v>
      </c>
      <c r="P338" s="451"/>
    </row>
    <row r="339" spans="1:16">
      <c r="A339" s="446">
        <f t="shared" si="19"/>
        <v>2035</v>
      </c>
      <c r="B339" s="446">
        <f t="shared" si="20"/>
        <v>10</v>
      </c>
      <c r="C339" s="459">
        <v>162.71328966138441</v>
      </c>
      <c r="D339" s="459">
        <v>0</v>
      </c>
      <c r="E339" s="459">
        <v>753.5455116012929</v>
      </c>
      <c r="F339" s="459">
        <v>0</v>
      </c>
      <c r="G339" s="459">
        <v>0</v>
      </c>
      <c r="H339" s="459"/>
      <c r="I339" s="459"/>
      <c r="J339" s="459"/>
      <c r="K339" s="459"/>
      <c r="L339" s="459"/>
      <c r="M339" s="459"/>
      <c r="N339" s="459">
        <f t="shared" si="18"/>
        <v>916.25880126267725</v>
      </c>
      <c r="P339" s="451"/>
    </row>
    <row r="340" spans="1:16">
      <c r="A340" s="446">
        <f t="shared" si="19"/>
        <v>2035</v>
      </c>
      <c r="B340" s="446">
        <f t="shared" si="20"/>
        <v>11</v>
      </c>
      <c r="C340" s="459">
        <v>144.3553208326561</v>
      </c>
      <c r="D340" s="459">
        <v>0</v>
      </c>
      <c r="E340" s="459">
        <v>604.04423992600755</v>
      </c>
      <c r="F340" s="459">
        <v>0</v>
      </c>
      <c r="G340" s="459">
        <v>0</v>
      </c>
      <c r="H340" s="459"/>
      <c r="I340" s="459"/>
      <c r="J340" s="459"/>
      <c r="K340" s="459"/>
      <c r="L340" s="459"/>
      <c r="M340" s="459"/>
      <c r="N340" s="459">
        <f t="shared" si="18"/>
        <v>748.39956075866371</v>
      </c>
      <c r="P340" s="451"/>
    </row>
    <row r="341" spans="1:16">
      <c r="A341" s="446">
        <f t="shared" si="19"/>
        <v>2035</v>
      </c>
      <c r="B341" s="446">
        <f t="shared" si="20"/>
        <v>12</v>
      </c>
      <c r="C341" s="459">
        <v>137.59215006365375</v>
      </c>
      <c r="D341" s="459">
        <v>0</v>
      </c>
      <c r="E341" s="459">
        <v>575.37707059226886</v>
      </c>
      <c r="F341" s="459">
        <v>0</v>
      </c>
      <c r="G341" s="459">
        <v>0</v>
      </c>
      <c r="H341" s="459"/>
      <c r="I341" s="459"/>
      <c r="J341" s="459"/>
      <c r="K341" s="459"/>
      <c r="L341" s="459"/>
      <c r="M341" s="459"/>
      <c r="N341" s="459">
        <f t="shared" si="18"/>
        <v>712.96922065592264</v>
      </c>
      <c r="O341" s="454"/>
      <c r="P341" s="451"/>
    </row>
    <row r="342" spans="1:16">
      <c r="A342" s="446">
        <f t="shared" si="19"/>
        <v>2036</v>
      </c>
      <c r="B342" s="446">
        <f t="shared" si="20"/>
        <v>1</v>
      </c>
      <c r="C342" s="459">
        <v>134.33575502945004</v>
      </c>
      <c r="D342" s="459">
        <v>0</v>
      </c>
      <c r="E342" s="459">
        <v>759.45395934156409</v>
      </c>
      <c r="F342" s="459">
        <v>0</v>
      </c>
      <c r="G342" s="459">
        <v>0</v>
      </c>
      <c r="H342" s="459"/>
      <c r="I342" s="459"/>
      <c r="J342" s="459"/>
      <c r="K342" s="459"/>
      <c r="L342" s="459"/>
      <c r="M342" s="459"/>
      <c r="N342" s="459">
        <f t="shared" si="18"/>
        <v>893.78971437101416</v>
      </c>
      <c r="P342" s="451"/>
    </row>
    <row r="343" spans="1:16">
      <c r="A343" s="446">
        <f t="shared" si="19"/>
        <v>2036</v>
      </c>
      <c r="B343" s="446">
        <f t="shared" si="20"/>
        <v>2</v>
      </c>
      <c r="C343" s="459">
        <v>142.93806517313797</v>
      </c>
      <c r="D343" s="459">
        <v>0</v>
      </c>
      <c r="E343" s="459">
        <v>681.76991570499706</v>
      </c>
      <c r="F343" s="459">
        <v>0</v>
      </c>
      <c r="G343" s="459">
        <v>0</v>
      </c>
      <c r="H343" s="459"/>
      <c r="I343" s="459"/>
      <c r="J343" s="459"/>
      <c r="K343" s="459"/>
      <c r="L343" s="459"/>
      <c r="M343" s="459"/>
      <c r="N343" s="459">
        <f t="shared" si="18"/>
        <v>824.707980878135</v>
      </c>
      <c r="P343" s="451"/>
    </row>
    <row r="344" spans="1:16">
      <c r="A344" s="446">
        <f t="shared" si="19"/>
        <v>2036</v>
      </c>
      <c r="B344" s="446">
        <f t="shared" si="20"/>
        <v>3</v>
      </c>
      <c r="C344" s="459">
        <v>135.64400557392707</v>
      </c>
      <c r="D344" s="459">
        <v>0</v>
      </c>
      <c r="E344" s="459">
        <v>629.48744243740578</v>
      </c>
      <c r="F344" s="459">
        <v>0</v>
      </c>
      <c r="G344" s="459">
        <v>0</v>
      </c>
      <c r="H344" s="459"/>
      <c r="I344" s="459"/>
      <c r="J344" s="459"/>
      <c r="K344" s="459"/>
      <c r="L344" s="459"/>
      <c r="M344" s="459"/>
      <c r="N344" s="459">
        <f t="shared" si="18"/>
        <v>765.13144801133285</v>
      </c>
      <c r="P344" s="451"/>
    </row>
    <row r="345" spans="1:16">
      <c r="A345" s="446">
        <f t="shared" si="19"/>
        <v>2036</v>
      </c>
      <c r="B345" s="446">
        <f t="shared" si="20"/>
        <v>4</v>
      </c>
      <c r="C345" s="459">
        <v>161.08440133471913</v>
      </c>
      <c r="D345" s="459">
        <v>0</v>
      </c>
      <c r="E345" s="459">
        <v>680.75354480604699</v>
      </c>
      <c r="F345" s="459">
        <v>0</v>
      </c>
      <c r="G345" s="459">
        <v>0</v>
      </c>
      <c r="H345" s="459"/>
      <c r="I345" s="459"/>
      <c r="J345" s="459"/>
      <c r="K345" s="459"/>
      <c r="L345" s="459"/>
      <c r="M345" s="459"/>
      <c r="N345" s="459">
        <f t="shared" si="18"/>
        <v>841.83794614076612</v>
      </c>
      <c r="P345" s="451"/>
    </row>
    <row r="346" spans="1:16">
      <c r="A346" s="446">
        <f t="shared" si="19"/>
        <v>2036</v>
      </c>
      <c r="B346" s="446">
        <f t="shared" si="20"/>
        <v>5</v>
      </c>
      <c r="C346" s="459">
        <v>171.23107369719602</v>
      </c>
      <c r="D346" s="459">
        <v>0</v>
      </c>
      <c r="E346" s="459">
        <v>772.05249418485539</v>
      </c>
      <c r="F346" s="459">
        <v>0</v>
      </c>
      <c r="G346" s="459">
        <v>0</v>
      </c>
      <c r="H346" s="459"/>
      <c r="I346" s="459"/>
      <c r="J346" s="459"/>
      <c r="K346" s="459"/>
      <c r="L346" s="459"/>
      <c r="M346" s="459"/>
      <c r="N346" s="459">
        <f t="shared" si="18"/>
        <v>943.28356788205144</v>
      </c>
      <c r="P346" s="451"/>
    </row>
    <row r="347" spans="1:16">
      <c r="A347" s="446">
        <f t="shared" si="19"/>
        <v>2036</v>
      </c>
      <c r="B347" s="446">
        <f t="shared" si="20"/>
        <v>6</v>
      </c>
      <c r="C347" s="459">
        <v>176.22335045669178</v>
      </c>
      <c r="D347" s="459">
        <v>0</v>
      </c>
      <c r="E347" s="459">
        <v>821.63203879135517</v>
      </c>
      <c r="F347" s="459">
        <v>0</v>
      </c>
      <c r="G347" s="459">
        <v>0</v>
      </c>
      <c r="H347" s="459"/>
      <c r="I347" s="459"/>
      <c r="J347" s="459"/>
      <c r="K347" s="459"/>
      <c r="L347" s="459"/>
      <c r="M347" s="459"/>
      <c r="N347" s="459">
        <f t="shared" si="18"/>
        <v>997.855389248047</v>
      </c>
      <c r="P347" s="451"/>
    </row>
    <row r="348" spans="1:16">
      <c r="A348" s="446">
        <f t="shared" si="19"/>
        <v>2036</v>
      </c>
      <c r="B348" s="446">
        <f t="shared" si="20"/>
        <v>7</v>
      </c>
      <c r="C348" s="459">
        <v>190.89874605845932</v>
      </c>
      <c r="D348" s="459">
        <v>0</v>
      </c>
      <c r="E348" s="459">
        <v>834.37353800773599</v>
      </c>
      <c r="F348" s="459">
        <v>0</v>
      </c>
      <c r="G348" s="459">
        <v>0</v>
      </c>
      <c r="H348" s="459"/>
      <c r="I348" s="459"/>
      <c r="J348" s="459"/>
      <c r="K348" s="459"/>
      <c r="L348" s="459"/>
      <c r="M348" s="459"/>
      <c r="N348" s="459">
        <f t="shared" si="18"/>
        <v>1025.2722840661954</v>
      </c>
      <c r="P348" s="451"/>
    </row>
    <row r="349" spans="1:16" s="455" customFormat="1" ht="12">
      <c r="A349" s="446">
        <f t="shared" si="19"/>
        <v>2036</v>
      </c>
      <c r="B349" s="446">
        <f t="shared" si="20"/>
        <v>8</v>
      </c>
      <c r="C349" s="459">
        <v>186.2157677412668</v>
      </c>
      <c r="D349" s="459">
        <v>0</v>
      </c>
      <c r="E349" s="459">
        <v>873.06564406618338</v>
      </c>
      <c r="F349" s="459">
        <v>0</v>
      </c>
      <c r="G349" s="459">
        <v>0</v>
      </c>
      <c r="H349" s="459"/>
      <c r="I349" s="459"/>
      <c r="J349" s="459"/>
      <c r="K349" s="459"/>
      <c r="L349" s="459"/>
      <c r="M349" s="459"/>
      <c r="N349" s="459">
        <f t="shared" si="18"/>
        <v>1059.2814118074502</v>
      </c>
      <c r="O349" s="457"/>
      <c r="P349" s="451"/>
    </row>
    <row r="350" spans="1:16">
      <c r="A350" s="446">
        <f t="shared" si="19"/>
        <v>2036</v>
      </c>
      <c r="B350" s="446">
        <f t="shared" si="20"/>
        <v>9</v>
      </c>
      <c r="C350" s="459">
        <v>171.79185950999968</v>
      </c>
      <c r="D350" s="459">
        <v>0</v>
      </c>
      <c r="E350" s="459">
        <v>749.94674427013172</v>
      </c>
      <c r="F350" s="459">
        <v>0</v>
      </c>
      <c r="G350" s="459">
        <v>0</v>
      </c>
      <c r="H350" s="459"/>
      <c r="I350" s="459"/>
      <c r="J350" s="459"/>
      <c r="K350" s="459"/>
      <c r="L350" s="459"/>
      <c r="M350" s="459"/>
      <c r="N350" s="459">
        <f t="shared" si="18"/>
        <v>921.73860378013137</v>
      </c>
      <c r="P350" s="451"/>
    </row>
    <row r="351" spans="1:16">
      <c r="A351" s="446">
        <f t="shared" si="19"/>
        <v>2036</v>
      </c>
      <c r="B351" s="446">
        <f t="shared" si="20"/>
        <v>10</v>
      </c>
      <c r="C351" s="459">
        <v>164.24696445998237</v>
      </c>
      <c r="D351" s="459">
        <v>0</v>
      </c>
      <c r="E351" s="459">
        <v>756.1195356961282</v>
      </c>
      <c r="F351" s="459">
        <v>0</v>
      </c>
      <c r="G351" s="459">
        <v>0</v>
      </c>
      <c r="H351" s="459"/>
      <c r="I351" s="459"/>
      <c r="J351" s="459"/>
      <c r="K351" s="459"/>
      <c r="L351" s="459"/>
      <c r="M351" s="459"/>
      <c r="N351" s="459">
        <f t="shared" si="18"/>
        <v>920.36650015611053</v>
      </c>
      <c r="P351" s="451"/>
    </row>
    <row r="352" spans="1:16">
      <c r="A352" s="446">
        <f t="shared" si="19"/>
        <v>2036</v>
      </c>
      <c r="B352" s="446">
        <f t="shared" si="20"/>
        <v>11</v>
      </c>
      <c r="C352" s="459">
        <v>145.71596026208002</v>
      </c>
      <c r="D352" s="459">
        <v>0</v>
      </c>
      <c r="E352" s="459">
        <v>605.28569375177813</v>
      </c>
      <c r="F352" s="459">
        <v>0</v>
      </c>
      <c r="G352" s="459">
        <v>0</v>
      </c>
      <c r="H352" s="459"/>
      <c r="I352" s="459"/>
      <c r="J352" s="459"/>
      <c r="K352" s="459"/>
      <c r="L352" s="459"/>
      <c r="M352" s="459"/>
      <c r="N352" s="459">
        <f t="shared" si="18"/>
        <v>751.00165401385811</v>
      </c>
      <c r="P352" s="451"/>
    </row>
    <row r="353" spans="1:16">
      <c r="A353" s="446">
        <f t="shared" si="19"/>
        <v>2036</v>
      </c>
      <c r="B353" s="446">
        <f t="shared" si="20"/>
        <v>12</v>
      </c>
      <c r="C353" s="459">
        <v>138.88904236714461</v>
      </c>
      <c r="D353" s="459">
        <v>0</v>
      </c>
      <c r="E353" s="459">
        <v>576.98450118138771</v>
      </c>
      <c r="F353" s="459">
        <v>0</v>
      </c>
      <c r="G353" s="459">
        <v>0</v>
      </c>
      <c r="H353" s="459"/>
      <c r="I353" s="459"/>
      <c r="J353" s="459"/>
      <c r="K353" s="459"/>
      <c r="L353" s="459"/>
      <c r="M353" s="459"/>
      <c r="N353" s="459">
        <f t="shared" si="18"/>
        <v>715.87354354853233</v>
      </c>
      <c r="O353" s="454"/>
      <c r="P353" s="451"/>
    </row>
    <row r="354" spans="1:16">
      <c r="A354" s="446">
        <f t="shared" si="19"/>
        <v>2037</v>
      </c>
      <c r="B354" s="446">
        <f t="shared" si="20"/>
        <v>1</v>
      </c>
      <c r="C354" s="459">
        <v>135.6019537675374</v>
      </c>
      <c r="D354" s="459">
        <v>0</v>
      </c>
      <c r="E354" s="459">
        <v>760.2133831248035</v>
      </c>
      <c r="F354" s="459">
        <v>0</v>
      </c>
      <c r="G354" s="459">
        <v>0</v>
      </c>
      <c r="H354" s="459"/>
      <c r="I354" s="459"/>
      <c r="J354" s="459"/>
      <c r="K354" s="459"/>
      <c r="L354" s="459"/>
      <c r="M354" s="459"/>
      <c r="N354" s="459">
        <f t="shared" si="18"/>
        <v>895.81533689234084</v>
      </c>
      <c r="P354" s="451"/>
    </row>
    <row r="355" spans="1:16">
      <c r="A355" s="446">
        <f t="shared" si="19"/>
        <v>2037</v>
      </c>
      <c r="B355" s="446">
        <f t="shared" si="20"/>
        <v>2</v>
      </c>
      <c r="C355" s="459">
        <v>144.28534607915736</v>
      </c>
      <c r="D355" s="459">
        <v>0</v>
      </c>
      <c r="E355" s="459">
        <v>682.45153892680185</v>
      </c>
      <c r="F355" s="459">
        <v>0</v>
      </c>
      <c r="G355" s="459">
        <v>0</v>
      </c>
      <c r="H355" s="459"/>
      <c r="I355" s="459"/>
      <c r="J355" s="459"/>
      <c r="K355" s="459"/>
      <c r="L355" s="459"/>
      <c r="M355" s="459"/>
      <c r="N355" s="459">
        <f t="shared" si="18"/>
        <v>826.73688500595927</v>
      </c>
      <c r="P355" s="451"/>
    </row>
    <row r="356" spans="1:16">
      <c r="A356" s="446">
        <f t="shared" si="19"/>
        <v>2037</v>
      </c>
      <c r="B356" s="446">
        <f t="shared" si="20"/>
        <v>3</v>
      </c>
      <c r="C356" s="459">
        <v>136.92253539384851</v>
      </c>
      <c r="D356" s="459">
        <v>0</v>
      </c>
      <c r="E356" s="459">
        <v>630.18120470578731</v>
      </c>
      <c r="F356" s="459">
        <v>0</v>
      </c>
      <c r="G356" s="459">
        <v>0</v>
      </c>
      <c r="H356" s="459"/>
      <c r="I356" s="459"/>
      <c r="J356" s="459"/>
      <c r="K356" s="459"/>
      <c r="L356" s="459"/>
      <c r="M356" s="459"/>
      <c r="N356" s="459">
        <f t="shared" si="18"/>
        <v>767.10374009963584</v>
      </c>
      <c r="P356" s="451"/>
    </row>
    <row r="357" spans="1:16">
      <c r="A357" s="446">
        <f t="shared" si="19"/>
        <v>2037</v>
      </c>
      <c r="B357" s="446">
        <f t="shared" si="20"/>
        <v>4</v>
      </c>
      <c r="C357" s="459">
        <v>162.60272283930189</v>
      </c>
      <c r="D357" s="459">
        <v>0</v>
      </c>
      <c r="E357" s="459">
        <v>685.05628082710405</v>
      </c>
      <c r="F357" s="459">
        <v>0</v>
      </c>
      <c r="G357" s="459">
        <v>0</v>
      </c>
      <c r="H357" s="459"/>
      <c r="I357" s="459"/>
      <c r="J357" s="459"/>
      <c r="K357" s="459"/>
      <c r="L357" s="459"/>
      <c r="M357" s="459"/>
      <c r="N357" s="459">
        <f t="shared" si="18"/>
        <v>847.65900366640597</v>
      </c>
      <c r="P357" s="451"/>
    </row>
    <row r="358" spans="1:16">
      <c r="A358" s="446">
        <f t="shared" si="19"/>
        <v>2037</v>
      </c>
      <c r="B358" s="446">
        <f t="shared" si="20"/>
        <v>5</v>
      </c>
      <c r="C358" s="459">
        <v>172.84503395214972</v>
      </c>
      <c r="D358" s="459">
        <v>0</v>
      </c>
      <c r="E358" s="459">
        <v>776.04858583607017</v>
      </c>
      <c r="F358" s="459">
        <v>0</v>
      </c>
      <c r="G358" s="459">
        <v>0</v>
      </c>
      <c r="H358" s="459"/>
      <c r="I358" s="459"/>
      <c r="J358" s="459"/>
      <c r="K358" s="459"/>
      <c r="L358" s="459"/>
      <c r="M358" s="459"/>
      <c r="N358" s="459">
        <f t="shared" si="18"/>
        <v>948.89361978821989</v>
      </c>
      <c r="P358" s="451"/>
    </row>
    <row r="359" spans="1:16">
      <c r="A359" s="446">
        <f t="shared" si="19"/>
        <v>2037</v>
      </c>
      <c r="B359" s="446">
        <f t="shared" si="20"/>
        <v>6</v>
      </c>
      <c r="C359" s="459">
        <v>177.88436605094566</v>
      </c>
      <c r="D359" s="459">
        <v>0</v>
      </c>
      <c r="E359" s="459">
        <v>824.52555783668402</v>
      </c>
      <c r="F359" s="459">
        <v>0</v>
      </c>
      <c r="G359" s="459">
        <v>0</v>
      </c>
      <c r="H359" s="459"/>
      <c r="I359" s="459"/>
      <c r="J359" s="459"/>
      <c r="K359" s="459"/>
      <c r="L359" s="459"/>
      <c r="M359" s="459"/>
      <c r="N359" s="459">
        <f t="shared" si="18"/>
        <v>1002.4099238876297</v>
      </c>
      <c r="P359" s="451"/>
    </row>
    <row r="360" spans="1:16">
      <c r="A360" s="446">
        <f t="shared" si="19"/>
        <v>2037</v>
      </c>
      <c r="B360" s="446">
        <f t="shared" si="20"/>
        <v>7</v>
      </c>
      <c r="C360" s="459">
        <v>192.69844059405861</v>
      </c>
      <c r="D360" s="459">
        <v>0</v>
      </c>
      <c r="E360" s="459">
        <v>839.11895588914933</v>
      </c>
      <c r="F360" s="459">
        <v>0</v>
      </c>
      <c r="G360" s="459">
        <v>0</v>
      </c>
      <c r="H360" s="459"/>
      <c r="I360" s="459"/>
      <c r="J360" s="459"/>
      <c r="K360" s="459"/>
      <c r="L360" s="459"/>
      <c r="M360" s="459"/>
      <c r="N360" s="459">
        <f t="shared" si="18"/>
        <v>1031.8173964832079</v>
      </c>
      <c r="P360" s="451"/>
    </row>
    <row r="361" spans="1:16" s="455" customFormat="1" ht="12">
      <c r="A361" s="446">
        <f t="shared" si="19"/>
        <v>2037</v>
      </c>
      <c r="B361" s="446">
        <f t="shared" si="20"/>
        <v>8</v>
      </c>
      <c r="C361" s="459">
        <v>187.97096813504331</v>
      </c>
      <c r="D361" s="459">
        <v>0</v>
      </c>
      <c r="E361" s="459">
        <v>878.05392816009044</v>
      </c>
      <c r="F361" s="459">
        <v>0</v>
      </c>
      <c r="G361" s="459">
        <v>0</v>
      </c>
      <c r="H361" s="459"/>
      <c r="I361" s="459"/>
      <c r="J361" s="459"/>
      <c r="K361" s="459"/>
      <c r="L361" s="459"/>
      <c r="M361" s="459"/>
      <c r="N361" s="459">
        <f t="shared" si="18"/>
        <v>1066.0248962951337</v>
      </c>
      <c r="O361" s="457"/>
      <c r="P361" s="451"/>
    </row>
    <row r="362" spans="1:16">
      <c r="A362" s="446">
        <f t="shared" si="19"/>
        <v>2037</v>
      </c>
      <c r="B362" s="446">
        <f t="shared" si="20"/>
        <v>9</v>
      </c>
      <c r="C362" s="459">
        <v>173.41110552292869</v>
      </c>
      <c r="D362" s="459">
        <v>0</v>
      </c>
      <c r="E362" s="459">
        <v>754.24188912416389</v>
      </c>
      <c r="F362" s="459">
        <v>0</v>
      </c>
      <c r="G362" s="459">
        <v>0</v>
      </c>
      <c r="H362" s="459"/>
      <c r="I362" s="459"/>
      <c r="J362" s="459"/>
      <c r="K362" s="459"/>
      <c r="L362" s="459"/>
      <c r="M362" s="459"/>
      <c r="N362" s="459">
        <f t="shared" si="18"/>
        <v>927.65299464709256</v>
      </c>
      <c r="P362" s="451"/>
    </row>
    <row r="363" spans="1:16">
      <c r="A363" s="446">
        <f t="shared" si="19"/>
        <v>2037</v>
      </c>
      <c r="B363" s="446">
        <f t="shared" si="20"/>
        <v>10</v>
      </c>
      <c r="C363" s="459">
        <v>165.79509510538148</v>
      </c>
      <c r="D363" s="459">
        <v>0</v>
      </c>
      <c r="E363" s="459">
        <v>758.70235235881614</v>
      </c>
      <c r="F363" s="459">
        <v>0</v>
      </c>
      <c r="G363" s="459">
        <v>0</v>
      </c>
      <c r="H363" s="459"/>
      <c r="I363" s="459"/>
      <c r="J363" s="459"/>
      <c r="K363" s="459"/>
      <c r="L363" s="459"/>
      <c r="M363" s="459"/>
      <c r="N363" s="459">
        <f t="shared" si="18"/>
        <v>924.49744746419765</v>
      </c>
      <c r="P363" s="451"/>
    </row>
    <row r="364" spans="1:16">
      <c r="A364" s="446">
        <f t="shared" si="19"/>
        <v>2037</v>
      </c>
      <c r="B364" s="446">
        <f t="shared" si="20"/>
        <v>11</v>
      </c>
      <c r="C364" s="459">
        <v>147.08942457143368</v>
      </c>
      <c r="D364" s="459">
        <v>0</v>
      </c>
      <c r="E364" s="459">
        <v>606.52969905888017</v>
      </c>
      <c r="F364" s="459">
        <v>0</v>
      </c>
      <c r="G364" s="459">
        <v>0</v>
      </c>
      <c r="H364" s="459"/>
      <c r="I364" s="459"/>
      <c r="J364" s="459"/>
      <c r="K364" s="459"/>
      <c r="L364" s="459"/>
      <c r="M364" s="459"/>
      <c r="N364" s="459">
        <f t="shared" si="18"/>
        <v>753.61912363031388</v>
      </c>
      <c r="P364" s="451"/>
    </row>
    <row r="365" spans="1:16">
      <c r="A365" s="446">
        <f t="shared" si="19"/>
        <v>2037</v>
      </c>
      <c r="B365" s="446">
        <f t="shared" si="20"/>
        <v>12</v>
      </c>
      <c r="C365" s="459">
        <v>140.19815869392514</v>
      </c>
      <c r="D365" s="459">
        <v>0</v>
      </c>
      <c r="E365" s="459">
        <v>578.59642244841314</v>
      </c>
      <c r="F365" s="459">
        <v>0</v>
      </c>
      <c r="G365" s="459">
        <v>0</v>
      </c>
      <c r="H365" s="459"/>
      <c r="I365" s="459"/>
      <c r="J365" s="459"/>
      <c r="K365" s="459"/>
      <c r="L365" s="459"/>
      <c r="M365" s="459"/>
      <c r="N365" s="459">
        <f t="shared" si="18"/>
        <v>718.7945811423383</v>
      </c>
      <c r="O365" s="454"/>
      <c r="P365" s="451"/>
    </row>
    <row r="366" spans="1:16">
      <c r="A366" s="446">
        <f t="shared" si="19"/>
        <v>2038</v>
      </c>
      <c r="B366" s="446">
        <f t="shared" si="20"/>
        <v>1</v>
      </c>
      <c r="C366" s="459">
        <v>136.8800872228114</v>
      </c>
      <c r="D366" s="459">
        <v>0</v>
      </c>
      <c r="E366" s="459">
        <v>760.97356630165132</v>
      </c>
      <c r="F366" s="459">
        <v>0</v>
      </c>
      <c r="G366" s="459">
        <v>0</v>
      </c>
      <c r="H366" s="459"/>
      <c r="I366" s="459"/>
      <c r="J366" s="459"/>
      <c r="K366" s="459"/>
      <c r="L366" s="459"/>
      <c r="M366" s="459"/>
      <c r="N366" s="459">
        <f t="shared" si="18"/>
        <v>897.85365352446274</v>
      </c>
      <c r="P366" s="451"/>
    </row>
    <row r="367" spans="1:16">
      <c r="A367" s="446">
        <f t="shared" si="19"/>
        <v>2038</v>
      </c>
      <c r="B367" s="446">
        <f t="shared" si="20"/>
        <v>2</v>
      </c>
      <c r="C367" s="459">
        <v>145.64532595264581</v>
      </c>
      <c r="D367" s="459">
        <v>0</v>
      </c>
      <c r="E367" s="459">
        <v>683.13384362516615</v>
      </c>
      <c r="F367" s="459">
        <v>0</v>
      </c>
      <c r="G367" s="459">
        <v>0</v>
      </c>
      <c r="H367" s="459"/>
      <c r="I367" s="459"/>
      <c r="J367" s="459"/>
      <c r="K367" s="459"/>
      <c r="L367" s="459"/>
      <c r="M367" s="459"/>
      <c r="N367" s="459">
        <f t="shared" si="18"/>
        <v>828.7791695778119</v>
      </c>
      <c r="P367" s="451"/>
    </row>
    <row r="368" spans="1:16">
      <c r="A368" s="446">
        <f t="shared" si="19"/>
        <v>2038</v>
      </c>
      <c r="B368" s="446">
        <f t="shared" si="20"/>
        <v>3</v>
      </c>
      <c r="C368" s="459">
        <v>138.21311615913618</v>
      </c>
      <c r="D368" s="459">
        <v>0</v>
      </c>
      <c r="E368" s="459">
        <v>630.87573157414749</v>
      </c>
      <c r="F368" s="459">
        <v>0</v>
      </c>
      <c r="G368" s="459">
        <v>0</v>
      </c>
      <c r="H368" s="459"/>
      <c r="I368" s="459"/>
      <c r="J368" s="459"/>
      <c r="K368" s="459"/>
      <c r="L368" s="459"/>
      <c r="M368" s="459"/>
      <c r="N368" s="459">
        <f t="shared" si="18"/>
        <v>769.08884773328373</v>
      </c>
      <c r="P368" s="451"/>
    </row>
    <row r="369" spans="1:16">
      <c r="A369" s="446">
        <f t="shared" si="19"/>
        <v>2038</v>
      </c>
      <c r="B369" s="446">
        <f t="shared" si="20"/>
        <v>4</v>
      </c>
      <c r="C369" s="459">
        <v>164.13535547626103</v>
      </c>
      <c r="D369" s="459">
        <v>0</v>
      </c>
      <c r="E369" s="459">
        <v>689.38621250128438</v>
      </c>
      <c r="F369" s="459">
        <v>0</v>
      </c>
      <c r="G369" s="459">
        <v>0</v>
      </c>
      <c r="H369" s="459"/>
      <c r="I369" s="459"/>
      <c r="J369" s="459"/>
      <c r="K369" s="459"/>
      <c r="L369" s="459"/>
      <c r="M369" s="459"/>
      <c r="N369" s="459">
        <f t="shared" si="18"/>
        <v>853.52156797754537</v>
      </c>
      <c r="P369" s="451"/>
    </row>
    <row r="370" spans="1:16">
      <c r="A370" s="446">
        <f t="shared" si="19"/>
        <v>2038</v>
      </c>
      <c r="B370" s="446">
        <f t="shared" si="20"/>
        <v>5</v>
      </c>
      <c r="C370" s="459">
        <v>174.4742067946807</v>
      </c>
      <c r="D370" s="459">
        <v>0</v>
      </c>
      <c r="E370" s="459">
        <v>780.06536098821937</v>
      </c>
      <c r="F370" s="459">
        <v>0</v>
      </c>
      <c r="G370" s="459">
        <v>0</v>
      </c>
      <c r="H370" s="459"/>
      <c r="I370" s="459"/>
      <c r="J370" s="459"/>
      <c r="K370" s="459"/>
      <c r="L370" s="459"/>
      <c r="M370" s="459"/>
      <c r="N370" s="459">
        <f t="shared" si="18"/>
        <v>954.53956778290012</v>
      </c>
      <c r="P370" s="451"/>
    </row>
    <row r="371" spans="1:16">
      <c r="A371" s="446">
        <f t="shared" si="19"/>
        <v>2038</v>
      </c>
      <c r="B371" s="446">
        <f t="shared" si="20"/>
        <v>6</v>
      </c>
      <c r="C371" s="459">
        <v>179.5610377588599</v>
      </c>
      <c r="D371" s="459">
        <v>0</v>
      </c>
      <c r="E371" s="459">
        <v>827.42926690877721</v>
      </c>
      <c r="F371" s="459">
        <v>0</v>
      </c>
      <c r="G371" s="459">
        <v>0</v>
      </c>
      <c r="H371" s="459"/>
      <c r="I371" s="459"/>
      <c r="J371" s="459"/>
      <c r="K371" s="459"/>
      <c r="L371" s="459"/>
      <c r="M371" s="459"/>
      <c r="N371" s="459">
        <f t="shared" si="18"/>
        <v>1006.9903046676371</v>
      </c>
      <c r="P371" s="451"/>
    </row>
    <row r="372" spans="1:16">
      <c r="A372" s="446">
        <f t="shared" si="19"/>
        <v>2038</v>
      </c>
      <c r="B372" s="446">
        <f t="shared" si="20"/>
        <v>7</v>
      </c>
      <c r="C372" s="459">
        <v>194.51510171790608</v>
      </c>
      <c r="D372" s="459">
        <v>0</v>
      </c>
      <c r="E372" s="459">
        <v>843.89136287058022</v>
      </c>
      <c r="F372" s="459">
        <v>0</v>
      </c>
      <c r="G372" s="459">
        <v>0</v>
      </c>
      <c r="H372" s="459"/>
      <c r="I372" s="459"/>
      <c r="J372" s="459"/>
      <c r="K372" s="459"/>
      <c r="L372" s="459"/>
      <c r="M372" s="459"/>
      <c r="N372" s="459">
        <f t="shared" si="18"/>
        <v>1038.4064645884864</v>
      </c>
      <c r="P372" s="451"/>
    </row>
    <row r="373" spans="1:16" s="455" customFormat="1" ht="12">
      <c r="A373" s="446">
        <f t="shared" si="19"/>
        <v>2038</v>
      </c>
      <c r="B373" s="446">
        <f t="shared" si="20"/>
        <v>8</v>
      </c>
      <c r="C373" s="459">
        <v>189.7427123932824</v>
      </c>
      <c r="D373" s="459">
        <v>0</v>
      </c>
      <c r="E373" s="459">
        <v>883.07071294964464</v>
      </c>
      <c r="F373" s="459">
        <v>0</v>
      </c>
      <c r="G373" s="459">
        <v>0</v>
      </c>
      <c r="H373" s="459"/>
      <c r="I373" s="459"/>
      <c r="J373" s="459"/>
      <c r="K373" s="459"/>
      <c r="L373" s="459"/>
      <c r="M373" s="459"/>
      <c r="N373" s="459">
        <f t="shared" si="18"/>
        <v>1072.8134253429271</v>
      </c>
      <c r="O373" s="457"/>
      <c r="P373" s="451"/>
    </row>
    <row r="374" spans="1:16">
      <c r="A374" s="446">
        <f t="shared" si="19"/>
        <v>2038</v>
      </c>
      <c r="B374" s="446">
        <f t="shared" si="20"/>
        <v>9</v>
      </c>
      <c r="C374" s="459">
        <v>175.04561394501883</v>
      </c>
      <c r="D374" s="459">
        <v>0</v>
      </c>
      <c r="E374" s="459">
        <v>758.56163341736703</v>
      </c>
      <c r="F374" s="459">
        <v>0</v>
      </c>
      <c r="G374" s="459">
        <v>0</v>
      </c>
      <c r="H374" s="459"/>
      <c r="I374" s="459"/>
      <c r="J374" s="459"/>
      <c r="K374" s="459"/>
      <c r="L374" s="459"/>
      <c r="M374" s="459"/>
      <c r="N374" s="459">
        <f t="shared" si="18"/>
        <v>933.60724736238581</v>
      </c>
      <c r="P374" s="451"/>
    </row>
    <row r="375" spans="1:16">
      <c r="A375" s="446">
        <f t="shared" si="19"/>
        <v>2038</v>
      </c>
      <c r="B375" s="446">
        <f t="shared" si="20"/>
        <v>10</v>
      </c>
      <c r="C375" s="459">
        <v>167.35781785300358</v>
      </c>
      <c r="D375" s="459">
        <v>0</v>
      </c>
      <c r="E375" s="459">
        <v>761.29399162374898</v>
      </c>
      <c r="F375" s="459">
        <v>0</v>
      </c>
      <c r="G375" s="459">
        <v>0</v>
      </c>
      <c r="H375" s="459"/>
      <c r="I375" s="459"/>
      <c r="J375" s="459"/>
      <c r="K375" s="459"/>
      <c r="L375" s="459"/>
      <c r="M375" s="459"/>
      <c r="N375" s="459">
        <f t="shared" si="18"/>
        <v>928.65180947675253</v>
      </c>
      <c r="P375" s="451"/>
    </row>
    <row r="376" spans="1:16">
      <c r="A376" s="446">
        <f>A364+1</f>
        <v>2038</v>
      </c>
      <c r="B376" s="446">
        <f>B364</f>
        <v>11</v>
      </c>
      <c r="C376" s="459">
        <v>148.47583464325342</v>
      </c>
      <c r="D376" s="459">
        <v>0</v>
      </c>
      <c r="E376" s="459">
        <v>607.7762610912115</v>
      </c>
      <c r="F376" s="459">
        <v>0</v>
      </c>
      <c r="G376" s="459">
        <v>0</v>
      </c>
      <c r="H376" s="459"/>
      <c r="I376" s="459"/>
      <c r="J376" s="459"/>
      <c r="K376" s="459"/>
      <c r="L376" s="459"/>
      <c r="M376" s="459"/>
      <c r="N376" s="459">
        <f t="shared" si="18"/>
        <v>756.25209573446489</v>
      </c>
      <c r="P376" s="451"/>
    </row>
    <row r="377" spans="1:16">
      <c r="A377" s="446">
        <f t="shared" ref="A377:A389" si="21">A365+1</f>
        <v>2038</v>
      </c>
      <c r="B377" s="446">
        <f t="shared" ref="B377:B389" si="22">B365</f>
        <v>12</v>
      </c>
      <c r="C377" s="459">
        <v>141.51961426308097</v>
      </c>
      <c r="D377" s="459">
        <v>0</v>
      </c>
      <c r="E377" s="459">
        <v>580.21284693894927</v>
      </c>
      <c r="F377" s="459">
        <v>0</v>
      </c>
      <c r="G377" s="459">
        <v>0</v>
      </c>
      <c r="H377" s="459"/>
      <c r="I377" s="459"/>
      <c r="J377" s="459"/>
      <c r="K377" s="459"/>
      <c r="L377" s="459"/>
      <c r="M377" s="459"/>
      <c r="N377" s="459">
        <f t="shared" si="18"/>
        <v>721.73246120203021</v>
      </c>
      <c r="O377" s="454"/>
      <c r="P377" s="451"/>
    </row>
    <row r="378" spans="1:16">
      <c r="A378" s="446">
        <f t="shared" si="21"/>
        <v>2039</v>
      </c>
      <c r="B378" s="446">
        <f t="shared" si="22"/>
        <v>1</v>
      </c>
      <c r="C378" s="459">
        <v>138.17026788746628</v>
      </c>
      <c r="D378" s="459">
        <v>0</v>
      </c>
      <c r="E378" s="459">
        <v>761.73450963147081</v>
      </c>
      <c r="F378" s="459">
        <v>0</v>
      </c>
      <c r="G378" s="459">
        <v>0</v>
      </c>
      <c r="H378" s="459"/>
      <c r="I378" s="459"/>
      <c r="J378" s="459"/>
      <c r="K378" s="459"/>
      <c r="L378" s="459"/>
      <c r="M378" s="459"/>
      <c r="N378" s="459">
        <f t="shared" si="18"/>
        <v>899.90477751893707</v>
      </c>
      <c r="P378" s="451"/>
    </row>
    <row r="379" spans="1:16">
      <c r="A379" s="446">
        <f t="shared" si="21"/>
        <v>2039</v>
      </c>
      <c r="B379" s="446">
        <f t="shared" si="22"/>
        <v>2</v>
      </c>
      <c r="C379" s="459">
        <v>147.01812448933569</v>
      </c>
      <c r="D379" s="459">
        <v>0</v>
      </c>
      <c r="E379" s="459">
        <v>683.81683048141986</v>
      </c>
      <c r="F379" s="459">
        <v>0</v>
      </c>
      <c r="G379" s="459">
        <v>0</v>
      </c>
      <c r="H379" s="459"/>
      <c r="I379" s="459"/>
      <c r="J379" s="459"/>
      <c r="K379" s="459"/>
      <c r="L379" s="459"/>
      <c r="M379" s="459"/>
      <c r="N379" s="459">
        <f t="shared" si="18"/>
        <v>830.83495497075558</v>
      </c>
      <c r="P379" s="451"/>
    </row>
    <row r="380" spans="1:16">
      <c r="A380" s="446">
        <f t="shared" si="21"/>
        <v>2039</v>
      </c>
      <c r="B380" s="446">
        <f t="shared" si="22"/>
        <v>3</v>
      </c>
      <c r="C380" s="459">
        <v>139.51586145750775</v>
      </c>
      <c r="D380" s="459">
        <v>0</v>
      </c>
      <c r="E380" s="459">
        <v>631.57102388515693</v>
      </c>
      <c r="F380" s="459">
        <v>0</v>
      </c>
      <c r="G380" s="459">
        <v>0</v>
      </c>
      <c r="H380" s="459"/>
      <c r="I380" s="459"/>
      <c r="J380" s="459"/>
      <c r="K380" s="459"/>
      <c r="L380" s="459"/>
      <c r="M380" s="459"/>
      <c r="N380" s="459">
        <f t="shared" si="18"/>
        <v>771.08688534266469</v>
      </c>
      <c r="P380" s="451"/>
    </row>
    <row r="381" spans="1:16">
      <c r="A381" s="446">
        <f t="shared" si="21"/>
        <v>2039</v>
      </c>
      <c r="B381" s="446">
        <f t="shared" si="22"/>
        <v>4</v>
      </c>
      <c r="C381" s="459">
        <v>165.68243413699432</v>
      </c>
      <c r="D381" s="459">
        <v>0</v>
      </c>
      <c r="E381" s="459">
        <v>693.7435117200414</v>
      </c>
      <c r="F381" s="459">
        <v>0</v>
      </c>
      <c r="G381" s="459">
        <v>0</v>
      </c>
      <c r="H381" s="459"/>
      <c r="I381" s="459"/>
      <c r="J381" s="459"/>
      <c r="K381" s="459"/>
      <c r="L381" s="459"/>
      <c r="M381" s="459"/>
      <c r="N381" s="459">
        <f t="shared" si="18"/>
        <v>859.42594585703569</v>
      </c>
      <c r="P381" s="451"/>
    </row>
    <row r="382" spans="1:16">
      <c r="A382" s="446">
        <f t="shared" si="21"/>
        <v>2039</v>
      </c>
      <c r="B382" s="446">
        <f t="shared" si="22"/>
        <v>5</v>
      </c>
      <c r="C382" s="459">
        <v>176.11873561296724</v>
      </c>
      <c r="D382" s="459">
        <v>0</v>
      </c>
      <c r="E382" s="459">
        <v>784.10292669770911</v>
      </c>
      <c r="F382" s="459">
        <v>0</v>
      </c>
      <c r="G382" s="459">
        <v>0</v>
      </c>
      <c r="H382" s="459"/>
      <c r="I382" s="459"/>
      <c r="J382" s="459"/>
      <c r="K382" s="459"/>
      <c r="L382" s="459"/>
      <c r="M382" s="459"/>
      <c r="N382" s="459">
        <f t="shared" si="18"/>
        <v>960.22166231067638</v>
      </c>
      <c r="P382" s="451"/>
    </row>
    <row r="383" spans="1:16">
      <c r="A383" s="446">
        <f t="shared" si="21"/>
        <v>2039</v>
      </c>
      <c r="B383" s="446">
        <f t="shared" si="22"/>
        <v>6</v>
      </c>
      <c r="C383" s="459">
        <v>181.25351314912425</v>
      </c>
      <c r="D383" s="459">
        <v>0</v>
      </c>
      <c r="E383" s="459">
        <v>830.34320189357277</v>
      </c>
      <c r="F383" s="459">
        <v>0</v>
      </c>
      <c r="G383" s="459">
        <v>0</v>
      </c>
      <c r="H383" s="459"/>
      <c r="I383" s="459"/>
      <c r="J383" s="459"/>
      <c r="K383" s="459"/>
      <c r="L383" s="459"/>
      <c r="M383" s="459"/>
      <c r="N383" s="459">
        <f t="shared" si="18"/>
        <v>1011.596715042697</v>
      </c>
      <c r="P383" s="451"/>
    </row>
    <row r="384" spans="1:16">
      <c r="A384" s="446">
        <f t="shared" si="21"/>
        <v>2039</v>
      </c>
      <c r="B384" s="446">
        <f t="shared" si="22"/>
        <v>7</v>
      </c>
      <c r="C384" s="459">
        <v>196.34888938221084</v>
      </c>
      <c r="D384" s="459">
        <v>0</v>
      </c>
      <c r="E384" s="459">
        <v>848.69091244989488</v>
      </c>
      <c r="F384" s="459">
        <v>0</v>
      </c>
      <c r="G384" s="459">
        <v>0</v>
      </c>
      <c r="H384" s="459"/>
      <c r="I384" s="459"/>
      <c r="J384" s="459"/>
      <c r="K384" s="459"/>
      <c r="L384" s="459"/>
      <c r="M384" s="459"/>
      <c r="N384" s="459">
        <f t="shared" si="18"/>
        <v>1045.0398018321057</v>
      </c>
      <c r="P384" s="451"/>
    </row>
    <row r="385" spans="1:16" s="455" customFormat="1" ht="12">
      <c r="A385" s="446">
        <f t="shared" si="21"/>
        <v>2039</v>
      </c>
      <c r="B385" s="446">
        <f t="shared" si="22"/>
        <v>8</v>
      </c>
      <c r="C385" s="459">
        <v>191.53115645228192</v>
      </c>
      <c r="D385" s="459">
        <v>0</v>
      </c>
      <c r="E385" s="459">
        <v>888.11616127433899</v>
      </c>
      <c r="F385" s="459">
        <v>0</v>
      </c>
      <c r="G385" s="459">
        <v>0</v>
      </c>
      <c r="H385" s="459"/>
      <c r="I385" s="459"/>
      <c r="J385" s="459"/>
      <c r="K385" s="459"/>
      <c r="L385" s="459"/>
      <c r="M385" s="459"/>
      <c r="N385" s="459">
        <f t="shared" si="18"/>
        <v>1079.6473177266209</v>
      </c>
      <c r="O385" s="457"/>
      <c r="P385" s="451"/>
    </row>
    <row r="386" spans="1:16">
      <c r="A386" s="446">
        <f t="shared" si="21"/>
        <v>2039</v>
      </c>
      <c r="B386" s="446">
        <f t="shared" si="22"/>
        <v>9</v>
      </c>
      <c r="C386" s="459">
        <v>176.69552863404797</v>
      </c>
      <c r="D386" s="459">
        <v>0</v>
      </c>
      <c r="E386" s="459">
        <v>762.90611803728461</v>
      </c>
      <c r="F386" s="459">
        <v>0</v>
      </c>
      <c r="G386" s="459">
        <v>0</v>
      </c>
      <c r="H386" s="459"/>
      <c r="I386" s="459"/>
      <c r="J386" s="459"/>
      <c r="K386" s="459"/>
      <c r="L386" s="459"/>
      <c r="M386" s="459"/>
      <c r="N386" s="459">
        <f t="shared" si="18"/>
        <v>939.60164667133256</v>
      </c>
      <c r="P386" s="451"/>
    </row>
    <row r="387" spans="1:16">
      <c r="A387" s="446">
        <f t="shared" si="21"/>
        <v>2039</v>
      </c>
      <c r="B387" s="446">
        <f t="shared" si="22"/>
        <v>10</v>
      </c>
      <c r="C387" s="459">
        <v>168.93527024256343</v>
      </c>
      <c r="D387" s="459">
        <v>0</v>
      </c>
      <c r="E387" s="459">
        <v>763.89448362791302</v>
      </c>
      <c r="F387" s="459">
        <v>0</v>
      </c>
      <c r="G387" s="459">
        <v>0</v>
      </c>
      <c r="H387" s="459"/>
      <c r="I387" s="459"/>
      <c r="J387" s="459"/>
      <c r="K387" s="459"/>
      <c r="L387" s="459"/>
      <c r="M387" s="459"/>
      <c r="N387" s="459">
        <f t="shared" si="18"/>
        <v>932.82975387047645</v>
      </c>
      <c r="P387" s="451"/>
    </row>
    <row r="388" spans="1:16">
      <c r="A388" s="446">
        <f t="shared" si="21"/>
        <v>2039</v>
      </c>
      <c r="B388" s="446">
        <f t="shared" si="22"/>
        <v>11</v>
      </c>
      <c r="C388" s="459">
        <v>149.87531249946923</v>
      </c>
      <c r="D388" s="459">
        <v>0</v>
      </c>
      <c r="E388" s="459">
        <v>609.02538510344721</v>
      </c>
      <c r="F388" s="459">
        <v>0</v>
      </c>
      <c r="G388" s="459">
        <v>0</v>
      </c>
      <c r="H388" s="459"/>
      <c r="I388" s="459"/>
      <c r="J388" s="459"/>
      <c r="K388" s="459"/>
      <c r="L388" s="459"/>
      <c r="M388" s="459"/>
      <c r="N388" s="459">
        <f t="shared" si="18"/>
        <v>758.90069760291647</v>
      </c>
      <c r="P388" s="451"/>
    </row>
    <row r="389" spans="1:16">
      <c r="A389" s="446">
        <f t="shared" si="21"/>
        <v>2039</v>
      </c>
      <c r="B389" s="446">
        <f t="shared" si="22"/>
        <v>12</v>
      </c>
      <c r="C389" s="459">
        <v>142.85352537970985</v>
      </c>
      <c r="D389" s="459">
        <v>0</v>
      </c>
      <c r="E389" s="459">
        <v>581.83378723364922</v>
      </c>
      <c r="F389" s="459">
        <v>0</v>
      </c>
      <c r="G389" s="459">
        <v>0</v>
      </c>
      <c r="H389" s="459"/>
      <c r="I389" s="459"/>
      <c r="J389" s="459"/>
      <c r="K389" s="459"/>
      <c r="L389" s="459"/>
      <c r="M389" s="459"/>
      <c r="N389" s="459">
        <f t="shared" si="18"/>
        <v>724.68731261335904</v>
      </c>
      <c r="O389" s="454"/>
      <c r="P389" s="451"/>
    </row>
    <row r="390" spans="1:16">
      <c r="A390" s="446">
        <f>A378+1</f>
        <v>2040</v>
      </c>
      <c r="B390" s="446">
        <f>B378</f>
        <v>1</v>
      </c>
      <c r="C390" s="459">
        <v>139.47260931400569</v>
      </c>
      <c r="D390" s="459">
        <v>0</v>
      </c>
      <c r="E390" s="459">
        <v>762.49621387438492</v>
      </c>
      <c r="F390" s="459">
        <v>0</v>
      </c>
      <c r="G390" s="459">
        <v>0</v>
      </c>
      <c r="H390" s="459"/>
      <c r="I390" s="459"/>
      <c r="J390" s="459"/>
      <c r="K390" s="459"/>
      <c r="L390" s="459"/>
      <c r="M390" s="459"/>
      <c r="N390" s="459">
        <f t="shared" si="18"/>
        <v>901.96882318839062</v>
      </c>
      <c r="P390" s="451"/>
    </row>
    <row r="391" spans="1:16">
      <c r="A391" s="446">
        <f t="shared" ref="A391:A454" si="23">A379+1</f>
        <v>2040</v>
      </c>
      <c r="B391" s="446">
        <f t="shared" ref="B391:B454" si="24">B379</f>
        <v>2</v>
      </c>
      <c r="C391" s="459">
        <v>148.40386251316679</v>
      </c>
      <c r="D391" s="459">
        <v>0</v>
      </c>
      <c r="E391" s="459">
        <v>684.50050017757394</v>
      </c>
      <c r="F391" s="459">
        <v>0</v>
      </c>
      <c r="G391" s="459">
        <v>0</v>
      </c>
      <c r="H391" s="459"/>
      <c r="I391" s="459"/>
      <c r="J391" s="459"/>
      <c r="K391" s="459"/>
      <c r="L391" s="459"/>
      <c r="M391" s="459"/>
      <c r="N391" s="459">
        <f t="shared" ref="N391:N454" si="25">SUM(C391:M391)</f>
        <v>832.90436269074075</v>
      </c>
      <c r="P391" s="451"/>
    </row>
    <row r="392" spans="1:16">
      <c r="A392" s="446">
        <f t="shared" si="23"/>
        <v>2040</v>
      </c>
      <c r="B392" s="446">
        <f t="shared" si="24"/>
        <v>3</v>
      </c>
      <c r="C392" s="459">
        <v>140.83088594731637</v>
      </c>
      <c r="D392" s="459">
        <v>0</v>
      </c>
      <c r="E392" s="459">
        <v>632.26708248241505</v>
      </c>
      <c r="F392" s="459">
        <v>0</v>
      </c>
      <c r="G392" s="459">
        <v>0</v>
      </c>
      <c r="H392" s="459"/>
      <c r="I392" s="459"/>
      <c r="J392" s="459"/>
      <c r="K392" s="459"/>
      <c r="L392" s="459"/>
      <c r="M392" s="459"/>
      <c r="N392" s="459">
        <f t="shared" si="25"/>
        <v>773.0979684297314</v>
      </c>
      <c r="P392" s="451"/>
    </row>
    <row r="393" spans="1:16">
      <c r="A393" s="446">
        <f t="shared" si="23"/>
        <v>2040</v>
      </c>
      <c r="B393" s="446">
        <f t="shared" si="24"/>
        <v>4</v>
      </c>
      <c r="C393" s="459">
        <v>167.24409498433542</v>
      </c>
      <c r="D393" s="459">
        <v>0</v>
      </c>
      <c r="E393" s="459">
        <v>698.12835146127679</v>
      </c>
      <c r="F393" s="459">
        <v>0</v>
      </c>
      <c r="G393" s="459">
        <v>0</v>
      </c>
      <c r="H393" s="459"/>
      <c r="I393" s="459"/>
      <c r="J393" s="459"/>
      <c r="K393" s="459"/>
      <c r="L393" s="459"/>
      <c r="M393" s="459"/>
      <c r="N393" s="459">
        <f t="shared" si="25"/>
        <v>865.37244644561224</v>
      </c>
      <c r="P393" s="451"/>
    </row>
    <row r="394" spans="1:16">
      <c r="A394" s="446">
        <f t="shared" si="23"/>
        <v>2040</v>
      </c>
      <c r="B394" s="446">
        <f t="shared" si="24"/>
        <v>5</v>
      </c>
      <c r="C394" s="459">
        <v>177.77876514671115</v>
      </c>
      <c r="D394" s="459">
        <v>0</v>
      </c>
      <c r="E394" s="459">
        <v>788.16139057506246</v>
      </c>
      <c r="F394" s="459">
        <v>0</v>
      </c>
      <c r="G394" s="459">
        <v>0</v>
      </c>
      <c r="H394" s="459"/>
      <c r="I394" s="459"/>
      <c r="J394" s="459"/>
      <c r="K394" s="459"/>
      <c r="L394" s="459"/>
      <c r="M394" s="459"/>
      <c r="N394" s="459">
        <f t="shared" si="25"/>
        <v>965.94015572177364</v>
      </c>
      <c r="P394" s="451"/>
    </row>
    <row r="395" spans="1:16">
      <c r="A395" s="446">
        <f t="shared" si="23"/>
        <v>2040</v>
      </c>
      <c r="B395" s="446">
        <f t="shared" si="24"/>
        <v>6</v>
      </c>
      <c r="C395" s="459">
        <v>182.96194118135591</v>
      </c>
      <c r="D395" s="459">
        <v>0</v>
      </c>
      <c r="E395" s="459">
        <v>833.26739880338744</v>
      </c>
      <c r="F395" s="459">
        <v>0</v>
      </c>
      <c r="G395" s="459">
        <v>0</v>
      </c>
      <c r="H395" s="459"/>
      <c r="I395" s="459"/>
      <c r="J395" s="459"/>
      <c r="K395" s="459"/>
      <c r="L395" s="459"/>
      <c r="M395" s="459"/>
      <c r="N395" s="459">
        <f t="shared" si="25"/>
        <v>1016.2293399847433</v>
      </c>
      <c r="P395" s="451"/>
    </row>
    <row r="396" spans="1:16">
      <c r="A396" s="446">
        <f t="shared" si="23"/>
        <v>2040</v>
      </c>
      <c r="B396" s="446">
        <f t="shared" si="24"/>
        <v>7</v>
      </c>
      <c r="C396" s="459">
        <v>198.19996504712873</v>
      </c>
      <c r="D396" s="459">
        <v>0</v>
      </c>
      <c r="E396" s="459">
        <v>853.51775899796382</v>
      </c>
      <c r="F396" s="459">
        <v>0</v>
      </c>
      <c r="G396" s="459">
        <v>0</v>
      </c>
      <c r="H396" s="459"/>
      <c r="I396" s="459"/>
      <c r="J396" s="459"/>
      <c r="K396" s="459"/>
      <c r="L396" s="459"/>
      <c r="M396" s="459"/>
      <c r="N396" s="459">
        <f t="shared" si="25"/>
        <v>1051.7177240450926</v>
      </c>
      <c r="P396" s="451"/>
    </row>
    <row r="397" spans="1:16" s="455" customFormat="1" ht="12">
      <c r="A397" s="446">
        <f t="shared" si="23"/>
        <v>2040</v>
      </c>
      <c r="B397" s="446">
        <f t="shared" si="24"/>
        <v>8</v>
      </c>
      <c r="C397" s="459">
        <v>193.33645771813713</v>
      </c>
      <c r="D397" s="459">
        <v>0</v>
      </c>
      <c r="E397" s="459">
        <v>893.1904369040542</v>
      </c>
      <c r="F397" s="459">
        <v>0</v>
      </c>
      <c r="G397" s="459">
        <v>0</v>
      </c>
      <c r="H397" s="459"/>
      <c r="I397" s="459"/>
      <c r="J397" s="459"/>
      <c r="K397" s="459"/>
      <c r="L397" s="459"/>
      <c r="M397" s="459"/>
      <c r="N397" s="459">
        <f t="shared" si="25"/>
        <v>1086.5268946221913</v>
      </c>
      <c r="O397" s="457"/>
      <c r="P397" s="451"/>
    </row>
    <row r="398" spans="1:16">
      <c r="A398" s="446">
        <f t="shared" si="23"/>
        <v>2040</v>
      </c>
      <c r="B398" s="446">
        <f t="shared" si="24"/>
        <v>9</v>
      </c>
      <c r="C398" s="459">
        <v>178.36099480374398</v>
      </c>
      <c r="D398" s="459">
        <v>0</v>
      </c>
      <c r="E398" s="459">
        <v>767.27548467836073</v>
      </c>
      <c r="F398" s="459">
        <v>0</v>
      </c>
      <c r="G398" s="459">
        <v>0</v>
      </c>
      <c r="H398" s="459"/>
      <c r="I398" s="459"/>
      <c r="J398" s="459"/>
      <c r="K398" s="459"/>
      <c r="L398" s="459"/>
      <c r="M398" s="459"/>
      <c r="N398" s="459">
        <f t="shared" si="25"/>
        <v>945.63647948210473</v>
      </c>
      <c r="P398" s="451"/>
    </row>
    <row r="399" spans="1:16">
      <c r="A399" s="446">
        <f t="shared" si="23"/>
        <v>2040</v>
      </c>
      <c r="B399" s="446">
        <f t="shared" si="24"/>
        <v>10</v>
      </c>
      <c r="C399" s="459">
        <v>170.5275911101738</v>
      </c>
      <c r="D399" s="459">
        <v>0</v>
      </c>
      <c r="E399" s="459">
        <v>766.50385861123902</v>
      </c>
      <c r="F399" s="459">
        <v>0</v>
      </c>
      <c r="G399" s="459">
        <v>0</v>
      </c>
      <c r="H399" s="459"/>
      <c r="I399" s="459"/>
      <c r="J399" s="459"/>
      <c r="K399" s="459"/>
      <c r="L399" s="459"/>
      <c r="M399" s="459"/>
      <c r="N399" s="459">
        <f t="shared" si="25"/>
        <v>937.03144972141286</v>
      </c>
      <c r="P399" s="451"/>
    </row>
    <row r="400" spans="1:16">
      <c r="A400" s="446">
        <f t="shared" si="23"/>
        <v>2040</v>
      </c>
      <c r="B400" s="446">
        <f t="shared" si="24"/>
        <v>11</v>
      </c>
      <c r="C400" s="459">
        <v>151.28798131214432</v>
      </c>
      <c r="D400" s="459">
        <v>0</v>
      </c>
      <c r="E400" s="459">
        <v>610.27707636106231</v>
      </c>
      <c r="F400" s="459">
        <v>0</v>
      </c>
      <c r="G400" s="459">
        <v>0</v>
      </c>
      <c r="H400" s="459"/>
      <c r="I400" s="459"/>
      <c r="J400" s="459"/>
      <c r="K400" s="459"/>
      <c r="L400" s="459"/>
      <c r="M400" s="459"/>
      <c r="N400" s="459">
        <f t="shared" si="25"/>
        <v>761.56505767320664</v>
      </c>
      <c r="P400" s="451"/>
    </row>
    <row r="401" spans="1:16">
      <c r="A401" s="446">
        <f t="shared" si="23"/>
        <v>2040</v>
      </c>
      <c r="B401" s="446">
        <f t="shared" si="24"/>
        <v>12</v>
      </c>
      <c r="C401" s="459">
        <v>144.20000944515814</v>
      </c>
      <c r="D401" s="459">
        <v>0</v>
      </c>
      <c r="E401" s="459">
        <v>583.45925594831238</v>
      </c>
      <c r="F401" s="459">
        <v>0</v>
      </c>
      <c r="G401" s="459">
        <v>0</v>
      </c>
      <c r="H401" s="459"/>
      <c r="I401" s="459"/>
      <c r="J401" s="459"/>
      <c r="K401" s="459"/>
      <c r="L401" s="459"/>
      <c r="M401" s="459"/>
      <c r="N401" s="459">
        <f t="shared" si="25"/>
        <v>727.65926539347049</v>
      </c>
      <c r="O401" s="454"/>
      <c r="P401" s="451"/>
    </row>
    <row r="402" spans="1:16">
      <c r="A402" s="446">
        <f t="shared" si="23"/>
        <v>2041</v>
      </c>
      <c r="B402" s="446">
        <f t="shared" si="24"/>
        <v>1</v>
      </c>
      <c r="C402" s="459">
        <v>140.78722612523683</v>
      </c>
      <c r="D402" s="459">
        <v>0</v>
      </c>
      <c r="E402" s="459">
        <v>763.25867979127645</v>
      </c>
      <c r="F402" s="459">
        <v>0</v>
      </c>
      <c r="G402" s="459">
        <v>0</v>
      </c>
      <c r="H402" s="459"/>
      <c r="I402" s="459"/>
      <c r="J402" s="459"/>
      <c r="K402" s="459"/>
      <c r="L402" s="459"/>
      <c r="M402" s="459"/>
      <c r="N402" s="459">
        <f t="shared" si="25"/>
        <v>904.04590591651322</v>
      </c>
      <c r="O402" s="454"/>
      <c r="P402" s="451"/>
    </row>
    <row r="403" spans="1:16">
      <c r="A403" s="446">
        <f t="shared" si="23"/>
        <v>2041</v>
      </c>
      <c r="B403" s="446">
        <f t="shared" si="24"/>
        <v>2</v>
      </c>
      <c r="C403" s="459">
        <v>149.80266198692019</v>
      </c>
      <c r="D403" s="459">
        <v>0</v>
      </c>
      <c r="E403" s="459">
        <v>685.18485339632161</v>
      </c>
      <c r="F403" s="459">
        <v>0</v>
      </c>
      <c r="G403" s="459">
        <v>0</v>
      </c>
      <c r="H403" s="459"/>
      <c r="I403" s="459"/>
      <c r="J403" s="459"/>
      <c r="K403" s="459"/>
      <c r="L403" s="459"/>
      <c r="M403" s="459"/>
      <c r="N403" s="459">
        <f t="shared" si="25"/>
        <v>834.98751538324177</v>
      </c>
      <c r="O403" s="454"/>
      <c r="P403" s="451"/>
    </row>
    <row r="404" spans="1:16">
      <c r="A404" s="446">
        <f t="shared" si="23"/>
        <v>2041</v>
      </c>
      <c r="B404" s="446">
        <f t="shared" si="24"/>
        <v>3</v>
      </c>
      <c r="C404" s="459">
        <v>142.1583053676421</v>
      </c>
      <c r="D404" s="459">
        <v>0</v>
      </c>
      <c r="E404" s="459">
        <v>632.963908210451</v>
      </c>
      <c r="F404" s="459">
        <v>0</v>
      </c>
      <c r="G404" s="459">
        <v>0</v>
      </c>
      <c r="H404" s="459"/>
      <c r="I404" s="459"/>
      <c r="J404" s="459"/>
      <c r="K404" s="459"/>
      <c r="L404" s="459"/>
      <c r="M404" s="459"/>
      <c r="N404" s="459">
        <f t="shared" si="25"/>
        <v>775.12221357809312</v>
      </c>
      <c r="O404" s="454"/>
      <c r="P404" s="451"/>
    </row>
    <row r="405" spans="1:16">
      <c r="A405" s="446">
        <f t="shared" si="23"/>
        <v>2041</v>
      </c>
      <c r="B405" s="446">
        <f t="shared" si="24"/>
        <v>4</v>
      </c>
      <c r="C405" s="459">
        <v>168.82047546453816</v>
      </c>
      <c r="D405" s="459">
        <v>0</v>
      </c>
      <c r="E405" s="459">
        <v>702.54090579620799</v>
      </c>
      <c r="F405" s="459">
        <v>0</v>
      </c>
      <c r="G405" s="459">
        <v>0</v>
      </c>
      <c r="H405" s="459"/>
      <c r="I405" s="459"/>
      <c r="J405" s="459"/>
      <c r="K405" s="459"/>
      <c r="L405" s="459"/>
      <c r="M405" s="459"/>
      <c r="N405" s="459">
        <f t="shared" si="25"/>
        <v>871.36138126074616</v>
      </c>
      <c r="O405" s="454"/>
      <c r="P405" s="451"/>
    </row>
    <row r="406" spans="1:16">
      <c r="A406" s="446">
        <f t="shared" si="23"/>
        <v>2041</v>
      </c>
      <c r="B406" s="446">
        <f t="shared" si="24"/>
        <v>5</v>
      </c>
      <c r="C406" s="459">
        <v>179.45444149987671</v>
      </c>
      <c r="D406" s="459">
        <v>0</v>
      </c>
      <c r="E406" s="459">
        <v>792.24086078778703</v>
      </c>
      <c r="F406" s="459">
        <v>0</v>
      </c>
      <c r="G406" s="459">
        <v>0</v>
      </c>
      <c r="H406" s="459"/>
      <c r="I406" s="459"/>
      <c r="J406" s="459"/>
      <c r="K406" s="459"/>
      <c r="L406" s="459"/>
      <c r="M406" s="459"/>
      <c r="N406" s="459">
        <f t="shared" si="25"/>
        <v>971.69530228766371</v>
      </c>
      <c r="O406" s="454"/>
      <c r="P406" s="451"/>
    </row>
    <row r="407" spans="1:16">
      <c r="A407" s="446">
        <f t="shared" si="23"/>
        <v>2041</v>
      </c>
      <c r="B407" s="446">
        <f t="shared" si="24"/>
        <v>6</v>
      </c>
      <c r="C407" s="459">
        <v>184.68647221920995</v>
      </c>
      <c r="D407" s="459">
        <v>0</v>
      </c>
      <c r="E407" s="459">
        <v>836.20189377736153</v>
      </c>
      <c r="F407" s="459">
        <v>0</v>
      </c>
      <c r="G407" s="459">
        <v>0</v>
      </c>
      <c r="H407" s="459"/>
      <c r="I407" s="459"/>
      <c r="J407" s="459"/>
      <c r="K407" s="459"/>
      <c r="L407" s="459"/>
      <c r="M407" s="459"/>
      <c r="N407" s="459">
        <f t="shared" si="25"/>
        <v>1020.8883659965715</v>
      </c>
      <c r="O407" s="454"/>
      <c r="P407" s="451"/>
    </row>
    <row r="408" spans="1:16">
      <c r="A408" s="446">
        <f t="shared" si="23"/>
        <v>2041</v>
      </c>
      <c r="B408" s="446">
        <f t="shared" si="24"/>
        <v>7</v>
      </c>
      <c r="C408" s="459">
        <v>200.06849169497821</v>
      </c>
      <c r="D408" s="459">
        <v>0</v>
      </c>
      <c r="E408" s="459">
        <v>858.3720577636268</v>
      </c>
      <c r="F408" s="459">
        <v>0</v>
      </c>
      <c r="G408" s="459">
        <v>0</v>
      </c>
      <c r="H408" s="459"/>
      <c r="I408" s="459"/>
      <c r="J408" s="459"/>
      <c r="K408" s="459"/>
      <c r="L408" s="459"/>
      <c r="M408" s="459"/>
      <c r="N408" s="459">
        <f t="shared" si="25"/>
        <v>1058.4405494586049</v>
      </c>
      <c r="O408" s="454"/>
      <c r="P408" s="451"/>
    </row>
    <row r="409" spans="1:16" ht="12">
      <c r="A409" s="446">
        <f t="shared" si="23"/>
        <v>2041</v>
      </c>
      <c r="B409" s="446">
        <f t="shared" si="24"/>
        <v>8</v>
      </c>
      <c r="C409" s="459">
        <v>195.15877508059444</v>
      </c>
      <c r="D409" s="459">
        <v>0</v>
      </c>
      <c r="E409" s="459">
        <v>898.29370454437446</v>
      </c>
      <c r="F409" s="459">
        <v>0</v>
      </c>
      <c r="G409" s="459">
        <v>0</v>
      </c>
      <c r="H409" s="459"/>
      <c r="I409" s="459"/>
      <c r="J409" s="459"/>
      <c r="K409" s="459"/>
      <c r="L409" s="459"/>
      <c r="M409" s="459"/>
      <c r="N409" s="459">
        <f t="shared" si="25"/>
        <v>1093.4524796249689</v>
      </c>
      <c r="O409" s="457"/>
      <c r="P409" s="451"/>
    </row>
    <row r="410" spans="1:16">
      <c r="A410" s="446">
        <f t="shared" si="23"/>
        <v>2041</v>
      </c>
      <c r="B410" s="446">
        <f t="shared" si="24"/>
        <v>9</v>
      </c>
      <c r="C410" s="459">
        <v>180.04215903656498</v>
      </c>
      <c r="D410" s="459">
        <v>0</v>
      </c>
      <c r="E410" s="459">
        <v>771.66987584656124</v>
      </c>
      <c r="F410" s="459">
        <v>0</v>
      </c>
      <c r="G410" s="459">
        <v>0</v>
      </c>
      <c r="H410" s="459"/>
      <c r="I410" s="459"/>
      <c r="J410" s="459"/>
      <c r="K410" s="459"/>
      <c r="L410" s="459"/>
      <c r="M410" s="459"/>
      <c r="N410" s="459">
        <f t="shared" si="25"/>
        <v>951.71203488312619</v>
      </c>
      <c r="O410" s="454"/>
      <c r="P410" s="451"/>
    </row>
    <row r="411" spans="1:16">
      <c r="A411" s="446">
        <f t="shared" si="23"/>
        <v>2041</v>
      </c>
      <c r="B411" s="446">
        <f t="shared" si="24"/>
        <v>10</v>
      </c>
      <c r="C411" s="459">
        <v>172.13492060056487</v>
      </c>
      <c r="D411" s="459">
        <v>0</v>
      </c>
      <c r="E411" s="459">
        <v>769.12214691695385</v>
      </c>
      <c r="F411" s="459">
        <v>0</v>
      </c>
      <c r="G411" s="459">
        <v>0</v>
      </c>
      <c r="H411" s="459"/>
      <c r="I411" s="459"/>
      <c r="J411" s="459"/>
      <c r="K411" s="459"/>
      <c r="L411" s="459"/>
      <c r="M411" s="459"/>
      <c r="N411" s="459">
        <f t="shared" si="25"/>
        <v>941.25706751751875</v>
      </c>
      <c r="O411" s="454"/>
      <c r="P411" s="451"/>
    </row>
    <row r="412" spans="1:16">
      <c r="A412" s="446">
        <f t="shared" si="23"/>
        <v>2041</v>
      </c>
      <c r="B412" s="446">
        <f t="shared" si="24"/>
        <v>11</v>
      </c>
      <c r="C412" s="459">
        <v>152.71396541431588</v>
      </c>
      <c r="D412" s="459">
        <v>0</v>
      </c>
      <c r="E412" s="459">
        <v>611.53134014035334</v>
      </c>
      <c r="F412" s="459">
        <v>0</v>
      </c>
      <c r="G412" s="459">
        <v>0</v>
      </c>
      <c r="H412" s="459"/>
      <c r="I412" s="459"/>
      <c r="J412" s="459"/>
      <c r="K412" s="459"/>
      <c r="L412" s="459"/>
      <c r="M412" s="459"/>
      <c r="N412" s="459">
        <f t="shared" si="25"/>
        <v>764.24530555466924</v>
      </c>
      <c r="O412" s="454"/>
      <c r="P412" s="451"/>
    </row>
    <row r="413" spans="1:16">
      <c r="A413" s="446">
        <f t="shared" si="23"/>
        <v>2041</v>
      </c>
      <c r="B413" s="446">
        <f t="shared" si="24"/>
        <v>12</v>
      </c>
      <c r="C413" s="459">
        <v>145.55918496735333</v>
      </c>
      <c r="D413" s="459">
        <v>0</v>
      </c>
      <c r="E413" s="459">
        <v>585.08926573398287</v>
      </c>
      <c r="F413" s="459">
        <v>0</v>
      </c>
      <c r="G413" s="459">
        <v>0</v>
      </c>
      <c r="H413" s="459"/>
      <c r="I413" s="459"/>
      <c r="J413" s="459"/>
      <c r="K413" s="459"/>
      <c r="L413" s="459"/>
      <c r="M413" s="459"/>
      <c r="N413" s="459">
        <f t="shared" si="25"/>
        <v>730.64845070133617</v>
      </c>
      <c r="O413" s="454"/>
      <c r="P413" s="451"/>
    </row>
    <row r="414" spans="1:16">
      <c r="A414" s="446">
        <f t="shared" si="23"/>
        <v>2042</v>
      </c>
      <c r="B414" s="446">
        <f t="shared" si="24"/>
        <v>1</v>
      </c>
      <c r="C414" s="459">
        <v>142.11423402435878</v>
      </c>
      <c r="D414" s="459">
        <v>0</v>
      </c>
      <c r="E414" s="459">
        <v>764.02190814378901</v>
      </c>
      <c r="F414" s="459">
        <v>0</v>
      </c>
      <c r="G414" s="459">
        <v>0</v>
      </c>
      <c r="H414" s="459"/>
      <c r="I414" s="459"/>
      <c r="J414" s="459"/>
      <c r="K414" s="459"/>
      <c r="L414" s="459"/>
      <c r="M414" s="459"/>
      <c r="N414" s="459">
        <f t="shared" si="25"/>
        <v>906.13614216814779</v>
      </c>
      <c r="O414" s="454"/>
      <c r="P414" s="451"/>
    </row>
    <row r="415" spans="1:16">
      <c r="A415" s="446">
        <f t="shared" si="23"/>
        <v>2042</v>
      </c>
      <c r="B415" s="446">
        <f t="shared" si="24"/>
        <v>2</v>
      </c>
      <c r="C415" s="459">
        <v>151.21464602295273</v>
      </c>
      <c r="D415" s="459">
        <v>0</v>
      </c>
      <c r="E415" s="459">
        <v>685.86989082103821</v>
      </c>
      <c r="F415" s="459">
        <v>0</v>
      </c>
      <c r="G415" s="459">
        <v>0</v>
      </c>
      <c r="H415" s="459"/>
      <c r="I415" s="459"/>
      <c r="J415" s="459"/>
      <c r="K415" s="459"/>
      <c r="L415" s="459"/>
      <c r="M415" s="459"/>
      <c r="N415" s="459">
        <f t="shared" si="25"/>
        <v>837.08453684399092</v>
      </c>
      <c r="O415" s="454"/>
      <c r="P415" s="451"/>
    </row>
    <row r="416" spans="1:16">
      <c r="A416" s="446">
        <f t="shared" si="23"/>
        <v>2042</v>
      </c>
      <c r="B416" s="446">
        <f t="shared" si="24"/>
        <v>3</v>
      </c>
      <c r="C416" s="459">
        <v>143.49823654847833</v>
      </c>
      <c r="D416" s="459">
        <v>0</v>
      </c>
      <c r="E416" s="459">
        <v>633.66150191472479</v>
      </c>
      <c r="F416" s="459">
        <v>0</v>
      </c>
      <c r="G416" s="459">
        <v>0</v>
      </c>
      <c r="H416" s="459"/>
      <c r="I416" s="459"/>
      <c r="J416" s="459"/>
      <c r="K416" s="459"/>
      <c r="L416" s="459"/>
      <c r="M416" s="459"/>
      <c r="N416" s="459">
        <f t="shared" si="25"/>
        <v>777.1597384632031</v>
      </c>
      <c r="O416" s="454"/>
      <c r="P416" s="451"/>
    </row>
    <row r="417" spans="1:16">
      <c r="A417" s="446">
        <f t="shared" si="23"/>
        <v>2042</v>
      </c>
      <c r="B417" s="446">
        <f t="shared" si="24"/>
        <v>4</v>
      </c>
      <c r="C417" s="459">
        <v>170.41171431937346</v>
      </c>
      <c r="D417" s="459">
        <v>0</v>
      </c>
      <c r="E417" s="459">
        <v>706.98134989627749</v>
      </c>
      <c r="F417" s="459">
        <v>0</v>
      </c>
      <c r="G417" s="459">
        <v>0</v>
      </c>
      <c r="H417" s="459"/>
      <c r="I417" s="459"/>
      <c r="J417" s="459"/>
      <c r="K417" s="459"/>
      <c r="L417" s="459"/>
      <c r="M417" s="459"/>
      <c r="N417" s="459">
        <f t="shared" si="25"/>
        <v>877.39306421565095</v>
      </c>
      <c r="O417" s="454"/>
      <c r="P417" s="451"/>
    </row>
    <row r="418" spans="1:16">
      <c r="A418" s="446">
        <f t="shared" si="23"/>
        <v>2042</v>
      </c>
      <c r="B418" s="446">
        <f t="shared" si="24"/>
        <v>5</v>
      </c>
      <c r="C418" s="459">
        <v>181.1459121535496</v>
      </c>
      <c r="D418" s="459">
        <v>0</v>
      </c>
      <c r="E418" s="459">
        <v>796.34144606325822</v>
      </c>
      <c r="F418" s="459">
        <v>0</v>
      </c>
      <c r="G418" s="459">
        <v>0</v>
      </c>
      <c r="H418" s="459"/>
      <c r="I418" s="459"/>
      <c r="J418" s="459"/>
      <c r="K418" s="459"/>
      <c r="L418" s="459"/>
      <c r="M418" s="459"/>
      <c r="N418" s="459">
        <f t="shared" si="25"/>
        <v>977.48735821680782</v>
      </c>
      <c r="O418" s="454"/>
      <c r="P418" s="451"/>
    </row>
    <row r="419" spans="1:16">
      <c r="A419" s="446">
        <f t="shared" si="23"/>
        <v>2042</v>
      </c>
      <c r="B419" s="446">
        <f t="shared" si="24"/>
        <v>6</v>
      </c>
      <c r="C419" s="459">
        <v>186.42725804361319</v>
      </c>
      <c r="D419" s="459">
        <v>0</v>
      </c>
      <c r="E419" s="459">
        <v>839.14672308190529</v>
      </c>
      <c r="F419" s="459">
        <v>0</v>
      </c>
      <c r="G419" s="459">
        <v>0</v>
      </c>
      <c r="H419" s="459"/>
      <c r="I419" s="459"/>
      <c r="J419" s="459"/>
      <c r="K419" s="459"/>
      <c r="L419" s="459"/>
      <c r="M419" s="459"/>
      <c r="N419" s="459">
        <f t="shared" si="25"/>
        <v>1025.5739811255185</v>
      </c>
      <c r="O419" s="454"/>
      <c r="P419" s="451"/>
    </row>
    <row r="420" spans="1:16">
      <c r="A420" s="446">
        <f t="shared" si="23"/>
        <v>2042</v>
      </c>
      <c r="B420" s="446">
        <f t="shared" si="24"/>
        <v>7</v>
      </c>
      <c r="C420" s="459">
        <v>201.95463384459075</v>
      </c>
      <c r="D420" s="459">
        <v>0</v>
      </c>
      <c r="E420" s="459">
        <v>863.25396487868602</v>
      </c>
      <c r="F420" s="459">
        <v>0</v>
      </c>
      <c r="G420" s="459">
        <v>0</v>
      </c>
      <c r="H420" s="459"/>
      <c r="I420" s="459"/>
      <c r="J420" s="459"/>
      <c r="K420" s="459"/>
      <c r="L420" s="459"/>
      <c r="M420" s="459"/>
      <c r="N420" s="459">
        <f t="shared" si="25"/>
        <v>1065.2085987232767</v>
      </c>
      <c r="O420" s="454"/>
      <c r="P420" s="451"/>
    </row>
    <row r="421" spans="1:16" ht="12">
      <c r="A421" s="446">
        <f t="shared" si="23"/>
        <v>2042</v>
      </c>
      <c r="B421" s="446">
        <f t="shared" si="24"/>
        <v>8</v>
      </c>
      <c r="C421" s="459">
        <v>196.9982689270357</v>
      </c>
      <c r="D421" s="459">
        <v>0</v>
      </c>
      <c r="E421" s="459">
        <v>903.42612984193431</v>
      </c>
      <c r="F421" s="459">
        <v>0</v>
      </c>
      <c r="G421" s="459">
        <v>0</v>
      </c>
      <c r="H421" s="459"/>
      <c r="I421" s="459"/>
      <c r="J421" s="459"/>
      <c r="K421" s="459"/>
      <c r="L421" s="459"/>
      <c r="M421" s="459"/>
      <c r="N421" s="459">
        <f t="shared" si="25"/>
        <v>1100.4243987689699</v>
      </c>
      <c r="O421" s="457"/>
      <c r="P421" s="451"/>
    </row>
    <row r="422" spans="1:16">
      <c r="A422" s="446">
        <f t="shared" si="23"/>
        <v>2042</v>
      </c>
      <c r="B422" s="446">
        <f t="shared" si="24"/>
        <v>9</v>
      </c>
      <c r="C422" s="459">
        <v>181.73916929660075</v>
      </c>
      <c r="D422" s="459">
        <v>0</v>
      </c>
      <c r="E422" s="459">
        <v>776.08943486402143</v>
      </c>
      <c r="F422" s="459">
        <v>0</v>
      </c>
      <c r="G422" s="459">
        <v>0</v>
      </c>
      <c r="H422" s="459"/>
      <c r="I422" s="459"/>
      <c r="J422" s="459"/>
      <c r="K422" s="459"/>
      <c r="L422" s="459"/>
      <c r="M422" s="459"/>
      <c r="N422" s="459">
        <f t="shared" si="25"/>
        <v>957.82860416062215</v>
      </c>
      <c r="O422" s="454"/>
      <c r="P422" s="451"/>
    </row>
    <row r="423" spans="1:16">
      <c r="A423" s="446">
        <f t="shared" si="23"/>
        <v>2042</v>
      </c>
      <c r="B423" s="446">
        <f t="shared" si="24"/>
        <v>10</v>
      </c>
      <c r="C423" s="459">
        <v>173.7574001794188</v>
      </c>
      <c r="D423" s="459">
        <v>0</v>
      </c>
      <c r="E423" s="459">
        <v>771.74937899193321</v>
      </c>
      <c r="F423" s="459">
        <v>0</v>
      </c>
      <c r="G423" s="459">
        <v>0</v>
      </c>
      <c r="H423" s="459"/>
      <c r="I423" s="459"/>
      <c r="J423" s="459"/>
      <c r="K423" s="459"/>
      <c r="L423" s="459"/>
      <c r="M423" s="459"/>
      <c r="N423" s="459">
        <f t="shared" si="25"/>
        <v>945.50677917135204</v>
      </c>
      <c r="O423" s="454"/>
      <c r="P423" s="451"/>
    </row>
    <row r="424" spans="1:16">
      <c r="A424" s="446">
        <f t="shared" si="23"/>
        <v>2042</v>
      </c>
      <c r="B424" s="446">
        <f t="shared" si="24"/>
        <v>11</v>
      </c>
      <c r="C424" s="459">
        <v>154.15339031093797</v>
      </c>
      <c r="D424" s="459">
        <v>0</v>
      </c>
      <c r="E424" s="459">
        <v>612.78818172846104</v>
      </c>
      <c r="F424" s="459">
        <v>0</v>
      </c>
      <c r="G424" s="459">
        <v>0</v>
      </c>
      <c r="H424" s="459"/>
      <c r="I424" s="459"/>
      <c r="J424" s="459"/>
      <c r="K424" s="459"/>
      <c r="L424" s="459"/>
      <c r="M424" s="459"/>
      <c r="N424" s="459">
        <f t="shared" si="25"/>
        <v>766.94157203939903</v>
      </c>
      <c r="O424" s="454"/>
      <c r="P424" s="451"/>
    </row>
    <row r="425" spans="1:16">
      <c r="A425" s="446">
        <f t="shared" si="23"/>
        <v>2042</v>
      </c>
      <c r="B425" s="446">
        <f t="shared" si="24"/>
        <v>12</v>
      </c>
      <c r="C425" s="459">
        <v>146.93117157123461</v>
      </c>
      <c r="D425" s="459">
        <v>0</v>
      </c>
      <c r="E425" s="459">
        <v>586.72382927704837</v>
      </c>
      <c r="F425" s="459">
        <v>0</v>
      </c>
      <c r="G425" s="459">
        <v>0</v>
      </c>
      <c r="H425" s="459"/>
      <c r="I425" s="459"/>
      <c r="J425" s="459"/>
      <c r="K425" s="459"/>
      <c r="L425" s="459"/>
      <c r="M425" s="459"/>
      <c r="N425" s="459">
        <f t="shared" si="25"/>
        <v>733.65500084828295</v>
      </c>
      <c r="O425" s="454"/>
      <c r="P425" s="451"/>
    </row>
    <row r="426" spans="1:16">
      <c r="A426" s="446">
        <f t="shared" si="23"/>
        <v>2043</v>
      </c>
      <c r="B426" s="446">
        <f t="shared" si="24"/>
        <v>1</v>
      </c>
      <c r="C426" s="459">
        <v>143.45374980514583</v>
      </c>
      <c r="D426" s="459">
        <v>0</v>
      </c>
      <c r="E426" s="459">
        <v>764.78589969432801</v>
      </c>
      <c r="F426" s="459">
        <v>0</v>
      </c>
      <c r="G426" s="459">
        <v>0</v>
      </c>
      <c r="H426" s="459"/>
      <c r="I426" s="459"/>
      <c r="J426" s="459"/>
      <c r="K426" s="459"/>
      <c r="L426" s="459"/>
      <c r="M426" s="459"/>
      <c r="N426" s="459">
        <f t="shared" si="25"/>
        <v>908.2396494994739</v>
      </c>
      <c r="O426" s="454"/>
      <c r="P426" s="451"/>
    </row>
    <row r="427" spans="1:16">
      <c r="A427" s="446">
        <f t="shared" si="23"/>
        <v>2043</v>
      </c>
      <c r="B427" s="446">
        <f t="shared" si="24"/>
        <v>2</v>
      </c>
      <c r="C427" s="459">
        <v>152.63993889403247</v>
      </c>
      <c r="D427" s="459">
        <v>0</v>
      </c>
      <c r="E427" s="459">
        <v>686.55561313578266</v>
      </c>
      <c r="F427" s="459">
        <v>0</v>
      </c>
      <c r="G427" s="459">
        <v>0</v>
      </c>
      <c r="H427" s="459"/>
      <c r="I427" s="459"/>
      <c r="J427" s="459"/>
      <c r="K427" s="459"/>
      <c r="L427" s="459"/>
      <c r="M427" s="459"/>
      <c r="N427" s="459">
        <f t="shared" si="25"/>
        <v>839.19555202981519</v>
      </c>
      <c r="O427" s="454"/>
      <c r="P427" s="451"/>
    </row>
    <row r="428" spans="1:16">
      <c r="A428" s="446">
        <f t="shared" si="23"/>
        <v>2043</v>
      </c>
      <c r="B428" s="446">
        <f t="shared" si="24"/>
        <v>3</v>
      </c>
      <c r="C428" s="459">
        <v>144.85079742101451</v>
      </c>
      <c r="D428" s="459">
        <v>0</v>
      </c>
      <c r="E428" s="459">
        <v>634.35986444162791</v>
      </c>
      <c r="F428" s="459">
        <v>0</v>
      </c>
      <c r="G428" s="459">
        <v>0</v>
      </c>
      <c r="H428" s="459"/>
      <c r="I428" s="459"/>
      <c r="J428" s="459"/>
      <c r="K428" s="459"/>
      <c r="L428" s="459"/>
      <c r="M428" s="459"/>
      <c r="N428" s="459">
        <f t="shared" si="25"/>
        <v>779.21066186264238</v>
      </c>
      <c r="O428" s="454"/>
      <c r="P428" s="451"/>
    </row>
    <row r="429" spans="1:16">
      <c r="A429" s="446">
        <f t="shared" si="23"/>
        <v>2043</v>
      </c>
      <c r="B429" s="446">
        <f t="shared" si="24"/>
        <v>4</v>
      </c>
      <c r="C429" s="459">
        <v>172.01795159834052</v>
      </c>
      <c r="D429" s="459">
        <v>0</v>
      </c>
      <c r="E429" s="459">
        <v>711.44986004010775</v>
      </c>
      <c r="F429" s="459">
        <v>0</v>
      </c>
      <c r="G429" s="459">
        <v>0</v>
      </c>
      <c r="H429" s="459"/>
      <c r="I429" s="459"/>
      <c r="J429" s="459"/>
      <c r="K429" s="459"/>
      <c r="L429" s="459"/>
      <c r="M429" s="459"/>
      <c r="N429" s="459">
        <f t="shared" si="25"/>
        <v>883.46781163844821</v>
      </c>
      <c r="O429" s="454"/>
      <c r="P429" s="451"/>
    </row>
    <row r="430" spans="1:16">
      <c r="A430" s="446">
        <f t="shared" si="23"/>
        <v>2043</v>
      </c>
      <c r="B430" s="446">
        <f t="shared" si="24"/>
        <v>5</v>
      </c>
      <c r="C430" s="459">
        <v>182.85332597891735</v>
      </c>
      <c r="D430" s="459">
        <v>0</v>
      </c>
      <c r="E430" s="459">
        <v>800.46325569161718</v>
      </c>
      <c r="F430" s="459">
        <v>0</v>
      </c>
      <c r="G430" s="459">
        <v>0</v>
      </c>
      <c r="H430" s="459"/>
      <c r="I430" s="459"/>
      <c r="J430" s="459"/>
      <c r="K430" s="459"/>
      <c r="L430" s="459"/>
      <c r="M430" s="459"/>
      <c r="N430" s="459">
        <f t="shared" si="25"/>
        <v>983.31658167053456</v>
      </c>
      <c r="O430" s="454"/>
      <c r="P430" s="451"/>
    </row>
    <row r="431" spans="1:16">
      <c r="A431" s="446">
        <f t="shared" si="23"/>
        <v>2043</v>
      </c>
      <c r="B431" s="446">
        <f t="shared" si="24"/>
        <v>6</v>
      </c>
      <c r="C431" s="459">
        <v>188.18445186612277</v>
      </c>
      <c r="D431" s="459">
        <v>0</v>
      </c>
      <c r="E431" s="459">
        <v>842.10192311114793</v>
      </c>
      <c r="F431" s="459">
        <v>0</v>
      </c>
      <c r="G431" s="459">
        <v>0</v>
      </c>
      <c r="H431" s="459"/>
      <c r="I431" s="459"/>
      <c r="J431" s="459"/>
      <c r="K431" s="459"/>
      <c r="L431" s="459"/>
      <c r="M431" s="459"/>
      <c r="N431" s="459">
        <f t="shared" si="25"/>
        <v>1030.2863749772707</v>
      </c>
      <c r="O431" s="454"/>
      <c r="P431" s="451"/>
    </row>
    <row r="432" spans="1:16">
      <c r="A432" s="446">
        <f t="shared" si="23"/>
        <v>2043</v>
      </c>
      <c r="B432" s="446">
        <f t="shared" si="24"/>
        <v>7</v>
      </c>
      <c r="C432" s="459">
        <v>203.85855756579613</v>
      </c>
      <c r="D432" s="459">
        <v>0</v>
      </c>
      <c r="E432" s="459">
        <v>868.16363736292806</v>
      </c>
      <c r="F432" s="459">
        <v>0</v>
      </c>
      <c r="G432" s="459">
        <v>0</v>
      </c>
      <c r="H432" s="459"/>
      <c r="I432" s="459"/>
      <c r="J432" s="459"/>
      <c r="K432" s="459"/>
      <c r="L432" s="459"/>
      <c r="M432" s="459"/>
      <c r="N432" s="459">
        <f t="shared" si="25"/>
        <v>1072.0221949287243</v>
      </c>
      <c r="O432" s="454"/>
      <c r="P432" s="451"/>
    </row>
    <row r="433" spans="1:16" ht="12">
      <c r="A433" s="446">
        <f t="shared" si="23"/>
        <v>2043</v>
      </c>
      <c r="B433" s="446">
        <f t="shared" si="24"/>
        <v>8</v>
      </c>
      <c r="C433" s="459">
        <v>198.85510115659451</v>
      </c>
      <c r="D433" s="459">
        <v>0</v>
      </c>
      <c r="E433" s="459">
        <v>908.58787938979401</v>
      </c>
      <c r="F433" s="459">
        <v>0</v>
      </c>
      <c r="G433" s="459">
        <v>0</v>
      </c>
      <c r="H433" s="459"/>
      <c r="I433" s="459"/>
      <c r="J433" s="459"/>
      <c r="K433" s="459"/>
      <c r="L433" s="459"/>
      <c r="M433" s="459"/>
      <c r="N433" s="459">
        <f t="shared" si="25"/>
        <v>1107.4429805463885</v>
      </c>
      <c r="O433" s="457"/>
      <c r="P433" s="451"/>
    </row>
    <row r="434" spans="1:16">
      <c r="A434" s="446">
        <f t="shared" si="23"/>
        <v>2043</v>
      </c>
      <c r="B434" s="446">
        <f t="shared" si="24"/>
        <v>9</v>
      </c>
      <c r="C434" s="459">
        <v>183.45217494259546</v>
      </c>
      <c r="D434" s="459">
        <v>0</v>
      </c>
      <c r="E434" s="459">
        <v>780.53430587372111</v>
      </c>
      <c r="F434" s="459">
        <v>0</v>
      </c>
      <c r="G434" s="459">
        <v>0</v>
      </c>
      <c r="H434" s="459"/>
      <c r="I434" s="459"/>
      <c r="J434" s="459"/>
      <c r="K434" s="459"/>
      <c r="L434" s="459"/>
      <c r="M434" s="459"/>
      <c r="N434" s="459">
        <f t="shared" si="25"/>
        <v>963.98648081631654</v>
      </c>
      <c r="O434" s="454"/>
      <c r="P434" s="451"/>
    </row>
    <row r="435" spans="1:16">
      <c r="A435" s="446">
        <f t="shared" si="23"/>
        <v>2043</v>
      </c>
      <c r="B435" s="446">
        <f t="shared" si="24"/>
        <v>10</v>
      </c>
      <c r="C435" s="459">
        <v>175.39517264582057</v>
      </c>
      <c r="D435" s="459">
        <v>0</v>
      </c>
      <c r="E435" s="459">
        <v>774.38558538705593</v>
      </c>
      <c r="F435" s="459">
        <v>0</v>
      </c>
      <c r="G435" s="459">
        <v>0</v>
      </c>
      <c r="H435" s="459"/>
      <c r="I435" s="459"/>
      <c r="J435" s="459"/>
      <c r="K435" s="459"/>
      <c r="L435" s="459"/>
      <c r="M435" s="459"/>
      <c r="N435" s="459">
        <f t="shared" si="25"/>
        <v>949.78075803287652</v>
      </c>
      <c r="O435" s="454"/>
      <c r="P435" s="451"/>
    </row>
    <row r="436" spans="1:16">
      <c r="A436" s="446">
        <f t="shared" si="23"/>
        <v>2043</v>
      </c>
      <c r="B436" s="446">
        <f t="shared" si="24"/>
        <v>11</v>
      </c>
      <c r="C436" s="459">
        <v>155.60638268992747</v>
      </c>
      <c r="D436" s="459">
        <v>0</v>
      </c>
      <c r="E436" s="459">
        <v>614.04760642339238</v>
      </c>
      <c r="F436" s="459">
        <v>0</v>
      </c>
      <c r="G436" s="459">
        <v>0</v>
      </c>
      <c r="H436" s="459"/>
      <c r="I436" s="459"/>
      <c r="J436" s="459"/>
      <c r="K436" s="459"/>
      <c r="L436" s="459"/>
      <c r="M436" s="459"/>
      <c r="N436" s="459">
        <f t="shared" si="25"/>
        <v>769.65398911331988</v>
      </c>
      <c r="O436" s="454"/>
      <c r="P436" s="451"/>
    </row>
    <row r="437" spans="1:16">
      <c r="A437" s="446">
        <f t="shared" si="23"/>
        <v>2043</v>
      </c>
      <c r="B437" s="446">
        <f t="shared" si="24"/>
        <v>12</v>
      </c>
      <c r="C437" s="459">
        <v>148.31609000928114</v>
      </c>
      <c r="D437" s="459">
        <v>0</v>
      </c>
      <c r="E437" s="459">
        <v>588.36295929933806</v>
      </c>
      <c r="F437" s="459">
        <v>0</v>
      </c>
      <c r="G437" s="459">
        <v>0</v>
      </c>
      <c r="H437" s="459"/>
      <c r="I437" s="459"/>
      <c r="J437" s="459"/>
      <c r="K437" s="459"/>
      <c r="L437" s="459"/>
      <c r="M437" s="459"/>
      <c r="N437" s="459">
        <f t="shared" si="25"/>
        <v>736.67904930861914</v>
      </c>
      <c r="O437" s="454"/>
      <c r="P437" s="451"/>
    </row>
    <row r="438" spans="1:16">
      <c r="A438" s="446">
        <f t="shared" si="23"/>
        <v>2044</v>
      </c>
      <c r="B438" s="446">
        <f t="shared" si="24"/>
        <v>1</v>
      </c>
      <c r="C438" s="459">
        <v>144.80589136222684</v>
      </c>
      <c r="D438" s="459">
        <v>0</v>
      </c>
      <c r="E438" s="459">
        <v>765.55065520606115</v>
      </c>
      <c r="F438" s="459">
        <v>0</v>
      </c>
      <c r="G438" s="459">
        <v>0</v>
      </c>
      <c r="H438" s="459"/>
      <c r="I438" s="459"/>
      <c r="J438" s="459"/>
      <c r="K438" s="459"/>
      <c r="L438" s="459"/>
      <c r="M438" s="459"/>
      <c r="N438" s="459">
        <f t="shared" si="25"/>
        <v>910.35654656828797</v>
      </c>
      <c r="O438" s="454"/>
      <c r="P438" s="451"/>
    </row>
    <row r="439" spans="1:16">
      <c r="A439" s="446">
        <f t="shared" si="23"/>
        <v>2044</v>
      </c>
      <c r="B439" s="446">
        <f t="shared" si="24"/>
        <v>2</v>
      </c>
      <c r="C439" s="459">
        <v>154.07866604427619</v>
      </c>
      <c r="D439" s="459">
        <v>0</v>
      </c>
      <c r="E439" s="459">
        <v>687.2420210252975</v>
      </c>
      <c r="F439" s="459">
        <v>0</v>
      </c>
      <c r="G439" s="459">
        <v>0</v>
      </c>
      <c r="H439" s="459"/>
      <c r="I439" s="459"/>
      <c r="J439" s="459"/>
      <c r="K439" s="459"/>
      <c r="L439" s="459"/>
      <c r="M439" s="459"/>
      <c r="N439" s="459">
        <f t="shared" si="25"/>
        <v>841.32068706957375</v>
      </c>
      <c r="O439" s="454"/>
      <c r="P439" s="451"/>
    </row>
    <row r="440" spans="1:16">
      <c r="A440" s="446">
        <f t="shared" si="23"/>
        <v>2044</v>
      </c>
      <c r="B440" s="446">
        <f t="shared" si="24"/>
        <v>3</v>
      </c>
      <c r="C440" s="459">
        <v>146.21610702801541</v>
      </c>
      <c r="D440" s="459">
        <v>0</v>
      </c>
      <c r="E440" s="459">
        <v>635.05899663848504</v>
      </c>
      <c r="F440" s="459">
        <v>0</v>
      </c>
      <c r="G440" s="459">
        <v>0</v>
      </c>
      <c r="H440" s="459"/>
      <c r="I440" s="459"/>
      <c r="J440" s="459"/>
      <c r="K440" s="459"/>
      <c r="L440" s="459"/>
      <c r="M440" s="459"/>
      <c r="N440" s="459">
        <f t="shared" si="25"/>
        <v>781.2751036665004</v>
      </c>
      <c r="O440" s="454"/>
      <c r="P440" s="451"/>
    </row>
    <row r="441" spans="1:16">
      <c r="A441" s="446">
        <f t="shared" si="23"/>
        <v>2044</v>
      </c>
      <c r="B441" s="446">
        <f t="shared" si="24"/>
        <v>4</v>
      </c>
      <c r="C441" s="459">
        <v>173.63932867099277</v>
      </c>
      <c r="D441" s="459">
        <v>0</v>
      </c>
      <c r="E441" s="459">
        <v>715.94661362049897</v>
      </c>
      <c r="F441" s="459">
        <v>0</v>
      </c>
      <c r="G441" s="459">
        <v>0</v>
      </c>
      <c r="H441" s="459"/>
      <c r="I441" s="459"/>
      <c r="J441" s="459"/>
      <c r="K441" s="459"/>
      <c r="L441" s="459"/>
      <c r="M441" s="459"/>
      <c r="N441" s="459">
        <f t="shared" si="25"/>
        <v>889.58594229149173</v>
      </c>
      <c r="O441" s="454"/>
      <c r="P441" s="451"/>
    </row>
    <row r="442" spans="1:16">
      <c r="A442" s="446">
        <f t="shared" si="23"/>
        <v>2044</v>
      </c>
      <c r="B442" s="446">
        <f t="shared" si="24"/>
        <v>5</v>
      </c>
      <c r="C442" s="459">
        <v>184.57683325037175</v>
      </c>
      <c r="D442" s="459">
        <v>0</v>
      </c>
      <c r="E442" s="459">
        <v>804.60639952868326</v>
      </c>
      <c r="F442" s="459">
        <v>0</v>
      </c>
      <c r="G442" s="459">
        <v>0</v>
      </c>
      <c r="H442" s="459"/>
      <c r="I442" s="459"/>
      <c r="J442" s="459"/>
      <c r="K442" s="459"/>
      <c r="L442" s="459"/>
      <c r="M442" s="459"/>
      <c r="N442" s="459">
        <f t="shared" si="25"/>
        <v>989.18323277905506</v>
      </c>
      <c r="O442" s="454"/>
      <c r="P442" s="451"/>
    </row>
    <row r="443" spans="1:16">
      <c r="A443" s="446">
        <f t="shared" si="23"/>
        <v>2044</v>
      </c>
      <c r="B443" s="446">
        <f t="shared" si="24"/>
        <v>6</v>
      </c>
      <c r="C443" s="459">
        <v>189.95820834241096</v>
      </c>
      <c r="D443" s="459">
        <v>0</v>
      </c>
      <c r="E443" s="459">
        <v>845.06753038738623</v>
      </c>
      <c r="F443" s="459">
        <v>0</v>
      </c>
      <c r="G443" s="459">
        <v>0</v>
      </c>
      <c r="H443" s="459"/>
      <c r="I443" s="459"/>
      <c r="J443" s="459"/>
      <c r="K443" s="459"/>
      <c r="L443" s="459"/>
      <c r="M443" s="459"/>
      <c r="N443" s="459">
        <f t="shared" si="25"/>
        <v>1035.0257387297972</v>
      </c>
      <c r="O443" s="454"/>
      <c r="P443" s="451"/>
    </row>
    <row r="444" spans="1:16">
      <c r="A444" s="446">
        <f t="shared" si="23"/>
        <v>2044</v>
      </c>
      <c r="B444" s="446">
        <f t="shared" si="24"/>
        <v>7</v>
      </c>
      <c r="C444" s="459">
        <v>205.78043049404448</v>
      </c>
      <c r="D444" s="459">
        <v>0</v>
      </c>
      <c r="E444" s="459">
        <v>873.10123312917426</v>
      </c>
      <c r="F444" s="459">
        <v>0</v>
      </c>
      <c r="G444" s="459">
        <v>0</v>
      </c>
      <c r="H444" s="459"/>
      <c r="I444" s="459"/>
      <c r="J444" s="459"/>
      <c r="K444" s="459"/>
      <c r="L444" s="459"/>
      <c r="M444" s="459"/>
      <c r="N444" s="459">
        <f t="shared" si="25"/>
        <v>1078.8816636232186</v>
      </c>
      <c r="O444" s="454"/>
      <c r="P444" s="451"/>
    </row>
    <row r="445" spans="1:16">
      <c r="A445" s="446">
        <f t="shared" si="23"/>
        <v>2044</v>
      </c>
      <c r="B445" s="446">
        <f t="shared" si="24"/>
        <v>8</v>
      </c>
      <c r="C445" s="459">
        <v>200.72943519440528</v>
      </c>
      <c r="D445" s="459">
        <v>0</v>
      </c>
      <c r="E445" s="459">
        <v>913.77912073284858</v>
      </c>
      <c r="F445" s="459">
        <v>0</v>
      </c>
      <c r="G445" s="459">
        <v>0</v>
      </c>
      <c r="H445" s="459"/>
      <c r="I445" s="459"/>
      <c r="J445" s="459"/>
      <c r="K445" s="459"/>
      <c r="L445" s="459"/>
      <c r="M445" s="459"/>
      <c r="N445" s="459">
        <f t="shared" si="25"/>
        <v>1114.5085559272538</v>
      </c>
      <c r="O445" s="454"/>
      <c r="P445" s="451"/>
    </row>
    <row r="446" spans="1:16">
      <c r="A446" s="446">
        <f t="shared" si="23"/>
        <v>2044</v>
      </c>
      <c r="B446" s="446">
        <f t="shared" si="24"/>
        <v>9</v>
      </c>
      <c r="C446" s="459">
        <v>185.18132674109305</v>
      </c>
      <c r="D446" s="459">
        <v>0</v>
      </c>
      <c r="E446" s="459">
        <v>785.00463384418504</v>
      </c>
      <c r="F446" s="459">
        <v>0</v>
      </c>
      <c r="G446" s="459">
        <v>0</v>
      </c>
      <c r="H446" s="459"/>
      <c r="I446" s="459"/>
      <c r="J446" s="459"/>
      <c r="K446" s="459"/>
      <c r="L446" s="459"/>
      <c r="M446" s="459"/>
      <c r="N446" s="459">
        <f t="shared" si="25"/>
        <v>970.18596058527805</v>
      </c>
      <c r="O446" s="454"/>
      <c r="P446" s="451"/>
    </row>
    <row r="447" spans="1:16">
      <c r="A447" s="446">
        <f t="shared" si="23"/>
        <v>2044</v>
      </c>
      <c r="B447" s="446">
        <f t="shared" si="24"/>
        <v>10</v>
      </c>
      <c r="C447" s="459">
        <v>177.04838214482604</v>
      </c>
      <c r="D447" s="459">
        <v>0</v>
      </c>
      <c r="E447" s="459">
        <v>777.03079675755907</v>
      </c>
      <c r="F447" s="459">
        <v>0</v>
      </c>
      <c r="G447" s="459">
        <v>0</v>
      </c>
      <c r="H447" s="459"/>
      <c r="I447" s="459"/>
      <c r="J447" s="459"/>
      <c r="K447" s="459"/>
      <c r="L447" s="459"/>
      <c r="M447" s="459"/>
      <c r="N447" s="459">
        <f t="shared" si="25"/>
        <v>954.07917890238514</v>
      </c>
      <c r="O447" s="454"/>
      <c r="P447" s="451"/>
    </row>
    <row r="448" spans="1:16">
      <c r="A448" s="446">
        <f t="shared" si="23"/>
        <v>2044</v>
      </c>
      <c r="B448" s="446">
        <f t="shared" si="24"/>
        <v>11</v>
      </c>
      <c r="C448" s="459">
        <v>157.07307043331437</v>
      </c>
      <c r="D448" s="459">
        <v>0</v>
      </c>
      <c r="E448" s="459">
        <v>615.30961953404301</v>
      </c>
      <c r="F448" s="459">
        <v>0</v>
      </c>
      <c r="G448" s="459">
        <v>0</v>
      </c>
      <c r="H448" s="459"/>
      <c r="I448" s="459"/>
      <c r="J448" s="459"/>
      <c r="K448" s="459"/>
      <c r="L448" s="459"/>
      <c r="M448" s="459"/>
      <c r="N448" s="459">
        <f t="shared" si="25"/>
        <v>772.38268996735735</v>
      </c>
      <c r="O448" s="454"/>
      <c r="P448" s="451"/>
    </row>
    <row r="449" spans="1:16">
      <c r="A449" s="446">
        <f t="shared" si="23"/>
        <v>2044</v>
      </c>
      <c r="B449" s="446">
        <f t="shared" si="24"/>
        <v>12</v>
      </c>
      <c r="C449" s="459">
        <v>149.71406217213996</v>
      </c>
      <c r="D449" s="459">
        <v>0</v>
      </c>
      <c r="E449" s="459">
        <v>590.00666855822237</v>
      </c>
      <c r="F449" s="459">
        <v>0</v>
      </c>
      <c r="G449" s="459">
        <v>0</v>
      </c>
      <c r="H449" s="459"/>
      <c r="I449" s="459"/>
      <c r="J449" s="459"/>
      <c r="K449" s="459"/>
      <c r="L449" s="459"/>
      <c r="M449" s="459"/>
      <c r="N449" s="459">
        <f t="shared" si="25"/>
        <v>739.72073073036233</v>
      </c>
      <c r="O449" s="454"/>
      <c r="P449" s="451"/>
    </row>
    <row r="450" spans="1:16">
      <c r="A450" s="446">
        <f t="shared" si="23"/>
        <v>2045</v>
      </c>
      <c r="B450" s="446">
        <f t="shared" si="24"/>
        <v>1</v>
      </c>
      <c r="C450" s="459">
        <v>146.17077770146145</v>
      </c>
      <c r="D450" s="459">
        <v>0</v>
      </c>
      <c r="E450" s="459">
        <v>766.3161754429193</v>
      </c>
      <c r="F450" s="459">
        <v>0</v>
      </c>
      <c r="G450" s="459">
        <v>0</v>
      </c>
      <c r="H450" s="459"/>
      <c r="I450" s="459"/>
      <c r="J450" s="459"/>
      <c r="K450" s="459"/>
      <c r="L450" s="459"/>
      <c r="M450" s="459"/>
      <c r="N450" s="459">
        <f t="shared" si="25"/>
        <v>912.48695314438078</v>
      </c>
      <c r="O450" s="454"/>
      <c r="P450" s="451"/>
    </row>
    <row r="451" spans="1:16">
      <c r="A451" s="446">
        <f t="shared" si="23"/>
        <v>2045</v>
      </c>
      <c r="B451" s="446">
        <f t="shared" si="24"/>
        <v>2</v>
      </c>
      <c r="C451" s="459">
        <v>155.53095410019012</v>
      </c>
      <c r="D451" s="459">
        <v>0</v>
      </c>
      <c r="E451" s="459">
        <v>687.92911517500988</v>
      </c>
      <c r="F451" s="459">
        <v>0</v>
      </c>
      <c r="G451" s="459">
        <v>0</v>
      </c>
      <c r="H451" s="459"/>
      <c r="I451" s="459"/>
      <c r="J451" s="459"/>
      <c r="K451" s="459"/>
      <c r="L451" s="459"/>
      <c r="M451" s="459"/>
      <c r="N451" s="459">
        <f t="shared" si="25"/>
        <v>843.4600692752</v>
      </c>
      <c r="O451" s="454"/>
      <c r="P451" s="451"/>
    </row>
    <row r="452" spans="1:16">
      <c r="A452" s="446">
        <f t="shared" si="23"/>
        <v>2045</v>
      </c>
      <c r="B452" s="446">
        <f t="shared" si="24"/>
        <v>3</v>
      </c>
      <c r="C452" s="459">
        <v>147.59428553429865</v>
      </c>
      <c r="D452" s="459">
        <v>0</v>
      </c>
      <c r="E452" s="459">
        <v>635.75889935355451</v>
      </c>
      <c r="F452" s="459">
        <v>0</v>
      </c>
      <c r="G452" s="459">
        <v>0</v>
      </c>
      <c r="H452" s="459"/>
      <c r="I452" s="459"/>
      <c r="J452" s="459"/>
      <c r="K452" s="459"/>
      <c r="L452" s="459"/>
      <c r="M452" s="459"/>
      <c r="N452" s="459">
        <f t="shared" si="25"/>
        <v>783.3531848878531</v>
      </c>
      <c r="O452" s="454"/>
      <c r="P452" s="451"/>
    </row>
    <row r="453" spans="1:16">
      <c r="A453" s="446">
        <f t="shared" si="23"/>
        <v>2045</v>
      </c>
      <c r="B453" s="446">
        <f t="shared" si="24"/>
        <v>4</v>
      </c>
      <c r="C453" s="459">
        <v>175.2759882393805</v>
      </c>
      <c r="D453" s="459">
        <v>0</v>
      </c>
      <c r="E453" s="459">
        <v>720.47178915147094</v>
      </c>
      <c r="F453" s="459">
        <v>0</v>
      </c>
      <c r="G453" s="459">
        <v>0</v>
      </c>
      <c r="H453" s="459"/>
      <c r="I453" s="459"/>
      <c r="J453" s="459"/>
      <c r="K453" s="459"/>
      <c r="L453" s="459"/>
      <c r="M453" s="459"/>
      <c r="N453" s="459">
        <f t="shared" si="25"/>
        <v>895.74777739085141</v>
      </c>
      <c r="O453" s="454"/>
      <c r="P453" s="451"/>
    </row>
    <row r="454" spans="1:16">
      <c r="A454" s="446">
        <f t="shared" si="23"/>
        <v>2045</v>
      </c>
      <c r="B454" s="446">
        <f t="shared" si="24"/>
        <v>5</v>
      </c>
      <c r="C454" s="459">
        <v>186.31658565873491</v>
      </c>
      <c r="D454" s="459">
        <v>0</v>
      </c>
      <c r="E454" s="459">
        <v>808.77098799888211</v>
      </c>
      <c r="F454" s="459">
        <v>0</v>
      </c>
      <c r="G454" s="459">
        <v>0</v>
      </c>
      <c r="H454" s="459"/>
      <c r="I454" s="459"/>
      <c r="J454" s="459"/>
      <c r="K454" s="459"/>
      <c r="L454" s="459"/>
      <c r="M454" s="459"/>
      <c r="N454" s="459">
        <f t="shared" si="25"/>
        <v>995.08757365761699</v>
      </c>
      <c r="O454" s="454"/>
      <c r="P454" s="451"/>
    </row>
    <row r="455" spans="1:16">
      <c r="A455" s="446">
        <f t="shared" ref="A455:A518" si="26">A443+1</f>
        <v>2045</v>
      </c>
      <c r="B455" s="446">
        <f t="shared" ref="B455:B518" si="27">B443</f>
        <v>6</v>
      </c>
      <c r="C455" s="459">
        <v>191.74868358587662</v>
      </c>
      <c r="D455" s="459">
        <v>0</v>
      </c>
      <c r="E455" s="459">
        <v>848.04358156153705</v>
      </c>
      <c r="F455" s="459">
        <v>0</v>
      </c>
      <c r="G455" s="459">
        <v>0</v>
      </c>
      <c r="H455" s="459"/>
      <c r="I455" s="459"/>
      <c r="J455" s="459"/>
      <c r="K455" s="459"/>
      <c r="L455" s="459"/>
      <c r="M455" s="459"/>
      <c r="N455" s="459">
        <f t="shared" ref="N455:N518" si="28">SUM(C455:M455)</f>
        <v>1039.7922651474137</v>
      </c>
      <c r="O455" s="454"/>
      <c r="P455" s="451"/>
    </row>
    <row r="456" spans="1:16">
      <c r="A456" s="446">
        <f t="shared" si="26"/>
        <v>2045</v>
      </c>
      <c r="B456" s="446">
        <f t="shared" si="27"/>
        <v>7</v>
      </c>
      <c r="C456" s="459">
        <v>207.72042184516619</v>
      </c>
      <c r="D456" s="459">
        <v>0</v>
      </c>
      <c r="E456" s="459">
        <v>878.06691098835961</v>
      </c>
      <c r="F456" s="459">
        <v>0</v>
      </c>
      <c r="G456" s="459">
        <v>0</v>
      </c>
      <c r="H456" s="459"/>
      <c r="I456" s="459"/>
      <c r="J456" s="459"/>
      <c r="K456" s="459"/>
      <c r="L456" s="459"/>
      <c r="M456" s="459"/>
      <c r="N456" s="459">
        <f t="shared" si="28"/>
        <v>1085.7873328335259</v>
      </c>
      <c r="O456" s="454"/>
      <c r="P456" s="451"/>
    </row>
    <row r="457" spans="1:16">
      <c r="A457" s="446">
        <f t="shared" si="26"/>
        <v>2045</v>
      </c>
      <c r="B457" s="446">
        <f t="shared" si="27"/>
        <v>8</v>
      </c>
      <c r="C457" s="459">
        <v>202.62143600598679</v>
      </c>
      <c r="D457" s="459">
        <v>0</v>
      </c>
      <c r="E457" s="459">
        <v>919.00002237326464</v>
      </c>
      <c r="F457" s="459">
        <v>0</v>
      </c>
      <c r="G457" s="459">
        <v>0</v>
      </c>
      <c r="H457" s="459"/>
      <c r="I457" s="459"/>
      <c r="J457" s="459"/>
      <c r="K457" s="459"/>
      <c r="L457" s="459"/>
      <c r="M457" s="459"/>
      <c r="N457" s="459">
        <f t="shared" si="28"/>
        <v>1121.6214583792514</v>
      </c>
      <c r="O457" s="454"/>
      <c r="P457" s="451"/>
    </row>
    <row r="458" spans="1:16">
      <c r="A458" s="446">
        <f t="shared" si="26"/>
        <v>2045</v>
      </c>
      <c r="B458" s="446">
        <f t="shared" si="27"/>
        <v>9</v>
      </c>
      <c r="C458" s="459">
        <v>186.92677687970667</v>
      </c>
      <c r="D458" s="459">
        <v>0</v>
      </c>
      <c r="E458" s="459">
        <v>789.50056457421135</v>
      </c>
      <c r="F458" s="459">
        <v>0</v>
      </c>
      <c r="G458" s="459">
        <v>0</v>
      </c>
      <c r="H458" s="459"/>
      <c r="I458" s="459"/>
      <c r="J458" s="459"/>
      <c r="K458" s="459"/>
      <c r="L458" s="459"/>
      <c r="M458" s="459"/>
      <c r="N458" s="459">
        <f t="shared" si="28"/>
        <v>976.42734145391796</v>
      </c>
      <c r="O458" s="454"/>
      <c r="P458" s="451"/>
    </row>
    <row r="459" spans="1:16">
      <c r="A459" s="446">
        <f t="shared" si="26"/>
        <v>2045</v>
      </c>
      <c r="B459" s="446">
        <f t="shared" si="27"/>
        <v>10</v>
      </c>
      <c r="C459" s="459">
        <v>178.71717418014865</v>
      </c>
      <c r="D459" s="459">
        <v>0</v>
      </c>
      <c r="E459" s="459">
        <v>779.68504386339441</v>
      </c>
      <c r="F459" s="459">
        <v>0</v>
      </c>
      <c r="G459" s="459">
        <v>0</v>
      </c>
      <c r="H459" s="459"/>
      <c r="I459" s="459"/>
      <c r="J459" s="459"/>
      <c r="K459" s="459"/>
      <c r="L459" s="459"/>
      <c r="M459" s="459"/>
      <c r="N459" s="459">
        <f t="shared" si="28"/>
        <v>958.40221804354303</v>
      </c>
      <c r="O459" s="454"/>
      <c r="P459" s="451"/>
    </row>
    <row r="460" spans="1:16">
      <c r="A460" s="446">
        <f t="shared" si="26"/>
        <v>2045</v>
      </c>
      <c r="B460" s="446">
        <f t="shared" si="27"/>
        <v>11</v>
      </c>
      <c r="C460" s="459">
        <v>158.55358262849697</v>
      </c>
      <c r="D460" s="459">
        <v>0</v>
      </c>
      <c r="E460" s="459">
        <v>616.57422638021967</v>
      </c>
      <c r="F460" s="459">
        <v>0</v>
      </c>
      <c r="G460" s="459">
        <v>0</v>
      </c>
      <c r="H460" s="459"/>
      <c r="I460" s="459"/>
      <c r="J460" s="459"/>
      <c r="K460" s="459"/>
      <c r="L460" s="459"/>
      <c r="M460" s="459"/>
      <c r="N460" s="459">
        <f t="shared" si="28"/>
        <v>775.12780900871667</v>
      </c>
      <c r="O460" s="454"/>
      <c r="P460" s="451"/>
    </row>
    <row r="461" spans="1:16">
      <c r="A461" s="446">
        <f t="shared" si="26"/>
        <v>2045</v>
      </c>
      <c r="B461" s="446">
        <f t="shared" si="27"/>
        <v>12</v>
      </c>
      <c r="C461" s="459">
        <v>151.12521109935392</v>
      </c>
      <c r="D461" s="459">
        <v>0</v>
      </c>
      <c r="E461" s="459">
        <v>591.65496984671211</v>
      </c>
      <c r="F461" s="459">
        <v>0</v>
      </c>
      <c r="G461" s="459">
        <v>0</v>
      </c>
      <c r="H461" s="459"/>
      <c r="I461" s="459"/>
      <c r="J461" s="459"/>
      <c r="K461" s="459"/>
      <c r="L461" s="459"/>
      <c r="M461" s="459"/>
      <c r="N461" s="459">
        <f t="shared" si="28"/>
        <v>742.78018094606603</v>
      </c>
      <c r="O461" s="454"/>
      <c r="P461" s="451"/>
    </row>
    <row r="462" spans="1:16">
      <c r="A462" s="446">
        <f t="shared" si="26"/>
        <v>2046</v>
      </c>
      <c r="B462" s="446">
        <f t="shared" si="27"/>
        <v>1</v>
      </c>
      <c r="C462" s="459">
        <v>147.54852895041424</v>
      </c>
      <c r="D462" s="459">
        <v>0</v>
      </c>
      <c r="E462" s="459">
        <v>767.0824611695972</v>
      </c>
      <c r="F462" s="459">
        <v>0</v>
      </c>
      <c r="G462" s="459">
        <v>0</v>
      </c>
      <c r="H462" s="459"/>
      <c r="I462" s="459"/>
      <c r="J462" s="459"/>
      <c r="K462" s="459"/>
      <c r="L462" s="459"/>
      <c r="M462" s="459"/>
      <c r="N462" s="459">
        <f t="shared" si="28"/>
        <v>914.63099012001146</v>
      </c>
      <c r="O462" s="454"/>
      <c r="P462" s="451"/>
    </row>
    <row r="463" spans="1:16">
      <c r="A463" s="446">
        <f t="shared" si="26"/>
        <v>2046</v>
      </c>
      <c r="B463" s="446">
        <f t="shared" si="27"/>
        <v>2</v>
      </c>
      <c r="C463" s="459">
        <v>156.99693088181473</v>
      </c>
      <c r="D463" s="459">
        <v>0</v>
      </c>
      <c r="E463" s="459">
        <v>688.6168962710326</v>
      </c>
      <c r="F463" s="459">
        <v>0</v>
      </c>
      <c r="G463" s="459">
        <v>0</v>
      </c>
      <c r="H463" s="459"/>
      <c r="I463" s="459"/>
      <c r="J463" s="459"/>
      <c r="K463" s="459"/>
      <c r="L463" s="459"/>
      <c r="M463" s="459"/>
      <c r="N463" s="459">
        <f t="shared" si="28"/>
        <v>845.61382715284731</v>
      </c>
      <c r="O463" s="454"/>
      <c r="P463" s="451"/>
    </row>
    <row r="464" spans="1:16">
      <c r="A464" s="446">
        <f t="shared" si="26"/>
        <v>2046</v>
      </c>
      <c r="B464" s="446">
        <f t="shared" si="27"/>
        <v>3</v>
      </c>
      <c r="C464" s="459">
        <v>148.98545423731045</v>
      </c>
      <c r="D464" s="459">
        <v>0</v>
      </c>
      <c r="E464" s="459">
        <v>636.45957343602947</v>
      </c>
      <c r="F464" s="459">
        <v>0</v>
      </c>
      <c r="G464" s="459">
        <v>0</v>
      </c>
      <c r="H464" s="459"/>
      <c r="I464" s="459"/>
      <c r="J464" s="459"/>
      <c r="K464" s="459"/>
      <c r="L464" s="459"/>
      <c r="M464" s="459"/>
      <c r="N464" s="459">
        <f t="shared" si="28"/>
        <v>785.44502767333995</v>
      </c>
      <c r="O464" s="454"/>
      <c r="P464" s="451"/>
    </row>
    <row r="465" spans="1:16">
      <c r="A465" s="446">
        <f t="shared" si="26"/>
        <v>2046</v>
      </c>
      <c r="B465" s="446">
        <f t="shared" si="27"/>
        <v>4</v>
      </c>
      <c r="C465" s="459">
        <v>176.92807435061016</v>
      </c>
      <c r="D465" s="459">
        <v>0</v>
      </c>
      <c r="E465" s="459">
        <v>725.02556627535023</v>
      </c>
      <c r="F465" s="459">
        <v>0</v>
      </c>
      <c r="G465" s="459">
        <v>0</v>
      </c>
      <c r="H465" s="459"/>
      <c r="I465" s="459"/>
      <c r="J465" s="459"/>
      <c r="K465" s="459"/>
      <c r="L465" s="459"/>
      <c r="M465" s="459"/>
      <c r="N465" s="459">
        <f t="shared" si="28"/>
        <v>901.95364062596036</v>
      </c>
      <c r="O465" s="454"/>
      <c r="P465" s="451"/>
    </row>
    <row r="466" spans="1:16">
      <c r="A466" s="446">
        <f t="shared" si="26"/>
        <v>2046</v>
      </c>
      <c r="B466" s="446">
        <f t="shared" si="27"/>
        <v>5</v>
      </c>
      <c r="C466" s="459">
        <v>188.07273632461019</v>
      </c>
      <c r="D466" s="459">
        <v>0</v>
      </c>
      <c r="E466" s="459">
        <v>812.95713209818882</v>
      </c>
      <c r="F466" s="459">
        <v>0</v>
      </c>
      <c r="G466" s="459">
        <v>0</v>
      </c>
      <c r="H466" s="459"/>
      <c r="I466" s="459"/>
      <c r="J466" s="459"/>
      <c r="K466" s="459"/>
      <c r="L466" s="459"/>
      <c r="M466" s="459"/>
      <c r="N466" s="459">
        <f t="shared" si="28"/>
        <v>1001.029868422799</v>
      </c>
      <c r="O466" s="454"/>
      <c r="P466" s="451"/>
    </row>
    <row r="467" spans="1:16">
      <c r="A467" s="446">
        <f t="shared" si="26"/>
        <v>2046</v>
      </c>
      <c r="B467" s="446">
        <f t="shared" si="27"/>
        <v>6</v>
      </c>
      <c r="C467" s="459">
        <v>193.5560351813854</v>
      </c>
      <c r="D467" s="459">
        <v>0</v>
      </c>
      <c r="E467" s="459">
        <v>851.03011341358967</v>
      </c>
      <c r="F467" s="459">
        <v>0</v>
      </c>
      <c r="G467" s="459">
        <v>0</v>
      </c>
      <c r="H467" s="459"/>
      <c r="I467" s="459"/>
      <c r="J467" s="459"/>
      <c r="K467" s="459"/>
      <c r="L467" s="459"/>
      <c r="M467" s="459"/>
      <c r="N467" s="459">
        <f t="shared" si="28"/>
        <v>1044.5861485949752</v>
      </c>
      <c r="O467" s="454"/>
      <c r="P467" s="451"/>
    </row>
    <row r="468" spans="1:16">
      <c r="A468" s="446">
        <f t="shared" si="26"/>
        <v>2046</v>
      </c>
      <c r="B468" s="446">
        <f t="shared" si="27"/>
        <v>7</v>
      </c>
      <c r="C468" s="459">
        <v>209.6787024302709</v>
      </c>
      <c r="D468" s="459">
        <v>0</v>
      </c>
      <c r="E468" s="459">
        <v>883.06083065464099</v>
      </c>
      <c r="F468" s="459">
        <v>0</v>
      </c>
      <c r="G468" s="459">
        <v>0</v>
      </c>
      <c r="H468" s="459"/>
      <c r="I468" s="459"/>
      <c r="J468" s="459"/>
      <c r="K468" s="459"/>
      <c r="L468" s="459"/>
      <c r="M468" s="459"/>
      <c r="N468" s="459">
        <f t="shared" si="28"/>
        <v>1092.739533084912</v>
      </c>
      <c r="O468" s="454"/>
      <c r="P468" s="451"/>
    </row>
    <row r="469" spans="1:16">
      <c r="A469" s="446">
        <f t="shared" si="26"/>
        <v>2046</v>
      </c>
      <c r="B469" s="446">
        <f t="shared" si="27"/>
        <v>8</v>
      </c>
      <c r="C469" s="459">
        <v>204.53127011176133</v>
      </c>
      <c r="D469" s="459">
        <v>0</v>
      </c>
      <c r="E469" s="459">
        <v>924.2507537759509</v>
      </c>
      <c r="F469" s="459">
        <v>0</v>
      </c>
      <c r="G469" s="459">
        <v>0</v>
      </c>
      <c r="H469" s="459"/>
      <c r="I469" s="459"/>
      <c r="J469" s="459"/>
      <c r="K469" s="459"/>
      <c r="L469" s="459"/>
      <c r="M469" s="459"/>
      <c r="N469" s="459">
        <f t="shared" si="28"/>
        <v>1128.7820238877123</v>
      </c>
      <c r="O469" s="454"/>
      <c r="P469" s="451"/>
    </row>
    <row r="470" spans="1:16">
      <c r="A470" s="446">
        <f t="shared" si="26"/>
        <v>2046</v>
      </c>
      <c r="B470" s="446">
        <f t="shared" si="27"/>
        <v>9</v>
      </c>
      <c r="C470" s="459">
        <v>188.68867898051326</v>
      </c>
      <c r="D470" s="459">
        <v>0</v>
      </c>
      <c r="E470" s="459">
        <v>794.022244697627</v>
      </c>
      <c r="F470" s="459">
        <v>0</v>
      </c>
      <c r="G470" s="459">
        <v>0</v>
      </c>
      <c r="H470" s="459"/>
      <c r="I470" s="459"/>
      <c r="J470" s="459"/>
      <c r="K470" s="459"/>
      <c r="L470" s="459"/>
      <c r="M470" s="459"/>
      <c r="N470" s="459">
        <f t="shared" si="28"/>
        <v>982.71092367814026</v>
      </c>
      <c r="O470" s="454"/>
      <c r="P470" s="451"/>
    </row>
    <row r="471" spans="1:16">
      <c r="A471" s="446">
        <f t="shared" si="26"/>
        <v>2046</v>
      </c>
      <c r="B471" s="446">
        <f t="shared" si="27"/>
        <v>10</v>
      </c>
      <c r="C471" s="459">
        <v>180.40169562696553</v>
      </c>
      <c r="D471" s="459">
        <v>0</v>
      </c>
      <c r="E471" s="459">
        <v>782.34835756958626</v>
      </c>
      <c r="F471" s="459">
        <v>0</v>
      </c>
      <c r="G471" s="459">
        <v>0</v>
      </c>
      <c r="H471" s="459"/>
      <c r="I471" s="459"/>
      <c r="J471" s="459"/>
      <c r="K471" s="459"/>
      <c r="L471" s="459"/>
      <c r="M471" s="459"/>
      <c r="N471" s="459">
        <f t="shared" si="28"/>
        <v>962.75005319655179</v>
      </c>
      <c r="O471" s="454"/>
      <c r="P471" s="451"/>
    </row>
    <row r="472" spans="1:16">
      <c r="A472" s="446">
        <f t="shared" si="26"/>
        <v>2046</v>
      </c>
      <c r="B472" s="446">
        <f t="shared" si="27"/>
        <v>11</v>
      </c>
      <c r="C472" s="459">
        <v>160.04804957960326</v>
      </c>
      <c r="D472" s="459">
        <v>0</v>
      </c>
      <c r="E472" s="459">
        <v>617.8414322926626</v>
      </c>
      <c r="F472" s="459">
        <v>0</v>
      </c>
      <c r="G472" s="459">
        <v>0</v>
      </c>
      <c r="H472" s="459"/>
      <c r="I472" s="459"/>
      <c r="J472" s="459"/>
      <c r="K472" s="459"/>
      <c r="L472" s="459"/>
      <c r="M472" s="459"/>
      <c r="N472" s="459">
        <f t="shared" si="28"/>
        <v>777.88948187226583</v>
      </c>
      <c r="O472" s="454"/>
      <c r="P472" s="451"/>
    </row>
    <row r="473" spans="1:16">
      <c r="A473" s="446">
        <f t="shared" si="26"/>
        <v>2046</v>
      </c>
      <c r="B473" s="446">
        <f t="shared" si="27"/>
        <v>12</v>
      </c>
      <c r="C473" s="459">
        <v>152.54966099019074</v>
      </c>
      <c r="D473" s="459">
        <v>0</v>
      </c>
      <c r="E473" s="459">
        <v>593.30787599355756</v>
      </c>
      <c r="F473" s="459">
        <v>0</v>
      </c>
      <c r="G473" s="459">
        <v>0</v>
      </c>
      <c r="H473" s="459"/>
      <c r="I473" s="459"/>
      <c r="J473" s="459"/>
      <c r="K473" s="459"/>
      <c r="L473" s="459"/>
      <c r="M473" s="459"/>
      <c r="N473" s="459">
        <f t="shared" si="28"/>
        <v>745.85753698374833</v>
      </c>
      <c r="O473" s="454"/>
      <c r="P473" s="451"/>
    </row>
    <row r="474" spans="1:16">
      <c r="A474" s="446">
        <f t="shared" si="26"/>
        <v>2047</v>
      </c>
      <c r="B474" s="446">
        <f t="shared" si="27"/>
        <v>1</v>
      </c>
      <c r="C474" s="459">
        <v>148.93926636892729</v>
      </c>
      <c r="D474" s="459">
        <v>0</v>
      </c>
      <c r="E474" s="459">
        <v>767.84951315155422</v>
      </c>
      <c r="F474" s="459">
        <v>0</v>
      </c>
      <c r="G474" s="459">
        <v>0</v>
      </c>
      <c r="H474" s="459"/>
      <c r="I474" s="459"/>
      <c r="J474" s="459"/>
      <c r="K474" s="459"/>
      <c r="L474" s="459"/>
      <c r="M474" s="459"/>
      <c r="N474" s="459">
        <f t="shared" si="28"/>
        <v>916.78877952048151</v>
      </c>
      <c r="O474" s="454"/>
      <c r="P474" s="451"/>
    </row>
    <row r="475" spans="1:16">
      <c r="A475" s="446">
        <f t="shared" si="26"/>
        <v>2047</v>
      </c>
      <c r="B475" s="446">
        <f t="shared" si="27"/>
        <v>2</v>
      </c>
      <c r="C475" s="459">
        <v>158.47672541397461</v>
      </c>
      <c r="D475" s="459">
        <v>0</v>
      </c>
      <c r="E475" s="459">
        <v>689.30536500016399</v>
      </c>
      <c r="F475" s="459">
        <v>0</v>
      </c>
      <c r="G475" s="459">
        <v>0</v>
      </c>
      <c r="H475" s="459"/>
      <c r="I475" s="459"/>
      <c r="J475" s="459"/>
      <c r="K475" s="459"/>
      <c r="L475" s="459"/>
      <c r="M475" s="459"/>
      <c r="N475" s="459">
        <f t="shared" si="28"/>
        <v>847.78209041413857</v>
      </c>
      <c r="O475" s="454"/>
      <c r="P475" s="451"/>
    </row>
    <row r="476" spans="1:16">
      <c r="A476" s="446">
        <f t="shared" si="26"/>
        <v>2047</v>
      </c>
      <c r="B476" s="446">
        <f t="shared" si="27"/>
        <v>3</v>
      </c>
      <c r="C476" s="459">
        <v>150.38973557780162</v>
      </c>
      <c r="D476" s="459">
        <v>0</v>
      </c>
      <c r="E476" s="459">
        <v>637.16101973603895</v>
      </c>
      <c r="F476" s="459">
        <v>0</v>
      </c>
      <c r="G476" s="459">
        <v>0</v>
      </c>
      <c r="H476" s="459"/>
      <c r="I476" s="459"/>
      <c r="J476" s="459"/>
      <c r="K476" s="459"/>
      <c r="L476" s="459"/>
      <c r="M476" s="459"/>
      <c r="N476" s="459">
        <f t="shared" si="28"/>
        <v>787.55075531384057</v>
      </c>
      <c r="O476" s="454"/>
      <c r="P476" s="451"/>
    </row>
    <row r="477" spans="1:16">
      <c r="A477" s="446">
        <f t="shared" si="26"/>
        <v>2047</v>
      </c>
      <c r="B477" s="446">
        <f t="shared" si="27"/>
        <v>4</v>
      </c>
      <c r="C477" s="459">
        <v>178.59573240952267</v>
      </c>
      <c r="D477" s="459">
        <v>0</v>
      </c>
      <c r="E477" s="459">
        <v>729.60812576990133</v>
      </c>
      <c r="F477" s="459">
        <v>0</v>
      </c>
      <c r="G477" s="459">
        <v>0</v>
      </c>
      <c r="H477" s="459"/>
      <c r="I477" s="459"/>
      <c r="J477" s="459"/>
      <c r="K477" s="459"/>
      <c r="L477" s="459"/>
      <c r="M477" s="459"/>
      <c r="N477" s="459">
        <f t="shared" si="28"/>
        <v>908.20385817942406</v>
      </c>
      <c r="O477" s="454"/>
      <c r="P477" s="451"/>
    </row>
    <row r="478" spans="1:16">
      <c r="A478" s="446">
        <f t="shared" si="26"/>
        <v>2047</v>
      </c>
      <c r="B478" s="446">
        <f t="shared" si="27"/>
        <v>5</v>
      </c>
      <c r="C478" s="459">
        <v>189.8454398118586</v>
      </c>
      <c r="D478" s="459">
        <v>0</v>
      </c>
      <c r="E478" s="459">
        <v>817.1649433970864</v>
      </c>
      <c r="F478" s="459">
        <v>0</v>
      </c>
      <c r="G478" s="459">
        <v>0</v>
      </c>
      <c r="H478" s="459"/>
      <c r="I478" s="459"/>
      <c r="J478" s="459"/>
      <c r="K478" s="459"/>
      <c r="L478" s="459"/>
      <c r="M478" s="459"/>
      <c r="N478" s="459">
        <f t="shared" si="28"/>
        <v>1007.010383208945</v>
      </c>
      <c r="O478" s="454"/>
      <c r="P478" s="451"/>
    </row>
    <row r="479" spans="1:16">
      <c r="A479" s="446">
        <f t="shared" si="26"/>
        <v>2047</v>
      </c>
      <c r="B479" s="446">
        <f t="shared" si="27"/>
        <v>6</v>
      </c>
      <c r="C479" s="459">
        <v>195.3804221991391</v>
      </c>
      <c r="D479" s="459">
        <v>0</v>
      </c>
      <c r="E479" s="459">
        <v>854.02716285306019</v>
      </c>
      <c r="F479" s="459">
        <v>0</v>
      </c>
      <c r="G479" s="459">
        <v>0</v>
      </c>
      <c r="H479" s="459"/>
      <c r="I479" s="459"/>
      <c r="J479" s="459"/>
      <c r="K479" s="459"/>
      <c r="L479" s="459"/>
      <c r="M479" s="459"/>
      <c r="N479" s="459">
        <f t="shared" si="28"/>
        <v>1049.4075850521992</v>
      </c>
      <c r="O479" s="454"/>
      <c r="P479" s="451"/>
    </row>
    <row r="480" spans="1:16">
      <c r="A480" s="446">
        <f t="shared" si="26"/>
        <v>2047</v>
      </c>
      <c r="B480" s="446">
        <f t="shared" si="27"/>
        <v>7</v>
      </c>
      <c r="C480" s="459">
        <v>211.65544467078692</v>
      </c>
      <c r="D480" s="459">
        <v>0</v>
      </c>
      <c r="E480" s="459">
        <v>888.08315275053349</v>
      </c>
      <c r="F480" s="459">
        <v>0</v>
      </c>
      <c r="G480" s="459">
        <v>0</v>
      </c>
      <c r="H480" s="459"/>
      <c r="I480" s="459"/>
      <c r="J480" s="459"/>
      <c r="K480" s="459"/>
      <c r="L480" s="459"/>
      <c r="M480" s="459"/>
      <c r="N480" s="459">
        <f t="shared" si="28"/>
        <v>1099.7385974213205</v>
      </c>
      <c r="O480" s="454"/>
      <c r="P480" s="451"/>
    </row>
    <row r="481" spans="1:16">
      <c r="A481" s="446">
        <f t="shared" si="26"/>
        <v>2047</v>
      </c>
      <c r="B481" s="446">
        <f t="shared" si="27"/>
        <v>8</v>
      </c>
      <c r="C481" s="459">
        <v>206.4591056017106</v>
      </c>
      <c r="D481" s="459">
        <v>0</v>
      </c>
      <c r="E481" s="459">
        <v>929.53148537405832</v>
      </c>
      <c r="F481" s="459">
        <v>0</v>
      </c>
      <c r="G481" s="459">
        <v>0</v>
      </c>
      <c r="H481" s="459"/>
      <c r="I481" s="459"/>
      <c r="J481" s="459"/>
      <c r="K481" s="459"/>
      <c r="L481" s="459"/>
      <c r="M481" s="459"/>
      <c r="N481" s="459">
        <f t="shared" si="28"/>
        <v>1135.990590975769</v>
      </c>
      <c r="O481" s="454"/>
      <c r="P481" s="451"/>
    </row>
    <row r="482" spans="1:16">
      <c r="A482" s="446">
        <f t="shared" si="26"/>
        <v>2047</v>
      </c>
      <c r="B482" s="446">
        <f t="shared" si="27"/>
        <v>9</v>
      </c>
      <c r="C482" s="459">
        <v>190.46718811357414</v>
      </c>
      <c r="D482" s="459">
        <v>0</v>
      </c>
      <c r="E482" s="459">
        <v>798.56982168806951</v>
      </c>
      <c r="F482" s="459">
        <v>0</v>
      </c>
      <c r="G482" s="459">
        <v>0</v>
      </c>
      <c r="H482" s="459"/>
      <c r="I482" s="459"/>
      <c r="J482" s="459"/>
      <c r="K482" s="459"/>
      <c r="L482" s="459"/>
      <c r="M482" s="459"/>
      <c r="N482" s="459">
        <f t="shared" si="28"/>
        <v>989.03700980164365</v>
      </c>
      <c r="O482" s="454"/>
      <c r="P482" s="451"/>
    </row>
    <row r="483" spans="1:16">
      <c r="A483" s="446">
        <f t="shared" si="26"/>
        <v>2047</v>
      </c>
      <c r="B483" s="446">
        <f t="shared" si="27"/>
        <v>10</v>
      </c>
      <c r="C483" s="459">
        <v>182.10209474484458</v>
      </c>
      <c r="D483" s="459">
        <v>0</v>
      </c>
      <c r="E483" s="459">
        <v>785.02076884659004</v>
      </c>
      <c r="F483" s="459">
        <v>0</v>
      </c>
      <c r="G483" s="459">
        <v>0</v>
      </c>
      <c r="H483" s="459"/>
      <c r="I483" s="459"/>
      <c r="J483" s="459"/>
      <c r="K483" s="459"/>
      <c r="L483" s="459"/>
      <c r="M483" s="459"/>
      <c r="N483" s="459">
        <f t="shared" si="28"/>
        <v>967.12286359143468</v>
      </c>
      <c r="O483" s="454"/>
      <c r="P483" s="451"/>
    </row>
    <row r="484" spans="1:16">
      <c r="A484" s="446">
        <f t="shared" si="26"/>
        <v>2047</v>
      </c>
      <c r="B484" s="446">
        <f t="shared" si="27"/>
        <v>11</v>
      </c>
      <c r="C484" s="459">
        <v>161.55660281895939</v>
      </c>
      <c r="D484" s="459">
        <v>0</v>
      </c>
      <c r="E484" s="459">
        <v>619.11124261306782</v>
      </c>
      <c r="F484" s="459">
        <v>0</v>
      </c>
      <c r="G484" s="459">
        <v>0</v>
      </c>
      <c r="H484" s="459"/>
      <c r="I484" s="459"/>
      <c r="J484" s="459"/>
      <c r="K484" s="459"/>
      <c r="L484" s="459"/>
      <c r="M484" s="459"/>
      <c r="N484" s="459">
        <f t="shared" si="28"/>
        <v>780.66784543202721</v>
      </c>
      <c r="O484" s="454"/>
      <c r="P484" s="451"/>
    </row>
    <row r="485" spans="1:16">
      <c r="A485" s="446">
        <f t="shared" si="26"/>
        <v>2047</v>
      </c>
      <c r="B485" s="446">
        <f t="shared" si="27"/>
        <v>12</v>
      </c>
      <c r="C485" s="459">
        <v>153.98753721457405</v>
      </c>
      <c r="D485" s="459">
        <v>0</v>
      </c>
      <c r="E485" s="459">
        <v>594.96539986334869</v>
      </c>
      <c r="F485" s="459">
        <v>0</v>
      </c>
      <c r="G485" s="459">
        <v>0</v>
      </c>
      <c r="H485" s="459"/>
      <c r="I485" s="459"/>
      <c r="J485" s="459"/>
      <c r="K485" s="459"/>
      <c r="L485" s="459"/>
      <c r="M485" s="459"/>
      <c r="N485" s="459">
        <f t="shared" si="28"/>
        <v>748.9529370779228</v>
      </c>
      <c r="O485" s="454"/>
      <c r="P485" s="451"/>
    </row>
    <row r="486" spans="1:16">
      <c r="A486" s="446">
        <f t="shared" si="26"/>
        <v>2048</v>
      </c>
      <c r="B486" s="446">
        <f t="shared" si="27"/>
        <v>1</v>
      </c>
      <c r="C486" s="459">
        <v>150.34311235979285</v>
      </c>
      <c r="D486" s="459">
        <v>0</v>
      </c>
      <c r="E486" s="459">
        <v>768.61733215501522</v>
      </c>
      <c r="F486" s="459">
        <v>0</v>
      </c>
      <c r="G486" s="459">
        <v>0</v>
      </c>
      <c r="H486" s="459"/>
      <c r="I486" s="459"/>
      <c r="J486" s="459"/>
      <c r="K486" s="459"/>
      <c r="L486" s="459"/>
      <c r="M486" s="459"/>
      <c r="N486" s="459">
        <f t="shared" si="28"/>
        <v>918.96044451480805</v>
      </c>
      <c r="O486" s="454"/>
      <c r="P486" s="451"/>
    </row>
    <row r="487" spans="1:16">
      <c r="A487" s="446">
        <f t="shared" si="26"/>
        <v>2048</v>
      </c>
      <c r="B487" s="446">
        <f t="shared" si="27"/>
        <v>2</v>
      </c>
      <c r="C487" s="459">
        <v>159.97046793763408</v>
      </c>
      <c r="D487" s="459">
        <v>0</v>
      </c>
      <c r="E487" s="459">
        <v>689.99452204988927</v>
      </c>
      <c r="F487" s="459">
        <v>0</v>
      </c>
      <c r="G487" s="459">
        <v>0</v>
      </c>
      <c r="H487" s="459"/>
      <c r="I487" s="459"/>
      <c r="J487" s="459"/>
      <c r="K487" s="459"/>
      <c r="L487" s="459"/>
      <c r="M487" s="459"/>
      <c r="N487" s="459">
        <f t="shared" si="28"/>
        <v>849.96498998752338</v>
      </c>
      <c r="O487" s="454"/>
      <c r="P487" s="451"/>
    </row>
    <row r="488" spans="1:16">
      <c r="A488" s="446">
        <f t="shared" si="26"/>
        <v>2048</v>
      </c>
      <c r="B488" s="446">
        <f t="shared" si="27"/>
        <v>3</v>
      </c>
      <c r="C488" s="459">
        <v>151.80725315060383</v>
      </c>
      <c r="D488" s="459">
        <v>0</v>
      </c>
      <c r="E488" s="459">
        <v>637.86323910464898</v>
      </c>
      <c r="F488" s="459">
        <v>0</v>
      </c>
      <c r="G488" s="459">
        <v>0</v>
      </c>
      <c r="H488" s="459"/>
      <c r="I488" s="459"/>
      <c r="J488" s="459"/>
      <c r="K488" s="459"/>
      <c r="L488" s="459"/>
      <c r="M488" s="459"/>
      <c r="N488" s="459">
        <f t="shared" si="28"/>
        <v>789.67049225525284</v>
      </c>
      <c r="O488" s="454"/>
      <c r="P488" s="451"/>
    </row>
    <row r="489" spans="1:16">
      <c r="A489" s="446">
        <f t="shared" si="26"/>
        <v>2048</v>
      </c>
      <c r="B489" s="446">
        <f t="shared" si="27"/>
        <v>4</v>
      </c>
      <c r="C489" s="459">
        <v>180.27910919149065</v>
      </c>
      <c r="D489" s="459">
        <v>0</v>
      </c>
      <c r="E489" s="459">
        <v>734.21964955550357</v>
      </c>
      <c r="F489" s="459">
        <v>0</v>
      </c>
      <c r="G489" s="459">
        <v>0</v>
      </c>
      <c r="H489" s="459"/>
      <c r="I489" s="459"/>
      <c r="J489" s="459"/>
      <c r="K489" s="459"/>
      <c r="L489" s="459"/>
      <c r="M489" s="459"/>
      <c r="N489" s="459">
        <f t="shared" si="28"/>
        <v>914.49875874699421</v>
      </c>
      <c r="O489" s="454"/>
      <c r="P489" s="451"/>
    </row>
    <row r="490" spans="1:16">
      <c r="A490" s="446">
        <f t="shared" si="26"/>
        <v>2048</v>
      </c>
      <c r="B490" s="446">
        <f t="shared" si="27"/>
        <v>5</v>
      </c>
      <c r="C490" s="459">
        <v>191.63485214120243</v>
      </c>
      <c r="D490" s="459">
        <v>0</v>
      </c>
      <c r="E490" s="459">
        <v>821.39453404353878</v>
      </c>
      <c r="F490" s="459">
        <v>0</v>
      </c>
      <c r="G490" s="459">
        <v>0</v>
      </c>
      <c r="H490" s="459"/>
      <c r="I490" s="459"/>
      <c r="J490" s="459"/>
      <c r="K490" s="459"/>
      <c r="L490" s="459"/>
      <c r="M490" s="459"/>
      <c r="N490" s="459">
        <f t="shared" si="28"/>
        <v>1013.0293861847413</v>
      </c>
      <c r="O490" s="454"/>
      <c r="P490" s="451"/>
    </row>
    <row r="491" spans="1:16">
      <c r="A491" s="446">
        <f t="shared" si="26"/>
        <v>2048</v>
      </c>
      <c r="B491" s="446">
        <f t="shared" si="27"/>
        <v>6</v>
      </c>
      <c r="C491" s="459">
        <v>197.22200520867588</v>
      </c>
      <c r="D491" s="459">
        <v>0</v>
      </c>
      <c r="E491" s="459">
        <v>857.0347669194482</v>
      </c>
      <c r="F491" s="459">
        <v>0</v>
      </c>
      <c r="G491" s="459">
        <v>0</v>
      </c>
      <c r="H491" s="459"/>
      <c r="I491" s="459"/>
      <c r="J491" s="459"/>
      <c r="K491" s="459"/>
      <c r="L491" s="459"/>
      <c r="M491" s="459"/>
      <c r="N491" s="459">
        <f t="shared" si="28"/>
        <v>1054.2567721281241</v>
      </c>
      <c r="O491" s="454"/>
      <c r="P491" s="451"/>
    </row>
    <row r="492" spans="1:16">
      <c r="A492" s="446">
        <f t="shared" si="26"/>
        <v>2048</v>
      </c>
      <c r="B492" s="446">
        <f t="shared" si="27"/>
        <v>7</v>
      </c>
      <c r="C492" s="459">
        <v>213.6508226136425</v>
      </c>
      <c r="D492" s="459">
        <v>0</v>
      </c>
      <c r="E492" s="459">
        <v>893.13403881207739</v>
      </c>
      <c r="F492" s="459">
        <v>0</v>
      </c>
      <c r="G492" s="459">
        <v>0</v>
      </c>
      <c r="H492" s="459"/>
      <c r="I492" s="459"/>
      <c r="J492" s="459"/>
      <c r="K492" s="459"/>
      <c r="L492" s="459"/>
      <c r="M492" s="459"/>
      <c r="N492" s="459">
        <f t="shared" si="28"/>
        <v>1106.78486142572</v>
      </c>
      <c r="O492" s="454"/>
      <c r="P492" s="451"/>
    </row>
    <row r="493" spans="1:16">
      <c r="A493" s="446">
        <f t="shared" si="26"/>
        <v>2048</v>
      </c>
      <c r="B493" s="446">
        <f t="shared" si="27"/>
        <v>8</v>
      </c>
      <c r="C493" s="459">
        <v>208.40511215016977</v>
      </c>
      <c r="D493" s="459">
        <v>0</v>
      </c>
      <c r="E493" s="459">
        <v>934.84238857451203</v>
      </c>
      <c r="F493" s="459">
        <v>0</v>
      </c>
      <c r="G493" s="459">
        <v>0</v>
      </c>
      <c r="H493" s="459"/>
      <c r="I493" s="459"/>
      <c r="J493" s="459"/>
      <c r="K493" s="459"/>
      <c r="L493" s="459"/>
      <c r="M493" s="459"/>
      <c r="N493" s="459">
        <f t="shared" si="28"/>
        <v>1143.2475007246817</v>
      </c>
      <c r="O493" s="454"/>
      <c r="P493" s="451"/>
    </row>
    <row r="494" spans="1:16">
      <c r="A494" s="446">
        <f t="shared" si="26"/>
        <v>2048</v>
      </c>
      <c r="B494" s="446">
        <f t="shared" si="27"/>
        <v>9</v>
      </c>
      <c r="C494" s="459">
        <v>192.26246081058315</v>
      </c>
      <c r="D494" s="459">
        <v>0</v>
      </c>
      <c r="E494" s="459">
        <v>803.14344386379764</v>
      </c>
      <c r="F494" s="459">
        <v>0</v>
      </c>
      <c r="G494" s="459">
        <v>0</v>
      </c>
      <c r="H494" s="459"/>
      <c r="I494" s="459"/>
      <c r="J494" s="459"/>
      <c r="K494" s="459"/>
      <c r="L494" s="459"/>
      <c r="M494" s="459"/>
      <c r="N494" s="459">
        <f t="shared" si="28"/>
        <v>995.40590467438074</v>
      </c>
      <c r="O494" s="454"/>
      <c r="P494" s="451"/>
    </row>
    <row r="495" spans="1:16">
      <c r="A495" s="446">
        <f t="shared" si="26"/>
        <v>2048</v>
      </c>
      <c r="B495" s="446">
        <f t="shared" si="27"/>
        <v>10</v>
      </c>
      <c r="C495" s="459">
        <v>183.81852119079298</v>
      </c>
      <c r="D495" s="459">
        <v>0</v>
      </c>
      <c r="E495" s="459">
        <v>787.70230877065285</v>
      </c>
      <c r="F495" s="459">
        <v>0</v>
      </c>
      <c r="G495" s="459">
        <v>0</v>
      </c>
      <c r="H495" s="459"/>
      <c r="I495" s="459"/>
      <c r="J495" s="459"/>
      <c r="K495" s="459"/>
      <c r="L495" s="459"/>
      <c r="M495" s="459"/>
      <c r="N495" s="459">
        <f t="shared" si="28"/>
        <v>971.52082996144577</v>
      </c>
      <c r="O495" s="454"/>
      <c r="P495" s="451"/>
    </row>
    <row r="496" spans="1:16">
      <c r="A496" s="446">
        <f t="shared" si="26"/>
        <v>2048</v>
      </c>
      <c r="B496" s="446">
        <f t="shared" si="27"/>
        <v>11</v>
      </c>
      <c r="C496" s="459">
        <v>163.07937511866615</v>
      </c>
      <c r="D496" s="459">
        <v>0</v>
      </c>
      <c r="E496" s="459">
        <v>620.38366269410972</v>
      </c>
      <c r="F496" s="459">
        <v>0</v>
      </c>
      <c r="G496" s="459">
        <v>0</v>
      </c>
      <c r="H496" s="459"/>
      <c r="I496" s="459"/>
      <c r="J496" s="459"/>
      <c r="K496" s="459"/>
      <c r="L496" s="459"/>
      <c r="M496" s="459"/>
      <c r="N496" s="459">
        <f t="shared" si="28"/>
        <v>783.46303781277584</v>
      </c>
      <c r="O496" s="454"/>
      <c r="P496" s="451"/>
    </row>
    <row r="497" spans="1:16">
      <c r="A497" s="446">
        <f t="shared" si="26"/>
        <v>2048</v>
      </c>
      <c r="B497" s="446">
        <f t="shared" si="27"/>
        <v>12</v>
      </c>
      <c r="C497" s="459">
        <v>155.43896632411767</v>
      </c>
      <c r="D497" s="459">
        <v>0</v>
      </c>
      <c r="E497" s="459">
        <v>596.62755435661563</v>
      </c>
      <c r="F497" s="459">
        <v>0</v>
      </c>
      <c r="G497" s="459">
        <v>0</v>
      </c>
      <c r="H497" s="459"/>
      <c r="I497" s="459"/>
      <c r="J497" s="459"/>
      <c r="K497" s="459"/>
      <c r="L497" s="459"/>
      <c r="M497" s="459"/>
      <c r="N497" s="459">
        <f t="shared" si="28"/>
        <v>752.06652068073333</v>
      </c>
      <c r="O497" s="454"/>
      <c r="P497" s="451"/>
    </row>
    <row r="498" spans="1:16">
      <c r="A498" s="446">
        <f t="shared" si="26"/>
        <v>2049</v>
      </c>
      <c r="B498" s="446">
        <f t="shared" si="27"/>
        <v>1</v>
      </c>
      <c r="C498" s="459">
        <v>151.76019047952619</v>
      </c>
      <c r="D498" s="459">
        <v>0</v>
      </c>
      <c r="E498" s="459">
        <v>769.38591894697117</v>
      </c>
      <c r="F498" s="459">
        <v>0</v>
      </c>
      <c r="G498" s="459">
        <v>0</v>
      </c>
      <c r="H498" s="459"/>
      <c r="I498" s="459"/>
      <c r="J498" s="459"/>
      <c r="K498" s="459"/>
      <c r="L498" s="459"/>
      <c r="M498" s="459"/>
      <c r="N498" s="459">
        <f t="shared" si="28"/>
        <v>921.14610942649733</v>
      </c>
      <c r="O498" s="454"/>
      <c r="P498" s="451"/>
    </row>
    <row r="499" spans="1:16">
      <c r="A499" s="446">
        <f t="shared" si="26"/>
        <v>2049</v>
      </c>
      <c r="B499" s="446">
        <f t="shared" si="27"/>
        <v>2</v>
      </c>
      <c r="C499" s="459">
        <v>161.47828992136044</v>
      </c>
      <c r="D499" s="459">
        <v>0</v>
      </c>
      <c r="E499" s="459">
        <v>690.68436810838102</v>
      </c>
      <c r="F499" s="459">
        <v>0</v>
      </c>
      <c r="G499" s="459">
        <v>0</v>
      </c>
      <c r="H499" s="459"/>
      <c r="I499" s="459"/>
      <c r="J499" s="459"/>
      <c r="K499" s="459"/>
      <c r="L499" s="459"/>
      <c r="M499" s="459"/>
      <c r="N499" s="459">
        <f t="shared" si="28"/>
        <v>852.16265802974146</v>
      </c>
      <c r="O499" s="454"/>
      <c r="P499" s="451"/>
    </row>
    <row r="500" spans="1:16">
      <c r="A500" s="446">
        <f t="shared" si="26"/>
        <v>2049</v>
      </c>
      <c r="B500" s="446">
        <f t="shared" si="27"/>
        <v>3</v>
      </c>
      <c r="C500" s="459">
        <v>153.23813171550754</v>
      </c>
      <c r="D500" s="459">
        <v>0</v>
      </c>
      <c r="E500" s="459">
        <v>638.56623239386374</v>
      </c>
      <c r="F500" s="459">
        <v>0</v>
      </c>
      <c r="G500" s="459">
        <v>0</v>
      </c>
      <c r="H500" s="459"/>
      <c r="I500" s="459"/>
      <c r="J500" s="459"/>
      <c r="K500" s="459"/>
      <c r="L500" s="459"/>
      <c r="M500" s="459"/>
      <c r="N500" s="459">
        <f t="shared" si="28"/>
        <v>791.80436410937125</v>
      </c>
      <c r="O500" s="454"/>
      <c r="P500" s="451"/>
    </row>
    <row r="501" spans="1:16">
      <c r="A501" s="446">
        <f t="shared" si="26"/>
        <v>2049</v>
      </c>
      <c r="B501" s="446">
        <f t="shared" si="27"/>
        <v>4</v>
      </c>
      <c r="C501" s="459">
        <v>181.97835285533671</v>
      </c>
      <c r="D501" s="459">
        <v>0</v>
      </c>
      <c r="E501" s="459">
        <v>738.86032070237286</v>
      </c>
      <c r="F501" s="459">
        <v>0</v>
      </c>
      <c r="G501" s="459">
        <v>0</v>
      </c>
      <c r="H501" s="459"/>
      <c r="I501" s="459"/>
      <c r="J501" s="459"/>
      <c r="K501" s="459"/>
      <c r="L501" s="459"/>
      <c r="M501" s="459"/>
      <c r="N501" s="459">
        <f t="shared" si="28"/>
        <v>920.83867355770963</v>
      </c>
      <c r="O501" s="454"/>
      <c r="P501" s="451"/>
    </row>
    <row r="502" spans="1:16">
      <c r="A502" s="446">
        <f t="shared" si="26"/>
        <v>2049</v>
      </c>
      <c r="B502" s="446">
        <f t="shared" si="27"/>
        <v>5</v>
      </c>
      <c r="C502" s="459">
        <v>193.44113080395715</v>
      </c>
      <c r="D502" s="459">
        <v>0</v>
      </c>
      <c r="E502" s="459">
        <v>825.64601676598033</v>
      </c>
      <c r="F502" s="459">
        <v>0</v>
      </c>
      <c r="G502" s="459">
        <v>0</v>
      </c>
      <c r="H502" s="459"/>
      <c r="I502" s="459"/>
      <c r="J502" s="459"/>
      <c r="K502" s="459"/>
      <c r="L502" s="459"/>
      <c r="M502" s="459"/>
      <c r="N502" s="459">
        <f t="shared" si="28"/>
        <v>1019.0871475699375</v>
      </c>
      <c r="O502" s="454"/>
      <c r="P502" s="451"/>
    </row>
    <row r="503" spans="1:16">
      <c r="A503" s="446">
        <f t="shared" si="26"/>
        <v>2049</v>
      </c>
      <c r="B503" s="446">
        <f t="shared" si="27"/>
        <v>6</v>
      </c>
      <c r="C503" s="459">
        <v>199.08094629300254</v>
      </c>
      <c r="D503" s="459">
        <v>0</v>
      </c>
      <c r="E503" s="459">
        <v>860.05296278269418</v>
      </c>
      <c r="F503" s="459">
        <v>0</v>
      </c>
      <c r="G503" s="459">
        <v>0</v>
      </c>
      <c r="H503" s="459"/>
      <c r="I503" s="459"/>
      <c r="J503" s="459"/>
      <c r="K503" s="459"/>
      <c r="L503" s="459"/>
      <c r="M503" s="459"/>
      <c r="N503" s="459">
        <f t="shared" si="28"/>
        <v>1059.1339090756967</v>
      </c>
      <c r="O503" s="454"/>
      <c r="P503" s="451"/>
    </row>
    <row r="504" spans="1:16">
      <c r="A504" s="446">
        <f t="shared" si="26"/>
        <v>2049</v>
      </c>
      <c r="B504" s="446">
        <f t="shared" si="27"/>
        <v>7</v>
      </c>
      <c r="C504" s="459">
        <v>215.66501194659028</v>
      </c>
      <c r="D504" s="459">
        <v>0</v>
      </c>
      <c r="E504" s="459">
        <v>898.21365129403318</v>
      </c>
      <c r="F504" s="459">
        <v>0</v>
      </c>
      <c r="G504" s="459">
        <v>0</v>
      </c>
      <c r="H504" s="459"/>
      <c r="I504" s="459"/>
      <c r="J504" s="459"/>
      <c r="K504" s="459"/>
      <c r="L504" s="459"/>
      <c r="M504" s="459"/>
      <c r="N504" s="459">
        <f t="shared" si="28"/>
        <v>1113.8786632406234</v>
      </c>
      <c r="O504" s="454"/>
      <c r="P504" s="451"/>
    </row>
    <row r="505" spans="1:16">
      <c r="A505" s="446">
        <f t="shared" si="26"/>
        <v>2049</v>
      </c>
      <c r="B505" s="446">
        <f t="shared" si="27"/>
        <v>8</v>
      </c>
      <c r="C505" s="459">
        <v>210.36946103076107</v>
      </c>
      <c r="D505" s="459">
        <v>0</v>
      </c>
      <c r="E505" s="459">
        <v>940.18363576357547</v>
      </c>
      <c r="F505" s="459">
        <v>0</v>
      </c>
      <c r="G505" s="459">
        <v>0</v>
      </c>
      <c r="H505" s="459"/>
      <c r="I505" s="459"/>
      <c r="J505" s="459"/>
      <c r="K505" s="459"/>
      <c r="L505" s="459"/>
      <c r="M505" s="459"/>
      <c r="N505" s="459">
        <f t="shared" si="28"/>
        <v>1150.5530967943366</v>
      </c>
      <c r="O505" s="454"/>
      <c r="P505" s="451"/>
    </row>
    <row r="506" spans="1:16">
      <c r="A506" s="446">
        <f t="shared" si="26"/>
        <v>2049</v>
      </c>
      <c r="B506" s="446">
        <f t="shared" si="27"/>
        <v>9</v>
      </c>
      <c r="C506" s="459">
        <v>194.07465507864356</v>
      </c>
      <c r="D506" s="459">
        <v>0</v>
      </c>
      <c r="E506" s="459">
        <v>807.7432603925281</v>
      </c>
      <c r="F506" s="459">
        <v>0</v>
      </c>
      <c r="G506" s="459">
        <v>0</v>
      </c>
      <c r="H506" s="459"/>
      <c r="I506" s="459"/>
      <c r="J506" s="459"/>
      <c r="K506" s="459"/>
      <c r="L506" s="459"/>
      <c r="M506" s="459"/>
      <c r="N506" s="459">
        <f t="shared" si="28"/>
        <v>1001.8179154711717</v>
      </c>
      <c r="O506" s="454"/>
      <c r="P506" s="451"/>
    </row>
    <row r="507" spans="1:16">
      <c r="A507" s="446">
        <f t="shared" si="26"/>
        <v>2049</v>
      </c>
      <c r="B507" s="446">
        <f t="shared" si="27"/>
        <v>10</v>
      </c>
      <c r="C507" s="459">
        <v>185.55112603242915</v>
      </c>
      <c r="D507" s="459">
        <v>0</v>
      </c>
      <c r="E507" s="459">
        <v>790.39300852417466</v>
      </c>
      <c r="F507" s="459">
        <v>0</v>
      </c>
      <c r="G507" s="459">
        <v>0</v>
      </c>
      <c r="H507" s="459"/>
      <c r="I507" s="459"/>
      <c r="J507" s="459"/>
      <c r="K507" s="459"/>
      <c r="L507" s="459"/>
      <c r="M507" s="459"/>
      <c r="N507" s="459">
        <f t="shared" si="28"/>
        <v>975.94413455660379</v>
      </c>
      <c r="O507" s="454"/>
      <c r="P507" s="451"/>
    </row>
    <row r="508" spans="1:16">
      <c r="A508" s="446">
        <f t="shared" si="26"/>
        <v>2049</v>
      </c>
      <c r="B508" s="446">
        <f t="shared" si="27"/>
        <v>11</v>
      </c>
      <c r="C508" s="459">
        <v>164.61650050228465</v>
      </c>
      <c r="D508" s="459">
        <v>0</v>
      </c>
      <c r="E508" s="459">
        <v>621.65869789946407</v>
      </c>
      <c r="F508" s="459">
        <v>0</v>
      </c>
      <c r="G508" s="459">
        <v>0</v>
      </c>
      <c r="H508" s="459"/>
      <c r="I508" s="459"/>
      <c r="J508" s="459"/>
      <c r="K508" s="459"/>
      <c r="L508" s="459"/>
      <c r="M508" s="459"/>
      <c r="N508" s="459">
        <f t="shared" si="28"/>
        <v>786.27519840174875</v>
      </c>
      <c r="O508" s="454"/>
      <c r="P508" s="451"/>
    </row>
    <row r="509" spans="1:16">
      <c r="A509" s="446">
        <f t="shared" si="26"/>
        <v>2049</v>
      </c>
      <c r="B509" s="446">
        <f t="shared" si="27"/>
        <v>12</v>
      </c>
      <c r="C509" s="459">
        <v>156.9040760632638</v>
      </c>
      <c r="D509" s="459">
        <v>0</v>
      </c>
      <c r="E509" s="459">
        <v>598.29435240992836</v>
      </c>
      <c r="F509" s="459">
        <v>0</v>
      </c>
      <c r="G509" s="459">
        <v>0</v>
      </c>
      <c r="H509" s="459"/>
      <c r="I509" s="459"/>
      <c r="J509" s="459"/>
      <c r="K509" s="459"/>
      <c r="L509" s="459"/>
      <c r="M509" s="459"/>
      <c r="N509" s="459">
        <f t="shared" si="28"/>
        <v>755.19842847319217</v>
      </c>
      <c r="O509" s="454"/>
      <c r="P509" s="451"/>
    </row>
    <row r="510" spans="1:16">
      <c r="A510" s="446">
        <f t="shared" si="26"/>
        <v>2050</v>
      </c>
      <c r="B510" s="446">
        <f t="shared" si="27"/>
        <v>1</v>
      </c>
      <c r="C510" s="459">
        <v>153.19062544924026</v>
      </c>
      <c r="D510" s="459">
        <v>0</v>
      </c>
      <c r="E510" s="459">
        <v>770.15527429518011</v>
      </c>
      <c r="F510" s="459">
        <v>0</v>
      </c>
      <c r="G510" s="459">
        <v>0</v>
      </c>
      <c r="H510" s="459"/>
      <c r="I510" s="459"/>
      <c r="J510" s="459"/>
      <c r="K510" s="459"/>
      <c r="L510" s="459"/>
      <c r="M510" s="459"/>
      <c r="N510" s="459">
        <f t="shared" si="28"/>
        <v>923.34589974442042</v>
      </c>
      <c r="O510" s="454"/>
      <c r="P510" s="451"/>
    </row>
    <row r="511" spans="1:16">
      <c r="A511" s="446">
        <f t="shared" si="26"/>
        <v>2050</v>
      </c>
      <c r="B511" s="446">
        <f t="shared" si="27"/>
        <v>2</v>
      </c>
      <c r="C511" s="459">
        <v>163.00032407289447</v>
      </c>
      <c r="D511" s="459">
        <v>0</v>
      </c>
      <c r="E511" s="459">
        <v>691.37490386449963</v>
      </c>
      <c r="F511" s="459">
        <v>0</v>
      </c>
      <c r="G511" s="459">
        <v>0</v>
      </c>
      <c r="H511" s="459"/>
      <c r="I511" s="459"/>
      <c r="J511" s="459"/>
      <c r="K511" s="459"/>
      <c r="L511" s="459"/>
      <c r="M511" s="459"/>
      <c r="N511" s="459">
        <f t="shared" si="28"/>
        <v>854.37522793739413</v>
      </c>
      <c r="O511" s="454"/>
      <c r="P511" s="451"/>
    </row>
    <row r="512" spans="1:16">
      <c r="A512" s="446">
        <f t="shared" si="26"/>
        <v>2050</v>
      </c>
      <c r="B512" s="446">
        <f t="shared" si="27"/>
        <v>3</v>
      </c>
      <c r="C512" s="459">
        <v>154.68249720824252</v>
      </c>
      <c r="D512" s="459">
        <v>0</v>
      </c>
      <c r="E512" s="459">
        <v>639.27000045662612</v>
      </c>
      <c r="F512" s="459">
        <v>0</v>
      </c>
      <c r="G512" s="459">
        <v>0</v>
      </c>
      <c r="H512" s="459"/>
      <c r="I512" s="459"/>
      <c r="J512" s="459"/>
      <c r="K512" s="459"/>
      <c r="L512" s="459"/>
      <c r="M512" s="459"/>
      <c r="N512" s="459">
        <f t="shared" si="28"/>
        <v>793.95249766486859</v>
      </c>
      <c r="O512" s="454"/>
      <c r="P512" s="451"/>
    </row>
    <row r="513" spans="1:16">
      <c r="A513" s="446">
        <f t="shared" si="26"/>
        <v>2050</v>
      </c>
      <c r="B513" s="446">
        <f t="shared" si="27"/>
        <v>4</v>
      </c>
      <c r="C513" s="459">
        <v>183.69361295637324</v>
      </c>
      <c r="D513" s="459">
        <v>0</v>
      </c>
      <c r="E513" s="459">
        <v>743.53032343782934</v>
      </c>
      <c r="F513" s="459">
        <v>0</v>
      </c>
      <c r="G513" s="459">
        <v>0</v>
      </c>
      <c r="H513" s="459"/>
      <c r="I513" s="459"/>
      <c r="J513" s="459"/>
      <c r="K513" s="459"/>
      <c r="L513" s="459"/>
      <c r="M513" s="459"/>
      <c r="N513" s="459">
        <f t="shared" si="28"/>
        <v>927.22393639420261</v>
      </c>
      <c r="O513" s="454"/>
      <c r="P513" s="451"/>
    </row>
    <row r="514" spans="1:16">
      <c r="A514" s="446">
        <f t="shared" si="26"/>
        <v>2050</v>
      </c>
      <c r="B514" s="446">
        <f t="shared" si="27"/>
        <v>5</v>
      </c>
      <c r="C514" s="459">
        <v>195.26443477589274</v>
      </c>
      <c r="D514" s="459">
        <v>0</v>
      </c>
      <c r="E514" s="459">
        <v>829.91950487632027</v>
      </c>
      <c r="F514" s="459">
        <v>0</v>
      </c>
      <c r="G514" s="459">
        <v>0</v>
      </c>
      <c r="H514" s="459"/>
      <c r="I514" s="459"/>
      <c r="J514" s="459"/>
      <c r="K514" s="459"/>
      <c r="L514" s="459"/>
      <c r="M514" s="459"/>
      <c r="N514" s="459">
        <f t="shared" si="28"/>
        <v>1025.183939652213</v>
      </c>
      <c r="O514" s="454"/>
      <c r="P514" s="451"/>
    </row>
    <row r="515" spans="1:16">
      <c r="A515" s="446">
        <f t="shared" si="26"/>
        <v>2050</v>
      </c>
      <c r="B515" s="446">
        <f t="shared" si="27"/>
        <v>6</v>
      </c>
      <c r="C515" s="459">
        <v>200.95740906285988</v>
      </c>
      <c r="D515" s="459">
        <v>0</v>
      </c>
      <c r="E515" s="459">
        <v>863.08178774363898</v>
      </c>
      <c r="F515" s="459">
        <v>0</v>
      </c>
      <c r="G515" s="459">
        <v>0</v>
      </c>
      <c r="H515" s="459"/>
      <c r="I515" s="459"/>
      <c r="J515" s="459"/>
      <c r="K515" s="459"/>
      <c r="L515" s="459"/>
      <c r="M515" s="459"/>
      <c r="N515" s="459">
        <f t="shared" si="28"/>
        <v>1064.0391968064989</v>
      </c>
      <c r="O515" s="454"/>
      <c r="P515" s="451"/>
    </row>
    <row r="516" spans="1:16">
      <c r="A516" s="446">
        <f t="shared" si="26"/>
        <v>2050</v>
      </c>
      <c r="B516" s="446">
        <f t="shared" si="27"/>
        <v>7</v>
      </c>
      <c r="C516" s="459">
        <v>217.698190013676</v>
      </c>
      <c r="D516" s="459">
        <v>0</v>
      </c>
      <c r="E516" s="459">
        <v>903.32215357510711</v>
      </c>
      <c r="F516" s="459">
        <v>0</v>
      </c>
      <c r="G516" s="459">
        <v>0</v>
      </c>
      <c r="H516" s="459"/>
      <c r="I516" s="459"/>
      <c r="J516" s="459"/>
      <c r="K516" s="459"/>
      <c r="L516" s="459"/>
      <c r="M516" s="459"/>
      <c r="N516" s="459">
        <f t="shared" si="28"/>
        <v>1121.0203435887831</v>
      </c>
      <c r="O516" s="454"/>
      <c r="P516" s="451"/>
    </row>
    <row r="517" spans="1:16">
      <c r="A517" s="446">
        <f t="shared" si="26"/>
        <v>2050</v>
      </c>
      <c r="B517" s="446">
        <f t="shared" si="27"/>
        <v>8</v>
      </c>
      <c r="C517" s="459">
        <v>212.35232513146798</v>
      </c>
      <c r="D517" s="459">
        <v>0</v>
      </c>
      <c r="E517" s="459">
        <v>945.55540031244561</v>
      </c>
      <c r="F517" s="459">
        <v>0</v>
      </c>
      <c r="G517" s="459">
        <v>0</v>
      </c>
      <c r="H517" s="459"/>
      <c r="I517" s="459"/>
      <c r="J517" s="459"/>
      <c r="K517" s="459"/>
      <c r="L517" s="459"/>
      <c r="M517" s="459"/>
      <c r="N517" s="459">
        <f t="shared" si="28"/>
        <v>1157.9077254439135</v>
      </c>
      <c r="O517" s="454"/>
      <c r="P517" s="451"/>
    </row>
    <row r="518" spans="1:16">
      <c r="A518" s="446">
        <f t="shared" si="26"/>
        <v>2050</v>
      </c>
      <c r="B518" s="446">
        <f t="shared" si="27"/>
        <v>9</v>
      </c>
      <c r="C518" s="459">
        <v>195.90393041417468</v>
      </c>
      <c r="D518" s="459">
        <v>0</v>
      </c>
      <c r="E518" s="459">
        <v>812.36942129630086</v>
      </c>
      <c r="F518" s="459">
        <v>0</v>
      </c>
      <c r="G518" s="459">
        <v>0</v>
      </c>
      <c r="H518" s="459"/>
      <c r="I518" s="459"/>
      <c r="J518" s="459"/>
      <c r="K518" s="459"/>
      <c r="L518" s="459"/>
      <c r="M518" s="459"/>
      <c r="N518" s="459">
        <f t="shared" si="28"/>
        <v>1008.2733517104755</v>
      </c>
      <c r="O518" s="454"/>
      <c r="P518" s="451"/>
    </row>
    <row r="519" spans="1:16">
      <c r="A519" s="446">
        <f>A507+1</f>
        <v>2050</v>
      </c>
      <c r="B519" s="446">
        <f>B507</f>
        <v>10</v>
      </c>
      <c r="C519" s="459">
        <v>187.30006176127844</v>
      </c>
      <c r="D519" s="459">
        <v>0</v>
      </c>
      <c r="E519" s="459">
        <v>793.09289939607072</v>
      </c>
      <c r="F519" s="459">
        <v>0</v>
      </c>
      <c r="G519" s="459">
        <v>0</v>
      </c>
      <c r="H519" s="459"/>
      <c r="I519" s="459"/>
      <c r="J519" s="459"/>
      <c r="K519" s="459"/>
      <c r="L519" s="459"/>
      <c r="M519" s="459"/>
      <c r="N519" s="459">
        <f t="shared" ref="N519:N582" si="29">SUM(C519:M519)</f>
        <v>980.39296115734919</v>
      </c>
      <c r="O519" s="454"/>
      <c r="P519" s="451"/>
    </row>
    <row r="520" spans="1:16">
      <c r="A520" s="446">
        <f>A508+1</f>
        <v>2050</v>
      </c>
      <c r="B520" s="446">
        <f>B508</f>
        <v>11</v>
      </c>
      <c r="C520" s="459">
        <v>166.16811425663207</v>
      </c>
      <c r="D520" s="459">
        <v>0</v>
      </c>
      <c r="E520" s="459">
        <v>622.93635360383007</v>
      </c>
      <c r="F520" s="459">
        <v>0</v>
      </c>
      <c r="G520" s="459">
        <v>0</v>
      </c>
      <c r="H520" s="459"/>
      <c r="I520" s="459"/>
      <c r="J520" s="459"/>
      <c r="K520" s="459"/>
      <c r="L520" s="459"/>
      <c r="M520" s="459"/>
      <c r="N520" s="459">
        <f t="shared" si="29"/>
        <v>789.10446786046214</v>
      </c>
      <c r="O520" s="454"/>
      <c r="P520" s="451"/>
    </row>
    <row r="521" spans="1:16">
      <c r="A521" s="446">
        <f>A509+1</f>
        <v>2050</v>
      </c>
      <c r="B521" s="446">
        <f>B509</f>
        <v>12</v>
      </c>
      <c r="C521" s="459">
        <v>158.38299538052604</v>
      </c>
      <c r="D521" s="459">
        <v>0</v>
      </c>
      <c r="E521" s="459">
        <v>599.96580699599815</v>
      </c>
      <c r="F521" s="459">
        <v>0</v>
      </c>
      <c r="G521" s="459">
        <v>0</v>
      </c>
      <c r="H521" s="459"/>
      <c r="I521" s="459"/>
      <c r="J521" s="459"/>
      <c r="K521" s="459"/>
      <c r="L521" s="459"/>
      <c r="M521" s="459"/>
      <c r="N521" s="459">
        <f t="shared" si="29"/>
        <v>758.34880237652419</v>
      </c>
      <c r="O521" s="454"/>
      <c r="P521" s="451"/>
    </row>
    <row r="522" spans="1:16">
      <c r="A522" s="446">
        <f t="shared" ref="A522:A585" si="30">A510+1</f>
        <v>2051</v>
      </c>
      <c r="B522" s="446">
        <f t="shared" ref="B522:B585" si="31">B510</f>
        <v>1</v>
      </c>
      <c r="C522" s="459">
        <v>154.63454316562274</v>
      </c>
      <c r="D522" s="459">
        <v>0</v>
      </c>
      <c r="E522" s="459">
        <v>770.92539896816766</v>
      </c>
      <c r="F522" s="459">
        <v>0</v>
      </c>
      <c r="G522" s="459">
        <v>0</v>
      </c>
      <c r="H522" s="459"/>
      <c r="I522" s="459"/>
      <c r="J522" s="459"/>
      <c r="K522" s="459"/>
      <c r="L522" s="459"/>
      <c r="M522" s="459"/>
      <c r="N522" s="459">
        <f t="shared" si="29"/>
        <v>925.5599421337904</v>
      </c>
      <c r="P522" s="451"/>
    </row>
    <row r="523" spans="1:16">
      <c r="A523" s="446">
        <f t="shared" si="30"/>
        <v>2051</v>
      </c>
      <c r="B523" s="446">
        <f t="shared" si="31"/>
        <v>2</v>
      </c>
      <c r="C523" s="459">
        <v>164.5367043508308</v>
      </c>
      <c r="D523" s="459">
        <v>0</v>
      </c>
      <c r="E523" s="459">
        <v>692.0661300077943</v>
      </c>
      <c r="F523" s="459">
        <v>0</v>
      </c>
      <c r="G523" s="459">
        <v>0</v>
      </c>
      <c r="H523" s="459"/>
      <c r="I523" s="459"/>
      <c r="J523" s="459"/>
      <c r="K523" s="459"/>
      <c r="L523" s="459"/>
      <c r="M523" s="459"/>
      <c r="N523" s="459">
        <f t="shared" si="29"/>
        <v>856.60283435862516</v>
      </c>
      <c r="P523" s="451"/>
    </row>
    <row r="524" spans="1:16">
      <c r="A524" s="446">
        <f t="shared" si="30"/>
        <v>2051</v>
      </c>
      <c r="B524" s="446">
        <f t="shared" si="31"/>
        <v>3</v>
      </c>
      <c r="C524" s="459">
        <v>156.14047675156166</v>
      </c>
      <c r="D524" s="459">
        <v>0</v>
      </c>
      <c r="E524" s="459">
        <v>639.9745441468192</v>
      </c>
      <c r="F524" s="459">
        <v>0</v>
      </c>
      <c r="G524" s="459">
        <v>0</v>
      </c>
      <c r="H524" s="459"/>
      <c r="I524" s="459"/>
      <c r="J524" s="459"/>
      <c r="K524" s="459"/>
      <c r="L524" s="459"/>
      <c r="M524" s="459"/>
      <c r="N524" s="459">
        <f t="shared" si="29"/>
        <v>796.11502089838086</v>
      </c>
      <c r="P524" s="451"/>
    </row>
    <row r="525" spans="1:16">
      <c r="A525" s="446">
        <f t="shared" si="30"/>
        <v>2051</v>
      </c>
      <c r="B525" s="446">
        <f t="shared" si="31"/>
        <v>4</v>
      </c>
      <c r="C525" s="459">
        <v>185.42504045956528</v>
      </c>
      <c r="D525" s="459">
        <v>0</v>
      </c>
      <c r="E525" s="459">
        <v>748.22984315361089</v>
      </c>
      <c r="F525" s="459">
        <v>0</v>
      </c>
      <c r="G525" s="459">
        <v>0</v>
      </c>
      <c r="H525" s="459"/>
      <c r="I525" s="459"/>
      <c r="J525" s="459"/>
      <c r="K525" s="459"/>
      <c r="L525" s="459"/>
      <c r="M525" s="459"/>
      <c r="N525" s="459">
        <f t="shared" si="29"/>
        <v>933.65488361317614</v>
      </c>
      <c r="O525" s="454"/>
      <c r="P525" s="451"/>
    </row>
    <row r="526" spans="1:16">
      <c r="A526" s="446">
        <f t="shared" si="30"/>
        <v>2051</v>
      </c>
      <c r="B526" s="446">
        <f t="shared" si="31"/>
        <v>5</v>
      </c>
      <c r="C526" s="459">
        <v>197.10492453122538</v>
      </c>
      <c r="D526" s="459">
        <v>0</v>
      </c>
      <c r="E526" s="459">
        <v>834.21511227296253</v>
      </c>
      <c r="F526" s="459">
        <v>0</v>
      </c>
      <c r="G526" s="459">
        <v>0</v>
      </c>
      <c r="H526" s="459"/>
      <c r="I526" s="459"/>
      <c r="J526" s="459"/>
      <c r="K526" s="459"/>
      <c r="L526" s="459"/>
      <c r="M526" s="459"/>
      <c r="N526" s="459">
        <f t="shared" si="29"/>
        <v>1031.320036804188</v>
      </c>
      <c r="O526" s="454"/>
      <c r="P526" s="451"/>
    </row>
    <row r="527" spans="1:16">
      <c r="A527" s="446">
        <f t="shared" si="30"/>
        <v>2051</v>
      </c>
      <c r="B527" s="446">
        <f t="shared" si="31"/>
        <v>6</v>
      </c>
      <c r="C527" s="459">
        <v>202.85155867112252</v>
      </c>
      <c r="D527" s="459">
        <v>0</v>
      </c>
      <c r="E527" s="459">
        <v>866.12127923448497</v>
      </c>
      <c r="F527" s="459">
        <v>0</v>
      </c>
      <c r="G527" s="459">
        <v>0</v>
      </c>
      <c r="H527" s="459"/>
      <c r="I527" s="459"/>
      <c r="J527" s="459"/>
      <c r="K527" s="459"/>
      <c r="L527" s="459"/>
      <c r="M527" s="459"/>
      <c r="N527" s="459">
        <f t="shared" si="29"/>
        <v>1068.9728379056075</v>
      </c>
      <c r="O527" s="454"/>
      <c r="P527" s="451"/>
    </row>
    <row r="528" spans="1:16">
      <c r="A528" s="446">
        <f t="shared" si="30"/>
        <v>2051</v>
      </c>
      <c r="B528" s="446">
        <f t="shared" si="31"/>
        <v>7</v>
      </c>
      <c r="C528" s="459">
        <v>219.75053583085324</v>
      </c>
      <c r="D528" s="459">
        <v>0</v>
      </c>
      <c r="E528" s="459">
        <v>908.4597099632058</v>
      </c>
      <c r="F528" s="459">
        <v>0</v>
      </c>
      <c r="G528" s="459">
        <v>0</v>
      </c>
      <c r="H528" s="459"/>
      <c r="I528" s="459"/>
      <c r="J528" s="459"/>
      <c r="K528" s="459"/>
      <c r="L528" s="459"/>
      <c r="M528" s="459"/>
      <c r="N528" s="459">
        <f t="shared" si="29"/>
        <v>1128.2102457940591</v>
      </c>
      <c r="O528" s="454"/>
      <c r="P528" s="451"/>
    </row>
    <row r="529" spans="1:16">
      <c r="A529" s="446">
        <f t="shared" si="30"/>
        <v>2051</v>
      </c>
      <c r="B529" s="446">
        <f t="shared" si="31"/>
        <v>8</v>
      </c>
      <c r="C529" s="459">
        <v>214.35387896985171</v>
      </c>
      <c r="D529" s="459">
        <v>0</v>
      </c>
      <c r="E529" s="459">
        <v>950.95785658288037</v>
      </c>
      <c r="F529" s="459">
        <v>0</v>
      </c>
      <c r="G529" s="459">
        <v>0</v>
      </c>
      <c r="H529" s="459"/>
      <c r="I529" s="459"/>
      <c r="J529" s="459"/>
      <c r="K529" s="459"/>
      <c r="L529" s="459"/>
      <c r="M529" s="459"/>
      <c r="N529" s="459">
        <f t="shared" si="29"/>
        <v>1165.311735552732</v>
      </c>
      <c r="O529" s="454"/>
      <c r="P529" s="451"/>
    </row>
    <row r="530" spans="1:16">
      <c r="A530" s="446">
        <f t="shared" si="30"/>
        <v>2051</v>
      </c>
      <c r="B530" s="446">
        <f t="shared" si="31"/>
        <v>9</v>
      </c>
      <c r="C530" s="459">
        <v>197.75044781694959</v>
      </c>
      <c r="D530" s="459">
        <v>0</v>
      </c>
      <c r="E530" s="459">
        <v>817.02207745637224</v>
      </c>
      <c r="F530" s="459">
        <v>0</v>
      </c>
      <c r="G530" s="459">
        <v>0</v>
      </c>
      <c r="H530" s="459"/>
      <c r="I530" s="459"/>
      <c r="J530" s="459"/>
      <c r="K530" s="459"/>
      <c r="L530" s="459"/>
      <c r="M530" s="459"/>
      <c r="N530" s="459">
        <f t="shared" si="29"/>
        <v>1014.7725252733219</v>
      </c>
      <c r="O530" s="454"/>
      <c r="P530" s="451"/>
    </row>
    <row r="531" spans="1:16">
      <c r="A531" s="446">
        <f t="shared" si="30"/>
        <v>2051</v>
      </c>
      <c r="B531" s="446">
        <f t="shared" si="31"/>
        <v>10</v>
      </c>
      <c r="C531" s="459">
        <v>189.06548230619461</v>
      </c>
      <c r="D531" s="459">
        <v>0</v>
      </c>
      <c r="E531" s="459">
        <v>795.80201278213576</v>
      </c>
      <c r="F531" s="459">
        <v>0</v>
      </c>
      <c r="G531" s="459">
        <v>0</v>
      </c>
      <c r="H531" s="459"/>
      <c r="I531" s="459"/>
      <c r="J531" s="459"/>
      <c r="K531" s="459"/>
      <c r="L531" s="459"/>
      <c r="M531" s="459"/>
      <c r="N531" s="459">
        <f t="shared" si="29"/>
        <v>984.86749508833032</v>
      </c>
      <c r="O531" s="454"/>
      <c r="P531" s="451"/>
    </row>
    <row r="532" spans="1:16">
      <c r="A532" s="446">
        <f t="shared" si="30"/>
        <v>2051</v>
      </c>
      <c r="B532" s="446">
        <f t="shared" si="31"/>
        <v>11</v>
      </c>
      <c r="C532" s="459">
        <v>167.73435294368878</v>
      </c>
      <c r="D532" s="459">
        <v>0</v>
      </c>
      <c r="E532" s="459">
        <v>624.21663519295305</v>
      </c>
      <c r="F532" s="459">
        <v>0</v>
      </c>
      <c r="G532" s="459">
        <v>0</v>
      </c>
      <c r="H532" s="459"/>
      <c r="I532" s="459"/>
      <c r="J532" s="459"/>
      <c r="K532" s="459"/>
      <c r="L532" s="459"/>
      <c r="M532" s="459"/>
      <c r="N532" s="459">
        <f t="shared" si="29"/>
        <v>791.95098813664185</v>
      </c>
      <c r="O532" s="454"/>
      <c r="P532" s="451"/>
    </row>
    <row r="533" spans="1:16">
      <c r="A533" s="446">
        <f t="shared" si="30"/>
        <v>2051</v>
      </c>
      <c r="B533" s="446">
        <f t="shared" si="31"/>
        <v>12</v>
      </c>
      <c r="C533" s="459">
        <v>159.87585443983863</v>
      </c>
      <c r="D533" s="459">
        <v>0</v>
      </c>
      <c r="E533" s="459">
        <v>601.64193112377768</v>
      </c>
      <c r="F533" s="459">
        <v>0</v>
      </c>
      <c r="G533" s="459">
        <v>0</v>
      </c>
      <c r="H533" s="459"/>
      <c r="I533" s="459"/>
      <c r="J533" s="459"/>
      <c r="K533" s="459"/>
      <c r="L533" s="459"/>
      <c r="M533" s="459"/>
      <c r="N533" s="459">
        <f t="shared" si="29"/>
        <v>761.51778556361637</v>
      </c>
      <c r="O533" s="454"/>
      <c r="P533" s="451"/>
    </row>
    <row r="534" spans="1:16">
      <c r="A534" s="446">
        <f t="shared" si="30"/>
        <v>2052</v>
      </c>
      <c r="B534" s="446">
        <f t="shared" si="31"/>
        <v>1</v>
      </c>
      <c r="C534" s="459">
        <v>156.09207071201646</v>
      </c>
      <c r="D534" s="459">
        <v>0</v>
      </c>
      <c r="E534" s="459">
        <v>771.69629373522821</v>
      </c>
      <c r="F534" s="459">
        <v>0</v>
      </c>
      <c r="G534" s="459">
        <v>0</v>
      </c>
      <c r="H534" s="459"/>
      <c r="I534" s="459"/>
      <c r="J534" s="459"/>
      <c r="K534" s="459"/>
      <c r="L534" s="459"/>
      <c r="M534" s="459"/>
      <c r="N534" s="459">
        <f t="shared" si="29"/>
        <v>927.7883644472447</v>
      </c>
      <c r="O534" s="454"/>
      <c r="P534" s="451"/>
    </row>
    <row r="535" spans="1:16">
      <c r="A535" s="446">
        <f t="shared" si="30"/>
        <v>2052</v>
      </c>
      <c r="B535" s="446">
        <f t="shared" si="31"/>
        <v>2</v>
      </c>
      <c r="C535" s="459">
        <v>166.08756597640772</v>
      </c>
      <c r="D535" s="459">
        <v>0</v>
      </c>
      <c r="E535" s="459">
        <v>692.75804722850364</v>
      </c>
      <c r="F535" s="459">
        <v>0</v>
      </c>
      <c r="G535" s="459">
        <v>0</v>
      </c>
      <c r="H535" s="459"/>
      <c r="I535" s="459"/>
      <c r="J535" s="459"/>
      <c r="K535" s="459"/>
      <c r="L535" s="459"/>
      <c r="M535" s="459"/>
      <c r="N535" s="459">
        <f t="shared" si="29"/>
        <v>858.84561320491139</v>
      </c>
      <c r="O535" s="454"/>
      <c r="P535" s="451"/>
    </row>
    <row r="536" spans="1:16">
      <c r="A536" s="446">
        <f t="shared" si="30"/>
        <v>2052</v>
      </c>
      <c r="B536" s="446">
        <f t="shared" si="31"/>
        <v>3</v>
      </c>
      <c r="C536" s="459">
        <v>157.61219866642969</v>
      </c>
      <c r="D536" s="459">
        <v>0</v>
      </c>
      <c r="E536" s="459">
        <v>640.67986431926704</v>
      </c>
      <c r="F536" s="459">
        <v>0</v>
      </c>
      <c r="G536" s="459">
        <v>0</v>
      </c>
      <c r="H536" s="459"/>
      <c r="I536" s="459"/>
      <c r="J536" s="459"/>
      <c r="K536" s="459"/>
      <c r="L536" s="459"/>
      <c r="M536" s="459"/>
      <c r="N536" s="459">
        <f t="shared" si="29"/>
        <v>798.2920629856967</v>
      </c>
      <c r="P536" s="451"/>
    </row>
    <row r="537" spans="1:16">
      <c r="A537" s="446">
        <f t="shared" si="30"/>
        <v>2052</v>
      </c>
      <c r="B537" s="446">
        <f t="shared" si="31"/>
        <v>4</v>
      </c>
      <c r="C537" s="459">
        <v>187.1727877528173</v>
      </c>
      <c r="D537" s="459">
        <v>0</v>
      </c>
      <c r="E537" s="459">
        <v>752.9590664132329</v>
      </c>
      <c r="F537" s="459">
        <v>0</v>
      </c>
      <c r="G537" s="459">
        <v>0</v>
      </c>
      <c r="H537" s="459"/>
      <c r="I537" s="459"/>
      <c r="J537" s="459"/>
      <c r="K537" s="459"/>
      <c r="L537" s="459"/>
      <c r="M537" s="459"/>
      <c r="N537" s="459">
        <f t="shared" si="29"/>
        <v>940.13185416605018</v>
      </c>
      <c r="P537" s="451"/>
    </row>
    <row r="538" spans="1:16">
      <c r="A538" s="446">
        <f t="shared" si="30"/>
        <v>2052</v>
      </c>
      <c r="B538" s="446">
        <f t="shared" si="31"/>
        <v>5</v>
      </c>
      <c r="C538" s="459">
        <v>198.96276205674141</v>
      </c>
      <c r="D538" s="459">
        <v>0</v>
      </c>
      <c r="E538" s="459">
        <v>838.53295344384151</v>
      </c>
      <c r="F538" s="459">
        <v>0</v>
      </c>
      <c r="G538" s="459">
        <v>0</v>
      </c>
      <c r="H538" s="459"/>
      <c r="I538" s="459"/>
      <c r="J538" s="459"/>
      <c r="K538" s="459"/>
      <c r="L538" s="459"/>
      <c r="M538" s="459"/>
      <c r="N538" s="459">
        <f t="shared" si="29"/>
        <v>1037.4957155005829</v>
      </c>
      <c r="P538" s="451"/>
    </row>
    <row r="539" spans="1:16">
      <c r="A539" s="446">
        <f t="shared" si="30"/>
        <v>2052</v>
      </c>
      <c r="B539" s="446">
        <f t="shared" si="31"/>
        <v>6</v>
      </c>
      <c r="C539" s="459">
        <v>204.76356182733451</v>
      </c>
      <c r="D539" s="459">
        <v>0</v>
      </c>
      <c r="E539" s="459">
        <v>869.17147481925815</v>
      </c>
      <c r="F539" s="459">
        <v>0</v>
      </c>
      <c r="G539" s="459">
        <v>0</v>
      </c>
      <c r="H539" s="459"/>
      <c r="I539" s="459"/>
      <c r="J539" s="459"/>
      <c r="K539" s="459"/>
      <c r="L539" s="459"/>
      <c r="M539" s="459"/>
      <c r="N539" s="459">
        <f t="shared" si="29"/>
        <v>1073.9350366465926</v>
      </c>
      <c r="P539" s="451"/>
    </row>
    <row r="540" spans="1:16">
      <c r="A540" s="446">
        <f t="shared" si="30"/>
        <v>2052</v>
      </c>
      <c r="B540" s="446">
        <f t="shared" si="31"/>
        <v>7</v>
      </c>
      <c r="C540" s="459">
        <v>221.82223010174533</v>
      </c>
      <c r="D540" s="459">
        <v>0</v>
      </c>
      <c r="E540" s="459">
        <v>913.62648570072099</v>
      </c>
      <c r="F540" s="459">
        <v>0</v>
      </c>
      <c r="G540" s="459">
        <v>0</v>
      </c>
      <c r="H540" s="459"/>
      <c r="I540" s="459"/>
      <c r="J540" s="459"/>
      <c r="K540" s="459"/>
      <c r="L540" s="459"/>
      <c r="M540" s="459"/>
      <c r="N540" s="459">
        <f t="shared" si="29"/>
        <v>1135.4487158024663</v>
      </c>
      <c r="P540" s="451"/>
    </row>
    <row r="541" spans="1:16">
      <c r="A541" s="446">
        <f t="shared" si="30"/>
        <v>2052</v>
      </c>
      <c r="B541" s="446">
        <f t="shared" si="31"/>
        <v>8</v>
      </c>
      <c r="C541" s="459">
        <v>216.37429870841083</v>
      </c>
      <c r="D541" s="459">
        <v>0</v>
      </c>
      <c r="E541" s="459">
        <v>956.39117993285834</v>
      </c>
      <c r="F541" s="459">
        <v>0</v>
      </c>
      <c r="G541" s="459">
        <v>0</v>
      </c>
      <c r="H541" s="459"/>
      <c r="I541" s="459"/>
      <c r="J541" s="459"/>
      <c r="K541" s="459"/>
      <c r="L541" s="459"/>
      <c r="M541" s="459"/>
      <c r="N541" s="459">
        <f t="shared" si="29"/>
        <v>1172.7654786412691</v>
      </c>
      <c r="P541" s="451"/>
    </row>
    <row r="542" spans="1:16">
      <c r="A542" s="446">
        <f t="shared" si="30"/>
        <v>2052</v>
      </c>
      <c r="B542" s="446">
        <f t="shared" si="31"/>
        <v>9</v>
      </c>
      <c r="C542" s="459">
        <v>199.61436980426524</v>
      </c>
      <c r="D542" s="459">
        <v>0</v>
      </c>
      <c r="E542" s="459">
        <v>821.70138061813577</v>
      </c>
      <c r="F542" s="459">
        <v>0</v>
      </c>
      <c r="G542" s="459">
        <v>0</v>
      </c>
      <c r="H542" s="459"/>
      <c r="I542" s="459"/>
      <c r="J542" s="459"/>
      <c r="K542" s="459"/>
      <c r="L542" s="459"/>
      <c r="M542" s="459"/>
      <c r="N542" s="459">
        <f t="shared" si="29"/>
        <v>1021.315750422401</v>
      </c>
    </row>
    <row r="543" spans="1:16">
      <c r="A543" s="446">
        <f t="shared" si="30"/>
        <v>2052</v>
      </c>
      <c r="B543" s="446">
        <f t="shared" si="31"/>
        <v>10</v>
      </c>
      <c r="C543" s="459">
        <v>190.8475430469073</v>
      </c>
      <c r="D543" s="459">
        <v>0</v>
      </c>
      <c r="E543" s="459">
        <v>798.52038018540873</v>
      </c>
      <c r="F543" s="459">
        <v>0</v>
      </c>
      <c r="G543" s="459">
        <v>0</v>
      </c>
      <c r="H543" s="459"/>
      <c r="I543" s="459"/>
      <c r="J543" s="459"/>
      <c r="K543" s="459"/>
      <c r="L543" s="459"/>
      <c r="M543" s="459"/>
      <c r="N543" s="459">
        <f t="shared" si="29"/>
        <v>989.367923232316</v>
      </c>
    </row>
    <row r="544" spans="1:16">
      <c r="A544" s="446">
        <f t="shared" si="30"/>
        <v>2052</v>
      </c>
      <c r="B544" s="446">
        <f t="shared" si="31"/>
        <v>11</v>
      </c>
      <c r="C544" s="459">
        <v>169.31535441261735</v>
      </c>
      <c r="D544" s="459">
        <v>0</v>
      </c>
      <c r="E544" s="459">
        <v>625.49954806364758</v>
      </c>
      <c r="F544" s="459">
        <v>0</v>
      </c>
      <c r="G544" s="459">
        <v>0</v>
      </c>
      <c r="H544" s="459"/>
      <c r="I544" s="459"/>
      <c r="J544" s="459"/>
      <c r="K544" s="459"/>
      <c r="L544" s="459"/>
      <c r="M544" s="459"/>
      <c r="N544" s="459">
        <f t="shared" si="29"/>
        <v>794.81490247626493</v>
      </c>
    </row>
    <row r="545" spans="1:14">
      <c r="A545" s="446">
        <f t="shared" si="30"/>
        <v>2052</v>
      </c>
      <c r="B545" s="446">
        <f t="shared" si="31"/>
        <v>12</v>
      </c>
      <c r="C545" s="459">
        <v>161.38278463201254</v>
      </c>
      <c r="D545" s="459">
        <v>0</v>
      </c>
      <c r="E545" s="459">
        <v>603.32273783856294</v>
      </c>
      <c r="F545" s="459">
        <v>0</v>
      </c>
      <c r="G545" s="459">
        <v>0</v>
      </c>
      <c r="H545" s="459"/>
      <c r="I545" s="459"/>
      <c r="J545" s="459"/>
      <c r="K545" s="459"/>
      <c r="L545" s="459"/>
      <c r="M545" s="459"/>
      <c r="N545" s="459">
        <f t="shared" si="29"/>
        <v>764.70552247057549</v>
      </c>
    </row>
    <row r="546" spans="1:14">
      <c r="A546" s="446">
        <f t="shared" si="30"/>
        <v>2053</v>
      </c>
      <c r="B546" s="446">
        <f t="shared" si="31"/>
        <v>1</v>
      </c>
      <c r="C546" s="459">
        <v>157.56333636960451</v>
      </c>
      <c r="D546" s="459">
        <v>0</v>
      </c>
      <c r="E546" s="459">
        <v>772.46795936642513</v>
      </c>
      <c r="F546" s="459">
        <v>0</v>
      </c>
      <c r="G546" s="459">
        <v>0</v>
      </c>
      <c r="H546" s="459"/>
      <c r="I546" s="459"/>
      <c r="J546" s="459"/>
      <c r="K546" s="459"/>
      <c r="L546" s="459"/>
      <c r="M546" s="459"/>
      <c r="N546" s="459">
        <f t="shared" si="29"/>
        <v>930.03129573602962</v>
      </c>
    </row>
    <row r="547" spans="1:14">
      <c r="A547" s="446">
        <f t="shared" si="30"/>
        <v>2053</v>
      </c>
      <c r="B547" s="446">
        <f t="shared" si="31"/>
        <v>2</v>
      </c>
      <c r="C547" s="459">
        <v>167.65304544540857</v>
      </c>
      <c r="D547" s="459">
        <v>0</v>
      </c>
      <c r="E547" s="459">
        <v>693.45065621755646</v>
      </c>
      <c r="F547" s="459">
        <v>0</v>
      </c>
      <c r="G547" s="459">
        <v>0</v>
      </c>
      <c r="H547" s="459"/>
      <c r="I547" s="459"/>
      <c r="J547" s="459"/>
      <c r="K547" s="459"/>
      <c r="L547" s="459"/>
      <c r="M547" s="459"/>
      <c r="N547" s="459">
        <f t="shared" si="29"/>
        <v>861.10370166296502</v>
      </c>
    </row>
    <row r="548" spans="1:14">
      <c r="A548" s="446">
        <f t="shared" si="30"/>
        <v>2053</v>
      </c>
      <c r="B548" s="446">
        <f t="shared" si="31"/>
        <v>3</v>
      </c>
      <c r="C548" s="459">
        <v>159.09779248331674</v>
      </c>
      <c r="D548" s="459">
        <v>0</v>
      </c>
      <c r="E548" s="459">
        <v>641.38596182973606</v>
      </c>
      <c r="F548" s="459">
        <v>0</v>
      </c>
      <c r="G548" s="459">
        <v>0</v>
      </c>
      <c r="H548" s="459"/>
      <c r="I548" s="459"/>
      <c r="J548" s="459"/>
      <c r="K548" s="459"/>
      <c r="L548" s="459"/>
      <c r="M548" s="459"/>
      <c r="N548" s="459">
        <f t="shared" si="29"/>
        <v>800.48375431305283</v>
      </c>
    </row>
    <row r="549" spans="1:14">
      <c r="A549" s="446">
        <f t="shared" si="30"/>
        <v>2053</v>
      </c>
      <c r="B549" s="446">
        <f t="shared" si="31"/>
        <v>4</v>
      </c>
      <c r="C549" s="459">
        <v>188.93700866038537</v>
      </c>
      <c r="D549" s="459">
        <v>0</v>
      </c>
      <c r="E549" s="459">
        <v>757.71818095939489</v>
      </c>
      <c r="F549" s="459">
        <v>0</v>
      </c>
      <c r="G549" s="459">
        <v>0</v>
      </c>
      <c r="H549" s="459"/>
      <c r="I549" s="459"/>
      <c r="J549" s="459"/>
      <c r="K549" s="459"/>
      <c r="L549" s="459"/>
      <c r="M549" s="459"/>
      <c r="N549" s="459">
        <f t="shared" si="29"/>
        <v>946.65518961978023</v>
      </c>
    </row>
    <row r="550" spans="1:14">
      <c r="A550" s="446">
        <f t="shared" si="30"/>
        <v>2053</v>
      </c>
      <c r="B550" s="446">
        <f t="shared" si="31"/>
        <v>5</v>
      </c>
      <c r="C550" s="459">
        <v>200.83811086605422</v>
      </c>
      <c r="D550" s="459">
        <v>0</v>
      </c>
      <c r="E550" s="459">
        <v>842.87314346947358</v>
      </c>
      <c r="F550" s="459">
        <v>0</v>
      </c>
      <c r="G550" s="459">
        <v>0</v>
      </c>
      <c r="H550" s="459"/>
      <c r="I550" s="459"/>
      <c r="J550" s="459"/>
      <c r="K550" s="459"/>
      <c r="L550" s="459"/>
      <c r="M550" s="459"/>
      <c r="N550" s="459">
        <f t="shared" si="29"/>
        <v>1043.7112543355279</v>
      </c>
    </row>
    <row r="551" spans="1:14">
      <c r="A551" s="446">
        <f t="shared" si="30"/>
        <v>2053</v>
      </c>
      <c r="B551" s="446">
        <f t="shared" si="31"/>
        <v>6</v>
      </c>
      <c r="C551" s="459">
        <v>206.69358681238191</v>
      </c>
      <c r="D551" s="459">
        <v>0</v>
      </c>
      <c r="E551" s="459">
        <v>872.23241219427302</v>
      </c>
      <c r="F551" s="459">
        <v>0</v>
      </c>
      <c r="G551" s="459">
        <v>0</v>
      </c>
      <c r="H551" s="459"/>
      <c r="I551" s="459"/>
      <c r="J551" s="459"/>
      <c r="K551" s="459"/>
      <c r="L551" s="459"/>
      <c r="M551" s="459"/>
      <c r="N551" s="459">
        <f t="shared" si="29"/>
        <v>1078.9259990066548</v>
      </c>
    </row>
    <row r="552" spans="1:14">
      <c r="A552" s="446">
        <f t="shared" si="30"/>
        <v>2053</v>
      </c>
      <c r="B552" s="446">
        <f t="shared" si="31"/>
        <v>7</v>
      </c>
      <c r="C552" s="459">
        <v>223.91345523355577</v>
      </c>
      <c r="D552" s="459">
        <v>0</v>
      </c>
      <c r="E552" s="459">
        <v>918.82264696984407</v>
      </c>
      <c r="F552" s="459">
        <v>0</v>
      </c>
      <c r="G552" s="459">
        <v>0</v>
      </c>
      <c r="H552" s="459"/>
      <c r="I552" s="459"/>
      <c r="J552" s="459"/>
      <c r="K552" s="459"/>
      <c r="L552" s="459"/>
      <c r="M552" s="459"/>
      <c r="N552" s="459">
        <f t="shared" si="29"/>
        <v>1142.7361022033999</v>
      </c>
    </row>
    <row r="553" spans="1:14">
      <c r="A553" s="446">
        <f t="shared" si="30"/>
        <v>2053</v>
      </c>
      <c r="B553" s="446">
        <f t="shared" si="31"/>
        <v>8</v>
      </c>
      <c r="C553" s="459">
        <v>218.41376217008604</v>
      </c>
      <c r="D553" s="459">
        <v>0</v>
      </c>
      <c r="E553" s="459">
        <v>961.85554672227067</v>
      </c>
      <c r="F553" s="459">
        <v>0</v>
      </c>
      <c r="G553" s="459">
        <v>0</v>
      </c>
      <c r="H553" s="459"/>
      <c r="I553" s="459"/>
      <c r="J553" s="459"/>
      <c r="K553" s="459"/>
      <c r="L553" s="459"/>
      <c r="M553" s="459"/>
      <c r="N553" s="459">
        <f t="shared" si="29"/>
        <v>1180.2693088923568</v>
      </c>
    </row>
    <row r="554" spans="1:14">
      <c r="A554" s="446">
        <f t="shared" si="30"/>
        <v>2053</v>
      </c>
      <c r="B554" s="446">
        <f t="shared" si="31"/>
        <v>9</v>
      </c>
      <c r="C554" s="459">
        <v>201.49586042524589</v>
      </c>
      <c r="D554" s="459">
        <v>0</v>
      </c>
      <c r="E554" s="459">
        <v>826.40748339607103</v>
      </c>
      <c r="F554" s="459">
        <v>0</v>
      </c>
      <c r="G554" s="459">
        <v>0</v>
      </c>
      <c r="H554" s="459"/>
      <c r="I554" s="459"/>
      <c r="J554" s="459"/>
      <c r="K554" s="459"/>
      <c r="L554" s="459"/>
      <c r="M554" s="459"/>
      <c r="N554" s="459">
        <f t="shared" si="29"/>
        <v>1027.9033438213169</v>
      </c>
    </row>
    <row r="555" spans="1:14">
      <c r="A555" s="446">
        <f t="shared" si="30"/>
        <v>2053</v>
      </c>
      <c r="B555" s="446">
        <f t="shared" si="31"/>
        <v>10</v>
      </c>
      <c r="C555" s="459">
        <v>192.64640082769762</v>
      </c>
      <c r="D555" s="459">
        <v>0</v>
      </c>
      <c r="E555" s="459">
        <v>801.24803321653951</v>
      </c>
      <c r="F555" s="459">
        <v>0</v>
      </c>
      <c r="G555" s="459">
        <v>0</v>
      </c>
      <c r="H555" s="459"/>
      <c r="I555" s="459"/>
      <c r="J555" s="459"/>
      <c r="K555" s="459"/>
      <c r="L555" s="459"/>
      <c r="M555" s="459"/>
      <c r="N555" s="459">
        <f t="shared" si="29"/>
        <v>993.89443404423719</v>
      </c>
    </row>
    <row r="556" spans="1:14">
      <c r="A556" s="446">
        <f t="shared" si="30"/>
        <v>2053</v>
      </c>
      <c r="B556" s="446">
        <f t="shared" si="31"/>
        <v>11</v>
      </c>
      <c r="C556" s="459">
        <v>170.91125781189524</v>
      </c>
      <c r="D556" s="459">
        <v>0</v>
      </c>
      <c r="E556" s="459">
        <v>626.78509762381975</v>
      </c>
      <c r="F556" s="459">
        <v>0</v>
      </c>
      <c r="G556" s="459">
        <v>0</v>
      </c>
      <c r="H556" s="459"/>
      <c r="I556" s="459"/>
      <c r="J556" s="459"/>
      <c r="K556" s="459"/>
      <c r="L556" s="459"/>
      <c r="M556" s="459"/>
      <c r="N556" s="459">
        <f t="shared" si="29"/>
        <v>797.69635543571496</v>
      </c>
    </row>
    <row r="557" spans="1:14">
      <c r="A557" s="446">
        <f t="shared" si="30"/>
        <v>2053</v>
      </c>
      <c r="B557" s="446">
        <f t="shared" si="31"/>
        <v>12</v>
      </c>
      <c r="C557" s="459">
        <v>162.90391858629951</v>
      </c>
      <c r="D557" s="459">
        <v>0</v>
      </c>
      <c r="E557" s="459">
        <v>605.00824022209451</v>
      </c>
      <c r="F557" s="459">
        <v>0</v>
      </c>
      <c r="G557" s="459">
        <v>0</v>
      </c>
      <c r="H557" s="459"/>
      <c r="I557" s="459"/>
      <c r="J557" s="459"/>
      <c r="K557" s="459"/>
      <c r="L557" s="459"/>
      <c r="M557" s="459"/>
      <c r="N557" s="459">
        <f t="shared" si="29"/>
        <v>767.912158808394</v>
      </c>
    </row>
    <row r="558" spans="1:14">
      <c r="A558" s="446">
        <f t="shared" si="30"/>
        <v>2054</v>
      </c>
      <c r="B558" s="446">
        <f t="shared" si="31"/>
        <v>1</v>
      </c>
      <c r="C558" s="459">
        <v>159.04846962870062</v>
      </c>
      <c r="D558" s="459">
        <v>0</v>
      </c>
      <c r="E558" s="459">
        <v>773.24039663259191</v>
      </c>
      <c r="F558" s="459">
        <v>0</v>
      </c>
      <c r="G558" s="459">
        <v>0</v>
      </c>
      <c r="H558" s="459"/>
      <c r="I558" s="459"/>
      <c r="J558" s="459"/>
      <c r="K558" s="459"/>
      <c r="L558" s="459"/>
      <c r="M558" s="459"/>
      <c r="N558" s="459">
        <f t="shared" si="29"/>
        <v>932.28886626129247</v>
      </c>
    </row>
    <row r="559" spans="1:14">
      <c r="A559" s="446">
        <f t="shared" si="30"/>
        <v>2054</v>
      </c>
      <c r="B559" s="446">
        <f t="shared" si="31"/>
        <v>2</v>
      </c>
      <c r="C559" s="459">
        <v>169.23328054017497</v>
      </c>
      <c r="D559" s="459">
        <v>0</v>
      </c>
      <c r="E559" s="459">
        <v>694.14395766657219</v>
      </c>
      <c r="F559" s="459">
        <v>0</v>
      </c>
      <c r="G559" s="459">
        <v>0</v>
      </c>
      <c r="H559" s="459"/>
      <c r="I559" s="459"/>
      <c r="J559" s="459"/>
      <c r="K559" s="459"/>
      <c r="L559" s="459"/>
      <c r="M559" s="459"/>
      <c r="N559" s="459">
        <f t="shared" si="29"/>
        <v>863.37723820674717</v>
      </c>
    </row>
    <row r="560" spans="1:14">
      <c r="A560" s="446">
        <f t="shared" si="30"/>
        <v>2054</v>
      </c>
      <c r="B560" s="446">
        <f t="shared" si="31"/>
        <v>3</v>
      </c>
      <c r="C560" s="459">
        <v>160.59738895359894</v>
      </c>
      <c r="D560" s="459">
        <v>0</v>
      </c>
      <c r="E560" s="459">
        <v>642.09283753493537</v>
      </c>
      <c r="F560" s="459">
        <v>0</v>
      </c>
      <c r="G560" s="459">
        <v>0</v>
      </c>
      <c r="H560" s="459"/>
      <c r="I560" s="459"/>
      <c r="J560" s="459"/>
      <c r="K560" s="459"/>
      <c r="L560" s="459"/>
      <c r="M560" s="459"/>
      <c r="N560" s="459">
        <f t="shared" si="29"/>
        <v>802.69022648853434</v>
      </c>
    </row>
    <row r="561" spans="1:14">
      <c r="A561" s="446">
        <f t="shared" si="30"/>
        <v>2054</v>
      </c>
      <c r="B561" s="446">
        <f t="shared" si="31"/>
        <v>4</v>
      </c>
      <c r="C561" s="459">
        <v>190.71785845641568</v>
      </c>
      <c r="D561" s="459">
        <v>0</v>
      </c>
      <c r="E561" s="459">
        <v>762.50737572143271</v>
      </c>
      <c r="F561" s="459">
        <v>0</v>
      </c>
      <c r="G561" s="459">
        <v>0</v>
      </c>
      <c r="H561" s="459"/>
      <c r="I561" s="459"/>
      <c r="J561" s="459"/>
      <c r="K561" s="459"/>
      <c r="L561" s="459"/>
      <c r="M561" s="459"/>
      <c r="N561" s="459">
        <f t="shared" si="29"/>
        <v>953.22523417784839</v>
      </c>
    </row>
    <row r="562" spans="1:14">
      <c r="A562" s="446">
        <f t="shared" si="30"/>
        <v>2054</v>
      </c>
      <c r="B562" s="446">
        <f t="shared" si="31"/>
        <v>5</v>
      </c>
      <c r="C562" s="459">
        <v>202.73113601399564</v>
      </c>
      <c r="D562" s="459">
        <v>0</v>
      </c>
      <c r="E562" s="459">
        <v>847.23579802602376</v>
      </c>
      <c r="F562" s="459">
        <v>0</v>
      </c>
      <c r="G562" s="459">
        <v>0</v>
      </c>
      <c r="H562" s="459"/>
      <c r="I562" s="459"/>
      <c r="J562" s="459"/>
      <c r="K562" s="459"/>
      <c r="L562" s="459"/>
      <c r="M562" s="459"/>
      <c r="N562" s="459">
        <f t="shared" si="29"/>
        <v>1049.9669340400194</v>
      </c>
    </row>
    <row r="563" spans="1:14">
      <c r="A563" s="446">
        <f t="shared" si="30"/>
        <v>2054</v>
      </c>
      <c r="B563" s="446">
        <f t="shared" si="31"/>
        <v>6</v>
      </c>
      <c r="C563" s="459">
        <v>208.64180349330363</v>
      </c>
      <c r="D563" s="459">
        <v>0</v>
      </c>
      <c r="E563" s="459">
        <v>875.30412918859804</v>
      </c>
      <c r="F563" s="459">
        <v>0</v>
      </c>
      <c r="G563" s="459">
        <v>0</v>
      </c>
      <c r="H563" s="459"/>
      <c r="I563" s="459"/>
      <c r="J563" s="459"/>
      <c r="K563" s="459"/>
      <c r="L563" s="459"/>
      <c r="M563" s="459"/>
      <c r="N563" s="459">
        <f t="shared" si="29"/>
        <v>1083.9459326819017</v>
      </c>
    </row>
    <row r="564" spans="1:14">
      <c r="A564" s="446">
        <f t="shared" si="30"/>
        <v>2054</v>
      </c>
      <c r="B564" s="446">
        <f t="shared" si="31"/>
        <v>7</v>
      </c>
      <c r="C564" s="459">
        <v>226.02439535312874</v>
      </c>
      <c r="D564" s="459">
        <v>0</v>
      </c>
      <c r="E564" s="459">
        <v>924.04836089791183</v>
      </c>
      <c r="F564" s="459">
        <v>0</v>
      </c>
      <c r="G564" s="459">
        <v>0</v>
      </c>
      <c r="H564" s="459"/>
      <c r="I564" s="459"/>
      <c r="J564" s="459"/>
      <c r="K564" s="459"/>
      <c r="L564" s="459"/>
      <c r="M564" s="459"/>
      <c r="N564" s="459">
        <f t="shared" si="29"/>
        <v>1150.0727562510406</v>
      </c>
    </row>
    <row r="565" spans="1:14">
      <c r="A565" s="446">
        <f t="shared" si="30"/>
        <v>2054</v>
      </c>
      <c r="B565" s="446">
        <f t="shared" si="31"/>
        <v>8</v>
      </c>
      <c r="C565" s="459">
        <v>220.47244885391072</v>
      </c>
      <c r="D565" s="459">
        <v>0</v>
      </c>
      <c r="E565" s="459">
        <v>967.35113431864534</v>
      </c>
      <c r="F565" s="459">
        <v>0</v>
      </c>
      <c r="G565" s="459">
        <v>0</v>
      </c>
      <c r="H565" s="459"/>
      <c r="I565" s="459"/>
      <c r="J565" s="459"/>
      <c r="K565" s="459"/>
      <c r="L565" s="459"/>
      <c r="M565" s="459"/>
      <c r="N565" s="459">
        <f t="shared" si="29"/>
        <v>1187.823583172556</v>
      </c>
    </row>
    <row r="566" spans="1:14">
      <c r="A566" s="446">
        <f t="shared" si="30"/>
        <v>2054</v>
      </c>
      <c r="B566" s="446">
        <f t="shared" si="31"/>
        <v>9</v>
      </c>
      <c r="C566" s="459">
        <v>203.39508527528187</v>
      </c>
      <c r="D566" s="459">
        <v>0</v>
      </c>
      <c r="E566" s="459">
        <v>831.14053927872158</v>
      </c>
      <c r="F566" s="459">
        <v>0</v>
      </c>
      <c r="G566" s="459">
        <v>0</v>
      </c>
      <c r="H566" s="459"/>
      <c r="I566" s="459"/>
      <c r="J566" s="459"/>
      <c r="K566" s="459"/>
      <c r="L566" s="459"/>
      <c r="M566" s="459"/>
      <c r="N566" s="459">
        <f t="shared" si="29"/>
        <v>1034.5356245540033</v>
      </c>
    </row>
    <row r="567" spans="1:14">
      <c r="A567" s="446">
        <f t="shared" si="30"/>
        <v>2054</v>
      </c>
      <c r="B567" s="446">
        <f t="shared" si="31"/>
        <v>10</v>
      </c>
      <c r="C567" s="459">
        <v>194.46221397120232</v>
      </c>
      <c r="D567" s="459">
        <v>0</v>
      </c>
      <c r="E567" s="459">
        <v>803.9850035941563</v>
      </c>
      <c r="F567" s="459">
        <v>0</v>
      </c>
      <c r="G567" s="459">
        <v>0</v>
      </c>
      <c r="H567" s="459"/>
      <c r="I567" s="459"/>
      <c r="J567" s="459"/>
      <c r="K567" s="459"/>
      <c r="L567" s="459"/>
      <c r="M567" s="459"/>
      <c r="N567" s="459">
        <f t="shared" si="29"/>
        <v>998.44721756535864</v>
      </c>
    </row>
    <row r="568" spans="1:14">
      <c r="A568" s="446">
        <f t="shared" si="30"/>
        <v>2054</v>
      </c>
      <c r="B568" s="446">
        <f t="shared" si="31"/>
        <v>11</v>
      </c>
      <c r="C568" s="459">
        <v>172.52220360156156</v>
      </c>
      <c r="D568" s="459">
        <v>0</v>
      </c>
      <c r="E568" s="459">
        <v>628.07328929249024</v>
      </c>
      <c r="F568" s="459">
        <v>0</v>
      </c>
      <c r="G568" s="459">
        <v>0</v>
      </c>
      <c r="H568" s="459"/>
      <c r="I568" s="459"/>
      <c r="J568" s="459"/>
      <c r="K568" s="459"/>
      <c r="L568" s="459"/>
      <c r="M568" s="459"/>
      <c r="N568" s="459">
        <f t="shared" si="29"/>
        <v>800.59549289405186</v>
      </c>
    </row>
    <row r="569" spans="1:14">
      <c r="A569" s="446">
        <f t="shared" si="30"/>
        <v>2054</v>
      </c>
      <c r="B569" s="446">
        <f t="shared" si="31"/>
        <v>12</v>
      </c>
      <c r="C569" s="459">
        <v>164.43939018206515</v>
      </c>
      <c r="D569" s="459">
        <v>0</v>
      </c>
      <c r="E569" s="459">
        <v>606.69845139265942</v>
      </c>
      <c r="F569" s="459">
        <v>0</v>
      </c>
      <c r="G569" s="459">
        <v>0</v>
      </c>
      <c r="H569" s="459"/>
      <c r="I569" s="459"/>
      <c r="J569" s="459"/>
      <c r="K569" s="459"/>
      <c r="L569" s="459"/>
      <c r="M569" s="459"/>
      <c r="N569" s="459">
        <f t="shared" si="29"/>
        <v>771.13784157472458</v>
      </c>
    </row>
    <row r="570" spans="1:14">
      <c r="A570" s="446">
        <f t="shared" si="30"/>
        <v>2055</v>
      </c>
      <c r="B570" s="446">
        <f t="shared" si="31"/>
        <v>1</v>
      </c>
      <c r="C570" s="459">
        <v>160.54760120014586</v>
      </c>
      <c r="D570" s="459">
        <v>0</v>
      </c>
      <c r="E570" s="459">
        <v>774.01360630533281</v>
      </c>
      <c r="F570" s="459">
        <v>0</v>
      </c>
      <c r="G570" s="459">
        <v>0</v>
      </c>
      <c r="H570" s="459"/>
      <c r="I570" s="459"/>
      <c r="J570" s="459"/>
      <c r="K570" s="459"/>
      <c r="L570" s="459"/>
      <c r="M570" s="459"/>
      <c r="N570" s="459">
        <f t="shared" si="29"/>
        <v>934.56120750547871</v>
      </c>
    </row>
    <row r="571" spans="1:14">
      <c r="A571" s="446">
        <f t="shared" si="30"/>
        <v>2055</v>
      </c>
      <c r="B571" s="446">
        <f t="shared" si="31"/>
        <v>2</v>
      </c>
      <c r="C571" s="459">
        <v>170.82841034173359</v>
      </c>
      <c r="D571" s="459">
        <v>0</v>
      </c>
      <c r="E571" s="459">
        <v>694.83795226786185</v>
      </c>
      <c r="F571" s="459">
        <v>0</v>
      </c>
      <c r="G571" s="459">
        <v>0</v>
      </c>
      <c r="H571" s="459"/>
      <c r="I571" s="459"/>
      <c r="J571" s="459"/>
      <c r="K571" s="459"/>
      <c r="L571" s="459"/>
      <c r="M571" s="459"/>
      <c r="N571" s="459">
        <f t="shared" si="29"/>
        <v>865.66636260959547</v>
      </c>
    </row>
    <row r="572" spans="1:14">
      <c r="A572" s="446">
        <f t="shared" si="30"/>
        <v>2055</v>
      </c>
      <c r="B572" s="446">
        <f t="shared" si="31"/>
        <v>3</v>
      </c>
      <c r="C572" s="459">
        <v>162.11112006106612</v>
      </c>
      <c r="D572" s="459">
        <v>0</v>
      </c>
      <c r="E572" s="459">
        <v>642.8004922925187</v>
      </c>
      <c r="F572" s="459">
        <v>0</v>
      </c>
      <c r="G572" s="459">
        <v>0</v>
      </c>
      <c r="H572" s="459"/>
      <c r="I572" s="459"/>
      <c r="J572" s="459"/>
      <c r="K572" s="459"/>
      <c r="L572" s="459"/>
      <c r="M572" s="459"/>
      <c r="N572" s="459">
        <f t="shared" si="29"/>
        <v>804.91161235358481</v>
      </c>
    </row>
    <row r="573" spans="1:14">
      <c r="A573" s="446">
        <f t="shared" si="30"/>
        <v>2055</v>
      </c>
      <c r="B573" s="446">
        <f t="shared" si="31"/>
        <v>4</v>
      </c>
      <c r="C573" s="459">
        <v>192.51549387861053</v>
      </c>
      <c r="D573" s="459">
        <v>0</v>
      </c>
      <c r="E573" s="459">
        <v>767.32684082281992</v>
      </c>
      <c r="F573" s="459">
        <v>0</v>
      </c>
      <c r="G573" s="459">
        <v>0</v>
      </c>
      <c r="H573" s="459"/>
      <c r="I573" s="459"/>
      <c r="J573" s="459"/>
      <c r="K573" s="459"/>
      <c r="L573" s="459"/>
      <c r="M573" s="459"/>
      <c r="N573" s="459">
        <f t="shared" si="29"/>
        <v>959.84233470143045</v>
      </c>
    </row>
    <row r="574" spans="1:14">
      <c r="A574" s="446">
        <f t="shared" si="30"/>
        <v>2055</v>
      </c>
      <c r="B574" s="446">
        <f t="shared" si="31"/>
        <v>5</v>
      </c>
      <c r="C574" s="459">
        <v>204.64200411114265</v>
      </c>
      <c r="D574" s="459">
        <v>0</v>
      </c>
      <c r="E574" s="459">
        <v>851.62103338838949</v>
      </c>
      <c r="F574" s="459">
        <v>0</v>
      </c>
      <c r="G574" s="459">
        <v>0</v>
      </c>
      <c r="H574" s="459"/>
      <c r="I574" s="459"/>
      <c r="J574" s="459"/>
      <c r="K574" s="459"/>
      <c r="L574" s="459"/>
      <c r="M574" s="459"/>
      <c r="N574" s="459">
        <f t="shared" si="29"/>
        <v>1056.2630374995322</v>
      </c>
    </row>
    <row r="575" spans="1:14">
      <c r="A575" s="446">
        <f t="shared" si="30"/>
        <v>2055</v>
      </c>
      <c r="B575" s="446">
        <f t="shared" si="31"/>
        <v>6</v>
      </c>
      <c r="C575" s="459">
        <v>210.60838333824196</v>
      </c>
      <c r="D575" s="459">
        <v>0</v>
      </c>
      <c r="E575" s="459">
        <v>878.38666376452318</v>
      </c>
      <c r="F575" s="459">
        <v>0</v>
      </c>
      <c r="G575" s="459">
        <v>0</v>
      </c>
      <c r="H575" s="459"/>
      <c r="I575" s="459"/>
      <c r="J575" s="459"/>
      <c r="K575" s="459"/>
      <c r="L575" s="459"/>
      <c r="M575" s="459"/>
      <c r="N575" s="459">
        <f t="shared" si="29"/>
        <v>1088.9950471027651</v>
      </c>
    </row>
    <row r="576" spans="1:14">
      <c r="A576" s="446">
        <f t="shared" si="30"/>
        <v>2055</v>
      </c>
      <c r="B576" s="446">
        <f t="shared" si="31"/>
        <v>7</v>
      </c>
      <c r="C576" s="459">
        <v>228.15523632316098</v>
      </c>
      <c r="D576" s="459">
        <v>0</v>
      </c>
      <c r="E576" s="459">
        <v>929.30379556278137</v>
      </c>
      <c r="F576" s="459">
        <v>0</v>
      </c>
      <c r="G576" s="459">
        <v>0</v>
      </c>
      <c r="H576" s="459"/>
      <c r="I576" s="459"/>
      <c r="J576" s="459"/>
      <c r="K576" s="459"/>
      <c r="L576" s="459"/>
      <c r="M576" s="459"/>
      <c r="N576" s="459">
        <f t="shared" si="29"/>
        <v>1157.4590318859423</v>
      </c>
    </row>
    <row r="577" spans="1:14">
      <c r="A577" s="446">
        <f t="shared" si="30"/>
        <v>2055</v>
      </c>
      <c r="B577" s="446">
        <f t="shared" si="31"/>
        <v>8</v>
      </c>
      <c r="C577" s="459">
        <v>222.55053995080922</v>
      </c>
      <c r="D577" s="459">
        <v>0</v>
      </c>
      <c r="E577" s="459">
        <v>972.87812110290474</v>
      </c>
      <c r="F577" s="459">
        <v>0</v>
      </c>
      <c r="G577" s="459">
        <v>0</v>
      </c>
      <c r="H577" s="459"/>
      <c r="I577" s="459"/>
      <c r="J577" s="459"/>
      <c r="K577" s="459"/>
      <c r="L577" s="459"/>
      <c r="M577" s="459"/>
      <c r="N577" s="459">
        <f t="shared" si="29"/>
        <v>1195.428661053714</v>
      </c>
    </row>
    <row r="578" spans="1:14">
      <c r="A578" s="446">
        <f t="shared" si="30"/>
        <v>2055</v>
      </c>
      <c r="B578" s="446">
        <f t="shared" si="31"/>
        <v>9</v>
      </c>
      <c r="C578" s="459">
        <v>205.31221151060382</v>
      </c>
      <c r="D578" s="459">
        <v>0</v>
      </c>
      <c r="E578" s="459">
        <v>835.90070263370069</v>
      </c>
      <c r="F578" s="459">
        <v>0</v>
      </c>
      <c r="G578" s="459">
        <v>0</v>
      </c>
      <c r="H578" s="459"/>
      <c r="I578" s="459"/>
      <c r="J578" s="459"/>
      <c r="K578" s="459"/>
      <c r="L578" s="459"/>
      <c r="M578" s="459"/>
      <c r="N578" s="459">
        <f t="shared" si="29"/>
        <v>1041.2129141443045</v>
      </c>
    </row>
    <row r="579" spans="1:14">
      <c r="A579" s="446">
        <f t="shared" si="30"/>
        <v>2055</v>
      </c>
      <c r="B579" s="446">
        <f t="shared" si="31"/>
        <v>10</v>
      </c>
      <c r="C579" s="459">
        <v>196.29514229234832</v>
      </c>
      <c r="D579" s="459">
        <v>0</v>
      </c>
      <c r="E579" s="459">
        <v>806.73132314523411</v>
      </c>
      <c r="F579" s="459">
        <v>0</v>
      </c>
      <c r="G579" s="459">
        <v>0</v>
      </c>
      <c r="H579" s="459"/>
      <c r="I579" s="459"/>
      <c r="J579" s="459"/>
      <c r="K579" s="459"/>
      <c r="L579" s="459"/>
      <c r="M579" s="459"/>
      <c r="N579" s="459">
        <f t="shared" si="29"/>
        <v>1003.0264654375824</v>
      </c>
    </row>
    <row r="580" spans="1:14">
      <c r="A580" s="446">
        <f t="shared" si="30"/>
        <v>2055</v>
      </c>
      <c r="B580" s="446">
        <f t="shared" si="31"/>
        <v>11</v>
      </c>
      <c r="C580" s="459">
        <v>174.14833356557935</v>
      </c>
      <c r="D580" s="459">
        <v>0</v>
      </c>
      <c r="E580" s="459">
        <v>629.36412849981718</v>
      </c>
      <c r="F580" s="459">
        <v>0</v>
      </c>
      <c r="G580" s="459">
        <v>0</v>
      </c>
      <c r="H580" s="459"/>
      <c r="I580" s="459"/>
      <c r="J580" s="459"/>
      <c r="K580" s="459"/>
      <c r="L580" s="459"/>
      <c r="M580" s="459"/>
      <c r="N580" s="459">
        <f t="shared" si="29"/>
        <v>803.51246206539656</v>
      </c>
    </row>
    <row r="581" spans="1:14">
      <c r="A581" s="446">
        <f t="shared" si="30"/>
        <v>2055</v>
      </c>
      <c r="B581" s="446">
        <f t="shared" si="31"/>
        <v>12</v>
      </c>
      <c r="C581" s="459">
        <v>165.98933456057205</v>
      </c>
      <c r="D581" s="459">
        <v>0</v>
      </c>
      <c r="E581" s="459">
        <v>608.39338450519335</v>
      </c>
      <c r="F581" s="459">
        <v>0</v>
      </c>
      <c r="G581" s="459">
        <v>0</v>
      </c>
      <c r="H581" s="459"/>
      <c r="I581" s="459"/>
      <c r="J581" s="459"/>
      <c r="K581" s="459"/>
      <c r="L581" s="459"/>
      <c r="M581" s="459"/>
      <c r="N581" s="459">
        <f t="shared" si="29"/>
        <v>774.3827190657654</v>
      </c>
    </row>
    <row r="582" spans="1:14">
      <c r="A582" s="446">
        <f t="shared" si="30"/>
        <v>2056</v>
      </c>
      <c r="B582" s="446">
        <f t="shared" si="31"/>
        <v>1</v>
      </c>
      <c r="C582" s="459">
        <v>162.06086302681297</v>
      </c>
      <c r="D582" s="459">
        <v>0</v>
      </c>
      <c r="E582" s="459">
        <v>774.78758915702383</v>
      </c>
      <c r="F582" s="459">
        <v>0</v>
      </c>
      <c r="G582" s="459">
        <v>0</v>
      </c>
      <c r="H582" s="459"/>
      <c r="I582" s="459"/>
      <c r="J582" s="459"/>
      <c r="K582" s="459"/>
      <c r="L582" s="459"/>
      <c r="M582" s="459"/>
      <c r="N582" s="459">
        <f t="shared" si="29"/>
        <v>936.8484521838368</v>
      </c>
    </row>
    <row r="583" spans="1:14">
      <c r="A583" s="446">
        <f t="shared" si="30"/>
        <v>2056</v>
      </c>
      <c r="B583" s="446">
        <f t="shared" si="31"/>
        <v>2</v>
      </c>
      <c r="C583" s="459">
        <v>172.43857524203693</v>
      </c>
      <c r="D583" s="459">
        <v>0</v>
      </c>
      <c r="E583" s="459">
        <v>695.53264071442857</v>
      </c>
      <c r="F583" s="459">
        <v>0</v>
      </c>
      <c r="G583" s="459">
        <v>0</v>
      </c>
      <c r="H583" s="459"/>
      <c r="I583" s="459"/>
      <c r="J583" s="459"/>
      <c r="K583" s="459"/>
      <c r="L583" s="459"/>
      <c r="M583" s="459"/>
      <c r="N583" s="459">
        <f t="shared" ref="N583:N646" si="32">SUM(C583:M583)</f>
        <v>867.97121595646547</v>
      </c>
    </row>
    <row r="584" spans="1:14">
      <c r="A584" s="446">
        <f t="shared" si="30"/>
        <v>2056</v>
      </c>
      <c r="B584" s="446">
        <f t="shared" si="31"/>
        <v>3</v>
      </c>
      <c r="C584" s="459">
        <v>163.63911903353809</v>
      </c>
      <c r="D584" s="459">
        <v>0</v>
      </c>
      <c r="E584" s="459">
        <v>643.50892696108474</v>
      </c>
      <c r="F584" s="459">
        <v>0</v>
      </c>
      <c r="G584" s="459">
        <v>0</v>
      </c>
      <c r="H584" s="459"/>
      <c r="I584" s="459"/>
      <c r="J584" s="459"/>
      <c r="K584" s="459"/>
      <c r="L584" s="459"/>
      <c r="M584" s="459"/>
      <c r="N584" s="459">
        <f t="shared" si="32"/>
        <v>807.14804599462286</v>
      </c>
    </row>
    <row r="585" spans="1:14">
      <c r="A585" s="446">
        <f t="shared" si="30"/>
        <v>2056</v>
      </c>
      <c r="B585" s="446">
        <f t="shared" si="31"/>
        <v>4</v>
      </c>
      <c r="C585" s="459">
        <v>194.33007314202342</v>
      </c>
      <c r="D585" s="459">
        <v>0</v>
      </c>
      <c r="E585" s="459">
        <v>772.17676758871426</v>
      </c>
      <c r="F585" s="459">
        <v>0</v>
      </c>
      <c r="G585" s="459">
        <v>0</v>
      </c>
      <c r="H585" s="459"/>
      <c r="I585" s="459"/>
      <c r="J585" s="459"/>
      <c r="K585" s="459"/>
      <c r="L585" s="459"/>
      <c r="M585" s="459"/>
      <c r="N585" s="459">
        <f t="shared" si="32"/>
        <v>966.50684073073762</v>
      </c>
    </row>
    <row r="586" spans="1:14">
      <c r="A586" s="446">
        <f t="shared" ref="A586:A649" si="33">A574+1</f>
        <v>2056</v>
      </c>
      <c r="B586" s="446">
        <f t="shared" ref="B586:B649" si="34">B574</f>
        <v>5</v>
      </c>
      <c r="C586" s="459">
        <v>206.57088333848154</v>
      </c>
      <c r="D586" s="459">
        <v>0</v>
      </c>
      <c r="E586" s="459">
        <v>856.02896643329905</v>
      </c>
      <c r="F586" s="459">
        <v>0</v>
      </c>
      <c r="G586" s="459">
        <v>0</v>
      </c>
      <c r="H586" s="459"/>
      <c r="I586" s="459"/>
      <c r="J586" s="459"/>
      <c r="K586" s="459"/>
      <c r="L586" s="459"/>
      <c r="M586" s="459"/>
      <c r="N586" s="459">
        <f t="shared" si="32"/>
        <v>1062.5998497717806</v>
      </c>
    </row>
    <row r="587" spans="1:14">
      <c r="A587" s="446">
        <f t="shared" si="33"/>
        <v>2056</v>
      </c>
      <c r="B587" s="446">
        <f t="shared" si="34"/>
        <v>6</v>
      </c>
      <c r="C587" s="459">
        <v>212.59349943153404</v>
      </c>
      <c r="D587" s="459">
        <v>0</v>
      </c>
      <c r="E587" s="459">
        <v>881.48005401802925</v>
      </c>
      <c r="F587" s="459">
        <v>0</v>
      </c>
      <c r="G587" s="459">
        <v>0</v>
      </c>
      <c r="H587" s="459"/>
      <c r="I587" s="459"/>
      <c r="J587" s="459"/>
      <c r="K587" s="459"/>
      <c r="L587" s="459"/>
      <c r="M587" s="459"/>
      <c r="N587" s="459">
        <f t="shared" si="32"/>
        <v>1094.0735534495634</v>
      </c>
    </row>
    <row r="588" spans="1:14">
      <c r="A588" s="446">
        <f t="shared" si="33"/>
        <v>2056</v>
      </c>
      <c r="B588" s="446">
        <f t="shared" si="34"/>
        <v>7</v>
      </c>
      <c r="C588" s="459">
        <v>230.30616575856649</v>
      </c>
      <c r="D588" s="459">
        <v>0</v>
      </c>
      <c r="E588" s="459">
        <v>934.5891199982359</v>
      </c>
      <c r="F588" s="459">
        <v>0</v>
      </c>
      <c r="G588" s="459">
        <v>0</v>
      </c>
      <c r="H588" s="459"/>
      <c r="I588" s="459"/>
      <c r="J588" s="459"/>
      <c r="K588" s="459"/>
      <c r="L588" s="459"/>
      <c r="M588" s="459"/>
      <c r="N588" s="459">
        <f t="shared" si="32"/>
        <v>1164.8952857568024</v>
      </c>
    </row>
    <row r="589" spans="1:14">
      <c r="A589" s="446">
        <f t="shared" si="33"/>
        <v>2056</v>
      </c>
      <c r="B589" s="446">
        <f t="shared" si="34"/>
        <v>8</v>
      </c>
      <c r="C589" s="459">
        <v>224.64821835954402</v>
      </c>
      <c r="D589" s="459">
        <v>0</v>
      </c>
      <c r="E589" s="459">
        <v>978.43668647515517</v>
      </c>
      <c r="F589" s="459">
        <v>0</v>
      </c>
      <c r="G589" s="459">
        <v>0</v>
      </c>
      <c r="H589" s="459"/>
      <c r="I589" s="459"/>
      <c r="J589" s="459"/>
      <c r="K589" s="459"/>
      <c r="L589" s="459"/>
      <c r="M589" s="459"/>
      <c r="N589" s="459">
        <f t="shared" si="32"/>
        <v>1203.0849048346993</v>
      </c>
    </row>
    <row r="590" spans="1:14">
      <c r="A590" s="446">
        <f t="shared" si="33"/>
        <v>2056</v>
      </c>
      <c r="B590" s="446">
        <f t="shared" si="34"/>
        <v>9</v>
      </c>
      <c r="C590" s="459">
        <v>207.24740786299466</v>
      </c>
      <c r="D590" s="459">
        <v>0</v>
      </c>
      <c r="E590" s="459">
        <v>840.68812871272621</v>
      </c>
      <c r="F590" s="459">
        <v>0</v>
      </c>
      <c r="G590" s="459">
        <v>0</v>
      </c>
      <c r="H590" s="459"/>
      <c r="I590" s="459"/>
      <c r="J590" s="459"/>
      <c r="K590" s="459"/>
      <c r="L590" s="459"/>
      <c r="M590" s="459"/>
      <c r="N590" s="459">
        <f t="shared" si="32"/>
        <v>1047.9355365757208</v>
      </c>
    </row>
    <row r="591" spans="1:14">
      <c r="A591" s="446">
        <f t="shared" si="33"/>
        <v>2056</v>
      </c>
      <c r="B591" s="446">
        <f t="shared" si="34"/>
        <v>10</v>
      </c>
      <c r="C591" s="459">
        <v>198.14534711241845</v>
      </c>
      <c r="D591" s="459">
        <v>0</v>
      </c>
      <c r="E591" s="459">
        <v>809.4870238054657</v>
      </c>
      <c r="F591" s="459">
        <v>0</v>
      </c>
      <c r="G591" s="459">
        <v>0</v>
      </c>
      <c r="H591" s="459"/>
      <c r="I591" s="459"/>
      <c r="J591" s="459"/>
      <c r="K591" s="459"/>
      <c r="L591" s="459"/>
      <c r="M591" s="459"/>
      <c r="N591" s="459">
        <f t="shared" si="32"/>
        <v>1007.6323709178841</v>
      </c>
    </row>
    <row r="592" spans="1:14">
      <c r="A592" s="446">
        <f t="shared" si="33"/>
        <v>2056</v>
      </c>
      <c r="B592" s="446">
        <f t="shared" si="34"/>
        <v>11</v>
      </c>
      <c r="C592" s="459">
        <v>175.78979082431439</v>
      </c>
      <c r="D592" s="459">
        <v>0</v>
      </c>
      <c r="E592" s="459">
        <v>630.65762068711888</v>
      </c>
      <c r="F592" s="459">
        <v>0</v>
      </c>
      <c r="G592" s="459">
        <v>0</v>
      </c>
      <c r="H592" s="459"/>
      <c r="I592" s="459"/>
      <c r="J592" s="459"/>
      <c r="K592" s="459"/>
      <c r="L592" s="459"/>
      <c r="M592" s="459"/>
      <c r="N592" s="459">
        <f t="shared" si="32"/>
        <v>806.4474115114333</v>
      </c>
    </row>
    <row r="593" spans="1:14">
      <c r="A593" s="446">
        <f t="shared" si="33"/>
        <v>2056</v>
      </c>
      <c r="B593" s="446">
        <f t="shared" si="34"/>
        <v>12</v>
      </c>
      <c r="C593" s="459">
        <v>167.55388813687398</v>
      </c>
      <c r="D593" s="459">
        <v>0</v>
      </c>
      <c r="E593" s="459">
        <v>610.09305275138286</v>
      </c>
      <c r="F593" s="459">
        <v>0</v>
      </c>
      <c r="G593" s="459">
        <v>0</v>
      </c>
      <c r="H593" s="459"/>
      <c r="I593" s="459"/>
      <c r="J593" s="459"/>
      <c r="K593" s="459"/>
      <c r="L593" s="459"/>
      <c r="M593" s="459"/>
      <c r="N593" s="459">
        <f t="shared" si="32"/>
        <v>777.64694088825684</v>
      </c>
    </row>
    <row r="594" spans="1:14">
      <c r="A594" s="446">
        <f t="shared" si="33"/>
        <v>2057</v>
      </c>
      <c r="B594" s="446">
        <f t="shared" si="34"/>
        <v>1</v>
      </c>
      <c r="C594" s="459">
        <v>163.588388295219</v>
      </c>
      <c r="D594" s="459">
        <v>0</v>
      </c>
      <c r="E594" s="459">
        <v>775.56234596081322</v>
      </c>
      <c r="F594" s="459">
        <v>0</v>
      </c>
      <c r="G594" s="459">
        <v>0</v>
      </c>
      <c r="H594" s="459"/>
      <c r="I594" s="459"/>
      <c r="J594" s="459"/>
      <c r="K594" s="459"/>
      <c r="L594" s="459"/>
      <c r="M594" s="459"/>
      <c r="N594" s="459">
        <f t="shared" si="32"/>
        <v>939.15073425603225</v>
      </c>
    </row>
    <row r="595" spans="1:14">
      <c r="A595" s="446">
        <f t="shared" si="33"/>
        <v>2057</v>
      </c>
      <c r="B595" s="446">
        <f t="shared" si="34"/>
        <v>2</v>
      </c>
      <c r="C595" s="459">
        <v>174.06391695631979</v>
      </c>
      <c r="D595" s="459">
        <v>0</v>
      </c>
      <c r="E595" s="459">
        <v>696.22802369996839</v>
      </c>
      <c r="F595" s="459">
        <v>0</v>
      </c>
      <c r="G595" s="459">
        <v>0</v>
      </c>
      <c r="H595" s="459"/>
      <c r="I595" s="459"/>
      <c r="J595" s="459"/>
      <c r="K595" s="459"/>
      <c r="L595" s="459"/>
      <c r="M595" s="459"/>
      <c r="N595" s="459">
        <f t="shared" si="32"/>
        <v>870.29194065628815</v>
      </c>
    </row>
    <row r="596" spans="1:14">
      <c r="A596" s="446">
        <f t="shared" si="33"/>
        <v>2057</v>
      </c>
      <c r="B596" s="446">
        <f t="shared" si="34"/>
        <v>3</v>
      </c>
      <c r="C596" s="459">
        <v>165.18152035459045</v>
      </c>
      <c r="D596" s="459">
        <v>0</v>
      </c>
      <c r="E596" s="459">
        <v>644.21814240017864</v>
      </c>
      <c r="F596" s="459">
        <v>0</v>
      </c>
      <c r="G596" s="459">
        <v>0</v>
      </c>
      <c r="H596" s="459"/>
      <c r="I596" s="459"/>
      <c r="J596" s="459"/>
      <c r="K596" s="459"/>
      <c r="L596" s="459"/>
      <c r="M596" s="459"/>
      <c r="N596" s="459">
        <f t="shared" si="32"/>
        <v>809.39966275476911</v>
      </c>
    </row>
    <row r="597" spans="1:14">
      <c r="A597" s="446">
        <f t="shared" si="33"/>
        <v>2057</v>
      </c>
      <c r="B597" s="446">
        <f t="shared" si="34"/>
        <v>4</v>
      </c>
      <c r="C597" s="459">
        <v>196.16175595298395</v>
      </c>
      <c r="D597" s="459">
        <v>0</v>
      </c>
      <c r="E597" s="459">
        <v>777.05734855355377</v>
      </c>
      <c r="F597" s="459">
        <v>0</v>
      </c>
      <c r="G597" s="459">
        <v>0</v>
      </c>
      <c r="H597" s="459"/>
      <c r="I597" s="459"/>
      <c r="J597" s="459"/>
      <c r="K597" s="459"/>
      <c r="L597" s="459"/>
      <c r="M597" s="459"/>
      <c r="N597" s="459">
        <f t="shared" si="32"/>
        <v>973.21910450653775</v>
      </c>
    </row>
    <row r="598" spans="1:14">
      <c r="A598" s="446">
        <f t="shared" si="33"/>
        <v>2057</v>
      </c>
      <c r="B598" s="446">
        <f t="shared" si="34"/>
        <v>5</v>
      </c>
      <c r="C598" s="459">
        <v>208.51794346220979</v>
      </c>
      <c r="D598" s="459">
        <v>0</v>
      </c>
      <c r="E598" s="459">
        <v>860.45971464242666</v>
      </c>
      <c r="F598" s="459">
        <v>0</v>
      </c>
      <c r="G598" s="459">
        <v>0</v>
      </c>
      <c r="H598" s="459"/>
      <c r="I598" s="459"/>
      <c r="J598" s="459"/>
      <c r="K598" s="459"/>
      <c r="L598" s="459"/>
      <c r="M598" s="459"/>
      <c r="N598" s="459">
        <f t="shared" si="32"/>
        <v>1068.9776581046365</v>
      </c>
    </row>
    <row r="599" spans="1:14">
      <c r="A599" s="446">
        <f t="shared" si="33"/>
        <v>2057</v>
      </c>
      <c r="B599" s="446">
        <f t="shared" si="34"/>
        <v>6</v>
      </c>
      <c r="C599" s="459">
        <v>214.59732648894533</v>
      </c>
      <c r="D599" s="459">
        <v>0</v>
      </c>
      <c r="E599" s="459">
        <v>884.58433817925868</v>
      </c>
      <c r="F599" s="459">
        <v>0</v>
      </c>
      <c r="G599" s="459">
        <v>0</v>
      </c>
      <c r="H599" s="459"/>
      <c r="I599" s="459"/>
      <c r="J599" s="459"/>
      <c r="K599" s="459"/>
      <c r="L599" s="459"/>
      <c r="M599" s="459"/>
      <c r="N599" s="459">
        <f t="shared" si="32"/>
        <v>1099.1816646682041</v>
      </c>
    </row>
    <row r="600" spans="1:14">
      <c r="A600" s="446">
        <f t="shared" si="33"/>
        <v>2057</v>
      </c>
      <c r="B600" s="446">
        <f t="shared" si="34"/>
        <v>7</v>
      </c>
      <c r="C600" s="459">
        <v>232.47737304299557</v>
      </c>
      <c r="D600" s="459">
        <v>0</v>
      </c>
      <c r="E600" s="459">
        <v>939.90450419942192</v>
      </c>
      <c r="F600" s="459">
        <v>0</v>
      </c>
      <c r="G600" s="459">
        <v>0</v>
      </c>
      <c r="H600" s="459"/>
      <c r="I600" s="459"/>
      <c r="J600" s="459"/>
      <c r="K600" s="459"/>
      <c r="L600" s="459"/>
      <c r="M600" s="459"/>
      <c r="N600" s="459">
        <f t="shared" si="32"/>
        <v>1172.3818772424174</v>
      </c>
    </row>
    <row r="601" spans="1:14">
      <c r="A601" s="446">
        <f t="shared" si="33"/>
        <v>2057</v>
      </c>
      <c r="B601" s="446">
        <f t="shared" si="34"/>
        <v>8</v>
      </c>
      <c r="C601" s="459">
        <v>226.76566870281306</v>
      </c>
      <c r="D601" s="459">
        <v>0</v>
      </c>
      <c r="E601" s="459">
        <v>984.02701086051047</v>
      </c>
      <c r="F601" s="459">
        <v>0</v>
      </c>
      <c r="G601" s="459">
        <v>0</v>
      </c>
      <c r="H601" s="459"/>
      <c r="I601" s="459"/>
      <c r="J601" s="459"/>
      <c r="K601" s="459"/>
      <c r="L601" s="459"/>
      <c r="M601" s="459"/>
      <c r="N601" s="459">
        <f t="shared" si="32"/>
        <v>1210.7926795633234</v>
      </c>
    </row>
    <row r="602" spans="1:14">
      <c r="A602" s="446">
        <f t="shared" si="33"/>
        <v>2057</v>
      </c>
      <c r="B602" s="446">
        <f t="shared" si="34"/>
        <v>9</v>
      </c>
      <c r="C602" s="459">
        <v>209.20084465464021</v>
      </c>
      <c r="D602" s="459">
        <v>0</v>
      </c>
      <c r="E602" s="459">
        <v>845.50297365668371</v>
      </c>
      <c r="F602" s="459">
        <v>0</v>
      </c>
      <c r="G602" s="459">
        <v>0</v>
      </c>
      <c r="H602" s="459"/>
      <c r="I602" s="459"/>
      <c r="J602" s="459"/>
      <c r="K602" s="459"/>
      <c r="L602" s="459"/>
      <c r="M602" s="459"/>
      <c r="N602" s="459">
        <f t="shared" si="32"/>
        <v>1054.7038183113239</v>
      </c>
    </row>
    <row r="603" spans="1:14">
      <c r="A603" s="446">
        <f t="shared" si="33"/>
        <v>2057</v>
      </c>
      <c r="B603" s="446">
        <f t="shared" si="34"/>
        <v>10</v>
      </c>
      <c r="C603" s="459">
        <v>200.01299127324984</v>
      </c>
      <c r="D603" s="459">
        <v>0</v>
      </c>
      <c r="E603" s="459">
        <v>812.25213761963209</v>
      </c>
      <c r="F603" s="459">
        <v>0</v>
      </c>
      <c r="G603" s="459">
        <v>0</v>
      </c>
      <c r="H603" s="459"/>
      <c r="I603" s="459"/>
      <c r="J603" s="459"/>
      <c r="K603" s="459"/>
      <c r="L603" s="459"/>
      <c r="M603" s="459"/>
      <c r="N603" s="459">
        <f t="shared" si="32"/>
        <v>1012.2651288928819</v>
      </c>
    </row>
    <row r="604" spans="1:14">
      <c r="A604" s="446">
        <f t="shared" si="33"/>
        <v>2057</v>
      </c>
      <c r="B604" s="446">
        <f t="shared" si="34"/>
        <v>11</v>
      </c>
      <c r="C604" s="459">
        <v>177.44671984713176</v>
      </c>
      <c r="D604" s="459">
        <v>0</v>
      </c>
      <c r="E604" s="459">
        <v>631.9537713068969</v>
      </c>
      <c r="F604" s="459">
        <v>0</v>
      </c>
      <c r="G604" s="459">
        <v>0</v>
      </c>
      <c r="H604" s="459"/>
      <c r="I604" s="459"/>
      <c r="J604" s="459"/>
      <c r="K604" s="459"/>
      <c r="L604" s="459"/>
      <c r="M604" s="459"/>
      <c r="N604" s="459">
        <f t="shared" si="32"/>
        <v>809.40049115402871</v>
      </c>
    </row>
    <row r="605" spans="1:14">
      <c r="A605" s="446">
        <f t="shared" si="33"/>
        <v>2057</v>
      </c>
      <c r="B605" s="446">
        <f t="shared" si="34"/>
        <v>12</v>
      </c>
      <c r="C605" s="459">
        <v>169.13318861182216</v>
      </c>
      <c r="D605" s="459">
        <v>0</v>
      </c>
      <c r="E605" s="459">
        <v>611.79746935976812</v>
      </c>
      <c r="F605" s="459">
        <v>0</v>
      </c>
      <c r="G605" s="459">
        <v>0</v>
      </c>
      <c r="H605" s="459"/>
      <c r="I605" s="459"/>
      <c r="J605" s="459"/>
      <c r="K605" s="459"/>
      <c r="L605" s="459"/>
      <c r="M605" s="459"/>
      <c r="N605" s="459">
        <f t="shared" si="32"/>
        <v>780.93065797159034</v>
      </c>
    </row>
    <row r="606" spans="1:14">
      <c r="A606" s="446">
        <f t="shared" si="33"/>
        <v>2058</v>
      </c>
      <c r="B606" s="446">
        <f t="shared" si="34"/>
        <v>1</v>
      </c>
      <c r="C606" s="459">
        <v>165.13031144724755</v>
      </c>
      <c r="D606" s="459">
        <v>0</v>
      </c>
      <c r="E606" s="459">
        <v>776.33787749062219</v>
      </c>
      <c r="F606" s="459">
        <v>0</v>
      </c>
      <c r="G606" s="459">
        <v>0</v>
      </c>
      <c r="H606" s="459"/>
      <c r="I606" s="459"/>
      <c r="J606" s="459"/>
      <c r="K606" s="459"/>
      <c r="L606" s="459"/>
      <c r="M606" s="459"/>
      <c r="N606" s="459">
        <f t="shared" si="32"/>
        <v>941.46818893786974</v>
      </c>
    </row>
    <row r="607" spans="1:14">
      <c r="A607" s="446">
        <f t="shared" si="33"/>
        <v>2058</v>
      </c>
      <c r="B607" s="446">
        <f t="shared" si="34"/>
        <v>2</v>
      </c>
      <c r="C607" s="459">
        <v>175.70457853557187</v>
      </c>
      <c r="D607" s="459">
        <v>0</v>
      </c>
      <c r="E607" s="459">
        <v>696.92410191887075</v>
      </c>
      <c r="F607" s="459">
        <v>0</v>
      </c>
      <c r="G607" s="459">
        <v>0</v>
      </c>
      <c r="H607" s="459"/>
      <c r="I607" s="459"/>
      <c r="J607" s="459"/>
      <c r="K607" s="459"/>
      <c r="L607" s="459"/>
      <c r="M607" s="459"/>
      <c r="N607" s="459">
        <f t="shared" si="32"/>
        <v>872.62868045444259</v>
      </c>
    </row>
    <row r="608" spans="1:14">
      <c r="A608" s="446">
        <f t="shared" si="33"/>
        <v>2058</v>
      </c>
      <c r="B608" s="446">
        <f t="shared" si="34"/>
        <v>3</v>
      </c>
      <c r="C608" s="459">
        <v>166.73845977539082</v>
      </c>
      <c r="D608" s="459">
        <v>0</v>
      </c>
      <c r="E608" s="459">
        <v>644.92813947029265</v>
      </c>
      <c r="F608" s="459">
        <v>0</v>
      </c>
      <c r="G608" s="459">
        <v>0</v>
      </c>
      <c r="H608" s="459"/>
      <c r="I608" s="459"/>
      <c r="J608" s="459"/>
      <c r="K608" s="459"/>
      <c r="L608" s="459"/>
      <c r="M608" s="459"/>
      <c r="N608" s="459">
        <f t="shared" si="32"/>
        <v>811.66659924568353</v>
      </c>
    </row>
    <row r="609" spans="1:14">
      <c r="A609" s="446">
        <f t="shared" si="33"/>
        <v>2058</v>
      </c>
      <c r="B609" s="446">
        <f t="shared" si="34"/>
        <v>4</v>
      </c>
      <c r="C609" s="459">
        <v>198.01070352315404</v>
      </c>
      <c r="D609" s="459">
        <v>0</v>
      </c>
      <c r="E609" s="459">
        <v>781.96877746869973</v>
      </c>
      <c r="F609" s="459">
        <v>0</v>
      </c>
      <c r="G609" s="459">
        <v>0</v>
      </c>
      <c r="H609" s="459"/>
      <c r="I609" s="459"/>
      <c r="J609" s="459"/>
      <c r="K609" s="459"/>
      <c r="L609" s="459"/>
      <c r="M609" s="459"/>
      <c r="N609" s="459">
        <f t="shared" si="32"/>
        <v>979.97948099185373</v>
      </c>
    </row>
    <row r="610" spans="1:14">
      <c r="A610" s="446">
        <f t="shared" si="33"/>
        <v>2058</v>
      </c>
      <c r="B610" s="446">
        <f t="shared" si="34"/>
        <v>5</v>
      </c>
      <c r="C610" s="459">
        <v>210.4833558486778</v>
      </c>
      <c r="D610" s="459">
        <v>0</v>
      </c>
      <c r="E610" s="459">
        <v>864.91339610552416</v>
      </c>
      <c r="F610" s="459">
        <v>0</v>
      </c>
      <c r="G610" s="459">
        <v>0</v>
      </c>
      <c r="H610" s="459"/>
      <c r="I610" s="459"/>
      <c r="J610" s="459"/>
      <c r="K610" s="459"/>
      <c r="L610" s="459"/>
      <c r="M610" s="459"/>
      <c r="N610" s="459">
        <f t="shared" si="32"/>
        <v>1075.396751954202</v>
      </c>
    </row>
    <row r="611" spans="1:14">
      <c r="A611" s="446">
        <f t="shared" si="33"/>
        <v>2058</v>
      </c>
      <c r="B611" s="446">
        <f t="shared" si="34"/>
        <v>6</v>
      </c>
      <c r="C611" s="459">
        <v>216.62004087304697</v>
      </c>
      <c r="D611" s="459">
        <v>0</v>
      </c>
      <c r="E611" s="459">
        <v>887.69955461298809</v>
      </c>
      <c r="F611" s="459">
        <v>0</v>
      </c>
      <c r="G611" s="459">
        <v>0</v>
      </c>
      <c r="H611" s="459"/>
      <c r="I611" s="459"/>
      <c r="J611" s="459"/>
      <c r="K611" s="459"/>
      <c r="L611" s="459"/>
      <c r="M611" s="459"/>
      <c r="N611" s="459">
        <f t="shared" si="32"/>
        <v>1104.319595486035</v>
      </c>
    </row>
    <row r="612" spans="1:14">
      <c r="A612" s="446">
        <f t="shared" si="33"/>
        <v>2058</v>
      </c>
      <c r="B612" s="446">
        <f t="shared" si="34"/>
        <v>7</v>
      </c>
      <c r="C612" s="459">
        <v>234.66904934550948</v>
      </c>
      <c r="D612" s="459">
        <v>0</v>
      </c>
      <c r="E612" s="459">
        <v>945.25011912831656</v>
      </c>
      <c r="F612" s="459">
        <v>0</v>
      </c>
      <c r="G612" s="459">
        <v>0</v>
      </c>
      <c r="H612" s="459"/>
      <c r="I612" s="459"/>
      <c r="J612" s="459"/>
      <c r="K612" s="459"/>
      <c r="L612" s="459"/>
      <c r="M612" s="459"/>
      <c r="N612" s="459">
        <f t="shared" si="32"/>
        <v>1179.9191684738259</v>
      </c>
    </row>
    <row r="613" spans="1:14">
      <c r="A613" s="446">
        <f t="shared" si="33"/>
        <v>2058</v>
      </c>
      <c r="B613" s="446">
        <f t="shared" si="34"/>
        <v>8</v>
      </c>
      <c r="C613" s="459">
        <v>228.90307734349906</v>
      </c>
      <c r="D613" s="459">
        <v>0</v>
      </c>
      <c r="E613" s="459">
        <v>989.64927571494832</v>
      </c>
      <c r="F613" s="459">
        <v>0</v>
      </c>
      <c r="G613" s="459">
        <v>0</v>
      </c>
      <c r="H613" s="459"/>
      <c r="I613" s="459"/>
      <c r="J613" s="459"/>
      <c r="K613" s="459"/>
      <c r="L613" s="459"/>
      <c r="M613" s="459"/>
      <c r="N613" s="459">
        <f t="shared" si="32"/>
        <v>1218.5523530584474</v>
      </c>
    </row>
    <row r="614" spans="1:14">
      <c r="A614" s="446">
        <f t="shared" si="33"/>
        <v>2058</v>
      </c>
      <c r="B614" s="446">
        <f t="shared" si="34"/>
        <v>9</v>
      </c>
      <c r="C614" s="459">
        <v>211.17269381311968</v>
      </c>
      <c r="D614" s="459">
        <v>0</v>
      </c>
      <c r="E614" s="459">
        <v>850.34539450071941</v>
      </c>
      <c r="F614" s="459">
        <v>0</v>
      </c>
      <c r="G614" s="459">
        <v>0</v>
      </c>
      <c r="H614" s="459"/>
      <c r="I614" s="459"/>
      <c r="J614" s="459"/>
      <c r="K614" s="459"/>
      <c r="L614" s="459"/>
      <c r="M614" s="459"/>
      <c r="N614" s="459">
        <f t="shared" si="32"/>
        <v>1061.5180883138391</v>
      </c>
    </row>
    <row r="615" spans="1:14">
      <c r="A615" s="446">
        <f t="shared" si="33"/>
        <v>2058</v>
      </c>
      <c r="B615" s="446">
        <f t="shared" si="34"/>
        <v>10</v>
      </c>
      <c r="C615" s="459">
        <v>201.89823915156595</v>
      </c>
      <c r="D615" s="459">
        <v>0</v>
      </c>
      <c r="E615" s="459">
        <v>815.02669674197557</v>
      </c>
      <c r="F615" s="459">
        <v>0</v>
      </c>
      <c r="G615" s="459">
        <v>0</v>
      </c>
      <c r="H615" s="459"/>
      <c r="I615" s="459"/>
      <c r="J615" s="459"/>
      <c r="K615" s="459"/>
      <c r="L615" s="459"/>
      <c r="M615" s="459"/>
      <c r="N615" s="459">
        <f t="shared" si="32"/>
        <v>1016.9249358935415</v>
      </c>
    </row>
    <row r="616" spans="1:14">
      <c r="A616" s="446">
        <f t="shared" si="33"/>
        <v>2058</v>
      </c>
      <c r="B616" s="446">
        <f t="shared" si="34"/>
        <v>11</v>
      </c>
      <c r="C616" s="459">
        <v>179.11926646511083</v>
      </c>
      <c r="D616" s="459">
        <v>0</v>
      </c>
      <c r="E616" s="459">
        <v>633.25258582285892</v>
      </c>
      <c r="F616" s="459">
        <v>0</v>
      </c>
      <c r="G616" s="459">
        <v>0</v>
      </c>
      <c r="H616" s="459"/>
      <c r="I616" s="459"/>
      <c r="J616" s="459"/>
      <c r="K616" s="459"/>
      <c r="L616" s="459"/>
      <c r="M616" s="459"/>
      <c r="N616" s="459">
        <f t="shared" si="32"/>
        <v>812.37185228796977</v>
      </c>
    </row>
    <row r="617" spans="1:14">
      <c r="A617" s="446">
        <f t="shared" si="33"/>
        <v>2058</v>
      </c>
      <c r="B617" s="446">
        <f t="shared" si="34"/>
        <v>12</v>
      </c>
      <c r="C617" s="459">
        <v>170.72737498418465</v>
      </c>
      <c r="D617" s="459">
        <v>0</v>
      </c>
      <c r="E617" s="459">
        <v>613.50664759584583</v>
      </c>
      <c r="F617" s="459">
        <v>0</v>
      </c>
      <c r="G617" s="459">
        <v>0</v>
      </c>
      <c r="H617" s="459"/>
      <c r="I617" s="459"/>
      <c r="J617" s="459"/>
      <c r="K617" s="459"/>
      <c r="L617" s="459"/>
      <c r="M617" s="459"/>
      <c r="N617" s="459">
        <f t="shared" si="32"/>
        <v>784.23402258003046</v>
      </c>
    </row>
    <row r="618" spans="1:14">
      <c r="A618" s="446">
        <f t="shared" si="33"/>
        <v>2059</v>
      </c>
      <c r="B618" s="446">
        <f t="shared" si="34"/>
        <v>1</v>
      </c>
      <c r="C618" s="459">
        <v>166.68676819198117</v>
      </c>
      <c r="D618" s="459">
        <v>0</v>
      </c>
      <c r="E618" s="459">
        <v>777.11418452114606</v>
      </c>
      <c r="F618" s="459">
        <v>0</v>
      </c>
      <c r="G618" s="459">
        <v>0</v>
      </c>
      <c r="H618" s="459"/>
      <c r="I618" s="459"/>
      <c r="J618" s="459"/>
      <c r="K618" s="459"/>
      <c r="L618" s="459"/>
      <c r="M618" s="459"/>
      <c r="N618" s="459">
        <f t="shared" si="32"/>
        <v>943.80095271312723</v>
      </c>
    </row>
    <row r="619" spans="1:14">
      <c r="A619" s="446">
        <f t="shared" si="33"/>
        <v>2059</v>
      </c>
      <c r="B619" s="446">
        <f t="shared" si="34"/>
        <v>2</v>
      </c>
      <c r="C619" s="459">
        <v>177.36070437912812</v>
      </c>
      <c r="D619" s="459">
        <v>0</v>
      </c>
      <c r="E619" s="459">
        <v>697.62087606621935</v>
      </c>
      <c r="F619" s="459">
        <v>0</v>
      </c>
      <c r="G619" s="459">
        <v>0</v>
      </c>
      <c r="H619" s="459"/>
      <c r="I619" s="459"/>
      <c r="J619" s="459"/>
      <c r="K619" s="459"/>
      <c r="L619" s="459"/>
      <c r="M619" s="459"/>
      <c r="N619" s="459">
        <f t="shared" si="32"/>
        <v>874.9815804453475</v>
      </c>
    </row>
    <row r="620" spans="1:14">
      <c r="A620" s="446">
        <f t="shared" si="33"/>
        <v>2059</v>
      </c>
      <c r="B620" s="446">
        <f t="shared" si="34"/>
        <v>3</v>
      </c>
      <c r="C620" s="459">
        <v>168.31007432664668</v>
      </c>
      <c r="D620" s="459">
        <v>0</v>
      </c>
      <c r="E620" s="459">
        <v>645.63891903286742</v>
      </c>
      <c r="F620" s="459">
        <v>0</v>
      </c>
      <c r="G620" s="459">
        <v>0</v>
      </c>
      <c r="H620" s="459"/>
      <c r="I620" s="459"/>
      <c r="J620" s="459"/>
      <c r="K620" s="459"/>
      <c r="L620" s="459"/>
      <c r="M620" s="459"/>
      <c r="N620" s="459">
        <f t="shared" si="32"/>
        <v>813.94899335951413</v>
      </c>
    </row>
    <row r="621" spans="1:14">
      <c r="A621" s="446">
        <f t="shared" si="33"/>
        <v>2059</v>
      </c>
      <c r="B621" s="446">
        <f t="shared" si="34"/>
        <v>4</v>
      </c>
      <c r="C621" s="459">
        <v>199.87707858371655</v>
      </c>
      <c r="D621" s="459">
        <v>0</v>
      </c>
      <c r="E621" s="459">
        <v>786.91124931012826</v>
      </c>
      <c r="F621" s="459">
        <v>0</v>
      </c>
      <c r="G621" s="459">
        <v>0</v>
      </c>
      <c r="H621" s="459"/>
      <c r="I621" s="459"/>
      <c r="J621" s="459"/>
      <c r="K621" s="459"/>
      <c r="L621" s="459"/>
      <c r="M621" s="459"/>
      <c r="N621" s="459">
        <f t="shared" si="32"/>
        <v>986.78832789384478</v>
      </c>
    </row>
    <row r="622" spans="1:14">
      <c r="A622" s="446">
        <f t="shared" si="33"/>
        <v>2059</v>
      </c>
      <c r="B622" s="446">
        <f t="shared" si="34"/>
        <v>5</v>
      </c>
      <c r="C622" s="459">
        <v>212.46729347947129</v>
      </c>
      <c r="D622" s="459">
        <v>0</v>
      </c>
      <c r="E622" s="459">
        <v>869.39012952356757</v>
      </c>
      <c r="F622" s="459">
        <v>0</v>
      </c>
      <c r="G622" s="459">
        <v>0</v>
      </c>
      <c r="H622" s="459"/>
      <c r="I622" s="459"/>
      <c r="J622" s="459"/>
      <c r="K622" s="459"/>
      <c r="L622" s="459"/>
      <c r="M622" s="459"/>
      <c r="N622" s="459">
        <f t="shared" si="32"/>
        <v>1081.8574230030388</v>
      </c>
    </row>
    <row r="623" spans="1:14">
      <c r="A623" s="446">
        <f t="shared" si="33"/>
        <v>2059</v>
      </c>
      <c r="B623" s="446">
        <f t="shared" si="34"/>
        <v>6</v>
      </c>
      <c r="C623" s="459">
        <v>218.66182060873803</v>
      </c>
      <c r="D623" s="459">
        <v>0</v>
      </c>
      <c r="E623" s="459">
        <v>890.82574181910184</v>
      </c>
      <c r="F623" s="459">
        <v>0</v>
      </c>
      <c r="G623" s="459">
        <v>0</v>
      </c>
      <c r="H623" s="459"/>
      <c r="I623" s="459"/>
      <c r="J623" s="459"/>
      <c r="K623" s="459"/>
      <c r="L623" s="459"/>
      <c r="M623" s="459"/>
      <c r="N623" s="459">
        <f t="shared" si="32"/>
        <v>1109.4875624278397</v>
      </c>
    </row>
    <row r="624" spans="1:14">
      <c r="A624" s="446">
        <f t="shared" si="33"/>
        <v>2059</v>
      </c>
      <c r="B624" s="446">
        <f t="shared" si="34"/>
        <v>7</v>
      </c>
      <c r="C624" s="459">
        <v>236.88138763741239</v>
      </c>
      <c r="D624" s="459">
        <v>0</v>
      </c>
      <c r="E624" s="459">
        <v>950.62613671922691</v>
      </c>
      <c r="F624" s="459">
        <v>0</v>
      </c>
      <c r="G624" s="459">
        <v>0</v>
      </c>
      <c r="H624" s="459"/>
      <c r="I624" s="459"/>
      <c r="J624" s="459"/>
      <c r="K624" s="459"/>
      <c r="L624" s="459"/>
      <c r="M624" s="459"/>
      <c r="N624" s="459">
        <f t="shared" si="32"/>
        <v>1187.5075243566394</v>
      </c>
    </row>
    <row r="625" spans="1:14">
      <c r="A625" s="446">
        <f t="shared" si="33"/>
        <v>2059</v>
      </c>
      <c r="B625" s="446">
        <f t="shared" si="34"/>
        <v>8</v>
      </c>
      <c r="C625" s="459">
        <v>231.06063240107176</v>
      </c>
      <c r="D625" s="459">
        <v>0</v>
      </c>
      <c r="E625" s="459">
        <v>995.30366353119985</v>
      </c>
      <c r="F625" s="459">
        <v>0</v>
      </c>
      <c r="G625" s="459">
        <v>0</v>
      </c>
      <c r="H625" s="459"/>
      <c r="I625" s="459"/>
      <c r="J625" s="459"/>
      <c r="K625" s="459"/>
      <c r="L625" s="459"/>
      <c r="M625" s="459"/>
      <c r="N625" s="459">
        <f t="shared" si="32"/>
        <v>1226.3642959322715</v>
      </c>
    </row>
    <row r="626" spans="1:14">
      <c r="A626" s="446">
        <f t="shared" si="33"/>
        <v>2059</v>
      </c>
      <c r="B626" s="446">
        <f t="shared" si="34"/>
        <v>9</v>
      </c>
      <c r="C626" s="459">
        <v>213.16312888653758</v>
      </c>
      <c r="D626" s="459">
        <v>0</v>
      </c>
      <c r="E626" s="459">
        <v>855.2155491793618</v>
      </c>
      <c r="F626" s="459">
        <v>0</v>
      </c>
      <c r="G626" s="459">
        <v>0</v>
      </c>
      <c r="H626" s="459"/>
      <c r="I626" s="459"/>
      <c r="J626" s="459"/>
      <c r="K626" s="459"/>
      <c r="L626" s="459"/>
      <c r="M626" s="459"/>
      <c r="N626" s="459">
        <f t="shared" si="32"/>
        <v>1068.3786780658993</v>
      </c>
    </row>
    <row r="627" spans="1:14">
      <c r="A627" s="446">
        <f t="shared" si="33"/>
        <v>2059</v>
      </c>
      <c r="B627" s="446">
        <f t="shared" si="34"/>
        <v>10</v>
      </c>
      <c r="C627" s="459">
        <v>203.8012566734441</v>
      </c>
      <c r="D627" s="459">
        <v>0</v>
      </c>
      <c r="E627" s="459">
        <v>817.81073343657386</v>
      </c>
      <c r="F627" s="459">
        <v>0</v>
      </c>
      <c r="G627" s="459">
        <v>0</v>
      </c>
      <c r="H627" s="459"/>
      <c r="I627" s="459"/>
      <c r="J627" s="459"/>
      <c r="K627" s="459"/>
      <c r="L627" s="459"/>
      <c r="M627" s="459"/>
      <c r="N627" s="459">
        <f t="shared" si="32"/>
        <v>1021.6119901100179</v>
      </c>
    </row>
    <row r="628" spans="1:14">
      <c r="A628" s="446">
        <f t="shared" si="33"/>
        <v>2059</v>
      </c>
      <c r="B628" s="446">
        <f t="shared" si="34"/>
        <v>11</v>
      </c>
      <c r="C628" s="459">
        <v>180.80757788388041</v>
      </c>
      <c r="D628" s="459">
        <v>0</v>
      </c>
      <c r="E628" s="459">
        <v>634.55406970994181</v>
      </c>
      <c r="F628" s="459">
        <v>0</v>
      </c>
      <c r="G628" s="459">
        <v>0</v>
      </c>
      <c r="H628" s="459"/>
      <c r="I628" s="459"/>
      <c r="J628" s="459"/>
      <c r="K628" s="459"/>
      <c r="L628" s="459"/>
      <c r="M628" s="459"/>
      <c r="N628" s="459">
        <f t="shared" si="32"/>
        <v>815.36164759382223</v>
      </c>
    </row>
    <row r="629" spans="1:14">
      <c r="A629" s="446">
        <f t="shared" si="33"/>
        <v>2059</v>
      </c>
      <c r="B629" s="446">
        <f t="shared" si="34"/>
        <v>12</v>
      </c>
      <c r="C629" s="459">
        <v>172.33658756288003</v>
      </c>
      <c r="D629" s="459">
        <v>0</v>
      </c>
      <c r="E629" s="459">
        <v>615.22060076217247</v>
      </c>
      <c r="F629" s="459">
        <v>0</v>
      </c>
      <c r="G629" s="459">
        <v>0</v>
      </c>
      <c r="H629" s="459"/>
      <c r="I629" s="459"/>
      <c r="J629" s="459"/>
      <c r="K629" s="459"/>
      <c r="L629" s="459"/>
      <c r="M629" s="459"/>
      <c r="N629" s="459">
        <f t="shared" si="32"/>
        <v>787.55718832505249</v>
      </c>
    </row>
    <row r="630" spans="1:14">
      <c r="A630" s="446">
        <f t="shared" si="33"/>
        <v>2060</v>
      </c>
      <c r="B630" s="446">
        <f t="shared" si="34"/>
        <v>1</v>
      </c>
      <c r="C630" s="459">
        <v>168.25789551764566</v>
      </c>
      <c r="D630" s="459">
        <v>0</v>
      </c>
      <c r="E630" s="459">
        <v>777.89126782785468</v>
      </c>
      <c r="F630" s="459">
        <v>0</v>
      </c>
      <c r="G630" s="459">
        <v>0</v>
      </c>
      <c r="H630" s="459"/>
      <c r="I630" s="459"/>
      <c r="J630" s="459"/>
      <c r="K630" s="459"/>
      <c r="L630" s="459"/>
      <c r="M630" s="459"/>
      <c r="N630" s="459">
        <f t="shared" si="32"/>
        <v>946.14916334550037</v>
      </c>
    </row>
    <row r="631" spans="1:14">
      <c r="A631" s="446">
        <f t="shared" si="33"/>
        <v>2060</v>
      </c>
      <c r="B631" s="446">
        <f t="shared" si="34"/>
        <v>2</v>
      </c>
      <c r="C631" s="459">
        <v>179.03244024737785</v>
      </c>
      <c r="D631" s="459">
        <v>0</v>
      </c>
      <c r="E631" s="459">
        <v>698.31834683779311</v>
      </c>
      <c r="F631" s="459">
        <v>0</v>
      </c>
      <c r="G631" s="459">
        <v>0</v>
      </c>
      <c r="H631" s="459"/>
      <c r="I631" s="459"/>
      <c r="J631" s="459"/>
      <c r="K631" s="459"/>
      <c r="L631" s="459"/>
      <c r="M631" s="459"/>
      <c r="N631" s="459">
        <f t="shared" si="32"/>
        <v>877.35078708517096</v>
      </c>
    </row>
    <row r="632" spans="1:14">
      <c r="A632" s="446">
        <f t="shared" si="33"/>
        <v>2060</v>
      </c>
      <c r="B632" s="446">
        <f t="shared" si="34"/>
        <v>3</v>
      </c>
      <c r="C632" s="459">
        <v>169.89650233066592</v>
      </c>
      <c r="D632" s="459">
        <v>0</v>
      </c>
      <c r="E632" s="459">
        <v>646.35048195029322</v>
      </c>
      <c r="F632" s="459">
        <v>0</v>
      </c>
      <c r="G632" s="459">
        <v>0</v>
      </c>
      <c r="H632" s="459"/>
      <c r="I632" s="459"/>
      <c r="J632" s="459"/>
      <c r="K632" s="459"/>
      <c r="L632" s="459"/>
      <c r="M632" s="459"/>
      <c r="N632" s="459">
        <f t="shared" si="32"/>
        <v>816.24698428095917</v>
      </c>
    </row>
    <row r="633" spans="1:14">
      <c r="A633" s="446">
        <f t="shared" si="33"/>
        <v>2060</v>
      </c>
      <c r="B633" s="446">
        <f t="shared" si="34"/>
        <v>4</v>
      </c>
      <c r="C633" s="459">
        <v>201.76104539969791</v>
      </c>
      <c r="D633" s="459">
        <v>0</v>
      </c>
      <c r="E633" s="459">
        <v>791.88496028617078</v>
      </c>
      <c r="F633" s="459">
        <v>0</v>
      </c>
      <c r="G633" s="459">
        <v>0</v>
      </c>
      <c r="H633" s="459"/>
      <c r="I633" s="459"/>
      <c r="J633" s="459"/>
      <c r="K633" s="459"/>
      <c r="L633" s="459"/>
      <c r="M633" s="459"/>
      <c r="N633" s="459">
        <f t="shared" si="32"/>
        <v>993.64600568586866</v>
      </c>
    </row>
    <row r="634" spans="1:14">
      <c r="A634" s="446">
        <f t="shared" si="33"/>
        <v>2060</v>
      </c>
      <c r="B634" s="446">
        <f t="shared" si="34"/>
        <v>5</v>
      </c>
      <c r="C634" s="459">
        <v>214.4699309666359</v>
      </c>
      <c r="D634" s="459">
        <v>0</v>
      </c>
      <c r="E634" s="459">
        <v>873.89003421192137</v>
      </c>
      <c r="F634" s="459">
        <v>0</v>
      </c>
      <c r="G634" s="459">
        <v>0</v>
      </c>
      <c r="H634" s="459"/>
      <c r="I634" s="459"/>
      <c r="J634" s="459"/>
      <c r="K634" s="459"/>
      <c r="L634" s="459"/>
      <c r="M634" s="459"/>
      <c r="N634" s="459">
        <f t="shared" si="32"/>
        <v>1088.3599651785573</v>
      </c>
    </row>
    <row r="635" spans="1:14">
      <c r="A635" s="446">
        <f t="shared" si="33"/>
        <v>2060</v>
      </c>
      <c r="B635" s="446">
        <f t="shared" si="34"/>
        <v>6</v>
      </c>
      <c r="C635" s="459">
        <v>220.72284539891376</v>
      </c>
      <c r="D635" s="459">
        <v>0</v>
      </c>
      <c r="E635" s="459">
        <v>893.96293843306853</v>
      </c>
      <c r="F635" s="459">
        <v>0</v>
      </c>
      <c r="G635" s="459">
        <v>0</v>
      </c>
      <c r="H635" s="459"/>
      <c r="I635" s="459"/>
      <c r="J635" s="459"/>
      <c r="K635" s="459"/>
      <c r="L635" s="459"/>
      <c r="M635" s="459"/>
      <c r="N635" s="459">
        <f t="shared" si="32"/>
        <v>1114.6857838319822</v>
      </c>
    </row>
    <row r="636" spans="1:14">
      <c r="A636" s="446">
        <f t="shared" si="33"/>
        <v>2060</v>
      </c>
      <c r="B636" s="446">
        <f t="shared" si="34"/>
        <v>7</v>
      </c>
      <c r="C636" s="459">
        <v>239.11458270924206</v>
      </c>
      <c r="D636" s="459">
        <v>0</v>
      </c>
      <c r="E636" s="459">
        <v>956.032729884319</v>
      </c>
      <c r="F636" s="459">
        <v>0</v>
      </c>
      <c r="G636" s="459">
        <v>0</v>
      </c>
      <c r="H636" s="459"/>
      <c r="I636" s="459"/>
      <c r="J636" s="459"/>
      <c r="K636" s="459"/>
      <c r="L636" s="459"/>
      <c r="M636" s="459"/>
      <c r="N636" s="459">
        <f t="shared" si="32"/>
        <v>1195.1473125935611</v>
      </c>
    </row>
    <row r="637" spans="1:14">
      <c r="A637" s="446">
        <f t="shared" si="33"/>
        <v>2060</v>
      </c>
      <c r="B637" s="446">
        <f t="shared" si="34"/>
        <v>8</v>
      </c>
      <c r="C637" s="459">
        <v>233.23852376814489</v>
      </c>
      <c r="D637" s="459">
        <v>0</v>
      </c>
      <c r="E637" s="459">
        <v>1000.9903578446732</v>
      </c>
      <c r="F637" s="459">
        <v>0</v>
      </c>
      <c r="G637" s="459">
        <v>0</v>
      </c>
      <c r="H637" s="459"/>
      <c r="I637" s="459"/>
      <c r="J637" s="459"/>
      <c r="K637" s="459"/>
      <c r="L637" s="459"/>
      <c r="M637" s="459"/>
      <c r="N637" s="459">
        <f t="shared" si="32"/>
        <v>1234.228881612818</v>
      </c>
    </row>
    <row r="638" spans="1:14">
      <c r="A638" s="446">
        <f t="shared" si="33"/>
        <v>2060</v>
      </c>
      <c r="B638" s="446">
        <f t="shared" si="34"/>
        <v>9</v>
      </c>
      <c r="C638" s="459">
        <v>215.17232505879809</v>
      </c>
      <c r="D638" s="459">
        <v>0</v>
      </c>
      <c r="E638" s="459">
        <v>860.11359653167221</v>
      </c>
      <c r="F638" s="459">
        <v>0</v>
      </c>
      <c r="G638" s="459">
        <v>0</v>
      </c>
      <c r="H638" s="459"/>
      <c r="I638" s="459"/>
      <c r="J638" s="459"/>
      <c r="K638" s="459"/>
      <c r="L638" s="459"/>
      <c r="M638" s="459"/>
      <c r="N638" s="459">
        <f t="shared" si="32"/>
        <v>1075.2859215904703</v>
      </c>
    </row>
    <row r="639" spans="1:14">
      <c r="A639" s="446">
        <f t="shared" si="33"/>
        <v>2060</v>
      </c>
      <c r="B639" s="446">
        <f t="shared" si="34"/>
        <v>10</v>
      </c>
      <c r="C639" s="459">
        <v>205.7222113289188</v>
      </c>
      <c r="D639" s="459">
        <v>0</v>
      </c>
      <c r="E639" s="459">
        <v>820.60428007771498</v>
      </c>
      <c r="F639" s="459">
        <v>0</v>
      </c>
      <c r="G639" s="459">
        <v>0</v>
      </c>
      <c r="H639" s="459"/>
      <c r="I639" s="459"/>
      <c r="J639" s="459"/>
      <c r="K639" s="459"/>
      <c r="L639" s="459"/>
      <c r="M639" s="459"/>
      <c r="N639" s="459">
        <f t="shared" si="32"/>
        <v>1026.3264914066337</v>
      </c>
    </row>
    <row r="640" spans="1:14">
      <c r="A640" s="446">
        <f t="shared" si="33"/>
        <v>2060</v>
      </c>
      <c r="B640" s="446">
        <f t="shared" si="34"/>
        <v>11</v>
      </c>
      <c r="C640" s="459">
        <v>182.51180269657456</v>
      </c>
      <c r="D640" s="459">
        <v>0</v>
      </c>
      <c r="E640" s="459">
        <v>635.85822845433484</v>
      </c>
      <c r="F640" s="459">
        <v>0</v>
      </c>
      <c r="G640" s="459">
        <v>0</v>
      </c>
      <c r="H640" s="459"/>
      <c r="I640" s="459"/>
      <c r="J640" s="459"/>
      <c r="K640" s="459"/>
      <c r="L640" s="459"/>
      <c r="M640" s="459"/>
      <c r="N640" s="459">
        <f t="shared" si="32"/>
        <v>818.37003115090943</v>
      </c>
    </row>
    <row r="641" spans="1:14">
      <c r="A641" s="446">
        <f t="shared" si="33"/>
        <v>2060</v>
      </c>
      <c r="B641" s="446">
        <f t="shared" si="34"/>
        <v>12</v>
      </c>
      <c r="C641" s="459">
        <v>173.96096797932654</v>
      </c>
      <c r="D641" s="459">
        <v>0</v>
      </c>
      <c r="E641" s="459">
        <v>616.9393421984679</v>
      </c>
      <c r="F641" s="459">
        <v>0</v>
      </c>
      <c r="G641" s="459">
        <v>0</v>
      </c>
      <c r="H641" s="459"/>
      <c r="I641" s="459"/>
      <c r="J641" s="459"/>
      <c r="K641" s="459"/>
      <c r="L641" s="459"/>
      <c r="M641" s="459"/>
      <c r="N641" s="459">
        <f t="shared" si="32"/>
        <v>790.90031017779438</v>
      </c>
    </row>
    <row r="642" spans="1:14">
      <c r="A642" s="446">
        <f t="shared" si="33"/>
        <v>2061</v>
      </c>
      <c r="B642" s="446">
        <f t="shared" si="34"/>
        <v>1</v>
      </c>
      <c r="C642" s="459">
        <v>169.84383170366675</v>
      </c>
      <c r="D642" s="459">
        <v>0</v>
      </c>
      <c r="E642" s="459">
        <v>778.66912818699348</v>
      </c>
      <c r="F642" s="459">
        <v>0</v>
      </c>
      <c r="G642" s="459">
        <v>0</v>
      </c>
      <c r="H642" s="459"/>
      <c r="I642" s="459"/>
      <c r="J642" s="459"/>
      <c r="K642" s="459"/>
      <c r="L642" s="459"/>
      <c r="M642" s="459"/>
      <c r="N642" s="459">
        <f t="shared" si="32"/>
        <v>948.51295989066023</v>
      </c>
    </row>
    <row r="643" spans="1:14">
      <c r="A643" s="446">
        <f t="shared" si="33"/>
        <v>2061</v>
      </c>
      <c r="B643" s="446">
        <f t="shared" si="34"/>
        <v>2</v>
      </c>
      <c r="C643" s="459">
        <v>180.71993327459339</v>
      </c>
      <c r="D643" s="459">
        <v>0</v>
      </c>
      <c r="E643" s="459">
        <v>699.01651493006625</v>
      </c>
      <c r="F643" s="459">
        <v>0</v>
      </c>
      <c r="G643" s="459">
        <v>0</v>
      </c>
      <c r="H643" s="459"/>
      <c r="I643" s="459"/>
      <c r="J643" s="459"/>
      <c r="K643" s="459"/>
      <c r="L643" s="459"/>
      <c r="M643" s="459"/>
      <c r="N643" s="459">
        <f t="shared" si="32"/>
        <v>879.73644820465961</v>
      </c>
    </row>
    <row r="644" spans="1:14">
      <c r="A644" s="446">
        <f t="shared" si="33"/>
        <v>2061</v>
      </c>
      <c r="B644" s="446">
        <f t="shared" si="34"/>
        <v>3</v>
      </c>
      <c r="C644" s="459">
        <v>171.49788341353087</v>
      </c>
      <c r="D644" s="459">
        <v>0</v>
      </c>
      <c r="E644" s="459">
        <v>647.06282908591049</v>
      </c>
      <c r="F644" s="459">
        <v>0</v>
      </c>
      <c r="G644" s="459">
        <v>0</v>
      </c>
      <c r="H644" s="459"/>
      <c r="I644" s="459"/>
      <c r="J644" s="459"/>
      <c r="K644" s="459"/>
      <c r="L644" s="459"/>
      <c r="M644" s="459"/>
      <c r="N644" s="459">
        <f t="shared" si="32"/>
        <v>818.56071249944137</v>
      </c>
    </row>
    <row r="645" spans="1:14">
      <c r="A645" s="446">
        <f t="shared" si="33"/>
        <v>2061</v>
      </c>
      <c r="B645" s="446">
        <f t="shared" si="34"/>
        <v>4</v>
      </c>
      <c r="C645" s="459">
        <v>203.66276978442536</v>
      </c>
      <c r="D645" s="459">
        <v>0</v>
      </c>
      <c r="E645" s="459">
        <v>796.89010784530319</v>
      </c>
      <c r="F645" s="459">
        <v>0</v>
      </c>
      <c r="G645" s="459">
        <v>0</v>
      </c>
      <c r="H645" s="459"/>
      <c r="I645" s="459"/>
      <c r="J645" s="459"/>
      <c r="K645" s="459"/>
      <c r="L645" s="459"/>
      <c r="M645" s="459"/>
      <c r="N645" s="459">
        <f t="shared" si="32"/>
        <v>1000.5528776297285</v>
      </c>
    </row>
    <row r="646" spans="1:14">
      <c r="A646" s="446">
        <f t="shared" si="33"/>
        <v>2061</v>
      </c>
      <c r="B646" s="446">
        <f t="shared" si="34"/>
        <v>5</v>
      </c>
      <c r="C646" s="459">
        <v>216.4914445680453</v>
      </c>
      <c r="D646" s="459">
        <v>0</v>
      </c>
      <c r="E646" s="459">
        <v>878.41323010351823</v>
      </c>
      <c r="F646" s="459">
        <v>0</v>
      </c>
      <c r="G646" s="459">
        <v>0</v>
      </c>
      <c r="H646" s="459"/>
      <c r="I646" s="459"/>
      <c r="J646" s="459"/>
      <c r="K646" s="459"/>
      <c r="L646" s="459"/>
      <c r="M646" s="459"/>
      <c r="N646" s="459">
        <f t="shared" si="32"/>
        <v>1094.9046746715635</v>
      </c>
    </row>
    <row r="647" spans="1:14">
      <c r="A647" s="446">
        <f t="shared" si="33"/>
        <v>2061</v>
      </c>
      <c r="B647" s="446">
        <f t="shared" si="34"/>
        <v>6</v>
      </c>
      <c r="C647" s="459">
        <v>222.80329664028199</v>
      </c>
      <c r="D647" s="459">
        <v>0</v>
      </c>
      <c r="E647" s="459">
        <v>897.11118322641835</v>
      </c>
      <c r="F647" s="459">
        <v>0</v>
      </c>
      <c r="G647" s="459">
        <v>0</v>
      </c>
      <c r="H647" s="459"/>
      <c r="I647" s="459"/>
      <c r="J647" s="459"/>
      <c r="K647" s="459"/>
      <c r="L647" s="459"/>
      <c r="M647" s="459"/>
      <c r="N647" s="459">
        <f t="shared" ref="N647:N677" si="35">SUM(C647:M647)</f>
        <v>1119.9144798667003</v>
      </c>
    </row>
    <row r="648" spans="1:14">
      <c r="A648" s="446">
        <f t="shared" si="33"/>
        <v>2061</v>
      </c>
      <c r="B648" s="446">
        <f t="shared" si="34"/>
        <v>7</v>
      </c>
      <c r="C648" s="459">
        <v>241.36883118792056</v>
      </c>
      <c r="D648" s="459">
        <v>0</v>
      </c>
      <c r="E648" s="459">
        <v>961.47007251918023</v>
      </c>
      <c r="F648" s="459">
        <v>0</v>
      </c>
      <c r="G648" s="459">
        <v>0</v>
      </c>
      <c r="H648" s="459"/>
      <c r="I648" s="459"/>
      <c r="J648" s="459"/>
      <c r="K648" s="459"/>
      <c r="L648" s="459"/>
      <c r="M648" s="459"/>
      <c r="N648" s="459">
        <f t="shared" si="35"/>
        <v>1202.8389037071008</v>
      </c>
    </row>
    <row r="649" spans="1:14">
      <c r="A649" s="446">
        <f t="shared" si="33"/>
        <v>2061</v>
      </c>
      <c r="B649" s="446">
        <f t="shared" si="34"/>
        <v>8</v>
      </c>
      <c r="C649" s="459">
        <v>235.43694312718915</v>
      </c>
      <c r="D649" s="459">
        <v>0</v>
      </c>
      <c r="E649" s="459">
        <v>1006.7095432394112</v>
      </c>
      <c r="F649" s="459">
        <v>0</v>
      </c>
      <c r="G649" s="459">
        <v>0</v>
      </c>
      <c r="H649" s="459"/>
      <c r="I649" s="459"/>
      <c r="J649" s="459"/>
      <c r="K649" s="459"/>
      <c r="L649" s="459"/>
      <c r="M649" s="459"/>
      <c r="N649" s="459">
        <f t="shared" si="35"/>
        <v>1242.1464863666004</v>
      </c>
    </row>
    <row r="650" spans="1:14">
      <c r="A650" s="446">
        <f t="shared" ref="A650:A677" si="36">A638+1</f>
        <v>2061</v>
      </c>
      <c r="B650" s="446">
        <f t="shared" ref="B650:B677" si="37">B638</f>
        <v>9</v>
      </c>
      <c r="C650" s="459">
        <v>217.2004591650236</v>
      </c>
      <c r="D650" s="459">
        <v>0</v>
      </c>
      <c r="E650" s="459">
        <v>865.03969630642564</v>
      </c>
      <c r="F650" s="459">
        <v>0</v>
      </c>
      <c r="G650" s="459">
        <v>0</v>
      </c>
      <c r="H650" s="459"/>
      <c r="I650" s="459"/>
      <c r="J650" s="459"/>
      <c r="K650" s="459"/>
      <c r="L650" s="459"/>
      <c r="M650" s="459"/>
      <c r="N650" s="459">
        <f t="shared" si="35"/>
        <v>1082.2401554714493</v>
      </c>
    </row>
    <row r="651" spans="1:14">
      <c r="A651" s="446">
        <f t="shared" si="36"/>
        <v>2061</v>
      </c>
      <c r="B651" s="446">
        <f t="shared" si="37"/>
        <v>10</v>
      </c>
      <c r="C651" s="459">
        <v>207.66127218672329</v>
      </c>
      <c r="D651" s="459">
        <v>0</v>
      </c>
      <c r="E651" s="459">
        <v>823.40736915027333</v>
      </c>
      <c r="F651" s="459">
        <v>0</v>
      </c>
      <c r="G651" s="459">
        <v>0</v>
      </c>
      <c r="H651" s="459"/>
      <c r="I651" s="459"/>
      <c r="J651" s="459"/>
      <c r="K651" s="459"/>
      <c r="L651" s="459"/>
      <c r="M651" s="459"/>
      <c r="N651" s="459">
        <f t="shared" si="35"/>
        <v>1031.0686413369967</v>
      </c>
    </row>
    <row r="652" spans="1:14">
      <c r="A652" s="446">
        <f t="shared" si="36"/>
        <v>2061</v>
      </c>
      <c r="B652" s="446">
        <f t="shared" si="37"/>
        <v>11</v>
      </c>
      <c r="C652" s="459">
        <v>184.23209089691096</v>
      </c>
      <c r="D652" s="459">
        <v>0</v>
      </c>
      <c r="E652" s="459">
        <v>637.16506755350258</v>
      </c>
      <c r="F652" s="459">
        <v>0</v>
      </c>
      <c r="G652" s="459">
        <v>0</v>
      </c>
      <c r="H652" s="459"/>
      <c r="I652" s="459"/>
      <c r="J652" s="459"/>
      <c r="K652" s="459"/>
      <c r="L652" s="459"/>
      <c r="M652" s="459"/>
      <c r="N652" s="459">
        <f t="shared" si="35"/>
        <v>821.3971584504136</v>
      </c>
    </row>
    <row r="653" spans="1:14">
      <c r="A653" s="446">
        <f t="shared" si="36"/>
        <v>2061</v>
      </c>
      <c r="B653" s="446">
        <f t="shared" si="37"/>
        <v>12</v>
      </c>
      <c r="C653" s="459">
        <v>175.60065919990728</v>
      </c>
      <c r="D653" s="459">
        <v>0</v>
      </c>
      <c r="E653" s="459">
        <v>618.66288528171924</v>
      </c>
      <c r="F653" s="459">
        <v>0</v>
      </c>
      <c r="G653" s="459">
        <v>0</v>
      </c>
      <c r="H653" s="459"/>
      <c r="I653" s="459"/>
      <c r="J653" s="459"/>
      <c r="K653" s="459"/>
      <c r="L653" s="459"/>
      <c r="M653" s="459"/>
      <c r="N653" s="459">
        <f t="shared" si="35"/>
        <v>794.26354448162647</v>
      </c>
    </row>
    <row r="654" spans="1:14">
      <c r="A654" s="446">
        <f t="shared" si="36"/>
        <v>2062</v>
      </c>
      <c r="B654" s="446">
        <f t="shared" si="37"/>
        <v>1</v>
      </c>
      <c r="C654" s="459">
        <v>171.44471633284047</v>
      </c>
      <c r="D654" s="459">
        <v>0</v>
      </c>
      <c r="E654" s="459">
        <v>779.44776637558391</v>
      </c>
      <c r="F654" s="459">
        <v>0</v>
      </c>
      <c r="G654" s="459">
        <v>0</v>
      </c>
      <c r="H654" s="459"/>
      <c r="I654" s="459"/>
      <c r="J654" s="459"/>
      <c r="K654" s="459"/>
      <c r="L654" s="459"/>
      <c r="M654" s="459"/>
      <c r="N654" s="459">
        <f t="shared" si="35"/>
        <v>950.89248270842438</v>
      </c>
    </row>
    <row r="655" spans="1:14">
      <c r="A655" s="446">
        <f t="shared" si="36"/>
        <v>2062</v>
      </c>
      <c r="B655" s="446">
        <f t="shared" si="37"/>
        <v>2</v>
      </c>
      <c r="C655" s="459">
        <v>182.42333198187993</v>
      </c>
      <c r="D655" s="459">
        <v>0</v>
      </c>
      <c r="E655" s="459">
        <v>699.71538104020931</v>
      </c>
      <c r="F655" s="459">
        <v>0</v>
      </c>
      <c r="G655" s="459">
        <v>0</v>
      </c>
      <c r="H655" s="459"/>
      <c r="I655" s="459"/>
      <c r="J655" s="459"/>
      <c r="K655" s="459"/>
      <c r="L655" s="459"/>
      <c r="M655" s="459"/>
      <c r="N655" s="459">
        <f t="shared" si="35"/>
        <v>882.13871302208918</v>
      </c>
    </row>
    <row r="656" spans="1:14">
      <c r="A656" s="446">
        <f t="shared" si="36"/>
        <v>2062</v>
      </c>
      <c r="B656" s="446">
        <f t="shared" si="37"/>
        <v>3</v>
      </c>
      <c r="C656" s="459">
        <v>173.11435851738727</v>
      </c>
      <c r="D656" s="459">
        <v>0</v>
      </c>
      <c r="E656" s="459">
        <v>647.77596130401128</v>
      </c>
      <c r="F656" s="459">
        <v>0</v>
      </c>
      <c r="G656" s="459">
        <v>0</v>
      </c>
      <c r="H656" s="459"/>
      <c r="I656" s="459"/>
      <c r="J656" s="459"/>
      <c r="K656" s="459"/>
      <c r="L656" s="459"/>
      <c r="M656" s="459"/>
      <c r="N656" s="459">
        <f t="shared" si="35"/>
        <v>820.89031982139852</v>
      </c>
    </row>
    <row r="657" spans="1:14">
      <c r="A657" s="446">
        <f t="shared" si="36"/>
        <v>2062</v>
      </c>
      <c r="B657" s="446">
        <f t="shared" si="37"/>
        <v>4</v>
      </c>
      <c r="C657" s="459">
        <v>205.58241911412074</v>
      </c>
      <c r="D657" s="459">
        <v>0</v>
      </c>
      <c r="E657" s="459">
        <v>801.92689068398374</v>
      </c>
      <c r="F657" s="459">
        <v>0</v>
      </c>
      <c r="G657" s="459">
        <v>0</v>
      </c>
      <c r="H657" s="459"/>
      <c r="I657" s="459"/>
      <c r="J657" s="459"/>
      <c r="K657" s="459"/>
      <c r="L657" s="459"/>
      <c r="M657" s="459"/>
      <c r="N657" s="459">
        <f t="shared" si="35"/>
        <v>1007.5093097981045</v>
      </c>
    </row>
    <row r="658" spans="1:14">
      <c r="A658" s="446">
        <f t="shared" si="36"/>
        <v>2062</v>
      </c>
      <c r="B658" s="446">
        <f t="shared" si="37"/>
        <v>5</v>
      </c>
      <c r="C658" s="459">
        <v>218.53201220291413</v>
      </c>
      <c r="D658" s="459">
        <v>0</v>
      </c>
      <c r="E658" s="459">
        <v>882.95983775205571</v>
      </c>
      <c r="F658" s="459">
        <v>0</v>
      </c>
      <c r="G658" s="459">
        <v>0</v>
      </c>
      <c r="H658" s="459"/>
      <c r="I658" s="459"/>
      <c r="J658" s="459"/>
      <c r="K658" s="459"/>
      <c r="L658" s="459"/>
      <c r="M658" s="459"/>
      <c r="N658" s="459">
        <f t="shared" si="35"/>
        <v>1101.4918499549699</v>
      </c>
    </row>
    <row r="659" spans="1:14">
      <c r="A659" s="446">
        <f t="shared" si="36"/>
        <v>2062</v>
      </c>
      <c r="B659" s="446">
        <f t="shared" si="37"/>
        <v>6</v>
      </c>
      <c r="C659" s="459">
        <v>224.90335743932829</v>
      </c>
      <c r="D659" s="459">
        <v>0</v>
      </c>
      <c r="E659" s="459">
        <v>900.27051510722197</v>
      </c>
      <c r="F659" s="459">
        <v>0</v>
      </c>
      <c r="G659" s="459">
        <v>0</v>
      </c>
      <c r="H659" s="459"/>
      <c r="I659" s="459"/>
      <c r="J659" s="459"/>
      <c r="K659" s="459"/>
      <c r="L659" s="459"/>
      <c r="M659" s="459"/>
      <c r="N659" s="459">
        <f t="shared" si="35"/>
        <v>1125.1738725465502</v>
      </c>
    </row>
    <row r="660" spans="1:14">
      <c r="A660" s="446">
        <f t="shared" si="36"/>
        <v>2062</v>
      </c>
      <c r="B660" s="446">
        <f t="shared" si="37"/>
        <v>7</v>
      </c>
      <c r="C660" s="459">
        <v>243.64433155406675</v>
      </c>
      <c r="D660" s="459">
        <v>0</v>
      </c>
      <c r="E660" s="459">
        <v>966.93833950841213</v>
      </c>
      <c r="F660" s="459">
        <v>0</v>
      </c>
      <c r="G660" s="459">
        <v>0</v>
      </c>
      <c r="H660" s="459"/>
      <c r="I660" s="459"/>
      <c r="J660" s="459"/>
      <c r="K660" s="459"/>
      <c r="L660" s="459"/>
      <c r="M660" s="459"/>
      <c r="N660" s="459">
        <f t="shared" si="35"/>
        <v>1210.5826710624788</v>
      </c>
    </row>
    <row r="661" spans="1:14">
      <c r="A661" s="446">
        <f t="shared" si="36"/>
        <v>2062</v>
      </c>
      <c r="B661" s="446">
        <f t="shared" si="37"/>
        <v>8</v>
      </c>
      <c r="C661" s="459">
        <v>237.65608396740271</v>
      </c>
      <c r="D661" s="459">
        <v>0</v>
      </c>
      <c r="E661" s="459">
        <v>1012.4614053540829</v>
      </c>
      <c r="F661" s="459">
        <v>0</v>
      </c>
      <c r="G661" s="459">
        <v>0</v>
      </c>
      <c r="H661" s="459"/>
      <c r="I661" s="459"/>
      <c r="J661" s="459"/>
      <c r="K661" s="459"/>
      <c r="L661" s="459"/>
      <c r="M661" s="459"/>
      <c r="N661" s="459">
        <f t="shared" si="35"/>
        <v>1250.1174893214857</v>
      </c>
    </row>
    <row r="662" spans="1:14">
      <c r="A662" s="446">
        <f t="shared" si="36"/>
        <v>2062</v>
      </c>
      <c r="B662" s="446">
        <f t="shared" si="37"/>
        <v>9</v>
      </c>
      <c r="C662" s="459">
        <v>219.24770970711845</v>
      </c>
      <c r="D662" s="459">
        <v>0</v>
      </c>
      <c r="E662" s="459">
        <v>869.99400916732111</v>
      </c>
      <c r="F662" s="459">
        <v>0</v>
      </c>
      <c r="G662" s="459">
        <v>0</v>
      </c>
      <c r="H662" s="459"/>
      <c r="I662" s="459"/>
      <c r="J662" s="459"/>
      <c r="K662" s="459"/>
      <c r="L662" s="459"/>
      <c r="M662" s="459"/>
      <c r="N662" s="459">
        <f t="shared" si="35"/>
        <v>1089.2417188744396</v>
      </c>
    </row>
    <row r="663" spans="1:14">
      <c r="A663" s="446">
        <f t="shared" si="36"/>
        <v>2062</v>
      </c>
      <c r="B663" s="446">
        <f t="shared" si="37"/>
        <v>10</v>
      </c>
      <c r="C663" s="459">
        <v>209.61860990916955</v>
      </c>
      <c r="D663" s="459">
        <v>0</v>
      </c>
      <c r="E663" s="459">
        <v>826.22003325008836</v>
      </c>
      <c r="F663" s="459">
        <v>0</v>
      </c>
      <c r="G663" s="459">
        <v>0</v>
      </c>
      <c r="H663" s="459"/>
      <c r="I663" s="459"/>
      <c r="J663" s="459"/>
      <c r="K663" s="459"/>
      <c r="L663" s="459"/>
      <c r="M663" s="459"/>
      <c r="N663" s="459">
        <f t="shared" si="35"/>
        <v>1035.838643159258</v>
      </c>
    </row>
    <row r="664" spans="1:14">
      <c r="A664" s="446">
        <f t="shared" si="36"/>
        <v>2062</v>
      </c>
      <c r="B664" s="446">
        <f t="shared" si="37"/>
        <v>11</v>
      </c>
      <c r="C664" s="459">
        <v>185.96859389239208</v>
      </c>
      <c r="D664" s="459">
        <v>0</v>
      </c>
      <c r="E664" s="459">
        <v>638.4745925162083</v>
      </c>
      <c r="F664" s="459">
        <v>0</v>
      </c>
      <c r="G664" s="459">
        <v>0</v>
      </c>
      <c r="H664" s="459"/>
      <c r="I664" s="459"/>
      <c r="J664" s="459"/>
      <c r="K664" s="459"/>
      <c r="L664" s="459"/>
      <c r="M664" s="459"/>
      <c r="N664" s="459">
        <f t="shared" si="35"/>
        <v>824.44318640860035</v>
      </c>
    </row>
    <row r="665" spans="1:14">
      <c r="A665" s="446">
        <f t="shared" si="36"/>
        <v>2062</v>
      </c>
      <c r="B665" s="446">
        <f t="shared" si="37"/>
        <v>12</v>
      </c>
      <c r="C665" s="459">
        <v>177.25580553855318</v>
      </c>
      <c r="D665" s="459">
        <v>0</v>
      </c>
      <c r="E665" s="459">
        <v>620.39124342628475</v>
      </c>
      <c r="F665" s="459">
        <v>0</v>
      </c>
      <c r="G665" s="459">
        <v>0</v>
      </c>
      <c r="H665" s="459"/>
      <c r="I665" s="459"/>
      <c r="J665" s="459"/>
      <c r="K665" s="459"/>
      <c r="L665" s="459"/>
      <c r="M665" s="459"/>
      <c r="N665" s="459">
        <f t="shared" si="35"/>
        <v>797.64704896483795</v>
      </c>
    </row>
    <row r="666" spans="1:14">
      <c r="A666" s="446">
        <f t="shared" si="36"/>
        <v>2063</v>
      </c>
      <c r="B666" s="446">
        <f t="shared" si="37"/>
        <v>1</v>
      </c>
      <c r="C666" s="459">
        <v>173.06069030361829</v>
      </c>
      <c r="D666" s="459">
        <v>0</v>
      </c>
      <c r="E666" s="459">
        <v>780.22718317142449</v>
      </c>
      <c r="F666" s="459">
        <v>0</v>
      </c>
      <c r="G666" s="459">
        <v>0</v>
      </c>
      <c r="H666" s="459"/>
      <c r="I666" s="459"/>
      <c r="J666" s="459"/>
      <c r="K666" s="459"/>
      <c r="L666" s="459"/>
      <c r="M666" s="459"/>
      <c r="N666" s="459">
        <f t="shared" si="35"/>
        <v>953.28787347504272</v>
      </c>
    </row>
    <row r="667" spans="1:14">
      <c r="A667" s="446">
        <f t="shared" si="36"/>
        <v>2063</v>
      </c>
      <c r="B667" s="446">
        <f t="shared" si="37"/>
        <v>2</v>
      </c>
      <c r="C667" s="459">
        <v>184.1427862902471</v>
      </c>
      <c r="D667" s="459">
        <v>0</v>
      </c>
      <c r="E667" s="459">
        <v>700.41494586609019</v>
      </c>
      <c r="F667" s="459">
        <v>0</v>
      </c>
      <c r="G667" s="459">
        <v>0</v>
      </c>
      <c r="H667" s="459"/>
      <c r="I667" s="459"/>
      <c r="J667" s="459"/>
      <c r="K667" s="459"/>
      <c r="L667" s="459"/>
      <c r="M667" s="459"/>
      <c r="N667" s="459">
        <f t="shared" si="35"/>
        <v>884.55773215633735</v>
      </c>
    </row>
    <row r="668" spans="1:14">
      <c r="A668" s="446">
        <f t="shared" si="36"/>
        <v>2063</v>
      </c>
      <c r="B668" s="446">
        <f t="shared" si="37"/>
        <v>3</v>
      </c>
      <c r="C668" s="459">
        <v>174.74606991284904</v>
      </c>
      <c r="D668" s="459">
        <v>0</v>
      </c>
      <c r="E668" s="459">
        <v>648.48987946984028</v>
      </c>
      <c r="F668" s="459">
        <v>0</v>
      </c>
      <c r="G668" s="459">
        <v>0</v>
      </c>
      <c r="H668" s="459"/>
      <c r="I668" s="459"/>
      <c r="J668" s="459"/>
      <c r="K668" s="459"/>
      <c r="L668" s="459"/>
      <c r="M668" s="459"/>
      <c r="N668" s="459">
        <f t="shared" si="35"/>
        <v>823.23594938268934</v>
      </c>
    </row>
    <row r="669" spans="1:14">
      <c r="A669" s="446">
        <f t="shared" si="36"/>
        <v>2063</v>
      </c>
      <c r="B669" s="446">
        <f t="shared" si="37"/>
        <v>4</v>
      </c>
      <c r="C669" s="459">
        <v>207.52016234263181</v>
      </c>
      <c r="D669" s="459">
        <v>0</v>
      </c>
      <c r="E669" s="459">
        <v>806.99550875454167</v>
      </c>
      <c r="F669" s="459">
        <v>0</v>
      </c>
      <c r="G669" s="459">
        <v>0</v>
      </c>
      <c r="H669" s="459"/>
      <c r="I669" s="459"/>
      <c r="J669" s="459"/>
      <c r="K669" s="459"/>
      <c r="L669" s="459"/>
      <c r="M669" s="459"/>
      <c r="N669" s="459">
        <f t="shared" si="35"/>
        <v>1014.5156710971735</v>
      </c>
    </row>
    <row r="670" spans="1:14">
      <c r="A670" s="446">
        <f t="shared" si="36"/>
        <v>2063</v>
      </c>
      <c r="B670" s="446">
        <f t="shared" si="37"/>
        <v>5</v>
      </c>
      <c r="C670" s="459">
        <v>220.59181346745729</v>
      </c>
      <c r="D670" s="459">
        <v>0</v>
      </c>
      <c r="E670" s="459">
        <v>887.52997833520897</v>
      </c>
      <c r="F670" s="459">
        <v>0</v>
      </c>
      <c r="G670" s="459">
        <v>0</v>
      </c>
      <c r="H670" s="459"/>
      <c r="I670" s="459"/>
      <c r="J670" s="459"/>
      <c r="K670" s="459"/>
      <c r="L670" s="459"/>
      <c r="M670" s="459"/>
      <c r="N670" s="459">
        <f t="shared" si="35"/>
        <v>1108.1217918026662</v>
      </c>
    </row>
    <row r="671" spans="1:14">
      <c r="A671" s="446">
        <f t="shared" si="36"/>
        <v>2063</v>
      </c>
      <c r="B671" s="446">
        <f t="shared" si="37"/>
        <v>6</v>
      </c>
      <c r="C671" s="459">
        <v>227.02321262843162</v>
      </c>
      <c r="D671" s="459">
        <v>0</v>
      </c>
      <c r="E671" s="459">
        <v>903.44097312057147</v>
      </c>
      <c r="F671" s="459">
        <v>0</v>
      </c>
      <c r="G671" s="459">
        <v>0</v>
      </c>
      <c r="H671" s="459"/>
      <c r="I671" s="459"/>
      <c r="J671" s="459"/>
      <c r="K671" s="459"/>
      <c r="L671" s="459"/>
      <c r="M671" s="459"/>
      <c r="N671" s="459">
        <f t="shared" si="35"/>
        <v>1130.464185749003</v>
      </c>
    </row>
    <row r="672" spans="1:14">
      <c r="A672" s="446">
        <f t="shared" si="36"/>
        <v>2063</v>
      </c>
      <c r="B672" s="446">
        <f t="shared" si="37"/>
        <v>7</v>
      </c>
      <c r="C672" s="459">
        <v>245.94128415947208</v>
      </c>
      <c r="D672" s="459">
        <v>0</v>
      </c>
      <c r="E672" s="459">
        <v>972.43770673125516</v>
      </c>
      <c r="F672" s="459">
        <v>0</v>
      </c>
      <c r="G672" s="459">
        <v>0</v>
      </c>
      <c r="H672" s="459"/>
      <c r="I672" s="459"/>
      <c r="J672" s="459"/>
      <c r="K672" s="459"/>
      <c r="L672" s="459"/>
      <c r="M672" s="459"/>
      <c r="N672" s="459">
        <f t="shared" si="35"/>
        <v>1218.3789908907272</v>
      </c>
    </row>
    <row r="673" spans="1:17">
      <c r="A673" s="446">
        <f t="shared" si="36"/>
        <v>2063</v>
      </c>
      <c r="B673" s="446">
        <f t="shared" si="37"/>
        <v>8</v>
      </c>
      <c r="C673" s="459">
        <v>239.89614160174082</v>
      </c>
      <c r="D673" s="459">
        <v>0</v>
      </c>
      <c r="E673" s="459">
        <v>1018.2461308880082</v>
      </c>
      <c r="F673" s="459">
        <v>0</v>
      </c>
      <c r="G673" s="459">
        <v>0</v>
      </c>
      <c r="H673" s="459"/>
      <c r="I673" s="459"/>
      <c r="J673" s="459"/>
      <c r="K673" s="459"/>
      <c r="L673" s="459"/>
      <c r="M673" s="459"/>
      <c r="N673" s="459">
        <f t="shared" si="35"/>
        <v>1258.1422724897491</v>
      </c>
    </row>
    <row r="674" spans="1:17">
      <c r="A674" s="446">
        <f t="shared" si="36"/>
        <v>2063</v>
      </c>
      <c r="B674" s="446">
        <f t="shared" si="37"/>
        <v>9</v>
      </c>
      <c r="C674" s="459">
        <v>221.31425686947927</v>
      </c>
      <c r="D674" s="459">
        <v>0</v>
      </c>
      <c r="E674" s="459">
        <v>874.97669669822108</v>
      </c>
      <c r="F674" s="459">
        <v>0</v>
      </c>
      <c r="G674" s="459">
        <v>0</v>
      </c>
      <c r="H674" s="459"/>
      <c r="I674" s="459"/>
      <c r="J674" s="459"/>
      <c r="K674" s="459"/>
      <c r="L674" s="459"/>
      <c r="M674" s="459"/>
      <c r="N674" s="459">
        <f t="shared" si="35"/>
        <v>1096.2909535677004</v>
      </c>
    </row>
    <row r="675" spans="1:17">
      <c r="A675" s="446">
        <f t="shared" si="36"/>
        <v>2063</v>
      </c>
      <c r="B675" s="446">
        <f t="shared" si="37"/>
        <v>10</v>
      </c>
      <c r="C675" s="459">
        <v>211.59439676716897</v>
      </c>
      <c r="D675" s="459">
        <v>0</v>
      </c>
      <c r="E675" s="459">
        <v>829.04230508434296</v>
      </c>
      <c r="F675" s="459">
        <v>0</v>
      </c>
      <c r="G675" s="459">
        <v>0</v>
      </c>
      <c r="H675" s="459"/>
      <c r="I675" s="459"/>
      <c r="J675" s="459"/>
      <c r="K675" s="459"/>
      <c r="L675" s="459"/>
      <c r="M675" s="459"/>
      <c r="N675" s="459">
        <f t="shared" si="35"/>
        <v>1040.636701851512</v>
      </c>
    </row>
    <row r="676" spans="1:17">
      <c r="A676" s="446">
        <f t="shared" si="36"/>
        <v>2063</v>
      </c>
      <c r="B676" s="446">
        <f t="shared" si="37"/>
        <v>11</v>
      </c>
      <c r="C676" s="459">
        <v>187.72146451763103</v>
      </c>
      <c r="D676" s="459">
        <v>0</v>
      </c>
      <c r="E676" s="459">
        <v>639.78680886253699</v>
      </c>
      <c r="F676" s="459">
        <v>0</v>
      </c>
      <c r="G676" s="459">
        <v>0</v>
      </c>
      <c r="H676" s="459"/>
      <c r="I676" s="459"/>
      <c r="J676" s="459"/>
      <c r="K676" s="459"/>
      <c r="L676" s="459"/>
      <c r="M676" s="459"/>
      <c r="N676" s="459">
        <f t="shared" si="35"/>
        <v>827.50827338016802</v>
      </c>
    </row>
    <row r="677" spans="1:17">
      <c r="A677" s="446">
        <f t="shared" si="36"/>
        <v>2063</v>
      </c>
      <c r="B677" s="446">
        <f t="shared" si="37"/>
        <v>12</v>
      </c>
      <c r="C677" s="459">
        <v>178.92655266944448</v>
      </c>
      <c r="D677" s="459">
        <v>0</v>
      </c>
      <c r="E677" s="459">
        <v>622.1244300839985</v>
      </c>
      <c r="F677" s="459">
        <v>0</v>
      </c>
      <c r="G677" s="459">
        <v>0</v>
      </c>
      <c r="H677" s="459"/>
      <c r="I677" s="459"/>
      <c r="J677" s="459"/>
      <c r="K677" s="459"/>
      <c r="L677" s="459"/>
      <c r="M677" s="459"/>
      <c r="N677" s="459">
        <f t="shared" si="35"/>
        <v>801.05098275344301</v>
      </c>
    </row>
    <row r="678" spans="1:17" s="463" customFormat="1">
      <c r="A678" s="446"/>
      <c r="B678" s="446"/>
      <c r="C678" s="448"/>
      <c r="D678" s="448"/>
      <c r="E678" s="448"/>
      <c r="F678" s="448"/>
      <c r="G678" s="448"/>
      <c r="H678" s="448"/>
      <c r="I678" s="448"/>
      <c r="J678" s="448"/>
      <c r="K678" s="448"/>
      <c r="L678" s="448"/>
      <c r="M678" s="448"/>
      <c r="N678" s="448"/>
      <c r="O678" s="452"/>
      <c r="P678" s="452"/>
      <c r="Q678" s="452"/>
    </row>
    <row r="679" spans="1:17" s="463" customFormat="1">
      <c r="A679" s="446"/>
      <c r="B679" s="446"/>
      <c r="C679" s="448"/>
      <c r="D679" s="448"/>
      <c r="E679" s="448"/>
      <c r="F679" s="448"/>
      <c r="G679" s="448"/>
      <c r="H679" s="448"/>
      <c r="I679" s="448"/>
      <c r="J679" s="448"/>
      <c r="K679" s="448"/>
      <c r="L679" s="448"/>
      <c r="M679" s="448"/>
      <c r="N679" s="448"/>
      <c r="O679" s="452"/>
      <c r="P679" s="452"/>
      <c r="Q679" s="452"/>
    </row>
    <row r="680" spans="1:17" s="463" customFormat="1">
      <c r="A680" s="446"/>
      <c r="B680" s="446"/>
      <c r="C680" s="448"/>
      <c r="D680" s="448"/>
      <c r="E680" s="448"/>
      <c r="F680" s="448"/>
      <c r="G680" s="448"/>
      <c r="H680" s="448"/>
      <c r="I680" s="448"/>
      <c r="J680" s="448"/>
      <c r="K680" s="448"/>
      <c r="L680" s="448"/>
      <c r="M680" s="448"/>
      <c r="N680" s="448"/>
      <c r="O680" s="452"/>
      <c r="P680" s="452"/>
      <c r="Q680" s="452"/>
    </row>
    <row r="681" spans="1:17" s="463" customFormat="1">
      <c r="A681" s="446"/>
      <c r="B681" s="446"/>
      <c r="C681" s="448"/>
      <c r="D681" s="448"/>
      <c r="E681" s="448"/>
      <c r="F681" s="448"/>
      <c r="G681" s="448"/>
      <c r="H681" s="448"/>
      <c r="I681" s="448"/>
      <c r="J681" s="448"/>
      <c r="K681" s="448"/>
      <c r="L681" s="448"/>
      <c r="M681" s="448"/>
      <c r="N681" s="448"/>
      <c r="O681" s="452"/>
      <c r="P681" s="452"/>
      <c r="Q681" s="452"/>
    </row>
    <row r="682" spans="1:17" s="463" customFormat="1">
      <c r="A682" s="446"/>
      <c r="B682" s="446"/>
      <c r="C682" s="448"/>
      <c r="D682" s="448"/>
      <c r="E682" s="448"/>
      <c r="F682" s="448"/>
      <c r="G682" s="448"/>
      <c r="H682" s="448"/>
      <c r="I682" s="448"/>
      <c r="J682" s="448"/>
      <c r="K682" s="448"/>
      <c r="L682" s="448"/>
      <c r="M682" s="448"/>
      <c r="N682" s="448"/>
      <c r="O682" s="452"/>
      <c r="P682" s="452"/>
      <c r="Q682" s="452"/>
    </row>
    <row r="683" spans="1:17" s="463" customFormat="1">
      <c r="A683" s="446"/>
      <c r="B683" s="446"/>
      <c r="C683" s="448"/>
      <c r="D683" s="448"/>
      <c r="E683" s="448"/>
      <c r="F683" s="448"/>
      <c r="G683" s="448"/>
      <c r="H683" s="448"/>
      <c r="I683" s="448"/>
      <c r="J683" s="448"/>
      <c r="K683" s="448"/>
      <c r="L683" s="448"/>
      <c r="M683" s="448"/>
      <c r="N683" s="448"/>
      <c r="O683" s="452"/>
      <c r="P683" s="452"/>
      <c r="Q683" s="452"/>
    </row>
    <row r="684" spans="1:17" s="463" customFormat="1">
      <c r="A684" s="446"/>
      <c r="B684" s="446"/>
      <c r="C684" s="448"/>
      <c r="D684" s="448"/>
      <c r="E684" s="448"/>
      <c r="F684" s="448"/>
      <c r="G684" s="448"/>
      <c r="H684" s="448"/>
      <c r="I684" s="448"/>
      <c r="J684" s="448"/>
      <c r="K684" s="448"/>
      <c r="L684" s="448"/>
      <c r="M684" s="448"/>
      <c r="N684" s="448"/>
      <c r="O684" s="452"/>
      <c r="P684" s="452"/>
      <c r="Q684" s="452"/>
    </row>
    <row r="685" spans="1:17" s="463" customFormat="1">
      <c r="A685" s="446"/>
      <c r="B685" s="446"/>
      <c r="C685" s="448"/>
      <c r="D685" s="448"/>
      <c r="E685" s="448"/>
      <c r="F685" s="448"/>
      <c r="G685" s="448"/>
      <c r="H685" s="448"/>
      <c r="I685" s="448"/>
      <c r="J685" s="448"/>
      <c r="K685" s="448"/>
      <c r="L685" s="448"/>
      <c r="M685" s="448"/>
      <c r="N685" s="448"/>
      <c r="O685" s="452"/>
      <c r="P685" s="452"/>
      <c r="Q685" s="452"/>
    </row>
    <row r="686" spans="1:17" s="463" customFormat="1">
      <c r="A686" s="446"/>
      <c r="B686" s="446"/>
      <c r="C686" s="448"/>
      <c r="D686" s="448"/>
      <c r="E686" s="448"/>
      <c r="F686" s="448"/>
      <c r="G686" s="448"/>
      <c r="H686" s="448"/>
      <c r="I686" s="448"/>
      <c r="J686" s="448"/>
      <c r="K686" s="448"/>
      <c r="L686" s="448"/>
      <c r="M686" s="448"/>
      <c r="N686" s="448"/>
      <c r="O686" s="452"/>
      <c r="P686" s="452"/>
      <c r="Q686" s="452"/>
    </row>
    <row r="687" spans="1:17" s="463" customFormat="1">
      <c r="A687" s="446"/>
      <c r="B687" s="446"/>
      <c r="C687" s="448"/>
      <c r="D687" s="448"/>
      <c r="E687" s="448"/>
      <c r="F687" s="448"/>
      <c r="G687" s="448"/>
      <c r="H687" s="448"/>
      <c r="I687" s="448"/>
      <c r="J687" s="448"/>
      <c r="K687" s="448"/>
      <c r="L687" s="448"/>
      <c r="M687" s="448"/>
      <c r="N687" s="448"/>
      <c r="O687" s="452"/>
      <c r="P687" s="452"/>
      <c r="Q687" s="452"/>
    </row>
    <row r="688" spans="1:17" s="463" customFormat="1">
      <c r="A688" s="446"/>
      <c r="B688" s="446"/>
      <c r="C688" s="448"/>
      <c r="D688" s="448"/>
      <c r="E688" s="448"/>
      <c r="F688" s="448"/>
      <c r="G688" s="448"/>
      <c r="H688" s="448"/>
      <c r="I688" s="448"/>
      <c r="J688" s="448"/>
      <c r="K688" s="448"/>
      <c r="L688" s="448"/>
      <c r="M688" s="448"/>
      <c r="N688" s="448"/>
      <c r="O688" s="452"/>
      <c r="P688" s="452"/>
      <c r="Q688" s="452"/>
    </row>
    <row r="689" spans="1:17" s="463" customFormat="1">
      <c r="A689" s="446"/>
      <c r="B689" s="446"/>
      <c r="C689" s="448"/>
      <c r="D689" s="448"/>
      <c r="E689" s="448"/>
      <c r="F689" s="448"/>
      <c r="G689" s="448"/>
      <c r="H689" s="448"/>
      <c r="I689" s="448"/>
      <c r="J689" s="448"/>
      <c r="K689" s="448"/>
      <c r="L689" s="448"/>
      <c r="M689" s="448"/>
      <c r="N689" s="448"/>
      <c r="O689" s="452"/>
      <c r="P689" s="452"/>
      <c r="Q689" s="452"/>
    </row>
    <row r="690" spans="1:17" s="463" customFormat="1">
      <c r="A690" s="446"/>
      <c r="B690" s="446"/>
      <c r="C690" s="448"/>
      <c r="D690" s="448"/>
      <c r="E690" s="448"/>
      <c r="F690" s="448"/>
      <c r="G690" s="448"/>
      <c r="H690" s="448"/>
      <c r="I690" s="448"/>
      <c r="J690" s="448"/>
      <c r="K690" s="448"/>
      <c r="L690" s="448"/>
      <c r="M690" s="448"/>
      <c r="N690" s="448"/>
      <c r="O690" s="452"/>
      <c r="P690" s="452"/>
      <c r="Q690" s="452"/>
    </row>
    <row r="691" spans="1:17" s="463" customFormat="1">
      <c r="A691" s="446"/>
      <c r="B691" s="446"/>
      <c r="C691" s="448"/>
      <c r="D691" s="448"/>
      <c r="E691" s="448"/>
      <c r="F691" s="448"/>
      <c r="G691" s="448"/>
      <c r="H691" s="448"/>
      <c r="I691" s="448"/>
      <c r="J691" s="448"/>
      <c r="K691" s="448"/>
      <c r="L691" s="448"/>
      <c r="M691" s="448"/>
      <c r="N691" s="448"/>
      <c r="O691" s="452"/>
      <c r="P691" s="452"/>
      <c r="Q691" s="452"/>
    </row>
    <row r="692" spans="1:17" s="463" customFormat="1">
      <c r="A692" s="446"/>
      <c r="B692" s="446"/>
      <c r="C692" s="448"/>
      <c r="D692" s="448"/>
      <c r="E692" s="448"/>
      <c r="F692" s="448"/>
      <c r="G692" s="448"/>
      <c r="H692" s="448"/>
      <c r="I692" s="448"/>
      <c r="J692" s="448"/>
      <c r="K692" s="448"/>
      <c r="L692" s="448"/>
      <c r="M692" s="448"/>
      <c r="N692" s="448"/>
      <c r="O692" s="452"/>
      <c r="P692" s="452"/>
      <c r="Q692" s="452"/>
    </row>
    <row r="693" spans="1:17" s="463" customFormat="1">
      <c r="A693" s="446"/>
      <c r="B693" s="446"/>
      <c r="C693" s="448"/>
      <c r="D693" s="448"/>
      <c r="E693" s="448"/>
      <c r="F693" s="448"/>
      <c r="G693" s="448"/>
      <c r="H693" s="448"/>
      <c r="I693" s="448"/>
      <c r="J693" s="448"/>
      <c r="K693" s="448"/>
      <c r="L693" s="448"/>
      <c r="M693" s="448"/>
      <c r="N693" s="448"/>
      <c r="O693" s="452"/>
      <c r="P693" s="452"/>
      <c r="Q693" s="452"/>
    </row>
    <row r="694" spans="1:17" s="463" customFormat="1">
      <c r="A694" s="446"/>
      <c r="B694" s="446"/>
      <c r="C694" s="448"/>
      <c r="D694" s="448"/>
      <c r="E694" s="448"/>
      <c r="F694" s="448"/>
      <c r="G694" s="448"/>
      <c r="H694" s="448"/>
      <c r="I694" s="448"/>
      <c r="J694" s="448"/>
      <c r="K694" s="448"/>
      <c r="L694" s="448"/>
      <c r="M694" s="448"/>
      <c r="N694" s="448"/>
      <c r="O694" s="452"/>
      <c r="P694" s="452"/>
      <c r="Q694" s="452"/>
    </row>
    <row r="695" spans="1:17" s="463" customFormat="1">
      <c r="A695" s="446"/>
      <c r="B695" s="446"/>
      <c r="C695" s="448"/>
      <c r="D695" s="448"/>
      <c r="E695" s="448"/>
      <c r="F695" s="448"/>
      <c r="G695" s="448"/>
      <c r="H695" s="448"/>
      <c r="I695" s="448"/>
      <c r="J695" s="448"/>
      <c r="K695" s="448"/>
      <c r="L695" s="448"/>
      <c r="M695" s="448"/>
      <c r="N695" s="448"/>
      <c r="O695" s="452"/>
      <c r="P695" s="452"/>
      <c r="Q695" s="452"/>
    </row>
    <row r="696" spans="1:17">
      <c r="A696" s="446"/>
      <c r="B696" s="452"/>
      <c r="C696" s="452"/>
      <c r="D696" s="452"/>
      <c r="E696" s="452"/>
      <c r="F696" s="452"/>
      <c r="G696" s="452"/>
      <c r="I696" s="452"/>
      <c r="J696" s="452"/>
      <c r="K696" s="452"/>
      <c r="L696" s="452"/>
      <c r="M696" s="452"/>
      <c r="N696" s="452"/>
      <c r="O696" s="452"/>
      <c r="P696" s="452"/>
      <c r="Q696" s="452"/>
    </row>
    <row r="720" spans="3:3">
      <c r="C720" s="464"/>
    </row>
    <row r="721" spans="3:3">
      <c r="C721" s="464"/>
    </row>
    <row r="722" spans="3:3">
      <c r="C722" s="464"/>
    </row>
    <row r="723" spans="3:3">
      <c r="C723" s="464"/>
    </row>
    <row r="724" spans="3:3">
      <c r="C724" s="464"/>
    </row>
    <row r="725" spans="3:3">
      <c r="C725" s="464"/>
    </row>
    <row r="726" spans="3:3">
      <c r="C726" s="464"/>
    </row>
    <row r="727" spans="3:3">
      <c r="C727" s="464"/>
    </row>
    <row r="728" spans="3:3">
      <c r="C728" s="464"/>
    </row>
    <row r="729" spans="3:3">
      <c r="C729" s="464"/>
    </row>
    <row r="730" spans="3:3">
      <c r="C730" s="464"/>
    </row>
    <row r="731" spans="3:3">
      <c r="C731" s="464"/>
    </row>
    <row r="732" spans="3:3">
      <c r="C732" s="464"/>
    </row>
    <row r="733" spans="3:3">
      <c r="C733" s="464"/>
    </row>
    <row r="734" spans="3:3">
      <c r="C734" s="464"/>
    </row>
    <row r="735" spans="3:3">
      <c r="C735" s="464"/>
    </row>
    <row r="736" spans="3:3">
      <c r="C736" s="464"/>
    </row>
    <row r="737" spans="3:3">
      <c r="C737" s="464"/>
    </row>
    <row r="738" spans="3:3">
      <c r="C738" s="464"/>
    </row>
    <row r="739" spans="3:3">
      <c r="C739" s="464"/>
    </row>
    <row r="740" spans="3:3">
      <c r="C740" s="464"/>
    </row>
    <row r="741" spans="3:3">
      <c r="C741" s="464"/>
    </row>
    <row r="742" spans="3:3">
      <c r="C742" s="464"/>
    </row>
    <row r="743" spans="3:3">
      <c r="C743" s="464"/>
    </row>
    <row r="744" spans="3:3">
      <c r="C744" s="464"/>
    </row>
    <row r="745" spans="3:3">
      <c r="C745" s="464"/>
    </row>
    <row r="746" spans="3:3">
      <c r="C746" s="464"/>
    </row>
    <row r="747" spans="3:3">
      <c r="C747" s="464"/>
    </row>
    <row r="748" spans="3:3">
      <c r="C748" s="464"/>
    </row>
    <row r="749" spans="3:3">
      <c r="C749" s="464"/>
    </row>
    <row r="750" spans="3:3">
      <c r="C750" s="464"/>
    </row>
    <row r="751" spans="3:3">
      <c r="C751" s="464"/>
    </row>
    <row r="752" spans="3:3">
      <c r="C752" s="464"/>
    </row>
    <row r="753" spans="3:3">
      <c r="C753" s="464"/>
    </row>
    <row r="754" spans="3:3">
      <c r="C754" s="464"/>
    </row>
    <row r="755" spans="3:3">
      <c r="C755" s="464"/>
    </row>
    <row r="756" spans="3:3">
      <c r="C756" s="464"/>
    </row>
    <row r="757" spans="3:3">
      <c r="C757" s="464"/>
    </row>
    <row r="758" spans="3:3">
      <c r="C758" s="464"/>
    </row>
    <row r="759" spans="3:3">
      <c r="C759" s="464"/>
    </row>
    <row r="760" spans="3:3">
      <c r="C760" s="464"/>
    </row>
    <row r="761" spans="3:3">
      <c r="C761" s="464"/>
    </row>
    <row r="762" spans="3:3">
      <c r="C762" s="464"/>
    </row>
    <row r="763" spans="3:3">
      <c r="C763" s="464"/>
    </row>
    <row r="764" spans="3:3">
      <c r="C764" s="464"/>
    </row>
    <row r="765" spans="3:3">
      <c r="C765" s="464"/>
    </row>
  </sheetData>
  <mergeCells count="1">
    <mergeCell ref="A4:N4"/>
  </mergeCells>
  <pageMargins left="0.25" right="0.24" top="0.19" bottom="0.2" header="0.17" footer="0.18"/>
  <pageSetup scale="60"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FF00"/>
  </sheetPr>
  <dimension ref="A1:P766"/>
  <sheetViews>
    <sheetView zoomScale="75" zoomScaleNormal="75" workbookViewId="0">
      <pane xSplit="2" ySplit="5" topLeftCell="C6" activePane="bottomRight" state="frozen"/>
      <selection activeCell="B3" sqref="A1:XFD3"/>
      <selection pane="topRight" activeCell="B3" sqref="A1:XFD3"/>
      <selection pane="bottomLeft" activeCell="B3" sqref="A1:XFD3"/>
      <selection pane="bottomRight" activeCell="H19" sqref="H19"/>
    </sheetView>
  </sheetViews>
  <sheetFormatPr defaultColWidth="9.109375" defaultRowHeight="11.4"/>
  <cols>
    <col min="1" max="1" width="5" style="486" bestFit="1" customWidth="1"/>
    <col min="2" max="2" width="14.44140625" style="466" customWidth="1"/>
    <col min="3" max="3" width="10.6640625" style="466" bestFit="1" customWidth="1"/>
    <col min="4" max="4" width="8.33203125" style="466" bestFit="1" customWidth="1"/>
    <col min="5" max="5" width="9.88671875" style="476" bestFit="1" customWidth="1"/>
    <col min="6" max="6" width="10" style="466" bestFit="1" customWidth="1"/>
    <col min="7" max="7" width="17.88671875" style="466" bestFit="1" customWidth="1"/>
    <col min="8" max="8" width="17.88671875" style="476" customWidth="1"/>
    <col min="9" max="9" width="8.88671875" style="466" bestFit="1" customWidth="1"/>
    <col min="10" max="10" width="10.6640625" style="466" bestFit="1" customWidth="1"/>
    <col min="11" max="13" width="10.6640625" style="466" customWidth="1"/>
    <col min="14" max="14" width="14.33203125" style="466" bestFit="1" customWidth="1"/>
    <col min="15" max="15" width="6.5546875" style="466" customWidth="1"/>
    <col min="16" max="16" width="22.5546875" style="466" bestFit="1" customWidth="1"/>
    <col min="17" max="16384" width="9.109375" style="466"/>
  </cols>
  <sheetData>
    <row r="1" spans="1:16" s="479" customFormat="1" ht="12">
      <c r="A1" s="619"/>
      <c r="B1" s="479" t="s">
        <v>1312</v>
      </c>
      <c r="E1" s="620"/>
      <c r="H1" s="620"/>
    </row>
    <row r="2" spans="1:16" s="479" customFormat="1" ht="12">
      <c r="A2" s="619"/>
      <c r="B2" s="479" t="s">
        <v>1267</v>
      </c>
      <c r="E2" s="620"/>
      <c r="H2" s="620"/>
    </row>
    <row r="3" spans="1:16" s="479" customFormat="1" ht="12">
      <c r="A3" s="619"/>
      <c r="E3" s="620"/>
      <c r="H3" s="620"/>
    </row>
    <row r="4" spans="1:16" ht="13.2">
      <c r="A4" s="608" t="s">
        <v>1194</v>
      </c>
      <c r="B4" s="608"/>
      <c r="C4" s="608"/>
      <c r="D4" s="608"/>
      <c r="E4" s="608"/>
      <c r="F4" s="608"/>
      <c r="G4" s="608"/>
      <c r="H4" s="608"/>
      <c r="I4" s="608"/>
      <c r="J4" s="608"/>
      <c r="K4" s="608"/>
      <c r="L4" s="608"/>
      <c r="M4" s="608"/>
      <c r="N4" s="608"/>
    </row>
    <row r="5" spans="1:16" ht="12" thickBot="1">
      <c r="A5" s="467" t="s">
        <v>483</v>
      </c>
      <c r="B5" s="467" t="s">
        <v>484</v>
      </c>
      <c r="C5" s="468" t="s">
        <v>485</v>
      </c>
      <c r="D5" s="468" t="s">
        <v>486</v>
      </c>
      <c r="E5" s="468" t="s">
        <v>487</v>
      </c>
      <c r="F5" s="468" t="s">
        <v>488</v>
      </c>
      <c r="G5" s="468" t="s">
        <v>489</v>
      </c>
      <c r="H5" s="469" t="s">
        <v>1053</v>
      </c>
      <c r="I5" s="468" t="s">
        <v>1054</v>
      </c>
      <c r="J5" s="468" t="s">
        <v>1055</v>
      </c>
      <c r="K5" s="468" t="s">
        <v>1056</v>
      </c>
      <c r="L5" s="468" t="s">
        <v>1057</v>
      </c>
      <c r="M5" s="468" t="s">
        <v>1058</v>
      </c>
      <c r="N5" s="468" t="s">
        <v>490</v>
      </c>
      <c r="P5" s="466" t="s">
        <v>1195</v>
      </c>
    </row>
    <row r="6" spans="1:16">
      <c r="A6" s="470">
        <v>2008</v>
      </c>
      <c r="B6" s="471">
        <v>1</v>
      </c>
      <c r="C6" s="472">
        <v>130.69175632745785</v>
      </c>
      <c r="D6" s="472">
        <v>45</v>
      </c>
      <c r="E6" s="473"/>
      <c r="F6" s="474">
        <v>1.3140000000000001</v>
      </c>
      <c r="G6" s="472"/>
      <c r="H6" s="472"/>
      <c r="I6" s="472"/>
      <c r="J6" s="472"/>
      <c r="K6" s="472"/>
      <c r="L6" s="472"/>
      <c r="M6" s="472"/>
      <c r="N6" s="472">
        <f>SUM(C6:M6)</f>
        <v>177.00575632745785</v>
      </c>
      <c r="P6" s="475">
        <f>E6+G6</f>
        <v>0</v>
      </c>
    </row>
    <row r="7" spans="1:16">
      <c r="A7" s="470">
        <v>2008</v>
      </c>
      <c r="B7" s="471">
        <v>2</v>
      </c>
      <c r="C7" s="472">
        <v>129.26637602814316</v>
      </c>
      <c r="D7" s="472">
        <v>45</v>
      </c>
      <c r="F7" s="474">
        <v>1.3140000000000001</v>
      </c>
      <c r="G7" s="472"/>
      <c r="H7" s="472"/>
      <c r="I7" s="472"/>
      <c r="J7" s="472"/>
      <c r="K7" s="472"/>
      <c r="L7" s="472"/>
      <c r="M7" s="472"/>
      <c r="N7" s="472">
        <f t="shared" ref="N7:N70" si="0">SUM(C7:M7)</f>
        <v>175.58037602814315</v>
      </c>
      <c r="P7" s="475">
        <f t="shared" ref="P7:P69" si="1">E7+G7</f>
        <v>0</v>
      </c>
    </row>
    <row r="8" spans="1:16">
      <c r="A8" s="470">
        <v>2008</v>
      </c>
      <c r="B8" s="471">
        <v>3</v>
      </c>
      <c r="C8" s="472">
        <v>136.80413014452984</v>
      </c>
      <c r="D8" s="472">
        <v>45</v>
      </c>
      <c r="F8" s="474">
        <v>1.3140000000000001</v>
      </c>
      <c r="G8" s="472"/>
      <c r="H8" s="472"/>
      <c r="I8" s="472"/>
      <c r="J8" s="472"/>
      <c r="K8" s="472"/>
      <c r="L8" s="472"/>
      <c r="M8" s="472"/>
      <c r="N8" s="472">
        <f t="shared" si="0"/>
        <v>183.11813014452983</v>
      </c>
      <c r="P8" s="475">
        <f t="shared" si="1"/>
        <v>0</v>
      </c>
    </row>
    <row r="9" spans="1:16">
      <c r="A9" s="470">
        <v>2008</v>
      </c>
      <c r="B9" s="471">
        <v>4</v>
      </c>
      <c r="C9" s="472">
        <v>142.20010477308321</v>
      </c>
      <c r="D9" s="472">
        <v>45</v>
      </c>
      <c r="F9" s="474">
        <v>1.3140000000000001</v>
      </c>
      <c r="G9" s="472"/>
      <c r="H9" s="472"/>
      <c r="I9" s="472"/>
      <c r="J9" s="472"/>
      <c r="K9" s="472"/>
      <c r="L9" s="472"/>
      <c r="M9" s="472"/>
      <c r="N9" s="472">
        <f t="shared" si="0"/>
        <v>188.5141047730832</v>
      </c>
      <c r="P9" s="475">
        <f t="shared" si="1"/>
        <v>0</v>
      </c>
    </row>
    <row r="10" spans="1:16">
      <c r="A10" s="470">
        <v>2008</v>
      </c>
      <c r="B10" s="471">
        <v>5</v>
      </c>
      <c r="C10" s="472">
        <v>155.69433420513442</v>
      </c>
      <c r="D10" s="472">
        <v>45</v>
      </c>
      <c r="F10" s="474">
        <v>1.3140000000000001</v>
      </c>
      <c r="G10" s="472"/>
      <c r="H10" s="472"/>
      <c r="I10" s="472"/>
      <c r="J10" s="472"/>
      <c r="K10" s="472"/>
      <c r="L10" s="472"/>
      <c r="M10" s="472"/>
      <c r="N10" s="472">
        <f t="shared" si="0"/>
        <v>202.00833420513442</v>
      </c>
      <c r="P10" s="475">
        <f t="shared" si="1"/>
        <v>0</v>
      </c>
    </row>
    <row r="11" spans="1:16">
      <c r="A11" s="470">
        <v>2008</v>
      </c>
      <c r="B11" s="471">
        <v>6</v>
      </c>
      <c r="C11" s="472">
        <v>159.24793428169784</v>
      </c>
      <c r="D11" s="472">
        <v>45</v>
      </c>
      <c r="F11" s="474">
        <v>1.3140000000000001</v>
      </c>
      <c r="G11" s="472"/>
      <c r="H11" s="472"/>
      <c r="I11" s="472"/>
      <c r="J11" s="472"/>
      <c r="K11" s="472"/>
      <c r="L11" s="472"/>
      <c r="M11" s="472"/>
      <c r="N11" s="472">
        <f t="shared" si="0"/>
        <v>205.56193428169783</v>
      </c>
      <c r="P11" s="475">
        <f t="shared" si="1"/>
        <v>0</v>
      </c>
    </row>
    <row r="12" spans="1:16">
      <c r="A12" s="470">
        <v>2008</v>
      </c>
      <c r="B12" s="471">
        <v>7</v>
      </c>
      <c r="C12" s="472">
        <v>168.268</v>
      </c>
      <c r="D12" s="472">
        <v>45</v>
      </c>
      <c r="F12" s="474">
        <v>1.3140000000000001</v>
      </c>
      <c r="G12" s="472"/>
      <c r="H12" s="472"/>
      <c r="I12" s="472"/>
      <c r="J12" s="472"/>
      <c r="K12" s="472"/>
      <c r="L12" s="472"/>
      <c r="M12" s="472"/>
      <c r="N12" s="472">
        <f t="shared" si="0"/>
        <v>214.58199999999999</v>
      </c>
      <c r="P12" s="475">
        <f t="shared" si="1"/>
        <v>0</v>
      </c>
    </row>
    <row r="13" spans="1:16">
      <c r="A13" s="470">
        <v>2008</v>
      </c>
      <c r="B13" s="471">
        <v>8</v>
      </c>
      <c r="C13" s="472">
        <v>166.64084861486515</v>
      </c>
      <c r="D13" s="472">
        <v>45</v>
      </c>
      <c r="F13" s="474">
        <v>1.3140000000000001</v>
      </c>
      <c r="G13" s="472"/>
      <c r="H13" s="472"/>
      <c r="I13" s="472"/>
      <c r="J13" s="472"/>
      <c r="K13" s="472"/>
      <c r="L13" s="472"/>
      <c r="M13" s="472"/>
      <c r="N13" s="472">
        <f t="shared" si="0"/>
        <v>212.95484861486514</v>
      </c>
      <c r="P13" s="475">
        <f t="shared" si="1"/>
        <v>0</v>
      </c>
    </row>
    <row r="14" spans="1:16">
      <c r="A14" s="470">
        <v>2008</v>
      </c>
      <c r="B14" s="471">
        <v>9</v>
      </c>
      <c r="C14" s="472">
        <v>157.27735367300602</v>
      </c>
      <c r="D14" s="472">
        <v>45</v>
      </c>
      <c r="F14" s="474">
        <v>1.3140000000000001</v>
      </c>
      <c r="G14" s="472"/>
      <c r="H14" s="472"/>
      <c r="I14" s="472"/>
      <c r="J14" s="472"/>
      <c r="K14" s="472"/>
      <c r="L14" s="472"/>
      <c r="M14" s="472"/>
      <c r="N14" s="472">
        <f t="shared" si="0"/>
        <v>203.59135367300601</v>
      </c>
      <c r="P14" s="475">
        <f t="shared" si="1"/>
        <v>0</v>
      </c>
    </row>
    <row r="15" spans="1:16">
      <c r="A15" s="470">
        <v>2008</v>
      </c>
      <c r="B15" s="471">
        <v>10</v>
      </c>
      <c r="C15" s="472">
        <v>142.08935143671633</v>
      </c>
      <c r="D15" s="472">
        <v>45</v>
      </c>
      <c r="F15" s="474">
        <v>1.3140000000000001</v>
      </c>
      <c r="G15" s="472"/>
      <c r="H15" s="472"/>
      <c r="I15" s="472"/>
      <c r="J15" s="472"/>
      <c r="K15" s="472"/>
      <c r="L15" s="472"/>
      <c r="M15" s="472"/>
      <c r="N15" s="472">
        <f t="shared" si="0"/>
        <v>188.40335143671632</v>
      </c>
      <c r="P15" s="475">
        <f t="shared" si="1"/>
        <v>0</v>
      </c>
    </row>
    <row r="16" spans="1:16">
      <c r="A16" s="470">
        <v>2008</v>
      </c>
      <c r="B16" s="471">
        <v>11</v>
      </c>
      <c r="C16" s="472">
        <v>126.94856331064597</v>
      </c>
      <c r="D16" s="472">
        <v>45</v>
      </c>
      <c r="F16" s="474">
        <v>1.3140000000000001</v>
      </c>
      <c r="G16" s="472"/>
      <c r="H16" s="472"/>
      <c r="I16" s="472"/>
      <c r="J16" s="472"/>
      <c r="K16" s="472"/>
      <c r="L16" s="472"/>
      <c r="M16" s="472"/>
      <c r="N16" s="472">
        <f t="shared" si="0"/>
        <v>173.26256331064596</v>
      </c>
      <c r="P16" s="475">
        <f t="shared" si="1"/>
        <v>0</v>
      </c>
    </row>
    <row r="17" spans="1:16">
      <c r="A17" s="470">
        <v>2008</v>
      </c>
      <c r="B17" s="471">
        <v>12</v>
      </c>
      <c r="C17" s="472">
        <v>131.76175479881525</v>
      </c>
      <c r="D17" s="472">
        <v>45</v>
      </c>
      <c r="E17" s="477"/>
      <c r="F17" s="474">
        <v>1.3140000000000001</v>
      </c>
      <c r="G17" s="472">
        <v>75</v>
      </c>
      <c r="H17" s="472"/>
      <c r="I17" s="472"/>
      <c r="J17" s="472"/>
      <c r="K17" s="472"/>
      <c r="L17" s="472"/>
      <c r="M17" s="472"/>
      <c r="N17" s="472">
        <f t="shared" si="0"/>
        <v>253.07575479881524</v>
      </c>
      <c r="O17" s="478"/>
      <c r="P17" s="475">
        <f t="shared" si="1"/>
        <v>75</v>
      </c>
    </row>
    <row r="18" spans="1:16">
      <c r="A18" s="470">
        <v>2009</v>
      </c>
      <c r="B18" s="471">
        <v>1</v>
      </c>
      <c r="C18" s="472">
        <v>131.92360809249217</v>
      </c>
      <c r="D18" s="472">
        <v>45</v>
      </c>
      <c r="E18" s="473"/>
      <c r="F18" s="474">
        <v>1.3140000000000001</v>
      </c>
      <c r="G18" s="472">
        <v>75</v>
      </c>
      <c r="H18" s="472"/>
      <c r="I18" s="472"/>
      <c r="J18" s="472"/>
      <c r="K18" s="472"/>
      <c r="L18" s="472"/>
      <c r="M18" s="472"/>
      <c r="N18" s="472">
        <f t="shared" si="0"/>
        <v>253.23760809249217</v>
      </c>
      <c r="P18" s="475">
        <f t="shared" si="1"/>
        <v>75</v>
      </c>
    </row>
    <row r="19" spans="1:16">
      <c r="A19" s="470">
        <v>2009</v>
      </c>
      <c r="B19" s="471">
        <v>2</v>
      </c>
      <c r="C19" s="472">
        <v>130.4847926899476</v>
      </c>
      <c r="D19" s="472">
        <v>45</v>
      </c>
      <c r="F19" s="474">
        <v>1.3140000000000001</v>
      </c>
      <c r="G19" s="472">
        <v>75</v>
      </c>
      <c r="H19" s="472"/>
      <c r="I19" s="472"/>
      <c r="J19" s="472"/>
      <c r="K19" s="472"/>
      <c r="L19" s="472"/>
      <c r="M19" s="472"/>
      <c r="N19" s="472">
        <f t="shared" si="0"/>
        <v>251.79879268994759</v>
      </c>
      <c r="P19" s="475">
        <f t="shared" si="1"/>
        <v>75</v>
      </c>
    </row>
    <row r="20" spans="1:16">
      <c r="A20" s="470">
        <v>2009</v>
      </c>
      <c r="B20" s="471">
        <v>3</v>
      </c>
      <c r="C20" s="472">
        <v>138.09359486608642</v>
      </c>
      <c r="D20" s="472">
        <v>45</v>
      </c>
      <c r="F20" s="474">
        <v>1.3140000000000001</v>
      </c>
      <c r="G20" s="472">
        <v>75</v>
      </c>
      <c r="H20" s="472"/>
      <c r="I20" s="472"/>
      <c r="J20" s="472"/>
      <c r="K20" s="472"/>
      <c r="L20" s="472"/>
      <c r="M20" s="472"/>
      <c r="N20" s="472">
        <f t="shared" si="0"/>
        <v>259.40759486608641</v>
      </c>
      <c r="P20" s="475">
        <f t="shared" si="1"/>
        <v>75</v>
      </c>
    </row>
    <row r="21" spans="1:16">
      <c r="A21" s="470">
        <v>2009</v>
      </c>
      <c r="B21" s="471">
        <v>4</v>
      </c>
      <c r="C21" s="472">
        <v>143.54042993952973</v>
      </c>
      <c r="D21" s="472">
        <v>45</v>
      </c>
      <c r="F21" s="474">
        <v>1.3140000000000001</v>
      </c>
      <c r="G21" s="472">
        <v>75</v>
      </c>
      <c r="H21" s="472"/>
      <c r="I21" s="472"/>
      <c r="J21" s="472"/>
      <c r="K21" s="472"/>
      <c r="L21" s="472"/>
      <c r="M21" s="472"/>
      <c r="N21" s="472">
        <f t="shared" si="0"/>
        <v>264.85442993952972</v>
      </c>
      <c r="P21" s="475">
        <f t="shared" si="1"/>
        <v>75</v>
      </c>
    </row>
    <row r="22" spans="1:16">
      <c r="A22" s="470">
        <v>2009</v>
      </c>
      <c r="B22" s="471">
        <v>5</v>
      </c>
      <c r="C22" s="472">
        <v>157.16185094670988</v>
      </c>
      <c r="D22" s="472">
        <v>45</v>
      </c>
      <c r="F22" s="474">
        <v>1.3140000000000001</v>
      </c>
      <c r="G22" s="472">
        <v>75</v>
      </c>
      <c r="H22" s="472"/>
      <c r="I22" s="472"/>
      <c r="J22" s="472"/>
      <c r="K22" s="472"/>
      <c r="L22" s="472"/>
      <c r="M22" s="472"/>
      <c r="N22" s="472">
        <f t="shared" si="0"/>
        <v>278.4758509467099</v>
      </c>
      <c r="P22" s="475">
        <f t="shared" si="1"/>
        <v>75</v>
      </c>
    </row>
    <row r="23" spans="1:16">
      <c r="A23" s="470">
        <v>2009</v>
      </c>
      <c r="B23" s="471">
        <v>6</v>
      </c>
      <c r="C23" s="472">
        <v>160.74894593258929</v>
      </c>
      <c r="D23" s="472">
        <v>45</v>
      </c>
      <c r="F23" s="474">
        <v>1.3140000000000001</v>
      </c>
      <c r="G23" s="472">
        <v>75</v>
      </c>
      <c r="H23" s="472"/>
      <c r="I23" s="472"/>
      <c r="J23" s="472"/>
      <c r="K23" s="472"/>
      <c r="L23" s="472"/>
      <c r="M23" s="472"/>
      <c r="N23" s="472">
        <f t="shared" si="0"/>
        <v>282.06294593258929</v>
      </c>
      <c r="P23" s="475">
        <f t="shared" si="1"/>
        <v>75</v>
      </c>
    </row>
    <row r="24" spans="1:16">
      <c r="A24" s="470">
        <v>2009</v>
      </c>
      <c r="B24" s="471">
        <v>7</v>
      </c>
      <c r="C24" s="472">
        <v>169.85400000000001</v>
      </c>
      <c r="D24" s="472">
        <v>45</v>
      </c>
      <c r="F24" s="474">
        <v>1.3140000000000001</v>
      </c>
      <c r="G24" s="472">
        <v>75</v>
      </c>
      <c r="H24" s="472"/>
      <c r="I24" s="472"/>
      <c r="J24" s="472"/>
      <c r="K24" s="472"/>
      <c r="L24" s="472"/>
      <c r="M24" s="472"/>
      <c r="N24" s="472">
        <f t="shared" si="0"/>
        <v>291.16800000000001</v>
      </c>
      <c r="P24" s="475">
        <f t="shared" si="1"/>
        <v>75</v>
      </c>
    </row>
    <row r="25" spans="1:16" s="479" customFormat="1" ht="12">
      <c r="A25" s="470">
        <v>2009</v>
      </c>
      <c r="B25" s="471">
        <v>8</v>
      </c>
      <c r="C25" s="472">
        <v>168.2115431197175</v>
      </c>
      <c r="D25" s="472">
        <v>45</v>
      </c>
      <c r="E25" s="476"/>
      <c r="F25" s="474">
        <v>1.3140000000000001</v>
      </c>
      <c r="G25" s="472">
        <v>75</v>
      </c>
      <c r="H25" s="472"/>
      <c r="I25" s="472"/>
      <c r="J25" s="472"/>
      <c r="K25" s="472"/>
      <c r="L25" s="472"/>
      <c r="M25" s="472"/>
      <c r="N25" s="472">
        <f t="shared" si="0"/>
        <v>289.5255431197175</v>
      </c>
      <c r="P25" s="475">
        <f t="shared" si="1"/>
        <v>75</v>
      </c>
    </row>
    <row r="26" spans="1:16">
      <c r="A26" s="470">
        <v>2009</v>
      </c>
      <c r="B26" s="471">
        <v>9</v>
      </c>
      <c r="C26" s="472">
        <v>158.75979136583638</v>
      </c>
      <c r="D26" s="472">
        <v>45</v>
      </c>
      <c r="F26" s="474">
        <v>1.3140000000000001</v>
      </c>
      <c r="G26" s="472">
        <v>75</v>
      </c>
      <c r="H26" s="472"/>
      <c r="I26" s="472"/>
      <c r="J26" s="472"/>
      <c r="K26" s="472"/>
      <c r="L26" s="472"/>
      <c r="M26" s="472"/>
      <c r="N26" s="472">
        <f t="shared" si="0"/>
        <v>280.07379136583637</v>
      </c>
      <c r="P26" s="475">
        <f t="shared" si="1"/>
        <v>75</v>
      </c>
    </row>
    <row r="27" spans="1:16">
      <c r="A27" s="470">
        <v>2009</v>
      </c>
      <c r="B27" s="471">
        <v>10</v>
      </c>
      <c r="C27" s="472">
        <v>143.42863268351007</v>
      </c>
      <c r="D27" s="472">
        <v>45</v>
      </c>
      <c r="F27" s="474">
        <v>1.3140000000000001</v>
      </c>
      <c r="G27" s="472">
        <v>75</v>
      </c>
      <c r="H27" s="472"/>
      <c r="I27" s="472"/>
      <c r="J27" s="472"/>
      <c r="K27" s="472"/>
      <c r="L27" s="472"/>
      <c r="M27" s="472"/>
      <c r="N27" s="472">
        <f t="shared" si="0"/>
        <v>264.74263268351007</v>
      </c>
      <c r="P27" s="475">
        <f t="shared" si="1"/>
        <v>75</v>
      </c>
    </row>
    <row r="28" spans="1:16">
      <c r="A28" s="470">
        <v>2009</v>
      </c>
      <c r="B28" s="471">
        <v>11</v>
      </c>
      <c r="C28" s="472">
        <v>128.14513313400167</v>
      </c>
      <c r="D28" s="472">
        <v>45</v>
      </c>
      <c r="F28" s="474">
        <v>1.3140000000000001</v>
      </c>
      <c r="G28" s="472">
        <v>75</v>
      </c>
      <c r="H28" s="472"/>
      <c r="I28" s="472"/>
      <c r="J28" s="472"/>
      <c r="K28" s="472"/>
      <c r="L28" s="472"/>
      <c r="M28" s="472"/>
      <c r="N28" s="472">
        <f t="shared" si="0"/>
        <v>249.45913313400166</v>
      </c>
      <c r="P28" s="475">
        <f t="shared" si="1"/>
        <v>75</v>
      </c>
    </row>
    <row r="29" spans="1:16">
      <c r="A29" s="470">
        <v>2009</v>
      </c>
      <c r="B29" s="471">
        <v>12</v>
      </c>
      <c r="C29" s="472">
        <v>133.00369197047783</v>
      </c>
      <c r="D29" s="472">
        <v>45</v>
      </c>
      <c r="E29" s="477"/>
      <c r="F29" s="474">
        <v>1.3140000000000001</v>
      </c>
      <c r="G29" s="472">
        <v>75</v>
      </c>
      <c r="H29" s="472"/>
      <c r="I29" s="472"/>
      <c r="J29" s="472"/>
      <c r="K29" s="472"/>
      <c r="L29" s="472"/>
      <c r="M29" s="472"/>
      <c r="N29" s="472">
        <f t="shared" si="0"/>
        <v>254.31769197047782</v>
      </c>
      <c r="O29" s="478"/>
      <c r="P29" s="475">
        <f t="shared" si="1"/>
        <v>75</v>
      </c>
    </row>
    <row r="30" spans="1:16">
      <c r="A30" s="470">
        <v>2010</v>
      </c>
      <c r="B30" s="471">
        <v>1</v>
      </c>
      <c r="C30" s="472">
        <v>133.16707083295191</v>
      </c>
      <c r="D30" s="472">
        <v>45</v>
      </c>
      <c r="E30" s="472">
        <v>1130.8399999999999</v>
      </c>
      <c r="F30" s="474">
        <v>0.68500000000000005</v>
      </c>
      <c r="G30" s="472">
        <v>0</v>
      </c>
      <c r="H30" s="472"/>
      <c r="I30" s="472"/>
      <c r="J30" s="472"/>
      <c r="K30" s="472"/>
      <c r="L30" s="472"/>
      <c r="M30" s="472"/>
      <c r="N30" s="472">
        <f t="shared" si="0"/>
        <v>1309.6920708329517</v>
      </c>
      <c r="P30" s="475">
        <f t="shared" si="1"/>
        <v>1130.8399999999999</v>
      </c>
    </row>
    <row r="31" spans="1:16">
      <c r="A31" s="470">
        <v>2010</v>
      </c>
      <c r="B31" s="471">
        <v>2</v>
      </c>
      <c r="C31" s="472">
        <v>131.71469369290381</v>
      </c>
      <c r="D31" s="472">
        <v>45</v>
      </c>
      <c r="E31" s="472">
        <v>740.48</v>
      </c>
      <c r="F31" s="474">
        <v>0.72</v>
      </c>
      <c r="G31" s="472">
        <v>0</v>
      </c>
      <c r="H31" s="472"/>
      <c r="I31" s="472"/>
      <c r="J31" s="472"/>
      <c r="K31" s="472"/>
      <c r="L31" s="472"/>
      <c r="M31" s="472"/>
      <c r="N31" s="472">
        <f t="shared" si="0"/>
        <v>917.91469369290382</v>
      </c>
      <c r="P31" s="475">
        <f t="shared" si="1"/>
        <v>740.48</v>
      </c>
    </row>
    <row r="32" spans="1:16">
      <c r="A32" s="470">
        <v>2010</v>
      </c>
      <c r="B32" s="471">
        <v>3</v>
      </c>
      <c r="C32" s="472">
        <v>139.39521360131482</v>
      </c>
      <c r="D32" s="472">
        <v>45</v>
      </c>
      <c r="E32" s="472">
        <v>761.08</v>
      </c>
      <c r="F32" s="474">
        <v>1.1679999999999999</v>
      </c>
      <c r="G32" s="472">
        <v>0</v>
      </c>
      <c r="H32" s="472"/>
      <c r="I32" s="472"/>
      <c r="J32" s="472"/>
      <c r="K32" s="472"/>
      <c r="L32" s="472"/>
      <c r="M32" s="472"/>
      <c r="N32" s="472">
        <f t="shared" si="0"/>
        <v>946.64321360131487</v>
      </c>
      <c r="P32" s="475">
        <f t="shared" si="1"/>
        <v>761.08</v>
      </c>
    </row>
    <row r="33" spans="1:16">
      <c r="A33" s="470">
        <v>2010</v>
      </c>
      <c r="B33" s="471">
        <v>4</v>
      </c>
      <c r="C33" s="472">
        <v>144.89338851123765</v>
      </c>
      <c r="D33" s="472">
        <v>45</v>
      </c>
      <c r="E33" s="472">
        <v>569.16999999999996</v>
      </c>
      <c r="F33" s="474">
        <v>1.141</v>
      </c>
      <c r="G33" s="472">
        <v>0</v>
      </c>
      <c r="H33" s="472"/>
      <c r="I33" s="472"/>
      <c r="J33" s="472"/>
      <c r="K33" s="472"/>
      <c r="L33" s="472"/>
      <c r="M33" s="472"/>
      <c r="N33" s="472">
        <f t="shared" si="0"/>
        <v>760.20438851123754</v>
      </c>
      <c r="P33" s="475">
        <f t="shared" si="1"/>
        <v>569.16999999999996</v>
      </c>
    </row>
    <row r="34" spans="1:16">
      <c r="A34" s="470">
        <v>2010</v>
      </c>
      <c r="B34" s="471">
        <v>5</v>
      </c>
      <c r="C34" s="472">
        <v>158.64319995390881</v>
      </c>
      <c r="D34" s="472">
        <v>45</v>
      </c>
      <c r="E34" s="472">
        <v>712.93000000000006</v>
      </c>
      <c r="F34" s="474">
        <v>1.1299999999999999</v>
      </c>
      <c r="G34" s="472">
        <v>0</v>
      </c>
      <c r="H34" s="472"/>
      <c r="I34" s="472"/>
      <c r="J34" s="472"/>
      <c r="K34" s="472"/>
      <c r="L34" s="472"/>
      <c r="M34" s="472"/>
      <c r="N34" s="472">
        <f t="shared" si="0"/>
        <v>917.70319995390889</v>
      </c>
      <c r="P34" s="475">
        <f t="shared" si="1"/>
        <v>712.93000000000006</v>
      </c>
    </row>
    <row r="35" spans="1:16">
      <c r="A35" s="470">
        <v>2010</v>
      </c>
      <c r="B35" s="471">
        <v>6</v>
      </c>
      <c r="C35" s="472">
        <v>162.26410555963051</v>
      </c>
      <c r="D35" s="472">
        <v>45</v>
      </c>
      <c r="E35" s="472">
        <v>797.42000000000007</v>
      </c>
      <c r="F35" s="474">
        <v>1.1379999999999999</v>
      </c>
      <c r="G35" s="472">
        <v>0</v>
      </c>
      <c r="H35" s="472"/>
      <c r="I35" s="472"/>
      <c r="J35" s="472"/>
      <c r="K35" s="472"/>
      <c r="L35" s="472"/>
      <c r="M35" s="472"/>
      <c r="N35" s="472">
        <f t="shared" si="0"/>
        <v>1005.8221055596306</v>
      </c>
      <c r="P35" s="475">
        <f t="shared" si="1"/>
        <v>797.42000000000007</v>
      </c>
    </row>
    <row r="36" spans="1:16">
      <c r="A36" s="470">
        <v>2010</v>
      </c>
      <c r="B36" s="471">
        <v>7</v>
      </c>
      <c r="C36" s="472">
        <v>171.45500000000001</v>
      </c>
      <c r="D36" s="472">
        <v>45</v>
      </c>
      <c r="E36" s="472">
        <v>765.29</v>
      </c>
      <c r="F36" s="474">
        <v>1.1459999999999999</v>
      </c>
      <c r="G36" s="472">
        <v>0</v>
      </c>
      <c r="H36" s="472"/>
      <c r="I36" s="472"/>
      <c r="J36" s="472"/>
      <c r="K36" s="472"/>
      <c r="L36" s="472"/>
      <c r="M36" s="472"/>
      <c r="N36" s="472">
        <f t="shared" si="0"/>
        <v>982.89099999999996</v>
      </c>
      <c r="P36" s="475">
        <f t="shared" si="1"/>
        <v>765.29</v>
      </c>
    </row>
    <row r="37" spans="1:16" s="479" customFormat="1" ht="12">
      <c r="A37" s="470">
        <v>2010</v>
      </c>
      <c r="B37" s="471">
        <v>8</v>
      </c>
      <c r="C37" s="472">
        <v>169.79704240531888</v>
      </c>
      <c r="D37" s="472">
        <v>45</v>
      </c>
      <c r="E37" s="472">
        <v>793.6</v>
      </c>
      <c r="F37" s="474">
        <v>1.155</v>
      </c>
      <c r="G37" s="472">
        <v>0</v>
      </c>
      <c r="H37" s="472"/>
      <c r="I37" s="472"/>
      <c r="J37" s="472"/>
      <c r="K37" s="472"/>
      <c r="L37" s="472"/>
      <c r="M37" s="472"/>
      <c r="N37" s="472">
        <f t="shared" si="0"/>
        <v>1009.5520424053188</v>
      </c>
      <c r="P37" s="475">
        <f t="shared" si="1"/>
        <v>793.6</v>
      </c>
    </row>
    <row r="38" spans="1:16">
      <c r="A38" s="470">
        <v>2010</v>
      </c>
      <c r="B38" s="471">
        <v>9</v>
      </c>
      <c r="C38" s="472">
        <v>160.25620196361331</v>
      </c>
      <c r="D38" s="472">
        <v>45</v>
      </c>
      <c r="E38" s="472">
        <v>732.59</v>
      </c>
      <c r="F38" s="474">
        <v>1.083</v>
      </c>
      <c r="G38" s="472">
        <v>0</v>
      </c>
      <c r="H38" s="472"/>
      <c r="I38" s="472"/>
      <c r="J38" s="472"/>
      <c r="K38" s="472"/>
      <c r="L38" s="472"/>
      <c r="M38" s="472"/>
      <c r="N38" s="472">
        <f t="shared" si="0"/>
        <v>938.92920196361331</v>
      </c>
      <c r="P38" s="475">
        <f t="shared" si="1"/>
        <v>732.59</v>
      </c>
    </row>
    <row r="39" spans="1:16">
      <c r="A39" s="470">
        <v>2010</v>
      </c>
      <c r="B39" s="471">
        <v>10</v>
      </c>
      <c r="C39" s="472">
        <v>144.78053749596782</v>
      </c>
      <c r="D39" s="472">
        <v>45</v>
      </c>
      <c r="E39" s="472">
        <v>679.54</v>
      </c>
      <c r="F39" s="474">
        <v>1.099</v>
      </c>
      <c r="G39" s="472">
        <v>0</v>
      </c>
      <c r="H39" s="472"/>
      <c r="I39" s="472"/>
      <c r="J39" s="472"/>
      <c r="K39" s="472"/>
      <c r="L39" s="472"/>
      <c r="M39" s="472"/>
      <c r="N39" s="472">
        <f t="shared" si="0"/>
        <v>870.4195374959678</v>
      </c>
      <c r="P39" s="475">
        <f t="shared" si="1"/>
        <v>679.54</v>
      </c>
    </row>
    <row r="40" spans="1:16">
      <c r="A40" s="470">
        <v>2010</v>
      </c>
      <c r="B40" s="471">
        <v>11</v>
      </c>
      <c r="C40" s="472">
        <v>129.35298137835582</v>
      </c>
      <c r="D40" s="472">
        <v>45</v>
      </c>
      <c r="E40" s="472">
        <v>595.83000000000004</v>
      </c>
      <c r="F40" s="474">
        <v>1.196</v>
      </c>
      <c r="G40" s="472">
        <v>0</v>
      </c>
      <c r="H40" s="472"/>
      <c r="I40" s="472"/>
      <c r="J40" s="472"/>
      <c r="K40" s="472"/>
      <c r="L40" s="472"/>
      <c r="M40" s="472"/>
      <c r="N40" s="472">
        <f t="shared" si="0"/>
        <v>771.37898137835589</v>
      </c>
      <c r="P40" s="475">
        <f t="shared" si="1"/>
        <v>595.83000000000004</v>
      </c>
    </row>
    <row r="41" spans="1:16">
      <c r="A41" s="470">
        <v>2010</v>
      </c>
      <c r="B41" s="471">
        <v>12</v>
      </c>
      <c r="C41" s="472">
        <v>134.25733517884822</v>
      </c>
      <c r="D41" s="472">
        <v>45</v>
      </c>
      <c r="E41" s="472">
        <v>880.98</v>
      </c>
      <c r="F41" s="474">
        <v>1.2</v>
      </c>
      <c r="G41" s="472">
        <v>0</v>
      </c>
      <c r="H41" s="472"/>
      <c r="I41" s="472"/>
      <c r="J41" s="472"/>
      <c r="K41" s="472"/>
      <c r="L41" s="472"/>
      <c r="M41" s="472"/>
      <c r="N41" s="472">
        <f t="shared" si="0"/>
        <v>1061.4373351788483</v>
      </c>
      <c r="O41" s="478"/>
      <c r="P41" s="475">
        <f t="shared" si="1"/>
        <v>880.98</v>
      </c>
    </row>
    <row r="42" spans="1:16">
      <c r="A42" s="470">
        <v>2011</v>
      </c>
      <c r="B42" s="471">
        <v>1</v>
      </c>
      <c r="C42" s="472">
        <v>134.42225398956205</v>
      </c>
      <c r="D42" s="472">
        <v>45</v>
      </c>
      <c r="E42" s="472">
        <v>835.56</v>
      </c>
      <c r="F42" s="474">
        <v>1.1919999999999999</v>
      </c>
      <c r="G42" s="472">
        <v>0</v>
      </c>
      <c r="H42" s="472"/>
      <c r="I42" s="472"/>
      <c r="J42" s="472"/>
      <c r="K42" s="472"/>
      <c r="L42" s="472"/>
      <c r="M42" s="472"/>
      <c r="N42" s="472">
        <f t="shared" si="0"/>
        <v>1016.174253989562</v>
      </c>
      <c r="P42" s="475">
        <f t="shared" si="1"/>
        <v>835.56</v>
      </c>
    </row>
    <row r="43" spans="1:16">
      <c r="A43" s="470">
        <v>2011</v>
      </c>
      <c r="B43" s="471">
        <v>2</v>
      </c>
      <c r="C43" s="472">
        <v>132.95618728412944</v>
      </c>
      <c r="D43" s="472">
        <v>45</v>
      </c>
      <c r="E43" s="472">
        <v>588.01</v>
      </c>
      <c r="F43" s="474">
        <v>1.1060000000000001</v>
      </c>
      <c r="G43" s="472">
        <v>0</v>
      </c>
      <c r="H43" s="472"/>
      <c r="I43" s="472"/>
      <c r="J43" s="472"/>
      <c r="K43" s="472"/>
      <c r="L43" s="472"/>
      <c r="M43" s="472"/>
      <c r="N43" s="472">
        <f t="shared" si="0"/>
        <v>767.07218728412943</v>
      </c>
      <c r="P43" s="475">
        <f t="shared" si="1"/>
        <v>588.01</v>
      </c>
    </row>
    <row r="44" spans="1:16">
      <c r="A44" s="470">
        <v>2011</v>
      </c>
      <c r="B44" s="471">
        <v>3</v>
      </c>
      <c r="C44" s="472">
        <v>140.70910090941612</v>
      </c>
      <c r="D44" s="472">
        <v>45</v>
      </c>
      <c r="E44" s="472">
        <v>571.61</v>
      </c>
      <c r="F44" s="474">
        <v>1.2</v>
      </c>
      <c r="G44" s="472">
        <v>0</v>
      </c>
      <c r="H44" s="472"/>
      <c r="I44" s="472"/>
      <c r="J44" s="472"/>
      <c r="K44" s="472"/>
      <c r="L44" s="472"/>
      <c r="M44" s="472"/>
      <c r="N44" s="472">
        <f t="shared" si="0"/>
        <v>758.51910090941624</v>
      </c>
      <c r="P44" s="475">
        <f t="shared" si="1"/>
        <v>571.61</v>
      </c>
    </row>
    <row r="45" spans="1:16">
      <c r="A45" s="470">
        <v>2011</v>
      </c>
      <c r="B45" s="471">
        <v>4</v>
      </c>
      <c r="C45" s="472">
        <v>146.2590995659744</v>
      </c>
      <c r="D45" s="472">
        <v>45</v>
      </c>
      <c r="E45" s="472">
        <v>709.58</v>
      </c>
      <c r="F45" s="474">
        <v>1.204</v>
      </c>
      <c r="G45" s="472">
        <v>0</v>
      </c>
      <c r="H45" s="472"/>
      <c r="I45" s="472"/>
      <c r="J45" s="472"/>
      <c r="K45" s="472"/>
      <c r="L45" s="472"/>
      <c r="M45" s="472"/>
      <c r="N45" s="472">
        <f t="shared" si="0"/>
        <v>902.04309956597444</v>
      </c>
      <c r="P45" s="475">
        <f t="shared" si="1"/>
        <v>709.58</v>
      </c>
    </row>
    <row r="46" spans="1:16">
      <c r="A46" s="470">
        <v>2011</v>
      </c>
      <c r="B46" s="471">
        <v>5</v>
      </c>
      <c r="C46" s="472">
        <v>160.13851160450952</v>
      </c>
      <c r="D46" s="472">
        <v>45</v>
      </c>
      <c r="E46" s="472">
        <v>710.69</v>
      </c>
      <c r="F46" s="474">
        <v>1.22</v>
      </c>
      <c r="G46" s="472">
        <v>0</v>
      </c>
      <c r="H46" s="472"/>
      <c r="I46" s="472"/>
      <c r="J46" s="472"/>
      <c r="K46" s="472"/>
      <c r="L46" s="472"/>
      <c r="M46" s="472"/>
      <c r="N46" s="472">
        <f t="shared" si="0"/>
        <v>917.0485116045096</v>
      </c>
      <c r="P46" s="475">
        <f t="shared" si="1"/>
        <v>710.69</v>
      </c>
    </row>
    <row r="47" spans="1:16">
      <c r="A47" s="470">
        <v>2011</v>
      </c>
      <c r="B47" s="471">
        <v>6</v>
      </c>
      <c r="C47" s="472">
        <v>141.35191931720001</v>
      </c>
      <c r="D47" s="472">
        <v>45</v>
      </c>
      <c r="E47" s="472">
        <v>746.2</v>
      </c>
      <c r="F47" s="474">
        <v>1.1679999999999999</v>
      </c>
      <c r="G47" s="472">
        <v>0</v>
      </c>
      <c r="H47" s="472"/>
      <c r="I47" s="472"/>
      <c r="J47" s="472"/>
      <c r="K47" s="472"/>
      <c r="L47" s="472"/>
      <c r="M47" s="472"/>
      <c r="N47" s="472">
        <f t="shared" si="0"/>
        <v>933.71991931720004</v>
      </c>
      <c r="P47" s="475">
        <f t="shared" si="1"/>
        <v>746.2</v>
      </c>
    </row>
    <row r="48" spans="1:16">
      <c r="A48" s="470">
        <v>2011</v>
      </c>
      <c r="B48" s="471">
        <v>7</v>
      </c>
      <c r="C48" s="472">
        <v>145.78180976039999</v>
      </c>
      <c r="D48" s="472">
        <v>45</v>
      </c>
      <c r="E48" s="472">
        <v>763.14</v>
      </c>
      <c r="F48" s="474">
        <v>1.155</v>
      </c>
      <c r="G48" s="472">
        <v>0</v>
      </c>
      <c r="H48" s="472"/>
      <c r="I48" s="472"/>
      <c r="J48" s="472"/>
      <c r="K48" s="472"/>
      <c r="L48" s="472"/>
      <c r="M48" s="472"/>
      <c r="N48" s="472">
        <f t="shared" si="0"/>
        <v>955.07680976040001</v>
      </c>
      <c r="P48" s="475">
        <f t="shared" si="1"/>
        <v>763.14</v>
      </c>
    </row>
    <row r="49" spans="1:16" s="479" customFormat="1" ht="12">
      <c r="A49" s="470">
        <v>2011</v>
      </c>
      <c r="B49" s="471">
        <v>8</v>
      </c>
      <c r="C49" s="472">
        <v>146.64612879060002</v>
      </c>
      <c r="D49" s="472">
        <v>45</v>
      </c>
      <c r="E49" s="472">
        <v>782.39</v>
      </c>
      <c r="F49" s="474">
        <v>1.107</v>
      </c>
      <c r="G49" s="472">
        <v>0</v>
      </c>
      <c r="H49" s="472"/>
      <c r="I49" s="472"/>
      <c r="J49" s="472"/>
      <c r="K49" s="472"/>
      <c r="L49" s="472"/>
      <c r="M49" s="472"/>
      <c r="N49" s="472">
        <f t="shared" si="0"/>
        <v>975.14312879060003</v>
      </c>
      <c r="P49" s="475">
        <f t="shared" si="1"/>
        <v>782.39</v>
      </c>
    </row>
    <row r="50" spans="1:16">
      <c r="A50" s="470">
        <v>2011</v>
      </c>
      <c r="B50" s="471">
        <v>9</v>
      </c>
      <c r="C50" s="472">
        <v>136.83110169470001</v>
      </c>
      <c r="D50" s="472">
        <v>45</v>
      </c>
      <c r="E50" s="472">
        <v>750.42</v>
      </c>
      <c r="F50" s="474">
        <v>1.1480000000000001</v>
      </c>
      <c r="G50" s="472">
        <v>0</v>
      </c>
      <c r="H50" s="472"/>
      <c r="I50" s="472"/>
      <c r="J50" s="472"/>
      <c r="K50" s="472"/>
      <c r="L50" s="472"/>
      <c r="M50" s="472"/>
      <c r="N50" s="472">
        <f t="shared" si="0"/>
        <v>933.39910169469999</v>
      </c>
      <c r="P50" s="475">
        <f t="shared" si="1"/>
        <v>750.42</v>
      </c>
    </row>
    <row r="51" spans="1:16">
      <c r="A51" s="470">
        <v>2011</v>
      </c>
      <c r="B51" s="471">
        <v>10</v>
      </c>
      <c r="C51" s="472">
        <v>116.81486240430002</v>
      </c>
      <c r="D51" s="472">
        <v>45</v>
      </c>
      <c r="E51" s="472">
        <v>646.01</v>
      </c>
      <c r="F51" s="474">
        <v>0.99399999999999999</v>
      </c>
      <c r="G51" s="472">
        <v>0</v>
      </c>
      <c r="H51" s="472"/>
      <c r="I51" s="480">
        <v>11.157</v>
      </c>
      <c r="J51" s="480"/>
      <c r="K51" s="480"/>
      <c r="L51" s="480"/>
      <c r="M51" s="480"/>
      <c r="N51" s="472">
        <f t="shared" si="0"/>
        <v>819.97586240430007</v>
      </c>
      <c r="O51" s="481">
        <v>0</v>
      </c>
      <c r="P51" s="475">
        <f t="shared" si="1"/>
        <v>646.01</v>
      </c>
    </row>
    <row r="52" spans="1:16">
      <c r="A52" s="470">
        <v>2011</v>
      </c>
      <c r="B52" s="471">
        <v>11</v>
      </c>
      <c r="C52" s="472">
        <v>105.30797678120001</v>
      </c>
      <c r="D52" s="472">
        <v>45</v>
      </c>
      <c r="E52" s="472">
        <v>571.76</v>
      </c>
      <c r="F52" s="474">
        <v>1.0030000000000001</v>
      </c>
      <c r="G52" s="472">
        <v>0</v>
      </c>
      <c r="H52" s="472"/>
      <c r="I52" s="480">
        <v>10.145</v>
      </c>
      <c r="J52" s="480"/>
      <c r="K52" s="480"/>
      <c r="L52" s="480"/>
      <c r="M52" s="480"/>
      <c r="N52" s="472">
        <f t="shared" si="0"/>
        <v>733.21597678120008</v>
      </c>
      <c r="O52" s="481">
        <v>0</v>
      </c>
      <c r="P52" s="475">
        <f t="shared" si="1"/>
        <v>571.76</v>
      </c>
    </row>
    <row r="53" spans="1:16">
      <c r="A53" s="470">
        <v>2011</v>
      </c>
      <c r="B53" s="471">
        <v>12</v>
      </c>
      <c r="C53" s="472">
        <v>108.31266031290001</v>
      </c>
      <c r="D53" s="472">
        <v>45</v>
      </c>
      <c r="E53" s="472">
        <v>521.91999999999996</v>
      </c>
      <c r="F53" s="474">
        <v>1.036</v>
      </c>
      <c r="G53" s="472">
        <v>0</v>
      </c>
      <c r="H53" s="472"/>
      <c r="I53" s="480">
        <v>8.484</v>
      </c>
      <c r="J53" s="480"/>
      <c r="K53" s="480"/>
      <c r="L53" s="480"/>
      <c r="M53" s="480"/>
      <c r="N53" s="472">
        <f t="shared" si="0"/>
        <v>684.75266031289993</v>
      </c>
      <c r="O53" s="481">
        <v>0</v>
      </c>
      <c r="P53" s="475">
        <f t="shared" si="1"/>
        <v>521.91999999999996</v>
      </c>
    </row>
    <row r="54" spans="1:16">
      <c r="A54" s="470">
        <v>2012</v>
      </c>
      <c r="B54" s="471">
        <v>1</v>
      </c>
      <c r="C54" s="472">
        <v>102.05503140040001</v>
      </c>
      <c r="D54" s="472">
        <v>45</v>
      </c>
      <c r="E54" s="472">
        <v>744.95</v>
      </c>
      <c r="F54" s="474">
        <v>1.0580000000000001</v>
      </c>
      <c r="G54" s="472">
        <v>0</v>
      </c>
      <c r="H54" s="472"/>
      <c r="I54" s="480">
        <v>13.129</v>
      </c>
      <c r="J54" s="480"/>
      <c r="K54" s="480"/>
      <c r="L54" s="480"/>
      <c r="M54" s="480"/>
      <c r="N54" s="472">
        <f t="shared" si="0"/>
        <v>906.19203140040008</v>
      </c>
      <c r="O54" s="481">
        <v>0.12899999999999956</v>
      </c>
      <c r="P54" s="475">
        <f t="shared" si="1"/>
        <v>744.95</v>
      </c>
    </row>
    <row r="55" spans="1:16">
      <c r="A55" s="470">
        <v>2012</v>
      </c>
      <c r="B55" s="471">
        <v>2</v>
      </c>
      <c r="C55" s="472">
        <v>111.59012538250002</v>
      </c>
      <c r="D55" s="472">
        <v>45</v>
      </c>
      <c r="E55" s="472">
        <v>714.35</v>
      </c>
      <c r="F55" s="474">
        <v>1.0069999999999999</v>
      </c>
      <c r="G55" s="472">
        <v>0</v>
      </c>
      <c r="H55" s="472"/>
      <c r="I55" s="480">
        <v>11.882999999999999</v>
      </c>
      <c r="J55" s="480"/>
      <c r="K55" s="480"/>
      <c r="L55" s="480"/>
      <c r="M55" s="480"/>
      <c r="N55" s="472">
        <f t="shared" si="0"/>
        <v>883.8301253825</v>
      </c>
      <c r="O55" s="481">
        <v>1.8829999999999991</v>
      </c>
      <c r="P55" s="475">
        <f t="shared" si="1"/>
        <v>714.35</v>
      </c>
    </row>
    <row r="56" spans="1:16">
      <c r="A56" s="470">
        <v>2012</v>
      </c>
      <c r="B56" s="471">
        <v>3</v>
      </c>
      <c r="C56" s="472">
        <v>112.74765902460001</v>
      </c>
      <c r="D56" s="472">
        <v>45</v>
      </c>
      <c r="E56" s="472">
        <v>583.42999999999995</v>
      </c>
      <c r="F56" s="474">
        <v>0.99</v>
      </c>
      <c r="G56" s="472">
        <v>0</v>
      </c>
      <c r="H56" s="472"/>
      <c r="I56" s="480">
        <v>10.638</v>
      </c>
      <c r="J56" s="480"/>
      <c r="K56" s="480"/>
      <c r="L56" s="480"/>
      <c r="M56" s="480"/>
      <c r="N56" s="472">
        <f t="shared" si="0"/>
        <v>752.8056590246</v>
      </c>
      <c r="O56" s="481">
        <v>-0.3620000000000001</v>
      </c>
      <c r="P56" s="475">
        <f t="shared" si="1"/>
        <v>583.42999999999995</v>
      </c>
    </row>
    <row r="57" spans="1:16">
      <c r="A57" s="470">
        <v>2012</v>
      </c>
      <c r="B57" s="471">
        <v>4</v>
      </c>
      <c r="C57" s="472">
        <v>126.20488156100002</v>
      </c>
      <c r="D57" s="472">
        <v>45</v>
      </c>
      <c r="E57" s="472">
        <v>641.09</v>
      </c>
      <c r="F57" s="474">
        <v>0.97299999999999998</v>
      </c>
      <c r="G57" s="472">
        <v>0</v>
      </c>
      <c r="H57" s="472"/>
      <c r="I57" s="480">
        <v>11.65</v>
      </c>
      <c r="J57" s="480"/>
      <c r="K57" s="480"/>
      <c r="L57" s="480"/>
      <c r="M57" s="480"/>
      <c r="N57" s="472">
        <f t="shared" si="0"/>
        <v>824.91788156099994</v>
      </c>
      <c r="O57" s="481">
        <v>0.65000000000000036</v>
      </c>
      <c r="P57" s="475">
        <f t="shared" si="1"/>
        <v>641.09</v>
      </c>
    </row>
    <row r="58" spans="1:16">
      <c r="A58" s="470">
        <v>2012</v>
      </c>
      <c r="B58" s="471">
        <v>5</v>
      </c>
      <c r="C58" s="472">
        <v>135.51623338280001</v>
      </c>
      <c r="D58" s="472">
        <v>45</v>
      </c>
      <c r="E58" s="472">
        <v>731.04</v>
      </c>
      <c r="F58" s="474">
        <v>0.97499999999999998</v>
      </c>
      <c r="G58" s="472">
        <v>0</v>
      </c>
      <c r="H58" s="472"/>
      <c r="I58" s="480">
        <v>13.132</v>
      </c>
      <c r="J58" s="480">
        <v>8.3130000000000006</v>
      </c>
      <c r="K58" s="480"/>
      <c r="L58" s="480"/>
      <c r="M58" s="480"/>
      <c r="N58" s="472">
        <f t="shared" si="0"/>
        <v>933.97623338279993</v>
      </c>
      <c r="O58" s="481">
        <v>0.13199999999999967</v>
      </c>
      <c r="P58" s="475">
        <f t="shared" si="1"/>
        <v>731.04</v>
      </c>
    </row>
    <row r="59" spans="1:16">
      <c r="A59" s="470">
        <v>2012</v>
      </c>
      <c r="B59" s="471">
        <v>6</v>
      </c>
      <c r="C59" s="472">
        <v>138.07445424760002</v>
      </c>
      <c r="D59" s="472">
        <v>45</v>
      </c>
      <c r="E59" s="472">
        <v>744.99</v>
      </c>
      <c r="F59" s="474">
        <v>0.97199999999999998</v>
      </c>
      <c r="G59" s="472">
        <v>0</v>
      </c>
      <c r="H59" s="472"/>
      <c r="I59" s="480">
        <v>13.054</v>
      </c>
      <c r="J59" s="480">
        <v>8.1050000000000004</v>
      </c>
      <c r="K59" s="480"/>
      <c r="L59" s="480"/>
      <c r="M59" s="480"/>
      <c r="N59" s="472">
        <f t="shared" si="0"/>
        <v>950.19545424759997</v>
      </c>
      <c r="O59" s="481">
        <v>1.0540000000000003</v>
      </c>
      <c r="P59" s="475">
        <f t="shared" si="1"/>
        <v>744.99</v>
      </c>
    </row>
    <row r="60" spans="1:16">
      <c r="A60" s="470">
        <v>2012</v>
      </c>
      <c r="B60" s="471">
        <v>7</v>
      </c>
      <c r="C60" s="472">
        <v>148.78547163840003</v>
      </c>
      <c r="D60" s="472">
        <v>45</v>
      </c>
      <c r="E60" s="472">
        <v>769.73</v>
      </c>
      <c r="F60" s="474">
        <v>0.98599999999999999</v>
      </c>
      <c r="G60" s="472">
        <v>0</v>
      </c>
      <c r="H60" s="472"/>
      <c r="I60" s="480">
        <v>13.417</v>
      </c>
      <c r="J60" s="480">
        <v>8.5709999999999997</v>
      </c>
      <c r="K60" s="480"/>
      <c r="L60" s="480"/>
      <c r="M60" s="480"/>
      <c r="N60" s="472">
        <f t="shared" si="0"/>
        <v>986.48947163840012</v>
      </c>
      <c r="O60" s="481">
        <v>0.41699999999999982</v>
      </c>
      <c r="P60" s="475">
        <f t="shared" si="1"/>
        <v>769.73</v>
      </c>
    </row>
    <row r="61" spans="1:16" s="479" customFormat="1" ht="12">
      <c r="A61" s="470">
        <v>2012</v>
      </c>
      <c r="B61" s="471">
        <v>8</v>
      </c>
      <c r="C61" s="472">
        <v>144.69170526249999</v>
      </c>
      <c r="D61" s="472">
        <v>45</v>
      </c>
      <c r="E61" s="472">
        <v>794.07</v>
      </c>
      <c r="F61" s="474">
        <v>0.95</v>
      </c>
      <c r="G61" s="472">
        <v>0</v>
      </c>
      <c r="H61" s="472"/>
      <c r="I61" s="480">
        <v>13.65</v>
      </c>
      <c r="J61" s="480">
        <v>8.4550000000000001</v>
      </c>
      <c r="K61" s="480"/>
      <c r="L61" s="480"/>
      <c r="M61" s="480"/>
      <c r="N61" s="472">
        <f t="shared" si="0"/>
        <v>1006.8167052625001</v>
      </c>
      <c r="O61" s="481">
        <v>0.65000000000000036</v>
      </c>
      <c r="P61" s="475">
        <f t="shared" si="1"/>
        <v>794.07</v>
      </c>
    </row>
    <row r="62" spans="1:16">
      <c r="A62" s="470">
        <v>2012</v>
      </c>
      <c r="B62" s="471">
        <v>9</v>
      </c>
      <c r="C62" s="472">
        <v>135.18419593030001</v>
      </c>
      <c r="D62" s="472">
        <v>45</v>
      </c>
      <c r="E62" s="472">
        <v>728.17</v>
      </c>
      <c r="F62" s="474">
        <v>0.94899999999999995</v>
      </c>
      <c r="G62" s="472">
        <v>0</v>
      </c>
      <c r="H62" s="472"/>
      <c r="I62" s="480">
        <v>12.872999999999999</v>
      </c>
      <c r="J62" s="480">
        <v>7.681</v>
      </c>
      <c r="K62" s="480"/>
      <c r="L62" s="480"/>
      <c r="M62" s="480"/>
      <c r="N62" s="472">
        <f t="shared" si="0"/>
        <v>929.85719593030001</v>
      </c>
      <c r="O62" s="481">
        <v>1.8729999999999993</v>
      </c>
      <c r="P62" s="475">
        <f t="shared" si="1"/>
        <v>728.17</v>
      </c>
    </row>
    <row r="63" spans="1:16">
      <c r="A63" s="470">
        <v>2012</v>
      </c>
      <c r="B63" s="471">
        <v>10</v>
      </c>
      <c r="C63" s="472">
        <v>125.44170624710002</v>
      </c>
      <c r="D63" s="472">
        <v>45</v>
      </c>
      <c r="E63" s="472">
        <v>703.91</v>
      </c>
      <c r="F63" s="474">
        <v>0.879</v>
      </c>
      <c r="G63" s="472">
        <v>0</v>
      </c>
      <c r="H63" s="472"/>
      <c r="I63" s="480">
        <v>12.111390394869659</v>
      </c>
      <c r="J63" s="480">
        <v>6.4420000000000002</v>
      </c>
      <c r="K63" s="480"/>
      <c r="L63" s="480"/>
      <c r="M63" s="480"/>
      <c r="N63" s="472">
        <f t="shared" si="0"/>
        <v>893.78409664196965</v>
      </c>
      <c r="O63" s="481">
        <v>1.1113903948696588</v>
      </c>
      <c r="P63" s="475">
        <f t="shared" si="1"/>
        <v>703.91</v>
      </c>
    </row>
    <row r="64" spans="1:16">
      <c r="A64" s="470">
        <v>2012</v>
      </c>
      <c r="B64" s="471">
        <v>11</v>
      </c>
      <c r="C64" s="472">
        <v>86.51363531600002</v>
      </c>
      <c r="D64" s="472">
        <v>45</v>
      </c>
      <c r="E64" s="472">
        <v>461.63</v>
      </c>
      <c r="F64" s="474">
        <v>1.01</v>
      </c>
      <c r="G64" s="472">
        <v>0</v>
      </c>
      <c r="H64" s="472"/>
      <c r="I64" s="480">
        <v>8.1557626337394318</v>
      </c>
      <c r="J64" s="480">
        <v>6.02</v>
      </c>
      <c r="K64" s="480"/>
      <c r="L64" s="480"/>
      <c r="M64" s="480"/>
      <c r="N64" s="472">
        <f t="shared" si="0"/>
        <v>608.32939794973936</v>
      </c>
      <c r="O64" s="481">
        <v>0.15576263373943178</v>
      </c>
      <c r="P64" s="475">
        <f t="shared" si="1"/>
        <v>461.63</v>
      </c>
    </row>
    <row r="65" spans="1:16">
      <c r="A65" s="470">
        <v>2012</v>
      </c>
      <c r="B65" s="471">
        <v>12</v>
      </c>
      <c r="C65" s="472">
        <v>112.04578293270001</v>
      </c>
      <c r="D65" s="472">
        <v>45</v>
      </c>
      <c r="E65" s="472">
        <v>552.99</v>
      </c>
      <c r="F65" s="474">
        <v>1.0149999999999999</v>
      </c>
      <c r="G65" s="472">
        <v>0</v>
      </c>
      <c r="H65" s="472"/>
      <c r="I65" s="480">
        <v>10.032043900215818</v>
      </c>
      <c r="J65" s="480">
        <v>6.4640000000000004</v>
      </c>
      <c r="K65" s="480"/>
      <c r="L65" s="480"/>
      <c r="M65" s="480"/>
      <c r="N65" s="472">
        <f t="shared" si="0"/>
        <v>727.54682683291594</v>
      </c>
      <c r="O65" s="481">
        <v>1.0320439002158182</v>
      </c>
      <c r="P65" s="475">
        <f t="shared" si="1"/>
        <v>552.99</v>
      </c>
    </row>
    <row r="66" spans="1:16">
      <c r="A66" s="470">
        <v>2013</v>
      </c>
      <c r="B66" s="471">
        <v>1</v>
      </c>
      <c r="C66" s="472">
        <v>104.34047072730002</v>
      </c>
      <c r="D66" s="472">
        <v>45</v>
      </c>
      <c r="E66" s="472">
        <v>516.29999999999995</v>
      </c>
      <c r="F66" s="474">
        <v>1.1100000000000001</v>
      </c>
      <c r="G66" s="472">
        <v>0</v>
      </c>
      <c r="H66" s="472"/>
      <c r="I66" s="480">
        <v>8.9628433110365648</v>
      </c>
      <c r="J66" s="480">
        <v>6.5279999999999996</v>
      </c>
      <c r="K66" s="480"/>
      <c r="L66" s="480"/>
      <c r="M66" s="480"/>
      <c r="N66" s="472">
        <f t="shared" si="0"/>
        <v>682.24131403833655</v>
      </c>
      <c r="O66" s="481">
        <v>-3.7156688963435158E-2</v>
      </c>
      <c r="P66" s="475">
        <f t="shared" si="1"/>
        <v>516.29999999999995</v>
      </c>
    </row>
    <row r="67" spans="1:16">
      <c r="A67" s="470">
        <v>2013</v>
      </c>
      <c r="B67" s="471">
        <v>2</v>
      </c>
      <c r="C67" s="472">
        <v>114.57641914760001</v>
      </c>
      <c r="D67" s="472">
        <v>45</v>
      </c>
      <c r="E67" s="472">
        <v>656.87</v>
      </c>
      <c r="F67" s="474">
        <v>1.1100000000000001</v>
      </c>
      <c r="G67" s="472">
        <v>0</v>
      </c>
      <c r="H67" s="472"/>
      <c r="I67" s="480">
        <v>10.852593189585942</v>
      </c>
      <c r="J67" s="480">
        <v>6.7270000000000003</v>
      </c>
      <c r="K67" s="480"/>
      <c r="L67" s="480"/>
      <c r="M67" s="480"/>
      <c r="N67" s="472">
        <f t="shared" si="0"/>
        <v>835.13601233718589</v>
      </c>
      <c r="O67" s="481">
        <v>0.85259318958594221</v>
      </c>
      <c r="P67" s="475">
        <f t="shared" si="1"/>
        <v>656.87</v>
      </c>
    </row>
    <row r="68" spans="1:16">
      <c r="A68" s="470">
        <v>2013</v>
      </c>
      <c r="B68" s="471">
        <v>3</v>
      </c>
      <c r="C68" s="472">
        <v>126.20488156100002</v>
      </c>
      <c r="D68" s="472">
        <v>45</v>
      </c>
      <c r="E68" s="472">
        <v>638.20000000000005</v>
      </c>
      <c r="F68" s="474">
        <v>1.1100000000000001</v>
      </c>
      <c r="G68" s="472">
        <v>0</v>
      </c>
      <c r="H68" s="472"/>
      <c r="I68" s="480">
        <v>11.364400448359735</v>
      </c>
      <c r="J68" s="480">
        <v>6.742</v>
      </c>
      <c r="K68" s="480"/>
      <c r="L68" s="480"/>
      <c r="M68" s="480"/>
      <c r="N68" s="472">
        <f t="shared" si="0"/>
        <v>828.6212820093599</v>
      </c>
      <c r="O68" s="481">
        <v>0.36440044835973495</v>
      </c>
      <c r="P68" s="475">
        <f t="shared" si="1"/>
        <v>638.20000000000005</v>
      </c>
    </row>
    <row r="69" spans="1:16">
      <c r="A69" s="470">
        <v>2013</v>
      </c>
      <c r="B69" s="471">
        <v>4</v>
      </c>
      <c r="C69" s="472">
        <v>126.96192695270001</v>
      </c>
      <c r="D69" s="472">
        <v>45</v>
      </c>
      <c r="E69" s="472">
        <v>608.87</v>
      </c>
      <c r="F69" s="474">
        <v>1.1100000000000001</v>
      </c>
      <c r="G69" s="472">
        <v>0</v>
      </c>
      <c r="H69" s="472"/>
      <c r="I69" s="480">
        <v>11.578862194445108</v>
      </c>
      <c r="J69" s="480">
        <v>6.3239999999999998</v>
      </c>
      <c r="K69" s="480"/>
      <c r="L69" s="480"/>
      <c r="M69" s="480"/>
      <c r="N69" s="472">
        <f t="shared" si="0"/>
        <v>799.84478914714521</v>
      </c>
      <c r="O69" s="481">
        <v>1.578862194445108</v>
      </c>
      <c r="P69" s="475">
        <f t="shared" si="1"/>
        <v>608.87</v>
      </c>
    </row>
    <row r="70" spans="1:16">
      <c r="A70" s="470">
        <v>2013</v>
      </c>
      <c r="B70" s="471">
        <v>5</v>
      </c>
      <c r="C70" s="472">
        <v>139.31678514680002</v>
      </c>
      <c r="D70" s="472">
        <v>45</v>
      </c>
      <c r="E70" s="472">
        <v>714.4</v>
      </c>
      <c r="F70" s="474">
        <v>1.1100000000000001</v>
      </c>
      <c r="G70" s="472">
        <v>0</v>
      </c>
      <c r="H70" s="472"/>
      <c r="I70" s="480">
        <v>12.366257977174017</v>
      </c>
      <c r="J70" s="480">
        <v>7.5549999999999997</v>
      </c>
      <c r="K70" s="480"/>
      <c r="L70" s="480"/>
      <c r="M70" s="480"/>
      <c r="N70" s="472">
        <f t="shared" si="0"/>
        <v>919.74804312397396</v>
      </c>
      <c r="O70" s="481">
        <v>0.36625797717401731</v>
      </c>
      <c r="P70" s="475">
        <f>E70+G70</f>
        <v>714.4</v>
      </c>
    </row>
    <row r="71" spans="1:16">
      <c r="A71" s="470">
        <v>2013</v>
      </c>
      <c r="B71" s="471">
        <v>6</v>
      </c>
      <c r="C71" s="472">
        <v>141.917915467</v>
      </c>
      <c r="D71" s="472">
        <v>0</v>
      </c>
      <c r="E71" s="472">
        <v>761.88</v>
      </c>
      <c r="F71" s="474">
        <v>1.1100000000000001</v>
      </c>
      <c r="G71" s="472">
        <v>0</v>
      </c>
      <c r="H71" s="472"/>
      <c r="I71" s="480">
        <v>13.184735172379067</v>
      </c>
      <c r="J71" s="480">
        <v>7.9880000000000004</v>
      </c>
      <c r="K71" s="480"/>
      <c r="L71" s="480"/>
      <c r="M71" s="480"/>
      <c r="N71" s="472">
        <f t="shared" ref="N71:N134" si="2">SUM(C71:M71)</f>
        <v>926.08065063937909</v>
      </c>
      <c r="O71" s="481">
        <v>1.1847351723790673</v>
      </c>
      <c r="P71" s="475">
        <f>E71+G71-45</f>
        <v>716.88</v>
      </c>
    </row>
    <row r="72" spans="1:16">
      <c r="A72" s="470">
        <v>2013</v>
      </c>
      <c r="B72" s="471">
        <v>7</v>
      </c>
      <c r="C72" s="472">
        <v>148.18269595539999</v>
      </c>
      <c r="D72" s="472">
        <v>0</v>
      </c>
      <c r="E72" s="472">
        <v>765.04</v>
      </c>
      <c r="F72" s="474">
        <v>1.1100000000000001</v>
      </c>
      <c r="G72" s="472">
        <v>0</v>
      </c>
      <c r="H72" s="472"/>
      <c r="I72" s="480">
        <v>12.499821608403455</v>
      </c>
      <c r="J72" s="480">
        <v>8.2550000000000008</v>
      </c>
      <c r="K72" s="480"/>
      <c r="L72" s="480"/>
      <c r="M72" s="480"/>
      <c r="N72" s="472">
        <f t="shared" si="2"/>
        <v>935.08751756380343</v>
      </c>
      <c r="O72" s="481">
        <v>1.4998216084034546</v>
      </c>
      <c r="P72" s="475">
        <f>E72+G72-45</f>
        <v>720.04</v>
      </c>
    </row>
    <row r="73" spans="1:16" s="479" customFormat="1" ht="12">
      <c r="A73" s="470">
        <v>2013</v>
      </c>
      <c r="B73" s="471">
        <v>8</v>
      </c>
      <c r="C73" s="472">
        <v>143.47389405210001</v>
      </c>
      <c r="D73" s="472">
        <v>0</v>
      </c>
      <c r="E73" s="472">
        <v>776.39</v>
      </c>
      <c r="F73" s="474">
        <v>1.1100000000000001</v>
      </c>
      <c r="G73" s="472">
        <v>0</v>
      </c>
      <c r="H73" s="472"/>
      <c r="I73" s="480">
        <v>13.555693029118267</v>
      </c>
      <c r="J73" s="480">
        <v>8.3889999999999993</v>
      </c>
      <c r="K73" s="480"/>
      <c r="L73" s="480"/>
      <c r="M73" s="480"/>
      <c r="N73" s="472">
        <f t="shared" si="2"/>
        <v>942.91858708121833</v>
      </c>
      <c r="O73" s="481">
        <v>0.55569302911826668</v>
      </c>
      <c r="P73" s="475">
        <f>E73+G73-45</f>
        <v>731.39</v>
      </c>
    </row>
    <row r="74" spans="1:16">
      <c r="A74" s="470">
        <v>2013</v>
      </c>
      <c r="B74" s="471">
        <v>9</v>
      </c>
      <c r="C74" s="472">
        <v>141.29164174889999</v>
      </c>
      <c r="D74" s="472">
        <v>0</v>
      </c>
      <c r="E74" s="472">
        <v>760.21</v>
      </c>
      <c r="F74" s="474">
        <v>1.1100000000000001</v>
      </c>
      <c r="G74" s="472">
        <v>0</v>
      </c>
      <c r="H74" s="472"/>
      <c r="I74" s="480">
        <v>13.022069470755053</v>
      </c>
      <c r="J74" s="480">
        <v>8.1630000000000003</v>
      </c>
      <c r="K74" s="480"/>
      <c r="L74" s="480"/>
      <c r="M74" s="480"/>
      <c r="N74" s="472">
        <f t="shared" si="2"/>
        <v>923.79671121965509</v>
      </c>
      <c r="O74" s="481">
        <v>2.2069470755052834E-2</v>
      </c>
      <c r="P74" s="475">
        <f t="shared" ref="P74:P137" si="3">E74+G74-45</f>
        <v>715.21</v>
      </c>
    </row>
    <row r="75" spans="1:16">
      <c r="A75" s="470">
        <v>2013</v>
      </c>
      <c r="B75" s="471">
        <v>10</v>
      </c>
      <c r="C75" s="472">
        <v>130.06673254700002</v>
      </c>
      <c r="D75" s="472">
        <v>0</v>
      </c>
      <c r="E75" s="472">
        <v>714.08</v>
      </c>
      <c r="F75" s="474">
        <v>1.1100000000000001</v>
      </c>
      <c r="G75" s="472">
        <v>0</v>
      </c>
      <c r="H75" s="472"/>
      <c r="I75" s="480">
        <v>11.904148799067773</v>
      </c>
      <c r="J75" s="480">
        <v>7.22</v>
      </c>
      <c r="K75" s="480"/>
      <c r="L75" s="480"/>
      <c r="M75" s="480"/>
      <c r="N75" s="472">
        <f t="shared" si="2"/>
        <v>864.38088134606789</v>
      </c>
      <c r="O75" s="481">
        <v>0.90414879906777301</v>
      </c>
      <c r="P75" s="475">
        <f t="shared" si="3"/>
        <v>669.08</v>
      </c>
    </row>
    <row r="76" spans="1:16">
      <c r="A76" s="470">
        <v>2013</v>
      </c>
      <c r="B76" s="471">
        <v>11</v>
      </c>
      <c r="C76" s="472">
        <v>115.34061611520001</v>
      </c>
      <c r="D76" s="472">
        <v>0</v>
      </c>
      <c r="E76" s="472">
        <v>619.30999999999995</v>
      </c>
      <c r="F76" s="474">
        <v>1.1100000000000001</v>
      </c>
      <c r="G76" s="472">
        <v>0</v>
      </c>
      <c r="H76" s="472"/>
      <c r="I76" s="480">
        <v>10.309483049075373</v>
      </c>
      <c r="J76" s="480">
        <v>5.7069999999999999</v>
      </c>
      <c r="K76" s="480"/>
      <c r="L76" s="480"/>
      <c r="M76" s="480"/>
      <c r="N76" s="472">
        <f t="shared" si="2"/>
        <v>751.77709916427534</v>
      </c>
      <c r="O76" s="481">
        <v>0.30948304907537327</v>
      </c>
      <c r="P76" s="475">
        <f t="shared" si="3"/>
        <v>574.30999999999995</v>
      </c>
    </row>
    <row r="77" spans="1:16">
      <c r="A77" s="470">
        <v>2013</v>
      </c>
      <c r="B77" s="471">
        <v>12</v>
      </c>
      <c r="C77" s="472">
        <v>116.26827767480002</v>
      </c>
      <c r="D77" s="472">
        <v>0</v>
      </c>
      <c r="E77" s="472">
        <v>571.82000000000005</v>
      </c>
      <c r="F77" s="472">
        <v>0</v>
      </c>
      <c r="G77" s="472">
        <v>0</v>
      </c>
      <c r="H77" s="472"/>
      <c r="I77" s="480">
        <v>10.032043900215818</v>
      </c>
      <c r="J77" s="480">
        <v>6.4009999999999998</v>
      </c>
      <c r="K77" s="480"/>
      <c r="L77" s="480"/>
      <c r="M77" s="480"/>
      <c r="N77" s="472">
        <f t="shared" si="2"/>
        <v>704.52132157501592</v>
      </c>
      <c r="O77" s="481">
        <v>1.0320439002158182</v>
      </c>
      <c r="P77" s="475">
        <f t="shared" si="3"/>
        <v>526.82000000000005</v>
      </c>
    </row>
    <row r="78" spans="1:16">
      <c r="A78" s="470">
        <f>A66+1</f>
        <v>2014</v>
      </c>
      <c r="B78" s="470">
        <f>B66</f>
        <v>1</v>
      </c>
      <c r="C78" s="472">
        <v>120.126</v>
      </c>
      <c r="D78" s="472">
        <v>0</v>
      </c>
      <c r="E78" s="472">
        <v>762.85500000000002</v>
      </c>
      <c r="F78" s="472">
        <v>0</v>
      </c>
      <c r="G78" s="472">
        <v>0</v>
      </c>
      <c r="H78" s="472">
        <v>0</v>
      </c>
      <c r="I78" s="480">
        <v>12.442943128345359</v>
      </c>
      <c r="J78" s="480">
        <v>8.5050000000000008</v>
      </c>
      <c r="K78" s="480">
        <v>23</v>
      </c>
      <c r="L78" s="480"/>
      <c r="M78" s="480"/>
      <c r="N78" s="472">
        <f t="shared" si="2"/>
        <v>926.9289431283454</v>
      </c>
      <c r="O78" s="481">
        <v>0.44294312834535887</v>
      </c>
      <c r="P78" s="475">
        <f t="shared" si="3"/>
        <v>717.85500000000002</v>
      </c>
    </row>
    <row r="79" spans="1:16">
      <c r="A79" s="470">
        <f t="shared" ref="A79:A142" si="4">A67+1</f>
        <v>2014</v>
      </c>
      <c r="B79" s="470">
        <f t="shared" ref="B79:B142" si="5">B67</f>
        <v>2</v>
      </c>
      <c r="C79" s="472">
        <v>119.199</v>
      </c>
      <c r="D79" s="472">
        <v>0</v>
      </c>
      <c r="E79" s="472">
        <v>610.40700000000004</v>
      </c>
      <c r="F79" s="472">
        <v>0</v>
      </c>
      <c r="G79" s="472">
        <v>0</v>
      </c>
      <c r="H79" s="472">
        <v>35</v>
      </c>
      <c r="I79" s="480">
        <v>9.4077006016088536</v>
      </c>
      <c r="J79" s="480">
        <v>6.8609999999999998</v>
      </c>
      <c r="K79" s="480">
        <v>23</v>
      </c>
      <c r="L79" s="480"/>
      <c r="M79" s="480"/>
      <c r="N79" s="472">
        <f t="shared" si="2"/>
        <v>803.87470060160888</v>
      </c>
      <c r="O79" s="481">
        <v>0.40770060160885357</v>
      </c>
      <c r="P79" s="475">
        <f t="shared" si="3"/>
        <v>565.40700000000004</v>
      </c>
    </row>
    <row r="80" spans="1:16">
      <c r="A80" s="470">
        <f t="shared" si="4"/>
        <v>2014</v>
      </c>
      <c r="B80" s="470">
        <f t="shared" si="5"/>
        <v>3</v>
      </c>
      <c r="C80" s="472">
        <v>125.468</v>
      </c>
      <c r="D80" s="472">
        <v>0</v>
      </c>
      <c r="E80" s="472">
        <v>590.11</v>
      </c>
      <c r="F80" s="472">
        <v>0</v>
      </c>
      <c r="G80" s="472">
        <v>0</v>
      </c>
      <c r="H80" s="472">
        <v>20</v>
      </c>
      <c r="I80" s="480">
        <v>9.016790320482313</v>
      </c>
      <c r="J80" s="480">
        <v>5.883</v>
      </c>
      <c r="K80" s="480">
        <v>23</v>
      </c>
      <c r="L80" s="480"/>
      <c r="M80" s="480"/>
      <c r="N80" s="472">
        <f t="shared" si="2"/>
        <v>773.47779032048231</v>
      </c>
      <c r="O80" s="481">
        <v>1.016790320482313</v>
      </c>
      <c r="P80" s="475">
        <f t="shared" si="3"/>
        <v>545.11</v>
      </c>
    </row>
    <row r="81" spans="1:16">
      <c r="A81" s="470">
        <f t="shared" si="4"/>
        <v>2014</v>
      </c>
      <c r="B81" s="470">
        <f t="shared" si="5"/>
        <v>4</v>
      </c>
      <c r="C81" s="472">
        <v>131.17099999999999</v>
      </c>
      <c r="D81" s="472">
        <v>0</v>
      </c>
      <c r="E81" s="472">
        <v>723.71299999999997</v>
      </c>
      <c r="F81" s="472">
        <v>0</v>
      </c>
      <c r="G81" s="472">
        <v>0</v>
      </c>
      <c r="H81" s="472">
        <v>10</v>
      </c>
      <c r="I81" s="480">
        <v>12.472933599648719</v>
      </c>
      <c r="J81" s="480">
        <v>6.516</v>
      </c>
      <c r="K81" s="480">
        <v>23</v>
      </c>
      <c r="L81" s="480"/>
      <c r="M81" s="480"/>
      <c r="N81" s="472">
        <f t="shared" si="2"/>
        <v>906.87293359964872</v>
      </c>
      <c r="O81" s="481">
        <v>0.47293359964871939</v>
      </c>
      <c r="P81" s="475">
        <f t="shared" si="3"/>
        <v>678.71299999999997</v>
      </c>
    </row>
    <row r="82" spans="1:16">
      <c r="A82" s="470">
        <f t="shared" si="4"/>
        <v>2014</v>
      </c>
      <c r="B82" s="470">
        <f t="shared" si="5"/>
        <v>5</v>
      </c>
      <c r="C82" s="472">
        <v>136.16</v>
      </c>
      <c r="D82" s="472">
        <v>0</v>
      </c>
      <c r="E82" s="472">
        <v>758.00699999999995</v>
      </c>
      <c r="F82" s="472">
        <v>0</v>
      </c>
      <c r="G82" s="472">
        <v>0</v>
      </c>
      <c r="H82" s="472">
        <v>20</v>
      </c>
      <c r="I82" s="480">
        <v>12.657327203017461</v>
      </c>
      <c r="J82" s="480">
        <v>7.2969999999999997</v>
      </c>
      <c r="K82" s="480">
        <v>23</v>
      </c>
      <c r="L82" s="480"/>
      <c r="M82" s="480"/>
      <c r="N82" s="472">
        <f t="shared" si="2"/>
        <v>957.12132720301736</v>
      </c>
      <c r="O82" s="481">
        <v>-0.34267279698253894</v>
      </c>
      <c r="P82" s="475">
        <f t="shared" si="3"/>
        <v>713.00699999999995</v>
      </c>
    </row>
    <row r="83" spans="1:16">
      <c r="A83" s="470">
        <f t="shared" si="4"/>
        <v>2014</v>
      </c>
      <c r="B83" s="470">
        <f t="shared" si="5"/>
        <v>6</v>
      </c>
      <c r="C83" s="472">
        <v>148.58600000000001</v>
      </c>
      <c r="D83" s="472">
        <v>0</v>
      </c>
      <c r="E83" s="472">
        <v>836.13499999999999</v>
      </c>
      <c r="F83" s="472">
        <v>0</v>
      </c>
      <c r="G83" s="472">
        <v>200</v>
      </c>
      <c r="H83" s="472">
        <v>35</v>
      </c>
      <c r="I83" s="480">
        <v>13.244309718637474</v>
      </c>
      <c r="J83" s="480">
        <v>8.3010000000000002</v>
      </c>
      <c r="K83" s="480">
        <v>23</v>
      </c>
      <c r="L83" s="480"/>
      <c r="M83" s="480"/>
      <c r="N83" s="472">
        <f t="shared" si="2"/>
        <v>1264.2663097186373</v>
      </c>
      <c r="O83" s="481">
        <v>0.2443097186374743</v>
      </c>
      <c r="P83" s="475">
        <f t="shared" si="3"/>
        <v>991.13499999999999</v>
      </c>
    </row>
    <row r="84" spans="1:16">
      <c r="A84" s="470">
        <f t="shared" si="4"/>
        <v>2014</v>
      </c>
      <c r="B84" s="470">
        <f t="shared" si="5"/>
        <v>7</v>
      </c>
      <c r="C84" s="472">
        <v>155.797</v>
      </c>
      <c r="D84" s="472">
        <v>0</v>
      </c>
      <c r="E84" s="472">
        <v>788.87099999999998</v>
      </c>
      <c r="F84" s="472">
        <v>0</v>
      </c>
      <c r="G84" s="472">
        <v>200</v>
      </c>
      <c r="H84" s="472">
        <v>35</v>
      </c>
      <c r="I84" s="480">
        <v>12.957018980358665</v>
      </c>
      <c r="J84" s="480">
        <v>8.3580000000000005</v>
      </c>
      <c r="K84" s="480">
        <v>23</v>
      </c>
      <c r="L84" s="480"/>
      <c r="M84" s="480"/>
      <c r="N84" s="472">
        <f t="shared" si="2"/>
        <v>1223.9830189803588</v>
      </c>
      <c r="O84" s="481">
        <v>-4.2981019641334939E-2</v>
      </c>
      <c r="P84" s="475">
        <f t="shared" si="3"/>
        <v>943.87099999999998</v>
      </c>
    </row>
    <row r="85" spans="1:16" s="479" customFormat="1" ht="12">
      <c r="A85" s="470">
        <f t="shared" si="4"/>
        <v>2014</v>
      </c>
      <c r="B85" s="470">
        <f t="shared" si="5"/>
        <v>8</v>
      </c>
      <c r="C85" s="472">
        <v>157.32499999999999</v>
      </c>
      <c r="D85" s="472">
        <v>0</v>
      </c>
      <c r="E85" s="472">
        <v>841.46799999999996</v>
      </c>
      <c r="F85" s="472">
        <v>0</v>
      </c>
      <c r="G85" s="472">
        <v>200</v>
      </c>
      <c r="H85" s="472">
        <v>35</v>
      </c>
      <c r="I85" s="480">
        <v>13.556402535041071</v>
      </c>
      <c r="J85" s="480">
        <v>8.3889999999999993</v>
      </c>
      <c r="K85" s="480">
        <v>23</v>
      </c>
      <c r="L85" s="480"/>
      <c r="M85" s="480"/>
      <c r="N85" s="472">
        <f t="shared" si="2"/>
        <v>1278.7384025350409</v>
      </c>
      <c r="O85" s="481">
        <v>-0.44359746495892871</v>
      </c>
      <c r="P85" s="475">
        <f t="shared" si="3"/>
        <v>996.46799999999985</v>
      </c>
    </row>
    <row r="86" spans="1:16">
      <c r="A86" s="470">
        <f t="shared" si="4"/>
        <v>2014</v>
      </c>
      <c r="B86" s="470">
        <f t="shared" si="5"/>
        <v>9</v>
      </c>
      <c r="C86" s="472">
        <v>144.214</v>
      </c>
      <c r="D86" s="472">
        <v>0</v>
      </c>
      <c r="E86" s="472">
        <v>791.88199999999995</v>
      </c>
      <c r="F86" s="472">
        <v>0</v>
      </c>
      <c r="G86" s="472">
        <v>200</v>
      </c>
      <c r="H86" s="472">
        <v>25</v>
      </c>
      <c r="I86" s="480">
        <v>13.083096210826344</v>
      </c>
      <c r="J86" s="480">
        <v>8.5060000000000002</v>
      </c>
      <c r="K86" s="480">
        <v>23</v>
      </c>
      <c r="L86" s="480"/>
      <c r="M86" s="480"/>
      <c r="N86" s="472">
        <f t="shared" si="2"/>
        <v>1205.6850962108265</v>
      </c>
      <c r="O86" s="481">
        <v>1.0830962108263442</v>
      </c>
      <c r="P86" s="475">
        <f t="shared" si="3"/>
        <v>946.88199999999995</v>
      </c>
    </row>
    <row r="87" spans="1:16">
      <c r="A87" s="470">
        <f t="shared" si="4"/>
        <v>2014</v>
      </c>
      <c r="B87" s="470">
        <f t="shared" si="5"/>
        <v>10</v>
      </c>
      <c r="C87" s="472">
        <v>137.523</v>
      </c>
      <c r="D87" s="472">
        <v>0</v>
      </c>
      <c r="E87" s="472">
        <v>764.87199999999996</v>
      </c>
      <c r="F87" s="472">
        <v>0</v>
      </c>
      <c r="G87" s="472">
        <v>200</v>
      </c>
      <c r="H87" s="472">
        <v>20</v>
      </c>
      <c r="I87" s="480">
        <v>12.339033867082666</v>
      </c>
      <c r="J87" s="480">
        <v>6.9279999999999999</v>
      </c>
      <c r="K87" s="480">
        <v>23</v>
      </c>
      <c r="L87" s="480"/>
      <c r="M87" s="480"/>
      <c r="N87" s="472">
        <f t="shared" si="2"/>
        <v>1164.6620338670828</v>
      </c>
      <c r="O87" s="481">
        <v>0.33903386708266581</v>
      </c>
      <c r="P87" s="475">
        <f t="shared" si="3"/>
        <v>919.87199999999996</v>
      </c>
    </row>
    <row r="88" spans="1:16">
      <c r="A88" s="470">
        <f t="shared" si="4"/>
        <v>2014</v>
      </c>
      <c r="B88" s="470">
        <f t="shared" si="5"/>
        <v>11</v>
      </c>
      <c r="C88" s="472">
        <v>115.85</v>
      </c>
      <c r="D88" s="472">
        <v>0</v>
      </c>
      <c r="E88" s="472">
        <v>601.73199999999997</v>
      </c>
      <c r="F88" s="472">
        <v>0</v>
      </c>
      <c r="G88" s="472">
        <v>200</v>
      </c>
      <c r="H88" s="472">
        <v>10</v>
      </c>
      <c r="I88" s="480">
        <v>9.5136638007004208</v>
      </c>
      <c r="J88" s="480">
        <v>7.5069999999999997</v>
      </c>
      <c r="K88" s="480">
        <v>23</v>
      </c>
      <c r="L88" s="480"/>
      <c r="M88" s="480"/>
      <c r="N88" s="472">
        <f t="shared" si="2"/>
        <v>967.60266380070038</v>
      </c>
      <c r="O88" s="481">
        <v>0.51366380070042084</v>
      </c>
      <c r="P88" s="475">
        <f t="shared" si="3"/>
        <v>756.73199999999997</v>
      </c>
    </row>
    <row r="89" spans="1:16">
      <c r="A89" s="470">
        <f t="shared" si="4"/>
        <v>2014</v>
      </c>
      <c r="B89" s="470">
        <f t="shared" si="5"/>
        <v>12</v>
      </c>
      <c r="C89" s="472">
        <v>118.878</v>
      </c>
      <c r="D89" s="472">
        <v>0</v>
      </c>
      <c r="E89" s="472">
        <v>564.21299999999997</v>
      </c>
      <c r="F89" s="472">
        <v>0</v>
      </c>
      <c r="G89" s="472">
        <v>200</v>
      </c>
      <c r="H89" s="472">
        <v>20</v>
      </c>
      <c r="I89" s="480">
        <v>9.6201060526526412</v>
      </c>
      <c r="J89" s="480">
        <v>6.3840000000000003</v>
      </c>
      <c r="K89" s="480">
        <v>23</v>
      </c>
      <c r="L89" s="480"/>
      <c r="M89" s="480"/>
      <c r="N89" s="472">
        <f t="shared" si="2"/>
        <v>942.09510605265268</v>
      </c>
      <c r="O89" s="481">
        <v>0.62010605265264118</v>
      </c>
      <c r="P89" s="475">
        <f t="shared" si="3"/>
        <v>719.21299999999997</v>
      </c>
    </row>
    <row r="90" spans="1:16">
      <c r="A90" s="470">
        <f t="shared" si="4"/>
        <v>2015</v>
      </c>
      <c r="B90" s="470">
        <f t="shared" si="5"/>
        <v>1</v>
      </c>
      <c r="C90" s="472">
        <v>119.74</v>
      </c>
      <c r="D90" s="472">
        <v>0</v>
      </c>
      <c r="E90" s="472">
        <v>591.45299999999997</v>
      </c>
      <c r="F90" s="472">
        <v>0</v>
      </c>
      <c r="G90" s="472">
        <v>200</v>
      </c>
      <c r="H90" s="472">
        <v>40</v>
      </c>
      <c r="I90" s="480">
        <v>9.4671599042164392</v>
      </c>
      <c r="J90" s="480">
        <v>8.0839999999999996</v>
      </c>
      <c r="K90" s="480">
        <v>36.384999999999998</v>
      </c>
      <c r="L90" s="480">
        <v>0</v>
      </c>
      <c r="M90" s="480"/>
      <c r="N90" s="472">
        <f t="shared" si="2"/>
        <v>1005.1291599042164</v>
      </c>
      <c r="O90" s="481">
        <v>1.4671599042164392</v>
      </c>
      <c r="P90" s="475">
        <f t="shared" si="3"/>
        <v>746.45299999999997</v>
      </c>
    </row>
    <row r="91" spans="1:16">
      <c r="A91" s="470">
        <f t="shared" si="4"/>
        <v>2015</v>
      </c>
      <c r="B91" s="470">
        <f t="shared" si="5"/>
        <v>2</v>
      </c>
      <c r="C91" s="472">
        <v>121.476</v>
      </c>
      <c r="D91" s="472">
        <v>0</v>
      </c>
      <c r="E91" s="472">
        <v>912.05899999999997</v>
      </c>
      <c r="F91" s="472">
        <v>0</v>
      </c>
      <c r="G91" s="472">
        <v>200</v>
      </c>
      <c r="H91" s="472">
        <v>40</v>
      </c>
      <c r="I91" s="480">
        <v>12.789604953016337</v>
      </c>
      <c r="J91" s="480">
        <v>7.7380000000000004</v>
      </c>
      <c r="K91" s="480">
        <v>56.365000000000002</v>
      </c>
      <c r="L91" s="480">
        <v>0</v>
      </c>
      <c r="M91" s="480"/>
      <c r="N91" s="472">
        <f t="shared" si="2"/>
        <v>1350.4276049530163</v>
      </c>
      <c r="O91" s="481">
        <v>-0.21039504698366329</v>
      </c>
      <c r="P91" s="475">
        <f t="shared" si="3"/>
        <v>1067.059</v>
      </c>
    </row>
    <row r="92" spans="1:16">
      <c r="A92" s="470">
        <f t="shared" si="4"/>
        <v>2015</v>
      </c>
      <c r="B92" s="470">
        <f t="shared" si="5"/>
        <v>3</v>
      </c>
      <c r="C92" s="472">
        <v>136</v>
      </c>
      <c r="D92" s="472">
        <v>0</v>
      </c>
      <c r="E92" s="472">
        <v>691.38599999999997</v>
      </c>
      <c r="F92" s="472">
        <v>0</v>
      </c>
      <c r="G92" s="472">
        <v>200</v>
      </c>
      <c r="H92" s="472">
        <v>20</v>
      </c>
      <c r="I92" s="480">
        <v>10.531582423738648</v>
      </c>
      <c r="J92" s="480">
        <v>5.9210000000000003</v>
      </c>
      <c r="K92" s="480">
        <v>42.57</v>
      </c>
      <c r="L92" s="480">
        <v>0</v>
      </c>
      <c r="M92" s="480"/>
      <c r="N92" s="472">
        <f t="shared" si="2"/>
        <v>1106.4085824237386</v>
      </c>
      <c r="O92" s="481">
        <v>0.53158242373864795</v>
      </c>
      <c r="P92" s="475">
        <f t="shared" si="3"/>
        <v>846.38599999999997</v>
      </c>
    </row>
    <row r="93" spans="1:16">
      <c r="A93" s="470">
        <f t="shared" si="4"/>
        <v>2015</v>
      </c>
      <c r="B93" s="470">
        <f t="shared" si="5"/>
        <v>4</v>
      </c>
      <c r="C93" s="472">
        <v>151.589</v>
      </c>
      <c r="D93" s="472">
        <v>0</v>
      </c>
      <c r="E93" s="472">
        <v>823.86599999999999</v>
      </c>
      <c r="F93" s="472">
        <v>0</v>
      </c>
      <c r="G93" s="472">
        <v>200</v>
      </c>
      <c r="H93" s="472">
        <v>20</v>
      </c>
      <c r="I93" s="480">
        <v>11.903964079976987</v>
      </c>
      <c r="J93" s="480">
        <v>6.2939999999999996</v>
      </c>
      <c r="K93" s="480">
        <v>47.848999999999997</v>
      </c>
      <c r="L93" s="480">
        <v>0</v>
      </c>
      <c r="M93" s="480"/>
      <c r="N93" s="472">
        <f t="shared" si="2"/>
        <v>1261.5019640799769</v>
      </c>
      <c r="O93" s="481">
        <v>0.90396407997698702</v>
      </c>
      <c r="P93" s="475">
        <f t="shared" si="3"/>
        <v>978.86599999999999</v>
      </c>
    </row>
    <row r="94" spans="1:16">
      <c r="A94" s="470">
        <f t="shared" si="4"/>
        <v>2015</v>
      </c>
      <c r="B94" s="470">
        <f t="shared" si="5"/>
        <v>5</v>
      </c>
      <c r="C94" s="472">
        <v>147.05500000000001</v>
      </c>
      <c r="D94" s="472">
        <v>0</v>
      </c>
      <c r="E94" s="472">
        <v>784.154</v>
      </c>
      <c r="F94" s="472">
        <v>0</v>
      </c>
      <c r="G94" s="472">
        <v>200</v>
      </c>
      <c r="H94" s="472">
        <v>25</v>
      </c>
      <c r="I94" s="480">
        <v>12.928204832168273</v>
      </c>
      <c r="J94" s="480">
        <v>7.5030000000000001</v>
      </c>
      <c r="K94" s="480">
        <v>54.709000000000003</v>
      </c>
      <c r="L94" s="480">
        <v>0</v>
      </c>
      <c r="M94" s="480"/>
      <c r="N94" s="472">
        <f t="shared" si="2"/>
        <v>1231.3492048321684</v>
      </c>
      <c r="O94" s="481">
        <v>0.92820483216827299</v>
      </c>
      <c r="P94" s="475">
        <f t="shared" si="3"/>
        <v>939.154</v>
      </c>
    </row>
    <row r="95" spans="1:16">
      <c r="A95" s="470">
        <f t="shared" si="4"/>
        <v>2015</v>
      </c>
      <c r="B95" s="470">
        <f t="shared" si="5"/>
        <v>6</v>
      </c>
      <c r="C95" s="472">
        <v>153.76300000000001</v>
      </c>
      <c r="D95" s="472">
        <v>0</v>
      </c>
      <c r="E95" s="472">
        <v>844.71600000000001</v>
      </c>
      <c r="F95" s="472">
        <v>0</v>
      </c>
      <c r="G95" s="472">
        <v>200</v>
      </c>
      <c r="H95" s="472">
        <v>40</v>
      </c>
      <c r="I95" s="480">
        <v>13.200834121703572</v>
      </c>
      <c r="J95" s="480">
        <v>8.2100000000000009</v>
      </c>
      <c r="K95" s="480">
        <v>60.194000000000003</v>
      </c>
      <c r="L95" s="480">
        <v>0</v>
      </c>
      <c r="M95" s="480"/>
      <c r="N95" s="472">
        <f t="shared" si="2"/>
        <v>1320.0838341217036</v>
      </c>
      <c r="O95" s="481">
        <v>0.20083412170357207</v>
      </c>
      <c r="P95" s="475">
        <f t="shared" si="3"/>
        <v>999.71599999999989</v>
      </c>
    </row>
    <row r="96" spans="1:16">
      <c r="A96" s="470">
        <f t="shared" si="4"/>
        <v>2015</v>
      </c>
      <c r="B96" s="470">
        <f t="shared" si="5"/>
        <v>7</v>
      </c>
      <c r="C96" s="472">
        <v>156.506</v>
      </c>
      <c r="D96" s="472">
        <v>0</v>
      </c>
      <c r="E96" s="472">
        <v>779.5983313383332</v>
      </c>
      <c r="F96" s="472">
        <v>0</v>
      </c>
      <c r="G96" s="472">
        <v>200</v>
      </c>
      <c r="H96" s="472">
        <v>45</v>
      </c>
      <c r="I96" s="480">
        <v>12.957018980358665</v>
      </c>
      <c r="J96" s="480">
        <v>9</v>
      </c>
      <c r="K96" s="480">
        <v>60</v>
      </c>
      <c r="L96" s="480">
        <v>0</v>
      </c>
      <c r="M96" s="480"/>
      <c r="N96" s="472">
        <f t="shared" si="2"/>
        <v>1263.0613503186919</v>
      </c>
      <c r="O96" s="481">
        <v>0.95701898035866506</v>
      </c>
      <c r="P96" s="475">
        <f t="shared" si="3"/>
        <v>934.5983313383332</v>
      </c>
    </row>
    <row r="97" spans="1:16" s="479" customFormat="1" ht="12">
      <c r="A97" s="470">
        <f t="shared" si="4"/>
        <v>2015</v>
      </c>
      <c r="B97" s="470">
        <f t="shared" si="5"/>
        <v>8</v>
      </c>
      <c r="C97" s="482">
        <v>155.02455897009193</v>
      </c>
      <c r="D97" s="482">
        <v>0</v>
      </c>
      <c r="E97" s="482">
        <v>779.97000849173446</v>
      </c>
      <c r="F97" s="482">
        <v>0</v>
      </c>
      <c r="G97" s="482">
        <v>200</v>
      </c>
      <c r="H97" s="482">
        <v>45</v>
      </c>
      <c r="I97" s="483">
        <v>13</v>
      </c>
      <c r="J97" s="483">
        <v>9</v>
      </c>
      <c r="K97" s="483">
        <v>60</v>
      </c>
      <c r="L97" s="483">
        <v>25</v>
      </c>
      <c r="M97" s="483"/>
      <c r="N97" s="482">
        <f t="shared" si="2"/>
        <v>1286.9945674618264</v>
      </c>
      <c r="O97" s="481">
        <v>0</v>
      </c>
      <c r="P97" s="475">
        <f t="shared" si="3"/>
        <v>934.97000849173446</v>
      </c>
    </row>
    <row r="98" spans="1:16">
      <c r="A98" s="470">
        <f t="shared" si="4"/>
        <v>2015</v>
      </c>
      <c r="B98" s="470">
        <f t="shared" si="5"/>
        <v>9</v>
      </c>
      <c r="C98" s="482">
        <v>146.29487383408176</v>
      </c>
      <c r="D98" s="482">
        <v>0</v>
      </c>
      <c r="E98" s="482">
        <v>745.01127838446803</v>
      </c>
      <c r="F98" s="482">
        <v>0</v>
      </c>
      <c r="G98" s="482">
        <v>200</v>
      </c>
      <c r="H98" s="482">
        <v>30</v>
      </c>
      <c r="I98" s="483">
        <v>13</v>
      </c>
      <c r="J98" s="483">
        <v>9</v>
      </c>
      <c r="K98" s="483">
        <v>60</v>
      </c>
      <c r="L98" s="483">
        <v>21</v>
      </c>
      <c r="M98" s="483"/>
      <c r="N98" s="482">
        <f t="shared" si="2"/>
        <v>1224.3061522185499</v>
      </c>
      <c r="O98" s="481">
        <v>0</v>
      </c>
      <c r="P98" s="475">
        <f t="shared" si="3"/>
        <v>900.01127838446803</v>
      </c>
    </row>
    <row r="99" spans="1:16">
      <c r="A99" s="470">
        <f t="shared" si="4"/>
        <v>2015</v>
      </c>
      <c r="B99" s="470">
        <f t="shared" si="5"/>
        <v>10</v>
      </c>
      <c r="C99" s="482">
        <v>132.1592441799404</v>
      </c>
      <c r="D99" s="482">
        <v>0</v>
      </c>
      <c r="E99" s="482">
        <v>685.64709503858717</v>
      </c>
      <c r="F99" s="482">
        <v>0</v>
      </c>
      <c r="G99" s="482">
        <v>200</v>
      </c>
      <c r="H99" s="482">
        <v>20</v>
      </c>
      <c r="I99" s="483">
        <v>13</v>
      </c>
      <c r="J99" s="483">
        <v>9</v>
      </c>
      <c r="K99" s="483">
        <v>60</v>
      </c>
      <c r="L99" s="483">
        <v>8</v>
      </c>
      <c r="M99" s="483"/>
      <c r="N99" s="482">
        <f t="shared" si="2"/>
        <v>1127.8063392185277</v>
      </c>
      <c r="O99" s="481">
        <v>0</v>
      </c>
      <c r="P99" s="475">
        <f t="shared" si="3"/>
        <v>840.64709503858717</v>
      </c>
    </row>
    <row r="100" spans="1:16">
      <c r="A100" s="470">
        <f t="shared" si="4"/>
        <v>2015</v>
      </c>
      <c r="B100" s="470">
        <f t="shared" si="5"/>
        <v>11</v>
      </c>
      <c r="C100" s="482">
        <v>118.04761439576826</v>
      </c>
      <c r="D100" s="482">
        <v>0</v>
      </c>
      <c r="E100" s="482">
        <v>611.65330455622302</v>
      </c>
      <c r="F100" s="482">
        <v>0</v>
      </c>
      <c r="G100" s="482">
        <v>200</v>
      </c>
      <c r="H100" s="482">
        <v>15</v>
      </c>
      <c r="I100" s="483">
        <v>13</v>
      </c>
      <c r="J100" s="483">
        <v>9</v>
      </c>
      <c r="K100" s="483">
        <v>60</v>
      </c>
      <c r="L100" s="483">
        <v>0</v>
      </c>
      <c r="M100" s="483"/>
      <c r="N100" s="482">
        <f t="shared" si="2"/>
        <v>1026.7009189519913</v>
      </c>
      <c r="O100" s="481">
        <v>0</v>
      </c>
      <c r="P100" s="475">
        <f t="shared" si="3"/>
        <v>766.65330455622302</v>
      </c>
    </row>
    <row r="101" spans="1:16">
      <c r="A101" s="470">
        <f t="shared" si="4"/>
        <v>2015</v>
      </c>
      <c r="B101" s="470">
        <f t="shared" si="5"/>
        <v>12</v>
      </c>
      <c r="C101" s="482">
        <v>122.53569666343438</v>
      </c>
      <c r="D101" s="482">
        <v>0</v>
      </c>
      <c r="E101" s="482">
        <v>623.82794159667264</v>
      </c>
      <c r="F101" s="482">
        <v>0</v>
      </c>
      <c r="G101" s="482">
        <v>200</v>
      </c>
      <c r="H101" s="482">
        <v>20</v>
      </c>
      <c r="I101" s="483">
        <v>13</v>
      </c>
      <c r="J101" s="483">
        <v>9</v>
      </c>
      <c r="K101" s="483">
        <v>60</v>
      </c>
      <c r="L101" s="483">
        <v>0</v>
      </c>
      <c r="M101" s="483"/>
      <c r="N101" s="482">
        <f t="shared" si="2"/>
        <v>1048.3636382601071</v>
      </c>
      <c r="O101" s="481">
        <v>0</v>
      </c>
      <c r="P101" s="475">
        <f t="shared" si="3"/>
        <v>778.82794159667264</v>
      </c>
    </row>
    <row r="102" spans="1:16">
      <c r="A102" s="470">
        <f t="shared" si="4"/>
        <v>2016</v>
      </c>
      <c r="B102" s="470">
        <f t="shared" si="5"/>
        <v>1</v>
      </c>
      <c r="C102" s="482">
        <v>125.87830577434346</v>
      </c>
      <c r="D102" s="482">
        <v>0</v>
      </c>
      <c r="E102" s="482">
        <v>751.351</v>
      </c>
      <c r="F102" s="482">
        <v>0</v>
      </c>
      <c r="G102" s="482">
        <v>200</v>
      </c>
      <c r="H102" s="482">
        <v>40</v>
      </c>
      <c r="I102" s="483">
        <v>13</v>
      </c>
      <c r="J102" s="483">
        <v>9</v>
      </c>
      <c r="K102" s="483">
        <v>60</v>
      </c>
      <c r="L102" s="483">
        <v>18</v>
      </c>
      <c r="M102" s="483">
        <v>19</v>
      </c>
      <c r="N102" s="482">
        <f t="shared" si="2"/>
        <v>1236.2293057743434</v>
      </c>
      <c r="O102" s="481">
        <v>0</v>
      </c>
      <c r="P102" s="475">
        <f t="shared" si="3"/>
        <v>906.351</v>
      </c>
    </row>
    <row r="103" spans="1:16">
      <c r="A103" s="470">
        <f t="shared" si="4"/>
        <v>2016</v>
      </c>
      <c r="B103" s="470">
        <f t="shared" si="5"/>
        <v>2</v>
      </c>
      <c r="C103" s="482">
        <v>124.50542302944943</v>
      </c>
      <c r="D103" s="482">
        <v>0</v>
      </c>
      <c r="E103" s="482">
        <v>672.00699999999995</v>
      </c>
      <c r="F103" s="482">
        <v>0</v>
      </c>
      <c r="G103" s="482">
        <v>200</v>
      </c>
      <c r="H103" s="482">
        <v>40</v>
      </c>
      <c r="I103" s="483">
        <v>13</v>
      </c>
      <c r="J103" s="483">
        <v>9</v>
      </c>
      <c r="K103" s="483">
        <v>60</v>
      </c>
      <c r="L103" s="483">
        <v>0</v>
      </c>
      <c r="M103" s="483">
        <v>0</v>
      </c>
      <c r="N103" s="482">
        <f t="shared" si="2"/>
        <v>1118.5124230294493</v>
      </c>
      <c r="O103" s="481">
        <v>0</v>
      </c>
      <c r="P103" s="475">
        <f t="shared" si="3"/>
        <v>827.00699999999995</v>
      </c>
    </row>
    <row r="104" spans="1:16">
      <c r="A104" s="470">
        <f t="shared" si="4"/>
        <v>2016</v>
      </c>
      <c r="B104" s="470">
        <f t="shared" si="5"/>
        <v>3</v>
      </c>
      <c r="C104" s="482">
        <v>131.76555744172978</v>
      </c>
      <c r="D104" s="482">
        <v>0</v>
      </c>
      <c r="E104" s="482">
        <v>618.80200000000002</v>
      </c>
      <c r="F104" s="482">
        <v>0</v>
      </c>
      <c r="G104" s="482">
        <v>200</v>
      </c>
      <c r="H104" s="482">
        <v>25</v>
      </c>
      <c r="I104" s="483">
        <v>13</v>
      </c>
      <c r="J104" s="483">
        <v>9</v>
      </c>
      <c r="K104" s="483">
        <v>60</v>
      </c>
      <c r="L104" s="483">
        <v>0</v>
      </c>
      <c r="M104" s="483">
        <v>0</v>
      </c>
      <c r="N104" s="482">
        <f t="shared" si="2"/>
        <v>1057.5675574417298</v>
      </c>
      <c r="O104" s="481">
        <v>0</v>
      </c>
      <c r="P104" s="475">
        <f t="shared" si="3"/>
        <v>773.80200000000002</v>
      </c>
    </row>
    <row r="105" spans="1:16">
      <c r="A105" s="470">
        <f t="shared" si="4"/>
        <v>2016</v>
      </c>
      <c r="B105" s="470">
        <f t="shared" si="5"/>
        <v>4</v>
      </c>
      <c r="C105" s="482">
        <v>136.96279530378564</v>
      </c>
      <c r="D105" s="482">
        <v>0</v>
      </c>
      <c r="E105" s="482">
        <v>628.26800000000003</v>
      </c>
      <c r="F105" s="482">
        <v>0</v>
      </c>
      <c r="G105" s="482">
        <v>200</v>
      </c>
      <c r="H105" s="482">
        <v>20</v>
      </c>
      <c r="I105" s="483">
        <v>13</v>
      </c>
      <c r="J105" s="483">
        <v>9</v>
      </c>
      <c r="K105" s="483">
        <v>60</v>
      </c>
      <c r="L105" s="483">
        <v>0</v>
      </c>
      <c r="M105" s="483">
        <v>0</v>
      </c>
      <c r="N105" s="482">
        <f t="shared" si="2"/>
        <v>1067.2307953037857</v>
      </c>
      <c r="O105" s="481">
        <v>0</v>
      </c>
      <c r="P105" s="475">
        <f t="shared" si="3"/>
        <v>783.26800000000003</v>
      </c>
    </row>
    <row r="106" spans="1:16">
      <c r="A106" s="470">
        <f t="shared" si="4"/>
        <v>2016</v>
      </c>
      <c r="B106" s="470">
        <f t="shared" si="5"/>
        <v>5</v>
      </c>
      <c r="C106" s="482">
        <v>149.96002471113133</v>
      </c>
      <c r="D106" s="482">
        <v>0</v>
      </c>
      <c r="E106" s="482">
        <v>717.5</v>
      </c>
      <c r="F106" s="482">
        <v>0</v>
      </c>
      <c r="G106" s="482">
        <v>200</v>
      </c>
      <c r="H106" s="482">
        <v>30</v>
      </c>
      <c r="I106" s="483">
        <v>13</v>
      </c>
      <c r="J106" s="483">
        <v>9</v>
      </c>
      <c r="K106" s="483">
        <v>60</v>
      </c>
      <c r="L106" s="483">
        <v>0</v>
      </c>
      <c r="M106" s="483">
        <v>0</v>
      </c>
      <c r="N106" s="482">
        <f t="shared" si="2"/>
        <v>1179.4600247111314</v>
      </c>
      <c r="O106" s="481">
        <v>0</v>
      </c>
      <c r="P106" s="475">
        <f t="shared" si="3"/>
        <v>872.5</v>
      </c>
    </row>
    <row r="107" spans="1:16">
      <c r="A107" s="470">
        <f t="shared" si="4"/>
        <v>2016</v>
      </c>
      <c r="B107" s="470">
        <f t="shared" si="5"/>
        <v>6</v>
      </c>
      <c r="C107" s="482">
        <v>153.38274370739751</v>
      </c>
      <c r="D107" s="482">
        <v>0</v>
      </c>
      <c r="E107" s="482">
        <v>773.83199999999999</v>
      </c>
      <c r="F107" s="482">
        <v>0</v>
      </c>
      <c r="G107" s="482">
        <v>200</v>
      </c>
      <c r="H107" s="482">
        <v>40</v>
      </c>
      <c r="I107" s="483">
        <v>13</v>
      </c>
      <c r="J107" s="483">
        <v>9</v>
      </c>
      <c r="K107" s="483">
        <v>60</v>
      </c>
      <c r="L107" s="483">
        <v>0</v>
      </c>
      <c r="M107" s="483">
        <v>0</v>
      </c>
      <c r="N107" s="482">
        <f t="shared" si="2"/>
        <v>1249.2147437073975</v>
      </c>
      <c r="O107" s="481">
        <v>0</v>
      </c>
      <c r="P107" s="475">
        <f t="shared" si="3"/>
        <v>928.83199999999999</v>
      </c>
    </row>
    <row r="108" spans="1:16">
      <c r="A108" s="470">
        <f t="shared" si="4"/>
        <v>2016</v>
      </c>
      <c r="B108" s="470">
        <f t="shared" si="5"/>
        <v>7</v>
      </c>
      <c r="C108" s="482">
        <v>162.07</v>
      </c>
      <c r="D108" s="482">
        <v>0</v>
      </c>
      <c r="E108" s="482">
        <v>778.45299999999997</v>
      </c>
      <c r="F108" s="482">
        <v>0</v>
      </c>
      <c r="G108" s="482">
        <v>200</v>
      </c>
      <c r="H108" s="482">
        <v>45</v>
      </c>
      <c r="I108" s="483">
        <v>13</v>
      </c>
      <c r="J108" s="483">
        <v>9</v>
      </c>
      <c r="K108" s="483">
        <v>60</v>
      </c>
      <c r="L108" s="483">
        <v>0</v>
      </c>
      <c r="M108" s="483">
        <v>0</v>
      </c>
      <c r="N108" s="482">
        <f t="shared" si="2"/>
        <v>1267.5229999999999</v>
      </c>
      <c r="O108" s="481">
        <v>0</v>
      </c>
      <c r="P108" s="475">
        <f t="shared" si="3"/>
        <v>933.45299999999997</v>
      </c>
    </row>
    <row r="109" spans="1:16" s="479" customFormat="1" ht="12">
      <c r="A109" s="470">
        <f t="shared" si="4"/>
        <v>2016</v>
      </c>
      <c r="B109" s="470">
        <f t="shared" si="5"/>
        <v>8</v>
      </c>
      <c r="C109" s="482">
        <v>160.50337286676279</v>
      </c>
      <c r="D109" s="482">
        <v>0</v>
      </c>
      <c r="E109" s="482">
        <v>790.75900000000001</v>
      </c>
      <c r="F109" s="482">
        <v>0</v>
      </c>
      <c r="G109" s="482">
        <v>200</v>
      </c>
      <c r="H109" s="482">
        <v>45</v>
      </c>
      <c r="I109" s="483">
        <v>13</v>
      </c>
      <c r="J109" s="483">
        <v>9</v>
      </c>
      <c r="K109" s="483">
        <v>60</v>
      </c>
      <c r="L109" s="483">
        <v>18</v>
      </c>
      <c r="M109" s="483">
        <v>19</v>
      </c>
      <c r="N109" s="482">
        <f t="shared" si="2"/>
        <v>1315.2623728667627</v>
      </c>
      <c r="O109" s="481">
        <v>0</v>
      </c>
      <c r="P109" s="475">
        <f t="shared" si="3"/>
        <v>945.75900000000001</v>
      </c>
    </row>
    <row r="110" spans="1:16">
      <c r="A110" s="470">
        <f t="shared" si="4"/>
        <v>2016</v>
      </c>
      <c r="B110" s="470">
        <f t="shared" si="5"/>
        <v>9</v>
      </c>
      <c r="C110" s="482">
        <v>151.48474068575027</v>
      </c>
      <c r="D110" s="482">
        <v>0</v>
      </c>
      <c r="E110" s="482">
        <v>755.73299999999995</v>
      </c>
      <c r="F110" s="482">
        <v>0</v>
      </c>
      <c r="G110" s="482">
        <v>200</v>
      </c>
      <c r="H110" s="482">
        <v>35</v>
      </c>
      <c r="I110" s="483">
        <v>13</v>
      </c>
      <c r="J110" s="483">
        <v>9</v>
      </c>
      <c r="K110" s="483">
        <v>60</v>
      </c>
      <c r="L110" s="483">
        <v>0</v>
      </c>
      <c r="M110" s="483">
        <v>0</v>
      </c>
      <c r="N110" s="482">
        <f t="shared" si="2"/>
        <v>1224.2177406857502</v>
      </c>
      <c r="O110" s="481">
        <v>0</v>
      </c>
      <c r="P110" s="475">
        <f t="shared" si="3"/>
        <v>910.73299999999995</v>
      </c>
    </row>
    <row r="111" spans="1:16">
      <c r="A111" s="470">
        <f t="shared" si="4"/>
        <v>2016</v>
      </c>
      <c r="B111" s="470">
        <f t="shared" si="5"/>
        <v>10</v>
      </c>
      <c r="C111" s="482">
        <v>136.85612107480227</v>
      </c>
      <c r="D111" s="482">
        <v>0</v>
      </c>
      <c r="E111" s="482">
        <v>710.798</v>
      </c>
      <c r="F111" s="482">
        <v>0</v>
      </c>
      <c r="G111" s="482">
        <v>200</v>
      </c>
      <c r="H111" s="482">
        <v>25</v>
      </c>
      <c r="I111" s="483">
        <v>13</v>
      </c>
      <c r="J111" s="483">
        <v>9</v>
      </c>
      <c r="K111" s="483">
        <v>60</v>
      </c>
      <c r="L111" s="483">
        <v>0</v>
      </c>
      <c r="M111" s="483">
        <v>0</v>
      </c>
      <c r="N111" s="482">
        <f t="shared" si="2"/>
        <v>1154.6541210748023</v>
      </c>
      <c r="O111" s="481">
        <v>0</v>
      </c>
      <c r="P111" s="475">
        <f t="shared" si="3"/>
        <v>865.798</v>
      </c>
    </row>
    <row r="112" spans="1:16">
      <c r="A112" s="470">
        <f t="shared" si="4"/>
        <v>2016</v>
      </c>
      <c r="B112" s="470">
        <f t="shared" si="5"/>
        <v>11</v>
      </c>
      <c r="C112" s="482">
        <v>122.27297665196149</v>
      </c>
      <c r="D112" s="482">
        <v>0</v>
      </c>
      <c r="E112" s="482">
        <v>584.55999999999995</v>
      </c>
      <c r="F112" s="482">
        <v>0</v>
      </c>
      <c r="G112" s="482">
        <v>200</v>
      </c>
      <c r="H112" s="482">
        <v>20</v>
      </c>
      <c r="I112" s="483">
        <v>13</v>
      </c>
      <c r="J112" s="483">
        <v>9</v>
      </c>
      <c r="K112" s="483">
        <v>60</v>
      </c>
      <c r="L112" s="483">
        <v>0</v>
      </c>
      <c r="M112" s="483">
        <v>0</v>
      </c>
      <c r="N112" s="482">
        <f t="shared" si="2"/>
        <v>1008.8329766519614</v>
      </c>
      <c r="O112" s="481">
        <v>0</v>
      </c>
      <c r="P112" s="475">
        <f t="shared" si="3"/>
        <v>739.56</v>
      </c>
    </row>
    <row r="113" spans="1:16">
      <c r="A113" s="470">
        <f t="shared" si="4"/>
        <v>2016</v>
      </c>
      <c r="B113" s="470">
        <f t="shared" si="5"/>
        <v>12</v>
      </c>
      <c r="C113" s="482">
        <v>126.90889560296378</v>
      </c>
      <c r="D113" s="482">
        <v>0</v>
      </c>
      <c r="E113" s="482">
        <v>552.73900000000003</v>
      </c>
      <c r="F113" s="482">
        <v>0</v>
      </c>
      <c r="G113" s="482">
        <v>200</v>
      </c>
      <c r="H113" s="482">
        <v>25</v>
      </c>
      <c r="I113" s="483">
        <v>13</v>
      </c>
      <c r="J113" s="483">
        <v>9</v>
      </c>
      <c r="K113" s="483">
        <v>60</v>
      </c>
      <c r="L113" s="483">
        <v>0</v>
      </c>
      <c r="M113" s="483">
        <v>0</v>
      </c>
      <c r="N113" s="482">
        <f t="shared" si="2"/>
        <v>986.64789560296379</v>
      </c>
      <c r="O113" s="481">
        <v>0</v>
      </c>
      <c r="P113" s="475">
        <f t="shared" si="3"/>
        <v>707.73900000000003</v>
      </c>
    </row>
    <row r="114" spans="1:16">
      <c r="A114" s="470">
        <f t="shared" si="4"/>
        <v>2017</v>
      </c>
      <c r="B114" s="470">
        <f t="shared" si="5"/>
        <v>1</v>
      </c>
      <c r="C114" s="482">
        <v>127.06478774922131</v>
      </c>
      <c r="D114" s="482">
        <v>0</v>
      </c>
      <c r="E114" s="482">
        <v>752.10199999999998</v>
      </c>
      <c r="F114" s="482">
        <v>0</v>
      </c>
      <c r="G114" s="482">
        <v>200</v>
      </c>
      <c r="H114" s="482">
        <v>45</v>
      </c>
      <c r="I114" s="483"/>
      <c r="J114" s="483">
        <v>0</v>
      </c>
      <c r="K114" s="483">
        <v>60</v>
      </c>
      <c r="L114" s="483">
        <v>21</v>
      </c>
      <c r="M114" s="483">
        <v>19</v>
      </c>
      <c r="N114" s="482">
        <f t="shared" si="2"/>
        <v>1224.1667877492214</v>
      </c>
      <c r="O114" s="481">
        <v>0</v>
      </c>
      <c r="P114" s="475">
        <f t="shared" si="3"/>
        <v>907.10199999999998</v>
      </c>
    </row>
    <row r="115" spans="1:16">
      <c r="A115" s="470">
        <f t="shared" si="4"/>
        <v>2017</v>
      </c>
      <c r="B115" s="470">
        <f t="shared" si="5"/>
        <v>2</v>
      </c>
      <c r="C115" s="482">
        <v>125.67896472347097</v>
      </c>
      <c r="D115" s="482">
        <v>0</v>
      </c>
      <c r="E115" s="482">
        <v>672.67700000000002</v>
      </c>
      <c r="F115" s="482">
        <v>0</v>
      </c>
      <c r="G115" s="482">
        <v>200</v>
      </c>
      <c r="H115" s="482">
        <v>0</v>
      </c>
      <c r="I115" s="483"/>
      <c r="J115" s="483">
        <v>0</v>
      </c>
      <c r="K115" s="483">
        <v>0</v>
      </c>
      <c r="L115" s="483">
        <v>0</v>
      </c>
      <c r="M115" s="483">
        <v>0</v>
      </c>
      <c r="N115" s="482">
        <f t="shared" si="2"/>
        <v>998.35596472347095</v>
      </c>
      <c r="O115" s="481">
        <v>0</v>
      </c>
      <c r="P115" s="475">
        <f t="shared" si="3"/>
        <v>827.67700000000002</v>
      </c>
    </row>
    <row r="116" spans="1:16">
      <c r="A116" s="470">
        <f t="shared" si="4"/>
        <v>2017</v>
      </c>
      <c r="B116" s="470">
        <f t="shared" si="5"/>
        <v>3</v>
      </c>
      <c r="C116" s="482">
        <v>133.00753045568666</v>
      </c>
      <c r="D116" s="482">
        <v>0</v>
      </c>
      <c r="E116" s="482">
        <v>619.48299999999995</v>
      </c>
      <c r="F116" s="482">
        <v>0</v>
      </c>
      <c r="G116" s="482">
        <v>200</v>
      </c>
      <c r="H116" s="482">
        <v>0</v>
      </c>
      <c r="I116" s="483"/>
      <c r="J116" s="483">
        <v>0</v>
      </c>
      <c r="K116" s="483">
        <v>0</v>
      </c>
      <c r="L116" s="483">
        <v>0</v>
      </c>
      <c r="M116" s="483">
        <v>0</v>
      </c>
      <c r="N116" s="482">
        <f t="shared" si="2"/>
        <v>952.49053045568667</v>
      </c>
      <c r="O116" s="481">
        <v>0</v>
      </c>
      <c r="P116" s="475">
        <f t="shared" si="3"/>
        <v>774.48299999999995</v>
      </c>
    </row>
    <row r="117" spans="1:16">
      <c r="A117" s="470">
        <f t="shared" si="4"/>
        <v>2017</v>
      </c>
      <c r="B117" s="470">
        <f t="shared" si="5"/>
        <v>4</v>
      </c>
      <c r="C117" s="482">
        <v>138.25375554397303</v>
      </c>
      <c r="D117" s="482">
        <v>0</v>
      </c>
      <c r="E117" s="482">
        <v>632.20799999999997</v>
      </c>
      <c r="F117" s="482">
        <v>0</v>
      </c>
      <c r="G117" s="482">
        <v>200</v>
      </c>
      <c r="H117" s="482">
        <v>0</v>
      </c>
      <c r="I117" s="483"/>
      <c r="J117" s="483">
        <v>0</v>
      </c>
      <c r="K117" s="483">
        <v>0</v>
      </c>
      <c r="L117" s="483">
        <v>0</v>
      </c>
      <c r="M117" s="483">
        <v>0</v>
      </c>
      <c r="N117" s="482">
        <f t="shared" si="2"/>
        <v>970.46175554397303</v>
      </c>
      <c r="O117" s="481">
        <v>0</v>
      </c>
      <c r="P117" s="475">
        <f t="shared" si="3"/>
        <v>787.20799999999997</v>
      </c>
    </row>
    <row r="118" spans="1:16" ht="13.2">
      <c r="A118" s="470">
        <f t="shared" si="4"/>
        <v>2017</v>
      </c>
      <c r="B118" s="470">
        <f t="shared" si="5"/>
        <v>5</v>
      </c>
      <c r="C118" s="482">
        <v>151.37349198952759</v>
      </c>
      <c r="D118" s="482">
        <v>0</v>
      </c>
      <c r="E118" s="482">
        <v>721.09400000000005</v>
      </c>
      <c r="F118" s="482">
        <v>0</v>
      </c>
      <c r="G118" s="482">
        <v>200</v>
      </c>
      <c r="H118" s="482">
        <v>0</v>
      </c>
      <c r="I118" s="483"/>
      <c r="J118" s="484"/>
      <c r="K118" s="483">
        <v>0</v>
      </c>
      <c r="L118" s="483">
        <v>0</v>
      </c>
      <c r="M118" s="483">
        <v>0</v>
      </c>
      <c r="N118" s="482">
        <f t="shared" si="2"/>
        <v>1072.4674919895276</v>
      </c>
      <c r="O118" s="481">
        <v>0</v>
      </c>
      <c r="P118" s="475">
        <f t="shared" si="3"/>
        <v>876.09400000000005</v>
      </c>
    </row>
    <row r="119" spans="1:16">
      <c r="A119" s="470">
        <f t="shared" si="4"/>
        <v>2017</v>
      </c>
      <c r="B119" s="470">
        <f t="shared" si="5"/>
        <v>6</v>
      </c>
      <c r="C119" s="482">
        <v>154.82847225884763</v>
      </c>
      <c r="D119" s="482">
        <v>0</v>
      </c>
      <c r="E119" s="482">
        <v>776.54499999999996</v>
      </c>
      <c r="F119" s="482">
        <v>0</v>
      </c>
      <c r="G119" s="482">
        <v>200</v>
      </c>
      <c r="H119" s="482">
        <v>0</v>
      </c>
      <c r="I119" s="483"/>
      <c r="J119" s="483"/>
      <c r="K119" s="483">
        <v>0</v>
      </c>
      <c r="L119" s="483">
        <v>0</v>
      </c>
      <c r="M119" s="483">
        <v>0</v>
      </c>
      <c r="N119" s="482">
        <f t="shared" si="2"/>
        <v>1131.3734722588476</v>
      </c>
      <c r="O119" s="481">
        <v>0</v>
      </c>
      <c r="P119" s="475">
        <f t="shared" si="3"/>
        <v>931.54499999999996</v>
      </c>
    </row>
    <row r="120" spans="1:16">
      <c r="A120" s="470">
        <f t="shared" si="4"/>
        <v>2017</v>
      </c>
      <c r="B120" s="470">
        <f t="shared" si="5"/>
        <v>7</v>
      </c>
      <c r="C120" s="482">
        <v>162.58470506904922</v>
      </c>
      <c r="D120" s="482">
        <v>0</v>
      </c>
      <c r="E120" s="482">
        <v>782.86300000000006</v>
      </c>
      <c r="F120" s="482">
        <v>0</v>
      </c>
      <c r="G120" s="482">
        <v>200</v>
      </c>
      <c r="H120" s="482">
        <v>0</v>
      </c>
      <c r="I120" s="483"/>
      <c r="J120" s="483"/>
      <c r="K120" s="483">
        <v>0</v>
      </c>
      <c r="L120" s="483">
        <v>0</v>
      </c>
      <c r="M120" s="483">
        <v>0</v>
      </c>
      <c r="N120" s="482">
        <f t="shared" si="2"/>
        <v>1145.4477050690493</v>
      </c>
      <c r="O120" s="481">
        <v>0</v>
      </c>
      <c r="P120" s="475">
        <f t="shared" si="3"/>
        <v>937.86300000000006</v>
      </c>
    </row>
    <row r="121" spans="1:16" s="479" customFormat="1" ht="12">
      <c r="A121" s="470">
        <f t="shared" si="4"/>
        <v>2017</v>
      </c>
      <c r="B121" s="470">
        <f t="shared" si="5"/>
        <v>8</v>
      </c>
      <c r="C121" s="482">
        <v>162.0162178136506</v>
      </c>
      <c r="D121" s="482">
        <v>0</v>
      </c>
      <c r="E121" s="482">
        <v>795.25900000000001</v>
      </c>
      <c r="F121" s="482">
        <v>0</v>
      </c>
      <c r="G121" s="482">
        <v>200</v>
      </c>
      <c r="H121" s="482">
        <v>45</v>
      </c>
      <c r="I121" s="483"/>
      <c r="J121" s="483"/>
      <c r="K121" s="483">
        <v>60</v>
      </c>
      <c r="L121" s="483">
        <v>21</v>
      </c>
      <c r="M121" s="483">
        <v>19</v>
      </c>
      <c r="N121" s="482">
        <f t="shared" si="2"/>
        <v>1302.2752178136507</v>
      </c>
      <c r="O121" s="481">
        <v>0</v>
      </c>
      <c r="P121" s="475">
        <f t="shared" si="3"/>
        <v>950.25900000000001</v>
      </c>
    </row>
    <row r="122" spans="1:16">
      <c r="A122" s="470">
        <f t="shared" si="4"/>
        <v>2017</v>
      </c>
      <c r="B122" s="470">
        <f t="shared" si="5"/>
        <v>9</v>
      </c>
      <c r="C122" s="482">
        <v>152.91257936841325</v>
      </c>
      <c r="D122" s="482">
        <v>0</v>
      </c>
      <c r="E122" s="482">
        <v>760.04399999999998</v>
      </c>
      <c r="F122" s="482">
        <v>0</v>
      </c>
      <c r="G122" s="482">
        <v>200</v>
      </c>
      <c r="H122" s="482">
        <v>0</v>
      </c>
      <c r="I122" s="483"/>
      <c r="J122" s="483"/>
      <c r="K122" s="483">
        <v>0</v>
      </c>
      <c r="L122" s="483">
        <v>0</v>
      </c>
      <c r="M122" s="483">
        <v>0</v>
      </c>
      <c r="N122" s="482">
        <f t="shared" si="2"/>
        <v>1112.9565793684133</v>
      </c>
      <c r="O122" s="481">
        <v>0</v>
      </c>
      <c r="P122" s="475">
        <f t="shared" si="3"/>
        <v>915.04399999999998</v>
      </c>
    </row>
    <row r="123" spans="1:16">
      <c r="A123" s="470">
        <f t="shared" si="4"/>
        <v>2017</v>
      </c>
      <c r="B123" s="470">
        <f t="shared" si="5"/>
        <v>10</v>
      </c>
      <c r="C123" s="482">
        <v>138.14607584348209</v>
      </c>
      <c r="D123" s="482">
        <v>0</v>
      </c>
      <c r="E123" s="482">
        <v>713.21199999999999</v>
      </c>
      <c r="F123" s="482">
        <v>0</v>
      </c>
      <c r="G123" s="482">
        <v>200</v>
      </c>
      <c r="H123" s="482">
        <v>0</v>
      </c>
      <c r="I123" s="483"/>
      <c r="J123" s="483"/>
      <c r="K123" s="483">
        <v>0</v>
      </c>
      <c r="L123" s="483">
        <v>0</v>
      </c>
      <c r="M123" s="483">
        <v>0</v>
      </c>
      <c r="N123" s="482">
        <f t="shared" si="2"/>
        <v>1051.3580758434821</v>
      </c>
      <c r="O123" s="481">
        <v>0</v>
      </c>
      <c r="P123" s="475">
        <f t="shared" si="3"/>
        <v>868.21199999999999</v>
      </c>
    </row>
    <row r="124" spans="1:16">
      <c r="A124" s="470">
        <f t="shared" si="4"/>
        <v>2017</v>
      </c>
      <c r="B124" s="470">
        <f t="shared" si="5"/>
        <v>11</v>
      </c>
      <c r="C124" s="482">
        <v>123.42547613882526</v>
      </c>
      <c r="D124" s="482">
        <v>0</v>
      </c>
      <c r="E124" s="482">
        <v>585.75</v>
      </c>
      <c r="F124" s="482">
        <v>0</v>
      </c>
      <c r="G124" s="482">
        <v>200</v>
      </c>
      <c r="H124" s="482">
        <v>0</v>
      </c>
      <c r="I124" s="483"/>
      <c r="J124" s="483"/>
      <c r="K124" s="483">
        <v>0</v>
      </c>
      <c r="L124" s="483">
        <v>0</v>
      </c>
      <c r="M124" s="483">
        <v>0</v>
      </c>
      <c r="N124" s="482">
        <f t="shared" si="2"/>
        <v>909.17547613882527</v>
      </c>
      <c r="O124" s="481">
        <v>0</v>
      </c>
      <c r="P124" s="475">
        <f t="shared" si="3"/>
        <v>740.75</v>
      </c>
    </row>
    <row r="125" spans="1:16">
      <c r="A125" s="470">
        <f t="shared" si="4"/>
        <v>2017</v>
      </c>
      <c r="B125" s="470">
        <f t="shared" si="5"/>
        <v>12</v>
      </c>
      <c r="C125" s="482">
        <v>128.1050915332975</v>
      </c>
      <c r="D125" s="482">
        <v>0</v>
      </c>
      <c r="E125" s="482">
        <v>554.26599999999996</v>
      </c>
      <c r="F125" s="482">
        <v>0</v>
      </c>
      <c r="G125" s="482">
        <v>200</v>
      </c>
      <c r="H125" s="482">
        <v>0</v>
      </c>
      <c r="I125" s="483"/>
      <c r="J125" s="483"/>
      <c r="K125" s="483">
        <v>0</v>
      </c>
      <c r="L125" s="483">
        <v>0</v>
      </c>
      <c r="M125" s="483">
        <v>0</v>
      </c>
      <c r="N125" s="482">
        <f t="shared" si="2"/>
        <v>882.37109153329743</v>
      </c>
      <c r="O125" s="481">
        <v>0</v>
      </c>
      <c r="P125" s="475">
        <f t="shared" si="3"/>
        <v>709.26599999999996</v>
      </c>
    </row>
    <row r="126" spans="1:16">
      <c r="A126" s="470">
        <f t="shared" si="4"/>
        <v>2018</v>
      </c>
      <c r="B126" s="470">
        <f t="shared" si="5"/>
        <v>1</v>
      </c>
      <c r="C126" s="482">
        <v>128.26245306079926</v>
      </c>
      <c r="D126" s="482">
        <v>0</v>
      </c>
      <c r="E126" s="482">
        <v>752.85299999999995</v>
      </c>
      <c r="F126" s="482">
        <v>0</v>
      </c>
      <c r="G126" s="482">
        <v>200</v>
      </c>
      <c r="H126" s="482"/>
      <c r="I126" s="483"/>
      <c r="J126" s="483"/>
      <c r="K126" s="483">
        <v>60</v>
      </c>
      <c r="L126" s="483">
        <v>24</v>
      </c>
      <c r="M126" s="483">
        <v>19</v>
      </c>
      <c r="N126" s="482">
        <f t="shared" si="2"/>
        <v>1184.1154530607992</v>
      </c>
      <c r="O126" s="481">
        <v>0</v>
      </c>
      <c r="P126" s="475">
        <f t="shared" si="3"/>
        <v>907.85299999999995</v>
      </c>
    </row>
    <row r="127" spans="1:16">
      <c r="A127" s="470">
        <f t="shared" si="4"/>
        <v>2018</v>
      </c>
      <c r="B127" s="470">
        <f t="shared" si="5"/>
        <v>2</v>
      </c>
      <c r="C127" s="482">
        <v>126.86356778393018</v>
      </c>
      <c r="D127" s="482">
        <v>0</v>
      </c>
      <c r="E127" s="482">
        <v>673.351</v>
      </c>
      <c r="F127" s="482">
        <v>0</v>
      </c>
      <c r="G127" s="482">
        <v>200</v>
      </c>
      <c r="H127" s="482"/>
      <c r="I127" s="483"/>
      <c r="J127" s="483"/>
      <c r="K127" s="483">
        <v>0</v>
      </c>
      <c r="L127" s="483">
        <v>0</v>
      </c>
      <c r="M127" s="483">
        <v>0</v>
      </c>
      <c r="N127" s="482">
        <f t="shared" si="2"/>
        <v>1000.2145677839302</v>
      </c>
      <c r="O127" s="481">
        <v>0</v>
      </c>
      <c r="P127" s="475">
        <f t="shared" si="3"/>
        <v>828.351</v>
      </c>
    </row>
    <row r="128" spans="1:16">
      <c r="A128" s="470">
        <f t="shared" si="4"/>
        <v>2018</v>
      </c>
      <c r="B128" s="470">
        <f t="shared" si="5"/>
        <v>3</v>
      </c>
      <c r="C128" s="482">
        <v>134.26120984418742</v>
      </c>
      <c r="D128" s="482">
        <v>0</v>
      </c>
      <c r="E128" s="482">
        <v>620.16499999999996</v>
      </c>
      <c r="F128" s="482">
        <v>0</v>
      </c>
      <c r="G128" s="482">
        <v>200</v>
      </c>
      <c r="H128" s="482"/>
      <c r="I128" s="483"/>
      <c r="J128" s="483"/>
      <c r="K128" s="483">
        <v>0</v>
      </c>
      <c r="L128" s="483">
        <v>0</v>
      </c>
      <c r="M128" s="483">
        <v>0</v>
      </c>
      <c r="N128" s="482">
        <f t="shared" si="2"/>
        <v>954.42620984418738</v>
      </c>
      <c r="O128" s="481">
        <v>0</v>
      </c>
      <c r="P128" s="475">
        <f t="shared" si="3"/>
        <v>775.16499999999996</v>
      </c>
    </row>
    <row r="129" spans="1:16">
      <c r="A129" s="470">
        <f t="shared" si="4"/>
        <v>2018</v>
      </c>
      <c r="B129" s="470">
        <f t="shared" si="5"/>
        <v>4</v>
      </c>
      <c r="C129" s="482">
        <v>139.55688389403323</v>
      </c>
      <c r="D129" s="482">
        <v>0</v>
      </c>
      <c r="E129" s="482">
        <v>636.18100000000004</v>
      </c>
      <c r="F129" s="482">
        <v>0</v>
      </c>
      <c r="G129" s="482">
        <v>200</v>
      </c>
      <c r="H129" s="482"/>
      <c r="I129" s="483"/>
      <c r="J129" s="483"/>
      <c r="K129" s="483">
        <v>0</v>
      </c>
      <c r="L129" s="483">
        <v>0</v>
      </c>
      <c r="M129" s="483">
        <v>0</v>
      </c>
      <c r="N129" s="482">
        <f t="shared" si="2"/>
        <v>975.7378838940333</v>
      </c>
      <c r="O129" s="481">
        <v>0</v>
      </c>
      <c r="P129" s="475">
        <f t="shared" si="3"/>
        <v>791.18100000000004</v>
      </c>
    </row>
    <row r="130" spans="1:16">
      <c r="A130" s="470">
        <f t="shared" si="4"/>
        <v>2018</v>
      </c>
      <c r="B130" s="470">
        <f t="shared" si="5"/>
        <v>5</v>
      </c>
      <c r="C130" s="482">
        <v>152.8002820834605</v>
      </c>
      <c r="D130" s="482">
        <v>0</v>
      </c>
      <c r="E130" s="482">
        <v>724.83600000000001</v>
      </c>
      <c r="F130" s="482">
        <v>0</v>
      </c>
      <c r="G130" s="482">
        <v>200</v>
      </c>
      <c r="H130" s="482"/>
      <c r="I130" s="483"/>
      <c r="J130" s="483"/>
      <c r="K130" s="483">
        <v>0</v>
      </c>
      <c r="L130" s="483">
        <v>0</v>
      </c>
      <c r="M130" s="483">
        <v>0</v>
      </c>
      <c r="N130" s="482">
        <f t="shared" si="2"/>
        <v>1077.6362820834606</v>
      </c>
      <c r="O130" s="481">
        <v>0</v>
      </c>
      <c r="P130" s="475">
        <f t="shared" si="3"/>
        <v>879.83600000000001</v>
      </c>
    </row>
    <row r="131" spans="1:16">
      <c r="A131" s="470">
        <f t="shared" si="4"/>
        <v>2018</v>
      </c>
      <c r="B131" s="470">
        <f t="shared" si="5"/>
        <v>6</v>
      </c>
      <c r="C131" s="482">
        <v>156.28782770856517</v>
      </c>
      <c r="D131" s="482">
        <v>0</v>
      </c>
      <c r="E131" s="482">
        <v>779.27</v>
      </c>
      <c r="F131" s="482">
        <v>0</v>
      </c>
      <c r="G131" s="482">
        <v>200</v>
      </c>
      <c r="H131" s="482"/>
      <c r="I131" s="483"/>
      <c r="J131" s="483"/>
      <c r="K131" s="483">
        <v>0</v>
      </c>
      <c r="L131" s="483">
        <v>0</v>
      </c>
      <c r="M131" s="483">
        <v>0</v>
      </c>
      <c r="N131" s="482">
        <f t="shared" si="2"/>
        <v>1135.5578277085651</v>
      </c>
      <c r="O131" s="481">
        <v>0</v>
      </c>
      <c r="P131" s="475">
        <f t="shared" si="3"/>
        <v>934.27</v>
      </c>
    </row>
    <row r="132" spans="1:16">
      <c r="A132" s="470">
        <f t="shared" si="4"/>
        <v>2018</v>
      </c>
      <c r="B132" s="470">
        <f t="shared" si="5"/>
        <v>7</v>
      </c>
      <c r="C132" s="482">
        <v>165.14</v>
      </c>
      <c r="D132" s="482">
        <v>0</v>
      </c>
      <c r="E132" s="482">
        <v>787.30100000000004</v>
      </c>
      <c r="F132" s="482">
        <v>0</v>
      </c>
      <c r="G132" s="482">
        <v>200</v>
      </c>
      <c r="H132" s="482"/>
      <c r="I132" s="483"/>
      <c r="J132" s="483"/>
      <c r="K132" s="483">
        <v>0</v>
      </c>
      <c r="L132" s="483">
        <v>0</v>
      </c>
      <c r="M132" s="483">
        <v>0</v>
      </c>
      <c r="N132" s="482">
        <f t="shared" si="2"/>
        <v>1152.441</v>
      </c>
      <c r="O132" s="481">
        <v>0</v>
      </c>
      <c r="P132" s="475">
        <f t="shared" si="3"/>
        <v>942.30100000000004</v>
      </c>
    </row>
    <row r="133" spans="1:16" s="479" customFormat="1" ht="12">
      <c r="A133" s="470">
        <f t="shared" si="4"/>
        <v>2018</v>
      </c>
      <c r="B133" s="470">
        <f t="shared" si="5"/>
        <v>8</v>
      </c>
      <c r="C133" s="482">
        <v>163.543322272924</v>
      </c>
      <c r="D133" s="482">
        <v>0</v>
      </c>
      <c r="E133" s="482">
        <v>799.78700000000003</v>
      </c>
      <c r="F133" s="482">
        <v>0</v>
      </c>
      <c r="G133" s="482">
        <v>200</v>
      </c>
      <c r="H133" s="482"/>
      <c r="I133" s="483"/>
      <c r="J133" s="483"/>
      <c r="K133" s="483">
        <v>60</v>
      </c>
      <c r="L133" s="483">
        <v>24</v>
      </c>
      <c r="M133" s="483">
        <v>19</v>
      </c>
      <c r="N133" s="482">
        <f t="shared" si="2"/>
        <v>1266.3303222729241</v>
      </c>
      <c r="O133" s="481">
        <v>0</v>
      </c>
      <c r="P133" s="475">
        <f t="shared" si="3"/>
        <v>954.78700000000003</v>
      </c>
    </row>
    <row r="134" spans="1:16">
      <c r="A134" s="470">
        <f t="shared" si="4"/>
        <v>2018</v>
      </c>
      <c r="B134" s="470">
        <f t="shared" si="5"/>
        <v>9</v>
      </c>
      <c r="C134" s="482">
        <v>154.35387632611096</v>
      </c>
      <c r="D134" s="482">
        <v>0</v>
      </c>
      <c r="E134" s="482">
        <v>764.38199999999995</v>
      </c>
      <c r="F134" s="482">
        <v>0</v>
      </c>
      <c r="G134" s="482">
        <v>200</v>
      </c>
      <c r="H134" s="482"/>
      <c r="I134" s="483"/>
      <c r="J134" s="483"/>
      <c r="K134" s="483">
        <v>0</v>
      </c>
      <c r="L134" s="483">
        <v>0</v>
      </c>
      <c r="M134" s="483">
        <v>0</v>
      </c>
      <c r="N134" s="482">
        <f t="shared" si="2"/>
        <v>1118.7358763261109</v>
      </c>
      <c r="O134" s="481">
        <v>0</v>
      </c>
      <c r="P134" s="475">
        <f t="shared" si="3"/>
        <v>919.38199999999995</v>
      </c>
    </row>
    <row r="135" spans="1:16">
      <c r="A135" s="470">
        <f t="shared" si="4"/>
        <v>2018</v>
      </c>
      <c r="B135" s="470">
        <f t="shared" si="5"/>
        <v>10</v>
      </c>
      <c r="C135" s="482">
        <v>139.44818924483522</v>
      </c>
      <c r="D135" s="482">
        <v>0</v>
      </c>
      <c r="E135" s="482">
        <v>715.63400000000001</v>
      </c>
      <c r="F135" s="482">
        <v>0</v>
      </c>
      <c r="G135" s="482">
        <v>200</v>
      </c>
      <c r="H135" s="482"/>
      <c r="I135" s="483"/>
      <c r="J135" s="483"/>
      <c r="K135" s="483">
        <v>0</v>
      </c>
      <c r="L135" s="483">
        <v>0</v>
      </c>
      <c r="M135" s="483">
        <v>0</v>
      </c>
      <c r="N135" s="482">
        <f t="shared" ref="N135:N198" si="6">SUM(C135:M135)</f>
        <v>1055.0821892448353</v>
      </c>
      <c r="O135" s="481">
        <v>0</v>
      </c>
      <c r="P135" s="475">
        <f t="shared" si="3"/>
        <v>870.63400000000001</v>
      </c>
    </row>
    <row r="136" spans="1:16">
      <c r="A136" s="470">
        <f t="shared" si="4"/>
        <v>2018</v>
      </c>
      <c r="B136" s="470">
        <f t="shared" si="5"/>
        <v>11</v>
      </c>
      <c r="C136" s="482">
        <v>124.58883865612792</v>
      </c>
      <c r="D136" s="482">
        <v>0</v>
      </c>
      <c r="E136" s="482">
        <v>586.94799999999998</v>
      </c>
      <c r="F136" s="482">
        <v>0</v>
      </c>
      <c r="G136" s="482">
        <v>200</v>
      </c>
      <c r="H136" s="482"/>
      <c r="I136" s="483"/>
      <c r="J136" s="483"/>
      <c r="K136" s="483">
        <v>0</v>
      </c>
      <c r="L136" s="483">
        <v>0</v>
      </c>
      <c r="M136" s="483">
        <v>0</v>
      </c>
      <c r="N136" s="482">
        <f t="shared" si="6"/>
        <v>911.53683865612788</v>
      </c>
      <c r="O136" s="481">
        <v>0</v>
      </c>
      <c r="P136" s="475">
        <f t="shared" si="3"/>
        <v>741.94799999999998</v>
      </c>
    </row>
    <row r="137" spans="1:16">
      <c r="A137" s="470">
        <f t="shared" si="4"/>
        <v>2018</v>
      </c>
      <c r="B137" s="470">
        <f t="shared" si="5"/>
        <v>12</v>
      </c>
      <c r="C137" s="482">
        <v>129.31256236045343</v>
      </c>
      <c r="D137" s="482">
        <v>0</v>
      </c>
      <c r="E137" s="482">
        <v>555.803</v>
      </c>
      <c r="F137" s="482">
        <v>0</v>
      </c>
      <c r="G137" s="482">
        <v>200</v>
      </c>
      <c r="H137" s="482"/>
      <c r="I137" s="482"/>
      <c r="J137" s="482"/>
      <c r="K137" s="483">
        <v>0</v>
      </c>
      <c r="L137" s="483">
        <v>0</v>
      </c>
      <c r="M137" s="483">
        <v>0</v>
      </c>
      <c r="N137" s="482">
        <f t="shared" si="6"/>
        <v>885.1155623604534</v>
      </c>
      <c r="O137" s="481">
        <v>0</v>
      </c>
      <c r="P137" s="475">
        <f t="shared" si="3"/>
        <v>710.803</v>
      </c>
    </row>
    <row r="138" spans="1:16">
      <c r="A138" s="470">
        <f t="shared" si="4"/>
        <v>2019</v>
      </c>
      <c r="B138" s="470">
        <f t="shared" si="5"/>
        <v>1</v>
      </c>
      <c r="C138" s="482">
        <v>129.47140711903913</v>
      </c>
      <c r="D138" s="482">
        <v>0</v>
      </c>
      <c r="E138" s="482">
        <v>753.60599999999999</v>
      </c>
      <c r="F138" s="482">
        <v>0</v>
      </c>
      <c r="G138" s="482">
        <v>200</v>
      </c>
      <c r="H138" s="482"/>
      <c r="I138" s="482"/>
      <c r="J138" s="482"/>
      <c r="K138" s="483">
        <v>60</v>
      </c>
      <c r="L138" s="483">
        <v>27</v>
      </c>
      <c r="M138" s="483">
        <v>19</v>
      </c>
      <c r="N138" s="482">
        <f t="shared" si="6"/>
        <v>1189.077407119039</v>
      </c>
      <c r="O138" s="481">
        <v>0</v>
      </c>
      <c r="P138" s="475">
        <f t="shared" ref="P138:P201" si="7">E138+G138-45</f>
        <v>908.60599999999999</v>
      </c>
    </row>
    <row r="139" spans="1:16">
      <c r="A139" s="470">
        <f t="shared" si="4"/>
        <v>2019</v>
      </c>
      <c r="B139" s="470">
        <f t="shared" si="5"/>
        <v>2</v>
      </c>
      <c r="C139" s="482">
        <v>128.05933647114273</v>
      </c>
      <c r="D139" s="482">
        <v>0</v>
      </c>
      <c r="E139" s="482">
        <v>674.024</v>
      </c>
      <c r="F139" s="482">
        <v>0</v>
      </c>
      <c r="G139" s="482">
        <v>200</v>
      </c>
      <c r="H139" s="482"/>
      <c r="I139" s="482"/>
      <c r="J139" s="482"/>
      <c r="K139" s="483">
        <v>0</v>
      </c>
      <c r="L139" s="483">
        <v>0</v>
      </c>
      <c r="M139" s="483">
        <v>0</v>
      </c>
      <c r="N139" s="482">
        <f t="shared" si="6"/>
        <v>1002.0833364711427</v>
      </c>
      <c r="O139" s="481">
        <v>0</v>
      </c>
      <c r="P139" s="475">
        <f t="shared" si="7"/>
        <v>829.024</v>
      </c>
    </row>
    <row r="140" spans="1:16">
      <c r="A140" s="470">
        <f t="shared" si="4"/>
        <v>2019</v>
      </c>
      <c r="B140" s="470">
        <f t="shared" si="5"/>
        <v>3</v>
      </c>
      <c r="C140" s="482">
        <v>135.52670594715363</v>
      </c>
      <c r="D140" s="482">
        <v>0</v>
      </c>
      <c r="E140" s="482">
        <v>620.85</v>
      </c>
      <c r="F140" s="482">
        <v>0</v>
      </c>
      <c r="G140" s="482">
        <v>200</v>
      </c>
      <c r="H140" s="482"/>
      <c r="I140" s="482"/>
      <c r="J140" s="482"/>
      <c r="K140" s="483">
        <v>0</v>
      </c>
      <c r="L140" s="483">
        <v>0</v>
      </c>
      <c r="M140" s="483">
        <v>0</v>
      </c>
      <c r="N140" s="482">
        <f t="shared" si="6"/>
        <v>956.3767059471536</v>
      </c>
      <c r="O140" s="481">
        <v>0</v>
      </c>
      <c r="P140" s="475">
        <f t="shared" si="7"/>
        <v>775.85</v>
      </c>
    </row>
    <row r="141" spans="1:16">
      <c r="A141" s="470">
        <f t="shared" si="4"/>
        <v>2019</v>
      </c>
      <c r="B141" s="470">
        <f t="shared" si="5"/>
        <v>4</v>
      </c>
      <c r="C141" s="482">
        <v>140.87229504603283</v>
      </c>
      <c r="D141" s="482">
        <v>0</v>
      </c>
      <c r="E141" s="482">
        <v>640.18600000000004</v>
      </c>
      <c r="F141" s="482">
        <v>0</v>
      </c>
      <c r="G141" s="482">
        <v>200</v>
      </c>
      <c r="H141" s="482"/>
      <c r="I141" s="482"/>
      <c r="J141" s="482"/>
      <c r="K141" s="483">
        <v>0</v>
      </c>
      <c r="L141" s="483">
        <v>0</v>
      </c>
      <c r="M141" s="483">
        <v>0</v>
      </c>
      <c r="N141" s="482">
        <f t="shared" si="6"/>
        <v>981.05829504603287</v>
      </c>
      <c r="O141" s="481">
        <v>0</v>
      </c>
      <c r="P141" s="475">
        <f t="shared" si="7"/>
        <v>795.18600000000004</v>
      </c>
    </row>
    <row r="142" spans="1:16">
      <c r="A142" s="470">
        <f t="shared" si="4"/>
        <v>2019</v>
      </c>
      <c r="B142" s="470">
        <f t="shared" si="5"/>
        <v>5</v>
      </c>
      <c r="C142" s="482">
        <v>154.24052056882172</v>
      </c>
      <c r="D142" s="482">
        <v>0</v>
      </c>
      <c r="E142" s="482">
        <v>728.59699999999998</v>
      </c>
      <c r="F142" s="482">
        <v>0</v>
      </c>
      <c r="G142" s="482">
        <v>200</v>
      </c>
      <c r="H142" s="482"/>
      <c r="I142" s="482"/>
      <c r="J142" s="482"/>
      <c r="K142" s="483">
        <v>0</v>
      </c>
      <c r="L142" s="483">
        <v>0</v>
      </c>
      <c r="M142" s="483">
        <v>0</v>
      </c>
      <c r="N142" s="482">
        <f t="shared" si="6"/>
        <v>1082.8375205688217</v>
      </c>
      <c r="O142" s="481">
        <v>0</v>
      </c>
      <c r="P142" s="475">
        <f t="shared" si="7"/>
        <v>883.59699999999998</v>
      </c>
    </row>
    <row r="143" spans="1:16">
      <c r="A143" s="470">
        <f t="shared" ref="A143:A206" si="8">A131+1</f>
        <v>2019</v>
      </c>
      <c r="B143" s="470">
        <f t="shared" ref="B143:B206" si="9">B131</f>
        <v>6</v>
      </c>
      <c r="C143" s="482">
        <v>157.76093849861221</v>
      </c>
      <c r="D143" s="482">
        <v>0</v>
      </c>
      <c r="E143" s="482">
        <v>782.00800000000004</v>
      </c>
      <c r="F143" s="482">
        <v>0</v>
      </c>
      <c r="G143" s="482">
        <v>200</v>
      </c>
      <c r="H143" s="482"/>
      <c r="I143" s="482"/>
      <c r="J143" s="482"/>
      <c r="K143" s="483">
        <v>0</v>
      </c>
      <c r="L143" s="483">
        <v>0</v>
      </c>
      <c r="M143" s="483">
        <v>0</v>
      </c>
      <c r="N143" s="482">
        <f t="shared" si="6"/>
        <v>1139.7689384986122</v>
      </c>
      <c r="O143" s="481">
        <v>0</v>
      </c>
      <c r="P143" s="475">
        <f t="shared" si="7"/>
        <v>937.00800000000004</v>
      </c>
    </row>
    <row r="144" spans="1:16">
      <c r="A144" s="470">
        <f t="shared" si="8"/>
        <v>2019</v>
      </c>
      <c r="B144" s="470">
        <f t="shared" si="9"/>
        <v>7</v>
      </c>
      <c r="C144" s="482">
        <v>166.697</v>
      </c>
      <c r="D144" s="482">
        <v>0</v>
      </c>
      <c r="E144" s="482">
        <v>791.77</v>
      </c>
      <c r="F144" s="482">
        <v>0</v>
      </c>
      <c r="G144" s="482">
        <v>200</v>
      </c>
      <c r="H144" s="482"/>
      <c r="I144" s="482"/>
      <c r="J144" s="482"/>
      <c r="K144" s="483">
        <v>0</v>
      </c>
      <c r="L144" s="483">
        <v>0</v>
      </c>
      <c r="M144" s="483">
        <v>0</v>
      </c>
      <c r="N144" s="482">
        <f t="shared" si="6"/>
        <v>1158.4670000000001</v>
      </c>
      <c r="O144" s="481">
        <v>0</v>
      </c>
      <c r="P144" s="475">
        <f t="shared" si="7"/>
        <v>946.77</v>
      </c>
    </row>
    <row r="145" spans="1:16" s="479" customFormat="1" ht="12">
      <c r="A145" s="470">
        <f t="shared" si="8"/>
        <v>2019</v>
      </c>
      <c r="B145" s="470">
        <f t="shared" si="9"/>
        <v>8</v>
      </c>
      <c r="C145" s="482">
        <v>165.0848206494299</v>
      </c>
      <c r="D145" s="482">
        <v>0</v>
      </c>
      <c r="E145" s="482">
        <v>804.346</v>
      </c>
      <c r="F145" s="482">
        <v>0</v>
      </c>
      <c r="G145" s="482">
        <v>200</v>
      </c>
      <c r="H145" s="482"/>
      <c r="I145" s="482"/>
      <c r="J145" s="482"/>
      <c r="K145" s="483">
        <v>60</v>
      </c>
      <c r="L145" s="483">
        <v>27</v>
      </c>
      <c r="M145" s="483">
        <v>19</v>
      </c>
      <c r="N145" s="482">
        <f t="shared" si="6"/>
        <v>1275.43082064943</v>
      </c>
      <c r="O145" s="481">
        <v>0</v>
      </c>
      <c r="P145" s="475">
        <f t="shared" si="7"/>
        <v>959.346</v>
      </c>
    </row>
    <row r="146" spans="1:16">
      <c r="A146" s="470">
        <f t="shared" si="8"/>
        <v>2019</v>
      </c>
      <c r="B146" s="470">
        <f t="shared" si="9"/>
        <v>9</v>
      </c>
      <c r="C146" s="482">
        <v>155.80875841152573</v>
      </c>
      <c r="D146" s="482">
        <v>0</v>
      </c>
      <c r="E146" s="482">
        <v>768.75099999999998</v>
      </c>
      <c r="F146" s="482">
        <v>0</v>
      </c>
      <c r="G146" s="482">
        <v>200</v>
      </c>
      <c r="H146" s="482"/>
      <c r="I146" s="482"/>
      <c r="J146" s="482"/>
      <c r="K146" s="483">
        <v>0</v>
      </c>
      <c r="L146" s="483">
        <v>0</v>
      </c>
      <c r="M146" s="483">
        <v>0</v>
      </c>
      <c r="N146" s="482">
        <f t="shared" si="6"/>
        <v>1124.5597584115258</v>
      </c>
      <c r="O146" s="481">
        <v>0</v>
      </c>
      <c r="P146" s="475">
        <f t="shared" si="7"/>
        <v>923.75099999999998</v>
      </c>
    </row>
    <row r="147" spans="1:16">
      <c r="A147" s="470">
        <f t="shared" si="8"/>
        <v>2019</v>
      </c>
      <c r="B147" s="470">
        <f t="shared" si="9"/>
        <v>10</v>
      </c>
      <c r="C147" s="482">
        <v>140.7625758815997</v>
      </c>
      <c r="D147" s="482">
        <v>0</v>
      </c>
      <c r="E147" s="482">
        <v>718.07799999999997</v>
      </c>
      <c r="F147" s="482">
        <v>0</v>
      </c>
      <c r="G147" s="482">
        <v>200</v>
      </c>
      <c r="H147" s="482"/>
      <c r="I147" s="482"/>
      <c r="J147" s="482"/>
      <c r="K147" s="483">
        <v>0</v>
      </c>
      <c r="L147" s="483">
        <v>0</v>
      </c>
      <c r="M147" s="483">
        <v>0</v>
      </c>
      <c r="N147" s="482">
        <f t="shared" si="6"/>
        <v>1058.8405758815998</v>
      </c>
      <c r="O147" s="481">
        <v>0</v>
      </c>
      <c r="P147" s="475">
        <f t="shared" si="7"/>
        <v>873.07799999999997</v>
      </c>
    </row>
    <row r="148" spans="1:16">
      <c r="A148" s="470">
        <f t="shared" si="8"/>
        <v>2019</v>
      </c>
      <c r="B148" s="470">
        <f t="shared" si="9"/>
        <v>11</v>
      </c>
      <c r="C148" s="482">
        <v>125.76316659474391</v>
      </c>
      <c r="D148" s="482">
        <v>0</v>
      </c>
      <c r="E148" s="482">
        <v>588.149</v>
      </c>
      <c r="F148" s="482">
        <v>0</v>
      </c>
      <c r="G148" s="482">
        <v>200</v>
      </c>
      <c r="H148" s="482"/>
      <c r="I148" s="482"/>
      <c r="J148" s="482"/>
      <c r="K148" s="483">
        <v>0</v>
      </c>
      <c r="L148" s="483">
        <v>0</v>
      </c>
      <c r="M148" s="483">
        <v>0</v>
      </c>
      <c r="N148" s="482">
        <f t="shared" si="6"/>
        <v>913.91216659474389</v>
      </c>
      <c r="O148" s="481">
        <v>0</v>
      </c>
      <c r="P148" s="475">
        <f t="shared" si="7"/>
        <v>743.149</v>
      </c>
    </row>
    <row r="149" spans="1:16">
      <c r="A149" s="470">
        <f t="shared" si="8"/>
        <v>2019</v>
      </c>
      <c r="B149" s="470">
        <f t="shared" si="9"/>
        <v>12</v>
      </c>
      <c r="C149" s="482">
        <v>130.53141435740503</v>
      </c>
      <c r="D149" s="482">
        <v>0</v>
      </c>
      <c r="E149" s="482">
        <v>557.34699999999998</v>
      </c>
      <c r="F149" s="482">
        <v>0</v>
      </c>
      <c r="G149" s="482">
        <v>200</v>
      </c>
      <c r="H149" s="482"/>
      <c r="I149" s="482"/>
      <c r="J149" s="482"/>
      <c r="K149" s="483">
        <v>0</v>
      </c>
      <c r="L149" s="483">
        <v>0</v>
      </c>
      <c r="M149" s="483">
        <v>0</v>
      </c>
      <c r="N149" s="482">
        <f t="shared" si="6"/>
        <v>887.87841435740506</v>
      </c>
      <c r="O149" s="481">
        <v>0</v>
      </c>
      <c r="P149" s="475">
        <f t="shared" si="7"/>
        <v>712.34699999999998</v>
      </c>
    </row>
    <row r="150" spans="1:16">
      <c r="A150" s="470">
        <f t="shared" si="8"/>
        <v>2020</v>
      </c>
      <c r="B150" s="470">
        <f t="shared" si="9"/>
        <v>1</v>
      </c>
      <c r="C150" s="482">
        <v>130.69175632745785</v>
      </c>
      <c r="D150" s="482">
        <v>0</v>
      </c>
      <c r="E150" s="482">
        <v>754.36099999999999</v>
      </c>
      <c r="F150" s="482">
        <v>0</v>
      </c>
      <c r="G150" s="482">
        <v>200</v>
      </c>
      <c r="H150" s="482"/>
      <c r="I150" s="482"/>
      <c r="J150" s="482"/>
      <c r="K150" s="482"/>
      <c r="L150" s="482">
        <v>27</v>
      </c>
      <c r="M150" s="482">
        <v>19</v>
      </c>
      <c r="N150" s="482">
        <f t="shared" si="6"/>
        <v>1131.0527563274577</v>
      </c>
      <c r="O150" s="481">
        <v>0</v>
      </c>
      <c r="P150" s="475">
        <f t="shared" si="7"/>
        <v>909.36099999999999</v>
      </c>
    </row>
    <row r="151" spans="1:16">
      <c r="A151" s="470">
        <f t="shared" si="8"/>
        <v>2020</v>
      </c>
      <c r="B151" s="470">
        <f t="shared" si="9"/>
        <v>2</v>
      </c>
      <c r="C151" s="482">
        <v>129.26637602814316</v>
      </c>
      <c r="D151" s="482">
        <v>0</v>
      </c>
      <c r="E151" s="482">
        <v>674.697</v>
      </c>
      <c r="F151" s="482">
        <v>0</v>
      </c>
      <c r="G151" s="482">
        <v>200</v>
      </c>
      <c r="H151" s="482"/>
      <c r="I151" s="482"/>
      <c r="J151" s="482"/>
      <c r="K151" s="482"/>
      <c r="L151" s="482">
        <v>0</v>
      </c>
      <c r="M151" s="482">
        <v>0</v>
      </c>
      <c r="N151" s="482">
        <f t="shared" si="6"/>
        <v>1003.9633760281431</v>
      </c>
      <c r="O151" s="481">
        <v>0</v>
      </c>
      <c r="P151" s="475">
        <f t="shared" si="7"/>
        <v>829.697</v>
      </c>
    </row>
    <row r="152" spans="1:16">
      <c r="A152" s="470">
        <f t="shared" si="8"/>
        <v>2020</v>
      </c>
      <c r="B152" s="470">
        <f t="shared" si="9"/>
        <v>3</v>
      </c>
      <c r="C152" s="482">
        <v>136.80413014452984</v>
      </c>
      <c r="D152" s="482">
        <v>0</v>
      </c>
      <c r="E152" s="482">
        <v>621.53399999999999</v>
      </c>
      <c r="F152" s="482">
        <v>0</v>
      </c>
      <c r="G152" s="482">
        <v>200</v>
      </c>
      <c r="H152" s="482"/>
      <c r="I152" s="482"/>
      <c r="J152" s="482"/>
      <c r="K152" s="482"/>
      <c r="L152" s="482">
        <v>0</v>
      </c>
      <c r="M152" s="482">
        <v>0</v>
      </c>
      <c r="N152" s="482">
        <f t="shared" si="6"/>
        <v>958.33813014452983</v>
      </c>
      <c r="O152" s="481">
        <v>0</v>
      </c>
      <c r="P152" s="475">
        <f t="shared" si="7"/>
        <v>776.53399999999999</v>
      </c>
    </row>
    <row r="153" spans="1:16">
      <c r="A153" s="470">
        <f t="shared" si="8"/>
        <v>2020</v>
      </c>
      <c r="B153" s="470">
        <f t="shared" si="9"/>
        <v>4</v>
      </c>
      <c r="C153" s="482">
        <v>142.20010477308321</v>
      </c>
      <c r="D153" s="482">
        <v>0</v>
      </c>
      <c r="E153" s="482">
        <v>644.22400000000005</v>
      </c>
      <c r="F153" s="482">
        <v>0</v>
      </c>
      <c r="G153" s="482">
        <v>200</v>
      </c>
      <c r="H153" s="482"/>
      <c r="I153" s="482"/>
      <c r="J153" s="482"/>
      <c r="K153" s="482"/>
      <c r="L153" s="482">
        <v>0</v>
      </c>
      <c r="M153" s="482">
        <v>0</v>
      </c>
      <c r="N153" s="482">
        <f t="shared" si="6"/>
        <v>986.42410477308329</v>
      </c>
      <c r="O153" s="481">
        <v>0</v>
      </c>
      <c r="P153" s="475">
        <f t="shared" si="7"/>
        <v>799.22400000000005</v>
      </c>
    </row>
    <row r="154" spans="1:16">
      <c r="A154" s="470">
        <f t="shared" si="8"/>
        <v>2020</v>
      </c>
      <c r="B154" s="470">
        <f t="shared" si="9"/>
        <v>5</v>
      </c>
      <c r="C154" s="482">
        <v>155.69433420513442</v>
      </c>
      <c r="D154" s="482">
        <v>0</v>
      </c>
      <c r="E154" s="482">
        <v>732.38099999999997</v>
      </c>
      <c r="F154" s="482">
        <v>0</v>
      </c>
      <c r="G154" s="482">
        <v>200</v>
      </c>
      <c r="H154" s="482"/>
      <c r="I154" s="482"/>
      <c r="J154" s="482"/>
      <c r="K154" s="482"/>
      <c r="L154" s="482">
        <v>0</v>
      </c>
      <c r="M154" s="482">
        <v>0</v>
      </c>
      <c r="N154" s="482">
        <f t="shared" si="6"/>
        <v>1088.0753342051344</v>
      </c>
      <c r="O154" s="481">
        <v>0</v>
      </c>
      <c r="P154" s="475">
        <f t="shared" si="7"/>
        <v>887.38099999999997</v>
      </c>
    </row>
    <row r="155" spans="1:16">
      <c r="A155" s="470">
        <f t="shared" si="8"/>
        <v>2020</v>
      </c>
      <c r="B155" s="470">
        <f t="shared" si="9"/>
        <v>6</v>
      </c>
      <c r="C155" s="482">
        <v>159.24793428169784</v>
      </c>
      <c r="D155" s="482">
        <v>0</v>
      </c>
      <c r="E155" s="482">
        <v>784.75900000000001</v>
      </c>
      <c r="F155" s="482">
        <v>0</v>
      </c>
      <c r="G155" s="482">
        <v>200</v>
      </c>
      <c r="H155" s="482"/>
      <c r="I155" s="482"/>
      <c r="J155" s="482"/>
      <c r="K155" s="482"/>
      <c r="L155" s="482">
        <v>0</v>
      </c>
      <c r="M155" s="482">
        <v>0</v>
      </c>
      <c r="N155" s="482">
        <f t="shared" si="6"/>
        <v>1144.0069342816978</v>
      </c>
      <c r="O155" s="481">
        <v>0</v>
      </c>
      <c r="P155" s="475">
        <f t="shared" si="7"/>
        <v>939.75900000000001</v>
      </c>
    </row>
    <row r="156" spans="1:16">
      <c r="A156" s="470">
        <f t="shared" si="8"/>
        <v>2020</v>
      </c>
      <c r="B156" s="470">
        <f t="shared" si="9"/>
        <v>7</v>
      </c>
      <c r="C156" s="482">
        <v>168.268</v>
      </c>
      <c r="D156" s="482">
        <v>0</v>
      </c>
      <c r="E156" s="482">
        <v>796.26800000000003</v>
      </c>
      <c r="F156" s="482">
        <v>0</v>
      </c>
      <c r="G156" s="482">
        <v>200</v>
      </c>
      <c r="H156" s="482"/>
      <c r="I156" s="482"/>
      <c r="J156" s="482"/>
      <c r="K156" s="482"/>
      <c r="L156" s="482">
        <v>0</v>
      </c>
      <c r="M156" s="482">
        <v>0</v>
      </c>
      <c r="N156" s="482">
        <f t="shared" si="6"/>
        <v>1164.5360000000001</v>
      </c>
      <c r="O156" s="481">
        <v>0</v>
      </c>
      <c r="P156" s="475">
        <f t="shared" si="7"/>
        <v>951.26800000000003</v>
      </c>
    </row>
    <row r="157" spans="1:16" s="479" customFormat="1" ht="12">
      <c r="A157" s="470">
        <f t="shared" si="8"/>
        <v>2020</v>
      </c>
      <c r="B157" s="470">
        <f t="shared" si="9"/>
        <v>8</v>
      </c>
      <c r="C157" s="482">
        <v>166.64084861486515</v>
      </c>
      <c r="D157" s="482">
        <v>0</v>
      </c>
      <c r="E157" s="482">
        <v>808.93799999999999</v>
      </c>
      <c r="F157" s="482">
        <v>0</v>
      </c>
      <c r="G157" s="482">
        <v>200</v>
      </c>
      <c r="H157" s="482"/>
      <c r="I157" s="482"/>
      <c r="J157" s="482"/>
      <c r="K157" s="482"/>
      <c r="L157" s="482">
        <v>27</v>
      </c>
      <c r="M157" s="482">
        <v>19</v>
      </c>
      <c r="N157" s="482">
        <f t="shared" si="6"/>
        <v>1221.5788486148651</v>
      </c>
      <c r="O157" s="481">
        <v>0</v>
      </c>
      <c r="P157" s="475">
        <f>E157+G157-45</f>
        <v>963.93799999999999</v>
      </c>
    </row>
    <row r="158" spans="1:16">
      <c r="A158" s="470">
        <f t="shared" si="8"/>
        <v>2020</v>
      </c>
      <c r="B158" s="470">
        <f t="shared" si="9"/>
        <v>9</v>
      </c>
      <c r="C158" s="482">
        <v>157.27735367300602</v>
      </c>
      <c r="D158" s="482">
        <v>0</v>
      </c>
      <c r="E158" s="482">
        <v>773.149</v>
      </c>
      <c r="F158" s="482">
        <v>0</v>
      </c>
      <c r="G158" s="482">
        <v>200</v>
      </c>
      <c r="H158" s="482"/>
      <c r="I158" s="482"/>
      <c r="J158" s="482"/>
      <c r="K158" s="482"/>
      <c r="L158" s="482">
        <v>0</v>
      </c>
      <c r="M158" s="482">
        <v>0</v>
      </c>
      <c r="N158" s="482">
        <f t="shared" si="6"/>
        <v>1130.4263536730059</v>
      </c>
      <c r="O158" s="481">
        <v>0</v>
      </c>
      <c r="P158" s="475">
        <f t="shared" si="7"/>
        <v>928.149</v>
      </c>
    </row>
    <row r="159" spans="1:16">
      <c r="A159" s="470">
        <f t="shared" si="8"/>
        <v>2020</v>
      </c>
      <c r="B159" s="470">
        <f t="shared" si="9"/>
        <v>10</v>
      </c>
      <c r="C159" s="482">
        <v>142.08935143671633</v>
      </c>
      <c r="D159" s="482">
        <v>0</v>
      </c>
      <c r="E159" s="482">
        <v>720.52599999999995</v>
      </c>
      <c r="F159" s="482">
        <v>0</v>
      </c>
      <c r="G159" s="482">
        <v>200</v>
      </c>
      <c r="H159" s="482"/>
      <c r="I159" s="482"/>
      <c r="J159" s="482"/>
      <c r="K159" s="482"/>
      <c r="L159" s="482">
        <v>0</v>
      </c>
      <c r="M159" s="482">
        <v>0</v>
      </c>
      <c r="N159" s="482">
        <f t="shared" si="6"/>
        <v>1062.6153514367163</v>
      </c>
      <c r="O159" s="481">
        <v>0</v>
      </c>
      <c r="P159" s="475">
        <f t="shared" si="7"/>
        <v>875.52599999999995</v>
      </c>
    </row>
    <row r="160" spans="1:16">
      <c r="A160" s="470">
        <f t="shared" si="8"/>
        <v>2020</v>
      </c>
      <c r="B160" s="470">
        <f t="shared" si="9"/>
        <v>11</v>
      </c>
      <c r="C160" s="482">
        <v>126.94856331064597</v>
      </c>
      <c r="D160" s="482">
        <v>0</v>
      </c>
      <c r="E160" s="482">
        <v>589.35599999999999</v>
      </c>
      <c r="F160" s="482">
        <v>0</v>
      </c>
      <c r="G160" s="482">
        <v>200</v>
      </c>
      <c r="H160" s="482"/>
      <c r="I160" s="482"/>
      <c r="J160" s="482"/>
      <c r="K160" s="482"/>
      <c r="L160" s="482">
        <v>0</v>
      </c>
      <c r="M160" s="482">
        <v>0</v>
      </c>
      <c r="N160" s="482">
        <f t="shared" si="6"/>
        <v>916.30456331064602</v>
      </c>
      <c r="O160" s="481">
        <v>0</v>
      </c>
      <c r="P160" s="475">
        <f t="shared" si="7"/>
        <v>744.35599999999999</v>
      </c>
    </row>
    <row r="161" spans="1:16">
      <c r="A161" s="470">
        <f t="shared" si="8"/>
        <v>2020</v>
      </c>
      <c r="B161" s="470">
        <f t="shared" si="9"/>
        <v>12</v>
      </c>
      <c r="C161" s="482">
        <v>131.76175479881525</v>
      </c>
      <c r="D161" s="482">
        <v>0</v>
      </c>
      <c r="E161" s="482">
        <v>558.90099999999995</v>
      </c>
      <c r="F161" s="482">
        <v>0</v>
      </c>
      <c r="G161" s="482">
        <v>200</v>
      </c>
      <c r="H161" s="482"/>
      <c r="I161" s="482"/>
      <c r="J161" s="482"/>
      <c r="K161" s="482"/>
      <c r="L161" s="482">
        <v>0</v>
      </c>
      <c r="M161" s="482">
        <v>0</v>
      </c>
      <c r="N161" s="482">
        <f t="shared" si="6"/>
        <v>890.66275479881517</v>
      </c>
      <c r="O161" s="481">
        <v>0</v>
      </c>
      <c r="P161" s="475">
        <f t="shared" si="7"/>
        <v>713.90099999999995</v>
      </c>
    </row>
    <row r="162" spans="1:16">
      <c r="A162" s="470">
        <f t="shared" si="8"/>
        <v>2021</v>
      </c>
      <c r="B162" s="470">
        <f t="shared" si="9"/>
        <v>1</v>
      </c>
      <c r="C162" s="482">
        <v>131.92360809249217</v>
      </c>
      <c r="D162" s="482">
        <v>0</v>
      </c>
      <c r="E162" s="482">
        <v>755.11500000000001</v>
      </c>
      <c r="F162" s="482">
        <v>0</v>
      </c>
      <c r="G162" s="482">
        <v>200</v>
      </c>
      <c r="H162" s="482"/>
      <c r="I162" s="482"/>
      <c r="J162" s="482"/>
      <c r="K162" s="482"/>
      <c r="L162" s="482">
        <v>27</v>
      </c>
      <c r="M162" s="482">
        <v>19</v>
      </c>
      <c r="N162" s="482">
        <f t="shared" si="6"/>
        <v>1133.0386080924923</v>
      </c>
      <c r="O162" s="481">
        <v>0</v>
      </c>
      <c r="P162" s="475">
        <f t="shared" si="7"/>
        <v>910.11500000000001</v>
      </c>
    </row>
    <row r="163" spans="1:16">
      <c r="A163" s="470">
        <f t="shared" si="8"/>
        <v>2021</v>
      </c>
      <c r="B163" s="470">
        <f t="shared" si="9"/>
        <v>2</v>
      </c>
      <c r="C163" s="482">
        <v>130.4847926899476</v>
      </c>
      <c r="D163" s="482">
        <v>0</v>
      </c>
      <c r="E163" s="482">
        <v>675.37400000000002</v>
      </c>
      <c r="F163" s="482">
        <v>0</v>
      </c>
      <c r="G163" s="482">
        <v>200</v>
      </c>
      <c r="H163" s="482"/>
      <c r="I163" s="482"/>
      <c r="J163" s="482"/>
      <c r="K163" s="482"/>
      <c r="L163" s="482">
        <v>0</v>
      </c>
      <c r="M163" s="482">
        <v>0</v>
      </c>
      <c r="N163" s="482">
        <f t="shared" si="6"/>
        <v>1005.8587926899477</v>
      </c>
      <c r="O163" s="481">
        <v>0</v>
      </c>
      <c r="P163" s="475">
        <f t="shared" si="7"/>
        <v>830.37400000000002</v>
      </c>
    </row>
    <row r="164" spans="1:16">
      <c r="A164" s="470">
        <f t="shared" si="8"/>
        <v>2021</v>
      </c>
      <c r="B164" s="470">
        <f t="shared" si="9"/>
        <v>3</v>
      </c>
      <c r="C164" s="482">
        <v>138.09359486608642</v>
      </c>
      <c r="D164" s="482">
        <v>0</v>
      </c>
      <c r="E164" s="482">
        <v>622.21799999999996</v>
      </c>
      <c r="F164" s="482">
        <v>0</v>
      </c>
      <c r="G164" s="482">
        <v>200</v>
      </c>
      <c r="H164" s="482"/>
      <c r="I164" s="482"/>
      <c r="J164" s="482"/>
      <c r="K164" s="482"/>
      <c r="L164" s="482">
        <v>0</v>
      </c>
      <c r="M164" s="482">
        <v>0</v>
      </c>
      <c r="N164" s="482">
        <f t="shared" si="6"/>
        <v>960.31159486608635</v>
      </c>
      <c r="O164" s="481">
        <v>0</v>
      </c>
      <c r="P164" s="475">
        <f t="shared" si="7"/>
        <v>777.21799999999996</v>
      </c>
    </row>
    <row r="165" spans="1:16">
      <c r="A165" s="470">
        <f t="shared" si="8"/>
        <v>2021</v>
      </c>
      <c r="B165" s="470">
        <f t="shared" si="9"/>
        <v>4</v>
      </c>
      <c r="C165" s="482">
        <v>143.54042993952973</v>
      </c>
      <c r="D165" s="482">
        <v>0</v>
      </c>
      <c r="E165" s="482">
        <v>648.29700000000003</v>
      </c>
      <c r="F165" s="482">
        <v>0</v>
      </c>
      <c r="G165" s="482">
        <v>200</v>
      </c>
      <c r="H165" s="482"/>
      <c r="I165" s="482"/>
      <c r="J165" s="482"/>
      <c r="K165" s="482"/>
      <c r="L165" s="482">
        <v>0</v>
      </c>
      <c r="M165" s="482">
        <v>0</v>
      </c>
      <c r="N165" s="482">
        <f t="shared" si="6"/>
        <v>991.83742993952978</v>
      </c>
      <c r="O165" s="481">
        <v>0</v>
      </c>
      <c r="P165" s="475">
        <f t="shared" si="7"/>
        <v>803.29700000000003</v>
      </c>
    </row>
    <row r="166" spans="1:16">
      <c r="A166" s="470">
        <f t="shared" si="8"/>
        <v>2021</v>
      </c>
      <c r="B166" s="470">
        <f t="shared" si="9"/>
        <v>5</v>
      </c>
      <c r="C166" s="482">
        <v>157.16185094670988</v>
      </c>
      <c r="D166" s="482">
        <v>0</v>
      </c>
      <c r="E166" s="482">
        <v>736.18600000000004</v>
      </c>
      <c r="F166" s="482">
        <v>0</v>
      </c>
      <c r="G166" s="482">
        <v>200</v>
      </c>
      <c r="H166" s="482"/>
      <c r="I166" s="482"/>
      <c r="J166" s="482"/>
      <c r="K166" s="482"/>
      <c r="L166" s="482">
        <v>0</v>
      </c>
      <c r="M166" s="482">
        <v>0</v>
      </c>
      <c r="N166" s="482">
        <f t="shared" si="6"/>
        <v>1093.34785094671</v>
      </c>
      <c r="O166" s="481">
        <v>0</v>
      </c>
      <c r="P166" s="475">
        <f t="shared" si="7"/>
        <v>891.18600000000004</v>
      </c>
    </row>
    <row r="167" spans="1:16">
      <c r="A167" s="470">
        <f t="shared" si="8"/>
        <v>2021</v>
      </c>
      <c r="B167" s="470">
        <f t="shared" si="9"/>
        <v>6</v>
      </c>
      <c r="C167" s="482">
        <v>160.74894593258929</v>
      </c>
      <c r="D167" s="482">
        <v>0</v>
      </c>
      <c r="E167" s="482">
        <v>787.52300000000002</v>
      </c>
      <c r="F167" s="482">
        <v>0</v>
      </c>
      <c r="G167" s="482">
        <v>0</v>
      </c>
      <c r="H167" s="482"/>
      <c r="I167" s="482"/>
      <c r="J167" s="482"/>
      <c r="K167" s="482"/>
      <c r="L167" s="482">
        <v>0</v>
      </c>
      <c r="M167" s="482">
        <v>0</v>
      </c>
      <c r="N167" s="482">
        <f t="shared" si="6"/>
        <v>948.27194593258935</v>
      </c>
      <c r="O167" s="481">
        <v>0</v>
      </c>
      <c r="P167" s="475">
        <f t="shared" si="7"/>
        <v>742.52300000000002</v>
      </c>
    </row>
    <row r="168" spans="1:16">
      <c r="A168" s="470">
        <f t="shared" si="8"/>
        <v>2021</v>
      </c>
      <c r="B168" s="470">
        <f t="shared" si="9"/>
        <v>7</v>
      </c>
      <c r="C168" s="482">
        <v>169.85400000000001</v>
      </c>
      <c r="D168" s="482">
        <v>0</v>
      </c>
      <c r="E168" s="482">
        <v>800.79700000000003</v>
      </c>
      <c r="F168" s="482">
        <v>0</v>
      </c>
      <c r="G168" s="482">
        <v>0</v>
      </c>
      <c r="H168" s="482"/>
      <c r="I168" s="482"/>
      <c r="J168" s="482"/>
      <c r="K168" s="482"/>
      <c r="L168" s="482">
        <v>0</v>
      </c>
      <c r="M168" s="482">
        <v>0</v>
      </c>
      <c r="N168" s="482">
        <f t="shared" si="6"/>
        <v>970.65100000000007</v>
      </c>
      <c r="O168" s="481">
        <v>0</v>
      </c>
      <c r="P168" s="475">
        <f t="shared" si="7"/>
        <v>755.79700000000003</v>
      </c>
    </row>
    <row r="169" spans="1:16" s="479" customFormat="1" ht="12">
      <c r="A169" s="470">
        <f t="shared" si="8"/>
        <v>2021</v>
      </c>
      <c r="B169" s="470">
        <f t="shared" si="9"/>
        <v>8</v>
      </c>
      <c r="C169" s="482">
        <v>168.2115431197175</v>
      </c>
      <c r="D169" s="482">
        <v>0</v>
      </c>
      <c r="E169" s="482">
        <v>813.56</v>
      </c>
      <c r="F169" s="482">
        <v>0</v>
      </c>
      <c r="G169" s="482">
        <v>0</v>
      </c>
      <c r="H169" s="482"/>
      <c r="I169" s="482"/>
      <c r="J169" s="482"/>
      <c r="K169" s="482"/>
      <c r="L169" s="482">
        <v>27</v>
      </c>
      <c r="M169" s="482">
        <v>19</v>
      </c>
      <c r="N169" s="482">
        <f t="shared" si="6"/>
        <v>1027.7715431197175</v>
      </c>
      <c r="O169" s="481">
        <v>0</v>
      </c>
      <c r="P169" s="475">
        <f t="shared" si="7"/>
        <v>768.56</v>
      </c>
    </row>
    <row r="170" spans="1:16">
      <c r="A170" s="470">
        <f t="shared" si="8"/>
        <v>2021</v>
      </c>
      <c r="B170" s="470">
        <f t="shared" si="9"/>
        <v>9</v>
      </c>
      <c r="C170" s="482">
        <v>158.75979136583638</v>
      </c>
      <c r="D170" s="482">
        <v>0</v>
      </c>
      <c r="E170" s="482">
        <v>777.57799999999997</v>
      </c>
      <c r="F170" s="482">
        <v>0</v>
      </c>
      <c r="G170" s="482">
        <v>0</v>
      </c>
      <c r="H170" s="482"/>
      <c r="I170" s="482"/>
      <c r="J170" s="482"/>
      <c r="K170" s="482"/>
      <c r="L170" s="482">
        <v>0</v>
      </c>
      <c r="M170" s="482">
        <v>0</v>
      </c>
      <c r="N170" s="482">
        <f t="shared" si="6"/>
        <v>936.33779136583632</v>
      </c>
      <c r="O170" s="481">
        <v>0</v>
      </c>
      <c r="P170" s="475">
        <f t="shared" si="7"/>
        <v>732.57799999999997</v>
      </c>
    </row>
    <row r="171" spans="1:16">
      <c r="A171" s="470">
        <f t="shared" si="8"/>
        <v>2021</v>
      </c>
      <c r="B171" s="470">
        <f t="shared" si="9"/>
        <v>10</v>
      </c>
      <c r="C171" s="482">
        <v>143.42863268351007</v>
      </c>
      <c r="D171" s="482">
        <v>0</v>
      </c>
      <c r="E171" s="482">
        <v>722.98900000000003</v>
      </c>
      <c r="F171" s="482">
        <v>0</v>
      </c>
      <c r="G171" s="482">
        <v>0</v>
      </c>
      <c r="H171" s="482"/>
      <c r="I171" s="482"/>
      <c r="J171" s="482"/>
      <c r="K171" s="482"/>
      <c r="L171" s="482">
        <v>0</v>
      </c>
      <c r="M171" s="482">
        <v>0</v>
      </c>
      <c r="N171" s="482">
        <f t="shared" si="6"/>
        <v>866.41763268351008</v>
      </c>
      <c r="O171" s="481">
        <v>0</v>
      </c>
      <c r="P171" s="475">
        <f t="shared" si="7"/>
        <v>677.98900000000003</v>
      </c>
    </row>
    <row r="172" spans="1:16">
      <c r="A172" s="470">
        <f t="shared" si="8"/>
        <v>2021</v>
      </c>
      <c r="B172" s="470">
        <f t="shared" si="9"/>
        <v>11</v>
      </c>
      <c r="C172" s="482">
        <v>128.14513313400167</v>
      </c>
      <c r="D172" s="482">
        <v>0</v>
      </c>
      <c r="E172" s="482">
        <v>590.56700000000001</v>
      </c>
      <c r="F172" s="482">
        <v>0</v>
      </c>
      <c r="G172" s="482">
        <v>0</v>
      </c>
      <c r="H172" s="482"/>
      <c r="I172" s="482"/>
      <c r="J172" s="482"/>
      <c r="K172" s="482"/>
      <c r="L172" s="482">
        <v>0</v>
      </c>
      <c r="M172" s="482">
        <v>0</v>
      </c>
      <c r="N172" s="482">
        <f t="shared" si="6"/>
        <v>718.71213313400165</v>
      </c>
      <c r="O172" s="481">
        <v>0</v>
      </c>
      <c r="P172" s="475">
        <f t="shared" si="7"/>
        <v>545.56700000000001</v>
      </c>
    </row>
    <row r="173" spans="1:16">
      <c r="A173" s="470">
        <f t="shared" si="8"/>
        <v>2021</v>
      </c>
      <c r="B173" s="470">
        <f t="shared" si="9"/>
        <v>12</v>
      </c>
      <c r="C173" s="482">
        <v>133.00369197047783</v>
      </c>
      <c r="D173" s="482">
        <v>0</v>
      </c>
      <c r="E173" s="482">
        <v>560.46199999999999</v>
      </c>
      <c r="F173" s="482">
        <v>0</v>
      </c>
      <c r="G173" s="482">
        <v>0</v>
      </c>
      <c r="H173" s="482"/>
      <c r="I173" s="482"/>
      <c r="J173" s="482"/>
      <c r="K173" s="482"/>
      <c r="L173" s="482">
        <v>0</v>
      </c>
      <c r="M173" s="482">
        <v>0</v>
      </c>
      <c r="N173" s="482">
        <f t="shared" si="6"/>
        <v>693.46569197047779</v>
      </c>
      <c r="O173" s="481">
        <v>0</v>
      </c>
      <c r="P173" s="475">
        <f t="shared" si="7"/>
        <v>515.46199999999999</v>
      </c>
    </row>
    <row r="174" spans="1:16">
      <c r="A174" s="470">
        <f t="shared" si="8"/>
        <v>2022</v>
      </c>
      <c r="B174" s="470">
        <f t="shared" si="9"/>
        <v>1</v>
      </c>
      <c r="C174" s="482">
        <v>133.16707083295191</v>
      </c>
      <c r="D174" s="482">
        <v>0</v>
      </c>
      <c r="E174" s="482">
        <v>755.86900000000003</v>
      </c>
      <c r="F174" s="482">
        <v>0</v>
      </c>
      <c r="G174" s="482">
        <v>0</v>
      </c>
      <c r="H174" s="482"/>
      <c r="I174" s="482"/>
      <c r="J174" s="482"/>
      <c r="K174" s="482"/>
      <c r="L174" s="482">
        <v>27</v>
      </c>
      <c r="M174" s="482">
        <v>19</v>
      </c>
      <c r="N174" s="482">
        <f t="shared" si="6"/>
        <v>935.03607083295196</v>
      </c>
      <c r="O174" s="481">
        <v>0</v>
      </c>
      <c r="P174" s="475">
        <f t="shared" si="7"/>
        <v>710.86900000000003</v>
      </c>
    </row>
    <row r="175" spans="1:16">
      <c r="A175" s="470">
        <f t="shared" si="8"/>
        <v>2022</v>
      </c>
      <c r="B175" s="470">
        <f t="shared" si="9"/>
        <v>2</v>
      </c>
      <c r="C175" s="482">
        <v>131.71469369290381</v>
      </c>
      <c r="D175" s="482">
        <v>0</v>
      </c>
      <c r="E175" s="482">
        <v>676.048</v>
      </c>
      <c r="F175" s="482">
        <v>0</v>
      </c>
      <c r="G175" s="482">
        <v>0</v>
      </c>
      <c r="H175" s="482"/>
      <c r="I175" s="482"/>
      <c r="J175" s="482"/>
      <c r="K175" s="482"/>
      <c r="L175" s="482">
        <v>0</v>
      </c>
      <c r="M175" s="482">
        <v>0</v>
      </c>
      <c r="N175" s="482">
        <f t="shared" si="6"/>
        <v>807.76269369290378</v>
      </c>
      <c r="O175" s="481">
        <v>0</v>
      </c>
      <c r="P175" s="475">
        <f t="shared" si="7"/>
        <v>631.048</v>
      </c>
    </row>
    <row r="176" spans="1:16">
      <c r="A176" s="470">
        <f t="shared" si="8"/>
        <v>2022</v>
      </c>
      <c r="B176" s="470">
        <f t="shared" si="9"/>
        <v>3</v>
      </c>
      <c r="C176" s="482">
        <v>139.39521360131482</v>
      </c>
      <c r="D176" s="482">
        <v>0</v>
      </c>
      <c r="E176" s="482">
        <v>622.90499999999997</v>
      </c>
      <c r="F176" s="482">
        <v>0</v>
      </c>
      <c r="G176" s="482">
        <v>0</v>
      </c>
      <c r="H176" s="482"/>
      <c r="I176" s="482"/>
      <c r="J176" s="482"/>
      <c r="K176" s="482"/>
      <c r="L176" s="482">
        <v>0</v>
      </c>
      <c r="M176" s="482">
        <v>0</v>
      </c>
      <c r="N176" s="482">
        <f t="shared" si="6"/>
        <v>762.30021360131479</v>
      </c>
      <c r="O176" s="481">
        <v>0</v>
      </c>
      <c r="P176" s="475">
        <f t="shared" si="7"/>
        <v>577.90499999999997</v>
      </c>
    </row>
    <row r="177" spans="1:16">
      <c r="A177" s="470">
        <f t="shared" si="8"/>
        <v>2022</v>
      </c>
      <c r="B177" s="470">
        <f t="shared" si="9"/>
        <v>4</v>
      </c>
      <c r="C177" s="482">
        <v>144.89338851123765</v>
      </c>
      <c r="D177" s="482">
        <v>0</v>
      </c>
      <c r="E177" s="482">
        <v>652.40300000000002</v>
      </c>
      <c r="F177" s="482">
        <v>0</v>
      </c>
      <c r="G177" s="482">
        <v>0</v>
      </c>
      <c r="H177" s="482"/>
      <c r="I177" s="482"/>
      <c r="J177" s="482"/>
      <c r="K177" s="482"/>
      <c r="L177" s="482">
        <v>0</v>
      </c>
      <c r="M177" s="482">
        <v>0</v>
      </c>
      <c r="N177" s="482">
        <f t="shared" si="6"/>
        <v>797.29638851123764</v>
      </c>
      <c r="O177" s="481">
        <v>0</v>
      </c>
      <c r="P177" s="475">
        <f t="shared" si="7"/>
        <v>607.40300000000002</v>
      </c>
    </row>
    <row r="178" spans="1:16">
      <c r="A178" s="470">
        <f t="shared" si="8"/>
        <v>2022</v>
      </c>
      <c r="B178" s="470">
        <f t="shared" si="9"/>
        <v>5</v>
      </c>
      <c r="C178" s="482">
        <v>158.64319995390881</v>
      </c>
      <c r="D178" s="482">
        <v>0</v>
      </c>
      <c r="E178" s="482">
        <v>740.01199999999994</v>
      </c>
      <c r="F178" s="482">
        <v>0</v>
      </c>
      <c r="G178" s="482">
        <v>0</v>
      </c>
      <c r="H178" s="482"/>
      <c r="I178" s="482"/>
      <c r="J178" s="482"/>
      <c r="K178" s="482"/>
      <c r="L178" s="482">
        <v>0</v>
      </c>
      <c r="M178" s="482">
        <v>0</v>
      </c>
      <c r="N178" s="482">
        <f t="shared" si="6"/>
        <v>898.65519995390878</v>
      </c>
      <c r="O178" s="481">
        <v>0</v>
      </c>
      <c r="P178" s="475">
        <f t="shared" si="7"/>
        <v>695.01199999999994</v>
      </c>
    </row>
    <row r="179" spans="1:16">
      <c r="A179" s="470">
        <f t="shared" si="8"/>
        <v>2022</v>
      </c>
      <c r="B179" s="470">
        <f t="shared" si="9"/>
        <v>6</v>
      </c>
      <c r="C179" s="482">
        <v>162.26410555963051</v>
      </c>
      <c r="D179" s="482">
        <v>0</v>
      </c>
      <c r="E179" s="482">
        <v>790.29899999999998</v>
      </c>
      <c r="F179" s="482">
        <v>0</v>
      </c>
      <c r="G179" s="482">
        <v>0</v>
      </c>
      <c r="H179" s="482"/>
      <c r="I179" s="482"/>
      <c r="J179" s="482"/>
      <c r="K179" s="482"/>
      <c r="L179" s="482">
        <v>0</v>
      </c>
      <c r="M179" s="482">
        <v>0</v>
      </c>
      <c r="N179" s="482">
        <f t="shared" si="6"/>
        <v>952.56310555963046</v>
      </c>
      <c r="O179" s="481">
        <v>0</v>
      </c>
      <c r="P179" s="475">
        <f t="shared" si="7"/>
        <v>745.29899999999998</v>
      </c>
    </row>
    <row r="180" spans="1:16">
      <c r="A180" s="470">
        <f t="shared" si="8"/>
        <v>2022</v>
      </c>
      <c r="B180" s="470">
        <f t="shared" si="9"/>
        <v>7</v>
      </c>
      <c r="C180" s="482">
        <v>171.45500000000001</v>
      </c>
      <c r="D180" s="482">
        <v>0</v>
      </c>
      <c r="E180" s="482">
        <v>805.35699999999997</v>
      </c>
      <c r="F180" s="482">
        <v>0</v>
      </c>
      <c r="G180" s="482">
        <v>0</v>
      </c>
      <c r="H180" s="482"/>
      <c r="I180" s="482"/>
      <c r="J180" s="482"/>
      <c r="K180" s="482"/>
      <c r="L180" s="482">
        <v>0</v>
      </c>
      <c r="M180" s="482">
        <v>0</v>
      </c>
      <c r="N180" s="482">
        <f t="shared" si="6"/>
        <v>976.81200000000001</v>
      </c>
      <c r="O180" s="481">
        <v>0</v>
      </c>
      <c r="P180" s="475">
        <f>E180+G180-45</f>
        <v>760.35699999999997</v>
      </c>
    </row>
    <row r="181" spans="1:16" s="479" customFormat="1" ht="12">
      <c r="A181" s="470">
        <f t="shared" si="8"/>
        <v>2022</v>
      </c>
      <c r="B181" s="470">
        <f t="shared" si="9"/>
        <v>8</v>
      </c>
      <c r="C181" s="482">
        <v>169.79704240531888</v>
      </c>
      <c r="D181" s="482">
        <v>0</v>
      </c>
      <c r="E181" s="482">
        <v>818.21199999999999</v>
      </c>
      <c r="F181" s="482">
        <v>0</v>
      </c>
      <c r="G181" s="482">
        <v>0</v>
      </c>
      <c r="H181" s="482"/>
      <c r="I181" s="482"/>
      <c r="J181" s="482"/>
      <c r="K181" s="482"/>
      <c r="L181" s="482">
        <v>27</v>
      </c>
      <c r="M181" s="482">
        <v>19</v>
      </c>
      <c r="N181" s="482">
        <f t="shared" si="6"/>
        <v>1034.0090424053187</v>
      </c>
      <c r="O181" s="481">
        <v>0</v>
      </c>
      <c r="P181" s="475">
        <f t="shared" si="7"/>
        <v>773.21199999999999</v>
      </c>
    </row>
    <row r="182" spans="1:16">
      <c r="A182" s="470">
        <f t="shared" si="8"/>
        <v>2022</v>
      </c>
      <c r="B182" s="470">
        <f t="shared" si="9"/>
        <v>9</v>
      </c>
      <c r="C182" s="482">
        <v>160.25620196361331</v>
      </c>
      <c r="D182" s="482">
        <v>0</v>
      </c>
      <c r="E182" s="482">
        <v>782.03700000000003</v>
      </c>
      <c r="F182" s="482">
        <v>0</v>
      </c>
      <c r="G182" s="482">
        <v>0</v>
      </c>
      <c r="H182" s="482"/>
      <c r="I182" s="482"/>
      <c r="J182" s="482"/>
      <c r="K182" s="482"/>
      <c r="L182" s="482">
        <v>0</v>
      </c>
      <c r="M182" s="482">
        <v>0</v>
      </c>
      <c r="N182" s="482">
        <f t="shared" si="6"/>
        <v>942.29320196361334</v>
      </c>
      <c r="O182" s="481">
        <v>0</v>
      </c>
      <c r="P182" s="475">
        <f t="shared" si="7"/>
        <v>737.03700000000003</v>
      </c>
    </row>
    <row r="183" spans="1:16">
      <c r="A183" s="470">
        <f t="shared" si="8"/>
        <v>2022</v>
      </c>
      <c r="B183" s="470">
        <f t="shared" si="9"/>
        <v>10</v>
      </c>
      <c r="C183" s="482">
        <v>144.78053749596782</v>
      </c>
      <c r="D183" s="482">
        <v>0</v>
      </c>
      <c r="E183" s="482">
        <v>725.46100000000001</v>
      </c>
      <c r="F183" s="482">
        <v>0</v>
      </c>
      <c r="G183" s="482">
        <v>0</v>
      </c>
      <c r="H183" s="482"/>
      <c r="I183" s="482"/>
      <c r="J183" s="482"/>
      <c r="K183" s="482"/>
      <c r="L183" s="482">
        <v>0</v>
      </c>
      <c r="M183" s="482">
        <v>0</v>
      </c>
      <c r="N183" s="482">
        <f t="shared" si="6"/>
        <v>870.2415374959678</v>
      </c>
      <c r="O183" s="481">
        <v>0</v>
      </c>
      <c r="P183" s="475">
        <f t="shared" si="7"/>
        <v>680.46100000000001</v>
      </c>
    </row>
    <row r="184" spans="1:16">
      <c r="A184" s="470">
        <f t="shared" si="8"/>
        <v>2022</v>
      </c>
      <c r="B184" s="470">
        <f t="shared" si="9"/>
        <v>11</v>
      </c>
      <c r="C184" s="482">
        <v>129.35298137835582</v>
      </c>
      <c r="D184" s="482">
        <v>0</v>
      </c>
      <c r="E184" s="482">
        <v>591.78399999999999</v>
      </c>
      <c r="F184" s="482">
        <v>0</v>
      </c>
      <c r="G184" s="482">
        <v>0</v>
      </c>
      <c r="H184" s="482"/>
      <c r="I184" s="482"/>
      <c r="J184" s="482"/>
      <c r="K184" s="482"/>
      <c r="L184" s="482">
        <v>0</v>
      </c>
      <c r="M184" s="482">
        <v>0</v>
      </c>
      <c r="N184" s="482">
        <f t="shared" si="6"/>
        <v>721.13698137835581</v>
      </c>
      <c r="O184" s="481">
        <v>0</v>
      </c>
      <c r="P184" s="475">
        <f t="shared" si="7"/>
        <v>546.78399999999999</v>
      </c>
    </row>
    <row r="185" spans="1:16">
      <c r="A185" s="470">
        <f t="shared" si="8"/>
        <v>2022</v>
      </c>
      <c r="B185" s="470">
        <f t="shared" si="9"/>
        <v>12</v>
      </c>
      <c r="C185" s="482">
        <v>134.25733517884822</v>
      </c>
      <c r="D185" s="482">
        <v>0</v>
      </c>
      <c r="E185" s="482">
        <v>562.03099999999995</v>
      </c>
      <c r="F185" s="482">
        <v>0</v>
      </c>
      <c r="G185" s="482">
        <v>0</v>
      </c>
      <c r="H185" s="482"/>
      <c r="I185" s="482"/>
      <c r="J185" s="482"/>
      <c r="K185" s="482"/>
      <c r="L185" s="482">
        <v>0</v>
      </c>
      <c r="M185" s="482">
        <v>0</v>
      </c>
      <c r="N185" s="482">
        <f t="shared" si="6"/>
        <v>696.28833517884823</v>
      </c>
      <c r="O185" s="481">
        <v>0</v>
      </c>
      <c r="P185" s="475">
        <f t="shared" si="7"/>
        <v>517.03099999999995</v>
      </c>
    </row>
    <row r="186" spans="1:16">
      <c r="A186" s="470">
        <f t="shared" si="8"/>
        <v>2023</v>
      </c>
      <c r="B186" s="470">
        <f t="shared" si="9"/>
        <v>1</v>
      </c>
      <c r="C186" s="482">
        <v>134.42225398956205</v>
      </c>
      <c r="D186" s="482">
        <v>0</v>
      </c>
      <c r="E186" s="482">
        <v>756.62599999999998</v>
      </c>
      <c r="F186" s="482">
        <v>0</v>
      </c>
      <c r="G186" s="482">
        <v>0</v>
      </c>
      <c r="H186" s="482"/>
      <c r="I186" s="482"/>
      <c r="J186" s="482"/>
      <c r="K186" s="482"/>
      <c r="L186" s="482">
        <v>27</v>
      </c>
      <c r="M186" s="482">
        <v>19</v>
      </c>
      <c r="N186" s="482">
        <f t="shared" si="6"/>
        <v>937.048253989562</v>
      </c>
      <c r="O186" s="481">
        <v>0</v>
      </c>
      <c r="P186" s="475">
        <f t="shared" si="7"/>
        <v>711.62599999999998</v>
      </c>
    </row>
    <row r="187" spans="1:16">
      <c r="A187" s="470">
        <f t="shared" si="8"/>
        <v>2023</v>
      </c>
      <c r="B187" s="470">
        <f t="shared" si="9"/>
        <v>2</v>
      </c>
      <c r="C187" s="482">
        <v>132.95618728412944</v>
      </c>
      <c r="D187" s="482">
        <v>0</v>
      </c>
      <c r="E187" s="482">
        <v>676.72400000000005</v>
      </c>
      <c r="F187" s="482">
        <v>0</v>
      </c>
      <c r="G187" s="482">
        <v>0</v>
      </c>
      <c r="H187" s="482"/>
      <c r="I187" s="482"/>
      <c r="J187" s="482"/>
      <c r="K187" s="482"/>
      <c r="L187" s="482">
        <v>0</v>
      </c>
      <c r="M187" s="482">
        <v>0</v>
      </c>
      <c r="N187" s="482">
        <f t="shared" si="6"/>
        <v>809.68018728412949</v>
      </c>
      <c r="O187" s="481">
        <v>0</v>
      </c>
      <c r="P187" s="475">
        <f t="shared" si="7"/>
        <v>631.72400000000005</v>
      </c>
    </row>
    <row r="188" spans="1:16">
      <c r="A188" s="470">
        <f t="shared" si="8"/>
        <v>2023</v>
      </c>
      <c r="B188" s="470">
        <f t="shared" si="9"/>
        <v>3</v>
      </c>
      <c r="C188" s="482">
        <v>140.70910090941612</v>
      </c>
      <c r="D188" s="482">
        <v>0</v>
      </c>
      <c r="E188" s="482">
        <v>623.59199999999998</v>
      </c>
      <c r="F188" s="482">
        <v>0</v>
      </c>
      <c r="G188" s="482">
        <v>0</v>
      </c>
      <c r="H188" s="482"/>
      <c r="I188" s="482"/>
      <c r="J188" s="482"/>
      <c r="K188" s="482"/>
      <c r="L188" s="482">
        <v>0</v>
      </c>
      <c r="M188" s="482">
        <v>0</v>
      </c>
      <c r="N188" s="482">
        <f t="shared" si="6"/>
        <v>764.30110090941616</v>
      </c>
      <c r="O188" s="481">
        <v>0</v>
      </c>
      <c r="P188" s="475">
        <f t="shared" si="7"/>
        <v>578.59199999999998</v>
      </c>
    </row>
    <row r="189" spans="1:16">
      <c r="A189" s="470">
        <f t="shared" si="8"/>
        <v>2023</v>
      </c>
      <c r="B189" s="470">
        <f t="shared" si="9"/>
        <v>4</v>
      </c>
      <c r="C189" s="482">
        <v>146.2590995659744</v>
      </c>
      <c r="D189" s="482">
        <v>0</v>
      </c>
      <c r="E189" s="482">
        <v>656.54100000000005</v>
      </c>
      <c r="F189" s="482">
        <v>0</v>
      </c>
      <c r="G189" s="482">
        <v>0</v>
      </c>
      <c r="H189" s="482"/>
      <c r="I189" s="482"/>
      <c r="J189" s="482"/>
      <c r="K189" s="482"/>
      <c r="L189" s="482">
        <v>0</v>
      </c>
      <c r="M189" s="482">
        <v>0</v>
      </c>
      <c r="N189" s="482">
        <f t="shared" si="6"/>
        <v>802.80009956597451</v>
      </c>
      <c r="O189" s="481">
        <v>0</v>
      </c>
      <c r="P189" s="475">
        <f t="shared" si="7"/>
        <v>611.54100000000005</v>
      </c>
    </row>
    <row r="190" spans="1:16">
      <c r="A190" s="470">
        <f t="shared" si="8"/>
        <v>2023</v>
      </c>
      <c r="B190" s="470">
        <f t="shared" si="9"/>
        <v>5</v>
      </c>
      <c r="C190" s="482">
        <v>160.13851160450952</v>
      </c>
      <c r="D190" s="482">
        <v>0</v>
      </c>
      <c r="E190" s="482">
        <v>743.86099999999999</v>
      </c>
      <c r="F190" s="482">
        <v>0</v>
      </c>
      <c r="G190" s="482">
        <v>0</v>
      </c>
      <c r="H190" s="482"/>
      <c r="I190" s="482"/>
      <c r="J190" s="482"/>
      <c r="K190" s="482"/>
      <c r="L190" s="482">
        <v>0</v>
      </c>
      <c r="M190" s="482">
        <v>0</v>
      </c>
      <c r="N190" s="482">
        <f t="shared" si="6"/>
        <v>903.99951160450951</v>
      </c>
      <c r="O190" s="481">
        <v>0</v>
      </c>
      <c r="P190" s="475">
        <f t="shared" si="7"/>
        <v>698.86099999999999</v>
      </c>
    </row>
    <row r="191" spans="1:16">
      <c r="A191" s="470">
        <f t="shared" si="8"/>
        <v>2023</v>
      </c>
      <c r="B191" s="470">
        <f t="shared" si="9"/>
        <v>6</v>
      </c>
      <c r="C191" s="482">
        <v>163.79354651636933</v>
      </c>
      <c r="D191" s="482">
        <v>0</v>
      </c>
      <c r="E191" s="482">
        <v>793.08799999999997</v>
      </c>
      <c r="F191" s="482">
        <v>0</v>
      </c>
      <c r="G191" s="482">
        <v>0</v>
      </c>
      <c r="H191" s="482"/>
      <c r="I191" s="482"/>
      <c r="J191" s="482"/>
      <c r="K191" s="482"/>
      <c r="L191" s="482">
        <v>0</v>
      </c>
      <c r="M191" s="482">
        <v>0</v>
      </c>
      <c r="N191" s="482">
        <f t="shared" si="6"/>
        <v>956.88154651636933</v>
      </c>
      <c r="O191" s="481">
        <v>0</v>
      </c>
      <c r="P191" s="475">
        <f t="shared" si="7"/>
        <v>748.08799999999997</v>
      </c>
    </row>
    <row r="192" spans="1:16">
      <c r="A192" s="470">
        <f t="shared" si="8"/>
        <v>2023</v>
      </c>
      <c r="B192" s="470">
        <f t="shared" si="9"/>
        <v>7</v>
      </c>
      <c r="C192" s="482">
        <v>173.071</v>
      </c>
      <c r="D192" s="482">
        <v>0</v>
      </c>
      <c r="E192" s="482">
        <v>809.94500000000005</v>
      </c>
      <c r="F192" s="482">
        <v>0</v>
      </c>
      <c r="G192" s="482">
        <v>0</v>
      </c>
      <c r="H192" s="482"/>
      <c r="I192" s="482"/>
      <c r="J192" s="482"/>
      <c r="K192" s="482"/>
      <c r="L192" s="482">
        <v>0</v>
      </c>
      <c r="M192" s="482">
        <v>0</v>
      </c>
      <c r="N192" s="482">
        <f t="shared" si="6"/>
        <v>983.01600000000008</v>
      </c>
      <c r="O192" s="481">
        <v>0</v>
      </c>
      <c r="P192" s="475">
        <f t="shared" si="7"/>
        <v>764.94500000000005</v>
      </c>
    </row>
    <row r="193" spans="1:16" s="479" customFormat="1" ht="12">
      <c r="A193" s="470">
        <f t="shared" si="8"/>
        <v>2023</v>
      </c>
      <c r="B193" s="470">
        <f t="shared" si="9"/>
        <v>8</v>
      </c>
      <c r="C193" s="482">
        <v>171.39748601601244</v>
      </c>
      <c r="D193" s="482">
        <v>0</v>
      </c>
      <c r="E193" s="482">
        <v>822.89700000000005</v>
      </c>
      <c r="F193" s="482">
        <v>0</v>
      </c>
      <c r="G193" s="482">
        <v>0</v>
      </c>
      <c r="H193" s="482"/>
      <c r="I193" s="482"/>
      <c r="J193" s="482"/>
      <c r="K193" s="482"/>
      <c r="L193" s="482">
        <v>27</v>
      </c>
      <c r="M193" s="482">
        <v>19</v>
      </c>
      <c r="N193" s="482">
        <f t="shared" si="6"/>
        <v>1040.2944860160123</v>
      </c>
      <c r="O193" s="481">
        <v>0</v>
      </c>
      <c r="P193" s="475">
        <f t="shared" si="7"/>
        <v>777.89700000000005</v>
      </c>
    </row>
    <row r="194" spans="1:16">
      <c r="A194" s="470">
        <f t="shared" si="8"/>
        <v>2023</v>
      </c>
      <c r="B194" s="470">
        <f t="shared" si="9"/>
        <v>9</v>
      </c>
      <c r="C194" s="482">
        <v>161.76671716972885</v>
      </c>
      <c r="D194" s="482">
        <v>0</v>
      </c>
      <c r="E194" s="482">
        <v>786.524</v>
      </c>
      <c r="F194" s="482">
        <v>0</v>
      </c>
      <c r="G194" s="482">
        <v>0</v>
      </c>
      <c r="H194" s="482"/>
      <c r="I194" s="482"/>
      <c r="J194" s="482"/>
      <c r="K194" s="482"/>
      <c r="L194" s="482">
        <v>0</v>
      </c>
      <c r="M194" s="482">
        <v>0</v>
      </c>
      <c r="N194" s="482">
        <f t="shared" si="6"/>
        <v>948.29071716972885</v>
      </c>
      <c r="O194" s="481">
        <v>0</v>
      </c>
      <c r="P194" s="475">
        <f t="shared" si="7"/>
        <v>741.524</v>
      </c>
    </row>
    <row r="195" spans="1:16">
      <c r="A195" s="470">
        <f t="shared" si="8"/>
        <v>2023</v>
      </c>
      <c r="B195" s="470">
        <f t="shared" si="9"/>
        <v>10</v>
      </c>
      <c r="C195" s="482">
        <v>146.14518485911259</v>
      </c>
      <c r="D195" s="482">
        <v>0</v>
      </c>
      <c r="E195" s="482">
        <v>727.94600000000003</v>
      </c>
      <c r="F195" s="482">
        <v>0</v>
      </c>
      <c r="G195" s="482">
        <v>0</v>
      </c>
      <c r="H195" s="482"/>
      <c r="I195" s="482"/>
      <c r="J195" s="482"/>
      <c r="K195" s="482"/>
      <c r="L195" s="482">
        <v>0</v>
      </c>
      <c r="M195" s="482">
        <v>0</v>
      </c>
      <c r="N195" s="482">
        <f t="shared" si="6"/>
        <v>874.09118485911267</v>
      </c>
      <c r="O195" s="481">
        <v>0</v>
      </c>
      <c r="P195" s="475">
        <f t="shared" si="7"/>
        <v>682.94600000000003</v>
      </c>
    </row>
    <row r="196" spans="1:16">
      <c r="A196" s="470">
        <f t="shared" si="8"/>
        <v>2023</v>
      </c>
      <c r="B196" s="470">
        <f t="shared" si="9"/>
        <v>11</v>
      </c>
      <c r="C196" s="482">
        <v>130.57221434989944</v>
      </c>
      <c r="D196" s="482">
        <v>0</v>
      </c>
      <c r="E196" s="482">
        <v>593.00599999999997</v>
      </c>
      <c r="F196" s="482">
        <v>0</v>
      </c>
      <c r="G196" s="482">
        <v>0</v>
      </c>
      <c r="H196" s="482"/>
      <c r="I196" s="482"/>
      <c r="J196" s="482"/>
      <c r="K196" s="482"/>
      <c r="L196" s="482">
        <v>0</v>
      </c>
      <c r="M196" s="482">
        <v>0</v>
      </c>
      <c r="N196" s="482">
        <f t="shared" si="6"/>
        <v>723.57821434989944</v>
      </c>
      <c r="O196" s="481">
        <v>0</v>
      </c>
      <c r="P196" s="475">
        <f t="shared" si="7"/>
        <v>548.00599999999997</v>
      </c>
    </row>
    <row r="197" spans="1:16">
      <c r="A197" s="470">
        <f t="shared" si="8"/>
        <v>2023</v>
      </c>
      <c r="B197" s="470">
        <f t="shared" si="9"/>
        <v>12</v>
      </c>
      <c r="C197" s="482">
        <v>135.52279476066366</v>
      </c>
      <c r="D197" s="482">
        <v>0</v>
      </c>
      <c r="E197" s="482">
        <v>563.61099999999999</v>
      </c>
      <c r="F197" s="482">
        <v>0</v>
      </c>
      <c r="G197" s="482">
        <v>0</v>
      </c>
      <c r="H197" s="482"/>
      <c r="I197" s="482"/>
      <c r="J197" s="482"/>
      <c r="K197" s="482"/>
      <c r="L197" s="482">
        <v>0</v>
      </c>
      <c r="M197" s="482">
        <v>0</v>
      </c>
      <c r="N197" s="482">
        <f t="shared" si="6"/>
        <v>699.1337947606637</v>
      </c>
      <c r="O197" s="481">
        <v>0</v>
      </c>
      <c r="P197" s="475">
        <f t="shared" si="7"/>
        <v>518.61099999999999</v>
      </c>
    </row>
    <row r="198" spans="1:16">
      <c r="A198" s="470">
        <f t="shared" si="8"/>
        <v>2024</v>
      </c>
      <c r="B198" s="470">
        <f t="shared" si="9"/>
        <v>1</v>
      </c>
      <c r="C198" s="482">
        <v>135.68926803459519</v>
      </c>
      <c r="D198" s="482">
        <v>0</v>
      </c>
      <c r="E198" s="482">
        <v>757.38300000000004</v>
      </c>
      <c r="F198" s="482">
        <v>0</v>
      </c>
      <c r="G198" s="482">
        <v>0</v>
      </c>
      <c r="H198" s="482"/>
      <c r="I198" s="482"/>
      <c r="J198" s="482"/>
      <c r="K198" s="482"/>
      <c r="L198" s="482">
        <v>27</v>
      </c>
      <c r="M198" s="482"/>
      <c r="N198" s="482">
        <f t="shared" si="6"/>
        <v>920.07226803459525</v>
      </c>
      <c r="O198" s="481">
        <v>0</v>
      </c>
      <c r="P198" s="475">
        <f t="shared" si="7"/>
        <v>712.38300000000004</v>
      </c>
    </row>
    <row r="199" spans="1:16">
      <c r="A199" s="470">
        <f t="shared" si="8"/>
        <v>2024</v>
      </c>
      <c r="B199" s="470">
        <f t="shared" si="9"/>
        <v>2</v>
      </c>
      <c r="C199" s="482">
        <v>134.20938273103903</v>
      </c>
      <c r="D199" s="482">
        <v>0</v>
      </c>
      <c r="E199" s="482">
        <v>679.40200000000004</v>
      </c>
      <c r="F199" s="482">
        <v>0</v>
      </c>
      <c r="G199" s="482">
        <v>0</v>
      </c>
      <c r="H199" s="482"/>
      <c r="I199" s="482"/>
      <c r="J199" s="482"/>
      <c r="K199" s="482"/>
      <c r="L199" s="482">
        <v>0</v>
      </c>
      <c r="M199" s="482"/>
      <c r="N199" s="482">
        <f t="shared" ref="N199:N262" si="10">SUM(C199:M199)</f>
        <v>813.61138273103904</v>
      </c>
      <c r="O199" s="481">
        <v>0</v>
      </c>
      <c r="P199" s="475">
        <f t="shared" si="7"/>
        <v>634.40200000000004</v>
      </c>
    </row>
    <row r="200" spans="1:16">
      <c r="A200" s="470">
        <f t="shared" si="8"/>
        <v>2024</v>
      </c>
      <c r="B200" s="470">
        <f t="shared" si="9"/>
        <v>3</v>
      </c>
      <c r="C200" s="482">
        <v>142.03537242938376</v>
      </c>
      <c r="D200" s="482">
        <v>0</v>
      </c>
      <c r="E200" s="482">
        <v>624.279</v>
      </c>
      <c r="F200" s="482">
        <v>0</v>
      </c>
      <c r="G200" s="482">
        <v>0</v>
      </c>
      <c r="H200" s="482"/>
      <c r="I200" s="482"/>
      <c r="J200" s="482"/>
      <c r="K200" s="482"/>
      <c r="L200" s="482">
        <v>0</v>
      </c>
      <c r="M200" s="482"/>
      <c r="N200" s="482">
        <f t="shared" si="10"/>
        <v>766.31437242938375</v>
      </c>
      <c r="O200" s="481">
        <v>0</v>
      </c>
      <c r="P200" s="475">
        <f t="shared" si="7"/>
        <v>579.279</v>
      </c>
    </row>
    <row r="201" spans="1:16">
      <c r="A201" s="470">
        <f t="shared" si="8"/>
        <v>2024</v>
      </c>
      <c r="B201" s="470">
        <f t="shared" si="9"/>
        <v>4</v>
      </c>
      <c r="C201" s="482">
        <v>147.63768330389013</v>
      </c>
      <c r="D201" s="482">
        <v>0</v>
      </c>
      <c r="E201" s="482">
        <v>660.71600000000001</v>
      </c>
      <c r="F201" s="482">
        <v>0</v>
      </c>
      <c r="G201" s="482">
        <v>0</v>
      </c>
      <c r="H201" s="482"/>
      <c r="I201" s="482"/>
      <c r="J201" s="482"/>
      <c r="K201" s="482"/>
      <c r="L201" s="482">
        <v>0</v>
      </c>
      <c r="M201" s="482"/>
      <c r="N201" s="482">
        <f t="shared" si="10"/>
        <v>808.35368330389019</v>
      </c>
      <c r="O201" s="481">
        <v>0</v>
      </c>
      <c r="P201" s="475">
        <f t="shared" si="7"/>
        <v>615.71600000000001</v>
      </c>
    </row>
    <row r="202" spans="1:16">
      <c r="A202" s="470">
        <f t="shared" si="8"/>
        <v>2024</v>
      </c>
      <c r="B202" s="470">
        <f t="shared" si="9"/>
        <v>5</v>
      </c>
      <c r="C202" s="482">
        <v>161.64791750518253</v>
      </c>
      <c r="D202" s="482">
        <v>0</v>
      </c>
      <c r="E202" s="482">
        <v>747.73199999999997</v>
      </c>
      <c r="F202" s="482">
        <v>0</v>
      </c>
      <c r="G202" s="482">
        <v>0</v>
      </c>
      <c r="H202" s="482"/>
      <c r="I202" s="482"/>
      <c r="J202" s="482"/>
      <c r="K202" s="482"/>
      <c r="L202" s="482">
        <v>0</v>
      </c>
      <c r="M202" s="482"/>
      <c r="N202" s="482">
        <f t="shared" si="10"/>
        <v>909.37991750518245</v>
      </c>
      <c r="O202" s="481">
        <v>0</v>
      </c>
      <c r="P202" s="475">
        <f t="shared" ref="P202:P265" si="11">E202+G202-45</f>
        <v>702.73199999999997</v>
      </c>
    </row>
    <row r="203" spans="1:16">
      <c r="A203" s="470">
        <f t="shared" si="8"/>
        <v>2024</v>
      </c>
      <c r="B203" s="470">
        <f t="shared" si="9"/>
        <v>6</v>
      </c>
      <c r="C203" s="482">
        <v>165.3374034132946</v>
      </c>
      <c r="D203" s="482">
        <v>0</v>
      </c>
      <c r="E203" s="482">
        <v>795.89099999999996</v>
      </c>
      <c r="F203" s="482">
        <v>0</v>
      </c>
      <c r="G203" s="482">
        <v>0</v>
      </c>
      <c r="H203" s="482"/>
      <c r="I203" s="482"/>
      <c r="J203" s="482"/>
      <c r="K203" s="482"/>
      <c r="L203" s="482">
        <v>0</v>
      </c>
      <c r="M203" s="482"/>
      <c r="N203" s="482">
        <f t="shared" si="10"/>
        <v>961.22840341329459</v>
      </c>
      <c r="O203" s="481">
        <v>0</v>
      </c>
      <c r="P203" s="475">
        <f t="shared" si="11"/>
        <v>750.89099999999996</v>
      </c>
    </row>
    <row r="204" spans="1:16">
      <c r="A204" s="470">
        <f t="shared" si="8"/>
        <v>2024</v>
      </c>
      <c r="B204" s="470">
        <f t="shared" si="9"/>
        <v>7</v>
      </c>
      <c r="C204" s="482">
        <v>174.702</v>
      </c>
      <c r="D204" s="482">
        <v>0</v>
      </c>
      <c r="E204" s="482">
        <v>814.56700000000001</v>
      </c>
      <c r="F204" s="482">
        <v>0</v>
      </c>
      <c r="G204" s="482">
        <v>0</v>
      </c>
      <c r="H204" s="482"/>
      <c r="I204" s="482"/>
      <c r="J204" s="482"/>
      <c r="K204" s="482"/>
      <c r="L204" s="482">
        <v>0</v>
      </c>
      <c r="M204" s="482"/>
      <c r="N204" s="482">
        <f t="shared" si="10"/>
        <v>989.26900000000001</v>
      </c>
      <c r="O204" s="481">
        <v>0</v>
      </c>
      <c r="P204" s="475">
        <f t="shared" si="11"/>
        <v>769.56700000000001</v>
      </c>
    </row>
    <row r="205" spans="1:16" s="479" customFormat="1" ht="12">
      <c r="A205" s="470">
        <f t="shared" si="8"/>
        <v>2024</v>
      </c>
      <c r="B205" s="470">
        <f t="shared" si="9"/>
        <v>8</v>
      </c>
      <c r="C205" s="482">
        <v>173.01301481143435</v>
      </c>
      <c r="D205" s="482">
        <v>0</v>
      </c>
      <c r="E205" s="482">
        <v>827.61400000000003</v>
      </c>
      <c r="F205" s="482">
        <v>0</v>
      </c>
      <c r="G205" s="482">
        <v>0</v>
      </c>
      <c r="H205" s="482"/>
      <c r="I205" s="482"/>
      <c r="J205" s="482"/>
      <c r="K205" s="482"/>
      <c r="L205" s="482">
        <v>27</v>
      </c>
      <c r="M205" s="482"/>
      <c r="N205" s="482">
        <f t="shared" si="10"/>
        <v>1027.6270148114345</v>
      </c>
      <c r="O205" s="481">
        <v>0</v>
      </c>
      <c r="P205" s="475">
        <f t="shared" si="11"/>
        <v>782.61400000000003</v>
      </c>
    </row>
    <row r="206" spans="1:16">
      <c r="A206" s="470">
        <f t="shared" si="8"/>
        <v>2024</v>
      </c>
      <c r="B206" s="470">
        <f t="shared" si="9"/>
        <v>9</v>
      </c>
      <c r="C206" s="482">
        <v>163.29146992896219</v>
      </c>
      <c r="D206" s="482">
        <v>0</v>
      </c>
      <c r="E206" s="482">
        <v>791.04300000000001</v>
      </c>
      <c r="F206" s="482">
        <v>0</v>
      </c>
      <c r="G206" s="482">
        <v>0</v>
      </c>
      <c r="H206" s="482"/>
      <c r="I206" s="482"/>
      <c r="J206" s="482"/>
      <c r="K206" s="482"/>
      <c r="L206" s="482">
        <v>0</v>
      </c>
      <c r="M206" s="482"/>
      <c r="N206" s="482">
        <f t="shared" si="10"/>
        <v>954.33446992896222</v>
      </c>
      <c r="O206" s="481">
        <v>0</v>
      </c>
      <c r="P206" s="475">
        <f t="shared" si="11"/>
        <v>746.04300000000001</v>
      </c>
    </row>
    <row r="207" spans="1:16">
      <c r="A207" s="470">
        <f t="shared" ref="A207:A270" si="12">A195+1</f>
        <v>2024</v>
      </c>
      <c r="B207" s="470">
        <f t="shared" ref="B207:B270" si="13">B195</f>
        <v>10</v>
      </c>
      <c r="C207" s="482">
        <v>147.52269487947601</v>
      </c>
      <c r="D207" s="482">
        <v>0</v>
      </c>
      <c r="E207" s="482">
        <v>730.44200000000001</v>
      </c>
      <c r="F207" s="482">
        <v>0</v>
      </c>
      <c r="G207" s="482">
        <v>0</v>
      </c>
      <c r="H207" s="482"/>
      <c r="I207" s="482"/>
      <c r="J207" s="482"/>
      <c r="K207" s="482"/>
      <c r="L207" s="482">
        <v>0</v>
      </c>
      <c r="M207" s="482"/>
      <c r="N207" s="482">
        <f t="shared" si="10"/>
        <v>877.96469487947604</v>
      </c>
      <c r="O207" s="481">
        <v>0</v>
      </c>
      <c r="P207" s="475">
        <f t="shared" si="11"/>
        <v>685.44200000000001</v>
      </c>
    </row>
    <row r="208" spans="1:16">
      <c r="A208" s="470">
        <f t="shared" si="12"/>
        <v>2024</v>
      </c>
      <c r="B208" s="470">
        <f t="shared" si="13"/>
        <v>11</v>
      </c>
      <c r="C208" s="482">
        <v>131.80293935682607</v>
      </c>
      <c r="D208" s="482">
        <v>0</v>
      </c>
      <c r="E208" s="482">
        <v>594.23199999999997</v>
      </c>
      <c r="F208" s="482">
        <v>0</v>
      </c>
      <c r="G208" s="482">
        <v>0</v>
      </c>
      <c r="H208" s="482"/>
      <c r="I208" s="482"/>
      <c r="J208" s="482"/>
      <c r="K208" s="482"/>
      <c r="L208" s="482">
        <v>0</v>
      </c>
      <c r="M208" s="482"/>
      <c r="N208" s="482">
        <f t="shared" si="10"/>
        <v>726.03493935682604</v>
      </c>
      <c r="O208" s="481">
        <v>0</v>
      </c>
      <c r="P208" s="475">
        <f t="shared" si="11"/>
        <v>549.23199999999997</v>
      </c>
    </row>
    <row r="209" spans="1:16">
      <c r="A209" s="470">
        <f t="shared" si="12"/>
        <v>2024</v>
      </c>
      <c r="B209" s="470">
        <f t="shared" si="13"/>
        <v>12</v>
      </c>
      <c r="C209" s="482">
        <v>136.80018209265435</v>
      </c>
      <c r="D209" s="482">
        <v>0</v>
      </c>
      <c r="E209" s="482">
        <v>565.197</v>
      </c>
      <c r="F209" s="482">
        <v>0</v>
      </c>
      <c r="G209" s="482">
        <v>0</v>
      </c>
      <c r="H209" s="482"/>
      <c r="I209" s="482"/>
      <c r="J209" s="482"/>
      <c r="K209" s="482"/>
      <c r="L209" s="482">
        <v>0</v>
      </c>
      <c r="M209" s="482"/>
      <c r="N209" s="482">
        <f t="shared" si="10"/>
        <v>701.99718209265438</v>
      </c>
      <c r="O209" s="481">
        <v>0</v>
      </c>
      <c r="P209" s="475">
        <f t="shared" si="11"/>
        <v>520.197</v>
      </c>
    </row>
    <row r="210" spans="1:16">
      <c r="A210" s="470">
        <f t="shared" si="12"/>
        <v>2025</v>
      </c>
      <c r="B210" s="470">
        <f t="shared" si="13"/>
        <v>1</v>
      </c>
      <c r="C210" s="482">
        <v>136.96822448159423</v>
      </c>
      <c r="D210" s="482">
        <v>0</v>
      </c>
      <c r="E210" s="482">
        <v>758.14</v>
      </c>
      <c r="F210" s="482">
        <v>0</v>
      </c>
      <c r="G210" s="482">
        <v>0</v>
      </c>
      <c r="H210" s="482"/>
      <c r="I210" s="482"/>
      <c r="J210" s="482"/>
      <c r="K210" s="482"/>
      <c r="L210" s="482"/>
      <c r="M210" s="482"/>
      <c r="N210" s="482">
        <f t="shared" si="10"/>
        <v>895.10822448159422</v>
      </c>
      <c r="O210" s="481">
        <v>0</v>
      </c>
      <c r="P210" s="475">
        <f t="shared" si="11"/>
        <v>713.14</v>
      </c>
    </row>
    <row r="211" spans="1:16">
      <c r="A211" s="470">
        <f t="shared" si="12"/>
        <v>2025</v>
      </c>
      <c r="B211" s="470">
        <f t="shared" si="13"/>
        <v>2</v>
      </c>
      <c r="C211" s="482">
        <v>135.47439033096109</v>
      </c>
      <c r="D211" s="482">
        <v>0</v>
      </c>
      <c r="E211" s="482">
        <v>678.07799999999997</v>
      </c>
      <c r="F211" s="482">
        <v>0</v>
      </c>
      <c r="G211" s="482">
        <v>0</v>
      </c>
      <c r="H211" s="482"/>
      <c r="I211" s="482"/>
      <c r="J211" s="482"/>
      <c r="K211" s="482"/>
      <c r="L211" s="482"/>
      <c r="M211" s="482"/>
      <c r="N211" s="482">
        <f t="shared" si="10"/>
        <v>813.55239033096109</v>
      </c>
      <c r="O211" s="481">
        <v>0</v>
      </c>
      <c r="P211" s="475">
        <f t="shared" si="11"/>
        <v>633.07799999999997</v>
      </c>
    </row>
    <row r="212" spans="1:16">
      <c r="A212" s="470">
        <f t="shared" si="12"/>
        <v>2025</v>
      </c>
      <c r="B212" s="470">
        <f t="shared" si="13"/>
        <v>3</v>
      </c>
      <c r="C212" s="482">
        <v>143.37414489018113</v>
      </c>
      <c r="D212" s="482">
        <v>0</v>
      </c>
      <c r="E212" s="482">
        <v>624.96699999999998</v>
      </c>
      <c r="F212" s="482">
        <v>0</v>
      </c>
      <c r="G212" s="482">
        <v>0</v>
      </c>
      <c r="H212" s="482"/>
      <c r="I212" s="482"/>
      <c r="J212" s="482"/>
      <c r="K212" s="482"/>
      <c r="L212" s="482"/>
      <c r="M212" s="482"/>
      <c r="N212" s="482">
        <f t="shared" si="10"/>
        <v>768.34114489018111</v>
      </c>
      <c r="O212" s="481">
        <v>0</v>
      </c>
      <c r="P212" s="475">
        <f t="shared" si="11"/>
        <v>579.96699999999998</v>
      </c>
    </row>
    <row r="213" spans="1:16">
      <c r="A213" s="470">
        <f t="shared" si="12"/>
        <v>2025</v>
      </c>
      <c r="B213" s="470">
        <f t="shared" si="13"/>
        <v>4</v>
      </c>
      <c r="C213" s="482">
        <v>149.02926105809669</v>
      </c>
      <c r="D213" s="482">
        <v>0</v>
      </c>
      <c r="E213" s="482">
        <v>664.92399999999998</v>
      </c>
      <c r="F213" s="482">
        <v>0</v>
      </c>
      <c r="G213" s="482">
        <v>0</v>
      </c>
      <c r="H213" s="482"/>
      <c r="I213" s="482"/>
      <c r="J213" s="482"/>
      <c r="K213" s="482"/>
      <c r="L213" s="482"/>
      <c r="M213" s="482"/>
      <c r="N213" s="482">
        <f t="shared" si="10"/>
        <v>813.9532610580967</v>
      </c>
      <c r="O213" s="481">
        <v>0</v>
      </c>
      <c r="P213" s="475">
        <f t="shared" si="11"/>
        <v>619.92399999999998</v>
      </c>
    </row>
    <row r="214" spans="1:16">
      <c r="A214" s="470">
        <f t="shared" si="12"/>
        <v>2025</v>
      </c>
      <c r="B214" s="470">
        <f t="shared" si="13"/>
        <v>5</v>
      </c>
      <c r="C214" s="482">
        <v>163.1715505030738</v>
      </c>
      <c r="D214" s="482">
        <v>0</v>
      </c>
      <c r="E214" s="482">
        <v>751.62400000000002</v>
      </c>
      <c r="F214" s="482">
        <v>0</v>
      </c>
      <c r="G214" s="482">
        <v>0</v>
      </c>
      <c r="H214" s="482"/>
      <c r="I214" s="482"/>
      <c r="J214" s="482"/>
      <c r="K214" s="482"/>
      <c r="L214" s="482"/>
      <c r="M214" s="482"/>
      <c r="N214" s="482">
        <f t="shared" si="10"/>
        <v>914.79555050307385</v>
      </c>
      <c r="O214" s="481">
        <v>0</v>
      </c>
      <c r="P214" s="475">
        <f t="shared" si="11"/>
        <v>706.62400000000002</v>
      </c>
    </row>
    <row r="215" spans="1:16">
      <c r="A215" s="470">
        <f t="shared" si="12"/>
        <v>2025</v>
      </c>
      <c r="B215" s="470">
        <f t="shared" si="13"/>
        <v>6</v>
      </c>
      <c r="C215" s="482">
        <v>166.89581212968329</v>
      </c>
      <c r="D215" s="482">
        <v>0</v>
      </c>
      <c r="E215" s="482">
        <v>798.70699999999999</v>
      </c>
      <c r="F215" s="482">
        <v>0</v>
      </c>
      <c r="G215" s="482">
        <v>0</v>
      </c>
      <c r="H215" s="482"/>
      <c r="I215" s="482"/>
      <c r="J215" s="482"/>
      <c r="K215" s="482"/>
      <c r="L215" s="482"/>
      <c r="M215" s="482"/>
      <c r="N215" s="482">
        <f t="shared" si="10"/>
        <v>965.60281212968334</v>
      </c>
      <c r="O215" s="481">
        <v>0</v>
      </c>
      <c r="P215" s="475">
        <f t="shared" si="11"/>
        <v>753.70699999999999</v>
      </c>
    </row>
    <row r="216" spans="1:16">
      <c r="A216" s="470">
        <f t="shared" si="12"/>
        <v>2025</v>
      </c>
      <c r="B216" s="470">
        <f t="shared" si="13"/>
        <v>7</v>
      </c>
      <c r="C216" s="482">
        <v>176.34899999999999</v>
      </c>
      <c r="D216" s="482">
        <v>0</v>
      </c>
      <c r="E216" s="482">
        <v>819.21799999999996</v>
      </c>
      <c r="F216" s="482">
        <v>0</v>
      </c>
      <c r="G216" s="482">
        <v>0</v>
      </c>
      <c r="H216" s="482"/>
      <c r="I216" s="482"/>
      <c r="J216" s="482"/>
      <c r="K216" s="482"/>
      <c r="L216" s="482"/>
      <c r="M216" s="482"/>
      <c r="N216" s="482">
        <f t="shared" si="10"/>
        <v>995.56700000000001</v>
      </c>
      <c r="O216" s="481">
        <v>0</v>
      </c>
      <c r="P216" s="475">
        <f t="shared" si="11"/>
        <v>774.21799999999996</v>
      </c>
    </row>
    <row r="217" spans="1:16" s="479" customFormat="1" ht="12">
      <c r="A217" s="470">
        <f t="shared" si="12"/>
        <v>2025</v>
      </c>
      <c r="B217" s="470">
        <f t="shared" si="13"/>
        <v>8</v>
      </c>
      <c r="C217" s="482">
        <v>174.64377097891114</v>
      </c>
      <c r="D217" s="482">
        <v>0</v>
      </c>
      <c r="E217" s="482">
        <v>832.36300000000006</v>
      </c>
      <c r="F217" s="482">
        <v>0</v>
      </c>
      <c r="G217" s="482">
        <v>0</v>
      </c>
      <c r="H217" s="482"/>
      <c r="I217" s="482"/>
      <c r="J217" s="482"/>
      <c r="K217" s="482"/>
      <c r="L217" s="482"/>
      <c r="M217" s="482"/>
      <c r="N217" s="482">
        <f t="shared" si="10"/>
        <v>1007.0067709789112</v>
      </c>
      <c r="O217" s="481">
        <v>0</v>
      </c>
      <c r="P217" s="475">
        <f t="shared" si="11"/>
        <v>787.36300000000006</v>
      </c>
    </row>
    <row r="218" spans="1:16">
      <c r="A218" s="470">
        <f t="shared" si="12"/>
        <v>2025</v>
      </c>
      <c r="B218" s="470">
        <f t="shared" si="13"/>
        <v>9</v>
      </c>
      <c r="C218" s="482">
        <v>164.83059443918029</v>
      </c>
      <c r="D218" s="482">
        <v>0</v>
      </c>
      <c r="E218" s="482">
        <v>795.59199999999998</v>
      </c>
      <c r="F218" s="482">
        <v>0</v>
      </c>
      <c r="G218" s="482">
        <v>0</v>
      </c>
      <c r="H218" s="482"/>
      <c r="I218" s="482"/>
      <c r="J218" s="482"/>
      <c r="K218" s="482"/>
      <c r="L218" s="482"/>
      <c r="M218" s="482"/>
      <c r="N218" s="482">
        <f t="shared" si="10"/>
        <v>960.42259443918033</v>
      </c>
      <c r="O218" s="481">
        <v>0</v>
      </c>
      <c r="P218" s="475">
        <f t="shared" si="11"/>
        <v>750.59199999999998</v>
      </c>
    </row>
    <row r="219" spans="1:16">
      <c r="A219" s="470">
        <f t="shared" si="12"/>
        <v>2025</v>
      </c>
      <c r="B219" s="470">
        <f t="shared" si="13"/>
        <v>10</v>
      </c>
      <c r="C219" s="482">
        <v>148.91318879566899</v>
      </c>
      <c r="D219" s="482">
        <v>0</v>
      </c>
      <c r="E219" s="482">
        <v>732.95100000000002</v>
      </c>
      <c r="F219" s="482">
        <v>0</v>
      </c>
      <c r="G219" s="482">
        <v>0</v>
      </c>
      <c r="H219" s="482"/>
      <c r="I219" s="482"/>
      <c r="J219" s="482"/>
      <c r="K219" s="482"/>
      <c r="L219" s="482"/>
      <c r="M219" s="482"/>
      <c r="N219" s="482">
        <f t="shared" si="10"/>
        <v>881.86418879566895</v>
      </c>
      <c r="O219" s="481">
        <v>0</v>
      </c>
      <c r="P219" s="475">
        <f t="shared" si="11"/>
        <v>687.95100000000002</v>
      </c>
    </row>
    <row r="220" spans="1:16">
      <c r="A220" s="470">
        <f t="shared" si="12"/>
        <v>2025</v>
      </c>
      <c r="B220" s="470">
        <f t="shared" si="13"/>
        <v>11</v>
      </c>
      <c r="C220" s="482">
        <v>133.04526471877628</v>
      </c>
      <c r="D220" s="482">
        <v>0</v>
      </c>
      <c r="E220" s="482">
        <v>595.46199999999999</v>
      </c>
      <c r="F220" s="482">
        <v>0</v>
      </c>
      <c r="G220" s="482">
        <v>0</v>
      </c>
      <c r="H220" s="482"/>
      <c r="I220" s="482"/>
      <c r="J220" s="482"/>
      <c r="K220" s="482"/>
      <c r="L220" s="482"/>
      <c r="M220" s="482"/>
      <c r="N220" s="482">
        <f t="shared" si="10"/>
        <v>728.50726471877624</v>
      </c>
      <c r="O220" s="481">
        <v>0</v>
      </c>
      <c r="P220" s="475">
        <f t="shared" si="11"/>
        <v>550.46199999999999</v>
      </c>
    </row>
    <row r="221" spans="1:16">
      <c r="A221" s="470">
        <f t="shared" si="12"/>
        <v>2025</v>
      </c>
      <c r="B221" s="470">
        <f t="shared" si="13"/>
        <v>12</v>
      </c>
      <c r="C221" s="482">
        <v>138.08960960134601</v>
      </c>
      <c r="D221" s="482">
        <v>0</v>
      </c>
      <c r="E221" s="482">
        <v>566.79300000000001</v>
      </c>
      <c r="F221" s="482">
        <v>0</v>
      </c>
      <c r="G221" s="482">
        <v>0</v>
      </c>
      <c r="H221" s="482"/>
      <c r="I221" s="482"/>
      <c r="J221" s="482"/>
      <c r="K221" s="482"/>
      <c r="L221" s="482"/>
      <c r="M221" s="482"/>
      <c r="N221" s="482">
        <f t="shared" si="10"/>
        <v>704.88260960134608</v>
      </c>
      <c r="O221" s="481">
        <v>0</v>
      </c>
      <c r="P221" s="475">
        <f t="shared" si="11"/>
        <v>521.79300000000001</v>
      </c>
    </row>
    <row r="222" spans="1:16">
      <c r="A222" s="470">
        <f t="shared" si="12"/>
        <v>2026</v>
      </c>
      <c r="B222" s="470">
        <f t="shared" si="13"/>
        <v>1</v>
      </c>
      <c r="C222" s="482">
        <v>138.25923589518729</v>
      </c>
      <c r="D222" s="482">
        <v>0</v>
      </c>
      <c r="E222" s="482">
        <v>758.89810987610667</v>
      </c>
      <c r="F222" s="482">
        <v>0</v>
      </c>
      <c r="G222" s="482">
        <v>0</v>
      </c>
      <c r="H222" s="482"/>
      <c r="I222" s="482"/>
      <c r="J222" s="482"/>
      <c r="K222" s="482"/>
      <c r="L222" s="482"/>
      <c r="M222" s="482"/>
      <c r="N222" s="482">
        <f t="shared" si="10"/>
        <v>897.15734577129399</v>
      </c>
      <c r="O222" s="481">
        <v>0</v>
      </c>
      <c r="P222" s="475">
        <f t="shared" si="11"/>
        <v>713.89810987610667</v>
      </c>
    </row>
    <row r="223" spans="1:16">
      <c r="A223" s="470">
        <f t="shared" si="12"/>
        <v>2026</v>
      </c>
      <c r="B223" s="470">
        <f t="shared" si="13"/>
        <v>2</v>
      </c>
      <c r="C223" s="482">
        <v>136.75132142084558</v>
      </c>
      <c r="D223" s="482">
        <v>0</v>
      </c>
      <c r="E223" s="482">
        <v>678.75593210047555</v>
      </c>
      <c r="F223" s="482">
        <v>0</v>
      </c>
      <c r="G223" s="482">
        <v>0</v>
      </c>
      <c r="H223" s="482"/>
      <c r="I223" s="482"/>
      <c r="J223" s="482"/>
      <c r="K223" s="482"/>
      <c r="L223" s="482"/>
      <c r="M223" s="482"/>
      <c r="N223" s="482">
        <f t="shared" si="10"/>
        <v>815.5072535213211</v>
      </c>
      <c r="O223" s="481">
        <v>0</v>
      </c>
      <c r="P223" s="475">
        <f t="shared" si="11"/>
        <v>633.75593210047555</v>
      </c>
    </row>
    <row r="224" spans="1:16">
      <c r="A224" s="470">
        <f t="shared" si="12"/>
        <v>2026</v>
      </c>
      <c r="B224" s="470">
        <f t="shared" si="13"/>
        <v>3</v>
      </c>
      <c r="C224" s="482">
        <v>144.72553612101538</v>
      </c>
      <c r="D224" s="482">
        <v>0</v>
      </c>
      <c r="E224" s="482">
        <v>625.65578025891159</v>
      </c>
      <c r="F224" s="482">
        <v>0</v>
      </c>
      <c r="G224" s="482">
        <v>0</v>
      </c>
      <c r="H224" s="482"/>
      <c r="I224" s="482"/>
      <c r="J224" s="482"/>
      <c r="K224" s="482"/>
      <c r="L224" s="482"/>
      <c r="M224" s="482"/>
      <c r="N224" s="482">
        <f t="shared" si="10"/>
        <v>770.38131637992694</v>
      </c>
      <c r="O224" s="481">
        <v>0</v>
      </c>
      <c r="P224" s="475">
        <f t="shared" si="11"/>
        <v>580.65578025891159</v>
      </c>
    </row>
    <row r="225" spans="1:16">
      <c r="A225" s="470">
        <f t="shared" si="12"/>
        <v>2026</v>
      </c>
      <c r="B225" s="470">
        <f t="shared" si="13"/>
        <v>4</v>
      </c>
      <c r="C225" s="482">
        <v>150.4339553053467</v>
      </c>
      <c r="D225" s="482">
        <v>0</v>
      </c>
      <c r="E225" s="482">
        <v>669.12668461015573</v>
      </c>
      <c r="F225" s="482">
        <v>0</v>
      </c>
      <c r="G225" s="482">
        <v>0</v>
      </c>
      <c r="H225" s="482"/>
      <c r="I225" s="482"/>
      <c r="J225" s="482"/>
      <c r="K225" s="482"/>
      <c r="L225" s="482"/>
      <c r="M225" s="482"/>
      <c r="N225" s="482">
        <f t="shared" si="10"/>
        <v>819.56063991550241</v>
      </c>
      <c r="O225" s="481">
        <v>0</v>
      </c>
      <c r="P225" s="475">
        <f t="shared" si="11"/>
        <v>624.12668461015573</v>
      </c>
    </row>
    <row r="226" spans="1:16">
      <c r="A226" s="470">
        <f t="shared" si="12"/>
        <v>2026</v>
      </c>
      <c r="B226" s="470">
        <f t="shared" si="13"/>
        <v>5</v>
      </c>
      <c r="C226" s="482">
        <v>164.70954469749697</v>
      </c>
      <c r="D226" s="482">
        <v>0</v>
      </c>
      <c r="E226" s="482">
        <v>755.5143551427858</v>
      </c>
      <c r="F226" s="482">
        <v>0</v>
      </c>
      <c r="G226" s="482">
        <v>0</v>
      </c>
      <c r="H226" s="482"/>
      <c r="I226" s="482"/>
      <c r="J226" s="482"/>
      <c r="K226" s="482"/>
      <c r="L226" s="482"/>
      <c r="M226" s="482"/>
      <c r="N226" s="482">
        <f t="shared" si="10"/>
        <v>920.2238998402828</v>
      </c>
      <c r="O226" s="481">
        <v>0</v>
      </c>
      <c r="P226" s="475">
        <f t="shared" si="11"/>
        <v>710.5143551427858</v>
      </c>
    </row>
    <row r="227" spans="1:16">
      <c r="A227" s="470">
        <f t="shared" si="12"/>
        <v>2026</v>
      </c>
      <c r="B227" s="470">
        <f t="shared" si="13"/>
        <v>6</v>
      </c>
      <c r="C227" s="482">
        <v>168.46890982555988</v>
      </c>
      <c r="D227" s="482">
        <v>0</v>
      </c>
      <c r="E227" s="482">
        <v>801.51978456416714</v>
      </c>
      <c r="F227" s="482">
        <v>0</v>
      </c>
      <c r="G227" s="482">
        <v>0</v>
      </c>
      <c r="H227" s="482"/>
      <c r="I227" s="482"/>
      <c r="J227" s="482"/>
      <c r="K227" s="482"/>
      <c r="L227" s="482"/>
      <c r="M227" s="482"/>
      <c r="N227" s="482">
        <f t="shared" si="10"/>
        <v>969.98869438972702</v>
      </c>
      <c r="O227" s="481">
        <v>0</v>
      </c>
      <c r="P227" s="475">
        <f t="shared" si="11"/>
        <v>756.51978456416714</v>
      </c>
    </row>
    <row r="228" spans="1:16">
      <c r="A228" s="470">
        <f t="shared" si="12"/>
        <v>2026</v>
      </c>
      <c r="B228" s="470">
        <f t="shared" si="13"/>
        <v>7</v>
      </c>
      <c r="C228" s="482">
        <v>178.01152706322765</v>
      </c>
      <c r="D228" s="482">
        <v>0</v>
      </c>
      <c r="E228" s="482">
        <v>823.87722224146523</v>
      </c>
      <c r="F228" s="482">
        <v>0</v>
      </c>
      <c r="G228" s="482">
        <v>0</v>
      </c>
      <c r="H228" s="482"/>
      <c r="I228" s="482"/>
      <c r="J228" s="482"/>
      <c r="K228" s="482"/>
      <c r="L228" s="482"/>
      <c r="M228" s="482"/>
      <c r="N228" s="482">
        <f t="shared" si="10"/>
        <v>1001.8887493046929</v>
      </c>
      <c r="O228" s="481">
        <v>0</v>
      </c>
      <c r="P228" s="475">
        <f t="shared" si="11"/>
        <v>778.87722224146523</v>
      </c>
    </row>
    <row r="229" spans="1:16" s="479" customFormat="1" ht="12">
      <c r="A229" s="470">
        <f t="shared" si="12"/>
        <v>2026</v>
      </c>
      <c r="B229" s="470">
        <f t="shared" si="13"/>
        <v>8</v>
      </c>
      <c r="C229" s="482">
        <v>176.28989804597407</v>
      </c>
      <c r="D229" s="482">
        <v>0</v>
      </c>
      <c r="E229" s="482">
        <v>837.118728439753</v>
      </c>
      <c r="F229" s="482">
        <v>0</v>
      </c>
      <c r="G229" s="482">
        <v>0</v>
      </c>
      <c r="H229" s="482"/>
      <c r="I229" s="482"/>
      <c r="J229" s="482"/>
      <c r="K229" s="482"/>
      <c r="L229" s="482"/>
      <c r="M229" s="482"/>
      <c r="N229" s="482">
        <f t="shared" si="10"/>
        <v>1013.408626485727</v>
      </c>
      <c r="O229" s="481">
        <v>0</v>
      </c>
      <c r="P229" s="475">
        <f t="shared" si="11"/>
        <v>792.118728439753</v>
      </c>
    </row>
    <row r="230" spans="1:16">
      <c r="A230" s="470">
        <f t="shared" si="12"/>
        <v>2026</v>
      </c>
      <c r="B230" s="470">
        <f t="shared" si="13"/>
        <v>9</v>
      </c>
      <c r="C230" s="482">
        <v>166.38422616314926</v>
      </c>
      <c r="D230" s="482">
        <v>0</v>
      </c>
      <c r="E230" s="482">
        <v>800.14856739737547</v>
      </c>
      <c r="F230" s="482">
        <v>0</v>
      </c>
      <c r="G230" s="482">
        <v>0</v>
      </c>
      <c r="H230" s="482"/>
      <c r="I230" s="482"/>
      <c r="J230" s="482"/>
      <c r="K230" s="482"/>
      <c r="L230" s="482"/>
      <c r="M230" s="482"/>
      <c r="N230" s="482">
        <f t="shared" si="10"/>
        <v>966.53279356052474</v>
      </c>
      <c r="O230" s="481">
        <v>0</v>
      </c>
      <c r="P230" s="475">
        <f t="shared" si="11"/>
        <v>755.14856739737547</v>
      </c>
    </row>
    <row r="231" spans="1:16">
      <c r="A231" s="470">
        <f t="shared" si="12"/>
        <v>2026</v>
      </c>
      <c r="B231" s="470">
        <f t="shared" si="13"/>
        <v>10</v>
      </c>
      <c r="C231" s="482">
        <v>150.31678898905241</v>
      </c>
      <c r="D231" s="482">
        <v>0</v>
      </c>
      <c r="E231" s="482">
        <v>735.45467563111686</v>
      </c>
      <c r="F231" s="482">
        <v>0</v>
      </c>
      <c r="G231" s="482">
        <v>0</v>
      </c>
      <c r="H231" s="482"/>
      <c r="I231" s="482"/>
      <c r="J231" s="482"/>
      <c r="K231" s="482"/>
      <c r="L231" s="482"/>
      <c r="M231" s="482"/>
      <c r="N231" s="482">
        <f t="shared" si="10"/>
        <v>885.77146462016924</v>
      </c>
      <c r="O231" s="481">
        <v>0</v>
      </c>
      <c r="P231" s="475">
        <f t="shared" si="11"/>
        <v>690.45467563111686</v>
      </c>
    </row>
    <row r="232" spans="1:16">
      <c r="A232" s="470">
        <f t="shared" si="12"/>
        <v>2026</v>
      </c>
      <c r="B232" s="470">
        <f t="shared" si="13"/>
        <v>11</v>
      </c>
      <c r="C232" s="482">
        <v>134.29929977637119</v>
      </c>
      <c r="D232" s="482">
        <v>0</v>
      </c>
      <c r="E232" s="482">
        <v>596.68581529222354</v>
      </c>
      <c r="F232" s="482">
        <v>0</v>
      </c>
      <c r="G232" s="482">
        <v>0</v>
      </c>
      <c r="H232" s="482"/>
      <c r="I232" s="482"/>
      <c r="J232" s="482"/>
      <c r="K232" s="482"/>
      <c r="L232" s="482"/>
      <c r="M232" s="482"/>
      <c r="N232" s="482">
        <f t="shared" si="10"/>
        <v>730.98511506859472</v>
      </c>
      <c r="O232" s="481">
        <v>0</v>
      </c>
      <c r="P232" s="475">
        <f t="shared" si="11"/>
        <v>551.68581529222354</v>
      </c>
    </row>
    <row r="233" spans="1:16">
      <c r="A233" s="470">
        <f t="shared" si="12"/>
        <v>2026</v>
      </c>
      <c r="B233" s="470">
        <f t="shared" si="13"/>
        <v>12</v>
      </c>
      <c r="C233" s="482">
        <v>139.39119077295493</v>
      </c>
      <c r="D233" s="482">
        <v>0</v>
      </c>
      <c r="E233" s="482">
        <v>568.37644927607323</v>
      </c>
      <c r="F233" s="482">
        <v>0</v>
      </c>
      <c r="G233" s="482">
        <v>0</v>
      </c>
      <c r="H233" s="482"/>
      <c r="I233" s="482"/>
      <c r="J233" s="482"/>
      <c r="K233" s="482"/>
      <c r="L233" s="482"/>
      <c r="M233" s="482"/>
      <c r="N233" s="482">
        <f t="shared" si="10"/>
        <v>707.76764004902816</v>
      </c>
      <c r="O233" s="481">
        <v>0</v>
      </c>
      <c r="P233" s="475">
        <f t="shared" si="11"/>
        <v>523.37644927607323</v>
      </c>
    </row>
    <row r="234" spans="1:16">
      <c r="A234" s="470">
        <f t="shared" si="12"/>
        <v>2027</v>
      </c>
      <c r="B234" s="470">
        <f t="shared" si="13"/>
        <v>1</v>
      </c>
      <c r="C234" s="482">
        <v>139.56241590099461</v>
      </c>
      <c r="D234" s="482">
        <v>0</v>
      </c>
      <c r="E234" s="482">
        <v>759.65697783196674</v>
      </c>
      <c r="F234" s="482">
        <v>0</v>
      </c>
      <c r="G234" s="482">
        <v>0</v>
      </c>
      <c r="H234" s="482"/>
      <c r="I234" s="482"/>
      <c r="J234" s="482"/>
      <c r="K234" s="482"/>
      <c r="L234" s="482"/>
      <c r="M234" s="482"/>
      <c r="N234" s="482">
        <f t="shared" si="10"/>
        <v>899.21939373296141</v>
      </c>
      <c r="O234" s="481">
        <v>0</v>
      </c>
      <c r="P234" s="475">
        <f t="shared" si="11"/>
        <v>714.65697783196674</v>
      </c>
    </row>
    <row r="235" spans="1:16">
      <c r="A235" s="470">
        <f t="shared" si="12"/>
        <v>2027</v>
      </c>
      <c r="B235" s="470">
        <f t="shared" si="13"/>
        <v>2</v>
      </c>
      <c r="C235" s="482">
        <v>138.0402883870631</v>
      </c>
      <c r="D235" s="482">
        <v>0</v>
      </c>
      <c r="E235" s="482">
        <v>679.43454198718348</v>
      </c>
      <c r="F235" s="482">
        <v>0</v>
      </c>
      <c r="G235" s="482">
        <v>0</v>
      </c>
      <c r="H235" s="482"/>
      <c r="I235" s="482"/>
      <c r="J235" s="482"/>
      <c r="K235" s="482"/>
      <c r="L235" s="482"/>
      <c r="M235" s="482"/>
      <c r="N235" s="482">
        <f t="shared" si="10"/>
        <v>817.47483037424661</v>
      </c>
      <c r="O235" s="481">
        <v>0</v>
      </c>
      <c r="P235" s="475">
        <f t="shared" si="11"/>
        <v>634.43454198718348</v>
      </c>
    </row>
    <row r="236" spans="1:16">
      <c r="A236" s="470">
        <f t="shared" si="12"/>
        <v>2027</v>
      </c>
      <c r="B236" s="470">
        <f t="shared" si="13"/>
        <v>3</v>
      </c>
      <c r="C236" s="482">
        <v>146.08966506170779</v>
      </c>
      <c r="D236" s="482">
        <v>0</v>
      </c>
      <c r="E236" s="482">
        <v>626.34531962709627</v>
      </c>
      <c r="F236" s="482">
        <v>0</v>
      </c>
      <c r="G236" s="482">
        <v>0</v>
      </c>
      <c r="H236" s="482"/>
      <c r="I236" s="482"/>
      <c r="J236" s="482"/>
      <c r="K236" s="482"/>
      <c r="L236" s="482"/>
      <c r="M236" s="482"/>
      <c r="N236" s="482">
        <f t="shared" si="10"/>
        <v>772.43498468880409</v>
      </c>
      <c r="O236" s="481">
        <v>0</v>
      </c>
      <c r="P236" s="475">
        <f t="shared" si="11"/>
        <v>581.34531962709627</v>
      </c>
    </row>
    <row r="237" spans="1:16">
      <c r="A237" s="470">
        <f t="shared" si="12"/>
        <v>2027</v>
      </c>
      <c r="B237" s="470">
        <f t="shared" si="13"/>
        <v>4</v>
      </c>
      <c r="C237" s="482">
        <v>151.8518896768129</v>
      </c>
      <c r="D237" s="482">
        <v>0</v>
      </c>
      <c r="E237" s="482">
        <v>673.35593249360659</v>
      </c>
      <c r="F237" s="482">
        <v>0</v>
      </c>
      <c r="G237" s="482">
        <v>0</v>
      </c>
      <c r="H237" s="482"/>
      <c r="I237" s="482"/>
      <c r="J237" s="482"/>
      <c r="K237" s="482"/>
      <c r="L237" s="482"/>
      <c r="M237" s="482"/>
      <c r="N237" s="482">
        <f t="shared" si="10"/>
        <v>825.20782217041949</v>
      </c>
      <c r="O237" s="481">
        <v>0</v>
      </c>
      <c r="P237" s="475">
        <f t="shared" si="11"/>
        <v>628.35593249360659</v>
      </c>
    </row>
    <row r="238" spans="1:16">
      <c r="A238" s="470">
        <f t="shared" si="12"/>
        <v>2027</v>
      </c>
      <c r="B238" s="470">
        <f t="shared" si="13"/>
        <v>5</v>
      </c>
      <c r="C238" s="482">
        <v>166.26203545173578</v>
      </c>
      <c r="D238" s="482">
        <v>0</v>
      </c>
      <c r="E238" s="482">
        <v>759.4248465014681</v>
      </c>
      <c r="F238" s="482">
        <v>0</v>
      </c>
      <c r="G238" s="482">
        <v>0</v>
      </c>
      <c r="H238" s="482"/>
      <c r="I238" s="482"/>
      <c r="J238" s="482"/>
      <c r="K238" s="482"/>
      <c r="L238" s="482"/>
      <c r="M238" s="482"/>
      <c r="N238" s="482">
        <f t="shared" si="10"/>
        <v>925.68688195320385</v>
      </c>
      <c r="O238" s="481">
        <v>0</v>
      </c>
      <c r="P238" s="475">
        <f t="shared" si="11"/>
        <v>714.4248465014681</v>
      </c>
    </row>
    <row r="239" spans="1:16">
      <c r="A239" s="470">
        <f t="shared" si="12"/>
        <v>2027</v>
      </c>
      <c r="B239" s="470">
        <f t="shared" si="13"/>
        <v>6</v>
      </c>
      <c r="C239" s="482">
        <v>170.05683495376803</v>
      </c>
      <c r="D239" s="482">
        <v>0</v>
      </c>
      <c r="E239" s="482">
        <v>804.34247483468766</v>
      </c>
      <c r="F239" s="482">
        <v>0</v>
      </c>
      <c r="G239" s="482">
        <v>0</v>
      </c>
      <c r="H239" s="482"/>
      <c r="I239" s="482"/>
      <c r="J239" s="482"/>
      <c r="K239" s="482"/>
      <c r="L239" s="482"/>
      <c r="M239" s="482"/>
      <c r="N239" s="482">
        <f t="shared" si="10"/>
        <v>974.39930978845564</v>
      </c>
      <c r="O239" s="481">
        <v>0</v>
      </c>
      <c r="P239" s="475">
        <f t="shared" si="11"/>
        <v>759.34247483468766</v>
      </c>
    </row>
    <row r="240" spans="1:16">
      <c r="A240" s="470">
        <f t="shared" si="12"/>
        <v>2027</v>
      </c>
      <c r="B240" s="470">
        <f t="shared" si="13"/>
        <v>7</v>
      </c>
      <c r="C240" s="482">
        <v>179.68972757079558</v>
      </c>
      <c r="D240" s="482">
        <v>0</v>
      </c>
      <c r="E240" s="482">
        <v>828.56294335367716</v>
      </c>
      <c r="F240" s="482">
        <v>0</v>
      </c>
      <c r="G240" s="482">
        <v>0</v>
      </c>
      <c r="H240" s="482"/>
      <c r="I240" s="482"/>
      <c r="J240" s="482"/>
      <c r="K240" s="482"/>
      <c r="L240" s="482"/>
      <c r="M240" s="482"/>
      <c r="N240" s="482">
        <f t="shared" si="10"/>
        <v>1008.2526709244728</v>
      </c>
      <c r="O240" s="481">
        <v>0</v>
      </c>
      <c r="P240" s="475">
        <f t="shared" si="11"/>
        <v>783.56294335367716</v>
      </c>
    </row>
    <row r="241" spans="1:16" s="479" customFormat="1" ht="12">
      <c r="A241" s="470">
        <f t="shared" si="12"/>
        <v>2027</v>
      </c>
      <c r="B241" s="470">
        <f t="shared" si="13"/>
        <v>8</v>
      </c>
      <c r="C241" s="482">
        <v>177.95154089299143</v>
      </c>
      <c r="D241" s="482">
        <v>0</v>
      </c>
      <c r="E241" s="482">
        <v>841.90162886215376</v>
      </c>
      <c r="F241" s="482">
        <v>0</v>
      </c>
      <c r="G241" s="482">
        <v>0</v>
      </c>
      <c r="H241" s="482"/>
      <c r="I241" s="482"/>
      <c r="J241" s="482"/>
      <c r="K241" s="482"/>
      <c r="L241" s="482"/>
      <c r="M241" s="482"/>
      <c r="N241" s="482">
        <f t="shared" si="10"/>
        <v>1019.8531697551452</v>
      </c>
      <c r="O241" s="481">
        <v>0</v>
      </c>
      <c r="P241" s="475">
        <f t="shared" si="11"/>
        <v>796.90162886215376</v>
      </c>
    </row>
    <row r="242" spans="1:16">
      <c r="A242" s="470">
        <f t="shared" si="12"/>
        <v>2027</v>
      </c>
      <c r="B242" s="470">
        <f t="shared" si="13"/>
        <v>9</v>
      </c>
      <c r="C242" s="482">
        <v>167.95250184045673</v>
      </c>
      <c r="D242" s="482">
        <v>0</v>
      </c>
      <c r="E242" s="482">
        <v>804.73123147049284</v>
      </c>
      <c r="F242" s="482">
        <v>0</v>
      </c>
      <c r="G242" s="482">
        <v>0</v>
      </c>
      <c r="H242" s="482"/>
      <c r="I242" s="482"/>
      <c r="J242" s="482"/>
      <c r="K242" s="482"/>
      <c r="L242" s="482"/>
      <c r="M242" s="482"/>
      <c r="N242" s="482">
        <f t="shared" si="10"/>
        <v>972.68373331094961</v>
      </c>
      <c r="O242" s="481">
        <v>0</v>
      </c>
      <c r="P242" s="475">
        <f t="shared" si="11"/>
        <v>759.73123147049284</v>
      </c>
    </row>
    <row r="243" spans="1:16">
      <c r="A243" s="470">
        <f t="shared" si="12"/>
        <v>2027</v>
      </c>
      <c r="B243" s="470">
        <f t="shared" si="13"/>
        <v>10</v>
      </c>
      <c r="C243" s="482">
        <v>151.73361899450822</v>
      </c>
      <c r="D243" s="482">
        <v>0</v>
      </c>
      <c r="E243" s="482">
        <v>737.96690352789108</v>
      </c>
      <c r="F243" s="482">
        <v>0</v>
      </c>
      <c r="G243" s="482">
        <v>0</v>
      </c>
      <c r="H243" s="482"/>
      <c r="I243" s="482"/>
      <c r="J243" s="482"/>
      <c r="K243" s="482"/>
      <c r="L243" s="482"/>
      <c r="M243" s="482"/>
      <c r="N243" s="482">
        <f t="shared" si="10"/>
        <v>889.7005225223993</v>
      </c>
      <c r="O243" s="481">
        <v>0</v>
      </c>
      <c r="P243" s="475">
        <f t="shared" si="11"/>
        <v>692.96690352789108</v>
      </c>
    </row>
    <row r="244" spans="1:16">
      <c r="A244" s="470">
        <f t="shared" si="12"/>
        <v>2027</v>
      </c>
      <c r="B244" s="470">
        <f t="shared" si="13"/>
        <v>11</v>
      </c>
      <c r="C244" s="482">
        <v>135.56515490083584</v>
      </c>
      <c r="D244" s="482">
        <v>0</v>
      </c>
      <c r="E244" s="482">
        <v>597.91214581441898</v>
      </c>
      <c r="F244" s="482">
        <v>0</v>
      </c>
      <c r="G244" s="482">
        <v>0</v>
      </c>
      <c r="H244" s="482"/>
      <c r="I244" s="482"/>
      <c r="J244" s="482"/>
      <c r="K244" s="482"/>
      <c r="L244" s="482"/>
      <c r="M244" s="482"/>
      <c r="N244" s="482">
        <f t="shared" si="10"/>
        <v>733.47730071525484</v>
      </c>
      <c r="O244" s="481">
        <v>0</v>
      </c>
      <c r="P244" s="475">
        <f t="shared" si="11"/>
        <v>552.91214581441898</v>
      </c>
    </row>
    <row r="245" spans="1:16">
      <c r="A245" s="470">
        <f t="shared" si="12"/>
        <v>2027</v>
      </c>
      <c r="B245" s="470">
        <f t="shared" si="13"/>
        <v>12</v>
      </c>
      <c r="C245" s="482">
        <v>140.70504016337611</v>
      </c>
      <c r="D245" s="482">
        <v>0</v>
      </c>
      <c r="E245" s="482">
        <v>569.96432223347267</v>
      </c>
      <c r="F245" s="482">
        <v>0</v>
      </c>
      <c r="G245" s="482">
        <v>0</v>
      </c>
      <c r="H245" s="482"/>
      <c r="I245" s="482"/>
      <c r="J245" s="482"/>
      <c r="K245" s="482"/>
      <c r="L245" s="482"/>
      <c r="M245" s="482"/>
      <c r="N245" s="482">
        <f t="shared" si="10"/>
        <v>710.66936239684878</v>
      </c>
      <c r="O245" s="481">
        <v>0</v>
      </c>
      <c r="P245" s="475">
        <f t="shared" si="11"/>
        <v>524.96432223347267</v>
      </c>
    </row>
    <row r="246" spans="1:16">
      <c r="A246" s="470">
        <f t="shared" si="12"/>
        <v>2028</v>
      </c>
      <c r="B246" s="470">
        <f t="shared" si="13"/>
        <v>1</v>
      </c>
      <c r="C246" s="482">
        <v>140.87787919562919</v>
      </c>
      <c r="D246" s="482">
        <v>0</v>
      </c>
      <c r="E246" s="482">
        <v>760.41660462562982</v>
      </c>
      <c r="F246" s="482">
        <v>0</v>
      </c>
      <c r="G246" s="482">
        <v>0</v>
      </c>
      <c r="H246" s="482"/>
      <c r="I246" s="482"/>
      <c r="J246" s="482"/>
      <c r="K246" s="482"/>
      <c r="L246" s="482"/>
      <c r="M246" s="482"/>
      <c r="N246" s="482">
        <f t="shared" si="10"/>
        <v>901.29448382125906</v>
      </c>
      <c r="O246" s="481">
        <v>0</v>
      </c>
      <c r="P246" s="475">
        <f t="shared" si="11"/>
        <v>715.41660462562982</v>
      </c>
    </row>
    <row r="247" spans="1:16">
      <c r="A247" s="470">
        <f t="shared" si="12"/>
        <v>2028</v>
      </c>
      <c r="B247" s="470">
        <f t="shared" si="13"/>
        <v>2</v>
      </c>
      <c r="C247" s="482">
        <v>139.34140467529622</v>
      </c>
      <c r="D247" s="482">
        <v>0</v>
      </c>
      <c r="E247" s="482">
        <v>680.11383033776417</v>
      </c>
      <c r="F247" s="482">
        <v>0</v>
      </c>
      <c r="G247" s="482">
        <v>0</v>
      </c>
      <c r="H247" s="482"/>
      <c r="I247" s="482"/>
      <c r="J247" s="482"/>
      <c r="K247" s="482"/>
      <c r="L247" s="482"/>
      <c r="M247" s="482"/>
      <c r="N247" s="482">
        <f t="shared" si="10"/>
        <v>819.45523501306036</v>
      </c>
      <c r="O247" s="481">
        <v>0</v>
      </c>
      <c r="P247" s="475">
        <f t="shared" si="11"/>
        <v>635.11383033776417</v>
      </c>
    </row>
    <row r="248" spans="1:16">
      <c r="A248" s="470">
        <f t="shared" si="12"/>
        <v>2028</v>
      </c>
      <c r="B248" s="470">
        <f t="shared" si="13"/>
        <v>3</v>
      </c>
      <c r="C248" s="482">
        <v>147.46665177316208</v>
      </c>
      <c r="D248" s="482">
        <v>0</v>
      </c>
      <c r="E248" s="482">
        <v>627.03561894117331</v>
      </c>
      <c r="F248" s="482">
        <v>0</v>
      </c>
      <c r="G248" s="482">
        <v>0</v>
      </c>
      <c r="H248" s="482"/>
      <c r="I248" s="482"/>
      <c r="J248" s="482"/>
      <c r="K248" s="482"/>
      <c r="L248" s="482"/>
      <c r="M248" s="482"/>
      <c r="N248" s="482">
        <f t="shared" si="10"/>
        <v>774.5022707143354</v>
      </c>
      <c r="O248" s="481">
        <v>0</v>
      </c>
      <c r="P248" s="475">
        <f t="shared" si="11"/>
        <v>582.03561894117331</v>
      </c>
    </row>
    <row r="249" spans="1:16">
      <c r="A249" s="470">
        <f t="shared" si="12"/>
        <v>2028</v>
      </c>
      <c r="B249" s="470">
        <f t="shared" si="13"/>
        <v>4</v>
      </c>
      <c r="C249" s="482">
        <v>153.2831889689694</v>
      </c>
      <c r="D249" s="482">
        <v>0</v>
      </c>
      <c r="E249" s="482">
        <v>677.61191154481844</v>
      </c>
      <c r="F249" s="482">
        <v>0</v>
      </c>
      <c r="G249" s="482">
        <v>0</v>
      </c>
      <c r="H249" s="482"/>
      <c r="I249" s="482"/>
      <c r="J249" s="482"/>
      <c r="K249" s="482"/>
      <c r="L249" s="482"/>
      <c r="M249" s="482"/>
      <c r="N249" s="482">
        <f t="shared" si="10"/>
        <v>830.89510051378784</v>
      </c>
      <c r="O249" s="481">
        <v>0</v>
      </c>
      <c r="P249" s="475">
        <f t="shared" si="11"/>
        <v>632.61191154481844</v>
      </c>
    </row>
    <row r="250" spans="1:16">
      <c r="A250" s="470">
        <f t="shared" si="12"/>
        <v>2028</v>
      </c>
      <c r="B250" s="470">
        <f t="shared" si="13"/>
        <v>5</v>
      </c>
      <c r="C250" s="482">
        <v>167.82915940495784</v>
      </c>
      <c r="D250" s="482">
        <v>0</v>
      </c>
      <c r="E250" s="482">
        <v>763.35557829974266</v>
      </c>
      <c r="F250" s="482">
        <v>0</v>
      </c>
      <c r="G250" s="482">
        <v>0</v>
      </c>
      <c r="H250" s="482"/>
      <c r="I250" s="482"/>
      <c r="J250" s="482"/>
      <c r="K250" s="482"/>
      <c r="L250" s="482"/>
      <c r="M250" s="482"/>
      <c r="N250" s="482">
        <f t="shared" si="10"/>
        <v>931.18473770470052</v>
      </c>
      <c r="O250" s="481">
        <v>0</v>
      </c>
      <c r="P250" s="475">
        <f t="shared" si="11"/>
        <v>718.35557829974266</v>
      </c>
    </row>
    <row r="251" spans="1:16">
      <c r="A251" s="470">
        <f t="shared" si="12"/>
        <v>2028</v>
      </c>
      <c r="B251" s="470">
        <f t="shared" si="13"/>
        <v>6</v>
      </c>
      <c r="C251" s="482">
        <v>171.65972727215632</v>
      </c>
      <c r="D251" s="482">
        <v>0</v>
      </c>
      <c r="E251" s="482">
        <v>807.17510569621641</v>
      </c>
      <c r="F251" s="482">
        <v>0</v>
      </c>
      <c r="G251" s="482">
        <v>0</v>
      </c>
      <c r="H251" s="482"/>
      <c r="I251" s="482"/>
      <c r="J251" s="482"/>
      <c r="K251" s="482"/>
      <c r="L251" s="482"/>
      <c r="M251" s="482"/>
      <c r="N251" s="482">
        <f t="shared" si="10"/>
        <v>978.83483296837267</v>
      </c>
      <c r="O251" s="481">
        <v>0</v>
      </c>
      <c r="P251" s="475">
        <f t="shared" si="11"/>
        <v>762.17510569621641</v>
      </c>
    </row>
    <row r="252" spans="1:16">
      <c r="A252" s="470">
        <f t="shared" si="12"/>
        <v>2028</v>
      </c>
      <c r="B252" s="470">
        <f t="shared" si="13"/>
        <v>7</v>
      </c>
      <c r="C252" s="482">
        <v>181.38374928382177</v>
      </c>
      <c r="D252" s="482">
        <v>0</v>
      </c>
      <c r="E252" s="482">
        <v>833.27531404637114</v>
      </c>
      <c r="F252" s="482">
        <v>0</v>
      </c>
      <c r="G252" s="482">
        <v>0</v>
      </c>
      <c r="H252" s="482"/>
      <c r="I252" s="482"/>
      <c r="J252" s="482"/>
      <c r="K252" s="482"/>
      <c r="L252" s="482"/>
      <c r="M252" s="482"/>
      <c r="N252" s="482">
        <f t="shared" si="10"/>
        <v>1014.6590633301929</v>
      </c>
      <c r="O252" s="481">
        <v>0</v>
      </c>
      <c r="P252" s="475">
        <f t="shared" si="11"/>
        <v>788.27531404637114</v>
      </c>
    </row>
    <row r="253" spans="1:16" s="479" customFormat="1" ht="12">
      <c r="A253" s="470">
        <f t="shared" si="12"/>
        <v>2028</v>
      </c>
      <c r="B253" s="470">
        <f t="shared" si="13"/>
        <v>8</v>
      </c>
      <c r="C253" s="482">
        <v>179.62884576591981</v>
      </c>
      <c r="D253" s="482">
        <v>0</v>
      </c>
      <c r="E253" s="482">
        <v>846.71185651505766</v>
      </c>
      <c r="F253" s="482">
        <v>0</v>
      </c>
      <c r="G253" s="482">
        <v>0</v>
      </c>
      <c r="H253" s="482"/>
      <c r="I253" s="482"/>
      <c r="J253" s="482"/>
      <c r="K253" s="482"/>
      <c r="L253" s="482"/>
      <c r="M253" s="482"/>
      <c r="N253" s="482">
        <f t="shared" si="10"/>
        <v>1026.3407022809774</v>
      </c>
      <c r="O253" s="481">
        <v>0</v>
      </c>
      <c r="P253" s="475">
        <f t="shared" si="11"/>
        <v>801.71185651505766</v>
      </c>
    </row>
    <row r="254" spans="1:16">
      <c r="A254" s="470">
        <f t="shared" si="12"/>
        <v>2028</v>
      </c>
      <c r="B254" s="470">
        <f t="shared" si="13"/>
        <v>9</v>
      </c>
      <c r="C254" s="482">
        <v>169.53555949954668</v>
      </c>
      <c r="D254" s="482">
        <v>0</v>
      </c>
      <c r="E254" s="482">
        <v>809.34014168196848</v>
      </c>
      <c r="F254" s="482">
        <v>0</v>
      </c>
      <c r="G254" s="482">
        <v>0</v>
      </c>
      <c r="H254" s="482"/>
      <c r="I254" s="482"/>
      <c r="J254" s="482"/>
      <c r="K254" s="482"/>
      <c r="L254" s="482"/>
      <c r="M254" s="482"/>
      <c r="N254" s="482">
        <f t="shared" si="10"/>
        <v>978.87570118151518</v>
      </c>
      <c r="O254" s="481">
        <v>0</v>
      </c>
      <c r="P254" s="475">
        <f t="shared" si="11"/>
        <v>764.34014168196848</v>
      </c>
    </row>
    <row r="255" spans="1:16">
      <c r="A255" s="470">
        <f t="shared" si="12"/>
        <v>2028</v>
      </c>
      <c r="B255" s="470">
        <f t="shared" si="13"/>
        <v>10</v>
      </c>
      <c r="C255" s="482">
        <v>153.1638035113121</v>
      </c>
      <c r="D255" s="482">
        <v>0</v>
      </c>
      <c r="E255" s="482">
        <v>740.4877129038706</v>
      </c>
      <c r="F255" s="482">
        <v>0</v>
      </c>
      <c r="G255" s="482">
        <v>0</v>
      </c>
      <c r="H255" s="482"/>
      <c r="I255" s="482"/>
      <c r="J255" s="482"/>
      <c r="K255" s="482"/>
      <c r="L255" s="482"/>
      <c r="M255" s="482"/>
      <c r="N255" s="482">
        <f t="shared" si="10"/>
        <v>893.65151641518264</v>
      </c>
      <c r="O255" s="481">
        <v>0</v>
      </c>
      <c r="P255" s="475">
        <f t="shared" si="11"/>
        <v>695.4877129038706</v>
      </c>
    </row>
    <row r="256" spans="1:16">
      <c r="A256" s="470">
        <f t="shared" si="12"/>
        <v>2028</v>
      </c>
      <c r="B256" s="470">
        <f t="shared" si="13"/>
        <v>11</v>
      </c>
      <c r="C256" s="482">
        <v>136.84294150371326</v>
      </c>
      <c r="D256" s="482">
        <v>0</v>
      </c>
      <c r="E256" s="482">
        <v>599.14099673597889</v>
      </c>
      <c r="F256" s="482">
        <v>0</v>
      </c>
      <c r="G256" s="482">
        <v>0</v>
      </c>
      <c r="H256" s="482"/>
      <c r="I256" s="482"/>
      <c r="J256" s="482"/>
      <c r="K256" s="482"/>
      <c r="L256" s="482"/>
      <c r="M256" s="482"/>
      <c r="N256" s="482">
        <f t="shared" si="10"/>
        <v>735.98393823969218</v>
      </c>
      <c r="O256" s="481">
        <v>0</v>
      </c>
      <c r="P256" s="475">
        <f t="shared" si="11"/>
        <v>554.14099673597889</v>
      </c>
    </row>
    <row r="257" spans="1:16">
      <c r="A257" s="470">
        <f t="shared" si="12"/>
        <v>2028</v>
      </c>
      <c r="B257" s="470">
        <f t="shared" si="13"/>
        <v>12</v>
      </c>
      <c r="C257" s="482">
        <v>142.03127340826569</v>
      </c>
      <c r="D257" s="482">
        <v>0</v>
      </c>
      <c r="E257" s="482">
        <v>571.55663123063425</v>
      </c>
      <c r="F257" s="482">
        <v>0</v>
      </c>
      <c r="G257" s="482">
        <v>0</v>
      </c>
      <c r="H257" s="482"/>
      <c r="I257" s="482"/>
      <c r="J257" s="482"/>
      <c r="K257" s="482"/>
      <c r="L257" s="482"/>
      <c r="M257" s="482"/>
      <c r="N257" s="482">
        <f t="shared" si="10"/>
        <v>713.5879046389</v>
      </c>
      <c r="O257" s="481">
        <v>0</v>
      </c>
      <c r="P257" s="475">
        <f t="shared" si="11"/>
        <v>526.55663123063425</v>
      </c>
    </row>
    <row r="258" spans="1:16">
      <c r="A258" s="470">
        <f t="shared" si="12"/>
        <v>2029</v>
      </c>
      <c r="B258" s="470">
        <f t="shared" si="13"/>
        <v>1</v>
      </c>
      <c r="C258" s="482">
        <v>142.20574155679154</v>
      </c>
      <c r="D258" s="482">
        <v>0</v>
      </c>
      <c r="E258" s="482">
        <v>761.17699101590358</v>
      </c>
      <c r="F258" s="482">
        <v>0</v>
      </c>
      <c r="G258" s="482">
        <v>0</v>
      </c>
      <c r="H258" s="482"/>
      <c r="I258" s="482"/>
      <c r="J258" s="482"/>
      <c r="K258" s="482"/>
      <c r="L258" s="482"/>
      <c r="M258" s="482"/>
      <c r="N258" s="482">
        <f t="shared" si="10"/>
        <v>903.38273257269509</v>
      </c>
      <c r="O258" s="481">
        <v>0</v>
      </c>
      <c r="P258" s="475">
        <f t="shared" si="11"/>
        <v>716.17699101590358</v>
      </c>
    </row>
    <row r="259" spans="1:16">
      <c r="A259" s="470">
        <f t="shared" si="12"/>
        <v>2029</v>
      </c>
      <c r="B259" s="470">
        <f t="shared" si="13"/>
        <v>2</v>
      </c>
      <c r="C259" s="482">
        <v>140.65478480052423</v>
      </c>
      <c r="D259" s="482">
        <v>0</v>
      </c>
      <c r="E259" s="482">
        <v>680.79379783053548</v>
      </c>
      <c r="F259" s="482">
        <v>0</v>
      </c>
      <c r="G259" s="482">
        <v>0</v>
      </c>
      <c r="H259" s="482"/>
      <c r="I259" s="482"/>
      <c r="J259" s="482"/>
      <c r="K259" s="482"/>
      <c r="L259" s="482"/>
      <c r="M259" s="482"/>
      <c r="N259" s="482">
        <f t="shared" si="10"/>
        <v>821.44858263105971</v>
      </c>
      <c r="O259" s="481">
        <v>0</v>
      </c>
      <c r="P259" s="475">
        <f t="shared" si="11"/>
        <v>635.79379783053548</v>
      </c>
    </row>
    <row r="260" spans="1:16">
      <c r="A260" s="470">
        <f t="shared" si="12"/>
        <v>2029</v>
      </c>
      <c r="B260" s="470">
        <f t="shared" si="13"/>
        <v>3</v>
      </c>
      <c r="C260" s="482">
        <v>148.85661744793126</v>
      </c>
      <c r="D260" s="482">
        <v>0</v>
      </c>
      <c r="E260" s="482">
        <v>627.72667903868421</v>
      </c>
      <c r="F260" s="482">
        <v>0</v>
      </c>
      <c r="G260" s="482">
        <v>0</v>
      </c>
      <c r="H260" s="482"/>
      <c r="I260" s="482"/>
      <c r="J260" s="482"/>
      <c r="K260" s="482"/>
      <c r="L260" s="482"/>
      <c r="M260" s="482"/>
      <c r="N260" s="482">
        <f t="shared" si="10"/>
        <v>776.5832964866155</v>
      </c>
      <c r="O260" s="481">
        <v>0</v>
      </c>
      <c r="P260" s="475">
        <f t="shared" si="11"/>
        <v>582.72667903868421</v>
      </c>
    </row>
    <row r="261" spans="1:16">
      <c r="A261" s="470">
        <f t="shared" si="12"/>
        <v>2029</v>
      </c>
      <c r="B261" s="470">
        <f t="shared" si="13"/>
        <v>4</v>
      </c>
      <c r="C261" s="482">
        <v>154.72797915457534</v>
      </c>
      <c r="D261" s="482">
        <v>0</v>
      </c>
      <c r="E261" s="482">
        <v>681.89479071944243</v>
      </c>
      <c r="F261" s="482">
        <v>0</v>
      </c>
      <c r="G261" s="482">
        <v>0</v>
      </c>
      <c r="H261" s="482"/>
      <c r="I261" s="482"/>
      <c r="J261" s="482"/>
      <c r="K261" s="482"/>
      <c r="L261" s="482"/>
      <c r="M261" s="482"/>
      <c r="N261" s="482">
        <f t="shared" si="10"/>
        <v>836.62276987401776</v>
      </c>
      <c r="O261" s="481">
        <v>0</v>
      </c>
      <c r="P261" s="475">
        <f t="shared" si="11"/>
        <v>636.89479071944243</v>
      </c>
    </row>
    <row r="262" spans="1:16">
      <c r="A262" s="470">
        <f t="shared" si="12"/>
        <v>2029</v>
      </c>
      <c r="B262" s="470">
        <f t="shared" si="13"/>
        <v>5</v>
      </c>
      <c r="C262" s="482">
        <v>169.41105448424057</v>
      </c>
      <c r="D262" s="482">
        <v>0</v>
      </c>
      <c r="E262" s="482">
        <v>767.30665530075999</v>
      </c>
      <c r="F262" s="482">
        <v>0</v>
      </c>
      <c r="G262" s="482">
        <v>0</v>
      </c>
      <c r="H262" s="482"/>
      <c r="I262" s="482"/>
      <c r="J262" s="482"/>
      <c r="K262" s="482"/>
      <c r="L262" s="482"/>
      <c r="M262" s="482"/>
      <c r="N262" s="482">
        <f t="shared" si="10"/>
        <v>936.71770978500058</v>
      </c>
      <c r="O262" s="481">
        <v>0</v>
      </c>
      <c r="P262" s="475">
        <f t="shared" si="11"/>
        <v>722.30665530075999</v>
      </c>
    </row>
    <row r="263" spans="1:16">
      <c r="A263" s="470">
        <f t="shared" si="12"/>
        <v>2029</v>
      </c>
      <c r="B263" s="470">
        <f t="shared" si="13"/>
        <v>6</v>
      </c>
      <c r="C263" s="482">
        <v>173.27772785587862</v>
      </c>
      <c r="D263" s="482">
        <v>0</v>
      </c>
      <c r="E263" s="482">
        <v>810.01771215626036</v>
      </c>
      <c r="F263" s="482">
        <v>0</v>
      </c>
      <c r="G263" s="482">
        <v>0</v>
      </c>
      <c r="H263" s="482"/>
      <c r="I263" s="482"/>
      <c r="J263" s="482"/>
      <c r="K263" s="482"/>
      <c r="L263" s="482"/>
      <c r="M263" s="482"/>
      <c r="N263" s="482">
        <f t="shared" ref="N263:N326" si="14">SUM(C263:M263)</f>
        <v>983.29544001213901</v>
      </c>
      <c r="O263" s="481">
        <v>0</v>
      </c>
      <c r="P263" s="475">
        <f t="shared" si="11"/>
        <v>765.01771215626036</v>
      </c>
    </row>
    <row r="264" spans="1:16">
      <c r="A264" s="470">
        <f t="shared" si="12"/>
        <v>2029</v>
      </c>
      <c r="B264" s="470">
        <f t="shared" si="13"/>
        <v>7</v>
      </c>
      <c r="C264" s="482">
        <v>183.09374135643944</v>
      </c>
      <c r="D264" s="482">
        <v>0</v>
      </c>
      <c r="E264" s="482">
        <v>838.01448588642927</v>
      </c>
      <c r="F264" s="482">
        <v>0</v>
      </c>
      <c r="G264" s="482">
        <v>0</v>
      </c>
      <c r="H264" s="482"/>
      <c r="I264" s="482"/>
      <c r="J264" s="482"/>
      <c r="K264" s="482"/>
      <c r="L264" s="482"/>
      <c r="M264" s="482"/>
      <c r="N264" s="482">
        <f t="shared" si="14"/>
        <v>1021.1082272428687</v>
      </c>
      <c r="O264" s="481">
        <v>0</v>
      </c>
      <c r="P264" s="475">
        <f t="shared" si="11"/>
        <v>793.01448588642927</v>
      </c>
    </row>
    <row r="265" spans="1:16" s="479" customFormat="1" ht="12">
      <c r="A265" s="470">
        <f t="shared" si="12"/>
        <v>2029</v>
      </c>
      <c r="B265" s="470">
        <f t="shared" si="13"/>
        <v>8</v>
      </c>
      <c r="C265" s="482">
        <v>181.32196028917562</v>
      </c>
      <c r="D265" s="482">
        <v>0</v>
      </c>
      <c r="E265" s="482">
        <v>851.54956753333295</v>
      </c>
      <c r="F265" s="482">
        <v>0</v>
      </c>
      <c r="G265" s="482">
        <v>0</v>
      </c>
      <c r="H265" s="482"/>
      <c r="I265" s="482"/>
      <c r="J265" s="482"/>
      <c r="K265" s="482"/>
      <c r="L265" s="482"/>
      <c r="M265" s="482"/>
      <c r="N265" s="482">
        <f t="shared" si="14"/>
        <v>1032.8715278225086</v>
      </c>
      <c r="O265" s="481">
        <v>0</v>
      </c>
      <c r="P265" s="475">
        <f t="shared" si="11"/>
        <v>806.54956753333295</v>
      </c>
    </row>
    <row r="266" spans="1:16">
      <c r="A266" s="470">
        <f t="shared" si="12"/>
        <v>2029</v>
      </c>
      <c r="B266" s="470">
        <f t="shared" si="13"/>
        <v>9</v>
      </c>
      <c r="C266" s="482">
        <v>171.13353846986774</v>
      </c>
      <c r="D266" s="482">
        <v>0</v>
      </c>
      <c r="E266" s="482">
        <v>813.97544835043095</v>
      </c>
      <c r="F266" s="482">
        <v>0</v>
      </c>
      <c r="G266" s="482">
        <v>0</v>
      </c>
      <c r="H266" s="482"/>
      <c r="I266" s="482"/>
      <c r="J266" s="482"/>
      <c r="K266" s="482"/>
      <c r="L266" s="482"/>
      <c r="M266" s="482"/>
      <c r="N266" s="482">
        <f t="shared" si="14"/>
        <v>985.1089868202987</v>
      </c>
      <c r="O266" s="481">
        <v>0</v>
      </c>
      <c r="P266" s="475">
        <f t="shared" ref="P266:P276" si="15">E266+G266-45</f>
        <v>768.97544835043095</v>
      </c>
    </row>
    <row r="267" spans="1:16">
      <c r="A267" s="470">
        <f t="shared" si="12"/>
        <v>2029</v>
      </c>
      <c r="B267" s="470">
        <f t="shared" si="13"/>
        <v>10</v>
      </c>
      <c r="C267" s="482">
        <v>154.60746841410861</v>
      </c>
      <c r="D267" s="482">
        <v>0</v>
      </c>
      <c r="E267" s="482">
        <v>743.01713307239322</v>
      </c>
      <c r="F267" s="482">
        <v>0</v>
      </c>
      <c r="G267" s="482">
        <v>0</v>
      </c>
      <c r="H267" s="482"/>
      <c r="I267" s="482"/>
      <c r="J267" s="482"/>
      <c r="K267" s="482"/>
      <c r="L267" s="482"/>
      <c r="M267" s="482"/>
      <c r="N267" s="482">
        <f t="shared" si="14"/>
        <v>897.62460148650189</v>
      </c>
      <c r="O267" s="481">
        <v>0</v>
      </c>
      <c r="P267" s="475">
        <f t="shared" si="15"/>
        <v>698.01713307239322</v>
      </c>
    </row>
    <row r="268" spans="1:16">
      <c r="A268" s="470">
        <f t="shared" si="12"/>
        <v>2029</v>
      </c>
      <c r="B268" s="470">
        <f t="shared" si="13"/>
        <v>11</v>
      </c>
      <c r="C268" s="482">
        <v>138.13277204667017</v>
      </c>
      <c r="D268" s="482">
        <v>0</v>
      </c>
      <c r="E268" s="482">
        <v>600.37237323692034</v>
      </c>
      <c r="F268" s="482">
        <v>0</v>
      </c>
      <c r="G268" s="482">
        <v>0</v>
      </c>
      <c r="H268" s="482"/>
      <c r="I268" s="482"/>
      <c r="J268" s="482"/>
      <c r="K268" s="482"/>
      <c r="L268" s="482"/>
      <c r="M268" s="482"/>
      <c r="N268" s="482">
        <f t="shared" si="14"/>
        <v>738.50514528359054</v>
      </c>
      <c r="O268" s="481">
        <v>0</v>
      </c>
      <c r="P268" s="475">
        <f t="shared" si="15"/>
        <v>555.37237323692034</v>
      </c>
    </row>
    <row r="269" spans="1:16">
      <c r="A269" s="470">
        <f t="shared" si="12"/>
        <v>2029</v>
      </c>
      <c r="B269" s="470">
        <f t="shared" si="13"/>
        <v>12</v>
      </c>
      <c r="C269" s="482">
        <v>143.37000723321842</v>
      </c>
      <c r="D269" s="482">
        <v>0</v>
      </c>
      <c r="E269" s="482">
        <v>573.15338866051957</v>
      </c>
      <c r="F269" s="482">
        <v>0</v>
      </c>
      <c r="G269" s="482">
        <v>0</v>
      </c>
      <c r="H269" s="482"/>
      <c r="I269" s="482"/>
      <c r="J269" s="482"/>
      <c r="K269" s="482"/>
      <c r="L269" s="482"/>
      <c r="M269" s="482"/>
      <c r="N269" s="482">
        <f t="shared" si="14"/>
        <v>716.52339589373798</v>
      </c>
      <c r="O269" s="481">
        <v>0</v>
      </c>
      <c r="P269" s="475">
        <f t="shared" si="15"/>
        <v>528.15338866051957</v>
      </c>
    </row>
    <row r="270" spans="1:16">
      <c r="A270" s="470">
        <f t="shared" si="12"/>
        <v>2030</v>
      </c>
      <c r="B270" s="470">
        <f t="shared" si="13"/>
        <v>1</v>
      </c>
      <c r="C270" s="482">
        <v>143.54611985345957</v>
      </c>
      <c r="D270" s="482">
        <v>0</v>
      </c>
      <c r="E270" s="482">
        <v>761.93813776235447</v>
      </c>
      <c r="F270" s="482">
        <v>0</v>
      </c>
      <c r="G270" s="482">
        <v>0</v>
      </c>
      <c r="H270" s="482"/>
      <c r="I270" s="482"/>
      <c r="J270" s="482"/>
      <c r="K270" s="482"/>
      <c r="L270" s="482"/>
      <c r="M270" s="482"/>
      <c r="N270" s="482">
        <f t="shared" si="14"/>
        <v>905.48425761581404</v>
      </c>
      <c r="O270" s="481">
        <v>0</v>
      </c>
      <c r="P270" s="475">
        <f t="shared" si="15"/>
        <v>716.93813776235447</v>
      </c>
    </row>
    <row r="271" spans="1:16">
      <c r="A271" s="470">
        <f t="shared" ref="A271:A334" si="16">A259+1</f>
        <v>2030</v>
      </c>
      <c r="B271" s="470">
        <f t="shared" ref="B271:B334" si="17">B259</f>
        <v>2</v>
      </c>
      <c r="C271" s="482">
        <v>141.98054435710191</v>
      </c>
      <c r="D271" s="482">
        <v>0</v>
      </c>
      <c r="E271" s="482">
        <v>681.47444514449342</v>
      </c>
      <c r="F271" s="482">
        <v>0</v>
      </c>
      <c r="G271" s="482">
        <v>0</v>
      </c>
      <c r="H271" s="482"/>
      <c r="I271" s="482"/>
      <c r="J271" s="482"/>
      <c r="K271" s="482"/>
      <c r="L271" s="482"/>
      <c r="M271" s="482"/>
      <c r="N271" s="482">
        <f t="shared" si="14"/>
        <v>823.45498950159526</v>
      </c>
      <c r="O271" s="481">
        <v>0</v>
      </c>
      <c r="P271" s="475">
        <f t="shared" si="15"/>
        <v>636.47444514449342</v>
      </c>
    </row>
    <row r="272" spans="1:16">
      <c r="A272" s="470">
        <f t="shared" si="16"/>
        <v>2030</v>
      </c>
      <c r="B272" s="470">
        <f t="shared" si="17"/>
        <v>3</v>
      </c>
      <c r="C272" s="482">
        <v>150.25968442088416</v>
      </c>
      <c r="D272" s="482">
        <v>0</v>
      </c>
      <c r="E272" s="482">
        <v>628.41850075809327</v>
      </c>
      <c r="F272" s="482">
        <v>0</v>
      </c>
      <c r="G272" s="482">
        <v>0</v>
      </c>
      <c r="H272" s="482"/>
      <c r="I272" s="482"/>
      <c r="J272" s="482"/>
      <c r="K272" s="482"/>
      <c r="L272" s="482"/>
      <c r="M272" s="482"/>
      <c r="N272" s="482">
        <f t="shared" si="14"/>
        <v>778.6781851789774</v>
      </c>
      <c r="O272" s="481">
        <v>0</v>
      </c>
      <c r="P272" s="475">
        <f t="shared" si="15"/>
        <v>583.41850075809327</v>
      </c>
    </row>
    <row r="273" spans="1:16">
      <c r="A273" s="470">
        <f t="shared" si="16"/>
        <v>2030</v>
      </c>
      <c r="B273" s="470">
        <f t="shared" si="17"/>
        <v>4</v>
      </c>
      <c r="C273" s="482">
        <v>156.18638739376212</v>
      </c>
      <c r="D273" s="482">
        <v>0</v>
      </c>
      <c r="E273" s="482">
        <v>686.20474004102209</v>
      </c>
      <c r="F273" s="482">
        <v>0</v>
      </c>
      <c r="G273" s="482">
        <v>0</v>
      </c>
      <c r="H273" s="482"/>
      <c r="I273" s="482"/>
      <c r="J273" s="482"/>
      <c r="K273" s="482"/>
      <c r="L273" s="482"/>
      <c r="M273" s="482"/>
      <c r="N273" s="482">
        <f t="shared" si="14"/>
        <v>842.39112743478427</v>
      </c>
      <c r="O273" s="481">
        <v>0</v>
      </c>
      <c r="P273" s="475">
        <f t="shared" si="15"/>
        <v>641.20474004102209</v>
      </c>
    </row>
    <row r="274" spans="1:16">
      <c r="A274" s="470">
        <f t="shared" si="16"/>
        <v>2030</v>
      </c>
      <c r="B274" s="470">
        <f t="shared" si="17"/>
        <v>5</v>
      </c>
      <c r="C274" s="482">
        <v>171.00785991671063</v>
      </c>
      <c r="D274" s="482">
        <v>0</v>
      </c>
      <c r="E274" s="482">
        <v>771.27818280991755</v>
      </c>
      <c r="F274" s="482">
        <v>0</v>
      </c>
      <c r="G274" s="482">
        <v>0</v>
      </c>
      <c r="H274" s="482"/>
      <c r="I274" s="482"/>
      <c r="J274" s="482"/>
      <c r="K274" s="482"/>
      <c r="L274" s="482"/>
      <c r="M274" s="482"/>
      <c r="N274" s="482">
        <f t="shared" si="14"/>
        <v>942.28604272662824</v>
      </c>
      <c r="O274" s="481">
        <v>0</v>
      </c>
      <c r="P274" s="475">
        <f t="shared" si="15"/>
        <v>726.27818280991755</v>
      </c>
    </row>
    <row r="275" spans="1:16">
      <c r="A275" s="470">
        <f t="shared" si="16"/>
        <v>2030</v>
      </c>
      <c r="B275" s="470">
        <f t="shared" si="17"/>
        <v>6</v>
      </c>
      <c r="C275" s="482">
        <v>174.91097910981071</v>
      </c>
      <c r="D275" s="482">
        <v>0</v>
      </c>
      <c r="E275" s="482">
        <v>812.87032934561148</v>
      </c>
      <c r="F275" s="482">
        <v>0</v>
      </c>
      <c r="G275" s="482">
        <v>0</v>
      </c>
      <c r="H275" s="482"/>
      <c r="I275" s="482"/>
      <c r="J275" s="482"/>
      <c r="K275" s="482"/>
      <c r="L275" s="482"/>
      <c r="M275" s="482"/>
      <c r="N275" s="482">
        <f t="shared" si="14"/>
        <v>987.78130845542216</v>
      </c>
      <c r="O275" s="481">
        <v>0</v>
      </c>
      <c r="P275" s="475">
        <f t="shared" si="15"/>
        <v>767.87032934561148</v>
      </c>
    </row>
    <row r="276" spans="1:16">
      <c r="A276" s="470">
        <f t="shared" si="16"/>
        <v>2030</v>
      </c>
      <c r="B276" s="470">
        <f t="shared" si="17"/>
        <v>7</v>
      </c>
      <c r="C276" s="482">
        <v>184.81985434892979</v>
      </c>
      <c r="D276" s="482">
        <v>0</v>
      </c>
      <c r="E276" s="482">
        <v>842.78061130275569</v>
      </c>
      <c r="F276" s="482">
        <v>0</v>
      </c>
      <c r="G276" s="482">
        <v>0</v>
      </c>
      <c r="H276" s="482"/>
      <c r="I276" s="482"/>
      <c r="J276" s="482"/>
      <c r="K276" s="482"/>
      <c r="L276" s="482"/>
      <c r="M276" s="482"/>
      <c r="N276" s="482">
        <f t="shared" si="14"/>
        <v>1027.6004656516855</v>
      </c>
      <c r="O276" s="481">
        <v>0</v>
      </c>
      <c r="P276" s="475">
        <f t="shared" si="15"/>
        <v>797.78061130275569</v>
      </c>
    </row>
    <row r="277" spans="1:16" s="479" customFormat="1" ht="12">
      <c r="A277" s="470">
        <f t="shared" si="16"/>
        <v>2030</v>
      </c>
      <c r="B277" s="470">
        <f t="shared" si="17"/>
        <v>8</v>
      </c>
      <c r="C277" s="482">
        <v>183.03103347862802</v>
      </c>
      <c r="D277" s="482">
        <v>0</v>
      </c>
      <c r="E277" s="482">
        <v>856.41491894392857</v>
      </c>
      <c r="F277" s="482">
        <v>0</v>
      </c>
      <c r="G277" s="482">
        <v>0</v>
      </c>
      <c r="H277" s="482"/>
      <c r="I277" s="482"/>
      <c r="J277" s="482"/>
      <c r="K277" s="482"/>
      <c r="L277" s="482"/>
      <c r="M277" s="482"/>
      <c r="N277" s="482">
        <f t="shared" si="14"/>
        <v>1039.4459524225565</v>
      </c>
      <c r="O277" s="481">
        <v>0</v>
      </c>
      <c r="P277" s="475">
        <f>E277+G277-45</f>
        <v>811.41491894392857</v>
      </c>
    </row>
    <row r="278" spans="1:16">
      <c r="A278" s="470">
        <f t="shared" si="16"/>
        <v>2030</v>
      </c>
      <c r="B278" s="470">
        <f t="shared" si="17"/>
        <v>9</v>
      </c>
      <c r="C278" s="482">
        <v>172.74657939413598</v>
      </c>
      <c r="D278" s="482">
        <v>0</v>
      </c>
      <c r="E278" s="482">
        <v>818.63730265542358</v>
      </c>
      <c r="F278" s="482">
        <v>0</v>
      </c>
      <c r="G278" s="482">
        <v>0</v>
      </c>
      <c r="H278" s="482"/>
      <c r="I278" s="482"/>
      <c r="J278" s="482"/>
      <c r="K278" s="482"/>
      <c r="L278" s="482"/>
      <c r="M278" s="482"/>
      <c r="N278" s="482">
        <f t="shared" si="14"/>
        <v>991.38388204955959</v>
      </c>
      <c r="O278" s="481">
        <v>0</v>
      </c>
      <c r="P278" s="475"/>
    </row>
    <row r="279" spans="1:16">
      <c r="A279" s="470">
        <f t="shared" si="16"/>
        <v>2030</v>
      </c>
      <c r="B279" s="470">
        <f t="shared" si="17"/>
        <v>10</v>
      </c>
      <c r="C279" s="482">
        <v>156.06474076398979</v>
      </c>
      <c r="D279" s="482">
        <v>0</v>
      </c>
      <c r="E279" s="482">
        <v>745.555193446928</v>
      </c>
      <c r="F279" s="482">
        <v>0</v>
      </c>
      <c r="G279" s="482">
        <v>0</v>
      </c>
      <c r="H279" s="482"/>
      <c r="I279" s="482"/>
      <c r="J279" s="482"/>
      <c r="K279" s="482"/>
      <c r="L279" s="482"/>
      <c r="M279" s="482"/>
      <c r="N279" s="482">
        <f t="shared" si="14"/>
        <v>901.61993421091779</v>
      </c>
      <c r="O279" s="481">
        <v>0</v>
      </c>
      <c r="P279" s="475"/>
    </row>
    <row r="280" spans="1:16">
      <c r="A280" s="470">
        <f t="shared" si="16"/>
        <v>2030</v>
      </c>
      <c r="B280" s="470">
        <f t="shared" si="17"/>
        <v>11</v>
      </c>
      <c r="C280" s="482">
        <v>139.43476005139502</v>
      </c>
      <c r="D280" s="482">
        <v>0</v>
      </c>
      <c r="E280" s="482">
        <v>601.60628050790638</v>
      </c>
      <c r="F280" s="482">
        <v>0</v>
      </c>
      <c r="G280" s="482">
        <v>0</v>
      </c>
      <c r="H280" s="482"/>
      <c r="I280" s="482"/>
      <c r="J280" s="482"/>
      <c r="K280" s="482"/>
      <c r="L280" s="482"/>
      <c r="M280" s="482"/>
      <c r="N280" s="482">
        <f t="shared" si="14"/>
        <v>741.04104055930134</v>
      </c>
      <c r="O280" s="481">
        <v>0</v>
      </c>
      <c r="P280" s="475"/>
    </row>
    <row r="281" spans="1:16">
      <c r="A281" s="470">
        <f t="shared" si="16"/>
        <v>2030</v>
      </c>
      <c r="B281" s="470">
        <f t="shared" si="17"/>
        <v>12</v>
      </c>
      <c r="C281" s="482">
        <v>144.72135946404097</v>
      </c>
      <c r="D281" s="482">
        <v>0</v>
      </c>
      <c r="E281" s="482">
        <v>574.75460695071274</v>
      </c>
      <c r="F281" s="482">
        <v>0</v>
      </c>
      <c r="G281" s="482">
        <v>0</v>
      </c>
      <c r="H281" s="482"/>
      <c r="I281" s="482"/>
      <c r="J281" s="482"/>
      <c r="K281" s="482"/>
      <c r="L281" s="482"/>
      <c r="M281" s="482"/>
      <c r="N281" s="482">
        <f t="shared" si="14"/>
        <v>719.47596641475366</v>
      </c>
      <c r="O281" s="481">
        <v>0</v>
      </c>
      <c r="P281" s="475"/>
    </row>
    <row r="282" spans="1:16">
      <c r="A282" s="470">
        <f t="shared" si="16"/>
        <v>2031</v>
      </c>
      <c r="B282" s="470">
        <f t="shared" si="17"/>
        <v>1</v>
      </c>
      <c r="C282" s="482">
        <v>144.89913205617464</v>
      </c>
      <c r="D282" s="482">
        <v>0</v>
      </c>
      <c r="E282" s="482">
        <v>762.70004562530846</v>
      </c>
      <c r="F282" s="482">
        <v>0</v>
      </c>
      <c r="G282" s="482">
        <v>0</v>
      </c>
      <c r="H282" s="482"/>
      <c r="I282" s="482"/>
      <c r="J282" s="482"/>
      <c r="K282" s="482"/>
      <c r="L282" s="482"/>
      <c r="M282" s="482"/>
      <c r="N282" s="482">
        <f t="shared" si="14"/>
        <v>907.59917768148307</v>
      </c>
      <c r="O282" s="481">
        <v>0</v>
      </c>
      <c r="P282" s="475"/>
    </row>
    <row r="283" spans="1:16">
      <c r="A283" s="470">
        <f t="shared" si="16"/>
        <v>2031</v>
      </c>
      <c r="B283" s="470">
        <f t="shared" si="17"/>
        <v>2</v>
      </c>
      <c r="C283" s="482">
        <v>143.31880002893331</v>
      </c>
      <c r="D283" s="482">
        <v>0</v>
      </c>
      <c r="E283" s="482">
        <v>682.15577295931303</v>
      </c>
      <c r="F283" s="482">
        <v>0</v>
      </c>
      <c r="G283" s="482">
        <v>0</v>
      </c>
      <c r="H283" s="482"/>
      <c r="I283" s="482"/>
      <c r="J283" s="482"/>
      <c r="K283" s="482"/>
      <c r="L283" s="482"/>
      <c r="M283" s="482"/>
      <c r="N283" s="482">
        <f t="shared" si="14"/>
        <v>825.47457298824634</v>
      </c>
      <c r="O283" s="481">
        <v>0</v>
      </c>
      <c r="P283" s="475"/>
    </row>
    <row r="284" spans="1:16">
      <c r="A284" s="470">
        <f t="shared" si="16"/>
        <v>2031</v>
      </c>
      <c r="B284" s="470">
        <f t="shared" si="17"/>
        <v>3</v>
      </c>
      <c r="C284" s="482">
        <v>151.67597617997248</v>
      </c>
      <c r="D284" s="482">
        <v>0</v>
      </c>
      <c r="E284" s="482">
        <v>629.11108493878919</v>
      </c>
      <c r="F284" s="482">
        <v>0</v>
      </c>
      <c r="G284" s="482">
        <v>0</v>
      </c>
      <c r="H284" s="482"/>
      <c r="I284" s="482"/>
      <c r="J284" s="482"/>
      <c r="K284" s="482"/>
      <c r="L284" s="482"/>
      <c r="M284" s="482"/>
      <c r="N284" s="482">
        <f t="shared" si="14"/>
        <v>780.7870611187617</v>
      </c>
      <c r="O284" s="481">
        <v>0</v>
      </c>
      <c r="P284" s="475"/>
    </row>
    <row r="285" spans="1:16">
      <c r="A285" s="470">
        <f t="shared" si="16"/>
        <v>2031</v>
      </c>
      <c r="B285" s="470">
        <f t="shared" si="17"/>
        <v>4</v>
      </c>
      <c r="C285" s="482">
        <v>157.65854204522515</v>
      </c>
      <c r="D285" s="482">
        <v>0</v>
      </c>
      <c r="E285" s="482">
        <v>690.5419306077431</v>
      </c>
      <c r="F285" s="482">
        <v>0</v>
      </c>
      <c r="G285" s="482">
        <v>0</v>
      </c>
      <c r="H285" s="482"/>
      <c r="I285" s="482"/>
      <c r="J285" s="482"/>
      <c r="K285" s="482"/>
      <c r="L285" s="482"/>
      <c r="M285" s="482"/>
      <c r="N285" s="482">
        <f t="shared" si="14"/>
        <v>848.2004726529683</v>
      </c>
      <c r="O285" s="481">
        <v>0</v>
      </c>
      <c r="P285" s="475"/>
    </row>
    <row r="286" spans="1:16">
      <c r="A286" s="470">
        <f t="shared" si="16"/>
        <v>2031</v>
      </c>
      <c r="B286" s="470">
        <f t="shared" si="17"/>
        <v>5</v>
      </c>
      <c r="C286" s="482">
        <v>172.61971624179765</v>
      </c>
      <c r="D286" s="482">
        <v>0</v>
      </c>
      <c r="E286" s="482">
        <v>775.27026667766665</v>
      </c>
      <c r="F286" s="482">
        <v>0</v>
      </c>
      <c r="G286" s="482">
        <v>0</v>
      </c>
      <c r="H286" s="482"/>
      <c r="I286" s="482"/>
      <c r="J286" s="482"/>
      <c r="K286" s="482"/>
      <c r="L286" s="482"/>
      <c r="M286" s="482"/>
      <c r="N286" s="482">
        <f t="shared" si="14"/>
        <v>947.88998291946427</v>
      </c>
      <c r="O286" s="481">
        <v>0</v>
      </c>
      <c r="P286" s="475"/>
    </row>
    <row r="287" spans="1:16">
      <c r="A287" s="470">
        <f t="shared" si="16"/>
        <v>2031</v>
      </c>
      <c r="B287" s="470">
        <f t="shared" si="17"/>
        <v>6</v>
      </c>
      <c r="C287" s="482">
        <v>176.55962478108353</v>
      </c>
      <c r="D287" s="482">
        <v>0</v>
      </c>
      <c r="E287" s="482">
        <v>815.73299251878109</v>
      </c>
      <c r="F287" s="482">
        <v>0</v>
      </c>
      <c r="G287" s="482">
        <v>0</v>
      </c>
      <c r="H287" s="482"/>
      <c r="I287" s="482"/>
      <c r="J287" s="482"/>
      <c r="K287" s="482"/>
      <c r="L287" s="482"/>
      <c r="M287" s="482"/>
      <c r="N287" s="482">
        <f t="shared" si="14"/>
        <v>992.29261729986456</v>
      </c>
      <c r="O287" s="481">
        <v>0</v>
      </c>
      <c r="P287" s="475"/>
    </row>
    <row r="288" spans="1:16">
      <c r="A288" s="470">
        <f t="shared" si="16"/>
        <v>2031</v>
      </c>
      <c r="B288" s="470">
        <f t="shared" si="17"/>
        <v>7</v>
      </c>
      <c r="C288" s="482">
        <v>186.56224024097841</v>
      </c>
      <c r="D288" s="482">
        <v>0</v>
      </c>
      <c r="E288" s="482">
        <v>847.57384359117884</v>
      </c>
      <c r="F288" s="482">
        <v>0</v>
      </c>
      <c r="G288" s="482">
        <v>0</v>
      </c>
      <c r="H288" s="482"/>
      <c r="I288" s="482"/>
      <c r="J288" s="482"/>
      <c r="K288" s="482"/>
      <c r="L288" s="482"/>
      <c r="M288" s="482"/>
      <c r="N288" s="482">
        <f t="shared" si="14"/>
        <v>1034.1360838321573</v>
      </c>
      <c r="O288" s="481">
        <v>0</v>
      </c>
      <c r="P288" s="475"/>
    </row>
    <row r="289" spans="1:16" s="479" customFormat="1" ht="12">
      <c r="A289" s="470">
        <f t="shared" si="16"/>
        <v>2031</v>
      </c>
      <c r="B289" s="470">
        <f t="shared" si="17"/>
        <v>8</v>
      </c>
      <c r="C289" s="482">
        <v>184.75621575471419</v>
      </c>
      <c r="D289" s="482">
        <v>0</v>
      </c>
      <c r="E289" s="482">
        <v>861.30806867097124</v>
      </c>
      <c r="F289" s="482">
        <v>0</v>
      </c>
      <c r="G289" s="482">
        <v>0</v>
      </c>
      <c r="H289" s="482"/>
      <c r="I289" s="482"/>
      <c r="J289" s="482"/>
      <c r="K289" s="482"/>
      <c r="L289" s="482"/>
      <c r="M289" s="482"/>
      <c r="N289" s="482">
        <f t="shared" si="14"/>
        <v>1046.0642844256854</v>
      </c>
      <c r="O289" s="481">
        <v>0</v>
      </c>
      <c r="P289" s="475"/>
    </row>
    <row r="290" spans="1:16">
      <c r="A290" s="470">
        <f t="shared" si="16"/>
        <v>2031</v>
      </c>
      <c r="B290" s="470">
        <f t="shared" si="17"/>
        <v>9</v>
      </c>
      <c r="C290" s="482">
        <v>174.37482424071322</v>
      </c>
      <c r="D290" s="482">
        <v>0</v>
      </c>
      <c r="E290" s="482">
        <v>823.32585664233545</v>
      </c>
      <c r="F290" s="482">
        <v>0</v>
      </c>
      <c r="G290" s="482">
        <v>0</v>
      </c>
      <c r="H290" s="482"/>
      <c r="I290" s="482"/>
      <c r="J290" s="482"/>
      <c r="K290" s="482"/>
      <c r="L290" s="482"/>
      <c r="M290" s="482"/>
      <c r="N290" s="482">
        <f t="shared" si="14"/>
        <v>997.70068088304868</v>
      </c>
      <c r="O290" s="481">
        <v>0</v>
      </c>
      <c r="P290" s="475"/>
    </row>
    <row r="291" spans="1:16">
      <c r="A291" s="470">
        <f t="shared" si="16"/>
        <v>2031</v>
      </c>
      <c r="B291" s="470">
        <f t="shared" si="17"/>
        <v>10</v>
      </c>
      <c r="C291" s="482">
        <v>157.53574881967813</v>
      </c>
      <c r="D291" s="482">
        <v>0</v>
      </c>
      <c r="E291" s="482">
        <v>748.1019235414168</v>
      </c>
      <c r="F291" s="482">
        <v>0</v>
      </c>
      <c r="G291" s="482">
        <v>0</v>
      </c>
      <c r="H291" s="482"/>
      <c r="I291" s="482"/>
      <c r="J291" s="482"/>
      <c r="K291" s="482"/>
      <c r="L291" s="482"/>
      <c r="M291" s="482"/>
      <c r="N291" s="482">
        <f t="shared" si="14"/>
        <v>905.63767236109493</v>
      </c>
      <c r="O291" s="481">
        <v>0</v>
      </c>
      <c r="P291" s="475"/>
    </row>
    <row r="292" spans="1:16">
      <c r="A292" s="470">
        <f t="shared" si="16"/>
        <v>2031</v>
      </c>
      <c r="B292" s="470">
        <f t="shared" si="17"/>
        <v>11</v>
      </c>
      <c r="C292" s="482">
        <v>140.74902010958937</v>
      </c>
      <c r="D292" s="482">
        <v>0</v>
      </c>
      <c r="E292" s="482">
        <v>602.84272375026831</v>
      </c>
      <c r="F292" s="482">
        <v>0</v>
      </c>
      <c r="G292" s="482">
        <v>0</v>
      </c>
      <c r="H292" s="482"/>
      <c r="I292" s="482"/>
      <c r="J292" s="482"/>
      <c r="K292" s="482"/>
      <c r="L292" s="482"/>
      <c r="M292" s="482"/>
      <c r="N292" s="482">
        <f t="shared" si="14"/>
        <v>743.59174385985762</v>
      </c>
      <c r="O292" s="481">
        <v>0</v>
      </c>
      <c r="P292" s="475"/>
    </row>
    <row r="293" spans="1:16">
      <c r="A293" s="470">
        <f t="shared" si="16"/>
        <v>2031</v>
      </c>
      <c r="B293" s="470">
        <f t="shared" si="17"/>
        <v>12</v>
      </c>
      <c r="C293" s="482">
        <v>146.08544903712215</v>
      </c>
      <c r="D293" s="482">
        <v>0</v>
      </c>
      <c r="E293" s="482">
        <v>576.36029856351649</v>
      </c>
      <c r="F293" s="482">
        <v>0</v>
      </c>
      <c r="G293" s="482">
        <v>0</v>
      </c>
      <c r="H293" s="482"/>
      <c r="I293" s="482"/>
      <c r="J293" s="482"/>
      <c r="K293" s="482"/>
      <c r="L293" s="482"/>
      <c r="M293" s="482"/>
      <c r="N293" s="482">
        <f t="shared" si="14"/>
        <v>722.4457476006387</v>
      </c>
      <c r="O293" s="481">
        <v>0</v>
      </c>
      <c r="P293" s="475"/>
    </row>
    <row r="294" spans="1:16">
      <c r="A294" s="470">
        <f t="shared" si="16"/>
        <v>2032</v>
      </c>
      <c r="B294" s="470">
        <f t="shared" si="17"/>
        <v>1</v>
      </c>
      <c r="C294" s="482">
        <v>146.26489724742441</v>
      </c>
      <c r="D294" s="482">
        <v>0</v>
      </c>
      <c r="E294" s="482">
        <v>763.46271536585186</v>
      </c>
      <c r="F294" s="482">
        <v>0</v>
      </c>
      <c r="G294" s="482">
        <v>0</v>
      </c>
      <c r="H294" s="482"/>
      <c r="I294" s="482"/>
      <c r="J294" s="482"/>
      <c r="K294" s="482"/>
      <c r="L294" s="482"/>
      <c r="M294" s="482"/>
      <c r="N294" s="482">
        <f t="shared" si="14"/>
        <v>909.72761261327628</v>
      </c>
      <c r="O294" s="481">
        <v>0</v>
      </c>
      <c r="P294" s="475"/>
    </row>
    <row r="295" spans="1:16">
      <c r="A295" s="470">
        <f t="shared" si="16"/>
        <v>2032</v>
      </c>
      <c r="B295" s="470">
        <f t="shared" si="17"/>
        <v>2</v>
      </c>
      <c r="C295" s="482">
        <v>144.6696695997415</v>
      </c>
      <c r="D295" s="482">
        <v>0</v>
      </c>
      <c r="E295" s="482">
        <v>682.83778195534865</v>
      </c>
      <c r="F295" s="482">
        <v>0</v>
      </c>
      <c r="G295" s="482">
        <v>0</v>
      </c>
      <c r="H295" s="482"/>
      <c r="I295" s="482"/>
      <c r="J295" s="482"/>
      <c r="K295" s="482"/>
      <c r="L295" s="482"/>
      <c r="M295" s="482"/>
      <c r="N295" s="482">
        <f t="shared" si="14"/>
        <v>827.50745155509014</v>
      </c>
      <c r="O295" s="481">
        <v>0</v>
      </c>
      <c r="P295" s="475"/>
    </row>
    <row r="296" spans="1:16">
      <c r="A296" s="470">
        <f t="shared" si="16"/>
        <v>2032</v>
      </c>
      <c r="B296" s="470">
        <f t="shared" si="17"/>
        <v>3</v>
      </c>
      <c r="C296" s="482">
        <v>153.10561737709932</v>
      </c>
      <c r="D296" s="482">
        <v>0</v>
      </c>
      <c r="E296" s="482">
        <v>629.80443242108549</v>
      </c>
      <c r="F296" s="482">
        <v>0</v>
      </c>
      <c r="G296" s="482">
        <v>0</v>
      </c>
      <c r="H296" s="482"/>
      <c r="I296" s="482"/>
      <c r="J296" s="482"/>
      <c r="K296" s="482"/>
      <c r="L296" s="482"/>
      <c r="M296" s="482"/>
      <c r="N296" s="482">
        <f t="shared" si="14"/>
        <v>782.91004979818479</v>
      </c>
      <c r="O296" s="481">
        <v>0</v>
      </c>
      <c r="P296" s="475"/>
    </row>
    <row r="297" spans="1:16">
      <c r="A297" s="470">
        <f t="shared" si="16"/>
        <v>2032</v>
      </c>
      <c r="B297" s="470">
        <f t="shared" si="17"/>
        <v>4</v>
      </c>
      <c r="C297" s="482">
        <v>159.14457267752098</v>
      </c>
      <c r="D297" s="482">
        <v>0</v>
      </c>
      <c r="E297" s="482">
        <v>694.90653459922544</v>
      </c>
      <c r="F297" s="482">
        <v>0</v>
      </c>
      <c r="G297" s="482">
        <v>0</v>
      </c>
      <c r="H297" s="482"/>
      <c r="I297" s="482"/>
      <c r="J297" s="482"/>
      <c r="K297" s="482"/>
      <c r="L297" s="482"/>
      <c r="M297" s="482"/>
      <c r="N297" s="482">
        <f t="shared" si="14"/>
        <v>854.05110727674639</v>
      </c>
      <c r="O297" s="481">
        <v>0</v>
      </c>
      <c r="P297" s="475"/>
    </row>
    <row r="298" spans="1:16">
      <c r="A298" s="470">
        <f t="shared" si="16"/>
        <v>2032</v>
      </c>
      <c r="B298" s="470">
        <f t="shared" si="17"/>
        <v>5</v>
      </c>
      <c r="C298" s="482">
        <v>174.24676532360348</v>
      </c>
      <c r="D298" s="482">
        <v>0</v>
      </c>
      <c r="E298" s="482">
        <v>779.28301330233319</v>
      </c>
      <c r="F298" s="482">
        <v>0</v>
      </c>
      <c r="G298" s="482">
        <v>0</v>
      </c>
      <c r="H298" s="482"/>
      <c r="I298" s="482"/>
      <c r="J298" s="482"/>
      <c r="K298" s="482"/>
      <c r="L298" s="482"/>
      <c r="M298" s="482"/>
      <c r="N298" s="482">
        <f t="shared" si="14"/>
        <v>953.52977862593661</v>
      </c>
      <c r="O298" s="481">
        <v>0</v>
      </c>
      <c r="P298" s="475"/>
    </row>
    <row r="299" spans="1:16">
      <c r="A299" s="470">
        <f t="shared" si="16"/>
        <v>2032</v>
      </c>
      <c r="B299" s="470">
        <f t="shared" si="17"/>
        <v>6</v>
      </c>
      <c r="C299" s="482">
        <v>178.22380997173494</v>
      </c>
      <c r="D299" s="482">
        <v>0</v>
      </c>
      <c r="E299" s="482">
        <v>818.60573705443517</v>
      </c>
      <c r="F299" s="482">
        <v>0</v>
      </c>
      <c r="G299" s="482">
        <v>0</v>
      </c>
      <c r="H299" s="482"/>
      <c r="I299" s="482"/>
      <c r="J299" s="482"/>
      <c r="K299" s="482"/>
      <c r="L299" s="482"/>
      <c r="M299" s="482"/>
      <c r="N299" s="482">
        <f t="shared" si="14"/>
        <v>996.82954702617008</v>
      </c>
      <c r="O299" s="481">
        <v>0</v>
      </c>
      <c r="P299" s="475"/>
    </row>
    <row r="300" spans="1:16">
      <c r="A300" s="470">
        <f t="shared" si="16"/>
        <v>2032</v>
      </c>
      <c r="B300" s="470">
        <f t="shared" si="17"/>
        <v>7</v>
      </c>
      <c r="C300" s="482">
        <v>188.32105244505667</v>
      </c>
      <c r="D300" s="482">
        <v>0</v>
      </c>
      <c r="E300" s="482">
        <v>852.39433691938234</v>
      </c>
      <c r="F300" s="482">
        <v>0</v>
      </c>
      <c r="G300" s="482">
        <v>0</v>
      </c>
      <c r="H300" s="482"/>
      <c r="I300" s="482"/>
      <c r="J300" s="482"/>
      <c r="K300" s="482"/>
      <c r="L300" s="482"/>
      <c r="M300" s="482"/>
      <c r="N300" s="482">
        <f t="shared" si="14"/>
        <v>1040.715389364439</v>
      </c>
      <c r="O300" s="481">
        <v>0</v>
      </c>
      <c r="P300" s="475"/>
    </row>
    <row r="301" spans="1:16" s="479" customFormat="1" ht="12">
      <c r="A301" s="470">
        <f t="shared" si="16"/>
        <v>2032</v>
      </c>
      <c r="B301" s="470">
        <f t="shared" si="17"/>
        <v>8</v>
      </c>
      <c r="C301" s="482">
        <v>186.49765895567828</v>
      </c>
      <c r="D301" s="482">
        <v>0</v>
      </c>
      <c r="E301" s="482">
        <v>866.22917554089122</v>
      </c>
      <c r="F301" s="482">
        <v>0</v>
      </c>
      <c r="G301" s="482">
        <v>0</v>
      </c>
      <c r="H301" s="482"/>
      <c r="I301" s="482"/>
      <c r="J301" s="482"/>
      <c r="K301" s="482"/>
      <c r="L301" s="482"/>
      <c r="M301" s="482"/>
      <c r="N301" s="482">
        <f t="shared" si="14"/>
        <v>1052.7268344965696</v>
      </c>
      <c r="O301" s="481">
        <v>0</v>
      </c>
      <c r="P301" s="475"/>
    </row>
    <row r="302" spans="1:16">
      <c r="A302" s="470">
        <f t="shared" si="16"/>
        <v>2032</v>
      </c>
      <c r="B302" s="470">
        <f t="shared" si="17"/>
        <v>9</v>
      </c>
      <c r="C302" s="482">
        <v>176.01841631610219</v>
      </c>
      <c r="D302" s="482">
        <v>0</v>
      </c>
      <c r="E302" s="482">
        <v>828.04126322735988</v>
      </c>
      <c r="F302" s="482">
        <v>0</v>
      </c>
      <c r="G302" s="482">
        <v>0</v>
      </c>
      <c r="H302" s="482"/>
      <c r="I302" s="482"/>
      <c r="J302" s="482"/>
      <c r="K302" s="482"/>
      <c r="L302" s="482"/>
      <c r="M302" s="482"/>
      <c r="N302" s="482">
        <f t="shared" si="14"/>
        <v>1004.059679543462</v>
      </c>
      <c r="O302" s="481">
        <v>0</v>
      </c>
      <c r="P302" s="475"/>
    </row>
    <row r="303" spans="1:16">
      <c r="A303" s="470">
        <f t="shared" si="16"/>
        <v>2032</v>
      </c>
      <c r="B303" s="470">
        <f t="shared" si="17"/>
        <v>10</v>
      </c>
      <c r="C303" s="482">
        <v>159.02062204881506</v>
      </c>
      <c r="D303" s="482">
        <v>0</v>
      </c>
      <c r="E303" s="482">
        <v>750.65735297061781</v>
      </c>
      <c r="F303" s="482">
        <v>0</v>
      </c>
      <c r="G303" s="482">
        <v>0</v>
      </c>
      <c r="H303" s="482"/>
      <c r="I303" s="482"/>
      <c r="J303" s="482"/>
      <c r="K303" s="482"/>
      <c r="L303" s="482"/>
      <c r="M303" s="482"/>
      <c r="N303" s="482">
        <f t="shared" si="14"/>
        <v>909.67797501943289</v>
      </c>
      <c r="O303" s="481">
        <v>0</v>
      </c>
      <c r="P303" s="475"/>
    </row>
    <row r="304" spans="1:16">
      <c r="A304" s="470">
        <f t="shared" si="16"/>
        <v>2032</v>
      </c>
      <c r="B304" s="470">
        <f t="shared" si="17"/>
        <v>11</v>
      </c>
      <c r="C304" s="482">
        <v>142.07566789305341</v>
      </c>
      <c r="D304" s="482">
        <v>0</v>
      </c>
      <c r="E304" s="482">
        <v>604.08170817602729</v>
      </c>
      <c r="F304" s="482">
        <v>0</v>
      </c>
      <c r="G304" s="482">
        <v>0</v>
      </c>
      <c r="H304" s="482"/>
      <c r="I304" s="482"/>
      <c r="J304" s="482"/>
      <c r="K304" s="482"/>
      <c r="L304" s="482"/>
      <c r="M304" s="482"/>
      <c r="N304" s="482">
        <f t="shared" si="14"/>
        <v>746.15737606908067</v>
      </c>
      <c r="O304" s="481">
        <v>0</v>
      </c>
      <c r="P304" s="475"/>
    </row>
    <row r="305" spans="1:16">
      <c r="A305" s="470">
        <f t="shared" si="16"/>
        <v>2032</v>
      </c>
      <c r="B305" s="470">
        <f t="shared" si="17"/>
        <v>12</v>
      </c>
      <c r="C305" s="482">
        <v>147.46239600990077</v>
      </c>
      <c r="D305" s="482">
        <v>0</v>
      </c>
      <c r="E305" s="482">
        <v>577.97047599604969</v>
      </c>
      <c r="F305" s="482">
        <v>0</v>
      </c>
      <c r="G305" s="482">
        <v>0</v>
      </c>
      <c r="H305" s="482"/>
      <c r="I305" s="482"/>
      <c r="J305" s="482"/>
      <c r="K305" s="482"/>
      <c r="L305" s="482"/>
      <c r="M305" s="482"/>
      <c r="N305" s="482">
        <f t="shared" si="14"/>
        <v>725.43287200595046</v>
      </c>
      <c r="O305" s="481">
        <v>0</v>
      </c>
      <c r="P305" s="475"/>
    </row>
    <row r="306" spans="1:16">
      <c r="A306" s="470">
        <f t="shared" si="16"/>
        <v>2033</v>
      </c>
      <c r="B306" s="470">
        <f t="shared" si="17"/>
        <v>1</v>
      </c>
      <c r="C306" s="482">
        <v>147.64353563212373</v>
      </c>
      <c r="D306" s="482">
        <v>0</v>
      </c>
      <c r="E306" s="482">
        <v>764.2261477458319</v>
      </c>
      <c r="F306" s="482">
        <v>0</v>
      </c>
      <c r="G306" s="482">
        <v>0</v>
      </c>
      <c r="H306" s="482"/>
      <c r="I306" s="482"/>
      <c r="J306" s="482"/>
      <c r="K306" s="482"/>
      <c r="L306" s="482"/>
      <c r="M306" s="482"/>
      <c r="N306" s="482">
        <f t="shared" si="14"/>
        <v>911.86968337795565</v>
      </c>
      <c r="O306" s="481">
        <v>0</v>
      </c>
      <c r="P306" s="475"/>
    </row>
    <row r="307" spans="1:16">
      <c r="A307" s="470">
        <f t="shared" si="16"/>
        <v>2033</v>
      </c>
      <c r="B307" s="470">
        <f t="shared" si="17"/>
        <v>2</v>
      </c>
      <c r="C307" s="482">
        <v>146.03327196343497</v>
      </c>
      <c r="D307" s="482">
        <v>0</v>
      </c>
      <c r="E307" s="482">
        <v>683.52047281363491</v>
      </c>
      <c r="F307" s="482">
        <v>0</v>
      </c>
      <c r="G307" s="482">
        <v>0</v>
      </c>
      <c r="H307" s="482"/>
      <c r="I307" s="482"/>
      <c r="J307" s="482"/>
      <c r="K307" s="482"/>
      <c r="L307" s="482"/>
      <c r="M307" s="482"/>
      <c r="N307" s="482">
        <f t="shared" si="14"/>
        <v>829.55374477706982</v>
      </c>
      <c r="O307" s="481">
        <v>0</v>
      </c>
      <c r="P307" s="475"/>
    </row>
    <row r="308" spans="1:16">
      <c r="A308" s="470">
        <f t="shared" si="16"/>
        <v>2033</v>
      </c>
      <c r="B308" s="470">
        <f t="shared" si="17"/>
        <v>3</v>
      </c>
      <c r="C308" s="482">
        <v>154.54873383909009</v>
      </c>
      <c r="D308" s="482">
        <v>0</v>
      </c>
      <c r="E308" s="482">
        <v>630.49854404622192</v>
      </c>
      <c r="F308" s="482">
        <v>0</v>
      </c>
      <c r="G308" s="482">
        <v>0</v>
      </c>
      <c r="H308" s="482"/>
      <c r="I308" s="482"/>
      <c r="J308" s="482"/>
      <c r="K308" s="482"/>
      <c r="L308" s="482"/>
      <c r="M308" s="482"/>
      <c r="N308" s="482">
        <f t="shared" si="14"/>
        <v>785.04727788531204</v>
      </c>
      <c r="O308" s="481">
        <v>0</v>
      </c>
      <c r="P308" s="475"/>
    </row>
    <row r="309" spans="1:16">
      <c r="A309" s="470">
        <f t="shared" si="16"/>
        <v>2033</v>
      </c>
      <c r="B309" s="470">
        <f t="shared" si="17"/>
        <v>4</v>
      </c>
      <c r="C309" s="482">
        <v>160.64461008047115</v>
      </c>
      <c r="D309" s="482">
        <v>0</v>
      </c>
      <c r="E309" s="482">
        <v>699.29872528335909</v>
      </c>
      <c r="F309" s="482">
        <v>0</v>
      </c>
      <c r="G309" s="482">
        <v>0</v>
      </c>
      <c r="H309" s="482"/>
      <c r="I309" s="482"/>
      <c r="J309" s="482"/>
      <c r="K309" s="482"/>
      <c r="L309" s="482"/>
      <c r="M309" s="482"/>
      <c r="N309" s="482">
        <f t="shared" si="14"/>
        <v>859.94333536383022</v>
      </c>
      <c r="O309" s="481">
        <v>0</v>
      </c>
      <c r="P309" s="475"/>
    </row>
    <row r="310" spans="1:16">
      <c r="A310" s="470">
        <f t="shared" si="16"/>
        <v>2033</v>
      </c>
      <c r="B310" s="470">
        <f t="shared" si="17"/>
        <v>5</v>
      </c>
      <c r="C310" s="482">
        <v>175.88915036338815</v>
      </c>
      <c r="D310" s="482">
        <v>0</v>
      </c>
      <c r="E310" s="482">
        <v>783.31652963295369</v>
      </c>
      <c r="F310" s="482">
        <v>0</v>
      </c>
      <c r="G310" s="482">
        <v>0</v>
      </c>
      <c r="H310" s="482"/>
      <c r="I310" s="482"/>
      <c r="J310" s="482"/>
      <c r="K310" s="482"/>
      <c r="L310" s="482"/>
      <c r="M310" s="482"/>
      <c r="N310" s="482">
        <f t="shared" si="14"/>
        <v>959.20567999634181</v>
      </c>
      <c r="O310" s="481">
        <v>0</v>
      </c>
      <c r="P310" s="475"/>
    </row>
    <row r="311" spans="1:16">
      <c r="A311" s="470">
        <f t="shared" si="16"/>
        <v>2033</v>
      </c>
      <c r="B311" s="470">
        <f t="shared" si="17"/>
        <v>6</v>
      </c>
      <c r="C311" s="482">
        <v>179.9036811514805</v>
      </c>
      <c r="D311" s="482">
        <v>0</v>
      </c>
      <c r="E311" s="482">
        <v>821.48859845583195</v>
      </c>
      <c r="F311" s="482">
        <v>0</v>
      </c>
      <c r="G311" s="482">
        <v>0</v>
      </c>
      <c r="H311" s="482"/>
      <c r="I311" s="482"/>
      <c r="J311" s="482"/>
      <c r="K311" s="482"/>
      <c r="L311" s="482"/>
      <c r="M311" s="482"/>
      <c r="N311" s="482">
        <f t="shared" si="14"/>
        <v>1001.3922796073125</v>
      </c>
      <c r="O311" s="481">
        <v>0</v>
      </c>
      <c r="P311" s="475"/>
    </row>
    <row r="312" spans="1:16">
      <c r="A312" s="470">
        <f t="shared" si="16"/>
        <v>2033</v>
      </c>
      <c r="B312" s="470">
        <f t="shared" si="17"/>
        <v>7</v>
      </c>
      <c r="C312" s="482">
        <v>190.09644581992927</v>
      </c>
      <c r="D312" s="482">
        <v>0</v>
      </c>
      <c r="E312" s="482">
        <v>857.24224633186327</v>
      </c>
      <c r="F312" s="482">
        <v>0</v>
      </c>
      <c r="G312" s="482">
        <v>0</v>
      </c>
      <c r="H312" s="482"/>
      <c r="I312" s="482"/>
      <c r="J312" s="482"/>
      <c r="K312" s="482"/>
      <c r="L312" s="482"/>
      <c r="M312" s="482"/>
      <c r="N312" s="482">
        <f t="shared" si="14"/>
        <v>1047.3386921517927</v>
      </c>
      <c r="O312" s="481">
        <v>0</v>
      </c>
      <c r="P312" s="475"/>
    </row>
    <row r="313" spans="1:16" s="479" customFormat="1" ht="12">
      <c r="A313" s="470">
        <f t="shared" si="16"/>
        <v>2033</v>
      </c>
      <c r="B313" s="470">
        <f t="shared" si="17"/>
        <v>8</v>
      </c>
      <c r="C313" s="482">
        <v>188.25551635093507</v>
      </c>
      <c r="D313" s="482">
        <v>0</v>
      </c>
      <c r="E313" s="482">
        <v>871.17839928757815</v>
      </c>
      <c r="F313" s="482">
        <v>0</v>
      </c>
      <c r="G313" s="482">
        <v>0</v>
      </c>
      <c r="H313" s="482"/>
      <c r="I313" s="482"/>
      <c r="J313" s="482"/>
      <c r="K313" s="482"/>
      <c r="L313" s="482"/>
      <c r="M313" s="482"/>
      <c r="N313" s="482">
        <f t="shared" si="14"/>
        <v>1059.4339156385131</v>
      </c>
      <c r="O313" s="481">
        <v>0</v>
      </c>
      <c r="P313" s="475"/>
    </row>
    <row r="314" spans="1:16">
      <c r="A314" s="470">
        <f t="shared" si="16"/>
        <v>2033</v>
      </c>
      <c r="B314" s="470">
        <f t="shared" si="17"/>
        <v>9</v>
      </c>
      <c r="C314" s="482">
        <v>177.67750027755926</v>
      </c>
      <c r="D314" s="482">
        <v>0</v>
      </c>
      <c r="E314" s="482">
        <v>832.78367620248207</v>
      </c>
      <c r="F314" s="482">
        <v>0</v>
      </c>
      <c r="G314" s="482">
        <v>0</v>
      </c>
      <c r="H314" s="482"/>
      <c r="I314" s="482"/>
      <c r="J314" s="482"/>
      <c r="K314" s="482"/>
      <c r="L314" s="482"/>
      <c r="M314" s="482"/>
      <c r="N314" s="482">
        <f t="shared" si="14"/>
        <v>1010.4611764800413</v>
      </c>
      <c r="O314" s="481">
        <v>0</v>
      </c>
      <c r="P314" s="475"/>
    </row>
    <row r="315" spans="1:16">
      <c r="A315" s="470">
        <f t="shared" si="16"/>
        <v>2033</v>
      </c>
      <c r="B315" s="470">
        <f t="shared" si="17"/>
        <v>10</v>
      </c>
      <c r="C315" s="482">
        <v>160.51949113935569</v>
      </c>
      <c r="D315" s="482">
        <v>0</v>
      </c>
      <c r="E315" s="482">
        <v>753.22151145044961</v>
      </c>
      <c r="F315" s="482">
        <v>0</v>
      </c>
      <c r="G315" s="482">
        <v>0</v>
      </c>
      <c r="H315" s="482"/>
      <c r="I315" s="482"/>
      <c r="J315" s="482"/>
      <c r="K315" s="482"/>
      <c r="L315" s="482"/>
      <c r="M315" s="482"/>
      <c r="N315" s="482">
        <f t="shared" si="14"/>
        <v>913.74100258980525</v>
      </c>
      <c r="O315" s="481">
        <v>0</v>
      </c>
      <c r="P315" s="475"/>
    </row>
    <row r="316" spans="1:16">
      <c r="A316" s="470">
        <f t="shared" si="16"/>
        <v>2033</v>
      </c>
      <c r="B316" s="470">
        <f t="shared" si="17"/>
        <v>11</v>
      </c>
      <c r="C316" s="482">
        <v>143.41482016386664</v>
      </c>
      <c r="D316" s="482">
        <v>0</v>
      </c>
      <c r="E316" s="482">
        <v>605.32323900791641</v>
      </c>
      <c r="F316" s="482">
        <v>0</v>
      </c>
      <c r="G316" s="482">
        <v>0</v>
      </c>
      <c r="H316" s="482"/>
      <c r="I316" s="482"/>
      <c r="J316" s="482"/>
      <c r="K316" s="482"/>
      <c r="L316" s="482"/>
      <c r="M316" s="482"/>
      <c r="N316" s="482">
        <f t="shared" si="14"/>
        <v>748.73805917178311</v>
      </c>
      <c r="O316" s="481">
        <v>0</v>
      </c>
      <c r="P316" s="475"/>
    </row>
    <row r="317" spans="1:16">
      <c r="A317" s="470">
        <f t="shared" si="16"/>
        <v>2033</v>
      </c>
      <c r="B317" s="470">
        <f t="shared" si="17"/>
        <v>12</v>
      </c>
      <c r="C317" s="482">
        <v>148.85232157143236</v>
      </c>
      <c r="D317" s="482">
        <v>0</v>
      </c>
      <c r="E317" s="482">
        <v>579.58515178034418</v>
      </c>
      <c r="F317" s="482">
        <v>0</v>
      </c>
      <c r="G317" s="482">
        <v>0</v>
      </c>
      <c r="H317" s="482"/>
      <c r="I317" s="482"/>
      <c r="J317" s="482"/>
      <c r="K317" s="482"/>
      <c r="L317" s="482"/>
      <c r="M317" s="482"/>
      <c r="N317" s="482">
        <f t="shared" si="14"/>
        <v>728.43747335177659</v>
      </c>
      <c r="O317" s="481">
        <v>0</v>
      </c>
      <c r="P317" s="475"/>
    </row>
    <row r="318" spans="1:16">
      <c r="A318" s="470">
        <f t="shared" si="16"/>
        <v>2034</v>
      </c>
      <c r="B318" s="470">
        <f t="shared" si="17"/>
        <v>1</v>
      </c>
      <c r="C318" s="482">
        <v>149.03516854819409</v>
      </c>
      <c r="D318" s="482">
        <v>0</v>
      </c>
      <c r="E318" s="482">
        <v>764.9903435278577</v>
      </c>
      <c r="F318" s="482">
        <v>0</v>
      </c>
      <c r="G318" s="482">
        <v>0</v>
      </c>
      <c r="H318" s="482"/>
      <c r="I318" s="482"/>
      <c r="J318" s="482"/>
      <c r="K318" s="482"/>
      <c r="L318" s="482"/>
      <c r="M318" s="482"/>
      <c r="N318" s="482">
        <f t="shared" si="14"/>
        <v>914.02551207605177</v>
      </c>
      <c r="O318" s="481">
        <v>0</v>
      </c>
      <c r="P318" s="475"/>
    </row>
    <row r="319" spans="1:16">
      <c r="A319" s="470">
        <f t="shared" si="16"/>
        <v>2034</v>
      </c>
      <c r="B319" s="470">
        <f t="shared" si="17"/>
        <v>2</v>
      </c>
      <c r="C319" s="482">
        <v>147.40972713457188</v>
      </c>
      <c r="D319" s="482">
        <v>0</v>
      </c>
      <c r="E319" s="482">
        <v>684.20384621588744</v>
      </c>
      <c r="F319" s="482">
        <v>0</v>
      </c>
      <c r="G319" s="482">
        <v>0</v>
      </c>
      <c r="H319" s="482"/>
      <c r="I319" s="482"/>
      <c r="J319" s="482"/>
      <c r="K319" s="482"/>
      <c r="L319" s="482"/>
      <c r="M319" s="482"/>
      <c r="N319" s="482">
        <f t="shared" si="14"/>
        <v>831.61357335045932</v>
      </c>
      <c r="O319" s="481">
        <v>0</v>
      </c>
      <c r="P319" s="475"/>
    </row>
    <row r="320" spans="1:16">
      <c r="A320" s="470">
        <f t="shared" si="16"/>
        <v>2034</v>
      </c>
      <c r="B320" s="470">
        <f t="shared" si="17"/>
        <v>3</v>
      </c>
      <c r="C320" s="482">
        <v>156.00545257876698</v>
      </c>
      <c r="D320" s="482">
        <v>0</v>
      </c>
      <c r="E320" s="482">
        <v>631.19342065636533</v>
      </c>
      <c r="F320" s="482">
        <v>0</v>
      </c>
      <c r="G320" s="482">
        <v>0</v>
      </c>
      <c r="H320" s="482"/>
      <c r="I320" s="482"/>
      <c r="J320" s="482"/>
      <c r="K320" s="482"/>
      <c r="L320" s="482"/>
      <c r="M320" s="482"/>
      <c r="N320" s="482">
        <f t="shared" si="14"/>
        <v>787.19887323513228</v>
      </c>
      <c r="O320" s="481">
        <v>0</v>
      </c>
      <c r="P320" s="475"/>
    </row>
    <row r="321" spans="1:16">
      <c r="A321" s="470">
        <f t="shared" si="16"/>
        <v>2034</v>
      </c>
      <c r="B321" s="470">
        <f t="shared" si="17"/>
        <v>4</v>
      </c>
      <c r="C321" s="482">
        <v>162.15878627667323</v>
      </c>
      <c r="D321" s="482">
        <v>0</v>
      </c>
      <c r="E321" s="482">
        <v>703.71867702318184</v>
      </c>
      <c r="F321" s="482">
        <v>0</v>
      </c>
      <c r="G321" s="482">
        <v>0</v>
      </c>
      <c r="H321" s="482"/>
      <c r="I321" s="482"/>
      <c r="J321" s="482"/>
      <c r="K321" s="482"/>
      <c r="L321" s="482"/>
      <c r="M321" s="482"/>
      <c r="N321" s="482">
        <f t="shared" si="14"/>
        <v>865.87746329985509</v>
      </c>
      <c r="O321" s="481">
        <v>0</v>
      </c>
      <c r="P321" s="475"/>
    </row>
    <row r="322" spans="1:16">
      <c r="A322" s="470">
        <f t="shared" si="16"/>
        <v>2034</v>
      </c>
      <c r="B322" s="470">
        <f t="shared" si="17"/>
        <v>5</v>
      </c>
      <c r="C322" s="482">
        <v>177.54701591217338</v>
      </c>
      <c r="D322" s="482">
        <v>0</v>
      </c>
      <c r="E322" s="482">
        <v>787.3709231721258</v>
      </c>
      <c r="F322" s="482">
        <v>0</v>
      </c>
      <c r="G322" s="482">
        <v>0</v>
      </c>
      <c r="H322" s="482"/>
      <c r="I322" s="482"/>
      <c r="J322" s="482"/>
      <c r="K322" s="482"/>
      <c r="L322" s="482"/>
      <c r="M322" s="482"/>
      <c r="N322" s="482">
        <f t="shared" si="14"/>
        <v>964.91793908429918</v>
      </c>
      <c r="O322" s="481">
        <v>0</v>
      </c>
      <c r="P322" s="475"/>
    </row>
    <row r="323" spans="1:16">
      <c r="A323" s="470">
        <f t="shared" si="16"/>
        <v>2034</v>
      </c>
      <c r="B323" s="470">
        <f t="shared" si="17"/>
        <v>6</v>
      </c>
      <c r="C323" s="482">
        <v>181.59938617060467</v>
      </c>
      <c r="D323" s="482">
        <v>0</v>
      </c>
      <c r="E323" s="482">
        <v>824.38161235126029</v>
      </c>
      <c r="F323" s="482">
        <v>0</v>
      </c>
      <c r="G323" s="482">
        <v>0</v>
      </c>
      <c r="H323" s="482"/>
      <c r="I323" s="482"/>
      <c r="J323" s="482"/>
      <c r="K323" s="482"/>
      <c r="L323" s="482"/>
      <c r="M323" s="482"/>
      <c r="N323" s="482">
        <f t="shared" si="14"/>
        <v>1005.980998521865</v>
      </c>
      <c r="O323" s="481">
        <v>0</v>
      </c>
      <c r="P323" s="475"/>
    </row>
    <row r="324" spans="1:16">
      <c r="A324" s="470">
        <f t="shared" si="16"/>
        <v>2034</v>
      </c>
      <c r="B324" s="470">
        <f t="shared" si="17"/>
        <v>7</v>
      </c>
      <c r="C324" s="482">
        <v>191.88857668428921</v>
      </c>
      <c r="D324" s="482">
        <v>0</v>
      </c>
      <c r="E324" s="482">
        <v>862.1177277549192</v>
      </c>
      <c r="F324" s="482">
        <v>0</v>
      </c>
      <c r="G324" s="482">
        <v>0</v>
      </c>
      <c r="H324" s="482"/>
      <c r="I324" s="482"/>
      <c r="J324" s="482"/>
      <c r="K324" s="482"/>
      <c r="L324" s="482"/>
      <c r="M324" s="482"/>
      <c r="N324" s="482">
        <f t="shared" si="14"/>
        <v>1054.0063044392084</v>
      </c>
      <c r="O324" s="481">
        <v>0</v>
      </c>
      <c r="P324" s="475"/>
    </row>
    <row r="325" spans="1:16" s="479" customFormat="1" ht="12">
      <c r="A325" s="470">
        <f t="shared" si="16"/>
        <v>2034</v>
      </c>
      <c r="B325" s="470">
        <f t="shared" si="17"/>
        <v>8</v>
      </c>
      <c r="C325" s="482">
        <v>190.02994265455973</v>
      </c>
      <c r="D325" s="482">
        <v>0</v>
      </c>
      <c r="E325" s="482">
        <v>876.15590055756536</v>
      </c>
      <c r="F325" s="482">
        <v>0</v>
      </c>
      <c r="G325" s="482">
        <v>0</v>
      </c>
      <c r="H325" s="482"/>
      <c r="I325" s="482"/>
      <c r="J325" s="482"/>
      <c r="K325" s="482"/>
      <c r="L325" s="482"/>
      <c r="M325" s="482"/>
      <c r="N325" s="482">
        <f t="shared" si="14"/>
        <v>1066.1858432121251</v>
      </c>
      <c r="O325" s="481">
        <v>0</v>
      </c>
      <c r="P325" s="475"/>
    </row>
    <row r="326" spans="1:16">
      <c r="A326" s="470">
        <f t="shared" si="16"/>
        <v>2034</v>
      </c>
      <c r="B326" s="470">
        <f t="shared" si="17"/>
        <v>9</v>
      </c>
      <c r="C326" s="482">
        <v>179.35222214582618</v>
      </c>
      <c r="D326" s="482">
        <v>0</v>
      </c>
      <c r="E326" s="482">
        <v>837.553250240495</v>
      </c>
      <c r="F326" s="482">
        <v>0</v>
      </c>
      <c r="G326" s="482">
        <v>0</v>
      </c>
      <c r="H326" s="482"/>
      <c r="I326" s="482"/>
      <c r="J326" s="482"/>
      <c r="K326" s="482"/>
      <c r="L326" s="482"/>
      <c r="M326" s="482"/>
      <c r="N326" s="482">
        <f t="shared" si="14"/>
        <v>1016.9054723863212</v>
      </c>
      <c r="O326" s="481">
        <v>0</v>
      </c>
      <c r="P326" s="475"/>
    </row>
    <row r="327" spans="1:16">
      <c r="A327" s="470">
        <f t="shared" si="16"/>
        <v>2034</v>
      </c>
      <c r="B327" s="470">
        <f t="shared" si="17"/>
        <v>10</v>
      </c>
      <c r="C327" s="482">
        <v>162.03248801107108</v>
      </c>
      <c r="D327" s="482">
        <v>0</v>
      </c>
      <c r="E327" s="482">
        <v>755.79442879833709</v>
      </c>
      <c r="F327" s="482">
        <v>0</v>
      </c>
      <c r="G327" s="482">
        <v>0</v>
      </c>
      <c r="H327" s="482"/>
      <c r="I327" s="482"/>
      <c r="J327" s="482"/>
      <c r="K327" s="482"/>
      <c r="L327" s="482"/>
      <c r="M327" s="482"/>
      <c r="N327" s="482">
        <f t="shared" ref="N327:N390" si="18">SUM(C327:M327)</f>
        <v>917.8269168094082</v>
      </c>
      <c r="O327" s="481">
        <v>0</v>
      </c>
      <c r="P327" s="475"/>
    </row>
    <row r="328" spans="1:16">
      <c r="A328" s="470">
        <f t="shared" si="16"/>
        <v>2034</v>
      </c>
      <c r="B328" s="470">
        <f t="shared" si="17"/>
        <v>11</v>
      </c>
      <c r="C328" s="482">
        <v>144.76659478466433</v>
      </c>
      <c r="D328" s="482">
        <v>0</v>
      </c>
      <c r="E328" s="482">
        <v>606.56732147940272</v>
      </c>
      <c r="F328" s="482">
        <v>0</v>
      </c>
      <c r="G328" s="482">
        <v>0</v>
      </c>
      <c r="H328" s="482"/>
      <c r="I328" s="482"/>
      <c r="J328" s="482"/>
      <c r="K328" s="482"/>
      <c r="L328" s="482"/>
      <c r="M328" s="482"/>
      <c r="N328" s="482">
        <f t="shared" si="18"/>
        <v>751.33391626406706</v>
      </c>
      <c r="O328" s="481">
        <v>0</v>
      </c>
      <c r="P328" s="475"/>
    </row>
    <row r="329" spans="1:16">
      <c r="A329" s="470">
        <f t="shared" si="16"/>
        <v>2034</v>
      </c>
      <c r="B329" s="470">
        <f t="shared" si="17"/>
        <v>12</v>
      </c>
      <c r="C329" s="482">
        <v>150.25534805305526</v>
      </c>
      <c r="D329" s="482">
        <v>0</v>
      </c>
      <c r="E329" s="482">
        <v>581.20433848344283</v>
      </c>
      <c r="F329" s="482">
        <v>0</v>
      </c>
      <c r="G329" s="482">
        <v>0</v>
      </c>
      <c r="H329" s="482"/>
      <c r="I329" s="482"/>
      <c r="J329" s="482"/>
      <c r="K329" s="482"/>
      <c r="L329" s="482"/>
      <c r="M329" s="482"/>
      <c r="N329" s="482">
        <f t="shared" si="18"/>
        <v>731.45968653649811</v>
      </c>
      <c r="O329" s="481">
        <v>0</v>
      </c>
      <c r="P329" s="475"/>
    </row>
    <row r="330" spans="1:16">
      <c r="A330" s="470">
        <f t="shared" si="16"/>
        <v>2035</v>
      </c>
      <c r="B330" s="470">
        <f t="shared" si="17"/>
        <v>1</v>
      </c>
      <c r="C330" s="482">
        <v>150.43991847724305</v>
      </c>
      <c r="D330" s="482">
        <v>0</v>
      </c>
      <c r="E330" s="482">
        <v>765.75530347530105</v>
      </c>
      <c r="F330" s="482">
        <v>0</v>
      </c>
      <c r="G330" s="482">
        <v>0</v>
      </c>
      <c r="H330" s="482"/>
      <c r="I330" s="482"/>
      <c r="J330" s="482"/>
      <c r="K330" s="482"/>
      <c r="L330" s="482"/>
      <c r="M330" s="482"/>
      <c r="N330" s="482">
        <f t="shared" si="18"/>
        <v>916.1952219525441</v>
      </c>
      <c r="O330" s="481">
        <v>0</v>
      </c>
      <c r="P330" s="475"/>
    </row>
    <row r="331" spans="1:16">
      <c r="A331" s="470">
        <f t="shared" si="16"/>
        <v>2035</v>
      </c>
      <c r="B331" s="470">
        <f t="shared" si="17"/>
        <v>2</v>
      </c>
      <c r="C331" s="482">
        <v>148.79915625892284</v>
      </c>
      <c r="D331" s="482">
        <v>0</v>
      </c>
      <c r="E331" s="482">
        <v>684.88790284450329</v>
      </c>
      <c r="F331" s="482">
        <v>0</v>
      </c>
      <c r="G331" s="482">
        <v>0</v>
      </c>
      <c r="H331" s="482"/>
      <c r="I331" s="482"/>
      <c r="J331" s="482"/>
      <c r="K331" s="482"/>
      <c r="L331" s="482"/>
      <c r="M331" s="482"/>
      <c r="N331" s="482">
        <f t="shared" si="18"/>
        <v>833.68705910342612</v>
      </c>
      <c r="O331" s="481">
        <v>0</v>
      </c>
      <c r="P331" s="475"/>
    </row>
    <row r="332" spans="1:16">
      <c r="A332" s="470">
        <f t="shared" si="16"/>
        <v>2035</v>
      </c>
      <c r="B332" s="470">
        <f t="shared" si="17"/>
        <v>3</v>
      </c>
      <c r="C332" s="482">
        <v>157.47590180612767</v>
      </c>
      <c r="D332" s="482">
        <v>0</v>
      </c>
      <c r="E332" s="482">
        <v>631.88906309461083</v>
      </c>
      <c r="F332" s="482">
        <v>0</v>
      </c>
      <c r="G332" s="482">
        <v>0</v>
      </c>
      <c r="H332" s="482"/>
      <c r="I332" s="482"/>
      <c r="J332" s="482"/>
      <c r="K332" s="482"/>
      <c r="L332" s="482"/>
      <c r="M332" s="482"/>
      <c r="N332" s="482">
        <f t="shared" si="18"/>
        <v>789.36496490073853</v>
      </c>
      <c r="O332" s="481">
        <v>0</v>
      </c>
      <c r="P332" s="475"/>
    </row>
    <row r="333" spans="1:16">
      <c r="A333" s="470">
        <f t="shared" si="16"/>
        <v>2035</v>
      </c>
      <c r="B333" s="470">
        <f t="shared" si="17"/>
        <v>4</v>
      </c>
      <c r="C333" s="482">
        <v>163.68723453312055</v>
      </c>
      <c r="D333" s="482">
        <v>0</v>
      </c>
      <c r="E333" s="482">
        <v>708.1665652838019</v>
      </c>
      <c r="F333" s="482">
        <v>0</v>
      </c>
      <c r="G333" s="482">
        <v>0</v>
      </c>
      <c r="H333" s="482"/>
      <c r="I333" s="482"/>
      <c r="J333" s="482"/>
      <c r="K333" s="482"/>
      <c r="L333" s="482"/>
      <c r="M333" s="482"/>
      <c r="N333" s="482">
        <f t="shared" si="18"/>
        <v>871.85379981692245</v>
      </c>
      <c r="O333" s="481">
        <v>0</v>
      </c>
      <c r="P333" s="475"/>
    </row>
    <row r="334" spans="1:16">
      <c r="A334" s="470">
        <f t="shared" si="16"/>
        <v>2035</v>
      </c>
      <c r="B334" s="470">
        <f t="shared" si="17"/>
        <v>5</v>
      </c>
      <c r="C334" s="482">
        <v>179.22050788346488</v>
      </c>
      <c r="D334" s="482">
        <v>0</v>
      </c>
      <c r="E334" s="482">
        <v>791.44630197887318</v>
      </c>
      <c r="F334" s="482">
        <v>0</v>
      </c>
      <c r="G334" s="482">
        <v>0</v>
      </c>
      <c r="H334" s="482"/>
      <c r="I334" s="482"/>
      <c r="J334" s="482"/>
      <c r="K334" s="482"/>
      <c r="L334" s="482"/>
      <c r="M334" s="482"/>
      <c r="N334" s="482">
        <f t="shared" si="18"/>
        <v>970.66680986233803</v>
      </c>
      <c r="O334" s="481">
        <v>0</v>
      </c>
      <c r="P334" s="475"/>
    </row>
    <row r="335" spans="1:16">
      <c r="A335" s="470">
        <f t="shared" ref="A335:A375" si="19">A323+1</f>
        <v>2035</v>
      </c>
      <c r="B335" s="470">
        <f t="shared" ref="B335:B375" si="20">B323</f>
        <v>6</v>
      </c>
      <c r="C335" s="482">
        <v>183.3110742729736</v>
      </c>
      <c r="D335" s="482">
        <v>0</v>
      </c>
      <c r="E335" s="482">
        <v>827.28481449448032</v>
      </c>
      <c r="F335" s="482">
        <v>0</v>
      </c>
      <c r="G335" s="482">
        <v>0</v>
      </c>
      <c r="H335" s="482"/>
      <c r="I335" s="482"/>
      <c r="J335" s="482"/>
      <c r="K335" s="482"/>
      <c r="L335" s="482"/>
      <c r="M335" s="482"/>
      <c r="N335" s="482">
        <f t="shared" si="18"/>
        <v>1010.595888767454</v>
      </c>
      <c r="O335" s="481">
        <v>0</v>
      </c>
      <c r="P335" s="475"/>
    </row>
    <row r="336" spans="1:16">
      <c r="A336" s="470">
        <f t="shared" si="19"/>
        <v>2035</v>
      </c>
      <c r="B336" s="470">
        <f t="shared" si="20"/>
        <v>7</v>
      </c>
      <c r="C336" s="482">
        <v>193.69760283052111</v>
      </c>
      <c r="D336" s="482">
        <v>0</v>
      </c>
      <c r="E336" s="482">
        <v>867.02093800166324</v>
      </c>
      <c r="F336" s="482">
        <v>0</v>
      </c>
      <c r="G336" s="482">
        <v>0</v>
      </c>
      <c r="H336" s="482"/>
      <c r="I336" s="482"/>
      <c r="J336" s="482"/>
      <c r="K336" s="482"/>
      <c r="L336" s="482"/>
      <c r="M336" s="482"/>
      <c r="N336" s="482">
        <f t="shared" si="18"/>
        <v>1060.7185408321843</v>
      </c>
      <c r="O336" s="481">
        <v>0</v>
      </c>
      <c r="P336" s="475"/>
    </row>
    <row r="337" spans="1:16" s="479" customFormat="1" ht="12">
      <c r="A337" s="470">
        <f t="shared" si="19"/>
        <v>2035</v>
      </c>
      <c r="B337" s="470">
        <f t="shared" si="20"/>
        <v>8</v>
      </c>
      <c r="C337" s="482">
        <v>191.82109403890459</v>
      </c>
      <c r="D337" s="482">
        <v>0</v>
      </c>
      <c r="E337" s="482">
        <v>881.16184091524462</v>
      </c>
      <c r="F337" s="482">
        <v>0</v>
      </c>
      <c r="G337" s="482">
        <v>0</v>
      </c>
      <c r="H337" s="482"/>
      <c r="I337" s="482"/>
      <c r="J337" s="482"/>
      <c r="K337" s="482"/>
      <c r="L337" s="482"/>
      <c r="M337" s="482"/>
      <c r="N337" s="482">
        <f t="shared" si="18"/>
        <v>1072.9829349541492</v>
      </c>
      <c r="O337" s="481">
        <v>0</v>
      </c>
      <c r="P337" s="475"/>
    </row>
    <row r="338" spans="1:16">
      <c r="A338" s="470">
        <f t="shared" si="19"/>
        <v>2035</v>
      </c>
      <c r="B338" s="470">
        <f t="shared" si="20"/>
        <v>9</v>
      </c>
      <c r="C338" s="482">
        <v>181.0427293179817</v>
      </c>
      <c r="D338" s="482">
        <v>0</v>
      </c>
      <c r="E338" s="482">
        <v>842.35014090004381</v>
      </c>
      <c r="F338" s="482">
        <v>0</v>
      </c>
      <c r="G338" s="482">
        <v>0</v>
      </c>
      <c r="H338" s="482"/>
      <c r="I338" s="482"/>
      <c r="J338" s="482"/>
      <c r="K338" s="482"/>
      <c r="L338" s="482"/>
      <c r="M338" s="482"/>
      <c r="N338" s="482">
        <f t="shared" si="18"/>
        <v>1023.3928702180256</v>
      </c>
      <c r="O338" s="481">
        <v>0</v>
      </c>
      <c r="P338" s="475"/>
    </row>
    <row r="339" spans="1:16">
      <c r="A339" s="470">
        <f t="shared" si="19"/>
        <v>2035</v>
      </c>
      <c r="B339" s="470">
        <f t="shared" si="20"/>
        <v>10</v>
      </c>
      <c r="C339" s="482">
        <v>163.55974582715885</v>
      </c>
      <c r="D339" s="482">
        <v>0</v>
      </c>
      <c r="E339" s="482">
        <v>758.37613493355798</v>
      </c>
      <c r="F339" s="482">
        <v>0</v>
      </c>
      <c r="G339" s="482">
        <v>0</v>
      </c>
      <c r="H339" s="482"/>
      <c r="I339" s="482"/>
      <c r="J339" s="482"/>
      <c r="K339" s="482"/>
      <c r="L339" s="482"/>
      <c r="M339" s="482"/>
      <c r="N339" s="482">
        <f t="shared" si="18"/>
        <v>921.93588076071683</v>
      </c>
      <c r="O339" s="481">
        <v>0</v>
      </c>
      <c r="P339" s="475"/>
    </row>
    <row r="340" spans="1:16">
      <c r="A340" s="470">
        <f t="shared" si="19"/>
        <v>2035</v>
      </c>
      <c r="B340" s="470">
        <f t="shared" si="20"/>
        <v>11</v>
      </c>
      <c r="C340" s="482">
        <v>146.13111072901106</v>
      </c>
      <c r="D340" s="482">
        <v>0</v>
      </c>
      <c r="E340" s="482">
        <v>607.81396083470941</v>
      </c>
      <c r="F340" s="482">
        <v>0</v>
      </c>
      <c r="G340" s="482">
        <v>0</v>
      </c>
      <c r="H340" s="482"/>
      <c r="I340" s="482"/>
      <c r="J340" s="482"/>
      <c r="K340" s="482"/>
      <c r="L340" s="482"/>
      <c r="M340" s="482"/>
      <c r="N340" s="482">
        <f t="shared" si="18"/>
        <v>753.94507156372049</v>
      </c>
      <c r="O340" s="481">
        <v>0</v>
      </c>
      <c r="P340" s="475"/>
    </row>
    <row r="341" spans="1:16">
      <c r="A341" s="470">
        <f t="shared" si="19"/>
        <v>2035</v>
      </c>
      <c r="B341" s="470">
        <f t="shared" si="20"/>
        <v>12</v>
      </c>
      <c r="C341" s="482">
        <v>151.67159893915741</v>
      </c>
      <c r="D341" s="482">
        <v>0</v>
      </c>
      <c r="E341" s="482">
        <v>582.82804870749681</v>
      </c>
      <c r="F341" s="482">
        <v>0</v>
      </c>
      <c r="G341" s="482">
        <v>0</v>
      </c>
      <c r="H341" s="482"/>
      <c r="I341" s="482"/>
      <c r="J341" s="482"/>
      <c r="K341" s="482"/>
      <c r="L341" s="482"/>
      <c r="M341" s="482"/>
      <c r="N341" s="482">
        <f t="shared" si="18"/>
        <v>734.49964764665424</v>
      </c>
      <c r="O341" s="481">
        <v>0</v>
      </c>
      <c r="P341" s="475"/>
    </row>
    <row r="342" spans="1:16">
      <c r="A342" s="470">
        <f t="shared" si="19"/>
        <v>2036</v>
      </c>
      <c r="B342" s="470">
        <f t="shared" si="20"/>
        <v>1</v>
      </c>
      <c r="C342" s="482">
        <v>151.85790905534409</v>
      </c>
      <c r="D342" s="482">
        <v>0</v>
      </c>
      <c r="E342" s="482">
        <v>766.52102835229698</v>
      </c>
      <c r="F342" s="482">
        <v>0</v>
      </c>
      <c r="G342" s="482">
        <v>0</v>
      </c>
      <c r="H342" s="482"/>
      <c r="I342" s="482"/>
      <c r="J342" s="482"/>
      <c r="K342" s="482"/>
      <c r="L342" s="482"/>
      <c r="M342" s="482"/>
      <c r="N342" s="482">
        <f t="shared" si="18"/>
        <v>918.37893740764105</v>
      </c>
      <c r="O342" s="481">
        <v>0</v>
      </c>
      <c r="P342" s="475"/>
    </row>
    <row r="343" spans="1:16">
      <c r="A343" s="470">
        <f t="shared" si="19"/>
        <v>2036</v>
      </c>
      <c r="B343" s="470">
        <f t="shared" si="20"/>
        <v>2</v>
      </c>
      <c r="C343" s="482">
        <v>150.20168162413336</v>
      </c>
      <c r="D343" s="482">
        <v>0</v>
      </c>
      <c r="E343" s="482">
        <v>685.57264338256186</v>
      </c>
      <c r="F343" s="482">
        <v>0</v>
      </c>
      <c r="G343" s="482">
        <v>0</v>
      </c>
      <c r="H343" s="482"/>
      <c r="I343" s="482"/>
      <c r="J343" s="482"/>
      <c r="K343" s="482"/>
      <c r="L343" s="482"/>
      <c r="M343" s="482"/>
      <c r="N343" s="482">
        <f t="shared" si="18"/>
        <v>835.77432500669522</v>
      </c>
      <c r="O343" s="481">
        <v>0</v>
      </c>
      <c r="P343" s="475"/>
    </row>
    <row r="344" spans="1:16">
      <c r="A344" s="470">
        <f t="shared" si="19"/>
        <v>2036</v>
      </c>
      <c r="B344" s="470">
        <f t="shared" si="20"/>
        <v>3</v>
      </c>
      <c r="C344" s="482">
        <v>158.96021093962949</v>
      </c>
      <c r="D344" s="482">
        <v>0</v>
      </c>
      <c r="E344" s="482">
        <v>632.58547220498258</v>
      </c>
      <c r="F344" s="482">
        <v>0</v>
      </c>
      <c r="G344" s="482">
        <v>0</v>
      </c>
      <c r="H344" s="482"/>
      <c r="I344" s="482"/>
      <c r="J344" s="482"/>
      <c r="K344" s="482"/>
      <c r="L344" s="482"/>
      <c r="M344" s="482"/>
      <c r="N344" s="482">
        <f t="shared" si="18"/>
        <v>791.5456831446121</v>
      </c>
      <c r="O344" s="481">
        <v>0</v>
      </c>
      <c r="P344" s="475"/>
    </row>
    <row r="345" spans="1:16">
      <c r="A345" s="470">
        <f t="shared" si="19"/>
        <v>2036</v>
      </c>
      <c r="B345" s="470">
        <f t="shared" si="20"/>
        <v>4</v>
      </c>
      <c r="C345" s="482">
        <v>165.23008937293147</v>
      </c>
      <c r="D345" s="482">
        <v>0</v>
      </c>
      <c r="E345" s="482">
        <v>712.64256663936305</v>
      </c>
      <c r="F345" s="482">
        <v>0</v>
      </c>
      <c r="G345" s="482">
        <v>0</v>
      </c>
      <c r="H345" s="482"/>
      <c r="I345" s="482"/>
      <c r="J345" s="482"/>
      <c r="K345" s="482"/>
      <c r="L345" s="482"/>
      <c r="M345" s="482"/>
      <c r="N345" s="482">
        <f t="shared" si="18"/>
        <v>877.87265601229456</v>
      </c>
      <c r="O345" s="481">
        <v>0</v>
      </c>
      <c r="P345" s="475"/>
    </row>
    <row r="346" spans="1:16">
      <c r="A346" s="470">
        <f t="shared" si="19"/>
        <v>2036</v>
      </c>
      <c r="B346" s="470">
        <f t="shared" si="20"/>
        <v>5</v>
      </c>
      <c r="C346" s="482">
        <v>180.90977356609469</v>
      </c>
      <c r="D346" s="482">
        <v>0</v>
      </c>
      <c r="E346" s="482">
        <v>795.54277467152576</v>
      </c>
      <c r="F346" s="482">
        <v>0</v>
      </c>
      <c r="G346" s="482">
        <v>0</v>
      </c>
      <c r="H346" s="482"/>
      <c r="I346" s="482"/>
      <c r="J346" s="482"/>
      <c r="K346" s="482"/>
      <c r="L346" s="482"/>
      <c r="M346" s="482"/>
      <c r="N346" s="482">
        <f t="shared" si="18"/>
        <v>976.45254823762048</v>
      </c>
      <c r="O346" s="481">
        <v>0</v>
      </c>
      <c r="P346" s="475"/>
    </row>
    <row r="347" spans="1:16">
      <c r="A347" s="470">
        <f t="shared" si="19"/>
        <v>2036</v>
      </c>
      <c r="B347" s="470">
        <f t="shared" si="20"/>
        <v>6</v>
      </c>
      <c r="C347" s="482">
        <v>185.03889610917045</v>
      </c>
      <c r="D347" s="482">
        <v>0</v>
      </c>
      <c r="E347" s="482">
        <v>830.19824076516522</v>
      </c>
      <c r="F347" s="482">
        <v>0</v>
      </c>
      <c r="G347" s="482">
        <v>0</v>
      </c>
      <c r="H347" s="482"/>
      <c r="I347" s="482"/>
      <c r="J347" s="482"/>
      <c r="K347" s="482"/>
      <c r="L347" s="482"/>
      <c r="M347" s="482"/>
      <c r="N347" s="482">
        <f t="shared" si="18"/>
        <v>1015.2371368743356</v>
      </c>
      <c r="O347" s="481">
        <v>0</v>
      </c>
      <c r="P347" s="475"/>
    </row>
    <row r="348" spans="1:16">
      <c r="A348" s="470">
        <f t="shared" si="19"/>
        <v>2036</v>
      </c>
      <c r="B348" s="470">
        <f t="shared" si="20"/>
        <v>7</v>
      </c>
      <c r="C348" s="482">
        <v>195.52368353859458</v>
      </c>
      <c r="D348" s="482">
        <v>0</v>
      </c>
      <c r="E348" s="482">
        <v>871.95203477706787</v>
      </c>
      <c r="F348" s="482">
        <v>0</v>
      </c>
      <c r="G348" s="482">
        <v>0</v>
      </c>
      <c r="H348" s="482"/>
      <c r="I348" s="482"/>
      <c r="J348" s="482"/>
      <c r="K348" s="482"/>
      <c r="L348" s="482"/>
      <c r="M348" s="482"/>
      <c r="N348" s="482">
        <f t="shared" si="18"/>
        <v>1067.4757183156626</v>
      </c>
      <c r="O348" s="481">
        <v>0</v>
      </c>
      <c r="P348" s="475"/>
    </row>
    <row r="349" spans="1:16" s="479" customFormat="1" ht="12">
      <c r="A349" s="470">
        <f t="shared" si="19"/>
        <v>2036</v>
      </c>
      <c r="B349" s="470">
        <f t="shared" si="20"/>
        <v>8</v>
      </c>
      <c r="C349" s="482">
        <v>193.62912814834436</v>
      </c>
      <c r="D349" s="482">
        <v>0</v>
      </c>
      <c r="E349" s="482">
        <v>886.19638284811015</v>
      </c>
      <c r="F349" s="482">
        <v>0</v>
      </c>
      <c r="G349" s="482">
        <v>0</v>
      </c>
      <c r="H349" s="482"/>
      <c r="I349" s="482"/>
      <c r="J349" s="482"/>
      <c r="K349" s="482"/>
      <c r="L349" s="482"/>
      <c r="M349" s="482"/>
      <c r="N349" s="482">
        <f t="shared" si="18"/>
        <v>1079.8255109964546</v>
      </c>
      <c r="O349" s="481">
        <v>0</v>
      </c>
      <c r="P349" s="475"/>
    </row>
    <row r="350" spans="1:16">
      <c r="A350" s="470">
        <f t="shared" si="19"/>
        <v>2036</v>
      </c>
      <c r="B350" s="470">
        <f t="shared" si="20"/>
        <v>9</v>
      </c>
      <c r="C350" s="482">
        <v>182.74917058041456</v>
      </c>
      <c r="D350" s="482">
        <v>0</v>
      </c>
      <c r="E350" s="482">
        <v>847.17450463069952</v>
      </c>
      <c r="F350" s="482">
        <v>0</v>
      </c>
      <c r="G350" s="482">
        <v>0</v>
      </c>
      <c r="H350" s="482"/>
      <c r="I350" s="482"/>
      <c r="J350" s="482"/>
      <c r="K350" s="482"/>
      <c r="L350" s="482"/>
      <c r="M350" s="482"/>
      <c r="N350" s="482">
        <f t="shared" si="18"/>
        <v>1029.9236752111142</v>
      </c>
      <c r="O350" s="481">
        <v>0</v>
      </c>
      <c r="P350" s="475"/>
    </row>
    <row r="351" spans="1:16">
      <c r="A351" s="470">
        <f t="shared" si="19"/>
        <v>2036</v>
      </c>
      <c r="B351" s="470">
        <f t="shared" si="20"/>
        <v>10</v>
      </c>
      <c r="C351" s="482">
        <v>165.10139900596329</v>
      </c>
      <c r="D351" s="482">
        <v>0</v>
      </c>
      <c r="E351" s="482">
        <v>760.9666598775907</v>
      </c>
      <c r="F351" s="482">
        <v>0</v>
      </c>
      <c r="G351" s="482">
        <v>0</v>
      </c>
      <c r="H351" s="482"/>
      <c r="I351" s="482"/>
      <c r="J351" s="482"/>
      <c r="K351" s="482"/>
      <c r="L351" s="482"/>
      <c r="M351" s="482"/>
      <c r="N351" s="482">
        <f t="shared" si="18"/>
        <v>926.06805888355393</v>
      </c>
      <c r="O351" s="481">
        <v>0</v>
      </c>
      <c r="P351" s="475"/>
    </row>
    <row r="352" spans="1:16">
      <c r="A352" s="470">
        <f t="shared" si="19"/>
        <v>2036</v>
      </c>
      <c r="B352" s="470">
        <f t="shared" si="20"/>
        <v>11</v>
      </c>
      <c r="C352" s="482">
        <v>147.50848809187181</v>
      </c>
      <c r="D352" s="482">
        <v>0</v>
      </c>
      <c r="E352" s="482">
        <v>609.06316232883751</v>
      </c>
      <c r="F352" s="482">
        <v>0</v>
      </c>
      <c r="G352" s="482">
        <v>0</v>
      </c>
      <c r="H352" s="482"/>
      <c r="I352" s="482"/>
      <c r="J352" s="482"/>
      <c r="K352" s="482"/>
      <c r="L352" s="482"/>
      <c r="M352" s="482"/>
      <c r="N352" s="482">
        <f t="shared" si="18"/>
        <v>756.57165042070937</v>
      </c>
      <c r="O352" s="481">
        <v>0</v>
      </c>
      <c r="P352" s="475"/>
    </row>
    <row r="353" spans="1:16">
      <c r="A353" s="470">
        <f t="shared" si="19"/>
        <v>2036</v>
      </c>
      <c r="B353" s="470">
        <f t="shared" si="20"/>
        <v>12</v>
      </c>
      <c r="C353" s="482">
        <v>153.10119887804453</v>
      </c>
      <c r="D353" s="482">
        <v>0</v>
      </c>
      <c r="E353" s="482">
        <v>584.45629508986406</v>
      </c>
      <c r="F353" s="482">
        <v>0</v>
      </c>
      <c r="G353" s="482">
        <v>0</v>
      </c>
      <c r="H353" s="482"/>
      <c r="I353" s="482"/>
      <c r="J353" s="482"/>
      <c r="K353" s="482"/>
      <c r="L353" s="482"/>
      <c r="M353" s="482"/>
      <c r="N353" s="482">
        <f t="shared" si="18"/>
        <v>737.55749396790861</v>
      </c>
      <c r="O353" s="481">
        <v>0</v>
      </c>
      <c r="P353" s="475"/>
    </row>
    <row r="354" spans="1:16">
      <c r="A354" s="470">
        <f t="shared" si="19"/>
        <v>2037</v>
      </c>
      <c r="B354" s="470">
        <f t="shared" si="20"/>
        <v>1</v>
      </c>
      <c r="C354" s="482">
        <v>153.28926508391822</v>
      </c>
      <c r="D354" s="482">
        <v>0</v>
      </c>
      <c r="E354" s="482">
        <v>767.28751892374464</v>
      </c>
      <c r="F354" s="482">
        <v>0</v>
      </c>
      <c r="G354" s="482">
        <v>0</v>
      </c>
      <c r="H354" s="482"/>
      <c r="I354" s="482"/>
      <c r="J354" s="482"/>
      <c r="K354" s="482"/>
      <c r="L354" s="482"/>
      <c r="M354" s="482"/>
      <c r="N354" s="482">
        <f t="shared" si="18"/>
        <v>920.57678400766281</v>
      </c>
      <c r="O354" s="481">
        <v>0</v>
      </c>
      <c r="P354" s="475"/>
    </row>
    <row r="355" spans="1:16">
      <c r="A355" s="470">
        <f t="shared" si="19"/>
        <v>2037</v>
      </c>
      <c r="B355" s="470">
        <f t="shared" si="20"/>
        <v>2</v>
      </c>
      <c r="C355" s="482">
        <v>151.61742667048668</v>
      </c>
      <c r="D355" s="482">
        <v>0</v>
      </c>
      <c r="E355" s="482">
        <v>686.25806851382538</v>
      </c>
      <c r="F355" s="482">
        <v>0</v>
      </c>
      <c r="G355" s="482">
        <v>0</v>
      </c>
      <c r="H355" s="482"/>
      <c r="I355" s="482"/>
      <c r="J355" s="482"/>
      <c r="K355" s="482"/>
      <c r="L355" s="482"/>
      <c r="M355" s="482"/>
      <c r="N355" s="482">
        <f t="shared" si="18"/>
        <v>837.87549518431206</v>
      </c>
      <c r="O355" s="481">
        <v>0</v>
      </c>
      <c r="P355" s="475"/>
    </row>
    <row r="356" spans="1:16">
      <c r="A356" s="470">
        <f t="shared" si="19"/>
        <v>2037</v>
      </c>
      <c r="B356" s="470">
        <f t="shared" si="20"/>
        <v>3</v>
      </c>
      <c r="C356" s="482">
        <v>160.45851061757989</v>
      </c>
      <c r="D356" s="482">
        <v>0</v>
      </c>
      <c r="E356" s="482">
        <v>633.28264883243492</v>
      </c>
      <c r="F356" s="482">
        <v>0</v>
      </c>
      <c r="G356" s="482">
        <v>0</v>
      </c>
      <c r="H356" s="482"/>
      <c r="I356" s="482"/>
      <c r="J356" s="482"/>
      <c r="K356" s="482"/>
      <c r="L356" s="482"/>
      <c r="M356" s="482"/>
      <c r="N356" s="482">
        <f t="shared" si="18"/>
        <v>793.74115945001483</v>
      </c>
      <c r="O356" s="481">
        <v>0</v>
      </c>
      <c r="P356" s="475"/>
    </row>
    <row r="357" spans="1:16">
      <c r="A357" s="470">
        <f t="shared" si="19"/>
        <v>2037</v>
      </c>
      <c r="B357" s="470">
        <f t="shared" si="20"/>
        <v>4</v>
      </c>
      <c r="C357" s="482">
        <v>166.78748658718911</v>
      </c>
      <c r="D357" s="482">
        <v>0</v>
      </c>
      <c r="E357" s="482">
        <v>717.14685878005457</v>
      </c>
      <c r="F357" s="482">
        <v>0</v>
      </c>
      <c r="G357" s="482">
        <v>0</v>
      </c>
      <c r="H357" s="482"/>
      <c r="I357" s="482"/>
      <c r="J357" s="482"/>
      <c r="K357" s="482"/>
      <c r="L357" s="482"/>
      <c r="M357" s="482"/>
      <c r="N357" s="482">
        <f t="shared" si="18"/>
        <v>883.93434536724362</v>
      </c>
      <c r="O357" s="481">
        <v>0</v>
      </c>
      <c r="P357" s="475"/>
    </row>
    <row r="358" spans="1:16">
      <c r="A358" s="470">
        <f t="shared" si="19"/>
        <v>2037</v>
      </c>
      <c r="B358" s="470">
        <f t="shared" si="20"/>
        <v>5</v>
      </c>
      <c r="C358" s="482">
        <v>182.61496163718445</v>
      </c>
      <c r="D358" s="482">
        <v>0</v>
      </c>
      <c r="E358" s="482">
        <v>799.66045043061467</v>
      </c>
      <c r="F358" s="482">
        <v>0</v>
      </c>
      <c r="G358" s="482">
        <v>0</v>
      </c>
      <c r="H358" s="482"/>
      <c r="I358" s="482"/>
      <c r="J358" s="482"/>
      <c r="K358" s="482"/>
      <c r="L358" s="482"/>
      <c r="M358" s="482"/>
      <c r="N358" s="482">
        <f t="shared" si="18"/>
        <v>982.27541206779915</v>
      </c>
      <c r="O358" s="481">
        <v>0</v>
      </c>
      <c r="P358" s="475"/>
    </row>
    <row r="359" spans="1:16">
      <c r="A359" s="470">
        <f t="shared" si="19"/>
        <v>2037</v>
      </c>
      <c r="B359" s="470">
        <f t="shared" si="20"/>
        <v>6</v>
      </c>
      <c r="C359" s="482">
        <v>186.78300374975461</v>
      </c>
      <c r="D359" s="482">
        <v>0</v>
      </c>
      <c r="E359" s="482">
        <v>833.12192716934464</v>
      </c>
      <c r="F359" s="482">
        <v>0</v>
      </c>
      <c r="G359" s="482">
        <v>0</v>
      </c>
      <c r="H359" s="482"/>
      <c r="I359" s="482"/>
      <c r="J359" s="482"/>
      <c r="K359" s="482"/>
      <c r="L359" s="482"/>
      <c r="M359" s="482"/>
      <c r="N359" s="482">
        <f t="shared" si="18"/>
        <v>1019.9049309190992</v>
      </c>
      <c r="O359" s="481">
        <v>0</v>
      </c>
      <c r="P359" s="475"/>
    </row>
    <row r="360" spans="1:16">
      <c r="A360" s="470">
        <f t="shared" si="19"/>
        <v>2037</v>
      </c>
      <c r="B360" s="470">
        <f t="shared" si="20"/>
        <v>7</v>
      </c>
      <c r="C360" s="482">
        <v>197.36697959008825</v>
      </c>
      <c r="D360" s="482">
        <v>0</v>
      </c>
      <c r="E360" s="482">
        <v>876.91117668303696</v>
      </c>
      <c r="F360" s="482">
        <v>0</v>
      </c>
      <c r="G360" s="482">
        <v>0</v>
      </c>
      <c r="H360" s="482"/>
      <c r="I360" s="482"/>
      <c r="J360" s="482"/>
      <c r="K360" s="482"/>
      <c r="L360" s="482"/>
      <c r="M360" s="482"/>
      <c r="N360" s="482">
        <f t="shared" si="18"/>
        <v>1074.2781562731252</v>
      </c>
      <c r="O360" s="481">
        <v>0</v>
      </c>
      <c r="P360" s="475"/>
    </row>
    <row r="361" spans="1:16" s="479" customFormat="1" ht="12">
      <c r="A361" s="470">
        <f t="shared" si="19"/>
        <v>2037</v>
      </c>
      <c r="B361" s="470">
        <f t="shared" si="20"/>
        <v>8</v>
      </c>
      <c r="C361" s="482">
        <v>195.45420411315087</v>
      </c>
      <c r="D361" s="482">
        <v>0</v>
      </c>
      <c r="E361" s="482">
        <v>891.25968977203274</v>
      </c>
      <c r="F361" s="482">
        <v>0</v>
      </c>
      <c r="G361" s="482">
        <v>0</v>
      </c>
      <c r="H361" s="482"/>
      <c r="I361" s="482"/>
      <c r="J361" s="482"/>
      <c r="K361" s="482"/>
      <c r="L361" s="482"/>
      <c r="M361" s="482"/>
      <c r="N361" s="482">
        <f t="shared" si="18"/>
        <v>1086.7138938851836</v>
      </c>
      <c r="O361" s="481">
        <v>0</v>
      </c>
      <c r="P361" s="475"/>
    </row>
    <row r="362" spans="1:16">
      <c r="A362" s="470">
        <f t="shared" si="19"/>
        <v>2037</v>
      </c>
      <c r="B362" s="470">
        <f t="shared" si="20"/>
        <v>9</v>
      </c>
      <c r="C362" s="482">
        <v>184.47169612191846</v>
      </c>
      <c r="D362" s="482">
        <v>0</v>
      </c>
      <c r="E362" s="482">
        <v>852.02649877806152</v>
      </c>
      <c r="F362" s="482">
        <v>0</v>
      </c>
      <c r="G362" s="482">
        <v>0</v>
      </c>
      <c r="H362" s="482"/>
      <c r="I362" s="482"/>
      <c r="J362" s="482"/>
      <c r="K362" s="482"/>
      <c r="L362" s="482"/>
      <c r="M362" s="482"/>
      <c r="N362" s="482">
        <f t="shared" si="18"/>
        <v>1036.49819489998</v>
      </c>
      <c r="O362" s="481">
        <v>0</v>
      </c>
      <c r="P362" s="475"/>
    </row>
    <row r="363" spans="1:16">
      <c r="A363" s="470">
        <f t="shared" si="19"/>
        <v>2037</v>
      </c>
      <c r="B363" s="470">
        <f t="shared" si="20"/>
        <v>10</v>
      </c>
      <c r="C363" s="482">
        <v>166.65758323280585</v>
      </c>
      <c r="D363" s="482">
        <v>0</v>
      </c>
      <c r="E363" s="482">
        <v>763.56603375446366</v>
      </c>
      <c r="F363" s="482">
        <v>0</v>
      </c>
      <c r="G363" s="482">
        <v>0</v>
      </c>
      <c r="H363" s="482"/>
      <c r="I363" s="482"/>
      <c r="J363" s="482"/>
      <c r="K363" s="482"/>
      <c r="L363" s="482"/>
      <c r="M363" s="482"/>
      <c r="N363" s="482">
        <f t="shared" si="18"/>
        <v>930.22361698726945</v>
      </c>
      <c r="O363" s="481">
        <v>0</v>
      </c>
      <c r="P363" s="475"/>
    </row>
    <row r="364" spans="1:16">
      <c r="A364" s="470">
        <f t="shared" si="19"/>
        <v>2037</v>
      </c>
      <c r="B364" s="470">
        <f t="shared" si="20"/>
        <v>11</v>
      </c>
      <c r="C364" s="482">
        <v>148.89884810018197</v>
      </c>
      <c r="D364" s="482">
        <v>0</v>
      </c>
      <c r="E364" s="482">
        <v>610.31493122758854</v>
      </c>
      <c r="F364" s="482">
        <v>0</v>
      </c>
      <c r="G364" s="482">
        <v>0</v>
      </c>
      <c r="H364" s="482"/>
      <c r="I364" s="482"/>
      <c r="J364" s="482"/>
      <c r="K364" s="482"/>
      <c r="L364" s="482"/>
      <c r="M364" s="482"/>
      <c r="N364" s="482">
        <f t="shared" si="18"/>
        <v>759.21377932777045</v>
      </c>
      <c r="O364" s="481">
        <v>0</v>
      </c>
      <c r="P364" s="475"/>
    </row>
    <row r="365" spans="1:16">
      <c r="A365" s="470">
        <f t="shared" si="19"/>
        <v>2037</v>
      </c>
      <c r="B365" s="470">
        <f t="shared" si="20"/>
        <v>12</v>
      </c>
      <c r="C365" s="482">
        <v>154.54427369291079</v>
      </c>
      <c r="D365" s="482">
        <v>0</v>
      </c>
      <c r="E365" s="482">
        <v>586.0890903032074</v>
      </c>
      <c r="F365" s="482">
        <v>0</v>
      </c>
      <c r="G365" s="482">
        <v>0</v>
      </c>
      <c r="H365" s="482"/>
      <c r="I365" s="482"/>
      <c r="J365" s="482"/>
      <c r="K365" s="482"/>
      <c r="L365" s="482"/>
      <c r="M365" s="482"/>
      <c r="N365" s="482">
        <f t="shared" si="18"/>
        <v>740.63336399611819</v>
      </c>
      <c r="O365" s="481">
        <v>0</v>
      </c>
      <c r="P365" s="475"/>
    </row>
    <row r="366" spans="1:16">
      <c r="A366" s="470">
        <f t="shared" si="19"/>
        <v>2038</v>
      </c>
      <c r="B366" s="470">
        <f t="shared" si="20"/>
        <v>1</v>
      </c>
      <c r="C366" s="482">
        <v>154.73411254071812</v>
      </c>
      <c r="D366" s="482">
        <v>0</v>
      </c>
      <c r="E366" s="482">
        <v>768.05477595530806</v>
      </c>
      <c r="F366" s="482">
        <v>0</v>
      </c>
      <c r="G366" s="482">
        <v>0</v>
      </c>
      <c r="H366" s="482"/>
      <c r="I366" s="482"/>
      <c r="J366" s="482"/>
      <c r="K366" s="482"/>
      <c r="L366" s="482"/>
      <c r="M366" s="482"/>
      <c r="N366" s="482">
        <f t="shared" si="18"/>
        <v>922.78888849602617</v>
      </c>
      <c r="O366" s="481">
        <v>0</v>
      </c>
      <c r="P366" s="475"/>
    </row>
    <row r="367" spans="1:16">
      <c r="A367" s="470">
        <f t="shared" si="19"/>
        <v>2038</v>
      </c>
      <c r="B367" s="470">
        <f t="shared" si="20"/>
        <v>2</v>
      </c>
      <c r="C367" s="482">
        <v>153.04651600176811</v>
      </c>
      <c r="D367" s="482">
        <v>0</v>
      </c>
      <c r="E367" s="482">
        <v>686.94417892273987</v>
      </c>
      <c r="F367" s="482">
        <v>0</v>
      </c>
      <c r="G367" s="482">
        <v>0</v>
      </c>
      <c r="H367" s="482"/>
      <c r="I367" s="482"/>
      <c r="J367" s="482"/>
      <c r="K367" s="482"/>
      <c r="L367" s="482"/>
      <c r="M367" s="482"/>
      <c r="N367" s="482">
        <f t="shared" si="18"/>
        <v>839.99069492450803</v>
      </c>
      <c r="O367" s="481">
        <v>0</v>
      </c>
      <c r="P367" s="475"/>
    </row>
    <row r="368" spans="1:16">
      <c r="A368" s="470">
        <f t="shared" si="19"/>
        <v>2038</v>
      </c>
      <c r="B368" s="470">
        <f t="shared" si="20"/>
        <v>3</v>
      </c>
      <c r="C368" s="482">
        <v>161.97093270963427</v>
      </c>
      <c r="D368" s="482">
        <v>0</v>
      </c>
      <c r="E368" s="482">
        <v>633.98059382285362</v>
      </c>
      <c r="F368" s="482">
        <v>0</v>
      </c>
      <c r="G368" s="482">
        <v>0</v>
      </c>
      <c r="H368" s="482"/>
      <c r="I368" s="482"/>
      <c r="J368" s="482"/>
      <c r="K368" s="482"/>
      <c r="L368" s="482"/>
      <c r="M368" s="482"/>
      <c r="N368" s="482">
        <f t="shared" si="18"/>
        <v>795.95152653248783</v>
      </c>
      <c r="O368" s="481">
        <v>0</v>
      </c>
      <c r="P368" s="475"/>
    </row>
    <row r="369" spans="1:16">
      <c r="A369" s="470">
        <f t="shared" si="19"/>
        <v>2038</v>
      </c>
      <c r="B369" s="470">
        <f t="shared" si="20"/>
        <v>4</v>
      </c>
      <c r="C369" s="482">
        <v>168.35956324689266</v>
      </c>
      <c r="D369" s="482">
        <v>0</v>
      </c>
      <c r="E369" s="482">
        <v>721.67962051916538</v>
      </c>
      <c r="F369" s="482">
        <v>0</v>
      </c>
      <c r="G369" s="482">
        <v>0</v>
      </c>
      <c r="H369" s="482"/>
      <c r="I369" s="482"/>
      <c r="J369" s="482"/>
      <c r="K369" s="482"/>
      <c r="L369" s="482"/>
      <c r="M369" s="482"/>
      <c r="N369" s="482">
        <f t="shared" si="18"/>
        <v>890.03918376605804</v>
      </c>
      <c r="O369" s="481">
        <v>0</v>
      </c>
      <c r="P369" s="475"/>
    </row>
    <row r="370" spans="1:16">
      <c r="A370" s="470">
        <f t="shared" si="19"/>
        <v>2038</v>
      </c>
      <c r="B370" s="470">
        <f t="shared" si="20"/>
        <v>5</v>
      </c>
      <c r="C370" s="482">
        <v>184.33622217523092</v>
      </c>
      <c r="D370" s="482">
        <v>0</v>
      </c>
      <c r="E370" s="482">
        <v>803.79943900178205</v>
      </c>
      <c r="F370" s="482">
        <v>0</v>
      </c>
      <c r="G370" s="482">
        <v>0</v>
      </c>
      <c r="H370" s="482"/>
      <c r="I370" s="482"/>
      <c r="J370" s="482"/>
      <c r="K370" s="482"/>
      <c r="L370" s="482"/>
      <c r="M370" s="482"/>
      <c r="N370" s="482">
        <f t="shared" si="18"/>
        <v>988.13566117701293</v>
      </c>
      <c r="O370" s="481">
        <v>0</v>
      </c>
      <c r="P370" s="475"/>
    </row>
    <row r="371" spans="1:16">
      <c r="A371" s="470">
        <f t="shared" si="19"/>
        <v>2038</v>
      </c>
      <c r="B371" s="470">
        <f t="shared" si="20"/>
        <v>6</v>
      </c>
      <c r="C371" s="482">
        <v>188.54355069864587</v>
      </c>
      <c r="D371" s="482">
        <v>0</v>
      </c>
      <c r="E371" s="482">
        <v>836.05590983984973</v>
      </c>
      <c r="F371" s="482">
        <v>0</v>
      </c>
      <c r="G371" s="482">
        <v>0</v>
      </c>
      <c r="H371" s="482"/>
      <c r="I371" s="482"/>
      <c r="J371" s="482"/>
      <c r="K371" s="482"/>
      <c r="L371" s="482"/>
      <c r="M371" s="482"/>
      <c r="N371" s="482">
        <f t="shared" si="18"/>
        <v>1024.5994605384956</v>
      </c>
      <c r="O371" s="481">
        <v>0</v>
      </c>
      <c r="P371" s="475"/>
    </row>
    <row r="372" spans="1:16">
      <c r="A372" s="470">
        <f t="shared" si="19"/>
        <v>2038</v>
      </c>
      <c r="B372" s="470">
        <f t="shared" si="20"/>
        <v>7</v>
      </c>
      <c r="C372" s="482">
        <v>199.22765328234627</v>
      </c>
      <c r="D372" s="482">
        <v>0</v>
      </c>
      <c r="E372" s="482">
        <v>881.89852322350737</v>
      </c>
      <c r="F372" s="482">
        <v>0</v>
      </c>
      <c r="G372" s="482">
        <v>0</v>
      </c>
      <c r="H372" s="482"/>
      <c r="I372" s="482"/>
      <c r="J372" s="482"/>
      <c r="K372" s="482"/>
      <c r="L372" s="482"/>
      <c r="M372" s="482"/>
      <c r="N372" s="482">
        <f t="shared" si="18"/>
        <v>1081.1261765058537</v>
      </c>
      <c r="O372" s="481">
        <v>0</v>
      </c>
      <c r="P372" s="475"/>
    </row>
    <row r="373" spans="1:16" s="479" customFormat="1" ht="12">
      <c r="A373" s="470">
        <f t="shared" si="19"/>
        <v>2038</v>
      </c>
      <c r="B373" s="470">
        <f t="shared" si="20"/>
        <v>8</v>
      </c>
      <c r="C373" s="482">
        <v>197.29648256349847</v>
      </c>
      <c r="D373" s="482">
        <v>0</v>
      </c>
      <c r="E373" s="482">
        <v>896.35192603656424</v>
      </c>
      <c r="F373" s="482">
        <v>0</v>
      </c>
      <c r="G373" s="482">
        <v>0</v>
      </c>
      <c r="H373" s="482"/>
      <c r="I373" s="482"/>
      <c r="J373" s="482"/>
      <c r="K373" s="482"/>
      <c r="L373" s="482"/>
      <c r="M373" s="482"/>
      <c r="N373" s="482">
        <f t="shared" si="18"/>
        <v>1093.6484086000628</v>
      </c>
      <c r="O373" s="481">
        <v>0</v>
      </c>
      <c r="P373" s="475"/>
    </row>
    <row r="374" spans="1:16">
      <c r="A374" s="470">
        <f t="shared" si="19"/>
        <v>2038</v>
      </c>
      <c r="B374" s="470">
        <f t="shared" si="20"/>
        <v>9</v>
      </c>
      <c r="C374" s="482">
        <v>186.21045754691067</v>
      </c>
      <c r="D374" s="482">
        <v>0</v>
      </c>
      <c r="E374" s="482">
        <v>856.90628158888933</v>
      </c>
      <c r="F374" s="482">
        <v>0</v>
      </c>
      <c r="G374" s="482">
        <v>0</v>
      </c>
      <c r="H374" s="482"/>
      <c r="I374" s="482"/>
      <c r="J374" s="482"/>
      <c r="K374" s="482"/>
      <c r="L374" s="482"/>
      <c r="M374" s="482"/>
      <c r="N374" s="482">
        <f t="shared" si="18"/>
        <v>1043.1167391357999</v>
      </c>
      <c r="O374" s="481">
        <v>0</v>
      </c>
      <c r="P374" s="475"/>
    </row>
    <row r="375" spans="1:16">
      <c r="A375" s="470">
        <f t="shared" si="19"/>
        <v>2038</v>
      </c>
      <c r="B375" s="470">
        <f t="shared" si="20"/>
        <v>10</v>
      </c>
      <c r="C375" s="482">
        <v>168.22843547192724</v>
      </c>
      <c r="D375" s="482">
        <v>0</v>
      </c>
      <c r="E375" s="482">
        <v>766.17428679110537</v>
      </c>
      <c r="F375" s="482">
        <v>0</v>
      </c>
      <c r="G375" s="482">
        <v>0</v>
      </c>
      <c r="H375" s="482"/>
      <c r="I375" s="482"/>
      <c r="J375" s="482"/>
      <c r="K375" s="482"/>
      <c r="L375" s="482"/>
      <c r="M375" s="482"/>
      <c r="N375" s="482">
        <f t="shared" si="18"/>
        <v>934.40272226303262</v>
      </c>
      <c r="O375" s="481">
        <v>0</v>
      </c>
      <c r="P375" s="475"/>
    </row>
    <row r="376" spans="1:16">
      <c r="A376" s="470">
        <f>A364+1</f>
        <v>2038</v>
      </c>
      <c r="B376" s="470">
        <f>B364</f>
        <v>11</v>
      </c>
      <c r="C376" s="482">
        <v>150.30231312351677</v>
      </c>
      <c r="D376" s="482">
        <v>0</v>
      </c>
      <c r="E376" s="482">
        <v>611.56927280758646</v>
      </c>
      <c r="F376" s="482">
        <v>0</v>
      </c>
      <c r="G376" s="482">
        <v>0</v>
      </c>
      <c r="H376" s="482"/>
      <c r="I376" s="482"/>
      <c r="J376" s="482"/>
      <c r="K376" s="482"/>
      <c r="L376" s="482"/>
      <c r="M376" s="482"/>
      <c r="N376" s="482">
        <f t="shared" si="18"/>
        <v>761.87158593110325</v>
      </c>
      <c r="O376" s="481">
        <v>0</v>
      </c>
      <c r="P376" s="475"/>
    </row>
    <row r="377" spans="1:16">
      <c r="A377" s="470">
        <f t="shared" ref="A377:A389" si="21">A365+1</f>
        <v>2038</v>
      </c>
      <c r="B377" s="470">
        <f t="shared" ref="B377:B389" si="22">B365</f>
        <v>12</v>
      </c>
      <c r="C377" s="482">
        <v>156.0009503929129</v>
      </c>
      <c r="D377" s="482">
        <v>0</v>
      </c>
      <c r="E377" s="482">
        <v>587.72644705559321</v>
      </c>
      <c r="F377" s="482">
        <v>0</v>
      </c>
      <c r="G377" s="482">
        <v>0</v>
      </c>
      <c r="H377" s="482"/>
      <c r="I377" s="482"/>
      <c r="J377" s="482"/>
      <c r="K377" s="482"/>
      <c r="L377" s="482"/>
      <c r="M377" s="482"/>
      <c r="N377" s="482">
        <f t="shared" si="18"/>
        <v>743.72739744850605</v>
      </c>
      <c r="O377" s="481">
        <v>0</v>
      </c>
      <c r="P377" s="475"/>
    </row>
    <row r="378" spans="1:16">
      <c r="A378" s="470">
        <f t="shared" si="21"/>
        <v>2039</v>
      </c>
      <c r="B378" s="470">
        <f t="shared" si="22"/>
        <v>1</v>
      </c>
      <c r="C378" s="482">
        <v>156.19257859091579</v>
      </c>
      <c r="D378" s="482">
        <v>0</v>
      </c>
      <c r="E378" s="482">
        <v>768.82280021341683</v>
      </c>
      <c r="F378" s="482">
        <v>0</v>
      </c>
      <c r="G378" s="482">
        <v>0</v>
      </c>
      <c r="H378" s="482"/>
      <c r="I378" s="482"/>
      <c r="J378" s="482"/>
      <c r="K378" s="482"/>
      <c r="L378" s="482"/>
      <c r="M378" s="482"/>
      <c r="N378" s="482">
        <f t="shared" si="18"/>
        <v>925.01537880433261</v>
      </c>
      <c r="O378" s="481">
        <v>0</v>
      </c>
      <c r="P378" s="475"/>
    </row>
    <row r="379" spans="1:16">
      <c r="A379" s="470">
        <f t="shared" si="21"/>
        <v>2039</v>
      </c>
      <c r="B379" s="470">
        <f t="shared" si="22"/>
        <v>2</v>
      </c>
      <c r="C379" s="482">
        <v>154.48907539623178</v>
      </c>
      <c r="D379" s="482">
        <v>0</v>
      </c>
      <c r="E379" s="482">
        <v>687.63097529443542</v>
      </c>
      <c r="F379" s="482">
        <v>0</v>
      </c>
      <c r="G379" s="482">
        <v>0</v>
      </c>
      <c r="H379" s="482"/>
      <c r="I379" s="482"/>
      <c r="J379" s="482"/>
      <c r="K379" s="482"/>
      <c r="L379" s="482"/>
      <c r="M379" s="482"/>
      <c r="N379" s="482">
        <f t="shared" si="18"/>
        <v>842.1200506906672</v>
      </c>
      <c r="O379" s="481">
        <v>0</v>
      </c>
      <c r="P379" s="475"/>
    </row>
    <row r="380" spans="1:16">
      <c r="A380" s="470">
        <f t="shared" si="21"/>
        <v>2039</v>
      </c>
      <c r="B380" s="470">
        <f t="shared" si="22"/>
        <v>3</v>
      </c>
      <c r="C380" s="482">
        <v>163.49761032840226</v>
      </c>
      <c r="D380" s="482">
        <v>0</v>
      </c>
      <c r="E380" s="482">
        <v>634.67930802305648</v>
      </c>
      <c r="F380" s="482">
        <v>0</v>
      </c>
      <c r="G380" s="482">
        <v>0</v>
      </c>
      <c r="H380" s="482"/>
      <c r="I380" s="482"/>
      <c r="J380" s="482"/>
      <c r="K380" s="482"/>
      <c r="L380" s="482"/>
      <c r="M380" s="482"/>
      <c r="N380" s="482">
        <f t="shared" si="18"/>
        <v>798.17691835145877</v>
      </c>
      <c r="O380" s="481">
        <v>0</v>
      </c>
      <c r="P380" s="475"/>
    </row>
    <row r="381" spans="1:16">
      <c r="A381" s="470">
        <f t="shared" si="21"/>
        <v>2039</v>
      </c>
      <c r="B381" s="470">
        <f t="shared" si="22"/>
        <v>4</v>
      </c>
      <c r="C381" s="482">
        <v>169.94645771502152</v>
      </c>
      <c r="D381" s="482">
        <v>0</v>
      </c>
      <c r="E381" s="482">
        <v>726.24103180018244</v>
      </c>
      <c r="F381" s="482">
        <v>0</v>
      </c>
      <c r="G381" s="482">
        <v>0</v>
      </c>
      <c r="H381" s="482"/>
      <c r="I381" s="482"/>
      <c r="J381" s="482"/>
      <c r="K381" s="482"/>
      <c r="L381" s="482"/>
      <c r="M381" s="482"/>
      <c r="N381" s="482">
        <f t="shared" si="18"/>
        <v>896.18748951520399</v>
      </c>
      <c r="O381" s="481">
        <v>0</v>
      </c>
      <c r="P381" s="475"/>
    </row>
    <row r="382" spans="1:16">
      <c r="A382" s="470">
        <f t="shared" si="21"/>
        <v>2039</v>
      </c>
      <c r="B382" s="470">
        <f t="shared" si="22"/>
        <v>5</v>
      </c>
      <c r="C382" s="482">
        <v>186.0737066733148</v>
      </c>
      <c r="D382" s="482">
        <v>0</v>
      </c>
      <c r="E382" s="482">
        <v>807.95985069870619</v>
      </c>
      <c r="F382" s="482">
        <v>0</v>
      </c>
      <c r="G382" s="482">
        <v>0</v>
      </c>
      <c r="H382" s="482"/>
      <c r="I382" s="482"/>
      <c r="J382" s="482"/>
      <c r="K382" s="482"/>
      <c r="L382" s="482"/>
      <c r="M382" s="482"/>
      <c r="N382" s="482">
        <f t="shared" si="18"/>
        <v>994.03355737202105</v>
      </c>
      <c r="O382" s="481">
        <v>0</v>
      </c>
      <c r="P382" s="475"/>
    </row>
    <row r="383" spans="1:16">
      <c r="A383" s="470">
        <f t="shared" si="21"/>
        <v>2039</v>
      </c>
      <c r="B383" s="470">
        <f t="shared" si="22"/>
        <v>6</v>
      </c>
      <c r="C383" s="482">
        <v>190.32069190663475</v>
      </c>
      <c r="D383" s="482">
        <v>0</v>
      </c>
      <c r="E383" s="482">
        <v>839.0002250367595</v>
      </c>
      <c r="F383" s="482">
        <v>0</v>
      </c>
      <c r="G383" s="482">
        <v>0</v>
      </c>
      <c r="H383" s="482"/>
      <c r="I383" s="482"/>
      <c r="J383" s="482"/>
      <c r="K383" s="482"/>
      <c r="L383" s="482"/>
      <c r="M383" s="482"/>
      <c r="N383" s="482">
        <f t="shared" si="18"/>
        <v>1029.3209169433942</v>
      </c>
      <c r="O383" s="481">
        <v>0</v>
      </c>
      <c r="P383" s="475"/>
    </row>
    <row r="384" spans="1:16">
      <c r="A384" s="470">
        <f t="shared" si="21"/>
        <v>2039</v>
      </c>
      <c r="B384" s="470">
        <f t="shared" si="22"/>
        <v>7</v>
      </c>
      <c r="C384" s="482">
        <v>201.10586844276804</v>
      </c>
      <c r="D384" s="482">
        <v>0</v>
      </c>
      <c r="E384" s="482">
        <v>886.91423480957883</v>
      </c>
      <c r="F384" s="482">
        <v>0</v>
      </c>
      <c r="G384" s="482">
        <v>0</v>
      </c>
      <c r="H384" s="482"/>
      <c r="I384" s="482"/>
      <c r="J384" s="482"/>
      <c r="K384" s="482"/>
      <c r="L384" s="482"/>
      <c r="M384" s="482"/>
      <c r="N384" s="482">
        <f t="shared" si="18"/>
        <v>1088.0201032523469</v>
      </c>
      <c r="O384" s="481">
        <v>0</v>
      </c>
      <c r="P384" s="475"/>
    </row>
    <row r="385" spans="1:16" s="479" customFormat="1" ht="12">
      <c r="A385" s="470">
        <f t="shared" si="21"/>
        <v>2039</v>
      </c>
      <c r="B385" s="470">
        <f t="shared" si="22"/>
        <v>8</v>
      </c>
      <c r="C385" s="482">
        <v>199.15612564360174</v>
      </c>
      <c r="D385" s="482">
        <v>0</v>
      </c>
      <c r="E385" s="482">
        <v>901.47325693027221</v>
      </c>
      <c r="F385" s="482">
        <v>0</v>
      </c>
      <c r="G385" s="482">
        <v>0</v>
      </c>
      <c r="H385" s="482"/>
      <c r="I385" s="482"/>
      <c r="J385" s="482"/>
      <c r="K385" s="482"/>
      <c r="L385" s="482"/>
      <c r="M385" s="482"/>
      <c r="N385" s="482">
        <f t="shared" si="18"/>
        <v>1100.629382573874</v>
      </c>
      <c r="O385" s="481">
        <v>0</v>
      </c>
      <c r="P385" s="475"/>
    </row>
    <row r="386" spans="1:16">
      <c r="A386" s="470">
        <f t="shared" si="21"/>
        <v>2039</v>
      </c>
      <c r="B386" s="470">
        <f t="shared" si="22"/>
        <v>9</v>
      </c>
      <c r="C386" s="482">
        <v>187.96560788877522</v>
      </c>
      <c r="D386" s="482">
        <v>0</v>
      </c>
      <c r="E386" s="482">
        <v>861.8140122162639</v>
      </c>
      <c r="F386" s="482">
        <v>0</v>
      </c>
      <c r="G386" s="482">
        <v>0</v>
      </c>
      <c r="H386" s="482"/>
      <c r="I386" s="482"/>
      <c r="J386" s="482"/>
      <c r="K386" s="482"/>
      <c r="L386" s="482"/>
      <c r="M386" s="482"/>
      <c r="N386" s="482">
        <f t="shared" si="18"/>
        <v>1049.7796201050392</v>
      </c>
      <c r="O386" s="481">
        <v>0</v>
      </c>
      <c r="P386" s="475"/>
    </row>
    <row r="387" spans="1:16">
      <c r="A387" s="470">
        <f t="shared" si="21"/>
        <v>2039</v>
      </c>
      <c r="B387" s="470">
        <f t="shared" si="22"/>
        <v>10</v>
      </c>
      <c r="C387" s="482">
        <v>169.81409397854205</v>
      </c>
      <c r="D387" s="482">
        <v>0</v>
      </c>
      <c r="E387" s="482">
        <v>768.79144931769611</v>
      </c>
      <c r="F387" s="482">
        <v>0</v>
      </c>
      <c r="G387" s="482">
        <v>0</v>
      </c>
      <c r="H387" s="482"/>
      <c r="I387" s="482"/>
      <c r="J387" s="482"/>
      <c r="K387" s="482"/>
      <c r="L387" s="482"/>
      <c r="M387" s="482"/>
      <c r="N387" s="482">
        <f t="shared" si="18"/>
        <v>938.60554329623812</v>
      </c>
      <c r="O387" s="481">
        <v>0</v>
      </c>
      <c r="P387" s="475"/>
    </row>
    <row r="388" spans="1:16">
      <c r="A388" s="470">
        <f t="shared" si="21"/>
        <v>2039</v>
      </c>
      <c r="B388" s="470">
        <f t="shared" si="22"/>
        <v>11</v>
      </c>
      <c r="C388" s="482">
        <v>151.71900668486145</v>
      </c>
      <c r="D388" s="482">
        <v>0</v>
      </c>
      <c r="E388" s="482">
        <v>612.82619235629988</v>
      </c>
      <c r="F388" s="482">
        <v>0</v>
      </c>
      <c r="G388" s="482">
        <v>0</v>
      </c>
      <c r="H388" s="482"/>
      <c r="I388" s="482"/>
      <c r="J388" s="482"/>
      <c r="K388" s="482"/>
      <c r="L388" s="482"/>
      <c r="M388" s="482"/>
      <c r="N388" s="482">
        <f t="shared" si="18"/>
        <v>764.54519904116137</v>
      </c>
      <c r="O388" s="481">
        <v>0</v>
      </c>
      <c r="P388" s="475"/>
    </row>
    <row r="389" spans="1:16">
      <c r="A389" s="470">
        <f t="shared" si="21"/>
        <v>2039</v>
      </c>
      <c r="B389" s="470">
        <f t="shared" si="22"/>
        <v>12</v>
      </c>
      <c r="C389" s="482">
        <v>157.47135718434851</v>
      </c>
      <c r="D389" s="482">
        <v>0</v>
      </c>
      <c r="E389" s="482">
        <v>589.36837809059057</v>
      </c>
      <c r="F389" s="482">
        <v>0</v>
      </c>
      <c r="G389" s="482">
        <v>0</v>
      </c>
      <c r="H389" s="482"/>
      <c r="I389" s="482"/>
      <c r="J389" s="482"/>
      <c r="K389" s="482"/>
      <c r="L389" s="482"/>
      <c r="M389" s="482"/>
      <c r="N389" s="482">
        <f t="shared" si="18"/>
        <v>746.83973527493913</v>
      </c>
      <c r="O389" s="481">
        <v>0</v>
      </c>
      <c r="P389" s="475"/>
    </row>
    <row r="390" spans="1:16">
      <c r="A390" s="470">
        <f>A378+1</f>
        <v>2040</v>
      </c>
      <c r="B390" s="470">
        <f>B378</f>
        <v>1</v>
      </c>
      <c r="C390" s="482">
        <v>157.66479159829473</v>
      </c>
      <c r="D390" s="482">
        <v>0</v>
      </c>
      <c r="E390" s="482">
        <v>769.59159246526713</v>
      </c>
      <c r="F390" s="482">
        <v>0</v>
      </c>
      <c r="G390" s="482">
        <v>0</v>
      </c>
      <c r="H390" s="482"/>
      <c r="I390" s="482"/>
      <c r="J390" s="482"/>
      <c r="K390" s="482"/>
      <c r="L390" s="482"/>
      <c r="M390" s="482"/>
      <c r="N390" s="482">
        <f t="shared" si="18"/>
        <v>927.25638406356188</v>
      </c>
      <c r="O390" s="481">
        <v>0</v>
      </c>
      <c r="P390" s="475"/>
    </row>
    <row r="391" spans="1:16">
      <c r="A391" s="470">
        <f t="shared" ref="A391:A454" si="23">A379+1</f>
        <v>2040</v>
      </c>
      <c r="B391" s="470">
        <f t="shared" ref="B391:B454" si="24">B379</f>
        <v>2</v>
      </c>
      <c r="C391" s="482">
        <v>155.94523181767079</v>
      </c>
      <c r="D391" s="482">
        <v>0</v>
      </c>
      <c r="E391" s="482">
        <v>688.3184583147272</v>
      </c>
      <c r="F391" s="482">
        <v>0</v>
      </c>
      <c r="G391" s="482">
        <v>0</v>
      </c>
      <c r="H391" s="482"/>
      <c r="I391" s="482"/>
      <c r="J391" s="482"/>
      <c r="K391" s="482"/>
      <c r="L391" s="482"/>
      <c r="M391" s="482"/>
      <c r="N391" s="482">
        <f t="shared" ref="N391:N454" si="25">SUM(C391:M391)</f>
        <v>844.26369013239798</v>
      </c>
      <c r="O391" s="481">
        <v>0</v>
      </c>
      <c r="P391" s="475"/>
    </row>
    <row r="392" spans="1:16">
      <c r="A392" s="470">
        <f t="shared" si="23"/>
        <v>2040</v>
      </c>
      <c r="B392" s="470">
        <f t="shared" si="24"/>
        <v>3</v>
      </c>
      <c r="C392" s="482">
        <v>165.03867784116332</v>
      </c>
      <c r="D392" s="482">
        <v>0</v>
      </c>
      <c r="E392" s="482">
        <v>635.37879228079476</v>
      </c>
      <c r="F392" s="482">
        <v>0</v>
      </c>
      <c r="G392" s="482">
        <v>0</v>
      </c>
      <c r="H392" s="482"/>
      <c r="I392" s="482"/>
      <c r="J392" s="482"/>
      <c r="K392" s="482"/>
      <c r="L392" s="482"/>
      <c r="M392" s="482"/>
      <c r="N392" s="482">
        <f t="shared" si="25"/>
        <v>800.4174701219581</v>
      </c>
      <c r="O392" s="481">
        <v>0</v>
      </c>
      <c r="P392" s="475"/>
    </row>
    <row r="393" spans="1:16">
      <c r="A393" s="470">
        <f t="shared" si="23"/>
        <v>2040</v>
      </c>
      <c r="B393" s="470">
        <f t="shared" si="24"/>
        <v>4</v>
      </c>
      <c r="C393" s="482">
        <v>171.5483096587129</v>
      </c>
      <c r="D393" s="482">
        <v>0</v>
      </c>
      <c r="E393" s="482">
        <v>730.83127370393424</v>
      </c>
      <c r="F393" s="482">
        <v>0</v>
      </c>
      <c r="G393" s="482">
        <v>0</v>
      </c>
      <c r="H393" s="482"/>
      <c r="I393" s="482"/>
      <c r="J393" s="482"/>
      <c r="K393" s="482"/>
      <c r="L393" s="482"/>
      <c r="M393" s="482"/>
      <c r="N393" s="482">
        <f t="shared" si="25"/>
        <v>902.37958336264717</v>
      </c>
      <c r="O393" s="481">
        <v>0</v>
      </c>
      <c r="P393" s="475"/>
    </row>
    <row r="394" spans="1:16">
      <c r="A394" s="470">
        <f t="shared" si="23"/>
        <v>2040</v>
      </c>
      <c r="B394" s="470">
        <f t="shared" si="24"/>
        <v>5</v>
      </c>
      <c r="C394" s="482">
        <v>187.82756805243409</v>
      </c>
      <c r="D394" s="482">
        <v>0</v>
      </c>
      <c r="E394" s="482">
        <v>812.14179640604141</v>
      </c>
      <c r="F394" s="482">
        <v>0</v>
      </c>
      <c r="G394" s="482">
        <v>0</v>
      </c>
      <c r="H394" s="482"/>
      <c r="I394" s="482"/>
      <c r="J394" s="482"/>
      <c r="K394" s="482"/>
      <c r="L394" s="482"/>
      <c r="M394" s="482"/>
      <c r="N394" s="482">
        <f t="shared" si="25"/>
        <v>999.96936445847552</v>
      </c>
      <c r="O394" s="481">
        <v>0</v>
      </c>
      <c r="P394" s="475"/>
    </row>
    <row r="395" spans="1:16">
      <c r="A395" s="470">
        <f t="shared" si="23"/>
        <v>2040</v>
      </c>
      <c r="B395" s="470">
        <f t="shared" si="24"/>
        <v>6</v>
      </c>
      <c r="C395" s="482">
        <v>192.11458378502007</v>
      </c>
      <c r="D395" s="482">
        <v>0</v>
      </c>
      <c r="E395" s="482">
        <v>841.95490914784921</v>
      </c>
      <c r="F395" s="482">
        <v>0</v>
      </c>
      <c r="G395" s="482">
        <v>0</v>
      </c>
      <c r="H395" s="482"/>
      <c r="I395" s="482"/>
      <c r="J395" s="482"/>
      <c r="K395" s="482"/>
      <c r="L395" s="482"/>
      <c r="M395" s="482"/>
      <c r="N395" s="482">
        <f t="shared" si="25"/>
        <v>1034.0694929328693</v>
      </c>
      <c r="O395" s="481">
        <v>0</v>
      </c>
      <c r="P395" s="475"/>
    </row>
    <row r="396" spans="1:16">
      <c r="A396" s="470">
        <f t="shared" si="23"/>
        <v>2040</v>
      </c>
      <c r="B396" s="470">
        <f t="shared" si="24"/>
        <v>7</v>
      </c>
      <c r="C396" s="482">
        <v>203.00179044323295</v>
      </c>
      <c r="D396" s="482">
        <v>0</v>
      </c>
      <c r="E396" s="482">
        <v>891.95847276467373</v>
      </c>
      <c r="F396" s="482">
        <v>0</v>
      </c>
      <c r="G396" s="482">
        <v>0</v>
      </c>
      <c r="H396" s="482"/>
      <c r="I396" s="482"/>
      <c r="J396" s="482"/>
      <c r="K396" s="482"/>
      <c r="L396" s="482"/>
      <c r="M396" s="482"/>
      <c r="N396" s="482">
        <f t="shared" si="25"/>
        <v>1094.9602632079068</v>
      </c>
      <c r="O396" s="481">
        <v>0</v>
      </c>
      <c r="P396" s="475"/>
    </row>
    <row r="397" spans="1:16" s="479" customFormat="1" ht="12">
      <c r="A397" s="470">
        <f t="shared" si="23"/>
        <v>2040</v>
      </c>
      <c r="B397" s="470">
        <f t="shared" si="24"/>
        <v>8</v>
      </c>
      <c r="C397" s="482">
        <v>201.03329702598614</v>
      </c>
      <c r="D397" s="482">
        <v>0</v>
      </c>
      <c r="E397" s="482">
        <v>906.62384868610479</v>
      </c>
      <c r="F397" s="482">
        <v>0</v>
      </c>
      <c r="G397" s="482">
        <v>0</v>
      </c>
      <c r="H397" s="482"/>
      <c r="I397" s="482"/>
      <c r="J397" s="482"/>
      <c r="K397" s="482"/>
      <c r="L397" s="482"/>
      <c r="M397" s="482"/>
      <c r="N397" s="482">
        <f t="shared" si="25"/>
        <v>1107.6571457120908</v>
      </c>
      <c r="O397" s="481">
        <v>0</v>
      </c>
      <c r="P397" s="475"/>
    </row>
    <row r="398" spans="1:16">
      <c r="A398" s="470">
        <f t="shared" si="23"/>
        <v>2040</v>
      </c>
      <c r="B398" s="470">
        <f t="shared" si="24"/>
        <v>9</v>
      </c>
      <c r="C398" s="482">
        <v>189.73730162333175</v>
      </c>
      <c r="D398" s="482">
        <v>0</v>
      </c>
      <c r="E398" s="482">
        <v>866.74985072477841</v>
      </c>
      <c r="F398" s="482">
        <v>0</v>
      </c>
      <c r="G398" s="482">
        <v>0</v>
      </c>
      <c r="H398" s="482"/>
      <c r="I398" s="482"/>
      <c r="J398" s="482"/>
      <c r="K398" s="482"/>
      <c r="L398" s="482"/>
      <c r="M398" s="482"/>
      <c r="N398" s="482">
        <f t="shared" si="25"/>
        <v>1056.4871523481102</v>
      </c>
      <c r="O398" s="481">
        <v>0</v>
      </c>
      <c r="P398" s="475"/>
    </row>
    <row r="399" spans="1:16">
      <c r="A399" s="470">
        <f t="shared" si="23"/>
        <v>2040</v>
      </c>
      <c r="B399" s="470">
        <f t="shared" si="24"/>
        <v>10</v>
      </c>
      <c r="C399" s="482">
        <v>171.41469831100696</v>
      </c>
      <c r="D399" s="482">
        <v>0</v>
      </c>
      <c r="E399" s="482">
        <v>771.41755176802053</v>
      </c>
      <c r="F399" s="482">
        <v>0</v>
      </c>
      <c r="G399" s="482">
        <v>0</v>
      </c>
      <c r="H399" s="482"/>
      <c r="I399" s="482"/>
      <c r="J399" s="482"/>
      <c r="K399" s="482"/>
      <c r="L399" s="482"/>
      <c r="M399" s="482"/>
      <c r="N399" s="482">
        <f t="shared" si="25"/>
        <v>942.83225007902752</v>
      </c>
      <c r="O399" s="481">
        <v>0</v>
      </c>
      <c r="P399" s="475"/>
    </row>
    <row r="400" spans="1:16">
      <c r="A400" s="470">
        <f t="shared" si="23"/>
        <v>2040</v>
      </c>
      <c r="B400" s="470">
        <f t="shared" si="24"/>
        <v>11</v>
      </c>
      <c r="C400" s="482">
        <v>153.14905347148289</v>
      </c>
      <c r="D400" s="482">
        <v>0</v>
      </c>
      <c r="E400" s="482">
        <v>614.08569517206445</v>
      </c>
      <c r="F400" s="482">
        <v>0</v>
      </c>
      <c r="G400" s="482">
        <v>0</v>
      </c>
      <c r="H400" s="482"/>
      <c r="I400" s="482"/>
      <c r="J400" s="482"/>
      <c r="K400" s="482"/>
      <c r="L400" s="482"/>
      <c r="M400" s="482"/>
      <c r="N400" s="482">
        <f t="shared" si="25"/>
        <v>767.23474864354739</v>
      </c>
      <c r="O400" s="481">
        <v>0</v>
      </c>
      <c r="P400" s="475"/>
    </row>
    <row r="401" spans="1:16">
      <c r="A401" s="470">
        <f t="shared" si="23"/>
        <v>2040</v>
      </c>
      <c r="B401" s="470">
        <f t="shared" si="24"/>
        <v>12</v>
      </c>
      <c r="C401" s="482">
        <v>158.95562348194002</v>
      </c>
      <c r="D401" s="482">
        <v>0</v>
      </c>
      <c r="E401" s="482">
        <v>591.01489618737014</v>
      </c>
      <c r="F401" s="482">
        <v>0</v>
      </c>
      <c r="G401" s="482">
        <v>0</v>
      </c>
      <c r="H401" s="482"/>
      <c r="I401" s="482"/>
      <c r="J401" s="482"/>
      <c r="K401" s="482"/>
      <c r="L401" s="482"/>
      <c r="M401" s="482"/>
      <c r="N401" s="482">
        <f t="shared" si="25"/>
        <v>749.97051966931019</v>
      </c>
      <c r="O401" s="481">
        <v>0</v>
      </c>
      <c r="P401" s="475"/>
    </row>
    <row r="402" spans="1:16">
      <c r="A402" s="470">
        <f t="shared" si="23"/>
        <v>2041</v>
      </c>
      <c r="B402" s="470">
        <f t="shared" si="24"/>
        <v>1</v>
      </c>
      <c r="C402" s="482">
        <v>159.15088113654758</v>
      </c>
      <c r="D402" s="482">
        <v>0</v>
      </c>
      <c r="E402" s="482">
        <v>770.36115347882208</v>
      </c>
      <c r="F402" s="482">
        <v>0</v>
      </c>
      <c r="G402" s="482">
        <v>0</v>
      </c>
      <c r="H402" s="482"/>
      <c r="I402" s="482"/>
      <c r="J402" s="482"/>
      <c r="K402" s="482"/>
      <c r="L402" s="482"/>
      <c r="M402" s="482"/>
      <c r="N402" s="482">
        <f t="shared" si="25"/>
        <v>929.51203461536966</v>
      </c>
      <c r="O402" s="481">
        <v>0</v>
      </c>
      <c r="P402" s="475"/>
    </row>
    <row r="403" spans="1:16">
      <c r="A403" s="470">
        <f t="shared" si="23"/>
        <v>2041</v>
      </c>
      <c r="B403" s="470">
        <f t="shared" si="24"/>
        <v>2</v>
      </c>
      <c r="C403" s="482">
        <v>157.41511342659155</v>
      </c>
      <c r="D403" s="482">
        <v>0</v>
      </c>
      <c r="E403" s="482">
        <v>689.00662867011613</v>
      </c>
      <c r="F403" s="482">
        <v>0</v>
      </c>
      <c r="G403" s="482">
        <v>0</v>
      </c>
      <c r="H403" s="482"/>
      <c r="I403" s="482"/>
      <c r="J403" s="482"/>
      <c r="K403" s="482"/>
      <c r="L403" s="482"/>
      <c r="M403" s="482"/>
      <c r="N403" s="482">
        <f t="shared" si="25"/>
        <v>846.4217420967077</v>
      </c>
      <c r="O403" s="481">
        <v>0</v>
      </c>
      <c r="P403" s="475"/>
    </row>
    <row r="404" spans="1:16">
      <c r="A404" s="470">
        <f t="shared" si="23"/>
        <v>2041</v>
      </c>
      <c r="B404" s="470">
        <f t="shared" si="24"/>
        <v>3</v>
      </c>
      <c r="C404" s="482">
        <v>166.59427088169275</v>
      </c>
      <c r="D404" s="482">
        <v>0</v>
      </c>
      <c r="E404" s="482">
        <v>636.07904744475388</v>
      </c>
      <c r="F404" s="482">
        <v>0</v>
      </c>
      <c r="G404" s="482">
        <v>0</v>
      </c>
      <c r="H404" s="482"/>
      <c r="I404" s="482"/>
      <c r="J404" s="482"/>
      <c r="K404" s="482"/>
      <c r="L404" s="482"/>
      <c r="M404" s="482"/>
      <c r="N404" s="482">
        <f t="shared" si="25"/>
        <v>802.67331832644663</v>
      </c>
      <c r="O404" s="481">
        <v>0</v>
      </c>
      <c r="P404" s="475"/>
    </row>
    <row r="405" spans="1:16">
      <c r="A405" s="470">
        <f t="shared" si="23"/>
        <v>2041</v>
      </c>
      <c r="B405" s="470">
        <f t="shared" si="24"/>
        <v>4</v>
      </c>
      <c r="C405" s="482">
        <v>173.16526006155431</v>
      </c>
      <c r="D405" s="482">
        <v>0</v>
      </c>
      <c r="E405" s="482">
        <v>735.4505284557797</v>
      </c>
      <c r="F405" s="482">
        <v>0</v>
      </c>
      <c r="G405" s="482">
        <v>0</v>
      </c>
      <c r="H405" s="482"/>
      <c r="I405" s="482"/>
      <c r="J405" s="482"/>
      <c r="K405" s="482"/>
      <c r="L405" s="482"/>
      <c r="M405" s="482"/>
      <c r="N405" s="482">
        <f t="shared" si="25"/>
        <v>908.61578851733407</v>
      </c>
      <c r="O405" s="481">
        <v>0</v>
      </c>
      <c r="P405" s="475"/>
    </row>
    <row r="406" spans="1:16">
      <c r="A406" s="470">
        <f t="shared" si="23"/>
        <v>2041</v>
      </c>
      <c r="B406" s="470">
        <f t="shared" si="24"/>
        <v>5</v>
      </c>
      <c r="C406" s="482">
        <v>189.5979606749631</v>
      </c>
      <c r="D406" s="482">
        <v>0</v>
      </c>
      <c r="E406" s="482">
        <v>816.34538758237363</v>
      </c>
      <c r="F406" s="482">
        <v>0</v>
      </c>
      <c r="G406" s="482">
        <v>0</v>
      </c>
      <c r="H406" s="482"/>
      <c r="I406" s="482"/>
      <c r="J406" s="482"/>
      <c r="K406" s="482"/>
      <c r="L406" s="482"/>
      <c r="M406" s="482"/>
      <c r="N406" s="482">
        <f t="shared" si="25"/>
        <v>1005.9433482573368</v>
      </c>
      <c r="O406" s="481">
        <v>0</v>
      </c>
      <c r="P406" s="475"/>
    </row>
    <row r="407" spans="1:16">
      <c r="A407" s="470">
        <f t="shared" si="23"/>
        <v>2041</v>
      </c>
      <c r="B407" s="470">
        <f t="shared" si="24"/>
        <v>6</v>
      </c>
      <c r="C407" s="482">
        <v>193.92538421937533</v>
      </c>
      <c r="D407" s="482">
        <v>0</v>
      </c>
      <c r="E407" s="482">
        <v>844.91999868903997</v>
      </c>
      <c r="F407" s="482">
        <v>0</v>
      </c>
      <c r="G407" s="482">
        <v>0</v>
      </c>
      <c r="H407" s="482"/>
      <c r="I407" s="482"/>
      <c r="J407" s="482"/>
      <c r="K407" s="482"/>
      <c r="L407" s="482"/>
      <c r="M407" s="482"/>
      <c r="N407" s="482">
        <f t="shared" si="25"/>
        <v>1038.8453829084153</v>
      </c>
      <c r="O407" s="481">
        <v>0</v>
      </c>
      <c r="P407" s="475"/>
    </row>
    <row r="408" spans="1:16">
      <c r="A408" s="470">
        <f t="shared" si="23"/>
        <v>2041</v>
      </c>
      <c r="B408" s="470">
        <f t="shared" si="24"/>
        <v>7</v>
      </c>
      <c r="C408" s="482">
        <v>204.91558621466078</v>
      </c>
      <c r="D408" s="482">
        <v>0</v>
      </c>
      <c r="E408" s="482">
        <v>897.03139932972545</v>
      </c>
      <c r="F408" s="482">
        <v>0</v>
      </c>
      <c r="G408" s="482">
        <v>0</v>
      </c>
      <c r="H408" s="482"/>
      <c r="I408" s="482"/>
      <c r="J408" s="482"/>
      <c r="K408" s="482"/>
      <c r="L408" s="482"/>
      <c r="M408" s="482"/>
      <c r="N408" s="482">
        <f t="shared" si="25"/>
        <v>1101.9469855443863</v>
      </c>
      <c r="O408" s="481">
        <v>0</v>
      </c>
      <c r="P408" s="475"/>
    </row>
    <row r="409" spans="1:16">
      <c r="A409" s="470">
        <f t="shared" si="23"/>
        <v>2041</v>
      </c>
      <c r="B409" s="470">
        <f t="shared" si="24"/>
        <v>8</v>
      </c>
      <c r="C409" s="482">
        <v>202.92816192589333</v>
      </c>
      <c r="D409" s="482">
        <v>0</v>
      </c>
      <c r="E409" s="482">
        <v>911.80386848678643</v>
      </c>
      <c r="F409" s="482">
        <v>0</v>
      </c>
      <c r="G409" s="482">
        <v>0</v>
      </c>
      <c r="H409" s="482"/>
      <c r="I409" s="482"/>
      <c r="J409" s="482"/>
      <c r="K409" s="482"/>
      <c r="L409" s="482"/>
      <c r="M409" s="482"/>
      <c r="N409" s="482">
        <f t="shared" si="25"/>
        <v>1114.7320304126797</v>
      </c>
      <c r="O409" s="481">
        <v>0</v>
      </c>
      <c r="P409" s="475"/>
    </row>
    <row r="410" spans="1:16">
      <c r="A410" s="470">
        <f t="shared" si="23"/>
        <v>2041</v>
      </c>
      <c r="B410" s="470">
        <f t="shared" si="24"/>
        <v>9</v>
      </c>
      <c r="C410" s="482">
        <v>191.52569468243135</v>
      </c>
      <c r="D410" s="482">
        <v>0</v>
      </c>
      <c r="E410" s="482">
        <v>871.71395809575836</v>
      </c>
      <c r="F410" s="482">
        <v>0</v>
      </c>
      <c r="G410" s="482">
        <v>0</v>
      </c>
      <c r="H410" s="482"/>
      <c r="I410" s="482"/>
      <c r="J410" s="482"/>
      <c r="K410" s="482"/>
      <c r="L410" s="482"/>
      <c r="M410" s="482"/>
      <c r="N410" s="482">
        <f t="shared" si="25"/>
        <v>1063.2396527781898</v>
      </c>
      <c r="O410" s="481">
        <v>0</v>
      </c>
      <c r="P410" s="475"/>
    </row>
    <row r="411" spans="1:16">
      <c r="A411" s="470">
        <f t="shared" si="23"/>
        <v>2041</v>
      </c>
      <c r="B411" s="470">
        <f t="shared" si="24"/>
        <v>10</v>
      </c>
      <c r="C411" s="482">
        <v>173.03038934310371</v>
      </c>
      <c r="D411" s="482">
        <v>0</v>
      </c>
      <c r="E411" s="482">
        <v>774.05262467982141</v>
      </c>
      <c r="F411" s="482">
        <v>0</v>
      </c>
      <c r="G411" s="482">
        <v>0</v>
      </c>
      <c r="H411" s="482"/>
      <c r="I411" s="482"/>
      <c r="J411" s="482"/>
      <c r="K411" s="482"/>
      <c r="L411" s="482"/>
      <c r="M411" s="482"/>
      <c r="N411" s="482">
        <f t="shared" si="25"/>
        <v>947.08301402292511</v>
      </c>
      <c r="O411" s="481">
        <v>0</v>
      </c>
      <c r="P411" s="475"/>
    </row>
    <row r="412" spans="1:16">
      <c r="A412" s="470">
        <f t="shared" si="23"/>
        <v>2041</v>
      </c>
      <c r="B412" s="470">
        <f t="shared" si="24"/>
        <v>11</v>
      </c>
      <c r="C412" s="482">
        <v>154.5925793459036</v>
      </c>
      <c r="D412" s="482">
        <v>0</v>
      </c>
      <c r="E412" s="482">
        <v>615.34778656410515</v>
      </c>
      <c r="F412" s="482">
        <v>0</v>
      </c>
      <c r="G412" s="482">
        <v>0</v>
      </c>
      <c r="H412" s="482"/>
      <c r="I412" s="482"/>
      <c r="J412" s="482"/>
      <c r="K412" s="482"/>
      <c r="L412" s="482"/>
      <c r="M412" s="482"/>
      <c r="N412" s="482">
        <f t="shared" si="25"/>
        <v>769.94036591000872</v>
      </c>
      <c r="O412" s="481">
        <v>0</v>
      </c>
      <c r="P412" s="475"/>
    </row>
    <row r="413" spans="1:16">
      <c r="A413" s="470">
        <f t="shared" si="23"/>
        <v>2041</v>
      </c>
      <c r="B413" s="470">
        <f t="shared" si="24"/>
        <v>12</v>
      </c>
      <c r="C413" s="482">
        <v>160.45387992022478</v>
      </c>
      <c r="D413" s="482">
        <v>0</v>
      </c>
      <c r="E413" s="482">
        <v>592.6660141608038</v>
      </c>
      <c r="F413" s="482">
        <v>0</v>
      </c>
      <c r="G413" s="482">
        <v>0</v>
      </c>
      <c r="H413" s="482"/>
      <c r="I413" s="482"/>
      <c r="J413" s="482"/>
      <c r="K413" s="482"/>
      <c r="L413" s="482"/>
      <c r="M413" s="482"/>
      <c r="N413" s="482">
        <f t="shared" si="25"/>
        <v>753.11989408102863</v>
      </c>
      <c r="O413" s="481">
        <v>0</v>
      </c>
      <c r="P413" s="475"/>
    </row>
    <row r="414" spans="1:16">
      <c r="A414" s="470">
        <f t="shared" si="23"/>
        <v>2042</v>
      </c>
      <c r="B414" s="470">
        <f t="shared" si="24"/>
        <v>1</v>
      </c>
      <c r="C414" s="482">
        <v>160.65097800068034</v>
      </c>
      <c r="D414" s="482">
        <v>0</v>
      </c>
      <c r="E414" s="482">
        <v>771.13148402281297</v>
      </c>
      <c r="F414" s="482">
        <v>0</v>
      </c>
      <c r="G414" s="482">
        <v>0</v>
      </c>
      <c r="H414" s="482"/>
      <c r="I414" s="482"/>
      <c r="J414" s="482"/>
      <c r="K414" s="482"/>
      <c r="L414" s="482"/>
      <c r="M414" s="482"/>
      <c r="N414" s="482">
        <f t="shared" si="25"/>
        <v>931.78246202349328</v>
      </c>
      <c r="O414" s="481">
        <v>0</v>
      </c>
      <c r="P414" s="475"/>
    </row>
    <row r="415" spans="1:16">
      <c r="A415" s="470">
        <f t="shared" si="23"/>
        <v>2042</v>
      </c>
      <c r="B415" s="470">
        <f t="shared" si="24"/>
        <v>2</v>
      </c>
      <c r="C415" s="482">
        <v>158.89884959149367</v>
      </c>
      <c r="D415" s="482">
        <v>0</v>
      </c>
      <c r="E415" s="482">
        <v>689.69548704778936</v>
      </c>
      <c r="F415" s="482">
        <v>0</v>
      </c>
      <c r="G415" s="482">
        <v>0</v>
      </c>
      <c r="H415" s="482"/>
      <c r="I415" s="482"/>
      <c r="J415" s="482"/>
      <c r="K415" s="482"/>
      <c r="L415" s="482"/>
      <c r="M415" s="482"/>
      <c r="N415" s="482">
        <f t="shared" si="25"/>
        <v>848.59433663928303</v>
      </c>
      <c r="O415" s="481">
        <v>0</v>
      </c>
      <c r="P415" s="475"/>
    </row>
    <row r="416" spans="1:16">
      <c r="A416" s="470">
        <f t="shared" si="23"/>
        <v>2042</v>
      </c>
      <c r="B416" s="470">
        <f t="shared" si="24"/>
        <v>3</v>
      </c>
      <c r="C416" s="482">
        <v>168.16452636219927</v>
      </c>
      <c r="D416" s="482">
        <v>0</v>
      </c>
      <c r="E416" s="482">
        <v>636.78007436455482</v>
      </c>
      <c r="F416" s="482">
        <v>0</v>
      </c>
      <c r="G416" s="482">
        <v>0</v>
      </c>
      <c r="H416" s="482"/>
      <c r="I416" s="482"/>
      <c r="J416" s="482"/>
      <c r="K416" s="482"/>
      <c r="L416" s="482"/>
      <c r="M416" s="482"/>
      <c r="N416" s="482">
        <f t="shared" si="25"/>
        <v>804.94460072675406</v>
      </c>
      <c r="O416" s="481">
        <v>0</v>
      </c>
      <c r="P416" s="475"/>
    </row>
    <row r="417" spans="1:16">
      <c r="A417" s="470">
        <f t="shared" si="23"/>
        <v>2042</v>
      </c>
      <c r="B417" s="470">
        <f t="shared" si="24"/>
        <v>4</v>
      </c>
      <c r="C417" s="482">
        <v>174.79745123599207</v>
      </c>
      <c r="D417" s="482">
        <v>0</v>
      </c>
      <c r="E417" s="482">
        <v>740.09897943284182</v>
      </c>
      <c r="F417" s="482">
        <v>0</v>
      </c>
      <c r="G417" s="482">
        <v>0</v>
      </c>
      <c r="H417" s="482"/>
      <c r="I417" s="482"/>
      <c r="J417" s="482"/>
      <c r="K417" s="482"/>
      <c r="L417" s="482"/>
      <c r="M417" s="482"/>
      <c r="N417" s="482">
        <f t="shared" si="25"/>
        <v>914.89643066883389</v>
      </c>
      <c r="O417" s="481">
        <v>0</v>
      </c>
      <c r="P417" s="475"/>
    </row>
    <row r="418" spans="1:16">
      <c r="A418" s="470">
        <f t="shared" si="23"/>
        <v>2042</v>
      </c>
      <c r="B418" s="470">
        <f t="shared" si="24"/>
        <v>5</v>
      </c>
      <c r="C418" s="482">
        <v>191.38504035823831</v>
      </c>
      <c r="D418" s="482">
        <v>0</v>
      </c>
      <c r="E418" s="482">
        <v>820.57073626319084</v>
      </c>
      <c r="F418" s="482">
        <v>0</v>
      </c>
      <c r="G418" s="482">
        <v>0</v>
      </c>
      <c r="H418" s="482"/>
      <c r="I418" s="482"/>
      <c r="J418" s="482"/>
      <c r="K418" s="482"/>
      <c r="L418" s="482"/>
      <c r="M418" s="482"/>
      <c r="N418" s="482">
        <f t="shared" si="25"/>
        <v>1011.9557766214291</v>
      </c>
      <c r="O418" s="481">
        <v>0</v>
      </c>
      <c r="P418" s="475"/>
    </row>
    <row r="419" spans="1:16">
      <c r="A419" s="470">
        <f t="shared" si="23"/>
        <v>2042</v>
      </c>
      <c r="B419" s="470">
        <f t="shared" si="24"/>
        <v>6</v>
      </c>
      <c r="C419" s="482">
        <v>195.75325258344452</v>
      </c>
      <c r="D419" s="482">
        <v>0</v>
      </c>
      <c r="E419" s="482">
        <v>847.89553030484979</v>
      </c>
      <c r="F419" s="482">
        <v>0</v>
      </c>
      <c r="G419" s="482">
        <v>0</v>
      </c>
      <c r="H419" s="482"/>
      <c r="I419" s="482"/>
      <c r="J419" s="482"/>
      <c r="K419" s="482"/>
      <c r="L419" s="482"/>
      <c r="M419" s="482"/>
      <c r="N419" s="482">
        <f t="shared" si="25"/>
        <v>1043.6487828882944</v>
      </c>
      <c r="O419" s="481">
        <v>0</v>
      </c>
      <c r="P419" s="475"/>
    </row>
    <row r="420" spans="1:16">
      <c r="A420" s="470">
        <f t="shared" si="23"/>
        <v>2042</v>
      </c>
      <c r="B420" s="470">
        <f t="shared" si="24"/>
        <v>7</v>
      </c>
      <c r="C420" s="482">
        <v>206.84742426170962</v>
      </c>
      <c r="D420" s="482">
        <v>0</v>
      </c>
      <c r="E420" s="482">
        <v>902.13317766839691</v>
      </c>
      <c r="F420" s="482">
        <v>0</v>
      </c>
      <c r="G420" s="482">
        <v>0</v>
      </c>
      <c r="H420" s="482"/>
      <c r="I420" s="482"/>
      <c r="J420" s="482"/>
      <c r="K420" s="482"/>
      <c r="L420" s="482"/>
      <c r="M420" s="482"/>
      <c r="N420" s="482">
        <f t="shared" si="25"/>
        <v>1108.9806019301066</v>
      </c>
      <c r="O420" s="481">
        <v>0</v>
      </c>
      <c r="P420" s="475"/>
    </row>
    <row r="421" spans="1:16">
      <c r="A421" s="470">
        <f t="shared" si="23"/>
        <v>2042</v>
      </c>
      <c r="B421" s="470">
        <f t="shared" si="24"/>
        <v>8</v>
      </c>
      <c r="C421" s="482">
        <v>204.84088711582223</v>
      </c>
      <c r="D421" s="482">
        <v>0</v>
      </c>
      <c r="E421" s="482">
        <v>917.01348447024486</v>
      </c>
      <c r="F421" s="482">
        <v>0</v>
      </c>
      <c r="G421" s="482">
        <v>0</v>
      </c>
      <c r="H421" s="482"/>
      <c r="I421" s="482"/>
      <c r="J421" s="482"/>
      <c r="K421" s="482"/>
      <c r="L421" s="482"/>
      <c r="M421" s="482"/>
      <c r="N421" s="482">
        <f t="shared" si="25"/>
        <v>1121.8543715860671</v>
      </c>
      <c r="O421" s="481">
        <v>0</v>
      </c>
      <c r="P421" s="475"/>
    </row>
    <row r="422" spans="1:16">
      <c r="A422" s="470">
        <f t="shared" si="23"/>
        <v>2042</v>
      </c>
      <c r="B422" s="470">
        <f t="shared" si="24"/>
        <v>9</v>
      </c>
      <c r="C422" s="482">
        <v>193.33094446768058</v>
      </c>
      <c r="D422" s="482">
        <v>0</v>
      </c>
      <c r="E422" s="482">
        <v>876.70649623251222</v>
      </c>
      <c r="F422" s="482">
        <v>0</v>
      </c>
      <c r="G422" s="482">
        <v>0</v>
      </c>
      <c r="H422" s="482"/>
      <c r="I422" s="482"/>
      <c r="J422" s="482"/>
      <c r="K422" s="482"/>
      <c r="L422" s="482"/>
      <c r="M422" s="482"/>
      <c r="N422" s="482">
        <f t="shared" si="25"/>
        <v>1070.0374407001927</v>
      </c>
      <c r="O422" s="481">
        <v>0</v>
      </c>
      <c r="P422" s="475"/>
    </row>
    <row r="423" spans="1:16">
      <c r="A423" s="470">
        <f t="shared" si="23"/>
        <v>2042</v>
      </c>
      <c r="B423" s="470">
        <f t="shared" si="24"/>
        <v>10</v>
      </c>
      <c r="C423" s="482">
        <v>174.66130927643775</v>
      </c>
      <c r="D423" s="482">
        <v>0</v>
      </c>
      <c r="E423" s="482">
        <v>776.69669869515519</v>
      </c>
      <c r="F423" s="482">
        <v>0</v>
      </c>
      <c r="G423" s="482">
        <v>0</v>
      </c>
      <c r="H423" s="482"/>
      <c r="I423" s="482"/>
      <c r="J423" s="482"/>
      <c r="K423" s="482"/>
      <c r="L423" s="482"/>
      <c r="M423" s="482"/>
      <c r="N423" s="482">
        <f t="shared" si="25"/>
        <v>951.358007971593</v>
      </c>
      <c r="O423" s="481">
        <v>0</v>
      </c>
      <c r="P423" s="475"/>
    </row>
    <row r="424" spans="1:16">
      <c r="A424" s="470">
        <f t="shared" si="23"/>
        <v>2042</v>
      </c>
      <c r="B424" s="470">
        <f t="shared" si="24"/>
        <v>11</v>
      </c>
      <c r="C424" s="482">
        <v>156.04971135697937</v>
      </c>
      <c r="D424" s="482">
        <v>0</v>
      </c>
      <c r="E424" s="482">
        <v>616.61247185255866</v>
      </c>
      <c r="F424" s="482">
        <v>0</v>
      </c>
      <c r="G424" s="482">
        <v>0</v>
      </c>
      <c r="H424" s="482"/>
      <c r="I424" s="482"/>
      <c r="J424" s="482"/>
      <c r="K424" s="482"/>
      <c r="L424" s="482"/>
      <c r="M424" s="482"/>
      <c r="N424" s="482">
        <f t="shared" si="25"/>
        <v>772.66218320953806</v>
      </c>
      <c r="O424" s="481">
        <v>0</v>
      </c>
      <c r="P424" s="475"/>
    </row>
    <row r="425" spans="1:16">
      <c r="A425" s="470">
        <f t="shared" si="23"/>
        <v>2042</v>
      </c>
      <c r="B425" s="470">
        <f t="shared" si="24"/>
        <v>12</v>
      </c>
      <c r="C425" s="482">
        <v>161.96625836505254</v>
      </c>
      <c r="D425" s="482">
        <v>0</v>
      </c>
      <c r="E425" s="482">
        <v>594.3217448615643</v>
      </c>
      <c r="F425" s="482">
        <v>0</v>
      </c>
      <c r="G425" s="482">
        <v>0</v>
      </c>
      <c r="H425" s="482"/>
      <c r="I425" s="482"/>
      <c r="J425" s="482"/>
      <c r="K425" s="482"/>
      <c r="L425" s="482"/>
      <c r="M425" s="482"/>
      <c r="N425" s="482">
        <f t="shared" si="25"/>
        <v>756.28800322661687</v>
      </c>
      <c r="O425" s="481">
        <v>0</v>
      </c>
      <c r="P425" s="475"/>
    </row>
    <row r="426" spans="1:16">
      <c r="A426" s="470">
        <f t="shared" si="23"/>
        <v>2043</v>
      </c>
      <c r="B426" s="470">
        <f t="shared" si="24"/>
        <v>1</v>
      </c>
      <c r="C426" s="482">
        <v>162.16521421852394</v>
      </c>
      <c r="D426" s="482">
        <v>0</v>
      </c>
      <c r="E426" s="482">
        <v>771.90258486673952</v>
      </c>
      <c r="F426" s="482">
        <v>0</v>
      </c>
      <c r="G426" s="482">
        <v>0</v>
      </c>
      <c r="H426" s="482"/>
      <c r="I426" s="482"/>
      <c r="J426" s="482"/>
      <c r="K426" s="482"/>
      <c r="L426" s="482"/>
      <c r="M426" s="482"/>
      <c r="N426" s="482">
        <f t="shared" si="25"/>
        <v>934.06779908526346</v>
      </c>
      <c r="O426" s="481">
        <v>0</v>
      </c>
      <c r="P426" s="475"/>
    </row>
    <row r="427" spans="1:16">
      <c r="A427" s="470">
        <f t="shared" si="23"/>
        <v>2043</v>
      </c>
      <c r="B427" s="470">
        <f t="shared" si="24"/>
        <v>2</v>
      </c>
      <c r="C427" s="482">
        <v>160.39657090025599</v>
      </c>
      <c r="D427" s="482">
        <v>0</v>
      </c>
      <c r="E427" s="482">
        <v>690.38503413562114</v>
      </c>
      <c r="F427" s="482">
        <v>0</v>
      </c>
      <c r="G427" s="482">
        <v>0</v>
      </c>
      <c r="H427" s="482"/>
      <c r="I427" s="482"/>
      <c r="J427" s="482"/>
      <c r="K427" s="482"/>
      <c r="L427" s="482"/>
      <c r="M427" s="482"/>
      <c r="N427" s="482">
        <f t="shared" si="25"/>
        <v>850.78160503587719</v>
      </c>
      <c r="O427" s="481">
        <v>0</v>
      </c>
      <c r="P427" s="475"/>
    </row>
    <row r="428" spans="1:16">
      <c r="A428" s="470">
        <f t="shared" si="23"/>
        <v>2043</v>
      </c>
      <c r="B428" s="470">
        <f t="shared" si="24"/>
        <v>3</v>
      </c>
      <c r="C428" s="482">
        <v>169.74958248537502</v>
      </c>
      <c r="D428" s="482">
        <v>0</v>
      </c>
      <c r="E428" s="482">
        <v>637.48187389075463</v>
      </c>
      <c r="F428" s="482">
        <v>0</v>
      </c>
      <c r="G428" s="482">
        <v>0</v>
      </c>
      <c r="H428" s="482"/>
      <c r="I428" s="482"/>
      <c r="J428" s="482"/>
      <c r="K428" s="482"/>
      <c r="L428" s="482"/>
      <c r="M428" s="482"/>
      <c r="N428" s="482">
        <f t="shared" si="25"/>
        <v>807.2314563761297</v>
      </c>
      <c r="O428" s="481">
        <v>0</v>
      </c>
      <c r="P428" s="475"/>
    </row>
    <row r="429" spans="1:16">
      <c r="A429" s="470">
        <f t="shared" si="23"/>
        <v>2043</v>
      </c>
      <c r="B429" s="470">
        <f t="shared" si="24"/>
        <v>4</v>
      </c>
      <c r="C429" s="482">
        <v>176.44502683585654</v>
      </c>
      <c r="D429" s="482">
        <v>0</v>
      </c>
      <c r="E429" s="482">
        <v>744.7768111712877</v>
      </c>
      <c r="F429" s="482">
        <v>0</v>
      </c>
      <c r="G429" s="482">
        <v>0</v>
      </c>
      <c r="H429" s="482"/>
      <c r="I429" s="482"/>
      <c r="J429" s="482"/>
      <c r="K429" s="482"/>
      <c r="L429" s="482"/>
      <c r="M429" s="482"/>
      <c r="N429" s="482">
        <f t="shared" si="25"/>
        <v>921.22183800714424</v>
      </c>
      <c r="O429" s="481">
        <v>0</v>
      </c>
      <c r="P429" s="475"/>
    </row>
    <row r="430" spans="1:16">
      <c r="A430" s="470">
        <f t="shared" si="23"/>
        <v>2043</v>
      </c>
      <c r="B430" s="470">
        <f t="shared" si="24"/>
        <v>5</v>
      </c>
      <c r="C430" s="482">
        <v>193.18896438827235</v>
      </c>
      <c r="D430" s="482">
        <v>0</v>
      </c>
      <c r="E430" s="482">
        <v>824.81795506386914</v>
      </c>
      <c r="F430" s="482">
        <v>0</v>
      </c>
      <c r="G430" s="482">
        <v>0</v>
      </c>
      <c r="H430" s="482"/>
      <c r="I430" s="482"/>
      <c r="J430" s="482"/>
      <c r="K430" s="482"/>
      <c r="L430" s="482"/>
      <c r="M430" s="482"/>
      <c r="N430" s="482">
        <f t="shared" si="25"/>
        <v>1018.0069194521415</v>
      </c>
      <c r="O430" s="481">
        <v>0</v>
      </c>
      <c r="P430" s="475"/>
    </row>
    <row r="431" spans="1:16">
      <c r="A431" s="470">
        <f t="shared" si="23"/>
        <v>2043</v>
      </c>
      <c r="B431" s="470">
        <f t="shared" si="24"/>
        <v>6</v>
      </c>
      <c r="C431" s="482">
        <v>197.59834975316912</v>
      </c>
      <c r="D431" s="482">
        <v>0</v>
      </c>
      <c r="E431" s="482">
        <v>850.881540768847</v>
      </c>
      <c r="F431" s="482">
        <v>0</v>
      </c>
      <c r="G431" s="482">
        <v>0</v>
      </c>
      <c r="H431" s="482"/>
      <c r="I431" s="482"/>
      <c r="J431" s="482"/>
      <c r="K431" s="482"/>
      <c r="L431" s="482"/>
      <c r="M431" s="482"/>
      <c r="N431" s="482">
        <f t="shared" si="25"/>
        <v>1048.4798905220161</v>
      </c>
      <c r="O431" s="481">
        <v>0</v>
      </c>
      <c r="P431" s="475"/>
    </row>
    <row r="432" spans="1:16">
      <c r="A432" s="470">
        <f t="shared" si="23"/>
        <v>2043</v>
      </c>
      <c r="B432" s="470">
        <f t="shared" si="24"/>
        <v>7</v>
      </c>
      <c r="C432" s="482">
        <v>208.79747467761223</v>
      </c>
      <c r="D432" s="482">
        <v>0</v>
      </c>
      <c r="E432" s="482">
        <v>907.26397187232828</v>
      </c>
      <c r="F432" s="482">
        <v>0</v>
      </c>
      <c r="G432" s="482">
        <v>0</v>
      </c>
      <c r="H432" s="482"/>
      <c r="I432" s="482"/>
      <c r="J432" s="482"/>
      <c r="K432" s="482"/>
      <c r="L432" s="482"/>
      <c r="M432" s="482"/>
      <c r="N432" s="482">
        <f t="shared" si="25"/>
        <v>1116.0614465499405</v>
      </c>
      <c r="O432" s="481">
        <v>0</v>
      </c>
      <c r="P432" s="475"/>
    </row>
    <row r="433" spans="1:16">
      <c r="A433" s="470">
        <f t="shared" si="23"/>
        <v>2043</v>
      </c>
      <c r="B433" s="470">
        <f t="shared" si="24"/>
        <v>8</v>
      </c>
      <c r="C433" s="482">
        <v>206.77164094020711</v>
      </c>
      <c r="D433" s="482">
        <v>0</v>
      </c>
      <c r="E433" s="482">
        <v>922.2528657350681</v>
      </c>
      <c r="F433" s="482">
        <v>0</v>
      </c>
      <c r="G433" s="482">
        <v>0</v>
      </c>
      <c r="H433" s="482"/>
      <c r="I433" s="482"/>
      <c r="J433" s="482"/>
      <c r="K433" s="482"/>
      <c r="L433" s="482"/>
      <c r="M433" s="482"/>
      <c r="N433" s="482">
        <f t="shared" si="25"/>
        <v>1129.0245066752752</v>
      </c>
      <c r="O433" s="481">
        <v>0</v>
      </c>
      <c r="P433" s="475"/>
    </row>
    <row r="434" spans="1:16">
      <c r="A434" s="470">
        <f t="shared" si="23"/>
        <v>2043</v>
      </c>
      <c r="B434" s="470">
        <f t="shared" si="24"/>
        <v>9</v>
      </c>
      <c r="C434" s="482">
        <v>195.15320986429489</v>
      </c>
      <c r="D434" s="482">
        <v>0</v>
      </c>
      <c r="E434" s="482">
        <v>881.7276279656121</v>
      </c>
      <c r="F434" s="482">
        <v>0</v>
      </c>
      <c r="G434" s="482">
        <v>0</v>
      </c>
      <c r="H434" s="482"/>
      <c r="I434" s="482"/>
      <c r="J434" s="482"/>
      <c r="K434" s="482"/>
      <c r="L434" s="482"/>
      <c r="M434" s="482"/>
      <c r="N434" s="482">
        <f t="shared" si="25"/>
        <v>1076.880837829907</v>
      </c>
      <c r="O434" s="481">
        <v>0</v>
      </c>
      <c r="P434" s="475"/>
    </row>
    <row r="435" spans="1:16">
      <c r="A435" s="470">
        <f t="shared" si="23"/>
        <v>2043</v>
      </c>
      <c r="B435" s="470">
        <f t="shared" si="24"/>
        <v>10</v>
      </c>
      <c r="C435" s="482">
        <v>176.30760165295385</v>
      </c>
      <c r="D435" s="482">
        <v>0</v>
      </c>
      <c r="E435" s="482">
        <v>779.34980456074777</v>
      </c>
      <c r="F435" s="482">
        <v>0</v>
      </c>
      <c r="G435" s="482">
        <v>0</v>
      </c>
      <c r="H435" s="482"/>
      <c r="I435" s="482"/>
      <c r="J435" s="482"/>
      <c r="K435" s="482"/>
      <c r="L435" s="482"/>
      <c r="M435" s="482"/>
      <c r="N435" s="482">
        <f t="shared" si="25"/>
        <v>955.65740621370162</v>
      </c>
      <c r="O435" s="481">
        <v>0</v>
      </c>
      <c r="P435" s="475"/>
    </row>
    <row r="436" spans="1:16">
      <c r="A436" s="470">
        <f t="shared" si="23"/>
        <v>2043</v>
      </c>
      <c r="B436" s="470">
        <f t="shared" si="24"/>
        <v>11</v>
      </c>
      <c r="C436" s="482">
        <v>157.52057775108108</v>
      </c>
      <c r="D436" s="482">
        <v>0</v>
      </c>
      <c r="E436" s="482">
        <v>617.8797563684958</v>
      </c>
      <c r="F436" s="482">
        <v>0</v>
      </c>
      <c r="G436" s="482">
        <v>0</v>
      </c>
      <c r="H436" s="482"/>
      <c r="I436" s="482"/>
      <c r="J436" s="482"/>
      <c r="K436" s="482"/>
      <c r="L436" s="482"/>
      <c r="M436" s="482"/>
      <c r="N436" s="482">
        <f t="shared" si="25"/>
        <v>775.40033411957688</v>
      </c>
      <c r="O436" s="481">
        <v>0</v>
      </c>
      <c r="P436" s="475"/>
    </row>
    <row r="437" spans="1:16">
      <c r="A437" s="470">
        <f t="shared" si="23"/>
        <v>2043</v>
      </c>
      <c r="B437" s="470">
        <f t="shared" si="24"/>
        <v>12</v>
      </c>
      <c r="C437" s="482">
        <v>163.4928919251914</v>
      </c>
      <c r="D437" s="482">
        <v>0</v>
      </c>
      <c r="E437" s="482">
        <v>595.98210117622523</v>
      </c>
      <c r="F437" s="482">
        <v>0</v>
      </c>
      <c r="G437" s="482">
        <v>0</v>
      </c>
      <c r="H437" s="482"/>
      <c r="I437" s="482"/>
      <c r="J437" s="482"/>
      <c r="K437" s="482"/>
      <c r="L437" s="482"/>
      <c r="M437" s="482"/>
      <c r="N437" s="482">
        <f t="shared" si="25"/>
        <v>759.47499310141666</v>
      </c>
      <c r="O437" s="481">
        <v>0</v>
      </c>
      <c r="P437" s="475"/>
    </row>
    <row r="438" spans="1:16">
      <c r="A438" s="470">
        <f t="shared" si="23"/>
        <v>2044</v>
      </c>
      <c r="B438" s="470">
        <f t="shared" si="24"/>
        <v>1</v>
      </c>
      <c r="C438" s="482">
        <v>163.69372306235442</v>
      </c>
      <c r="D438" s="482">
        <v>0</v>
      </c>
      <c r="E438" s="482">
        <v>772.67445678087108</v>
      </c>
      <c r="F438" s="482">
        <v>0</v>
      </c>
      <c r="G438" s="482">
        <v>0</v>
      </c>
      <c r="H438" s="482"/>
      <c r="I438" s="482"/>
      <c r="J438" s="482"/>
      <c r="K438" s="482"/>
      <c r="L438" s="482"/>
      <c r="M438" s="482"/>
      <c r="N438" s="482">
        <f t="shared" si="25"/>
        <v>936.36817984322556</v>
      </c>
      <c r="O438" s="481">
        <v>0</v>
      </c>
      <c r="P438" s="475"/>
    </row>
    <row r="439" spans="1:16">
      <c r="A439" s="470">
        <f t="shared" si="23"/>
        <v>2044</v>
      </c>
      <c r="B439" s="470">
        <f t="shared" si="24"/>
        <v>2</v>
      </c>
      <c r="C439" s="482">
        <v>161.90840917163001</v>
      </c>
      <c r="D439" s="482">
        <v>0</v>
      </c>
      <c r="E439" s="482">
        <v>691.07527062217355</v>
      </c>
      <c r="F439" s="482">
        <v>0</v>
      </c>
      <c r="G439" s="482">
        <v>0</v>
      </c>
      <c r="H439" s="482"/>
      <c r="I439" s="482"/>
      <c r="J439" s="482"/>
      <c r="K439" s="482"/>
      <c r="L439" s="482"/>
      <c r="M439" s="482"/>
      <c r="N439" s="482">
        <f t="shared" si="25"/>
        <v>852.9836797938035</v>
      </c>
      <c r="O439" s="481">
        <v>0</v>
      </c>
      <c r="P439" s="475"/>
    </row>
    <row r="440" spans="1:16">
      <c r="A440" s="470">
        <f t="shared" si="23"/>
        <v>2044</v>
      </c>
      <c r="B440" s="470">
        <f t="shared" si="24"/>
        <v>3</v>
      </c>
      <c r="C440" s="482">
        <v>171.3495787565592</v>
      </c>
      <c r="D440" s="482">
        <v>0</v>
      </c>
      <c r="E440" s="482">
        <v>638.18444687484805</v>
      </c>
      <c r="F440" s="482">
        <v>0</v>
      </c>
      <c r="G440" s="482">
        <v>0</v>
      </c>
      <c r="H440" s="482"/>
      <c r="I440" s="482"/>
      <c r="J440" s="482"/>
      <c r="K440" s="482"/>
      <c r="L440" s="482"/>
      <c r="M440" s="482"/>
      <c r="N440" s="482">
        <f t="shared" si="25"/>
        <v>809.5340256314073</v>
      </c>
      <c r="O440" s="481">
        <v>0</v>
      </c>
      <c r="P440" s="475"/>
    </row>
    <row r="441" spans="1:16">
      <c r="A441" s="470">
        <f t="shared" si="23"/>
        <v>2044</v>
      </c>
      <c r="B441" s="470">
        <f t="shared" si="24"/>
        <v>4</v>
      </c>
      <c r="C441" s="482">
        <v>178.10813186900549</v>
      </c>
      <c r="D441" s="482">
        <v>0</v>
      </c>
      <c r="E441" s="482">
        <v>749.48420937365438</v>
      </c>
      <c r="F441" s="482">
        <v>0</v>
      </c>
      <c r="G441" s="482">
        <v>0</v>
      </c>
      <c r="H441" s="482"/>
      <c r="I441" s="482"/>
      <c r="J441" s="482"/>
      <c r="K441" s="482"/>
      <c r="L441" s="482"/>
      <c r="M441" s="482"/>
      <c r="N441" s="482">
        <f t="shared" si="25"/>
        <v>927.59234124265981</v>
      </c>
      <c r="O441" s="481">
        <v>0</v>
      </c>
      <c r="P441" s="475"/>
    </row>
    <row r="442" spans="1:16">
      <c r="A442" s="470">
        <f t="shared" si="23"/>
        <v>2044</v>
      </c>
      <c r="B442" s="470">
        <f t="shared" si="24"/>
        <v>5</v>
      </c>
      <c r="C442" s="482">
        <v>195.00989153359711</v>
      </c>
      <c r="D442" s="482">
        <v>0</v>
      </c>
      <c r="E442" s="482">
        <v>829.08715718267422</v>
      </c>
      <c r="F442" s="482">
        <v>0</v>
      </c>
      <c r="G442" s="482">
        <v>0</v>
      </c>
      <c r="H442" s="482"/>
      <c r="I442" s="482"/>
      <c r="J442" s="482"/>
      <c r="K442" s="482"/>
      <c r="L442" s="482"/>
      <c r="M442" s="482"/>
      <c r="N442" s="482">
        <f t="shared" si="25"/>
        <v>1024.0970487162713</v>
      </c>
      <c r="O442" s="481">
        <v>0</v>
      </c>
      <c r="P442" s="475"/>
    </row>
    <row r="443" spans="1:16">
      <c r="A443" s="470">
        <f t="shared" si="23"/>
        <v>2044</v>
      </c>
      <c r="B443" s="470">
        <f t="shared" si="24"/>
        <v>6</v>
      </c>
      <c r="C443" s="482">
        <v>199.46083812084726</v>
      </c>
      <c r="D443" s="482">
        <v>0</v>
      </c>
      <c r="E443" s="482">
        <v>853.87806698410407</v>
      </c>
      <c r="F443" s="482">
        <v>0</v>
      </c>
      <c r="G443" s="482">
        <v>0</v>
      </c>
      <c r="H443" s="482"/>
      <c r="I443" s="482"/>
      <c r="J443" s="482"/>
      <c r="K443" s="482"/>
      <c r="L443" s="482"/>
      <c r="M443" s="482"/>
      <c r="N443" s="482">
        <f t="shared" si="25"/>
        <v>1053.3389051049512</v>
      </c>
      <c r="O443" s="481">
        <v>0</v>
      </c>
      <c r="P443" s="475"/>
    </row>
    <row r="444" spans="1:16">
      <c r="A444" s="470">
        <f t="shared" si="23"/>
        <v>2044</v>
      </c>
      <c r="B444" s="470">
        <f t="shared" si="24"/>
        <v>7</v>
      </c>
      <c r="C444" s="482">
        <v>210.76590915915224</v>
      </c>
      <c r="D444" s="482">
        <v>0</v>
      </c>
      <c r="E444" s="482">
        <v>912.42394696641509</v>
      </c>
      <c r="F444" s="482">
        <v>0</v>
      </c>
      <c r="G444" s="482">
        <v>0</v>
      </c>
      <c r="H444" s="482"/>
      <c r="I444" s="482"/>
      <c r="J444" s="482"/>
      <c r="K444" s="482"/>
      <c r="L444" s="482"/>
      <c r="M444" s="482"/>
      <c r="N444" s="482">
        <f t="shared" si="25"/>
        <v>1123.1898561255673</v>
      </c>
      <c r="O444" s="481">
        <v>0</v>
      </c>
      <c r="P444" s="475"/>
    </row>
    <row r="445" spans="1:16">
      <c r="A445" s="470">
        <f t="shared" si="23"/>
        <v>2044</v>
      </c>
      <c r="B445" s="470">
        <f t="shared" si="24"/>
        <v>8</v>
      </c>
      <c r="C445" s="482">
        <v>208.72059333023415</v>
      </c>
      <c r="D445" s="482">
        <v>0</v>
      </c>
      <c r="E445" s="482">
        <v>927.52218234599377</v>
      </c>
      <c r="F445" s="482">
        <v>0</v>
      </c>
      <c r="G445" s="482">
        <v>0</v>
      </c>
      <c r="H445" s="482"/>
      <c r="I445" s="482"/>
      <c r="J445" s="482"/>
      <c r="K445" s="482"/>
      <c r="L445" s="482"/>
      <c r="M445" s="482"/>
      <c r="N445" s="482">
        <f t="shared" si="25"/>
        <v>1136.2427756762279</v>
      </c>
      <c r="O445" s="481">
        <v>0</v>
      </c>
      <c r="P445" s="475"/>
    </row>
    <row r="446" spans="1:16">
      <c r="A446" s="470">
        <f t="shared" si="23"/>
        <v>2044</v>
      </c>
      <c r="B446" s="470">
        <f t="shared" si="24"/>
        <v>9</v>
      </c>
      <c r="C446" s="482">
        <v>196.99265125508251</v>
      </c>
      <c r="D446" s="482">
        <v>0</v>
      </c>
      <c r="E446" s="482">
        <v>886.77751705820401</v>
      </c>
      <c r="F446" s="482">
        <v>0</v>
      </c>
      <c r="G446" s="482">
        <v>0</v>
      </c>
      <c r="H446" s="482"/>
      <c r="I446" s="482"/>
      <c r="J446" s="482"/>
      <c r="K446" s="482"/>
      <c r="L446" s="482"/>
      <c r="M446" s="482"/>
      <c r="N446" s="482">
        <f t="shared" si="25"/>
        <v>1083.7701683132866</v>
      </c>
      <c r="O446" s="481">
        <v>0</v>
      </c>
      <c r="P446" s="475"/>
    </row>
    <row r="447" spans="1:16">
      <c r="A447" s="470">
        <f t="shared" si="23"/>
        <v>2044</v>
      </c>
      <c r="B447" s="470">
        <f t="shared" si="24"/>
        <v>10</v>
      </c>
      <c r="C447" s="482">
        <v>177.96941136756962</v>
      </c>
      <c r="D447" s="482">
        <v>0</v>
      </c>
      <c r="E447" s="482">
        <v>782.01197312835245</v>
      </c>
      <c r="F447" s="482">
        <v>0</v>
      </c>
      <c r="G447" s="482">
        <v>0</v>
      </c>
      <c r="H447" s="482"/>
      <c r="I447" s="482"/>
      <c r="J447" s="482"/>
      <c r="K447" s="482"/>
      <c r="L447" s="482"/>
      <c r="M447" s="482"/>
      <c r="N447" s="482">
        <f t="shared" si="25"/>
        <v>959.98138449592204</v>
      </c>
      <c r="O447" s="481">
        <v>0</v>
      </c>
      <c r="P447" s="475"/>
    </row>
    <row r="448" spans="1:16">
      <c r="A448" s="470">
        <f t="shared" si="23"/>
        <v>2044</v>
      </c>
      <c r="B448" s="470">
        <f t="shared" si="24"/>
        <v>11</v>
      </c>
      <c r="C448" s="482">
        <v>159.00530798338207</v>
      </c>
      <c r="D448" s="482">
        <v>0</v>
      </c>
      <c r="E448" s="482">
        <v>619.149645453944</v>
      </c>
      <c r="F448" s="482">
        <v>0</v>
      </c>
      <c r="G448" s="482">
        <v>0</v>
      </c>
      <c r="H448" s="482"/>
      <c r="I448" s="482"/>
      <c r="J448" s="482"/>
      <c r="K448" s="482"/>
      <c r="L448" s="482"/>
      <c r="M448" s="482"/>
      <c r="N448" s="482">
        <f t="shared" si="25"/>
        <v>778.15495343732607</v>
      </c>
      <c r="O448" s="481">
        <v>0</v>
      </c>
      <c r="P448" s="475"/>
    </row>
    <row r="449" spans="1:16">
      <c r="A449" s="470">
        <f t="shared" si="23"/>
        <v>2044</v>
      </c>
      <c r="B449" s="470">
        <f t="shared" si="24"/>
        <v>12</v>
      </c>
      <c r="C449" s="482">
        <v>165.03391496404311</v>
      </c>
      <c r="D449" s="482">
        <v>0</v>
      </c>
      <c r="E449" s="482">
        <v>597.6470960273615</v>
      </c>
      <c r="F449" s="482">
        <v>0</v>
      </c>
      <c r="G449" s="482">
        <v>0</v>
      </c>
      <c r="H449" s="482"/>
      <c r="I449" s="482"/>
      <c r="J449" s="482"/>
      <c r="K449" s="482"/>
      <c r="L449" s="482"/>
      <c r="M449" s="482"/>
      <c r="N449" s="482">
        <f t="shared" si="25"/>
        <v>762.68101099140461</v>
      </c>
      <c r="O449" s="481">
        <v>0</v>
      </c>
      <c r="P449" s="475"/>
    </row>
    <row r="450" spans="1:16">
      <c r="A450" s="470">
        <f t="shared" si="23"/>
        <v>2045</v>
      </c>
      <c r="B450" s="470">
        <f t="shared" si="24"/>
        <v>1</v>
      </c>
      <c r="C450" s="482">
        <v>165.23663906062259</v>
      </c>
      <c r="D450" s="482">
        <v>0</v>
      </c>
      <c r="E450" s="482">
        <v>773.44710053624726</v>
      </c>
      <c r="F450" s="482">
        <v>0</v>
      </c>
      <c r="G450" s="482">
        <v>0</v>
      </c>
      <c r="H450" s="482"/>
      <c r="I450" s="482"/>
      <c r="J450" s="482"/>
      <c r="K450" s="482"/>
      <c r="L450" s="482"/>
      <c r="M450" s="482"/>
      <c r="N450" s="482">
        <f t="shared" si="25"/>
        <v>938.68373959686983</v>
      </c>
      <c r="O450" s="481">
        <v>0</v>
      </c>
      <c r="P450" s="475"/>
    </row>
    <row r="451" spans="1:16">
      <c r="A451" s="470">
        <f t="shared" si="23"/>
        <v>2045</v>
      </c>
      <c r="B451" s="470">
        <f t="shared" si="24"/>
        <v>2</v>
      </c>
      <c r="C451" s="482">
        <v>163.43449746684158</v>
      </c>
      <c r="D451" s="482">
        <v>0</v>
      </c>
      <c r="E451" s="482">
        <v>691.76619719669679</v>
      </c>
      <c r="F451" s="482">
        <v>0</v>
      </c>
      <c r="G451" s="482">
        <v>0</v>
      </c>
      <c r="H451" s="482"/>
      <c r="I451" s="482"/>
      <c r="J451" s="482"/>
      <c r="K451" s="482"/>
      <c r="L451" s="482"/>
      <c r="M451" s="482"/>
      <c r="N451" s="482">
        <f t="shared" si="25"/>
        <v>855.20069466353834</v>
      </c>
      <c r="O451" s="481">
        <v>0</v>
      </c>
      <c r="P451" s="475"/>
    </row>
    <row r="452" spans="1:16">
      <c r="A452" s="470">
        <f t="shared" si="23"/>
        <v>2045</v>
      </c>
      <c r="B452" s="470">
        <f t="shared" si="24"/>
        <v>3</v>
      </c>
      <c r="C452" s="482">
        <v>172.96465599601632</v>
      </c>
      <c r="D452" s="482">
        <v>0</v>
      </c>
      <c r="E452" s="482">
        <v>638.88779416926809</v>
      </c>
      <c r="F452" s="482">
        <v>0</v>
      </c>
      <c r="G452" s="482">
        <v>0</v>
      </c>
      <c r="H452" s="482"/>
      <c r="I452" s="482"/>
      <c r="J452" s="482"/>
      <c r="K452" s="482"/>
      <c r="L452" s="482"/>
      <c r="M452" s="482"/>
      <c r="N452" s="482">
        <f t="shared" si="25"/>
        <v>811.85245016528438</v>
      </c>
      <c r="O452" s="481">
        <v>0</v>
      </c>
      <c r="P452" s="475"/>
    </row>
    <row r="453" spans="1:16">
      <c r="A453" s="470">
        <f t="shared" si="23"/>
        <v>2045</v>
      </c>
      <c r="B453" s="470">
        <f t="shared" si="24"/>
        <v>4</v>
      </c>
      <c r="C453" s="482">
        <v>179.78691271008671</v>
      </c>
      <c r="D453" s="482">
        <v>0</v>
      </c>
      <c r="E453" s="482">
        <v>754.22136091622076</v>
      </c>
      <c r="F453" s="482">
        <v>0</v>
      </c>
      <c r="G453" s="482">
        <v>0</v>
      </c>
      <c r="H453" s="482"/>
      <c r="I453" s="482"/>
      <c r="J453" s="482"/>
      <c r="K453" s="482"/>
      <c r="L453" s="482"/>
      <c r="M453" s="482"/>
      <c r="N453" s="482">
        <f t="shared" si="25"/>
        <v>934.00827362630753</v>
      </c>
      <c r="O453" s="481">
        <v>0</v>
      </c>
      <c r="P453" s="475"/>
    </row>
    <row r="454" spans="1:16">
      <c r="A454" s="470">
        <f t="shared" si="23"/>
        <v>2045</v>
      </c>
      <c r="B454" s="470">
        <f t="shared" si="24"/>
        <v>5</v>
      </c>
      <c r="C454" s="482">
        <v>196.84798205923752</v>
      </c>
      <c r="D454" s="482">
        <v>0</v>
      </c>
      <c r="E454" s="482">
        <v>833.3784564037785</v>
      </c>
      <c r="F454" s="482">
        <v>0</v>
      </c>
      <c r="G454" s="482">
        <v>0</v>
      </c>
      <c r="H454" s="482"/>
      <c r="I454" s="482"/>
      <c r="J454" s="482"/>
      <c r="K454" s="482"/>
      <c r="L454" s="482"/>
      <c r="M454" s="482"/>
      <c r="N454" s="482">
        <f t="shared" si="25"/>
        <v>1030.2264384630159</v>
      </c>
      <c r="O454" s="481">
        <v>0</v>
      </c>
      <c r="P454" s="475"/>
    </row>
    <row r="455" spans="1:16">
      <c r="A455" s="470">
        <f t="shared" ref="A455:A518" si="26">A443+1</f>
        <v>2045</v>
      </c>
      <c r="B455" s="470">
        <f t="shared" ref="B455:B518" si="27">B443</f>
        <v>6</v>
      </c>
      <c r="C455" s="482">
        <v>201.3408816094263</v>
      </c>
      <c r="D455" s="482">
        <v>0</v>
      </c>
      <c r="E455" s="482">
        <v>856.8851459836543</v>
      </c>
      <c r="F455" s="482">
        <v>0</v>
      </c>
      <c r="G455" s="482">
        <v>0</v>
      </c>
      <c r="H455" s="482"/>
      <c r="I455" s="482"/>
      <c r="J455" s="482"/>
      <c r="K455" s="482"/>
      <c r="L455" s="482"/>
      <c r="M455" s="482"/>
      <c r="N455" s="482">
        <f t="shared" ref="N455:N518" si="28">SUM(C455:M455)</f>
        <v>1058.2260275930805</v>
      </c>
      <c r="O455" s="481">
        <v>0</v>
      </c>
      <c r="P455" s="475"/>
    </row>
    <row r="456" spans="1:16">
      <c r="A456" s="470">
        <f t="shared" si="26"/>
        <v>2045</v>
      </c>
      <c r="B456" s="470">
        <f t="shared" si="27"/>
        <v>7</v>
      </c>
      <c r="C456" s="482">
        <v>212.75290102178172</v>
      </c>
      <c r="D456" s="482">
        <v>0</v>
      </c>
      <c r="E456" s="482">
        <v>917.61326891411568</v>
      </c>
      <c r="F456" s="482">
        <v>0</v>
      </c>
      <c r="G456" s="482">
        <v>0</v>
      </c>
      <c r="H456" s="482"/>
      <c r="I456" s="482"/>
      <c r="J456" s="482"/>
      <c r="K456" s="482"/>
      <c r="L456" s="482"/>
      <c r="M456" s="482"/>
      <c r="N456" s="482">
        <f t="shared" si="28"/>
        <v>1130.3661699358975</v>
      </c>
      <c r="O456" s="481">
        <v>0</v>
      </c>
      <c r="P456" s="475"/>
    </row>
    <row r="457" spans="1:16">
      <c r="A457" s="470">
        <f t="shared" si="26"/>
        <v>2045</v>
      </c>
      <c r="B457" s="470">
        <f t="shared" si="27"/>
        <v>8</v>
      </c>
      <c r="C457" s="482">
        <v>210.68791581879753</v>
      </c>
      <c r="D457" s="482">
        <v>0</v>
      </c>
      <c r="E457" s="482">
        <v>932.82160533942886</v>
      </c>
      <c r="F457" s="482">
        <v>0</v>
      </c>
      <c r="G457" s="482">
        <v>0</v>
      </c>
      <c r="H457" s="482"/>
      <c r="I457" s="482"/>
      <c r="J457" s="482"/>
      <c r="K457" s="482"/>
      <c r="L457" s="482"/>
      <c r="M457" s="482"/>
      <c r="N457" s="482">
        <f t="shared" si="28"/>
        <v>1143.5095211582263</v>
      </c>
      <c r="O457" s="481">
        <v>0</v>
      </c>
      <c r="P457" s="475"/>
    </row>
    <row r="458" spans="1:16">
      <c r="A458" s="470">
        <f t="shared" si="26"/>
        <v>2045</v>
      </c>
      <c r="B458" s="470">
        <f t="shared" si="27"/>
        <v>9</v>
      </c>
      <c r="C458" s="482">
        <v>198.84943053456021</v>
      </c>
      <c r="D458" s="482">
        <v>0</v>
      </c>
      <c r="E458" s="482">
        <v>891.85632821134914</v>
      </c>
      <c r="F458" s="482">
        <v>0</v>
      </c>
      <c r="G458" s="482">
        <v>0</v>
      </c>
      <c r="H458" s="482"/>
      <c r="I458" s="482"/>
      <c r="J458" s="482"/>
      <c r="K458" s="482"/>
      <c r="L458" s="482"/>
      <c r="M458" s="482"/>
      <c r="N458" s="482">
        <f t="shared" si="28"/>
        <v>1090.7057587459094</v>
      </c>
      <c r="O458" s="481">
        <v>0</v>
      </c>
      <c r="P458" s="475"/>
    </row>
    <row r="459" spans="1:16">
      <c r="A459" s="470">
        <f t="shared" si="26"/>
        <v>2045</v>
      </c>
      <c r="B459" s="470">
        <f t="shared" si="27"/>
        <v>10</v>
      </c>
      <c r="C459" s="482">
        <v>179.64688468092817</v>
      </c>
      <c r="D459" s="482">
        <v>0</v>
      </c>
      <c r="E459" s="482">
        <v>784.68323535510842</v>
      </c>
      <c r="F459" s="482">
        <v>0</v>
      </c>
      <c r="G459" s="482">
        <v>0</v>
      </c>
      <c r="H459" s="482"/>
      <c r="I459" s="482"/>
      <c r="J459" s="482"/>
      <c r="K459" s="482"/>
      <c r="L459" s="482"/>
      <c r="M459" s="482"/>
      <c r="N459" s="482">
        <f t="shared" si="28"/>
        <v>964.33012003603653</v>
      </c>
      <c r="O459" s="481">
        <v>0</v>
      </c>
      <c r="P459" s="475"/>
    </row>
    <row r="460" spans="1:16">
      <c r="A460" s="470">
        <f t="shared" si="26"/>
        <v>2045</v>
      </c>
      <c r="B460" s="470">
        <f t="shared" si="27"/>
        <v>11</v>
      </c>
      <c r="C460" s="482">
        <v>160.50403272925189</v>
      </c>
      <c r="D460" s="482">
        <v>0</v>
      </c>
      <c r="E460" s="482">
        <v>620.42214446190985</v>
      </c>
      <c r="F460" s="482">
        <v>0</v>
      </c>
      <c r="G460" s="482">
        <v>0</v>
      </c>
      <c r="H460" s="482"/>
      <c r="I460" s="482"/>
      <c r="J460" s="482"/>
      <c r="K460" s="482"/>
      <c r="L460" s="482"/>
      <c r="M460" s="482"/>
      <c r="N460" s="482">
        <f t="shared" si="28"/>
        <v>780.92617719116174</v>
      </c>
      <c r="O460" s="481">
        <v>0</v>
      </c>
      <c r="P460" s="475"/>
    </row>
    <row r="461" spans="1:16">
      <c r="A461" s="470">
        <f t="shared" si="26"/>
        <v>2045</v>
      </c>
      <c r="B461" s="470">
        <f t="shared" si="27"/>
        <v>12</v>
      </c>
      <c r="C461" s="482">
        <v>166.58946311146869</v>
      </c>
      <c r="D461" s="482">
        <v>0</v>
      </c>
      <c r="E461" s="482">
        <v>599.31674237364984</v>
      </c>
      <c r="F461" s="482">
        <v>0</v>
      </c>
      <c r="G461" s="482">
        <v>0</v>
      </c>
      <c r="H461" s="482"/>
      <c r="I461" s="482"/>
      <c r="J461" s="482"/>
      <c r="K461" s="482"/>
      <c r="L461" s="482"/>
      <c r="M461" s="482"/>
      <c r="N461" s="482">
        <f t="shared" si="28"/>
        <v>765.90620548511856</v>
      </c>
      <c r="O461" s="481">
        <v>0</v>
      </c>
      <c r="P461" s="475"/>
    </row>
    <row r="462" spans="1:16">
      <c r="A462" s="470">
        <f t="shared" si="26"/>
        <v>2046</v>
      </c>
      <c r="B462" s="470">
        <f t="shared" si="27"/>
        <v>1</v>
      </c>
      <c r="C462" s="482">
        <v>166.79409800979431</v>
      </c>
      <c r="D462" s="482">
        <v>0</v>
      </c>
      <c r="E462" s="482">
        <v>774.22051690467868</v>
      </c>
      <c r="F462" s="482">
        <v>0</v>
      </c>
      <c r="G462" s="482">
        <v>0</v>
      </c>
      <c r="H462" s="482"/>
      <c r="I462" s="482"/>
      <c r="J462" s="482"/>
      <c r="K462" s="482"/>
      <c r="L462" s="482"/>
      <c r="M462" s="482"/>
      <c r="N462" s="482">
        <f t="shared" si="28"/>
        <v>941.01461491447299</v>
      </c>
      <c r="O462" s="481">
        <v>0</v>
      </c>
      <c r="P462" s="475"/>
    </row>
    <row r="463" spans="1:16">
      <c r="A463" s="470">
        <f t="shared" si="26"/>
        <v>2046</v>
      </c>
      <c r="B463" s="470">
        <f t="shared" si="27"/>
        <v>2</v>
      </c>
      <c r="C463" s="482">
        <v>164.97497010130209</v>
      </c>
      <c r="D463" s="482">
        <v>0</v>
      </c>
      <c r="E463" s="482">
        <v>692.45781454913049</v>
      </c>
      <c r="F463" s="482">
        <v>0</v>
      </c>
      <c r="G463" s="482">
        <v>0</v>
      </c>
      <c r="H463" s="482"/>
      <c r="I463" s="482"/>
      <c r="J463" s="482"/>
      <c r="K463" s="482"/>
      <c r="L463" s="482"/>
      <c r="M463" s="482"/>
      <c r="N463" s="482">
        <f t="shared" si="28"/>
        <v>857.43278465043261</v>
      </c>
      <c r="O463" s="481">
        <v>0</v>
      </c>
      <c r="P463" s="475"/>
    </row>
    <row r="464" spans="1:16">
      <c r="A464" s="470">
        <f t="shared" si="26"/>
        <v>2046</v>
      </c>
      <c r="B464" s="470">
        <f t="shared" si="27"/>
        <v>3</v>
      </c>
      <c r="C464" s="482">
        <v>174.59495635133015</v>
      </c>
      <c r="D464" s="482">
        <v>0</v>
      </c>
      <c r="E464" s="482">
        <v>639.59191662738726</v>
      </c>
      <c r="F464" s="482">
        <v>0</v>
      </c>
      <c r="G464" s="482">
        <v>0</v>
      </c>
      <c r="H464" s="482"/>
      <c r="I464" s="482"/>
      <c r="J464" s="482"/>
      <c r="K464" s="482"/>
      <c r="L464" s="482"/>
      <c r="M464" s="482"/>
      <c r="N464" s="482">
        <f t="shared" si="28"/>
        <v>814.18687297871747</v>
      </c>
      <c r="O464" s="481">
        <v>0</v>
      </c>
      <c r="P464" s="475"/>
    </row>
    <row r="465" spans="1:16">
      <c r="A465" s="470">
        <f t="shared" si="26"/>
        <v>2046</v>
      </c>
      <c r="B465" s="470">
        <f t="shared" si="27"/>
        <v>4</v>
      </c>
      <c r="C465" s="482">
        <v>181.48151711342084</v>
      </c>
      <c r="D465" s="482">
        <v>0</v>
      </c>
      <c r="E465" s="482">
        <v>758.98845385642653</v>
      </c>
      <c r="F465" s="482">
        <v>0</v>
      </c>
      <c r="G465" s="482">
        <v>0</v>
      </c>
      <c r="H465" s="482"/>
      <c r="I465" s="482"/>
      <c r="J465" s="482"/>
      <c r="K465" s="482"/>
      <c r="L465" s="482"/>
      <c r="M465" s="482"/>
      <c r="N465" s="482">
        <f t="shared" si="28"/>
        <v>940.4699709698474</v>
      </c>
      <c r="O465" s="481">
        <v>0</v>
      </c>
      <c r="P465" s="475"/>
    </row>
    <row r="466" spans="1:16">
      <c r="A466" s="470">
        <f t="shared" si="26"/>
        <v>2046</v>
      </c>
      <c r="B466" s="470">
        <f t="shared" si="27"/>
        <v>5</v>
      </c>
      <c r="C466" s="482">
        <v>198.70339774081685</v>
      </c>
      <c r="D466" s="482">
        <v>0</v>
      </c>
      <c r="E466" s="482">
        <v>837.69196710029337</v>
      </c>
      <c r="F466" s="482">
        <v>0</v>
      </c>
      <c r="G466" s="482">
        <v>0</v>
      </c>
      <c r="H466" s="482"/>
      <c r="I466" s="482"/>
      <c r="J466" s="482"/>
      <c r="K466" s="482"/>
      <c r="L466" s="482"/>
      <c r="M466" s="482"/>
      <c r="N466" s="482">
        <f t="shared" si="28"/>
        <v>1036.3953648411102</v>
      </c>
      <c r="O466" s="481">
        <v>0</v>
      </c>
      <c r="P466" s="475"/>
    </row>
    <row r="467" spans="1:16">
      <c r="A467" s="470">
        <f t="shared" si="26"/>
        <v>2046</v>
      </c>
      <c r="B467" s="470">
        <f t="shared" si="27"/>
        <v>6</v>
      </c>
      <c r="C467" s="482">
        <v>203.23864568693023</v>
      </c>
      <c r="D467" s="482">
        <v>0</v>
      </c>
      <c r="E467" s="482">
        <v>859.90281493094903</v>
      </c>
      <c r="F467" s="482">
        <v>0</v>
      </c>
      <c r="G467" s="482">
        <v>0</v>
      </c>
      <c r="H467" s="482"/>
      <c r="I467" s="482"/>
      <c r="J467" s="482"/>
      <c r="K467" s="482"/>
      <c r="L467" s="482"/>
      <c r="M467" s="482"/>
      <c r="N467" s="482">
        <f t="shared" si="28"/>
        <v>1063.1414606178791</v>
      </c>
      <c r="O467" s="481">
        <v>0</v>
      </c>
      <c r="P467" s="475"/>
    </row>
    <row r="468" spans="1:16">
      <c r="A468" s="470">
        <f t="shared" si="26"/>
        <v>2046</v>
      </c>
      <c r="B468" s="470">
        <f t="shared" si="27"/>
        <v>7</v>
      </c>
      <c r="C468" s="482">
        <v>214.75862521488111</v>
      </c>
      <c r="D468" s="482">
        <v>0</v>
      </c>
      <c r="E468" s="482">
        <v>922.83210462278942</v>
      </c>
      <c r="F468" s="482">
        <v>0</v>
      </c>
      <c r="G468" s="482">
        <v>0</v>
      </c>
      <c r="H468" s="482"/>
      <c r="I468" s="482"/>
      <c r="J468" s="482"/>
      <c r="K468" s="482"/>
      <c r="L468" s="482"/>
      <c r="M468" s="482"/>
      <c r="N468" s="482">
        <f t="shared" si="28"/>
        <v>1137.5907298376706</v>
      </c>
      <c r="O468" s="481">
        <v>0</v>
      </c>
      <c r="P468" s="475"/>
    </row>
    <row r="469" spans="1:16">
      <c r="A469" s="470">
        <f t="shared" si="26"/>
        <v>2046</v>
      </c>
      <c r="B469" s="470">
        <f t="shared" si="27"/>
        <v>8</v>
      </c>
      <c r="C469" s="482">
        <v>212.67378155559652</v>
      </c>
      <c r="D469" s="482">
        <v>0</v>
      </c>
      <c r="E469" s="482">
        <v>938.15130672900136</v>
      </c>
      <c r="F469" s="482">
        <v>0</v>
      </c>
      <c r="G469" s="482">
        <v>0</v>
      </c>
      <c r="H469" s="482"/>
      <c r="I469" s="482"/>
      <c r="J469" s="482"/>
      <c r="K469" s="482"/>
      <c r="L469" s="482"/>
      <c r="M469" s="482"/>
      <c r="N469" s="482">
        <f t="shared" si="28"/>
        <v>1150.8250882845978</v>
      </c>
      <c r="O469" s="481">
        <v>0</v>
      </c>
      <c r="P469" s="475"/>
    </row>
    <row r="470" spans="1:16">
      <c r="A470" s="470">
        <f t="shared" si="26"/>
        <v>2046</v>
      </c>
      <c r="B470" s="470">
        <f t="shared" si="27"/>
        <v>9</v>
      </c>
      <c r="C470" s="482">
        <v>200.72371112320215</v>
      </c>
      <c r="D470" s="482">
        <v>0</v>
      </c>
      <c r="E470" s="482">
        <v>896.96422706939563</v>
      </c>
      <c r="F470" s="482">
        <v>0</v>
      </c>
      <c r="G470" s="482">
        <v>0</v>
      </c>
      <c r="H470" s="482"/>
      <c r="I470" s="482"/>
      <c r="J470" s="482"/>
      <c r="K470" s="482"/>
      <c r="L470" s="482"/>
      <c r="M470" s="482"/>
      <c r="N470" s="482">
        <f t="shared" si="28"/>
        <v>1097.6879381925978</v>
      </c>
      <c r="O470" s="481">
        <v>0</v>
      </c>
      <c r="P470" s="475"/>
    </row>
    <row r="471" spans="1:16">
      <c r="A471" s="470">
        <f t="shared" si="26"/>
        <v>2046</v>
      </c>
      <c r="B471" s="470">
        <f t="shared" si="27"/>
        <v>10</v>
      </c>
      <c r="C471" s="482">
        <v>181.34016923227085</v>
      </c>
      <c r="D471" s="482">
        <v>0</v>
      </c>
      <c r="E471" s="482">
        <v>787.36362230390102</v>
      </c>
      <c r="F471" s="482">
        <v>0</v>
      </c>
      <c r="G471" s="482">
        <v>0</v>
      </c>
      <c r="H471" s="482"/>
      <c r="I471" s="482"/>
      <c r="J471" s="482"/>
      <c r="K471" s="482"/>
      <c r="L471" s="482"/>
      <c r="M471" s="482"/>
      <c r="N471" s="482">
        <f t="shared" si="28"/>
        <v>968.70379153617182</v>
      </c>
      <c r="O471" s="481">
        <v>0</v>
      </c>
      <c r="P471" s="475"/>
    </row>
    <row r="472" spans="1:16">
      <c r="A472" s="470">
        <f t="shared" si="26"/>
        <v>2046</v>
      </c>
      <c r="B472" s="470">
        <f t="shared" si="27"/>
        <v>11</v>
      </c>
      <c r="C472" s="482">
        <v>162.01688389575742</v>
      </c>
      <c r="D472" s="482">
        <v>0</v>
      </c>
      <c r="E472" s="482">
        <v>621.69725875640165</v>
      </c>
      <c r="F472" s="482">
        <v>0</v>
      </c>
      <c r="G472" s="482">
        <v>0</v>
      </c>
      <c r="H472" s="482"/>
      <c r="I472" s="482"/>
      <c r="J472" s="482"/>
      <c r="K472" s="482"/>
      <c r="L472" s="482"/>
      <c r="M472" s="482"/>
      <c r="N472" s="482">
        <f t="shared" si="28"/>
        <v>783.71414265215913</v>
      </c>
      <c r="O472" s="481">
        <v>0</v>
      </c>
      <c r="P472" s="475"/>
    </row>
    <row r="473" spans="1:16">
      <c r="A473" s="470">
        <f t="shared" si="26"/>
        <v>2046</v>
      </c>
      <c r="B473" s="470">
        <f t="shared" si="27"/>
        <v>12</v>
      </c>
      <c r="C473" s="482">
        <v>168.15967327572571</v>
      </c>
      <c r="D473" s="482">
        <v>0</v>
      </c>
      <c r="E473" s="482">
        <v>600.99105320996955</v>
      </c>
      <c r="F473" s="482">
        <v>0</v>
      </c>
      <c r="G473" s="482">
        <v>0</v>
      </c>
      <c r="H473" s="482"/>
      <c r="I473" s="482"/>
      <c r="J473" s="482"/>
      <c r="K473" s="482"/>
      <c r="L473" s="482"/>
      <c r="M473" s="482"/>
      <c r="N473" s="482">
        <f t="shared" si="28"/>
        <v>769.15072648569526</v>
      </c>
      <c r="O473" s="481">
        <v>0</v>
      </c>
      <c r="P473" s="475"/>
    </row>
    <row r="474" spans="1:16">
      <c r="A474" s="470">
        <f t="shared" si="26"/>
        <v>2047</v>
      </c>
      <c r="B474" s="470">
        <f t="shared" si="27"/>
        <v>1</v>
      </c>
      <c r="C474" s="482">
        <v>168.36623698630225</v>
      </c>
      <c r="D474" s="482">
        <v>0</v>
      </c>
      <c r="E474" s="482">
        <v>774.99470665874765</v>
      </c>
      <c r="F474" s="482">
        <v>0</v>
      </c>
      <c r="G474" s="482">
        <v>0</v>
      </c>
      <c r="H474" s="482"/>
      <c r="I474" s="482"/>
      <c r="J474" s="482"/>
      <c r="K474" s="482"/>
      <c r="L474" s="482"/>
      <c r="M474" s="482"/>
      <c r="N474" s="482">
        <f t="shared" si="28"/>
        <v>943.36094364504993</v>
      </c>
      <c r="O474" s="481">
        <v>0</v>
      </c>
      <c r="P474" s="475"/>
    </row>
    <row r="475" spans="1:16">
      <c r="A475" s="470">
        <f t="shared" si="26"/>
        <v>2047</v>
      </c>
      <c r="B475" s="470">
        <f t="shared" si="27"/>
        <v>2</v>
      </c>
      <c r="C475" s="482">
        <v>166.52996265642994</v>
      </c>
      <c r="D475" s="482">
        <v>0</v>
      </c>
      <c r="E475" s="482">
        <v>693.15012337010387</v>
      </c>
      <c r="F475" s="482">
        <v>0</v>
      </c>
      <c r="G475" s="482">
        <v>0</v>
      </c>
      <c r="H475" s="482"/>
      <c r="I475" s="482"/>
      <c r="J475" s="482"/>
      <c r="K475" s="482"/>
      <c r="L475" s="482"/>
      <c r="M475" s="482"/>
      <c r="N475" s="482">
        <f t="shared" si="28"/>
        <v>859.68008602653379</v>
      </c>
      <c r="O475" s="481">
        <v>0</v>
      </c>
      <c r="P475" s="475"/>
    </row>
    <row r="476" spans="1:16">
      <c r="A476" s="470">
        <f t="shared" si="26"/>
        <v>2047</v>
      </c>
      <c r="B476" s="470">
        <f t="shared" si="27"/>
        <v>3</v>
      </c>
      <c r="C476" s="482">
        <v>176.24062330991464</v>
      </c>
      <c r="D476" s="482">
        <v>0</v>
      </c>
      <c r="E476" s="482">
        <v>640.29681510351861</v>
      </c>
      <c r="F476" s="482">
        <v>0</v>
      </c>
      <c r="G476" s="482">
        <v>0</v>
      </c>
      <c r="H476" s="482"/>
      <c r="I476" s="482"/>
      <c r="J476" s="482"/>
      <c r="K476" s="482"/>
      <c r="L476" s="482"/>
      <c r="M476" s="482"/>
      <c r="N476" s="482">
        <f t="shared" si="28"/>
        <v>816.53743841343328</v>
      </c>
      <c r="O476" s="481">
        <v>0</v>
      </c>
      <c r="P476" s="475"/>
    </row>
    <row r="477" spans="1:16">
      <c r="A477" s="470">
        <f t="shared" si="26"/>
        <v>2047</v>
      </c>
      <c r="B477" s="470">
        <f t="shared" si="27"/>
        <v>4</v>
      </c>
      <c r="C477" s="482">
        <v>183.19209422600568</v>
      </c>
      <c r="D477" s="482">
        <v>0</v>
      </c>
      <c r="E477" s="482">
        <v>763.78567744033739</v>
      </c>
      <c r="F477" s="482">
        <v>0</v>
      </c>
      <c r="G477" s="482">
        <v>0</v>
      </c>
      <c r="H477" s="482"/>
      <c r="I477" s="482"/>
      <c r="J477" s="482"/>
      <c r="K477" s="482"/>
      <c r="L477" s="482"/>
      <c r="M477" s="482"/>
      <c r="N477" s="482">
        <f t="shared" si="28"/>
        <v>946.97777166634307</v>
      </c>
      <c r="O477" s="481">
        <v>0</v>
      </c>
      <c r="P477" s="475"/>
    </row>
    <row r="478" spans="1:16">
      <c r="A478" s="470">
        <f t="shared" si="26"/>
        <v>2047</v>
      </c>
      <c r="B478" s="470">
        <f t="shared" si="27"/>
        <v>5</v>
      </c>
      <c r="C478" s="482">
        <v>200.57630187879508</v>
      </c>
      <c r="D478" s="482">
        <v>0</v>
      </c>
      <c r="E478" s="482">
        <v>842.02780423731792</v>
      </c>
      <c r="F478" s="482">
        <v>0</v>
      </c>
      <c r="G478" s="482">
        <v>0</v>
      </c>
      <c r="H478" s="482"/>
      <c r="I478" s="482"/>
      <c r="J478" s="482"/>
      <c r="K478" s="482"/>
      <c r="L478" s="482"/>
      <c r="M478" s="482"/>
      <c r="N478" s="482">
        <f t="shared" si="28"/>
        <v>1042.6041061161129</v>
      </c>
      <c r="O478" s="481">
        <v>0</v>
      </c>
      <c r="P478" s="475"/>
    </row>
    <row r="479" spans="1:16">
      <c r="A479" s="470">
        <f t="shared" si="26"/>
        <v>2047</v>
      </c>
      <c r="B479" s="470">
        <f t="shared" si="27"/>
        <v>6</v>
      </c>
      <c r="C479" s="482">
        <v>205.15429738102287</v>
      </c>
      <c r="D479" s="482">
        <v>0</v>
      </c>
      <c r="E479" s="482">
        <v>862.93111112031715</v>
      </c>
      <c r="F479" s="482">
        <v>0</v>
      </c>
      <c r="G479" s="482">
        <v>0</v>
      </c>
      <c r="H479" s="482"/>
      <c r="I479" s="482"/>
      <c r="J479" s="482"/>
      <c r="K479" s="482"/>
      <c r="L479" s="482"/>
      <c r="M479" s="482"/>
      <c r="N479" s="482">
        <f t="shared" si="28"/>
        <v>1068.08540850134</v>
      </c>
      <c r="O479" s="481">
        <v>0</v>
      </c>
      <c r="P479" s="475"/>
    </row>
    <row r="480" spans="1:16">
      <c r="A480" s="470">
        <f t="shared" si="26"/>
        <v>2047</v>
      </c>
      <c r="B480" s="470">
        <f t="shared" si="27"/>
        <v>7</v>
      </c>
      <c r="C480" s="482">
        <v>216.78325833716295</v>
      </c>
      <c r="D480" s="482">
        <v>0</v>
      </c>
      <c r="E480" s="482">
        <v>928.08062194906483</v>
      </c>
      <c r="F480" s="482">
        <v>0</v>
      </c>
      <c r="G480" s="482">
        <v>0</v>
      </c>
      <c r="H480" s="482"/>
      <c r="I480" s="482"/>
      <c r="J480" s="482"/>
      <c r="K480" s="482"/>
      <c r="L480" s="482"/>
      <c r="M480" s="482"/>
      <c r="N480" s="482">
        <f t="shared" si="28"/>
        <v>1144.8638802862279</v>
      </c>
      <c r="O480" s="481">
        <v>0</v>
      </c>
      <c r="P480" s="475"/>
    </row>
    <row r="481" spans="1:16">
      <c r="A481" s="470">
        <f t="shared" si="26"/>
        <v>2047</v>
      </c>
      <c r="B481" s="470">
        <f t="shared" si="27"/>
        <v>8</v>
      </c>
      <c r="C481" s="482">
        <v>214.67836532237487</v>
      </c>
      <c r="D481" s="482">
        <v>0</v>
      </c>
      <c r="E481" s="482">
        <v>943.51145951114393</v>
      </c>
      <c r="F481" s="482">
        <v>0</v>
      </c>
      <c r="G481" s="482">
        <v>0</v>
      </c>
      <c r="H481" s="482"/>
      <c r="I481" s="482"/>
      <c r="J481" s="482"/>
      <c r="K481" s="482"/>
      <c r="L481" s="482"/>
      <c r="M481" s="482"/>
      <c r="N481" s="482">
        <f t="shared" si="28"/>
        <v>1158.1898248335187</v>
      </c>
      <c r="O481" s="481">
        <v>0</v>
      </c>
      <c r="P481" s="475"/>
    </row>
    <row r="482" spans="1:16">
      <c r="A482" s="470">
        <f t="shared" si="26"/>
        <v>2047</v>
      </c>
      <c r="B482" s="470">
        <f t="shared" si="27"/>
        <v>9</v>
      </c>
      <c r="C482" s="482">
        <v>202.61565798182292</v>
      </c>
      <c r="D482" s="482">
        <v>0</v>
      </c>
      <c r="E482" s="482">
        <v>902.10138022538081</v>
      </c>
      <c r="F482" s="482">
        <v>0</v>
      </c>
      <c r="G482" s="482">
        <v>0</v>
      </c>
      <c r="H482" s="482"/>
      <c r="I482" s="482"/>
      <c r="J482" s="482"/>
      <c r="K482" s="482"/>
      <c r="L482" s="482"/>
      <c r="M482" s="482"/>
      <c r="N482" s="482">
        <f t="shared" si="28"/>
        <v>1104.7170382072038</v>
      </c>
      <c r="O482" s="481">
        <v>0</v>
      </c>
      <c r="P482" s="475"/>
    </row>
    <row r="483" spans="1:16">
      <c r="A483" s="470">
        <f t="shared" si="26"/>
        <v>2047</v>
      </c>
      <c r="B483" s="470">
        <f t="shared" si="27"/>
        <v>10</v>
      </c>
      <c r="C483" s="482">
        <v>183.0494140524315</v>
      </c>
      <c r="D483" s="482">
        <v>0</v>
      </c>
      <c r="E483" s="482">
        <v>790.05316514372271</v>
      </c>
      <c r="F483" s="482">
        <v>0</v>
      </c>
      <c r="G483" s="482">
        <v>0</v>
      </c>
      <c r="H483" s="482"/>
      <c r="I483" s="482"/>
      <c r="J483" s="482"/>
      <c r="K483" s="482"/>
      <c r="L483" s="482"/>
      <c r="M483" s="482"/>
      <c r="N483" s="482">
        <f t="shared" si="28"/>
        <v>973.10257919615424</v>
      </c>
      <c r="O483" s="481">
        <v>0</v>
      </c>
      <c r="P483" s="475"/>
    </row>
    <row r="484" spans="1:16">
      <c r="A484" s="470">
        <f t="shared" si="26"/>
        <v>2047</v>
      </c>
      <c r="B484" s="470">
        <f t="shared" si="27"/>
        <v>11</v>
      </c>
      <c r="C484" s="482">
        <v>163.54399463327232</v>
      </c>
      <c r="D484" s="482">
        <v>0</v>
      </c>
      <c r="E484" s="482">
        <v>622.97499371245192</v>
      </c>
      <c r="F484" s="482">
        <v>0</v>
      </c>
      <c r="G484" s="482">
        <v>0</v>
      </c>
      <c r="H484" s="482"/>
      <c r="I484" s="482"/>
      <c r="J484" s="482"/>
      <c r="K484" s="482"/>
      <c r="L484" s="482"/>
      <c r="M484" s="482"/>
      <c r="N484" s="482">
        <f t="shared" si="28"/>
        <v>786.51898834572421</v>
      </c>
      <c r="O484" s="481">
        <v>0</v>
      </c>
      <c r="P484" s="475"/>
    </row>
    <row r="485" spans="1:16">
      <c r="A485" s="470">
        <f t="shared" si="26"/>
        <v>2047</v>
      </c>
      <c r="B485" s="470">
        <f t="shared" si="27"/>
        <v>12</v>
      </c>
      <c r="C485" s="482">
        <v>169.74468365551789</v>
      </c>
      <c r="D485" s="482">
        <v>0</v>
      </c>
      <c r="E485" s="482">
        <v>602.67004156750363</v>
      </c>
      <c r="F485" s="482">
        <v>0</v>
      </c>
      <c r="G485" s="482">
        <v>0</v>
      </c>
      <c r="H485" s="482"/>
      <c r="I485" s="482"/>
      <c r="J485" s="482"/>
      <c r="K485" s="482"/>
      <c r="L485" s="482"/>
      <c r="M485" s="482"/>
      <c r="N485" s="482">
        <f t="shared" si="28"/>
        <v>772.41472522302149</v>
      </c>
      <c r="O485" s="481">
        <v>0</v>
      </c>
      <c r="P485" s="475"/>
    </row>
    <row r="486" spans="1:16">
      <c r="A486" s="470">
        <f t="shared" si="26"/>
        <v>2048</v>
      </c>
      <c r="B486" s="470">
        <f t="shared" si="27"/>
        <v>1</v>
      </c>
      <c r="C486" s="482">
        <v>169.95319435861043</v>
      </c>
      <c r="D486" s="482">
        <v>0</v>
      </c>
      <c r="E486" s="482">
        <v>775.76967057180912</v>
      </c>
      <c r="F486" s="482">
        <v>0</v>
      </c>
      <c r="G486" s="482">
        <v>0</v>
      </c>
      <c r="H486" s="482"/>
      <c r="I486" s="482"/>
      <c r="J486" s="482"/>
      <c r="K486" s="482"/>
      <c r="L486" s="482"/>
      <c r="M486" s="482"/>
      <c r="N486" s="482">
        <f t="shared" si="28"/>
        <v>945.72286493041952</v>
      </c>
      <c r="O486" s="481">
        <v>0</v>
      </c>
      <c r="P486" s="475"/>
    </row>
    <row r="487" spans="1:16">
      <c r="A487" s="470">
        <f t="shared" si="26"/>
        <v>2048</v>
      </c>
      <c r="B487" s="470">
        <f t="shared" si="27"/>
        <v>2</v>
      </c>
      <c r="C487" s="482">
        <v>168.09961199158337</v>
      </c>
      <c r="D487" s="482">
        <v>0</v>
      </c>
      <c r="E487" s="482">
        <v>693.84312435093671</v>
      </c>
      <c r="F487" s="482">
        <v>0</v>
      </c>
      <c r="G487" s="482">
        <v>0</v>
      </c>
      <c r="H487" s="482"/>
      <c r="I487" s="482"/>
      <c r="J487" s="482"/>
      <c r="K487" s="482"/>
      <c r="L487" s="482"/>
      <c r="M487" s="482"/>
      <c r="N487" s="482">
        <f t="shared" si="28"/>
        <v>861.94273634252011</v>
      </c>
      <c r="O487" s="481">
        <v>0</v>
      </c>
      <c r="P487" s="475"/>
    </row>
    <row r="488" spans="1:16">
      <c r="A488" s="470">
        <f t="shared" si="26"/>
        <v>2048</v>
      </c>
      <c r="B488" s="470">
        <f t="shared" si="27"/>
        <v>3</v>
      </c>
      <c r="C488" s="482">
        <v>177.90180171164258</v>
      </c>
      <c r="D488" s="482">
        <v>0</v>
      </c>
      <c r="E488" s="482">
        <v>641.00249045291662</v>
      </c>
      <c r="F488" s="482">
        <v>0</v>
      </c>
      <c r="G488" s="482">
        <v>0</v>
      </c>
      <c r="H488" s="482"/>
      <c r="I488" s="482"/>
      <c r="J488" s="482"/>
      <c r="K488" s="482"/>
      <c r="L488" s="482"/>
      <c r="M488" s="482"/>
      <c r="N488" s="482">
        <f t="shared" si="28"/>
        <v>818.90429216455914</v>
      </c>
      <c r="O488" s="481">
        <v>0</v>
      </c>
      <c r="P488" s="475"/>
    </row>
    <row r="489" spans="1:16">
      <c r="A489" s="470">
        <f t="shared" si="26"/>
        <v>2048</v>
      </c>
      <c r="B489" s="470">
        <f t="shared" si="27"/>
        <v>4</v>
      </c>
      <c r="C489" s="482">
        <v>184.918794600643</v>
      </c>
      <c r="D489" s="482">
        <v>0</v>
      </c>
      <c r="E489" s="482">
        <v>768.61322211015818</v>
      </c>
      <c r="F489" s="482">
        <v>0</v>
      </c>
      <c r="G489" s="482">
        <v>0</v>
      </c>
      <c r="H489" s="482"/>
      <c r="I489" s="482"/>
      <c r="J489" s="482"/>
      <c r="K489" s="482"/>
      <c r="L489" s="482"/>
      <c r="M489" s="482"/>
      <c r="N489" s="482">
        <f t="shared" si="28"/>
        <v>953.53201671080114</v>
      </c>
      <c r="O489" s="481">
        <v>0</v>
      </c>
      <c r="P489" s="475"/>
    </row>
    <row r="490" spans="1:16">
      <c r="A490" s="470">
        <f t="shared" si="26"/>
        <v>2048</v>
      </c>
      <c r="B490" s="470">
        <f t="shared" si="27"/>
        <v>5</v>
      </c>
      <c r="C490" s="482">
        <v>202.46685931284142</v>
      </c>
      <c r="D490" s="482">
        <v>0</v>
      </c>
      <c r="E490" s="482">
        <v>846.38608337500284</v>
      </c>
      <c r="F490" s="482">
        <v>0</v>
      </c>
      <c r="G490" s="482">
        <v>0</v>
      </c>
      <c r="H490" s="482"/>
      <c r="I490" s="482"/>
      <c r="J490" s="482"/>
      <c r="K490" s="482"/>
      <c r="L490" s="482"/>
      <c r="M490" s="482"/>
      <c r="N490" s="482">
        <f t="shared" si="28"/>
        <v>1048.8529426878442</v>
      </c>
      <c r="O490" s="481">
        <v>0</v>
      </c>
      <c r="P490" s="475"/>
    </row>
    <row r="491" spans="1:16">
      <c r="A491" s="470">
        <f t="shared" si="26"/>
        <v>2048</v>
      </c>
      <c r="B491" s="470">
        <f t="shared" si="27"/>
        <v>6</v>
      </c>
      <c r="C491" s="482">
        <v>207.08800529370856</v>
      </c>
      <c r="D491" s="482">
        <v>0</v>
      </c>
      <c r="E491" s="482">
        <v>865.97007197742596</v>
      </c>
      <c r="F491" s="482">
        <v>0</v>
      </c>
      <c r="G491" s="482">
        <v>0</v>
      </c>
      <c r="H491" s="482"/>
      <c r="I491" s="482"/>
      <c r="J491" s="482"/>
      <c r="K491" s="482"/>
      <c r="L491" s="482"/>
      <c r="M491" s="482"/>
      <c r="N491" s="482">
        <f t="shared" si="28"/>
        <v>1073.0580772711346</v>
      </c>
      <c r="O491" s="481">
        <v>0</v>
      </c>
      <c r="P491" s="475"/>
    </row>
    <row r="492" spans="1:16">
      <c r="A492" s="470">
        <f t="shared" si="26"/>
        <v>2048</v>
      </c>
      <c r="B492" s="470">
        <f t="shared" si="27"/>
        <v>7</v>
      </c>
      <c r="C492" s="482">
        <v>218.82697865222104</v>
      </c>
      <c r="D492" s="482">
        <v>0</v>
      </c>
      <c r="E492" s="482">
        <v>933.35898970423864</v>
      </c>
      <c r="F492" s="482">
        <v>0</v>
      </c>
      <c r="G492" s="482">
        <v>0</v>
      </c>
      <c r="H492" s="482"/>
      <c r="I492" s="482"/>
      <c r="J492" s="482"/>
      <c r="K492" s="482"/>
      <c r="L492" s="482"/>
      <c r="M492" s="482"/>
      <c r="N492" s="482">
        <f t="shared" si="28"/>
        <v>1152.1859683564596</v>
      </c>
      <c r="O492" s="481">
        <v>0</v>
      </c>
      <c r="P492" s="475"/>
    </row>
    <row r="493" spans="1:16">
      <c r="A493" s="470">
        <f t="shared" si="26"/>
        <v>2048</v>
      </c>
      <c r="B493" s="470">
        <f t="shared" si="27"/>
        <v>8</v>
      </c>
      <c r="C493" s="482">
        <v>216.70184354830394</v>
      </c>
      <c r="D493" s="482">
        <v>0</v>
      </c>
      <c r="E493" s="482">
        <v>948.90223767070893</v>
      </c>
      <c r="F493" s="482">
        <v>0</v>
      </c>
      <c r="G493" s="482">
        <v>0</v>
      </c>
      <c r="H493" s="482"/>
      <c r="I493" s="482"/>
      <c r="J493" s="482"/>
      <c r="K493" s="482"/>
      <c r="L493" s="482"/>
      <c r="M493" s="482"/>
      <c r="N493" s="482">
        <f t="shared" si="28"/>
        <v>1165.6040812190129</v>
      </c>
      <c r="O493" s="481">
        <v>0</v>
      </c>
      <c r="P493" s="475"/>
    </row>
    <row r="494" spans="1:16">
      <c r="A494" s="470">
        <f t="shared" si="26"/>
        <v>2048</v>
      </c>
      <c r="B494" s="470">
        <f t="shared" si="27"/>
        <v>9</v>
      </c>
      <c r="C494" s="482">
        <v>204.52543762609625</v>
      </c>
      <c r="D494" s="482">
        <v>0</v>
      </c>
      <c r="E494" s="482">
        <v>907.26795522646489</v>
      </c>
      <c r="F494" s="482">
        <v>0</v>
      </c>
      <c r="G494" s="482">
        <v>0</v>
      </c>
      <c r="H494" s="482"/>
      <c r="I494" s="482"/>
      <c r="J494" s="482"/>
      <c r="K494" s="482"/>
      <c r="L494" s="482"/>
      <c r="M494" s="482"/>
      <c r="N494" s="482">
        <f t="shared" si="28"/>
        <v>1111.7933928525611</v>
      </c>
      <c r="O494" s="481">
        <v>0</v>
      </c>
      <c r="P494" s="475"/>
    </row>
    <row r="495" spans="1:16">
      <c r="A495" s="470">
        <f t="shared" si="26"/>
        <v>2048</v>
      </c>
      <c r="B495" s="470">
        <f t="shared" si="27"/>
        <v>10</v>
      </c>
      <c r="C495" s="482">
        <v>184.77476957695299</v>
      </c>
      <c r="D495" s="482">
        <v>0</v>
      </c>
      <c r="E495" s="482">
        <v>792.75189515003558</v>
      </c>
      <c r="F495" s="482">
        <v>0</v>
      </c>
      <c r="G495" s="482">
        <v>0</v>
      </c>
      <c r="H495" s="482"/>
      <c r="I495" s="482"/>
      <c r="J495" s="482"/>
      <c r="K495" s="482"/>
      <c r="L495" s="482"/>
      <c r="M495" s="482"/>
      <c r="N495" s="482">
        <f t="shared" si="28"/>
        <v>977.52666472698854</v>
      </c>
      <c r="O495" s="481">
        <v>0</v>
      </c>
      <c r="P495" s="475"/>
    </row>
    <row r="496" spans="1:16">
      <c r="A496" s="470">
        <f t="shared" si="26"/>
        <v>2048</v>
      </c>
      <c r="B496" s="470">
        <f t="shared" si="27"/>
        <v>11</v>
      </c>
      <c r="C496" s="482">
        <v>165.08549934719611</v>
      </c>
      <c r="D496" s="482">
        <v>0</v>
      </c>
      <c r="E496" s="482">
        <v>624.25535471614012</v>
      </c>
      <c r="F496" s="482">
        <v>0</v>
      </c>
      <c r="G496" s="482">
        <v>0</v>
      </c>
      <c r="H496" s="482"/>
      <c r="I496" s="482"/>
      <c r="J496" s="482"/>
      <c r="K496" s="482"/>
      <c r="L496" s="482"/>
      <c r="M496" s="482"/>
      <c r="N496" s="482">
        <f t="shared" si="28"/>
        <v>789.34085406333622</v>
      </c>
      <c r="O496" s="481">
        <v>0</v>
      </c>
      <c r="P496" s="475"/>
    </row>
    <row r="497" spans="1:16">
      <c r="A497" s="470">
        <f t="shared" si="26"/>
        <v>2048</v>
      </c>
      <c r="B497" s="470">
        <f t="shared" si="27"/>
        <v>12</v>
      </c>
      <c r="C497" s="482">
        <v>171.34463375215842</v>
      </c>
      <c r="D497" s="482">
        <v>0</v>
      </c>
      <c r="E497" s="482">
        <v>604.35372051384047</v>
      </c>
      <c r="F497" s="482">
        <v>0</v>
      </c>
      <c r="G497" s="482">
        <v>0</v>
      </c>
      <c r="H497" s="482"/>
      <c r="I497" s="482"/>
      <c r="J497" s="482"/>
      <c r="K497" s="482"/>
      <c r="L497" s="482"/>
      <c r="M497" s="482"/>
      <c r="N497" s="482">
        <f t="shared" si="28"/>
        <v>775.69835426599889</v>
      </c>
      <c r="O497" s="481">
        <v>0</v>
      </c>
      <c r="P497" s="475"/>
    </row>
    <row r="498" spans="1:16">
      <c r="A498" s="470">
        <f t="shared" si="26"/>
        <v>2049</v>
      </c>
      <c r="B498" s="470">
        <f t="shared" si="27"/>
        <v>1</v>
      </c>
      <c r="C498" s="482">
        <v>171.55510979939243</v>
      </c>
      <c r="D498" s="482">
        <v>0</v>
      </c>
      <c r="E498" s="482">
        <v>776.54540941799121</v>
      </c>
      <c r="F498" s="482">
        <v>0</v>
      </c>
      <c r="G498" s="482">
        <v>0</v>
      </c>
      <c r="H498" s="482"/>
      <c r="I498" s="482"/>
      <c r="J498" s="482"/>
      <c r="K498" s="482"/>
      <c r="L498" s="482"/>
      <c r="M498" s="482"/>
      <c r="N498" s="482">
        <f t="shared" si="28"/>
        <v>948.10051921738363</v>
      </c>
      <c r="O498" s="481">
        <v>0</v>
      </c>
      <c r="P498" s="475"/>
    </row>
    <row r="499" spans="1:16">
      <c r="A499" s="470">
        <f t="shared" si="26"/>
        <v>2049</v>
      </c>
      <c r="B499" s="470">
        <f t="shared" si="27"/>
        <v>2</v>
      </c>
      <c r="C499" s="482">
        <v>169.68405625610595</v>
      </c>
      <c r="D499" s="482">
        <v>0</v>
      </c>
      <c r="E499" s="482">
        <v>694.53681818363998</v>
      </c>
      <c r="F499" s="482">
        <v>0</v>
      </c>
      <c r="G499" s="482">
        <v>0</v>
      </c>
      <c r="H499" s="482"/>
      <c r="I499" s="482"/>
      <c r="J499" s="482"/>
      <c r="K499" s="482"/>
      <c r="L499" s="482"/>
      <c r="M499" s="482"/>
      <c r="N499" s="482">
        <f t="shared" si="28"/>
        <v>864.2208744397459</v>
      </c>
      <c r="O499" s="481">
        <v>0</v>
      </c>
      <c r="P499" s="475"/>
    </row>
    <row r="500" spans="1:16">
      <c r="A500" s="470">
        <f t="shared" si="26"/>
        <v>2049</v>
      </c>
      <c r="B500" s="470">
        <f t="shared" si="27"/>
        <v>3</v>
      </c>
      <c r="C500" s="482">
        <v>179.5786377615934</v>
      </c>
      <c r="D500" s="482">
        <v>0</v>
      </c>
      <c r="E500" s="482">
        <v>641.70894353177857</v>
      </c>
      <c r="F500" s="482">
        <v>0</v>
      </c>
      <c r="G500" s="482">
        <v>0</v>
      </c>
      <c r="H500" s="482"/>
      <c r="I500" s="482"/>
      <c r="J500" s="482"/>
      <c r="K500" s="482"/>
      <c r="L500" s="482"/>
      <c r="M500" s="482"/>
      <c r="N500" s="482">
        <f t="shared" si="28"/>
        <v>821.287581293372</v>
      </c>
      <c r="O500" s="481">
        <v>0</v>
      </c>
      <c r="P500" s="475"/>
    </row>
    <row r="501" spans="1:16">
      <c r="A501" s="470">
        <f t="shared" si="26"/>
        <v>2049</v>
      </c>
      <c r="B501" s="470">
        <f t="shared" si="27"/>
        <v>4</v>
      </c>
      <c r="C501" s="482">
        <v>186.66177020918914</v>
      </c>
      <c r="D501" s="482">
        <v>0</v>
      </c>
      <c r="E501" s="482">
        <v>773.471279511793</v>
      </c>
      <c r="F501" s="482">
        <v>0</v>
      </c>
      <c r="G501" s="482">
        <v>0</v>
      </c>
      <c r="H501" s="482"/>
      <c r="I501" s="482"/>
      <c r="J501" s="482"/>
      <c r="K501" s="482"/>
      <c r="L501" s="482"/>
      <c r="M501" s="482"/>
      <c r="N501" s="482">
        <f t="shared" si="28"/>
        <v>960.13304972098217</v>
      </c>
      <c r="O501" s="481">
        <v>0</v>
      </c>
      <c r="P501" s="475"/>
    </row>
    <row r="502" spans="1:16">
      <c r="A502" s="470">
        <f t="shared" si="26"/>
        <v>2049</v>
      </c>
      <c r="B502" s="470">
        <f t="shared" si="27"/>
        <v>5</v>
      </c>
      <c r="C502" s="482">
        <v>204.37523643634233</v>
      </c>
      <c r="D502" s="482">
        <v>0</v>
      </c>
      <c r="E502" s="482">
        <v>850.76692067163026</v>
      </c>
      <c r="F502" s="482">
        <v>0</v>
      </c>
      <c r="G502" s="482">
        <v>0</v>
      </c>
      <c r="H502" s="482"/>
      <c r="I502" s="482"/>
      <c r="J502" s="482"/>
      <c r="K502" s="482"/>
      <c r="L502" s="482"/>
      <c r="M502" s="482"/>
      <c r="N502" s="482">
        <f t="shared" si="28"/>
        <v>1055.1421571079727</v>
      </c>
      <c r="O502" s="481">
        <v>0</v>
      </c>
      <c r="P502" s="475"/>
    </row>
    <row r="503" spans="1:16">
      <c r="A503" s="470">
        <f t="shared" si="26"/>
        <v>2049</v>
      </c>
      <c r="B503" s="470">
        <f t="shared" si="27"/>
        <v>6</v>
      </c>
      <c r="C503" s="482">
        <v>209.03993961617127</v>
      </c>
      <c r="D503" s="482">
        <v>0</v>
      </c>
      <c r="E503" s="482">
        <v>869.01973505974377</v>
      </c>
      <c r="F503" s="482">
        <v>0</v>
      </c>
      <c r="G503" s="482">
        <v>0</v>
      </c>
      <c r="H503" s="482"/>
      <c r="I503" s="482"/>
      <c r="J503" s="482"/>
      <c r="K503" s="482"/>
      <c r="L503" s="482"/>
      <c r="M503" s="482"/>
      <c r="N503" s="482">
        <f t="shared" si="28"/>
        <v>1078.0596746759149</v>
      </c>
      <c r="O503" s="481">
        <v>0</v>
      </c>
      <c r="P503" s="475"/>
    </row>
    <row r="504" spans="1:16">
      <c r="A504" s="470">
        <f t="shared" si="26"/>
        <v>2049</v>
      </c>
      <c r="B504" s="470">
        <f t="shared" si="27"/>
        <v>7</v>
      </c>
      <c r="C504" s="482">
        <v>220.88996610422606</v>
      </c>
      <c r="D504" s="482">
        <v>0</v>
      </c>
      <c r="E504" s="482">
        <v>938.66737765970527</v>
      </c>
      <c r="F504" s="482">
        <v>0</v>
      </c>
      <c r="G504" s="482">
        <v>0</v>
      </c>
      <c r="H504" s="482"/>
      <c r="I504" s="482"/>
      <c r="J504" s="482"/>
      <c r="K504" s="482"/>
      <c r="L504" s="482"/>
      <c r="M504" s="482"/>
      <c r="N504" s="482">
        <f t="shared" si="28"/>
        <v>1159.5573437639314</v>
      </c>
      <c r="O504" s="481">
        <v>0</v>
      </c>
      <c r="P504" s="475"/>
    </row>
    <row r="505" spans="1:16">
      <c r="A505" s="470">
        <f t="shared" si="26"/>
        <v>2049</v>
      </c>
      <c r="B505" s="470">
        <f t="shared" si="27"/>
        <v>8</v>
      </c>
      <c r="C505" s="482">
        <v>218.74439432551065</v>
      </c>
      <c r="D505" s="482">
        <v>0</v>
      </c>
      <c r="E505" s="482">
        <v>954.32381618661589</v>
      </c>
      <c r="F505" s="482">
        <v>0</v>
      </c>
      <c r="G505" s="482">
        <v>0</v>
      </c>
      <c r="H505" s="482"/>
      <c r="I505" s="482"/>
      <c r="J505" s="482"/>
      <c r="K505" s="482"/>
      <c r="L505" s="482"/>
      <c r="M505" s="482"/>
      <c r="N505" s="482">
        <f t="shared" si="28"/>
        <v>1173.0682105121266</v>
      </c>
      <c r="O505" s="481">
        <v>0</v>
      </c>
      <c r="P505" s="475"/>
    </row>
    <row r="506" spans="1:16">
      <c r="A506" s="470">
        <f t="shared" si="26"/>
        <v>2049</v>
      </c>
      <c r="B506" s="470">
        <f t="shared" si="27"/>
        <v>9</v>
      </c>
      <c r="C506" s="482">
        <v>206.4532181412105</v>
      </c>
      <c r="D506" s="482">
        <v>0</v>
      </c>
      <c r="E506" s="482">
        <v>912.46412057939517</v>
      </c>
      <c r="F506" s="482">
        <v>0</v>
      </c>
      <c r="G506" s="482">
        <v>0</v>
      </c>
      <c r="H506" s="482"/>
      <c r="I506" s="482"/>
      <c r="J506" s="482"/>
      <c r="K506" s="482"/>
      <c r="L506" s="482"/>
      <c r="M506" s="482"/>
      <c r="N506" s="482">
        <f t="shared" si="28"/>
        <v>1118.9173387206056</v>
      </c>
      <c r="O506" s="481">
        <v>0</v>
      </c>
      <c r="P506" s="475"/>
    </row>
    <row r="507" spans="1:16">
      <c r="A507" s="470">
        <f t="shared" si="26"/>
        <v>2049</v>
      </c>
      <c r="B507" s="470">
        <f t="shared" si="27"/>
        <v>10</v>
      </c>
      <c r="C507" s="482">
        <v>186.51638765932753</v>
      </c>
      <c r="D507" s="482">
        <v>0</v>
      </c>
      <c r="E507" s="482">
        <v>795.4598437051352</v>
      </c>
      <c r="F507" s="482">
        <v>0</v>
      </c>
      <c r="G507" s="482">
        <v>0</v>
      </c>
      <c r="H507" s="482"/>
      <c r="I507" s="482"/>
      <c r="J507" s="482"/>
      <c r="K507" s="482"/>
      <c r="L507" s="482"/>
      <c r="M507" s="482"/>
      <c r="N507" s="482">
        <f t="shared" si="28"/>
        <v>981.97623136446271</v>
      </c>
      <c r="O507" s="481">
        <v>0</v>
      </c>
      <c r="P507" s="475"/>
    </row>
    <row r="508" spans="1:16">
      <c r="A508" s="470">
        <f t="shared" si="26"/>
        <v>2049</v>
      </c>
      <c r="B508" s="470">
        <f t="shared" si="27"/>
        <v>11</v>
      </c>
      <c r="C508" s="482">
        <v>166.6415337097834</v>
      </c>
      <c r="D508" s="482">
        <v>0</v>
      </c>
      <c r="E508" s="482">
        <v>625.53834716461552</v>
      </c>
      <c r="F508" s="482">
        <v>0</v>
      </c>
      <c r="G508" s="482">
        <v>0</v>
      </c>
      <c r="H508" s="482"/>
      <c r="I508" s="482"/>
      <c r="J508" s="482"/>
      <c r="K508" s="482"/>
      <c r="L508" s="482"/>
      <c r="M508" s="482"/>
      <c r="N508" s="482">
        <f t="shared" si="28"/>
        <v>792.17988087439892</v>
      </c>
      <c r="O508" s="481">
        <v>0</v>
      </c>
      <c r="P508" s="475"/>
    </row>
    <row r="509" spans="1:16">
      <c r="A509" s="470">
        <f t="shared" si="26"/>
        <v>2049</v>
      </c>
      <c r="B509" s="470">
        <f t="shared" si="27"/>
        <v>12</v>
      </c>
      <c r="C509" s="482">
        <v>172.95966438184783</v>
      </c>
      <c r="D509" s="482">
        <v>0</v>
      </c>
      <c r="E509" s="482">
        <v>606.04210315307523</v>
      </c>
      <c r="F509" s="482">
        <v>0</v>
      </c>
      <c r="G509" s="482">
        <v>0</v>
      </c>
      <c r="H509" s="482"/>
      <c r="I509" s="482"/>
      <c r="J509" s="482"/>
      <c r="K509" s="482"/>
      <c r="L509" s="482"/>
      <c r="M509" s="482"/>
      <c r="N509" s="482">
        <f t="shared" si="28"/>
        <v>779.00176753492303</v>
      </c>
      <c r="O509" s="481">
        <v>0</v>
      </c>
      <c r="P509" s="475"/>
    </row>
    <row r="510" spans="1:16">
      <c r="A510" s="470">
        <f t="shared" si="26"/>
        <v>2050</v>
      </c>
      <c r="B510" s="470">
        <f t="shared" si="27"/>
        <v>1</v>
      </c>
      <c r="C510" s="482">
        <v>173.17212429782438</v>
      </c>
      <c r="D510" s="482">
        <v>0</v>
      </c>
      <c r="E510" s="482">
        <v>777.32192397219637</v>
      </c>
      <c r="F510" s="482">
        <v>0</v>
      </c>
      <c r="G510" s="482">
        <v>0</v>
      </c>
      <c r="H510" s="482"/>
      <c r="I510" s="482"/>
      <c r="J510" s="482"/>
      <c r="K510" s="482"/>
      <c r="L510" s="482"/>
      <c r="M510" s="482"/>
      <c r="N510" s="482">
        <f t="shared" si="28"/>
        <v>950.49404827002081</v>
      </c>
      <c r="O510" s="481">
        <v>0</v>
      </c>
      <c r="P510" s="475"/>
    </row>
    <row r="511" spans="1:16">
      <c r="A511" s="470">
        <f t="shared" si="26"/>
        <v>2050</v>
      </c>
      <c r="B511" s="470">
        <f t="shared" si="27"/>
        <v>2</v>
      </c>
      <c r="C511" s="482">
        <v>171.28343490148541</v>
      </c>
      <c r="D511" s="482">
        <v>0</v>
      </c>
      <c r="E511" s="482">
        <v>695.23120556091646</v>
      </c>
      <c r="F511" s="482">
        <v>0</v>
      </c>
      <c r="G511" s="482">
        <v>0</v>
      </c>
      <c r="H511" s="482"/>
      <c r="I511" s="482"/>
      <c r="J511" s="482"/>
      <c r="K511" s="482"/>
      <c r="L511" s="482"/>
      <c r="M511" s="482"/>
      <c r="N511" s="482">
        <f t="shared" si="28"/>
        <v>866.51464046240187</v>
      </c>
      <c r="O511" s="481">
        <v>0</v>
      </c>
      <c r="P511" s="475"/>
    </row>
    <row r="512" spans="1:16">
      <c r="A512" s="470">
        <f t="shared" si="26"/>
        <v>2050</v>
      </c>
      <c r="B512" s="470">
        <f t="shared" si="27"/>
        <v>3</v>
      </c>
      <c r="C512" s="482">
        <v>181.27127904292109</v>
      </c>
      <c r="D512" s="482">
        <v>0</v>
      </c>
      <c r="E512" s="482">
        <v>642.41617519724525</v>
      </c>
      <c r="F512" s="482">
        <v>0</v>
      </c>
      <c r="G512" s="482">
        <v>0</v>
      </c>
      <c r="H512" s="482"/>
      <c r="I512" s="482"/>
      <c r="J512" s="482"/>
      <c r="K512" s="482"/>
      <c r="L512" s="482"/>
      <c r="M512" s="482"/>
      <c r="N512" s="482">
        <f t="shared" si="28"/>
        <v>823.68745424016629</v>
      </c>
      <c r="O512" s="481">
        <v>0</v>
      </c>
      <c r="P512" s="475"/>
    </row>
    <row r="513" spans="1:16">
      <c r="A513" s="470">
        <f t="shared" si="26"/>
        <v>2050</v>
      </c>
      <c r="B513" s="470">
        <f t="shared" si="27"/>
        <v>4</v>
      </c>
      <c r="C513" s="482">
        <v>188.42117445593047</v>
      </c>
      <c r="D513" s="482">
        <v>0</v>
      </c>
      <c r="E513" s="482">
        <v>778.36004250245321</v>
      </c>
      <c r="F513" s="482">
        <v>0</v>
      </c>
      <c r="G513" s="482">
        <v>0</v>
      </c>
      <c r="H513" s="482"/>
      <c r="I513" s="482"/>
      <c r="J513" s="482"/>
      <c r="K513" s="482"/>
      <c r="L513" s="482"/>
      <c r="M513" s="482"/>
      <c r="N513" s="482">
        <f t="shared" si="28"/>
        <v>966.78121695838365</v>
      </c>
      <c r="O513" s="481">
        <v>0</v>
      </c>
      <c r="P513" s="475"/>
    </row>
    <row r="514" spans="1:16">
      <c r="A514" s="470">
        <f t="shared" si="26"/>
        <v>2050</v>
      </c>
      <c r="B514" s="470">
        <f t="shared" si="27"/>
        <v>5</v>
      </c>
      <c r="C514" s="482">
        <v>206.30160121104635</v>
      </c>
      <c r="D514" s="482">
        <v>0</v>
      </c>
      <c r="E514" s="482">
        <v>855.1704328867097</v>
      </c>
      <c r="F514" s="482">
        <v>0</v>
      </c>
      <c r="G514" s="482">
        <v>0</v>
      </c>
      <c r="H514" s="482"/>
      <c r="I514" s="482"/>
      <c r="J514" s="482"/>
      <c r="K514" s="482"/>
      <c r="L514" s="482"/>
      <c r="M514" s="482"/>
      <c r="N514" s="482">
        <f t="shared" si="28"/>
        <v>1061.472034097756</v>
      </c>
      <c r="O514" s="481">
        <v>0</v>
      </c>
      <c r="P514" s="475"/>
    </row>
    <row r="515" spans="1:16">
      <c r="A515" s="470">
        <f t="shared" si="26"/>
        <v>2050</v>
      </c>
      <c r="B515" s="470">
        <f t="shared" si="27"/>
        <v>6</v>
      </c>
      <c r="C515" s="482">
        <v>211.01027214375358</v>
      </c>
      <c r="D515" s="482">
        <v>0</v>
      </c>
      <c r="E515" s="482">
        <v>872.08013805700386</v>
      </c>
      <c r="F515" s="482">
        <v>0</v>
      </c>
      <c r="G515" s="482">
        <v>0</v>
      </c>
      <c r="H515" s="482"/>
      <c r="I515" s="482"/>
      <c r="J515" s="482"/>
      <c r="K515" s="482"/>
      <c r="L515" s="482"/>
      <c r="M515" s="482"/>
      <c r="N515" s="482">
        <f t="shared" si="28"/>
        <v>1083.0904102007576</v>
      </c>
      <c r="O515" s="481">
        <v>0</v>
      </c>
      <c r="P515" s="475"/>
    </row>
    <row r="516" spans="1:16">
      <c r="A516" s="470">
        <f t="shared" si="26"/>
        <v>2050</v>
      </c>
      <c r="B516" s="470">
        <f t="shared" si="27"/>
        <v>7</v>
      </c>
      <c r="C516" s="482">
        <v>222.97240233376914</v>
      </c>
      <c r="D516" s="482">
        <v>0</v>
      </c>
      <c r="E516" s="482">
        <v>944.0059565524175</v>
      </c>
      <c r="F516" s="482">
        <v>0</v>
      </c>
      <c r="G516" s="482">
        <v>0</v>
      </c>
      <c r="H516" s="482"/>
      <c r="I516" s="482"/>
      <c r="J516" s="482"/>
      <c r="K516" s="482"/>
      <c r="L516" s="482"/>
      <c r="M516" s="482"/>
      <c r="N516" s="482">
        <f t="shared" si="28"/>
        <v>1166.9783588861867</v>
      </c>
      <c r="O516" s="481">
        <v>0</v>
      </c>
      <c r="P516" s="475"/>
    </row>
    <row r="517" spans="1:16">
      <c r="A517" s="470">
        <f t="shared" si="26"/>
        <v>2050</v>
      </c>
      <c r="B517" s="470">
        <f t="shared" si="27"/>
        <v>8</v>
      </c>
      <c r="C517" s="482">
        <v>220.8061974247519</v>
      </c>
      <c r="D517" s="482">
        <v>0</v>
      </c>
      <c r="E517" s="482">
        <v>959.77637103753102</v>
      </c>
      <c r="F517" s="482">
        <v>0</v>
      </c>
      <c r="G517" s="482">
        <v>0</v>
      </c>
      <c r="H517" s="482"/>
      <c r="I517" s="482"/>
      <c r="J517" s="482"/>
      <c r="K517" s="482"/>
      <c r="L517" s="482"/>
      <c r="M517" s="482"/>
      <c r="N517" s="482">
        <f t="shared" si="28"/>
        <v>1180.582568462283</v>
      </c>
      <c r="O517" s="481">
        <v>0</v>
      </c>
      <c r="P517" s="475"/>
    </row>
    <row r="518" spans="1:16">
      <c r="A518" s="470">
        <f t="shared" si="26"/>
        <v>2050</v>
      </c>
      <c r="B518" s="470">
        <f t="shared" si="27"/>
        <v>9</v>
      </c>
      <c r="C518" s="482">
        <v>208.39916919666237</v>
      </c>
      <c r="D518" s="482">
        <v>0</v>
      </c>
      <c r="E518" s="482">
        <v>917.69004575600206</v>
      </c>
      <c r="F518" s="482">
        <v>0</v>
      </c>
      <c r="G518" s="482">
        <v>0</v>
      </c>
      <c r="H518" s="482"/>
      <c r="I518" s="482"/>
      <c r="J518" s="482"/>
      <c r="K518" s="482"/>
      <c r="L518" s="482"/>
      <c r="M518" s="482"/>
      <c r="N518" s="482">
        <f t="shared" si="28"/>
        <v>1126.0892149526644</v>
      </c>
      <c r="O518" s="481">
        <v>0</v>
      </c>
      <c r="P518" s="475"/>
    </row>
    <row r="519" spans="1:16">
      <c r="A519" s="470">
        <f>A507+1</f>
        <v>2050</v>
      </c>
      <c r="B519" s="470">
        <f>B507</f>
        <v>10</v>
      </c>
      <c r="C519" s="482">
        <v>188.27442158436173</v>
      </c>
      <c r="D519" s="482">
        <v>0</v>
      </c>
      <c r="E519" s="482">
        <v>798.17704229851529</v>
      </c>
      <c r="F519" s="482">
        <v>0</v>
      </c>
      <c r="G519" s="482">
        <v>0</v>
      </c>
      <c r="H519" s="482"/>
      <c r="I519" s="482"/>
      <c r="J519" s="482"/>
      <c r="K519" s="482"/>
      <c r="L519" s="482"/>
      <c r="M519" s="482"/>
      <c r="N519" s="482">
        <f t="shared" ref="N519:N582" si="29">SUM(C519:M519)</f>
        <v>986.45146388287708</v>
      </c>
      <c r="O519" s="481">
        <v>0</v>
      </c>
      <c r="P519" s="475"/>
    </row>
    <row r="520" spans="1:16">
      <c r="A520" s="470">
        <f>A508+1</f>
        <v>2050</v>
      </c>
      <c r="B520" s="470">
        <f>B508</f>
        <v>11</v>
      </c>
      <c r="C520" s="482">
        <v>168.21223467208495</v>
      </c>
      <c r="D520" s="482">
        <v>0</v>
      </c>
      <c r="E520" s="482">
        <v>626.8239764661198</v>
      </c>
      <c r="F520" s="482">
        <v>0</v>
      </c>
      <c r="G520" s="482">
        <v>0</v>
      </c>
      <c r="H520" s="482"/>
      <c r="I520" s="482"/>
      <c r="J520" s="482"/>
      <c r="K520" s="482"/>
      <c r="L520" s="482"/>
      <c r="M520" s="482"/>
      <c r="N520" s="482">
        <f t="shared" si="29"/>
        <v>795.03621113820475</v>
      </c>
      <c r="O520" s="481">
        <v>0</v>
      </c>
      <c r="P520" s="475"/>
    </row>
    <row r="521" spans="1:16">
      <c r="A521" s="470">
        <f>A509+1</f>
        <v>2050</v>
      </c>
      <c r="B521" s="470">
        <f>B509</f>
        <v>12</v>
      </c>
      <c r="C521" s="482">
        <v>174.58991768806769</v>
      </c>
      <c r="D521" s="482">
        <v>0</v>
      </c>
      <c r="E521" s="482">
        <v>607.73520262591217</v>
      </c>
      <c r="F521" s="482">
        <v>0</v>
      </c>
      <c r="G521" s="482">
        <v>0</v>
      </c>
      <c r="H521" s="482"/>
      <c r="I521" s="482"/>
      <c r="J521" s="482"/>
      <c r="K521" s="482"/>
      <c r="L521" s="482"/>
      <c r="M521" s="482"/>
      <c r="N521" s="482">
        <f t="shared" si="29"/>
        <v>782.32512031397982</v>
      </c>
      <c r="O521" s="481">
        <v>0</v>
      </c>
      <c r="P521" s="475"/>
    </row>
    <row r="522" spans="1:16">
      <c r="A522" s="470">
        <f t="shared" ref="A522:A585" si="30">A510+1</f>
        <v>2051</v>
      </c>
      <c r="B522" s="470">
        <f t="shared" ref="B522:B585" si="31">B510</f>
        <v>1</v>
      </c>
      <c r="C522" s="482">
        <v>174.80438017199384</v>
      </c>
      <c r="D522" s="482">
        <v>0</v>
      </c>
      <c r="E522" s="482">
        <v>778.09921501010172</v>
      </c>
      <c r="F522" s="482">
        <v>0</v>
      </c>
      <c r="G522" s="482">
        <v>0</v>
      </c>
      <c r="H522" s="482"/>
      <c r="I522" s="482"/>
      <c r="J522" s="482"/>
      <c r="K522" s="482"/>
      <c r="L522" s="482"/>
      <c r="M522" s="482"/>
      <c r="N522" s="482">
        <f t="shared" si="29"/>
        <v>952.90359518209561</v>
      </c>
      <c r="O522" s="481">
        <v>0</v>
      </c>
      <c r="P522" s="475"/>
    </row>
    <row r="523" spans="1:16">
      <c r="A523" s="470">
        <f t="shared" si="30"/>
        <v>2051</v>
      </c>
      <c r="B523" s="470">
        <f t="shared" si="31"/>
        <v>2</v>
      </c>
      <c r="C523" s="482">
        <v>172.89788869362724</v>
      </c>
      <c r="D523" s="482">
        <v>0</v>
      </c>
      <c r="E523" s="482">
        <v>695.9262871761614</v>
      </c>
      <c r="F523" s="482">
        <v>0</v>
      </c>
      <c r="G523" s="482">
        <v>0</v>
      </c>
      <c r="H523" s="482"/>
      <c r="I523" s="482"/>
      <c r="J523" s="482"/>
      <c r="K523" s="482"/>
      <c r="L523" s="482"/>
      <c r="M523" s="482"/>
      <c r="N523" s="482">
        <f t="shared" si="29"/>
        <v>868.82417586978863</v>
      </c>
      <c r="O523" s="481">
        <v>0</v>
      </c>
      <c r="P523" s="475"/>
    </row>
    <row r="524" spans="1:16">
      <c r="A524" s="470">
        <f t="shared" si="30"/>
        <v>2051</v>
      </c>
      <c r="B524" s="470">
        <f t="shared" si="31"/>
        <v>3</v>
      </c>
      <c r="C524" s="482">
        <v>182.97987452984341</v>
      </c>
      <c r="D524" s="482">
        <v>0</v>
      </c>
      <c r="E524" s="482">
        <v>643.12418630740206</v>
      </c>
      <c r="F524" s="482">
        <v>0</v>
      </c>
      <c r="G524" s="482">
        <v>0</v>
      </c>
      <c r="H524" s="482"/>
      <c r="I524" s="482"/>
      <c r="J524" s="482"/>
      <c r="K524" s="482"/>
      <c r="L524" s="482"/>
      <c r="M524" s="482"/>
      <c r="N524" s="482">
        <f t="shared" si="29"/>
        <v>826.10406083724547</v>
      </c>
      <c r="O524" s="481">
        <v>0</v>
      </c>
      <c r="P524" s="475"/>
    </row>
    <row r="525" spans="1:16">
      <c r="A525" s="470">
        <f t="shared" si="30"/>
        <v>2051</v>
      </c>
      <c r="B525" s="470">
        <f t="shared" si="31"/>
        <v>4</v>
      </c>
      <c r="C525" s="482">
        <v>190.197162191085</v>
      </c>
      <c r="D525" s="482">
        <v>0</v>
      </c>
      <c r="E525" s="482">
        <v>783.2797051583135</v>
      </c>
      <c r="F525" s="482">
        <v>0</v>
      </c>
      <c r="G525" s="482">
        <v>0</v>
      </c>
      <c r="H525" s="482"/>
      <c r="I525" s="482"/>
      <c r="J525" s="482"/>
      <c r="K525" s="482"/>
      <c r="L525" s="482"/>
      <c r="M525" s="482"/>
      <c r="N525" s="482">
        <f t="shared" si="29"/>
        <v>973.4768673493985</v>
      </c>
      <c r="O525" s="481">
        <v>0</v>
      </c>
      <c r="P525" s="475"/>
    </row>
    <row r="526" spans="1:16">
      <c r="A526" s="470">
        <f t="shared" si="30"/>
        <v>2051</v>
      </c>
      <c r="B526" s="470">
        <f t="shared" si="31"/>
        <v>5</v>
      </c>
      <c r="C526" s="482">
        <v>208.24612318184677</v>
      </c>
      <c r="D526" s="482">
        <v>0</v>
      </c>
      <c r="E526" s="482">
        <v>859.59673738409026</v>
      </c>
      <c r="F526" s="482">
        <v>0</v>
      </c>
      <c r="G526" s="482">
        <v>0</v>
      </c>
      <c r="H526" s="482"/>
      <c r="I526" s="482"/>
      <c r="J526" s="482"/>
      <c r="K526" s="482"/>
      <c r="L526" s="482"/>
      <c r="M526" s="482"/>
      <c r="N526" s="482">
        <f t="shared" si="29"/>
        <v>1067.8428605659369</v>
      </c>
      <c r="O526" s="481">
        <v>0</v>
      </c>
      <c r="P526" s="475"/>
    </row>
    <row r="527" spans="1:16">
      <c r="A527" s="470">
        <f t="shared" si="30"/>
        <v>2051</v>
      </c>
      <c r="B527" s="470">
        <f t="shared" si="31"/>
        <v>6</v>
      </c>
      <c r="C527" s="482">
        <v>212.99917629107696</v>
      </c>
      <c r="D527" s="482">
        <v>0</v>
      </c>
      <c r="E527" s="482">
        <v>875.15131879167063</v>
      </c>
      <c r="F527" s="482">
        <v>0</v>
      </c>
      <c r="G527" s="482">
        <v>0</v>
      </c>
      <c r="H527" s="482"/>
      <c r="I527" s="482"/>
      <c r="J527" s="482"/>
      <c r="K527" s="482"/>
      <c r="L527" s="482"/>
      <c r="M527" s="482"/>
      <c r="N527" s="482">
        <f t="shared" si="29"/>
        <v>1088.1504950827475</v>
      </c>
      <c r="O527" s="481">
        <v>0</v>
      </c>
      <c r="P527" s="475"/>
    </row>
    <row r="528" spans="1:16">
      <c r="A528" s="470">
        <f t="shared" si="30"/>
        <v>2051</v>
      </c>
      <c r="B528" s="470">
        <f t="shared" si="31"/>
        <v>7</v>
      </c>
      <c r="C528" s="482">
        <v>225.07447069385483</v>
      </c>
      <c r="D528" s="482">
        <v>0</v>
      </c>
      <c r="E528" s="482">
        <v>949.37489809037766</v>
      </c>
      <c r="F528" s="482">
        <v>0</v>
      </c>
      <c r="G528" s="482">
        <v>0</v>
      </c>
      <c r="H528" s="482"/>
      <c r="I528" s="482"/>
      <c r="J528" s="482"/>
      <c r="K528" s="482"/>
      <c r="L528" s="482"/>
      <c r="M528" s="482"/>
      <c r="N528" s="482">
        <f t="shared" si="29"/>
        <v>1174.4493687842325</v>
      </c>
      <c r="O528" s="481">
        <v>0</v>
      </c>
      <c r="P528" s="475"/>
    </row>
    <row r="529" spans="1:16">
      <c r="A529" s="470">
        <f t="shared" si="30"/>
        <v>2051</v>
      </c>
      <c r="B529" s="470">
        <f t="shared" si="31"/>
        <v>8</v>
      </c>
      <c r="C529" s="482">
        <v>222.88743431123669</v>
      </c>
      <c r="D529" s="482">
        <v>0</v>
      </c>
      <c r="E529" s="482">
        <v>965.26007920757957</v>
      </c>
      <c r="F529" s="482">
        <v>0</v>
      </c>
      <c r="G529" s="482">
        <v>0</v>
      </c>
      <c r="H529" s="482"/>
      <c r="I529" s="482"/>
      <c r="J529" s="482"/>
      <c r="K529" s="482"/>
      <c r="L529" s="482"/>
      <c r="M529" s="482"/>
      <c r="N529" s="482">
        <f t="shared" si="29"/>
        <v>1188.1475135188161</v>
      </c>
      <c r="O529" s="481">
        <v>0</v>
      </c>
      <c r="P529" s="475"/>
    </row>
    <row r="530" spans="1:16">
      <c r="A530" s="470">
        <f t="shared" si="30"/>
        <v>2051</v>
      </c>
      <c r="B530" s="470">
        <f t="shared" si="31"/>
        <v>9</v>
      </c>
      <c r="C530" s="482">
        <v>210.36346206118995</v>
      </c>
      <c r="D530" s="482">
        <v>0</v>
      </c>
      <c r="E530" s="482">
        <v>922.94590119872635</v>
      </c>
      <c r="F530" s="482">
        <v>0</v>
      </c>
      <c r="G530" s="482">
        <v>0</v>
      </c>
      <c r="H530" s="482"/>
      <c r="I530" s="482"/>
      <c r="J530" s="482"/>
      <c r="K530" s="482"/>
      <c r="L530" s="482"/>
      <c r="M530" s="482"/>
      <c r="N530" s="482">
        <f t="shared" si="29"/>
        <v>1133.3093632599164</v>
      </c>
      <c r="O530" s="481">
        <v>0</v>
      </c>
      <c r="P530" s="475"/>
    </row>
    <row r="531" spans="1:16">
      <c r="A531" s="470">
        <f t="shared" si="30"/>
        <v>2051</v>
      </c>
      <c r="B531" s="470">
        <f t="shared" si="31"/>
        <v>10</v>
      </c>
      <c r="C531" s="482">
        <v>190.04902608166765</v>
      </c>
      <c r="D531" s="482">
        <v>0</v>
      </c>
      <c r="E531" s="482">
        <v>800.90352252723414</v>
      </c>
      <c r="F531" s="482">
        <v>0</v>
      </c>
      <c r="G531" s="482">
        <v>0</v>
      </c>
      <c r="H531" s="482"/>
      <c r="I531" s="482"/>
      <c r="J531" s="482"/>
      <c r="K531" s="482"/>
      <c r="L531" s="482"/>
      <c r="M531" s="482"/>
      <c r="N531" s="482">
        <f t="shared" si="29"/>
        <v>990.95254860890179</v>
      </c>
      <c r="O531" s="481">
        <v>0</v>
      </c>
      <c r="P531" s="475"/>
    </row>
    <row r="532" spans="1:16">
      <c r="A532" s="470">
        <f t="shared" si="30"/>
        <v>2051</v>
      </c>
      <c r="B532" s="470">
        <f t="shared" si="31"/>
        <v>11</v>
      </c>
      <c r="C532" s="482">
        <v>169.79774047600102</v>
      </c>
      <c r="D532" s="482">
        <v>0</v>
      </c>
      <c r="E532" s="482">
        <v>628.11224804000972</v>
      </c>
      <c r="F532" s="482">
        <v>0</v>
      </c>
      <c r="G532" s="482">
        <v>0</v>
      </c>
      <c r="H532" s="482"/>
      <c r="I532" s="482"/>
      <c r="J532" s="482"/>
      <c r="K532" s="482"/>
      <c r="L532" s="482"/>
      <c r="M532" s="482"/>
      <c r="N532" s="482">
        <f t="shared" si="29"/>
        <v>797.9099885160108</v>
      </c>
      <c r="O532" s="481">
        <v>0</v>
      </c>
      <c r="P532" s="475"/>
    </row>
    <row r="533" spans="1:16">
      <c r="A533" s="470">
        <f t="shared" si="30"/>
        <v>2051</v>
      </c>
      <c r="B533" s="470">
        <f t="shared" si="31"/>
        <v>12</v>
      </c>
      <c r="C533" s="482">
        <v>176.23553715409099</v>
      </c>
      <c r="D533" s="482">
        <v>0</v>
      </c>
      <c r="E533" s="482">
        <v>609.43303210976649</v>
      </c>
      <c r="F533" s="482">
        <v>0</v>
      </c>
      <c r="G533" s="482">
        <v>0</v>
      </c>
      <c r="H533" s="482"/>
      <c r="I533" s="482"/>
      <c r="J533" s="482"/>
      <c r="K533" s="482"/>
      <c r="L533" s="482"/>
      <c r="M533" s="482"/>
      <c r="N533" s="482">
        <f t="shared" si="29"/>
        <v>785.66856926385753</v>
      </c>
      <c r="O533" s="481">
        <v>0</v>
      </c>
      <c r="P533" s="475"/>
    </row>
    <row r="534" spans="1:16">
      <c r="A534" s="470">
        <f t="shared" si="30"/>
        <v>2052</v>
      </c>
      <c r="B534" s="470">
        <f t="shared" si="31"/>
        <v>1</v>
      </c>
      <c r="C534" s="482">
        <v>176.45202108142553</v>
      </c>
      <c r="D534" s="482">
        <v>0</v>
      </c>
      <c r="E534" s="482">
        <v>778.87728330816014</v>
      </c>
      <c r="F534" s="482">
        <v>0</v>
      </c>
      <c r="G534" s="482">
        <v>0</v>
      </c>
      <c r="H534" s="482"/>
      <c r="I534" s="482"/>
      <c r="J534" s="482"/>
      <c r="K534" s="482"/>
      <c r="L534" s="482"/>
      <c r="M534" s="482"/>
      <c r="N534" s="482">
        <f t="shared" si="29"/>
        <v>955.32930438958567</v>
      </c>
      <c r="O534" s="481">
        <v>0</v>
      </c>
      <c r="P534" s="475"/>
    </row>
    <row r="535" spans="1:16">
      <c r="A535" s="470">
        <f t="shared" si="30"/>
        <v>2052</v>
      </c>
      <c r="B535" s="470">
        <f t="shared" si="31"/>
        <v>2</v>
      </c>
      <c r="C535" s="482">
        <v>174.52755972524386</v>
      </c>
      <c r="D535" s="482">
        <v>0</v>
      </c>
      <c r="E535" s="482">
        <v>696.6220637234635</v>
      </c>
      <c r="F535" s="482">
        <v>0</v>
      </c>
      <c r="G535" s="482">
        <v>0</v>
      </c>
      <c r="H535" s="482"/>
      <c r="I535" s="482"/>
      <c r="J535" s="482"/>
      <c r="K535" s="482"/>
      <c r="L535" s="482"/>
      <c r="M535" s="482"/>
      <c r="N535" s="482">
        <f t="shared" si="29"/>
        <v>871.14962344870742</v>
      </c>
      <c r="O535" s="481">
        <v>0</v>
      </c>
      <c r="P535" s="475"/>
    </row>
    <row r="536" spans="1:16">
      <c r="A536" s="470">
        <f>A524+1</f>
        <v>2052</v>
      </c>
      <c r="B536" s="470">
        <f>B524</f>
        <v>3</v>
      </c>
      <c r="C536" s="482">
        <v>184.7045746007536</v>
      </c>
      <c r="D536" s="482">
        <v>0</v>
      </c>
      <c r="E536" s="482">
        <v>643.83297772128003</v>
      </c>
      <c r="F536" s="482">
        <v>0</v>
      </c>
      <c r="G536" s="482">
        <v>0</v>
      </c>
      <c r="H536" s="482"/>
      <c r="I536" s="482"/>
      <c r="J536" s="482"/>
      <c r="K536" s="482"/>
      <c r="L536" s="482"/>
      <c r="M536" s="482"/>
      <c r="N536" s="482">
        <f t="shared" si="29"/>
        <v>828.53755232203366</v>
      </c>
      <c r="O536" s="481">
        <v>0</v>
      </c>
      <c r="P536" s="475"/>
    </row>
    <row r="537" spans="1:16">
      <c r="A537" s="470">
        <f t="shared" si="30"/>
        <v>2052</v>
      </c>
      <c r="B537" s="470">
        <f t="shared" si="31"/>
        <v>4</v>
      </c>
      <c r="C537" s="482">
        <v>191.98988972443115</v>
      </c>
      <c r="D537" s="482">
        <v>0</v>
      </c>
      <c r="E537" s="482">
        <v>788.2304627822167</v>
      </c>
      <c r="F537" s="482">
        <v>0</v>
      </c>
      <c r="G537" s="482">
        <v>0</v>
      </c>
      <c r="H537" s="482"/>
      <c r="I537" s="482"/>
      <c r="J537" s="482"/>
      <c r="K537" s="482"/>
      <c r="L537" s="482"/>
      <c r="M537" s="482"/>
      <c r="N537" s="482">
        <f t="shared" si="29"/>
        <v>980.22035250664783</v>
      </c>
      <c r="O537" s="481">
        <v>0</v>
      </c>
      <c r="P537" s="475"/>
    </row>
    <row r="538" spans="1:16">
      <c r="A538" s="470">
        <f t="shared" si="30"/>
        <v>2052</v>
      </c>
      <c r="B538" s="470">
        <f t="shared" si="31"/>
        <v>5</v>
      </c>
      <c r="C538" s="482">
        <v>210.20897349170383</v>
      </c>
      <c r="D538" s="482">
        <v>0</v>
      </c>
      <c r="E538" s="482">
        <v>864.04595213508821</v>
      </c>
      <c r="F538" s="482">
        <v>0</v>
      </c>
      <c r="G538" s="482">
        <v>0</v>
      </c>
      <c r="H538" s="482"/>
      <c r="I538" s="482"/>
      <c r="J538" s="482"/>
      <c r="K538" s="482"/>
      <c r="L538" s="482"/>
      <c r="M538" s="482"/>
      <c r="N538" s="482">
        <f t="shared" si="29"/>
        <v>1074.2549256267921</v>
      </c>
      <c r="O538" s="481">
        <v>0</v>
      </c>
      <c r="P538" s="475"/>
    </row>
    <row r="539" spans="1:16">
      <c r="A539" s="470">
        <f t="shared" si="30"/>
        <v>2052</v>
      </c>
      <c r="B539" s="470">
        <f t="shared" si="31"/>
        <v>6</v>
      </c>
      <c r="C539" s="482">
        <v>215.00682710730445</v>
      </c>
      <c r="D539" s="482">
        <v>0</v>
      </c>
      <c r="E539" s="482">
        <v>878.23331521940656</v>
      </c>
      <c r="F539" s="482">
        <v>0</v>
      </c>
      <c r="G539" s="482">
        <v>0</v>
      </c>
      <c r="H539" s="482"/>
      <c r="I539" s="482"/>
      <c r="J539" s="482"/>
      <c r="K539" s="482"/>
      <c r="L539" s="482"/>
      <c r="M539" s="482"/>
      <c r="N539" s="482">
        <f t="shared" si="29"/>
        <v>1093.2401423267111</v>
      </c>
      <c r="O539" s="481">
        <v>0</v>
      </c>
      <c r="P539" s="475"/>
    </row>
    <row r="540" spans="1:16">
      <c r="A540" s="470">
        <f t="shared" si="30"/>
        <v>2052</v>
      </c>
      <c r="B540" s="470">
        <f t="shared" si="31"/>
        <v>7</v>
      </c>
      <c r="C540" s="482">
        <v>227.19635626604492</v>
      </c>
      <c r="D540" s="482">
        <v>0</v>
      </c>
      <c r="E540" s="482">
        <v>954.77437495816071</v>
      </c>
      <c r="F540" s="482">
        <v>0</v>
      </c>
      <c r="G540" s="482">
        <v>0</v>
      </c>
      <c r="H540" s="482"/>
      <c r="I540" s="482"/>
      <c r="J540" s="482"/>
      <c r="K540" s="482"/>
      <c r="L540" s="482"/>
      <c r="M540" s="482"/>
      <c r="N540" s="482">
        <f t="shared" si="29"/>
        <v>1181.9707312242056</v>
      </c>
      <c r="O540" s="481">
        <v>0</v>
      </c>
      <c r="P540" s="475"/>
    </row>
    <row r="541" spans="1:16">
      <c r="A541" s="470">
        <f t="shared" si="30"/>
        <v>2052</v>
      </c>
      <c r="B541" s="470">
        <f t="shared" si="31"/>
        <v>8</v>
      </c>
      <c r="C541" s="482">
        <v>224.98828816059745</v>
      </c>
      <c r="D541" s="482">
        <v>0</v>
      </c>
      <c r="E541" s="482">
        <v>970.77511869209013</v>
      </c>
      <c r="F541" s="482">
        <v>0</v>
      </c>
      <c r="G541" s="482">
        <v>0</v>
      </c>
      <c r="H541" s="482"/>
      <c r="I541" s="482"/>
      <c r="J541" s="482"/>
      <c r="K541" s="482"/>
      <c r="L541" s="482"/>
      <c r="M541" s="482"/>
      <c r="N541" s="482">
        <f t="shared" si="29"/>
        <v>1195.7634068526877</v>
      </c>
      <c r="O541" s="481">
        <v>0</v>
      </c>
      <c r="P541" s="475"/>
    </row>
    <row r="542" spans="1:16">
      <c r="A542" s="470">
        <f t="shared" si="30"/>
        <v>2052</v>
      </c>
      <c r="B542" s="470">
        <f t="shared" si="31"/>
        <v>9</v>
      </c>
      <c r="C542" s="482">
        <v>212.34626961784662</v>
      </c>
      <c r="D542" s="482">
        <v>0</v>
      </c>
      <c r="E542" s="482">
        <v>928.23185832617798</v>
      </c>
      <c r="F542" s="482">
        <v>0</v>
      </c>
      <c r="G542" s="482">
        <v>0</v>
      </c>
      <c r="H542" s="482"/>
      <c r="I542" s="482"/>
      <c r="J542" s="482"/>
      <c r="K542" s="482"/>
      <c r="L542" s="482"/>
      <c r="M542" s="482"/>
      <c r="N542" s="482">
        <f t="shared" si="29"/>
        <v>1140.5781279440246</v>
      </c>
      <c r="O542" s="481">
        <v>0</v>
      </c>
    </row>
    <row r="543" spans="1:16">
      <c r="A543" s="470">
        <f t="shared" si="30"/>
        <v>2052</v>
      </c>
      <c r="B543" s="470">
        <f t="shared" si="31"/>
        <v>10</v>
      </c>
      <c r="C543" s="482">
        <v>191.84035733928096</v>
      </c>
      <c r="D543" s="482">
        <v>0</v>
      </c>
      <c r="E543" s="482">
        <v>803.63931609628185</v>
      </c>
      <c r="F543" s="482">
        <v>0</v>
      </c>
      <c r="G543" s="482">
        <v>0</v>
      </c>
      <c r="H543" s="482"/>
      <c r="I543" s="482"/>
      <c r="J543" s="482"/>
      <c r="K543" s="482"/>
      <c r="L543" s="482"/>
      <c r="M543" s="482"/>
      <c r="N543" s="482">
        <f t="shared" si="29"/>
        <v>995.47967343556274</v>
      </c>
      <c r="O543" s="481">
        <v>0</v>
      </c>
    </row>
    <row r="544" spans="1:16">
      <c r="A544" s="470">
        <f t="shared" si="30"/>
        <v>2052</v>
      </c>
      <c r="B544" s="470">
        <f t="shared" si="31"/>
        <v>11</v>
      </c>
      <c r="C544" s="482">
        <v>171.3981906664485</v>
      </c>
      <c r="D544" s="482">
        <v>0</v>
      </c>
      <c r="E544" s="482">
        <v>629.40316731678024</v>
      </c>
      <c r="F544" s="482">
        <v>0</v>
      </c>
      <c r="G544" s="482">
        <v>0</v>
      </c>
      <c r="H544" s="482"/>
      <c r="I544" s="482"/>
      <c r="J544" s="482"/>
      <c r="K544" s="482"/>
      <c r="L544" s="482"/>
      <c r="M544" s="482"/>
      <c r="N544" s="482">
        <f t="shared" si="29"/>
        <v>800.80135798322874</v>
      </c>
      <c r="O544" s="481">
        <v>0</v>
      </c>
    </row>
    <row r="545" spans="1:15">
      <c r="A545" s="470">
        <f t="shared" si="30"/>
        <v>2052</v>
      </c>
      <c r="B545" s="470">
        <f t="shared" si="31"/>
        <v>12</v>
      </c>
      <c r="C545" s="482">
        <v>177.89666761561057</v>
      </c>
      <c r="D545" s="482">
        <v>0</v>
      </c>
      <c r="E545" s="482">
        <v>611.13560481886725</v>
      </c>
      <c r="F545" s="482">
        <v>0</v>
      </c>
      <c r="G545" s="482">
        <v>0</v>
      </c>
      <c r="H545" s="482"/>
      <c r="I545" s="482"/>
      <c r="J545" s="482"/>
      <c r="K545" s="482"/>
      <c r="L545" s="482"/>
      <c r="M545" s="482"/>
      <c r="N545" s="482">
        <f t="shared" si="29"/>
        <v>789.03227243447782</v>
      </c>
      <c r="O545" s="481">
        <v>0</v>
      </c>
    </row>
    <row r="546" spans="1:15">
      <c r="A546" s="470">
        <f t="shared" si="30"/>
        <v>2053</v>
      </c>
      <c r="B546" s="470">
        <f t="shared" si="31"/>
        <v>1</v>
      </c>
      <c r="C546" s="482">
        <v>178.11519203972534</v>
      </c>
      <c r="D546" s="482">
        <v>0</v>
      </c>
      <c r="E546" s="482">
        <v>779.65612964360093</v>
      </c>
      <c r="F546" s="482">
        <v>0</v>
      </c>
      <c r="G546" s="482"/>
      <c r="H546" s="482"/>
      <c r="I546" s="482"/>
      <c r="J546" s="482"/>
      <c r="K546" s="482"/>
      <c r="L546" s="482"/>
      <c r="M546" s="482"/>
      <c r="N546" s="482">
        <f t="shared" si="29"/>
        <v>957.77132168332628</v>
      </c>
      <c r="O546" s="481"/>
    </row>
    <row r="547" spans="1:15">
      <c r="A547" s="470">
        <f t="shared" si="30"/>
        <v>2053</v>
      </c>
      <c r="B547" s="470">
        <f t="shared" si="31"/>
        <v>2</v>
      </c>
      <c r="C547" s="482">
        <v>176.17259142836062</v>
      </c>
      <c r="D547" s="482">
        <v>0</v>
      </c>
      <c r="E547" s="482">
        <v>697.31853589760522</v>
      </c>
      <c r="F547" s="482">
        <v>0</v>
      </c>
      <c r="G547" s="482"/>
      <c r="H547" s="482"/>
      <c r="I547" s="482"/>
      <c r="J547" s="482"/>
      <c r="K547" s="482"/>
      <c r="L547" s="482"/>
      <c r="M547" s="482"/>
      <c r="N547" s="482">
        <f t="shared" si="29"/>
        <v>873.49112732596586</v>
      </c>
      <c r="O547" s="481"/>
    </row>
    <row r="548" spans="1:15">
      <c r="A548" s="470">
        <f t="shared" si="30"/>
        <v>2053</v>
      </c>
      <c r="B548" s="470">
        <f t="shared" si="31"/>
        <v>3</v>
      </c>
      <c r="C548" s="482">
        <v>186.44553105145553</v>
      </c>
      <c r="D548" s="482">
        <v>0</v>
      </c>
      <c r="E548" s="482">
        <v>644.54255029885724</v>
      </c>
      <c r="F548" s="482">
        <v>0</v>
      </c>
      <c r="G548" s="482"/>
      <c r="H548" s="482"/>
      <c r="I548" s="482"/>
      <c r="J548" s="482"/>
      <c r="K548" s="482"/>
      <c r="L548" s="482"/>
      <c r="M548" s="482"/>
      <c r="N548" s="482">
        <f t="shared" si="29"/>
        <v>830.98808135031277</v>
      </c>
      <c r="O548" s="481"/>
    </row>
    <row r="549" spans="1:15">
      <c r="A549" s="470">
        <f t="shared" si="30"/>
        <v>2053</v>
      </c>
      <c r="B549" s="470">
        <f t="shared" si="31"/>
        <v>4</v>
      </c>
      <c r="C549" s="482">
        <v>193.79951483906501</v>
      </c>
      <c r="D549" s="482">
        <v>0</v>
      </c>
      <c r="E549" s="482">
        <v>793.21251191142665</v>
      </c>
      <c r="F549" s="482">
        <v>0</v>
      </c>
      <c r="G549" s="485"/>
      <c r="H549" s="485"/>
      <c r="I549" s="485"/>
      <c r="J549" s="485"/>
      <c r="K549" s="485"/>
      <c r="L549" s="485"/>
      <c r="M549" s="485"/>
      <c r="N549" s="482">
        <f t="shared" si="29"/>
        <v>987.01202675049171</v>
      </c>
    </row>
    <row r="550" spans="1:15">
      <c r="A550" s="470">
        <f t="shared" si="30"/>
        <v>2053</v>
      </c>
      <c r="B550" s="470">
        <f t="shared" si="31"/>
        <v>5</v>
      </c>
      <c r="C550" s="482">
        <v>212.19032489670752</v>
      </c>
      <c r="D550" s="482">
        <v>0</v>
      </c>
      <c r="E550" s="482">
        <v>868.51819572163151</v>
      </c>
      <c r="F550" s="482">
        <v>0</v>
      </c>
      <c r="G550" s="485"/>
      <c r="H550" s="485"/>
      <c r="I550" s="485"/>
      <c r="J550" s="485"/>
      <c r="K550" s="485"/>
      <c r="L550" s="485"/>
      <c r="M550" s="485"/>
      <c r="N550" s="482">
        <f t="shared" si="29"/>
        <v>1080.708520618339</v>
      </c>
    </row>
    <row r="551" spans="1:15">
      <c r="A551" s="470">
        <f t="shared" si="30"/>
        <v>2053</v>
      </c>
      <c r="B551" s="470">
        <f t="shared" si="31"/>
        <v>6</v>
      </c>
      <c r="C551" s="482">
        <v>217.03340129154716</v>
      </c>
      <c r="D551" s="482">
        <v>0</v>
      </c>
      <c r="E551" s="482">
        <v>881.32616542954179</v>
      </c>
      <c r="F551" s="482">
        <v>0</v>
      </c>
      <c r="G551" s="485"/>
      <c r="H551" s="485"/>
      <c r="I551" s="485"/>
      <c r="J551" s="485"/>
      <c r="K551" s="485"/>
      <c r="L551" s="485"/>
      <c r="M551" s="485"/>
      <c r="N551" s="482">
        <f t="shared" si="29"/>
        <v>1098.3595667210889</v>
      </c>
    </row>
    <row r="552" spans="1:15">
      <c r="A552" s="470">
        <f t="shared" si="30"/>
        <v>2053</v>
      </c>
      <c r="B552" s="470">
        <f t="shared" si="31"/>
        <v>7</v>
      </c>
      <c r="C552" s="482">
        <v>229.33824587675429</v>
      </c>
      <c r="D552" s="482">
        <v>0</v>
      </c>
      <c r="E552" s="482">
        <v>960.20456082246801</v>
      </c>
      <c r="F552" s="482">
        <v>0</v>
      </c>
      <c r="G552" s="485"/>
      <c r="H552" s="485"/>
      <c r="I552" s="485"/>
      <c r="J552" s="485"/>
      <c r="K552" s="485"/>
      <c r="L552" s="485"/>
      <c r="M552" s="485"/>
      <c r="N552" s="482">
        <f t="shared" si="29"/>
        <v>1189.5428066992222</v>
      </c>
    </row>
    <row r="553" spans="1:15">
      <c r="A553" s="470">
        <f t="shared" si="30"/>
        <v>2053</v>
      </c>
      <c r="B553" s="470">
        <f t="shared" si="31"/>
        <v>8</v>
      </c>
      <c r="C553" s="482">
        <v>227.10894387501182</v>
      </c>
      <c r="D553" s="482">
        <v>0</v>
      </c>
      <c r="E553" s="482">
        <v>976.32166850337262</v>
      </c>
      <c r="F553" s="482">
        <v>0</v>
      </c>
      <c r="G553" s="485"/>
      <c r="H553" s="485"/>
      <c r="I553" s="485"/>
      <c r="J553" s="485"/>
      <c r="K553" s="485"/>
      <c r="L553" s="485"/>
      <c r="M553" s="485"/>
      <c r="N553" s="482">
        <f t="shared" si="29"/>
        <v>1203.4306123783845</v>
      </c>
    </row>
    <row r="554" spans="1:15">
      <c r="A554" s="470">
        <f t="shared" si="30"/>
        <v>2053</v>
      </c>
      <c r="B554" s="470">
        <f t="shared" si="31"/>
        <v>9</v>
      </c>
      <c r="C554" s="482">
        <v>214.34776637921692</v>
      </c>
      <c r="D554" s="482">
        <v>0</v>
      </c>
      <c r="E554" s="482">
        <v>933.54808953872714</v>
      </c>
      <c r="F554" s="482">
        <v>0</v>
      </c>
      <c r="G554" s="485"/>
      <c r="H554" s="485"/>
      <c r="I554" s="485"/>
      <c r="J554" s="485"/>
      <c r="K554" s="485"/>
      <c r="L554" s="485"/>
      <c r="M554" s="485"/>
      <c r="N554" s="482">
        <f t="shared" si="29"/>
        <v>1147.8958559179441</v>
      </c>
    </row>
    <row r="555" spans="1:15">
      <c r="A555" s="470">
        <f t="shared" si="30"/>
        <v>2053</v>
      </c>
      <c r="B555" s="470">
        <f t="shared" si="31"/>
        <v>10</v>
      </c>
      <c r="C555" s="482">
        <v>193.64857301740756</v>
      </c>
      <c r="D555" s="482">
        <v>0</v>
      </c>
      <c r="E555" s="482">
        <v>806.38445481894905</v>
      </c>
      <c r="F555" s="482">
        <v>0</v>
      </c>
      <c r="G555" s="485"/>
      <c r="H555" s="485"/>
      <c r="I555" s="485"/>
      <c r="J555" s="485"/>
      <c r="K555" s="485"/>
      <c r="L555" s="485"/>
      <c r="M555" s="485"/>
      <c r="N555" s="482">
        <f t="shared" si="29"/>
        <v>1000.0330278363566</v>
      </c>
    </row>
    <row r="556" spans="1:15">
      <c r="A556" s="470">
        <f t="shared" si="30"/>
        <v>2053</v>
      </c>
      <c r="B556" s="470">
        <f t="shared" si="31"/>
        <v>11</v>
      </c>
      <c r="C556" s="482">
        <v>173.01372610364263</v>
      </c>
      <c r="D556" s="482">
        <v>0</v>
      </c>
      <c r="E556" s="482">
        <v>630.6967397380871</v>
      </c>
      <c r="F556" s="482">
        <v>0</v>
      </c>
      <c r="G556" s="485"/>
      <c r="H556" s="485"/>
      <c r="I556" s="485"/>
      <c r="J556" s="485"/>
      <c r="K556" s="485"/>
      <c r="L556" s="485"/>
      <c r="M556" s="485"/>
      <c r="N556" s="482">
        <f t="shared" si="29"/>
        <v>803.71046584172973</v>
      </c>
    </row>
    <row r="557" spans="1:15">
      <c r="A557" s="470">
        <f t="shared" si="30"/>
        <v>2053</v>
      </c>
      <c r="B557" s="470">
        <f t="shared" si="31"/>
        <v>12</v>
      </c>
      <c r="C557" s="482">
        <v>179.5734552734865</v>
      </c>
      <c r="D557" s="482">
        <v>0</v>
      </c>
      <c r="E557" s="482">
        <v>612.84293400436002</v>
      </c>
      <c r="F557" s="482">
        <v>0</v>
      </c>
      <c r="G557" s="485"/>
      <c r="H557" s="485"/>
      <c r="I557" s="485"/>
      <c r="J557" s="485"/>
      <c r="K557" s="485"/>
      <c r="L557" s="485"/>
      <c r="M557" s="485"/>
      <c r="N557" s="482">
        <f t="shared" si="29"/>
        <v>792.41638927784652</v>
      </c>
    </row>
    <row r="558" spans="1:15">
      <c r="A558" s="470">
        <f t="shared" si="30"/>
        <v>2054</v>
      </c>
      <c r="B558" s="470">
        <f t="shared" si="31"/>
        <v>1</v>
      </c>
      <c r="C558" s="482">
        <v>179.79403942734334</v>
      </c>
      <c r="D558" s="482">
        <v>0</v>
      </c>
      <c r="E558" s="482">
        <v>780.43575479443052</v>
      </c>
      <c r="F558" s="482">
        <v>0</v>
      </c>
      <c r="G558" s="485"/>
      <c r="H558" s="485"/>
      <c r="I558" s="485"/>
      <c r="J558" s="485"/>
      <c r="K558" s="485"/>
      <c r="L558" s="485"/>
      <c r="M558" s="485"/>
      <c r="N558" s="482">
        <f t="shared" si="29"/>
        <v>960.22979422177389</v>
      </c>
    </row>
    <row r="559" spans="1:15">
      <c r="A559" s="470">
        <f t="shared" si="30"/>
        <v>2054</v>
      </c>
      <c r="B559" s="470">
        <f t="shared" si="31"/>
        <v>2</v>
      </c>
      <c r="C559" s="482">
        <v>177.83312858693964</v>
      </c>
      <c r="D559" s="482">
        <v>0</v>
      </c>
      <c r="E559" s="482">
        <v>698.01570439406373</v>
      </c>
      <c r="F559" s="482">
        <v>0</v>
      </c>
      <c r="G559" s="485"/>
      <c r="H559" s="485"/>
      <c r="I559" s="485"/>
      <c r="J559" s="485"/>
      <c r="K559" s="485"/>
      <c r="L559" s="485"/>
      <c r="M559" s="485"/>
      <c r="N559" s="482">
        <f t="shared" si="29"/>
        <v>875.8488329810034</v>
      </c>
    </row>
    <row r="560" spans="1:15">
      <c r="A560" s="470">
        <f t="shared" si="30"/>
        <v>2054</v>
      </c>
      <c r="B560" s="470">
        <f t="shared" si="31"/>
        <v>3</v>
      </c>
      <c r="C560" s="482">
        <v>188.20289710852367</v>
      </c>
      <c r="D560" s="482">
        <v>0</v>
      </c>
      <c r="E560" s="482">
        <v>645.2529049010592</v>
      </c>
      <c r="F560" s="482">
        <v>0</v>
      </c>
      <c r="G560" s="485"/>
      <c r="H560" s="485"/>
      <c r="I560" s="485"/>
      <c r="J560" s="485"/>
      <c r="K560" s="485"/>
      <c r="L560" s="485"/>
      <c r="M560" s="485"/>
      <c r="N560" s="482">
        <f t="shared" si="29"/>
        <v>833.45580200958284</v>
      </c>
    </row>
    <row r="561" spans="1:14">
      <c r="A561" s="470">
        <f t="shared" si="30"/>
        <v>2054</v>
      </c>
      <c r="B561" s="470">
        <f t="shared" si="31"/>
        <v>4</v>
      </c>
      <c r="C561" s="482">
        <v>195.62619680528735</v>
      </c>
      <c r="D561" s="482">
        <v>0</v>
      </c>
      <c r="E561" s="482">
        <v>798.22605032543061</v>
      </c>
      <c r="F561" s="482">
        <v>0</v>
      </c>
      <c r="G561" s="485"/>
      <c r="H561" s="485"/>
      <c r="I561" s="485"/>
      <c r="J561" s="485"/>
      <c r="K561" s="485"/>
      <c r="L561" s="485"/>
      <c r="M561" s="485"/>
      <c r="N561" s="482">
        <f t="shared" si="29"/>
        <v>993.85224713071796</v>
      </c>
    </row>
    <row r="562" spans="1:14">
      <c r="A562" s="470">
        <f t="shared" si="30"/>
        <v>2054</v>
      </c>
      <c r="B562" s="470">
        <f t="shared" si="31"/>
        <v>5</v>
      </c>
      <c r="C562" s="482">
        <v>214.19035178128232</v>
      </c>
      <c r="D562" s="482">
        <v>0</v>
      </c>
      <c r="E562" s="482">
        <v>873.01358733942004</v>
      </c>
      <c r="F562" s="482">
        <v>0</v>
      </c>
      <c r="G562" s="485"/>
      <c r="H562" s="485"/>
      <c r="I562" s="485"/>
      <c r="J562" s="485"/>
      <c r="K562" s="485"/>
      <c r="L562" s="485"/>
      <c r="M562" s="485"/>
      <c r="N562" s="482">
        <f t="shared" si="29"/>
        <v>1087.2039391207024</v>
      </c>
    </row>
    <row r="563" spans="1:14">
      <c r="A563" s="470">
        <f t="shared" si="30"/>
        <v>2054</v>
      </c>
      <c r="B563" s="470">
        <f t="shared" si="31"/>
        <v>6</v>
      </c>
      <c r="C563" s="482">
        <v>219.07907720841621</v>
      </c>
      <c r="D563" s="482">
        <v>0</v>
      </c>
      <c r="E563" s="482">
        <v>884.4299076455444</v>
      </c>
      <c r="F563" s="482">
        <v>0</v>
      </c>
      <c r="G563" s="485"/>
      <c r="H563" s="485"/>
      <c r="I563" s="485"/>
      <c r="J563" s="485"/>
      <c r="K563" s="485"/>
      <c r="L563" s="485"/>
      <c r="M563" s="485"/>
      <c r="N563" s="482">
        <f t="shared" si="29"/>
        <v>1103.5089848539606</v>
      </c>
    </row>
    <row r="564" spans="1:14">
      <c r="A564" s="470">
        <f t="shared" si="30"/>
        <v>2054</v>
      </c>
      <c r="B564" s="470">
        <f t="shared" si="31"/>
        <v>7</v>
      </c>
      <c r="C564" s="482">
        <v>231.50032811370053</v>
      </c>
      <c r="D564" s="482">
        <v>0</v>
      </c>
      <c r="E564" s="482">
        <v>965.66563033771354</v>
      </c>
      <c r="F564" s="482">
        <v>0</v>
      </c>
      <c r="G564" s="485"/>
      <c r="H564" s="485"/>
      <c r="I564" s="485"/>
      <c r="J564" s="485"/>
      <c r="K564" s="485"/>
      <c r="L564" s="485"/>
      <c r="M564" s="485"/>
      <c r="N564" s="482">
        <f t="shared" si="29"/>
        <v>1197.1659584514141</v>
      </c>
    </row>
    <row r="565" spans="1:14">
      <c r="A565" s="470">
        <f t="shared" si="30"/>
        <v>2054</v>
      </c>
      <c r="B565" s="470">
        <f t="shared" si="31"/>
        <v>8</v>
      </c>
      <c r="C565" s="482">
        <v>229.2495880994764</v>
      </c>
      <c r="D565" s="482">
        <v>0</v>
      </c>
      <c r="E565" s="482">
        <v>981.89990867652853</v>
      </c>
      <c r="F565" s="482">
        <v>0</v>
      </c>
      <c r="G565" s="485"/>
      <c r="H565" s="485"/>
      <c r="I565" s="485"/>
      <c r="J565" s="485"/>
      <c r="K565" s="485"/>
      <c r="L565" s="485"/>
      <c r="M565" s="485"/>
      <c r="N565" s="482">
        <f t="shared" si="29"/>
        <v>1211.149496776005</v>
      </c>
    </row>
    <row r="566" spans="1:14">
      <c r="A566" s="470">
        <f t="shared" si="30"/>
        <v>2054</v>
      </c>
      <c r="B566" s="470">
        <f t="shared" si="31"/>
        <v>9</v>
      </c>
      <c r="C566" s="482">
        <v>216.36812850277602</v>
      </c>
      <c r="D566" s="482">
        <v>0</v>
      </c>
      <c r="E566" s="482">
        <v>938.89476822412666</v>
      </c>
      <c r="F566" s="482">
        <v>0</v>
      </c>
      <c r="G566" s="485"/>
      <c r="H566" s="485"/>
      <c r="I566" s="485"/>
      <c r="J566" s="485"/>
      <c r="K566" s="485"/>
      <c r="L566" s="485"/>
      <c r="M566" s="485"/>
      <c r="N566" s="482">
        <f t="shared" si="29"/>
        <v>1155.2628967269027</v>
      </c>
    </row>
    <row r="567" spans="1:14">
      <c r="A567" s="470">
        <f t="shared" si="30"/>
        <v>2054</v>
      </c>
      <c r="B567" s="470">
        <f t="shared" si="31"/>
        <v>10</v>
      </c>
      <c r="C567" s="482">
        <v>195.47383226229962</v>
      </c>
      <c r="D567" s="482">
        <v>0</v>
      </c>
      <c r="E567" s="482">
        <v>809.13897061719706</v>
      </c>
      <c r="F567" s="482">
        <v>0</v>
      </c>
      <c r="G567" s="485"/>
      <c r="H567" s="485"/>
      <c r="I567" s="485"/>
      <c r="J567" s="485"/>
      <c r="K567" s="485"/>
      <c r="L567" s="485"/>
      <c r="M567" s="485"/>
      <c r="N567" s="482">
        <f t="shared" si="29"/>
        <v>1004.6128028794967</v>
      </c>
    </row>
    <row r="568" spans="1:14">
      <c r="A568" s="470">
        <f t="shared" si="30"/>
        <v>2054</v>
      </c>
      <c r="B568" s="470">
        <f t="shared" si="31"/>
        <v>11</v>
      </c>
      <c r="C568" s="482">
        <v>174.64448897549451</v>
      </c>
      <c r="D568" s="482">
        <v>0</v>
      </c>
      <c r="E568" s="482">
        <v>631.99297075677009</v>
      </c>
      <c r="F568" s="482">
        <v>0</v>
      </c>
      <c r="G568" s="485"/>
      <c r="H568" s="485"/>
      <c r="I568" s="485"/>
      <c r="J568" s="485"/>
      <c r="K568" s="485"/>
      <c r="L568" s="485"/>
      <c r="M568" s="485"/>
      <c r="N568" s="482">
        <f t="shared" si="29"/>
        <v>806.63745973226457</v>
      </c>
    </row>
    <row r="569" spans="1:14">
      <c r="A569" s="470">
        <f t="shared" si="30"/>
        <v>2054</v>
      </c>
      <c r="B569" s="470">
        <f t="shared" si="31"/>
        <v>12</v>
      </c>
      <c r="C569" s="482">
        <v>181.26604770661365</v>
      </c>
      <c r="D569" s="482">
        <v>0</v>
      </c>
      <c r="E569" s="482">
        <v>614.55503295441019</v>
      </c>
      <c r="F569" s="482">
        <v>0</v>
      </c>
      <c r="G569" s="485"/>
      <c r="H569" s="485"/>
      <c r="I569" s="485"/>
      <c r="J569" s="485"/>
      <c r="K569" s="485"/>
      <c r="L569" s="485"/>
      <c r="M569" s="485"/>
      <c r="N569" s="482">
        <f t="shared" si="29"/>
        <v>795.82108066102387</v>
      </c>
    </row>
    <row r="570" spans="1:14">
      <c r="A570" s="470">
        <f t="shared" si="30"/>
        <v>2055</v>
      </c>
      <c r="B570" s="470">
        <f t="shared" si="31"/>
        <v>1</v>
      </c>
      <c r="C570" s="482">
        <v>181.48871100445709</v>
      </c>
      <c r="D570" s="482">
        <v>0</v>
      </c>
      <c r="E570" s="482">
        <v>781.21615953943331</v>
      </c>
      <c r="F570" s="482">
        <v>0</v>
      </c>
      <c r="G570" s="485"/>
      <c r="H570" s="485"/>
      <c r="I570" s="485"/>
      <c r="J570" s="485"/>
      <c r="K570" s="485"/>
      <c r="L570" s="485"/>
      <c r="M570" s="485"/>
      <c r="N570" s="482">
        <f t="shared" si="29"/>
        <v>962.70487054389037</v>
      </c>
    </row>
    <row r="571" spans="1:14">
      <c r="A571" s="470">
        <f t="shared" si="30"/>
        <v>2055</v>
      </c>
      <c r="B571" s="470">
        <f t="shared" si="31"/>
        <v>2</v>
      </c>
      <c r="C571" s="482">
        <v>179.50931734962271</v>
      </c>
      <c r="D571" s="482">
        <v>0</v>
      </c>
      <c r="E571" s="482">
        <v>698.71356990901154</v>
      </c>
      <c r="F571" s="482">
        <v>0</v>
      </c>
      <c r="G571" s="485"/>
      <c r="H571" s="485"/>
      <c r="I571" s="485"/>
      <c r="J571" s="485"/>
      <c r="K571" s="485"/>
      <c r="L571" s="485"/>
      <c r="M571" s="485"/>
      <c r="N571" s="482">
        <f t="shared" si="29"/>
        <v>878.22288725863427</v>
      </c>
    </row>
    <row r="572" spans="1:14">
      <c r="A572" s="470">
        <f t="shared" si="30"/>
        <v>2055</v>
      </c>
      <c r="B572" s="470">
        <f t="shared" si="31"/>
        <v>3</v>
      </c>
      <c r="C572" s="482">
        <v>189.97682744278913</v>
      </c>
      <c r="D572" s="482">
        <v>0</v>
      </c>
      <c r="E572" s="482">
        <v>645.96404238976049</v>
      </c>
      <c r="F572" s="482">
        <v>0</v>
      </c>
      <c r="G572" s="485"/>
      <c r="H572" s="485"/>
      <c r="I572" s="485"/>
      <c r="J572" s="485"/>
      <c r="K572" s="485"/>
      <c r="L572" s="485"/>
      <c r="M572" s="485"/>
      <c r="N572" s="482">
        <f t="shared" si="29"/>
        <v>835.94086983254965</v>
      </c>
    </row>
    <row r="573" spans="1:14">
      <c r="A573" s="470">
        <f t="shared" si="30"/>
        <v>2055</v>
      </c>
      <c r="B573" s="470">
        <f t="shared" si="31"/>
        <v>4</v>
      </c>
      <c r="C573" s="482">
        <v>197.47009639462135</v>
      </c>
      <c r="D573" s="482">
        <v>0</v>
      </c>
      <c r="E573" s="482">
        <v>803.27127705379075</v>
      </c>
      <c r="F573" s="482">
        <v>0</v>
      </c>
      <c r="G573" s="485"/>
      <c r="H573" s="485"/>
      <c r="I573" s="485"/>
      <c r="J573" s="485"/>
      <c r="K573" s="485"/>
      <c r="L573" s="485"/>
      <c r="M573" s="485"/>
      <c r="N573" s="482">
        <f t="shared" si="29"/>
        <v>1000.7413734484121</v>
      </c>
    </row>
    <row r="574" spans="1:14">
      <c r="A574" s="470">
        <f t="shared" si="30"/>
        <v>2055</v>
      </c>
      <c r="B574" s="470">
        <f t="shared" si="31"/>
        <v>5</v>
      </c>
      <c r="C574" s="482">
        <v>216.20923017353527</v>
      </c>
      <c r="D574" s="482">
        <v>0</v>
      </c>
      <c r="E574" s="482">
        <v>877.5322468011027</v>
      </c>
      <c r="F574" s="482">
        <v>0</v>
      </c>
      <c r="G574" s="485"/>
      <c r="H574" s="485"/>
      <c r="I574" s="485"/>
      <c r="J574" s="485"/>
      <c r="K574" s="485"/>
      <c r="L574" s="485"/>
      <c r="M574" s="485"/>
      <c r="N574" s="482">
        <f t="shared" si="29"/>
        <v>1093.7414769746379</v>
      </c>
    </row>
    <row r="575" spans="1:14">
      <c r="A575" s="470">
        <f t="shared" si="30"/>
        <v>2055</v>
      </c>
      <c r="B575" s="470">
        <f t="shared" si="31"/>
        <v>6</v>
      </c>
      <c r="C575" s="482">
        <v>221.14403490372098</v>
      </c>
      <c r="D575" s="482">
        <v>0</v>
      </c>
      <c r="E575" s="482">
        <v>887.54458022549318</v>
      </c>
      <c r="F575" s="482">
        <v>0</v>
      </c>
      <c r="G575" s="485"/>
      <c r="H575" s="485"/>
      <c r="I575" s="485"/>
      <c r="J575" s="485"/>
      <c r="K575" s="485"/>
      <c r="L575" s="485"/>
      <c r="M575" s="485"/>
      <c r="N575" s="482">
        <f t="shared" si="29"/>
        <v>1108.6886151292142</v>
      </c>
    </row>
    <row r="576" spans="1:14">
      <c r="A576" s="470">
        <f t="shared" si="30"/>
        <v>2055</v>
      </c>
      <c r="B576" s="470">
        <f t="shared" si="31"/>
        <v>7</v>
      </c>
      <c r="C576" s="482">
        <v>233.68279334250863</v>
      </c>
      <c r="D576" s="482">
        <v>0</v>
      </c>
      <c r="E576" s="482">
        <v>971.15775915164102</v>
      </c>
      <c r="F576" s="482">
        <v>0</v>
      </c>
      <c r="G576" s="485"/>
      <c r="H576" s="485"/>
      <c r="I576" s="485"/>
      <c r="J576" s="485"/>
      <c r="K576" s="485"/>
      <c r="L576" s="485"/>
      <c r="M576" s="485"/>
      <c r="N576" s="482">
        <f t="shared" si="29"/>
        <v>1204.8405524941497</v>
      </c>
    </row>
    <row r="577" spans="1:14">
      <c r="A577" s="470">
        <f t="shared" si="30"/>
        <v>2055</v>
      </c>
      <c r="B577" s="470">
        <f t="shared" si="31"/>
        <v>8</v>
      </c>
      <c r="C577" s="482">
        <v>231.41040923823394</v>
      </c>
      <c r="D577" s="482">
        <v>0</v>
      </c>
      <c r="E577" s="482">
        <v>987.51002027529466</v>
      </c>
      <c r="F577" s="482">
        <v>0</v>
      </c>
      <c r="G577" s="485"/>
      <c r="H577" s="485"/>
      <c r="I577" s="485"/>
      <c r="J577" s="485"/>
      <c r="K577" s="485"/>
      <c r="L577" s="485"/>
      <c r="M577" s="485"/>
      <c r="N577" s="482">
        <f t="shared" si="29"/>
        <v>1218.9204295135287</v>
      </c>
    </row>
    <row r="578" spans="1:14">
      <c r="A578" s="470">
        <f t="shared" si="30"/>
        <v>2055</v>
      </c>
      <c r="B578" s="470">
        <f t="shared" si="31"/>
        <v>9</v>
      </c>
      <c r="C578" s="482">
        <v>218.4075338063937</v>
      </c>
      <c r="D578" s="482">
        <v>0</v>
      </c>
      <c r="E578" s="482">
        <v>944.27206876316745</v>
      </c>
      <c r="F578" s="482">
        <v>0</v>
      </c>
      <c r="G578" s="485"/>
      <c r="H578" s="485"/>
      <c r="I578" s="485"/>
      <c r="J578" s="485"/>
      <c r="K578" s="485"/>
      <c r="L578" s="485"/>
      <c r="M578" s="485"/>
      <c r="N578" s="482">
        <f t="shared" si="29"/>
        <v>1162.6796025695612</v>
      </c>
    </row>
    <row r="579" spans="1:14">
      <c r="A579" s="470">
        <f t="shared" si="30"/>
        <v>2055</v>
      </c>
      <c r="B579" s="470">
        <f t="shared" si="31"/>
        <v>10</v>
      </c>
      <c r="C579" s="482">
        <v>197.31629572026256</v>
      </c>
      <c r="D579" s="482">
        <v>0</v>
      </c>
      <c r="E579" s="482">
        <v>811.90289552202864</v>
      </c>
      <c r="F579" s="482">
        <v>0</v>
      </c>
      <c r="G579" s="485"/>
      <c r="H579" s="485"/>
      <c r="I579" s="485"/>
      <c r="J579" s="485"/>
      <c r="K579" s="485"/>
      <c r="L579" s="485"/>
      <c r="M579" s="485"/>
      <c r="N579" s="482">
        <f t="shared" si="29"/>
        <v>1009.2191912422912</v>
      </c>
    </row>
    <row r="580" spans="1:14">
      <c r="A580" s="470">
        <f t="shared" si="30"/>
        <v>2055</v>
      </c>
      <c r="B580" s="470">
        <f t="shared" si="31"/>
        <v>11</v>
      </c>
      <c r="C580" s="482">
        <v>176.29062281012548</v>
      </c>
      <c r="D580" s="482">
        <v>0</v>
      </c>
      <c r="E580" s="482">
        <v>633.2918658368759</v>
      </c>
      <c r="F580" s="482">
        <v>0</v>
      </c>
      <c r="G580" s="485"/>
      <c r="H580" s="485"/>
      <c r="I580" s="485"/>
      <c r="J580" s="485"/>
      <c r="K580" s="485"/>
      <c r="L580" s="485"/>
      <c r="M580" s="485"/>
      <c r="N580" s="482">
        <f t="shared" si="29"/>
        <v>809.58248864700136</v>
      </c>
    </row>
    <row r="581" spans="1:14">
      <c r="A581" s="470">
        <f t="shared" si="30"/>
        <v>2055</v>
      </c>
      <c r="B581" s="470">
        <f t="shared" si="31"/>
        <v>12</v>
      </c>
      <c r="C581" s="482">
        <v>182.97459388491049</v>
      </c>
      <c r="D581" s="482">
        <v>0</v>
      </c>
      <c r="E581" s="482">
        <v>616.27191499430626</v>
      </c>
      <c r="F581" s="482">
        <v>0</v>
      </c>
      <c r="G581" s="485"/>
      <c r="H581" s="485"/>
      <c r="I581" s="485"/>
      <c r="J581" s="485"/>
      <c r="K581" s="485"/>
      <c r="L581" s="485"/>
      <c r="M581" s="485"/>
      <c r="N581" s="482">
        <f t="shared" si="29"/>
        <v>799.24650887921678</v>
      </c>
    </row>
    <row r="582" spans="1:14">
      <c r="A582" s="470">
        <f t="shared" si="30"/>
        <v>2056</v>
      </c>
      <c r="B582" s="470">
        <f t="shared" si="31"/>
        <v>1</v>
      </c>
      <c r="C582" s="482">
        <v>183.19935592397653</v>
      </c>
      <c r="D582" s="482">
        <v>0</v>
      </c>
      <c r="E582" s="482">
        <v>781.99734465817255</v>
      </c>
      <c r="F582" s="482">
        <v>0</v>
      </c>
      <c r="G582" s="485"/>
      <c r="H582" s="485"/>
      <c r="I582" s="485"/>
      <c r="J582" s="485"/>
      <c r="K582" s="485"/>
      <c r="L582" s="485"/>
      <c r="M582" s="485"/>
      <c r="N582" s="482">
        <f t="shared" si="29"/>
        <v>965.19670058214911</v>
      </c>
    </row>
    <row r="583" spans="1:14">
      <c r="A583" s="470">
        <f t="shared" si="30"/>
        <v>2056</v>
      </c>
      <c r="B583" s="470">
        <f t="shared" si="31"/>
        <v>2</v>
      </c>
      <c r="C583" s="482">
        <v>181.2013052425942</v>
      </c>
      <c r="D583" s="482">
        <v>0</v>
      </c>
      <c r="E583" s="482">
        <v>699.41213313931723</v>
      </c>
      <c r="F583" s="482">
        <v>0</v>
      </c>
      <c r="G583" s="485"/>
      <c r="H583" s="485"/>
      <c r="I583" s="485"/>
      <c r="J583" s="485"/>
      <c r="K583" s="485"/>
      <c r="L583" s="485"/>
      <c r="M583" s="485"/>
      <c r="N583" s="482">
        <f t="shared" ref="N583:N646" si="32">SUM(C583:M583)</f>
        <v>880.61343838191146</v>
      </c>
    </row>
    <row r="584" spans="1:14">
      <c r="A584" s="470">
        <f t="shared" si="30"/>
        <v>2056</v>
      </c>
      <c r="B584" s="470">
        <f t="shared" si="31"/>
        <v>3</v>
      </c>
      <c r="C584" s="482">
        <v>191.76747818295254</v>
      </c>
      <c r="D584" s="482">
        <v>0</v>
      </c>
      <c r="E584" s="482">
        <v>646.67596362778545</v>
      </c>
      <c r="F584" s="482">
        <v>0</v>
      </c>
      <c r="G584" s="485"/>
      <c r="H584" s="485"/>
      <c r="I584" s="485"/>
      <c r="J584" s="485"/>
      <c r="K584" s="485"/>
      <c r="L584" s="485"/>
      <c r="M584" s="485"/>
      <c r="N584" s="482">
        <f t="shared" si="32"/>
        <v>838.44344181073802</v>
      </c>
    </row>
    <row r="585" spans="1:14">
      <c r="A585" s="470">
        <f t="shared" si="30"/>
        <v>2056</v>
      </c>
      <c r="B585" s="470">
        <f t="shared" si="31"/>
        <v>4</v>
      </c>
      <c r="C585" s="482">
        <v>199.33137589396267</v>
      </c>
      <c r="D585" s="482">
        <v>0</v>
      </c>
      <c r="E585" s="482">
        <v>808.34839238404527</v>
      </c>
      <c r="F585" s="482">
        <v>0</v>
      </c>
      <c r="G585" s="485"/>
      <c r="H585" s="485"/>
      <c r="I585" s="485"/>
      <c r="J585" s="485"/>
      <c r="K585" s="485"/>
      <c r="L585" s="485"/>
      <c r="M585" s="485"/>
      <c r="N585" s="482">
        <f t="shared" si="32"/>
        <v>1007.6797682780079</v>
      </c>
    </row>
    <row r="586" spans="1:14">
      <c r="A586" s="470">
        <f t="shared" ref="A586:A649" si="33">A574+1</f>
        <v>2056</v>
      </c>
      <c r="B586" s="470">
        <f t="shared" ref="B586:B649" si="34">B574</f>
        <v>5</v>
      </c>
      <c r="C586" s="482">
        <v>218.24713776074873</v>
      </c>
      <c r="D586" s="482">
        <v>0</v>
      </c>
      <c r="E586" s="482">
        <v>882.07429453947066</v>
      </c>
      <c r="F586" s="482">
        <v>0</v>
      </c>
      <c r="G586" s="485"/>
      <c r="H586" s="485"/>
      <c r="I586" s="485"/>
      <c r="J586" s="485"/>
      <c r="K586" s="485"/>
      <c r="L586" s="485"/>
      <c r="M586" s="485"/>
      <c r="N586" s="482">
        <f t="shared" si="32"/>
        <v>1100.3214323002194</v>
      </c>
    </row>
    <row r="587" spans="1:14">
      <c r="A587" s="470">
        <f t="shared" si="33"/>
        <v>2056</v>
      </c>
      <c r="B587" s="470">
        <f t="shared" si="34"/>
        <v>6</v>
      </c>
      <c r="C587" s="482">
        <v>223.22845612031557</v>
      </c>
      <c r="D587" s="482">
        <v>0</v>
      </c>
      <c r="E587" s="482">
        <v>890.6702216625514</v>
      </c>
      <c r="F587" s="482">
        <v>0</v>
      </c>
      <c r="G587" s="485"/>
      <c r="H587" s="485"/>
      <c r="I587" s="485"/>
      <c r="J587" s="485"/>
      <c r="K587" s="485"/>
      <c r="L587" s="485"/>
      <c r="M587" s="485"/>
      <c r="N587" s="482">
        <f t="shared" si="32"/>
        <v>1113.898677782867</v>
      </c>
    </row>
    <row r="588" spans="1:14">
      <c r="A588" s="470">
        <f t="shared" si="33"/>
        <v>2056</v>
      </c>
      <c r="B588" s="470">
        <f t="shared" si="34"/>
        <v>7</v>
      </c>
      <c r="C588" s="482">
        <v>235.8858337234721</v>
      </c>
      <c r="D588" s="482">
        <v>0</v>
      </c>
      <c r="E588" s="482">
        <v>976.6811239109735</v>
      </c>
      <c r="F588" s="482">
        <v>0</v>
      </c>
      <c r="G588" s="485"/>
      <c r="H588" s="485"/>
      <c r="I588" s="485"/>
      <c r="J588" s="485"/>
      <c r="K588" s="485"/>
      <c r="L588" s="485"/>
      <c r="M588" s="485"/>
      <c r="N588" s="482">
        <f t="shared" si="32"/>
        <v>1212.5669576344455</v>
      </c>
    </row>
    <row r="589" spans="1:14">
      <c r="A589" s="470">
        <f t="shared" si="33"/>
        <v>2056</v>
      </c>
      <c r="B589" s="470">
        <f t="shared" si="34"/>
        <v>8</v>
      </c>
      <c r="C589" s="482">
        <v>233.59159747135536</v>
      </c>
      <c r="D589" s="482">
        <v>0</v>
      </c>
      <c r="E589" s="482">
        <v>993.15218539792056</v>
      </c>
      <c r="F589" s="482">
        <v>0</v>
      </c>
      <c r="G589" s="485"/>
      <c r="H589" s="485"/>
      <c r="I589" s="485"/>
      <c r="J589" s="485"/>
      <c r="K589" s="485"/>
      <c r="L589" s="485"/>
      <c r="M589" s="485"/>
      <c r="N589" s="482">
        <f t="shared" si="32"/>
        <v>1226.7437828692759</v>
      </c>
    </row>
    <row r="590" spans="1:14">
      <c r="A590" s="470">
        <f t="shared" si="33"/>
        <v>2056</v>
      </c>
      <c r="B590" s="470">
        <f t="shared" si="34"/>
        <v>9</v>
      </c>
      <c r="C590" s="482">
        <v>220.46616178398472</v>
      </c>
      <c r="D590" s="482">
        <v>0</v>
      </c>
      <c r="E590" s="482">
        <v>949.68016653536552</v>
      </c>
      <c r="F590" s="482">
        <v>0</v>
      </c>
      <c r="G590" s="485"/>
      <c r="H590" s="485"/>
      <c r="I590" s="485"/>
      <c r="J590" s="485"/>
      <c r="K590" s="485"/>
      <c r="L590" s="485"/>
      <c r="M590" s="485"/>
      <c r="N590" s="482">
        <f t="shared" si="32"/>
        <v>1170.1463283193502</v>
      </c>
    </row>
    <row r="591" spans="1:14">
      <c r="A591" s="470">
        <f t="shared" si="33"/>
        <v>2056</v>
      </c>
      <c r="B591" s="470">
        <f t="shared" si="34"/>
        <v>10</v>
      </c>
      <c r="C591" s="482">
        <v>199.17612555179397</v>
      </c>
      <c r="D591" s="482">
        <v>0</v>
      </c>
      <c r="E591" s="482">
        <v>814.67626167386106</v>
      </c>
      <c r="F591" s="482">
        <v>0</v>
      </c>
      <c r="G591" s="485"/>
      <c r="H591" s="485"/>
      <c r="I591" s="485"/>
      <c r="J591" s="485"/>
      <c r="K591" s="485"/>
      <c r="L591" s="485"/>
      <c r="M591" s="485"/>
      <c r="N591" s="482">
        <f t="shared" si="32"/>
        <v>1013.8523872256551</v>
      </c>
    </row>
    <row r="592" spans="1:14">
      <c r="A592" s="470">
        <f t="shared" si="33"/>
        <v>2056</v>
      </c>
      <c r="B592" s="470">
        <f t="shared" si="34"/>
        <v>11</v>
      </c>
      <c r="C592" s="482">
        <v>177.95227248849943</v>
      </c>
      <c r="D592" s="482">
        <v>0</v>
      </c>
      <c r="E592" s="482">
        <v>634.59343045368098</v>
      </c>
      <c r="F592" s="482">
        <v>0</v>
      </c>
      <c r="G592" s="485"/>
      <c r="H592" s="485"/>
      <c r="I592" s="485"/>
      <c r="J592" s="485"/>
      <c r="K592" s="485"/>
      <c r="L592" s="485"/>
      <c r="M592" s="485"/>
      <c r="N592" s="482">
        <f t="shared" si="32"/>
        <v>812.54570294218047</v>
      </c>
    </row>
    <row r="593" spans="1:14">
      <c r="A593" s="470">
        <f t="shared" si="33"/>
        <v>2056</v>
      </c>
      <c r="B593" s="470">
        <f t="shared" si="34"/>
        <v>12</v>
      </c>
      <c r="C593" s="482">
        <v>184.69924418243045</v>
      </c>
      <c r="D593" s="482">
        <v>0</v>
      </c>
      <c r="E593" s="482">
        <v>617.99359348656355</v>
      </c>
      <c r="F593" s="482">
        <v>0</v>
      </c>
      <c r="G593" s="485"/>
      <c r="H593" s="485"/>
      <c r="I593" s="485"/>
      <c r="J593" s="485"/>
      <c r="K593" s="485"/>
      <c r="L593" s="485"/>
      <c r="M593" s="485"/>
      <c r="N593" s="482">
        <f t="shared" si="32"/>
        <v>802.692837668994</v>
      </c>
    </row>
    <row r="594" spans="1:14">
      <c r="A594" s="470">
        <f t="shared" si="33"/>
        <v>2057</v>
      </c>
      <c r="B594" s="470">
        <f t="shared" si="34"/>
        <v>1</v>
      </c>
      <c r="C594" s="482">
        <v>184.92612474467131</v>
      </c>
      <c r="D594" s="482">
        <v>0</v>
      </c>
      <c r="E594" s="482">
        <v>782.77931093099096</v>
      </c>
      <c r="F594" s="482">
        <v>0</v>
      </c>
      <c r="G594" s="485"/>
      <c r="H594" s="485"/>
      <c r="I594" s="485"/>
      <c r="J594" s="485"/>
      <c r="K594" s="485"/>
      <c r="L594" s="485"/>
      <c r="M594" s="485"/>
      <c r="N594" s="482">
        <f t="shared" si="32"/>
        <v>967.70543567566233</v>
      </c>
    </row>
    <row r="595" spans="1:14">
      <c r="A595" s="470">
        <f t="shared" si="33"/>
        <v>2057</v>
      </c>
      <c r="B595" s="470">
        <f t="shared" si="34"/>
        <v>2</v>
      </c>
      <c r="C595" s="482">
        <v>182.90924118256532</v>
      </c>
      <c r="D595" s="482">
        <v>0</v>
      </c>
      <c r="E595" s="482">
        <v>700.11139478254597</v>
      </c>
      <c r="F595" s="482">
        <v>0</v>
      </c>
      <c r="G595" s="485"/>
      <c r="H595" s="485"/>
      <c r="I595" s="485"/>
      <c r="J595" s="485"/>
      <c r="K595" s="485"/>
      <c r="L595" s="485"/>
      <c r="M595" s="485"/>
      <c r="N595" s="482">
        <f t="shared" si="32"/>
        <v>883.0206359651113</v>
      </c>
    </row>
    <row r="596" spans="1:14">
      <c r="A596" s="470">
        <f t="shared" si="33"/>
        <v>2057</v>
      </c>
      <c r="B596" s="470">
        <f t="shared" si="34"/>
        <v>3</v>
      </c>
      <c r="C596" s="482">
        <v>193.5750069293255</v>
      </c>
      <c r="D596" s="482">
        <v>0</v>
      </c>
      <c r="E596" s="482">
        <v>647.38866947890949</v>
      </c>
      <c r="F596" s="482">
        <v>0</v>
      </c>
      <c r="G596" s="485"/>
      <c r="H596" s="485"/>
      <c r="I596" s="485"/>
      <c r="J596" s="485"/>
      <c r="K596" s="485"/>
      <c r="L596" s="485"/>
      <c r="M596" s="485"/>
      <c r="N596" s="482">
        <f t="shared" si="32"/>
        <v>840.96367640823496</v>
      </c>
    </row>
    <row r="597" spans="1:14">
      <c r="A597" s="470">
        <f t="shared" si="33"/>
        <v>2057</v>
      </c>
      <c r="B597" s="470">
        <f t="shared" si="34"/>
        <v>4</v>
      </c>
      <c r="C597" s="482">
        <v>201.21019911986269</v>
      </c>
      <c r="D597" s="482">
        <v>0</v>
      </c>
      <c r="E597" s="482">
        <v>813.45759786965959</v>
      </c>
      <c r="F597" s="482">
        <v>0</v>
      </c>
      <c r="G597" s="485"/>
      <c r="H597" s="485"/>
      <c r="I597" s="485"/>
      <c r="J597" s="485"/>
      <c r="K597" s="485"/>
      <c r="L597" s="485"/>
      <c r="M597" s="485"/>
      <c r="N597" s="482">
        <f t="shared" si="32"/>
        <v>1014.6677969895222</v>
      </c>
    </row>
    <row r="598" spans="1:14">
      <c r="A598" s="470">
        <f t="shared" si="33"/>
        <v>2057</v>
      </c>
      <c r="B598" s="470">
        <f t="shared" si="34"/>
        <v>5</v>
      </c>
      <c r="C598" s="482">
        <v>220.3042539050191</v>
      </c>
      <c r="D598" s="482">
        <v>0</v>
      </c>
      <c r="E598" s="482">
        <v>886.63985161066682</v>
      </c>
      <c r="F598" s="482">
        <v>0</v>
      </c>
      <c r="G598" s="485"/>
      <c r="H598" s="485"/>
      <c r="I598" s="485"/>
      <c r="J598" s="485"/>
      <c r="K598" s="485"/>
      <c r="L598" s="485"/>
      <c r="M598" s="485"/>
      <c r="N598" s="482">
        <f t="shared" si="32"/>
        <v>1106.9441055156858</v>
      </c>
    </row>
    <row r="599" spans="1:14">
      <c r="A599" s="470">
        <f t="shared" si="33"/>
        <v>2057</v>
      </c>
      <c r="B599" s="470">
        <f t="shared" si="34"/>
        <v>6</v>
      </c>
      <c r="C599" s="482">
        <v>225.33252431409443</v>
      </c>
      <c r="D599" s="482">
        <v>0</v>
      </c>
      <c r="E599" s="482">
        <v>893.80687058544265</v>
      </c>
      <c r="F599" s="482">
        <v>0</v>
      </c>
      <c r="G599" s="485"/>
      <c r="H599" s="485"/>
      <c r="I599" s="485"/>
      <c r="J599" s="485"/>
      <c r="K599" s="485"/>
      <c r="L599" s="485"/>
      <c r="M599" s="485"/>
      <c r="N599" s="482">
        <f t="shared" si="32"/>
        <v>1119.1393948995371</v>
      </c>
    </row>
    <row r="600" spans="1:14">
      <c r="A600" s="470">
        <f t="shared" si="33"/>
        <v>2057</v>
      </c>
      <c r="B600" s="470">
        <f t="shared" si="34"/>
        <v>7</v>
      </c>
      <c r="C600" s="482">
        <v>238.10964322847221</v>
      </c>
      <c r="D600" s="482">
        <v>0</v>
      </c>
      <c r="E600" s="482">
        <v>982.23590226709518</v>
      </c>
      <c r="F600" s="482">
        <v>0</v>
      </c>
      <c r="G600" s="485"/>
      <c r="H600" s="485"/>
      <c r="I600" s="485"/>
      <c r="J600" s="485"/>
      <c r="K600" s="485"/>
      <c r="L600" s="485"/>
      <c r="M600" s="485"/>
      <c r="N600" s="482">
        <f t="shared" si="32"/>
        <v>1220.3455454955674</v>
      </c>
    </row>
    <row r="601" spans="1:14">
      <c r="A601" s="470">
        <f t="shared" si="33"/>
        <v>2057</v>
      </c>
      <c r="B601" s="470">
        <f t="shared" si="34"/>
        <v>8</v>
      </c>
      <c r="C601" s="482">
        <v>235.79334477147799</v>
      </c>
      <c r="D601" s="482">
        <v>0</v>
      </c>
      <c r="E601" s="482">
        <v>998.8265871830788</v>
      </c>
      <c r="F601" s="482">
        <v>0</v>
      </c>
      <c r="G601" s="485"/>
      <c r="H601" s="485"/>
      <c r="I601" s="485"/>
      <c r="J601" s="485"/>
      <c r="K601" s="485"/>
      <c r="L601" s="485"/>
      <c r="M601" s="485"/>
      <c r="N601" s="482">
        <f t="shared" si="32"/>
        <v>1234.6199319545567</v>
      </c>
    </row>
    <row r="602" spans="1:14">
      <c r="A602" s="470">
        <f t="shared" si="33"/>
        <v>2057</v>
      </c>
      <c r="B602" s="470">
        <f t="shared" si="34"/>
        <v>9</v>
      </c>
      <c r="C602" s="482">
        <v>222.54419362130648</v>
      </c>
      <c r="D602" s="482">
        <v>0</v>
      </c>
      <c r="E602" s="482">
        <v>955.11923792468212</v>
      </c>
      <c r="F602" s="482">
        <v>0</v>
      </c>
      <c r="G602" s="485"/>
      <c r="H602" s="485"/>
      <c r="I602" s="485"/>
      <c r="J602" s="485"/>
      <c r="K602" s="485"/>
      <c r="L602" s="485"/>
      <c r="M602" s="485"/>
      <c r="N602" s="482">
        <f t="shared" si="32"/>
        <v>1177.6634315459887</v>
      </c>
    </row>
    <row r="603" spans="1:14">
      <c r="A603" s="470">
        <f t="shared" si="33"/>
        <v>2057</v>
      </c>
      <c r="B603" s="470">
        <f t="shared" si="34"/>
        <v>10</v>
      </c>
      <c r="C603" s="482">
        <v>201.05348544585587</v>
      </c>
      <c r="D603" s="482">
        <v>0</v>
      </c>
      <c r="E603" s="482">
        <v>817.4591013228993</v>
      </c>
      <c r="F603" s="482">
        <v>0</v>
      </c>
      <c r="G603" s="485"/>
      <c r="H603" s="485"/>
      <c r="I603" s="485"/>
      <c r="J603" s="485"/>
      <c r="K603" s="485"/>
      <c r="L603" s="485"/>
      <c r="M603" s="485"/>
      <c r="N603" s="482">
        <f t="shared" si="32"/>
        <v>1018.5125867687552</v>
      </c>
    </row>
    <row r="604" spans="1:14">
      <c r="A604" s="470">
        <f t="shared" si="33"/>
        <v>2057</v>
      </c>
      <c r="B604" s="470">
        <f t="shared" si="34"/>
        <v>11</v>
      </c>
      <c r="C604" s="482">
        <v>179.6295842571742</v>
      </c>
      <c r="D604" s="482">
        <v>0</v>
      </c>
      <c r="E604" s="482">
        <v>635.89767009371485</v>
      </c>
      <c r="F604" s="482">
        <v>0</v>
      </c>
      <c r="G604" s="485"/>
      <c r="H604" s="485"/>
      <c r="I604" s="485"/>
      <c r="J604" s="485"/>
      <c r="K604" s="485"/>
      <c r="L604" s="485"/>
      <c r="M604" s="485"/>
      <c r="N604" s="482">
        <f t="shared" si="32"/>
        <v>815.52725435088905</v>
      </c>
    </row>
    <row r="605" spans="1:14">
      <c r="A605" s="470">
        <f t="shared" si="33"/>
        <v>2057</v>
      </c>
      <c r="B605" s="470">
        <f t="shared" si="34"/>
        <v>12</v>
      </c>
      <c r="C605" s="482">
        <v>186.44015039059673</v>
      </c>
      <c r="D605" s="482">
        <v>0</v>
      </c>
      <c r="E605" s="482">
        <v>619.72008183102832</v>
      </c>
      <c r="F605" s="482">
        <v>0</v>
      </c>
      <c r="G605" s="485"/>
      <c r="H605" s="485"/>
      <c r="I605" s="485"/>
      <c r="J605" s="485"/>
      <c r="K605" s="485"/>
      <c r="L605" s="485"/>
      <c r="M605" s="485"/>
      <c r="N605" s="482">
        <f t="shared" si="32"/>
        <v>806.16023222162505</v>
      </c>
    </row>
    <row r="606" spans="1:14">
      <c r="A606" s="470">
        <f t="shared" si="33"/>
        <v>2058</v>
      </c>
      <c r="B606" s="470">
        <f t="shared" si="34"/>
        <v>1</v>
      </c>
      <c r="C606" s="482">
        <v>186.66916944442193</v>
      </c>
      <c r="D606" s="482">
        <v>0</v>
      </c>
      <c r="E606" s="482">
        <v>783.56205913901158</v>
      </c>
      <c r="F606" s="482">
        <v>0</v>
      </c>
      <c r="G606" s="485"/>
      <c r="H606" s="485"/>
      <c r="I606" s="485"/>
      <c r="J606" s="485"/>
      <c r="K606" s="485"/>
      <c r="L606" s="485"/>
      <c r="M606" s="485"/>
      <c r="N606" s="482">
        <f t="shared" si="32"/>
        <v>970.23122858343345</v>
      </c>
    </row>
    <row r="607" spans="1:14">
      <c r="A607" s="470">
        <f t="shared" si="33"/>
        <v>2058</v>
      </c>
      <c r="B607" s="470">
        <f t="shared" si="34"/>
        <v>2</v>
      </c>
      <c r="C607" s="482">
        <v>184.63327548988067</v>
      </c>
      <c r="D607" s="482">
        <v>0</v>
      </c>
      <c r="E607" s="482">
        <v>700.81135553696038</v>
      </c>
      <c r="F607" s="482">
        <v>0</v>
      </c>
      <c r="G607" s="485"/>
      <c r="H607" s="485"/>
      <c r="I607" s="485"/>
      <c r="J607" s="485"/>
      <c r="K607" s="485"/>
      <c r="L607" s="485"/>
      <c r="M607" s="485"/>
      <c r="N607" s="482">
        <f t="shared" si="32"/>
        <v>885.44463102684108</v>
      </c>
    </row>
    <row r="608" spans="1:14">
      <c r="A608" s="470">
        <f t="shared" si="33"/>
        <v>2058</v>
      </c>
      <c r="B608" s="470">
        <f t="shared" si="34"/>
        <v>3</v>
      </c>
      <c r="C608" s="482">
        <v>195.39957276770133</v>
      </c>
      <c r="D608" s="482">
        <v>0</v>
      </c>
      <c r="E608" s="482">
        <v>648.10216080785983</v>
      </c>
      <c r="F608" s="482">
        <v>0</v>
      </c>
      <c r="G608" s="485"/>
      <c r="H608" s="485"/>
      <c r="I608" s="485"/>
      <c r="J608" s="485"/>
      <c r="K608" s="485"/>
      <c r="L608" s="485"/>
      <c r="M608" s="485"/>
      <c r="N608" s="482">
        <f t="shared" si="32"/>
        <v>843.50173357556116</v>
      </c>
    </row>
    <row r="609" spans="1:14">
      <c r="A609" s="470">
        <f t="shared" si="33"/>
        <v>2058</v>
      </c>
      <c r="B609" s="470">
        <f t="shared" si="34"/>
        <v>4</v>
      </c>
      <c r="C609" s="482">
        <v>203.10673143294656</v>
      </c>
      <c r="D609" s="482">
        <v>0</v>
      </c>
      <c r="E609" s="482">
        <v>818.59909633802761</v>
      </c>
      <c r="F609" s="482">
        <v>0</v>
      </c>
      <c r="G609" s="485"/>
      <c r="H609" s="485"/>
      <c r="I609" s="485"/>
      <c r="J609" s="485"/>
      <c r="K609" s="485"/>
      <c r="L609" s="485"/>
      <c r="M609" s="485"/>
      <c r="N609" s="482">
        <f t="shared" si="32"/>
        <v>1021.7058277709741</v>
      </c>
    </row>
    <row r="610" spans="1:14">
      <c r="A610" s="470">
        <f t="shared" si="33"/>
        <v>2058</v>
      </c>
      <c r="B610" s="470">
        <f t="shared" si="34"/>
        <v>5</v>
      </c>
      <c r="C610" s="482">
        <v>222.38075965904304</v>
      </c>
      <c r="D610" s="482">
        <v>0</v>
      </c>
      <c r="E610" s="482">
        <v>891.22903969741287</v>
      </c>
      <c r="F610" s="482">
        <v>0</v>
      </c>
      <c r="G610" s="485"/>
      <c r="H610" s="485"/>
      <c r="I610" s="485"/>
      <c r="J610" s="485"/>
      <c r="K610" s="485"/>
      <c r="L610" s="485"/>
      <c r="M610" s="485"/>
      <c r="N610" s="482">
        <f t="shared" si="32"/>
        <v>1113.6097993564558</v>
      </c>
    </row>
    <row r="611" spans="1:14">
      <c r="A611" s="470">
        <f t="shared" si="33"/>
        <v>2058</v>
      </c>
      <c r="B611" s="470">
        <f t="shared" si="34"/>
        <v>6</v>
      </c>
      <c r="C611" s="482">
        <v>227.45642467013886</v>
      </c>
      <c r="D611" s="482">
        <v>0</v>
      </c>
      <c r="E611" s="482">
        <v>896.95456575892842</v>
      </c>
      <c r="F611" s="482">
        <v>0</v>
      </c>
      <c r="G611" s="485"/>
      <c r="H611" s="485"/>
      <c r="I611" s="485"/>
      <c r="J611" s="485"/>
      <c r="K611" s="485"/>
      <c r="L611" s="485"/>
      <c r="M611" s="485"/>
      <c r="N611" s="482">
        <f t="shared" si="32"/>
        <v>1124.4109904290672</v>
      </c>
    </row>
    <row r="612" spans="1:14">
      <c r="A612" s="470">
        <f t="shared" si="33"/>
        <v>2058</v>
      </c>
      <c r="B612" s="470">
        <f t="shared" si="34"/>
        <v>7</v>
      </c>
      <c r="C612" s="482">
        <v>240.35441765805666</v>
      </c>
      <c r="D612" s="482">
        <v>0</v>
      </c>
      <c r="E612" s="482">
        <v>987.82227288176489</v>
      </c>
      <c r="F612" s="482">
        <v>0</v>
      </c>
      <c r="G612" s="485"/>
      <c r="H612" s="485"/>
      <c r="I612" s="485"/>
      <c r="J612" s="485"/>
      <c r="K612" s="485"/>
      <c r="L612" s="485"/>
      <c r="M612" s="485"/>
      <c r="N612" s="482">
        <f t="shared" si="32"/>
        <v>1228.1766905398215</v>
      </c>
    </row>
    <row r="613" spans="1:14">
      <c r="A613" s="470">
        <f t="shared" si="33"/>
        <v>2058</v>
      </c>
      <c r="B613" s="470">
        <f t="shared" si="34"/>
        <v>8</v>
      </c>
      <c r="C613" s="482">
        <v>238.01584492070168</v>
      </c>
      <c r="D613" s="482">
        <v>0</v>
      </c>
      <c r="E613" s="482">
        <v>1004.5334098158099</v>
      </c>
      <c r="F613" s="482">
        <v>0</v>
      </c>
      <c r="G613" s="485"/>
      <c r="H613" s="485"/>
      <c r="I613" s="485"/>
      <c r="J613" s="485"/>
      <c r="K613" s="485"/>
      <c r="L613" s="485"/>
      <c r="M613" s="485"/>
      <c r="N613" s="482">
        <f t="shared" si="32"/>
        <v>1242.5492547365116</v>
      </c>
    </row>
    <row r="614" spans="1:14">
      <c r="A614" s="470">
        <f t="shared" si="33"/>
        <v>2058</v>
      </c>
      <c r="B614" s="470">
        <f t="shared" si="34"/>
        <v>9</v>
      </c>
      <c r="C614" s="482">
        <v>224.64181221190586</v>
      </c>
      <c r="D614" s="482">
        <v>0</v>
      </c>
      <c r="E614" s="482">
        <v>960.5894603252766</v>
      </c>
      <c r="F614" s="482">
        <v>0</v>
      </c>
      <c r="G614" s="485"/>
      <c r="H614" s="485"/>
      <c r="I614" s="485"/>
      <c r="J614" s="485"/>
      <c r="K614" s="485"/>
      <c r="L614" s="485"/>
      <c r="M614" s="485"/>
      <c r="N614" s="482">
        <f t="shared" si="32"/>
        <v>1185.2312725371826</v>
      </c>
    </row>
    <row r="615" spans="1:14">
      <c r="A615" s="470">
        <f t="shared" si="33"/>
        <v>2058</v>
      </c>
      <c r="B615" s="470">
        <f t="shared" si="34"/>
        <v>10</v>
      </c>
      <c r="C615" s="482">
        <v>202.9485406342813</v>
      </c>
      <c r="D615" s="482">
        <v>0</v>
      </c>
      <c r="E615" s="482">
        <v>820.25144682951134</v>
      </c>
      <c r="F615" s="482">
        <v>0</v>
      </c>
      <c r="G615" s="485"/>
      <c r="H615" s="485"/>
      <c r="I615" s="485"/>
      <c r="J615" s="485"/>
      <c r="K615" s="485"/>
      <c r="L615" s="485"/>
      <c r="M615" s="485"/>
      <c r="N615" s="482">
        <f t="shared" si="32"/>
        <v>1023.1999874637927</v>
      </c>
    </row>
    <row r="616" spans="1:14">
      <c r="A616" s="470">
        <f t="shared" si="33"/>
        <v>2058</v>
      </c>
      <c r="B616" s="470">
        <f t="shared" si="34"/>
        <v>11</v>
      </c>
      <c r="C616" s="482">
        <v>181.32270574117317</v>
      </c>
      <c r="D616" s="482">
        <v>0</v>
      </c>
      <c r="E616" s="482">
        <v>637.20459025478317</v>
      </c>
      <c r="F616" s="482">
        <v>0</v>
      </c>
      <c r="G616" s="485"/>
      <c r="H616" s="485"/>
      <c r="I616" s="485"/>
      <c r="J616" s="485"/>
      <c r="K616" s="485"/>
      <c r="L616" s="485"/>
      <c r="M616" s="485"/>
      <c r="N616" s="482">
        <f t="shared" si="32"/>
        <v>818.52729599595637</v>
      </c>
    </row>
    <row r="617" spans="1:14">
      <c r="A617" s="470">
        <f t="shared" si="33"/>
        <v>2058</v>
      </c>
      <c r="B617" s="470">
        <f t="shared" si="34"/>
        <v>12</v>
      </c>
      <c r="C617" s="482">
        <v>188.19746573156183</v>
      </c>
      <c r="D617" s="482">
        <v>0</v>
      </c>
      <c r="E617" s="482">
        <v>621.45139346498183</v>
      </c>
      <c r="F617" s="482">
        <v>0</v>
      </c>
      <c r="G617" s="485"/>
      <c r="H617" s="485"/>
      <c r="I617" s="485"/>
      <c r="J617" s="485"/>
      <c r="K617" s="485"/>
      <c r="L617" s="485"/>
      <c r="M617" s="485"/>
      <c r="N617" s="482">
        <f t="shared" si="32"/>
        <v>809.64885919654364</v>
      </c>
    </row>
    <row r="618" spans="1:14">
      <c r="A618" s="470">
        <f t="shared" si="33"/>
        <v>2059</v>
      </c>
      <c r="B618" s="470">
        <f t="shared" si="34"/>
        <v>1</v>
      </c>
      <c r="C618" s="482">
        <v>188.42864343359568</v>
      </c>
      <c r="D618" s="482">
        <v>0</v>
      </c>
      <c r="E618" s="482">
        <v>784.34559006413861</v>
      </c>
      <c r="F618" s="482">
        <v>0</v>
      </c>
      <c r="G618" s="485"/>
      <c r="H618" s="485"/>
      <c r="I618" s="485"/>
      <c r="J618" s="485"/>
      <c r="K618" s="485"/>
      <c r="L618" s="485"/>
      <c r="M618" s="485"/>
      <c r="N618" s="482">
        <f t="shared" si="32"/>
        <v>972.77423349773426</v>
      </c>
    </row>
    <row r="619" spans="1:14">
      <c r="A619" s="470">
        <f t="shared" si="33"/>
        <v>2059</v>
      </c>
      <c r="B619" s="470">
        <f t="shared" si="34"/>
        <v>2</v>
      </c>
      <c r="C619" s="482">
        <v>186.37355990174834</v>
      </c>
      <c r="D619" s="482">
        <v>0</v>
      </c>
      <c r="E619" s="482">
        <v>701.51201610152123</v>
      </c>
      <c r="F619" s="482">
        <v>0</v>
      </c>
      <c r="G619" s="485"/>
      <c r="H619" s="485"/>
      <c r="I619" s="485"/>
      <c r="J619" s="485"/>
      <c r="K619" s="485"/>
      <c r="L619" s="485"/>
      <c r="M619" s="485"/>
      <c r="N619" s="482">
        <f t="shared" si="32"/>
        <v>887.88557600326953</v>
      </c>
    </row>
    <row r="620" spans="1:14">
      <c r="A620" s="470">
        <f t="shared" si="33"/>
        <v>2059</v>
      </c>
      <c r="B620" s="470">
        <f t="shared" si="34"/>
        <v>3</v>
      </c>
      <c r="C620" s="482">
        <v>197.24133628335679</v>
      </c>
      <c r="D620" s="482">
        <v>0</v>
      </c>
      <c r="E620" s="482">
        <v>648.81643848031672</v>
      </c>
      <c r="F620" s="482">
        <v>0</v>
      </c>
      <c r="G620" s="485"/>
      <c r="H620" s="485"/>
      <c r="I620" s="485"/>
      <c r="J620" s="485"/>
      <c r="K620" s="485"/>
      <c r="L620" s="485"/>
      <c r="M620" s="485"/>
      <c r="N620" s="482">
        <f t="shared" si="32"/>
        <v>846.05777476367348</v>
      </c>
    </row>
    <row r="621" spans="1:14">
      <c r="A621" s="470">
        <f t="shared" si="33"/>
        <v>2059</v>
      </c>
      <c r="B621" s="470">
        <f t="shared" si="34"/>
        <v>4</v>
      </c>
      <c r="C621" s="482">
        <v>205.02113975246701</v>
      </c>
      <c r="D621" s="482">
        <v>0</v>
      </c>
      <c r="E621" s="482">
        <v>823.7730918985236</v>
      </c>
      <c r="F621" s="482">
        <v>0</v>
      </c>
      <c r="G621" s="485"/>
      <c r="H621" s="485"/>
      <c r="I621" s="485"/>
      <c r="J621" s="485"/>
      <c r="K621" s="485"/>
      <c r="L621" s="485"/>
      <c r="M621" s="485"/>
      <c r="N621" s="482">
        <f t="shared" si="32"/>
        <v>1028.7942316509907</v>
      </c>
    </row>
    <row r="622" spans="1:14">
      <c r="A622" s="470">
        <f t="shared" si="33"/>
        <v>2059</v>
      </c>
      <c r="B622" s="470">
        <f t="shared" si="34"/>
        <v>5</v>
      </c>
      <c r="C622" s="482">
        <v>224.47683778205246</v>
      </c>
      <c r="D622" s="482">
        <v>0</v>
      </c>
      <c r="E622" s="482">
        <v>895.8419811122518</v>
      </c>
      <c r="F622" s="482">
        <v>0</v>
      </c>
      <c r="G622" s="485"/>
      <c r="H622" s="485"/>
      <c r="I622" s="485"/>
      <c r="J622" s="485"/>
      <c r="K622" s="485"/>
      <c r="L622" s="485"/>
      <c r="M622" s="485"/>
      <c r="N622" s="482">
        <f t="shared" si="32"/>
        <v>1120.3188188943043</v>
      </c>
    </row>
    <row r="623" spans="1:14">
      <c r="A623" s="470">
        <f t="shared" si="33"/>
        <v>2059</v>
      </c>
      <c r="B623" s="470">
        <f t="shared" si="34"/>
        <v>6</v>
      </c>
      <c r="C623" s="482">
        <v>229.60034411901572</v>
      </c>
      <c r="D623" s="482">
        <v>0</v>
      </c>
      <c r="E623" s="482">
        <v>900.11334608428672</v>
      </c>
      <c r="F623" s="482">
        <v>0</v>
      </c>
      <c r="G623" s="485"/>
      <c r="H623" s="485"/>
      <c r="I623" s="485"/>
      <c r="J623" s="485"/>
      <c r="K623" s="485"/>
      <c r="L623" s="485"/>
      <c r="M623" s="485"/>
      <c r="N623" s="482">
        <f t="shared" si="32"/>
        <v>1129.7136902033023</v>
      </c>
    </row>
    <row r="624" spans="1:14">
      <c r="A624" s="470">
        <f t="shared" si="33"/>
        <v>2059</v>
      </c>
      <c r="B624" s="470">
        <f t="shared" si="34"/>
        <v>7</v>
      </c>
      <c r="C624" s="482">
        <v>242.62035465867936</v>
      </c>
      <c r="D624" s="482">
        <v>0</v>
      </c>
      <c r="E624" s="482">
        <v>993.44041543286301</v>
      </c>
      <c r="F624" s="482">
        <v>0</v>
      </c>
      <c r="G624" s="485"/>
      <c r="H624" s="485"/>
      <c r="I624" s="485"/>
      <c r="J624" s="485"/>
      <c r="K624" s="485"/>
      <c r="L624" s="485"/>
      <c r="M624" s="485"/>
      <c r="N624" s="482">
        <f t="shared" si="32"/>
        <v>1236.0607700915423</v>
      </c>
    </row>
    <row r="625" spans="1:14">
      <c r="A625" s="470">
        <f t="shared" si="33"/>
        <v>2059</v>
      </c>
      <c r="B625" s="470">
        <f t="shared" si="34"/>
        <v>8</v>
      </c>
      <c r="C625" s="482">
        <v>240.25929352764408</v>
      </c>
      <c r="D625" s="482">
        <v>0</v>
      </c>
      <c r="E625" s="482">
        <v>1010.2728385335005</v>
      </c>
      <c r="F625" s="482">
        <v>0</v>
      </c>
      <c r="G625" s="485"/>
      <c r="H625" s="485"/>
      <c r="I625" s="485"/>
      <c r="J625" s="485"/>
      <c r="K625" s="485"/>
      <c r="L625" s="485"/>
      <c r="M625" s="485"/>
      <c r="N625" s="482">
        <f t="shared" si="32"/>
        <v>1250.5321320611445</v>
      </c>
    </row>
    <row r="626" spans="1:14">
      <c r="A626" s="470">
        <f t="shared" si="33"/>
        <v>2059</v>
      </c>
      <c r="B626" s="470">
        <f t="shared" si="34"/>
        <v>9</v>
      </c>
      <c r="C626" s="482">
        <v>226.75920217321607</v>
      </c>
      <c r="D626" s="482">
        <v>0</v>
      </c>
      <c r="E626" s="482">
        <v>966.09101214729185</v>
      </c>
      <c r="F626" s="482">
        <v>0</v>
      </c>
      <c r="G626" s="485"/>
      <c r="H626" s="485"/>
      <c r="I626" s="485"/>
      <c r="J626" s="485"/>
      <c r="K626" s="485"/>
      <c r="L626" s="485"/>
      <c r="M626" s="485"/>
      <c r="N626" s="482">
        <f t="shared" si="32"/>
        <v>1192.8502143205078</v>
      </c>
    </row>
    <row r="627" spans="1:14">
      <c r="A627" s="470">
        <f t="shared" si="33"/>
        <v>2059</v>
      </c>
      <c r="B627" s="470">
        <f t="shared" si="34"/>
        <v>10</v>
      </c>
      <c r="C627" s="482">
        <v>204.86145790631704</v>
      </c>
      <c r="D627" s="482">
        <v>0</v>
      </c>
      <c r="E627" s="482">
        <v>823.05333066460446</v>
      </c>
      <c r="F627" s="482">
        <v>0</v>
      </c>
      <c r="G627" s="485"/>
      <c r="H627" s="485"/>
      <c r="I627" s="485"/>
      <c r="J627" s="485"/>
      <c r="K627" s="485"/>
      <c r="L627" s="485"/>
      <c r="M627" s="485"/>
      <c r="N627" s="482">
        <f t="shared" si="32"/>
        <v>1027.9147885709215</v>
      </c>
    </row>
    <row r="628" spans="1:14">
      <c r="A628" s="470">
        <f t="shared" si="33"/>
        <v>2059</v>
      </c>
      <c r="B628" s="470">
        <f t="shared" si="34"/>
        <v>11</v>
      </c>
      <c r="C628" s="482">
        <v>183.03178595697813</v>
      </c>
      <c r="D628" s="482">
        <v>0</v>
      </c>
      <c r="E628" s="482">
        <v>638.51419644599082</v>
      </c>
      <c r="F628" s="482">
        <v>0</v>
      </c>
      <c r="G628" s="485"/>
      <c r="H628" s="485"/>
      <c r="I628" s="485"/>
      <c r="J628" s="485"/>
      <c r="K628" s="485"/>
      <c r="L628" s="485"/>
      <c r="M628" s="485"/>
      <c r="N628" s="482">
        <f t="shared" si="32"/>
        <v>821.545982402969</v>
      </c>
    </row>
    <row r="629" spans="1:14">
      <c r="A629" s="470">
        <f t="shared" si="33"/>
        <v>2059</v>
      </c>
      <c r="B629" s="470">
        <f t="shared" si="34"/>
        <v>12</v>
      </c>
      <c r="C629" s="482">
        <v>189.97134487169316</v>
      </c>
      <c r="D629" s="482">
        <v>0</v>
      </c>
      <c r="E629" s="482">
        <v>623.18754186324509</v>
      </c>
      <c r="F629" s="482">
        <v>0</v>
      </c>
      <c r="G629" s="485"/>
      <c r="H629" s="485"/>
      <c r="I629" s="485"/>
      <c r="J629" s="485"/>
      <c r="K629" s="485"/>
      <c r="L629" s="485"/>
      <c r="M629" s="485"/>
      <c r="N629" s="482">
        <f t="shared" si="32"/>
        <v>813.15888673493828</v>
      </c>
    </row>
    <row r="630" spans="1:14">
      <c r="A630" s="470">
        <f t="shared" si="33"/>
        <v>2060</v>
      </c>
      <c r="B630" s="470">
        <f t="shared" si="34"/>
        <v>1</v>
      </c>
      <c r="C630" s="482">
        <v>190.20470156854881</v>
      </c>
      <c r="D630" s="482">
        <v>0</v>
      </c>
      <c r="E630" s="482">
        <v>785.12990448905794</v>
      </c>
      <c r="F630" s="482">
        <v>0</v>
      </c>
      <c r="G630" s="485"/>
      <c r="H630" s="485"/>
      <c r="I630" s="485"/>
      <c r="J630" s="485"/>
      <c r="K630" s="485"/>
      <c r="L630" s="485"/>
      <c r="M630" s="485"/>
      <c r="N630" s="482">
        <f t="shared" si="32"/>
        <v>975.33460605760672</v>
      </c>
    </row>
    <row r="631" spans="1:14">
      <c r="A631" s="470">
        <f t="shared" si="33"/>
        <v>2060</v>
      </c>
      <c r="B631" s="470">
        <f t="shared" si="34"/>
        <v>2</v>
      </c>
      <c r="C631" s="482">
        <v>188.13024758559476</v>
      </c>
      <c r="D631" s="482">
        <v>0</v>
      </c>
      <c r="E631" s="482">
        <v>702.21337717588813</v>
      </c>
      <c r="F631" s="482">
        <v>0</v>
      </c>
      <c r="G631" s="485"/>
      <c r="H631" s="485"/>
      <c r="I631" s="485"/>
      <c r="J631" s="485"/>
      <c r="K631" s="485"/>
      <c r="L631" s="485"/>
      <c r="M631" s="485"/>
      <c r="N631" s="482">
        <f t="shared" si="32"/>
        <v>890.34362476148294</v>
      </c>
    </row>
    <row r="632" spans="1:14">
      <c r="A632" s="470">
        <f t="shared" si="33"/>
        <v>2060</v>
      </c>
      <c r="B632" s="470">
        <f t="shared" si="34"/>
        <v>3</v>
      </c>
      <c r="C632" s="482">
        <v>199.10045957518551</v>
      </c>
      <c r="D632" s="482">
        <v>0</v>
      </c>
      <c r="E632" s="482">
        <v>649.53150336291458</v>
      </c>
      <c r="F632" s="482">
        <v>0</v>
      </c>
      <c r="G632" s="485"/>
      <c r="H632" s="485"/>
      <c r="I632" s="485"/>
      <c r="J632" s="485"/>
      <c r="K632" s="485"/>
      <c r="L632" s="485"/>
      <c r="M632" s="485"/>
      <c r="N632" s="482">
        <f t="shared" si="32"/>
        <v>848.63196293810006</v>
      </c>
    </row>
    <row r="633" spans="1:14">
      <c r="A633" s="470">
        <f t="shared" si="33"/>
        <v>2060</v>
      </c>
      <c r="B633" s="470">
        <f t="shared" si="34"/>
        <v>4</v>
      </c>
      <c r="C633" s="482">
        <v>206.9535925709954</v>
      </c>
      <c r="D633" s="482">
        <v>0</v>
      </c>
      <c r="E633" s="482">
        <v>828.97978995060532</v>
      </c>
      <c r="F633" s="482">
        <v>0</v>
      </c>
      <c r="G633" s="485"/>
      <c r="H633" s="485"/>
      <c r="I633" s="485"/>
      <c r="J633" s="485"/>
      <c r="K633" s="485"/>
      <c r="L633" s="485"/>
      <c r="M633" s="485"/>
      <c r="N633" s="482">
        <f t="shared" si="32"/>
        <v>1035.9333825216008</v>
      </c>
    </row>
    <row r="634" spans="1:14">
      <c r="A634" s="470">
        <f t="shared" si="33"/>
        <v>2060</v>
      </c>
      <c r="B634" s="470">
        <f t="shared" si="34"/>
        <v>5</v>
      </c>
      <c r="C634" s="482">
        <v>226.59267275589957</v>
      </c>
      <c r="D634" s="482">
        <v>0</v>
      </c>
      <c r="E634" s="482">
        <v>900.47879880080814</v>
      </c>
      <c r="F634" s="482">
        <v>0</v>
      </c>
      <c r="G634" s="485"/>
      <c r="H634" s="485"/>
      <c r="I634" s="485"/>
      <c r="J634" s="485"/>
      <c r="K634" s="485"/>
      <c r="L634" s="485"/>
      <c r="M634" s="485"/>
      <c r="N634" s="482">
        <f t="shared" si="32"/>
        <v>1127.0714715567078</v>
      </c>
    </row>
    <row r="635" spans="1:14">
      <c r="A635" s="470">
        <f t="shared" si="33"/>
        <v>2060</v>
      </c>
      <c r="B635" s="470">
        <f t="shared" si="34"/>
        <v>6</v>
      </c>
      <c r="C635" s="482">
        <v>231.76447135322965</v>
      </c>
      <c r="D635" s="482">
        <v>0</v>
      </c>
      <c r="E635" s="482">
        <v>903.28325059979329</v>
      </c>
      <c r="F635" s="482">
        <v>0</v>
      </c>
      <c r="G635" s="485"/>
      <c r="H635" s="485"/>
      <c r="I635" s="485"/>
      <c r="J635" s="485"/>
      <c r="K635" s="485"/>
      <c r="L635" s="485"/>
      <c r="M635" s="485"/>
      <c r="N635" s="482">
        <f t="shared" si="32"/>
        <v>1135.047721953023</v>
      </c>
    </row>
    <row r="636" spans="1:14">
      <c r="A636" s="470">
        <f t="shared" si="33"/>
        <v>2060</v>
      </c>
      <c r="B636" s="470">
        <f t="shared" si="34"/>
        <v>7</v>
      </c>
      <c r="C636" s="482">
        <v>244.90765374010266</v>
      </c>
      <c r="D636" s="482">
        <v>0</v>
      </c>
      <c r="E636" s="482">
        <v>999.09051062016999</v>
      </c>
      <c r="F636" s="482">
        <v>0</v>
      </c>
      <c r="G636" s="485"/>
      <c r="H636" s="485"/>
      <c r="I636" s="485"/>
      <c r="J636" s="485"/>
      <c r="K636" s="485"/>
      <c r="L636" s="485"/>
      <c r="M636" s="485"/>
      <c r="N636" s="482">
        <f t="shared" si="32"/>
        <v>1243.9981643602728</v>
      </c>
    </row>
    <row r="637" spans="1:14">
      <c r="A637" s="470">
        <f t="shared" si="33"/>
        <v>2060</v>
      </c>
      <c r="B637" s="470">
        <f t="shared" si="34"/>
        <v>8</v>
      </c>
      <c r="C637" s="482">
        <v>242.52388804465673</v>
      </c>
      <c r="D637" s="482">
        <v>0</v>
      </c>
      <c r="E637" s="482">
        <v>1016.0450596318959</v>
      </c>
      <c r="F637" s="482">
        <v>0</v>
      </c>
      <c r="G637" s="485"/>
      <c r="H637" s="485"/>
      <c r="I637" s="485"/>
      <c r="J637" s="485"/>
      <c r="K637" s="485"/>
      <c r="L637" s="485"/>
      <c r="M637" s="485"/>
      <c r="N637" s="482">
        <f t="shared" si="32"/>
        <v>1258.5689476765526</v>
      </c>
    </row>
    <row r="638" spans="1:14">
      <c r="A638" s="470">
        <f t="shared" si="33"/>
        <v>2060</v>
      </c>
      <c r="B638" s="470">
        <f t="shared" si="34"/>
        <v>9</v>
      </c>
      <c r="C638" s="482">
        <v>228.89654986280541</v>
      </c>
      <c r="D638" s="482">
        <v>0</v>
      </c>
      <c r="E638" s="482">
        <v>971.62407282267304</v>
      </c>
      <c r="F638" s="482">
        <v>0</v>
      </c>
      <c r="G638" s="485"/>
      <c r="H638" s="485"/>
      <c r="I638" s="485"/>
      <c r="J638" s="485"/>
      <c r="K638" s="485"/>
      <c r="L638" s="485"/>
      <c r="M638" s="485"/>
      <c r="N638" s="482">
        <f t="shared" si="32"/>
        <v>1200.5206226854784</v>
      </c>
    </row>
    <row r="639" spans="1:14">
      <c r="A639" s="470">
        <f t="shared" si="33"/>
        <v>2060</v>
      </c>
      <c r="B639" s="470">
        <f t="shared" si="34"/>
        <v>10</v>
      </c>
      <c r="C639" s="482">
        <v>206.7924056233031</v>
      </c>
      <c r="D639" s="482">
        <v>0</v>
      </c>
      <c r="E639" s="482">
        <v>825.86478541000292</v>
      </c>
      <c r="F639" s="482">
        <v>0</v>
      </c>
      <c r="G639" s="485"/>
      <c r="H639" s="485"/>
      <c r="I639" s="485"/>
      <c r="J639" s="485"/>
      <c r="K639" s="485"/>
      <c r="L639" s="485"/>
      <c r="M639" s="485"/>
      <c r="N639" s="482">
        <f t="shared" si="32"/>
        <v>1032.6571910333059</v>
      </c>
    </row>
    <row r="640" spans="1:14">
      <c r="A640" s="470">
        <f t="shared" si="33"/>
        <v>2060</v>
      </c>
      <c r="B640" s="470">
        <f t="shared" si="34"/>
        <v>11</v>
      </c>
      <c r="C640" s="482">
        <v>184.75697532564462</v>
      </c>
      <c r="D640" s="482">
        <v>0</v>
      </c>
      <c r="E640" s="482">
        <v>639.82649418776521</v>
      </c>
      <c r="F640" s="482">
        <v>0</v>
      </c>
      <c r="G640" s="485"/>
      <c r="H640" s="485"/>
      <c r="I640" s="485"/>
      <c r="J640" s="485"/>
      <c r="K640" s="485"/>
      <c r="L640" s="485"/>
      <c r="M640" s="485"/>
      <c r="N640" s="482">
        <f t="shared" si="32"/>
        <v>824.5834695134098</v>
      </c>
    </row>
    <row r="641" spans="1:14">
      <c r="A641" s="470">
        <f t="shared" si="33"/>
        <v>2060</v>
      </c>
      <c r="B641" s="470">
        <f t="shared" si="34"/>
        <v>12</v>
      </c>
      <c r="C641" s="482">
        <v>191.76194393518566</v>
      </c>
      <c r="D641" s="482">
        <v>0</v>
      </c>
      <c r="E641" s="482">
        <v>624.92854053828376</v>
      </c>
      <c r="F641" s="482">
        <v>0</v>
      </c>
      <c r="G641" s="485"/>
      <c r="H641" s="485"/>
      <c r="I641" s="485"/>
      <c r="J641" s="485"/>
      <c r="K641" s="485"/>
      <c r="L641" s="485"/>
      <c r="M641" s="485"/>
      <c r="N641" s="482">
        <f t="shared" si="32"/>
        <v>816.69048447346938</v>
      </c>
    </row>
    <row r="642" spans="1:14">
      <c r="A642" s="470">
        <f t="shared" si="33"/>
        <v>2061</v>
      </c>
      <c r="B642" s="470">
        <f t="shared" si="34"/>
        <v>1</v>
      </c>
      <c r="C642" s="482">
        <v>191.99750016525579</v>
      </c>
      <c r="D642" s="482">
        <v>0</v>
      </c>
      <c r="E642" s="482">
        <v>785.91500319723832</v>
      </c>
      <c r="F642" s="482">
        <v>0</v>
      </c>
      <c r="G642" s="485"/>
      <c r="H642" s="485"/>
      <c r="I642" s="485"/>
      <c r="J642" s="485"/>
      <c r="K642" s="485"/>
      <c r="L642" s="485"/>
      <c r="M642" s="485"/>
      <c r="N642" s="482">
        <f t="shared" si="32"/>
        <v>977.91250336249414</v>
      </c>
    </row>
    <row r="643" spans="1:14">
      <c r="A643" s="470">
        <f t="shared" si="33"/>
        <v>2061</v>
      </c>
      <c r="B643" s="470">
        <f t="shared" si="34"/>
        <v>2</v>
      </c>
      <c r="C643" s="482">
        <v>189.90349315254545</v>
      </c>
      <c r="D643" s="482">
        <v>0</v>
      </c>
      <c r="E643" s="482">
        <v>702.91543946042009</v>
      </c>
      <c r="F643" s="482">
        <v>0</v>
      </c>
      <c r="G643" s="485"/>
      <c r="H643" s="485"/>
      <c r="I643" s="485"/>
      <c r="J643" s="485"/>
      <c r="K643" s="485"/>
      <c r="L643" s="485"/>
      <c r="M643" s="485"/>
      <c r="N643" s="482">
        <f t="shared" si="32"/>
        <v>892.81893261296557</v>
      </c>
    </row>
    <row r="644" spans="1:14">
      <c r="A644" s="470">
        <f t="shared" si="33"/>
        <v>2061</v>
      </c>
      <c r="B644" s="470">
        <f t="shared" si="34"/>
        <v>3</v>
      </c>
      <c r="C644" s="482">
        <v>200.97710626996488</v>
      </c>
      <c r="D644" s="482">
        <v>0</v>
      </c>
      <c r="E644" s="482">
        <v>650.24735632324291</v>
      </c>
      <c r="F644" s="482">
        <v>0</v>
      </c>
      <c r="G644" s="485"/>
      <c r="H644" s="485"/>
      <c r="I644" s="485"/>
      <c r="J644" s="485"/>
      <c r="K644" s="485"/>
      <c r="L644" s="485"/>
      <c r="M644" s="485"/>
      <c r="N644" s="482">
        <f t="shared" si="32"/>
        <v>851.22446259320782</v>
      </c>
    </row>
    <row r="645" spans="1:14">
      <c r="A645" s="470">
        <f t="shared" si="33"/>
        <v>2061</v>
      </c>
      <c r="B645" s="470">
        <f t="shared" si="34"/>
        <v>4</v>
      </c>
      <c r="C645" s="482">
        <v>208.90425996925126</v>
      </c>
      <c r="D645" s="482">
        <v>0</v>
      </c>
      <c r="E645" s="482">
        <v>834.21939719196769</v>
      </c>
      <c r="F645" s="482">
        <v>0</v>
      </c>
      <c r="G645" s="485"/>
      <c r="H645" s="485"/>
      <c r="I645" s="485"/>
      <c r="J645" s="485"/>
      <c r="K645" s="485"/>
      <c r="L645" s="485"/>
      <c r="M645" s="485"/>
      <c r="N645" s="482">
        <f t="shared" si="32"/>
        <v>1043.1236571612189</v>
      </c>
    </row>
    <row r="646" spans="1:14">
      <c r="A646" s="470">
        <f t="shared" si="33"/>
        <v>2061</v>
      </c>
      <c r="B646" s="470">
        <f t="shared" si="34"/>
        <v>5</v>
      </c>
      <c r="C646" s="482">
        <v>228.7284508012938</v>
      </c>
      <c r="D646" s="482">
        <v>0</v>
      </c>
      <c r="E646" s="482">
        <v>905.13961634506472</v>
      </c>
      <c r="F646" s="482">
        <v>0</v>
      </c>
      <c r="G646" s="485"/>
      <c r="H646" s="485"/>
      <c r="I646" s="485"/>
      <c r="J646" s="485"/>
      <c r="K646" s="485"/>
      <c r="L646" s="485"/>
      <c r="M646" s="485"/>
      <c r="N646" s="482">
        <f t="shared" si="32"/>
        <v>1133.8680671463585</v>
      </c>
    </row>
    <row r="647" spans="1:14">
      <c r="A647" s="470">
        <f t="shared" si="33"/>
        <v>2061</v>
      </c>
      <c r="B647" s="470">
        <f t="shared" si="34"/>
        <v>6</v>
      </c>
      <c r="C647" s="482">
        <v>233.94899684383051</v>
      </c>
      <c r="D647" s="482">
        <v>0</v>
      </c>
      <c r="E647" s="482">
        <v>906.46431848120392</v>
      </c>
      <c r="F647" s="482">
        <v>0</v>
      </c>
      <c r="G647" s="485"/>
      <c r="H647" s="485"/>
      <c r="I647" s="485"/>
      <c r="J647" s="485"/>
      <c r="K647" s="485"/>
      <c r="L647" s="485"/>
      <c r="M647" s="485"/>
      <c r="N647" s="482">
        <f t="shared" ref="N647:N677" si="35">SUM(C647:M647)</f>
        <v>1140.4133153250345</v>
      </c>
    </row>
    <row r="648" spans="1:14">
      <c r="A648" s="470">
        <f t="shared" si="33"/>
        <v>2061</v>
      </c>
      <c r="B648" s="470">
        <f t="shared" si="34"/>
        <v>7</v>
      </c>
      <c r="C648" s="482">
        <v>247.21651629296363</v>
      </c>
      <c r="D648" s="482">
        <v>0</v>
      </c>
      <c r="E648" s="482">
        <v>1004.7727401711788</v>
      </c>
      <c r="F648" s="482">
        <v>0</v>
      </c>
      <c r="G648" s="485"/>
      <c r="H648" s="485"/>
      <c r="I648" s="485"/>
      <c r="J648" s="485"/>
      <c r="K648" s="485"/>
      <c r="L648" s="485"/>
      <c r="M648" s="485"/>
      <c r="N648" s="482">
        <f t="shared" si="35"/>
        <v>1251.9892564641425</v>
      </c>
    </row>
    <row r="649" spans="1:14">
      <c r="A649" s="470">
        <f t="shared" si="33"/>
        <v>2061</v>
      </c>
      <c r="B649" s="470">
        <f t="shared" si="34"/>
        <v>8</v>
      </c>
      <c r="C649" s="482">
        <v>244.80982778520345</v>
      </c>
      <c r="D649" s="482">
        <v>0</v>
      </c>
      <c r="E649" s="482">
        <v>1021.8502604711474</v>
      </c>
      <c r="F649" s="482">
        <v>0</v>
      </c>
      <c r="G649" s="485"/>
      <c r="H649" s="485"/>
      <c r="I649" s="485"/>
      <c r="J649" s="485"/>
      <c r="K649" s="485"/>
      <c r="L649" s="485"/>
      <c r="M649" s="485"/>
      <c r="N649" s="482">
        <f t="shared" si="35"/>
        <v>1266.6600882563509</v>
      </c>
    </row>
    <row r="650" spans="1:14">
      <c r="A650" s="470">
        <f t="shared" ref="A650:A677" si="36">A638+1</f>
        <v>2061</v>
      </c>
      <c r="B650" s="470">
        <f t="shared" ref="B650:B677" si="37">B638</f>
        <v>9</v>
      </c>
      <c r="C650" s="482">
        <v>231.05404339477914</v>
      </c>
      <c r="D650" s="482">
        <v>0</v>
      </c>
      <c r="E650" s="482">
        <v>977.18882281102015</v>
      </c>
      <c r="F650" s="482">
        <v>0</v>
      </c>
      <c r="G650" s="485"/>
      <c r="H650" s="485"/>
      <c r="I650" s="485"/>
      <c r="J650" s="485"/>
      <c r="K650" s="485"/>
      <c r="L650" s="485"/>
      <c r="M650" s="485"/>
      <c r="N650" s="482">
        <f t="shared" si="35"/>
        <v>1208.2428662057994</v>
      </c>
    </row>
    <row r="651" spans="1:14">
      <c r="A651" s="470">
        <f t="shared" si="36"/>
        <v>2061</v>
      </c>
      <c r="B651" s="470">
        <f t="shared" si="37"/>
        <v>10</v>
      </c>
      <c r="C651" s="482">
        <v>208.74155373349069</v>
      </c>
      <c r="D651" s="482">
        <v>0</v>
      </c>
      <c r="E651" s="482">
        <v>828.68584375882642</v>
      </c>
      <c r="F651" s="482">
        <v>0</v>
      </c>
      <c r="G651" s="485"/>
      <c r="H651" s="485"/>
      <c r="I651" s="485"/>
      <c r="J651" s="485"/>
      <c r="K651" s="485"/>
      <c r="L651" s="485"/>
      <c r="M651" s="485"/>
      <c r="N651" s="482">
        <f t="shared" si="35"/>
        <v>1037.4273974923171</v>
      </c>
    </row>
    <row r="652" spans="1:14">
      <c r="A652" s="470">
        <f t="shared" si="36"/>
        <v>2061</v>
      </c>
      <c r="B652" s="470">
        <f t="shared" si="37"/>
        <v>11</v>
      </c>
      <c r="C652" s="482">
        <v>186.49842568604103</v>
      </c>
      <c r="D652" s="482">
        <v>0</v>
      </c>
      <c r="E652" s="482">
        <v>641.14148901187957</v>
      </c>
      <c r="F652" s="482">
        <v>0</v>
      </c>
      <c r="G652" s="485"/>
      <c r="H652" s="485"/>
      <c r="I652" s="485"/>
      <c r="J652" s="485"/>
      <c r="K652" s="485"/>
      <c r="L652" s="485"/>
      <c r="M652" s="485"/>
      <c r="N652" s="482">
        <f t="shared" si="35"/>
        <v>827.63991469792063</v>
      </c>
    </row>
    <row r="653" spans="1:14">
      <c r="A653" s="470">
        <f t="shared" si="36"/>
        <v>2061</v>
      </c>
      <c r="B653" s="470">
        <f t="shared" si="37"/>
        <v>12</v>
      </c>
      <c r="C653" s="482">
        <v>193.56942051780266</v>
      </c>
      <c r="D653" s="482">
        <v>0</v>
      </c>
      <c r="E653" s="482">
        <v>626.67440304031334</v>
      </c>
      <c r="F653" s="482">
        <v>0</v>
      </c>
      <c r="G653" s="485"/>
      <c r="H653" s="485"/>
      <c r="I653" s="485"/>
      <c r="J653" s="485"/>
      <c r="K653" s="485"/>
      <c r="L653" s="485"/>
      <c r="M653" s="485"/>
      <c r="N653" s="482">
        <f t="shared" si="35"/>
        <v>820.24382355811599</v>
      </c>
    </row>
    <row r="654" spans="1:14">
      <c r="A654" s="470">
        <f t="shared" si="36"/>
        <v>2062</v>
      </c>
      <c r="B654" s="470">
        <f t="shared" si="37"/>
        <v>1</v>
      </c>
      <c r="C654" s="482">
        <v>193.8071970130672</v>
      </c>
      <c r="D654" s="482">
        <v>0</v>
      </c>
      <c r="E654" s="482">
        <v>786.70088697293181</v>
      </c>
      <c r="F654" s="482">
        <v>0</v>
      </c>
      <c r="G654" s="485"/>
      <c r="H654" s="485"/>
      <c r="I654" s="485"/>
      <c r="J654" s="485"/>
      <c r="K654" s="485"/>
      <c r="L654" s="485"/>
      <c r="M654" s="485"/>
      <c r="N654" s="482">
        <f t="shared" si="35"/>
        <v>980.50808398599906</v>
      </c>
    </row>
    <row r="655" spans="1:14">
      <c r="A655" s="470">
        <f t="shared" si="36"/>
        <v>2062</v>
      </c>
      <c r="B655" s="470">
        <f t="shared" si="37"/>
        <v>2</v>
      </c>
      <c r="C655" s="482">
        <v>191.6934526710327</v>
      </c>
      <c r="D655" s="482">
        <v>0</v>
      </c>
      <c r="E655" s="482">
        <v>703.61820365617643</v>
      </c>
      <c r="F655" s="482">
        <v>0</v>
      </c>
      <c r="G655" s="485"/>
      <c r="H655" s="485"/>
      <c r="I655" s="485"/>
      <c r="J655" s="485"/>
      <c r="K655" s="485"/>
      <c r="L655" s="485"/>
      <c r="M655" s="485"/>
      <c r="N655" s="482">
        <f t="shared" si="35"/>
        <v>895.31165632720911</v>
      </c>
    </row>
    <row r="656" spans="1:14">
      <c r="A656" s="470">
        <f t="shared" si="36"/>
        <v>2062</v>
      </c>
      <c r="B656" s="470">
        <f t="shared" si="37"/>
        <v>3</v>
      </c>
      <c r="C656" s="482">
        <v>202.87144153675729</v>
      </c>
      <c r="D656" s="482">
        <v>0</v>
      </c>
      <c r="E656" s="482">
        <v>650.96399822984733</v>
      </c>
      <c r="F656" s="482">
        <v>0</v>
      </c>
      <c r="G656" s="485"/>
      <c r="H656" s="485"/>
      <c r="I656" s="485"/>
      <c r="J656" s="485"/>
      <c r="K656" s="485"/>
      <c r="L656" s="485"/>
      <c r="M656" s="485"/>
      <c r="N656" s="482">
        <f t="shared" si="35"/>
        <v>853.83543976660462</v>
      </c>
    </row>
    <row r="657" spans="1:14">
      <c r="A657" s="470">
        <f t="shared" si="36"/>
        <v>2062</v>
      </c>
      <c r="B657" s="470">
        <f t="shared" si="37"/>
        <v>4</v>
      </c>
      <c r="C657" s="482">
        <v>210.87331363107154</v>
      </c>
      <c r="D657" s="482">
        <v>0</v>
      </c>
      <c r="E657" s="482">
        <v>839.49212162674837</v>
      </c>
      <c r="F657" s="482">
        <v>0</v>
      </c>
      <c r="G657" s="485"/>
      <c r="H657" s="485"/>
      <c r="I657" s="485"/>
      <c r="J657" s="485"/>
      <c r="K657" s="485"/>
      <c r="L657" s="485"/>
      <c r="M657" s="485"/>
      <c r="N657" s="482">
        <f t="shared" si="35"/>
        <v>1050.3654352578199</v>
      </c>
    </row>
    <row r="658" spans="1:14">
      <c r="A658" s="470">
        <f t="shared" si="36"/>
        <v>2062</v>
      </c>
      <c r="B658" s="470">
        <f t="shared" si="37"/>
        <v>5</v>
      </c>
      <c r="C658" s="482">
        <v>230.88435989419153</v>
      </c>
      <c r="D658" s="482">
        <v>0</v>
      </c>
      <c r="E658" s="482">
        <v>909.82455796665636</v>
      </c>
      <c r="F658" s="482">
        <v>0</v>
      </c>
      <c r="G658" s="485"/>
      <c r="H658" s="485"/>
      <c r="I658" s="485"/>
      <c r="J658" s="485"/>
      <c r="K658" s="485"/>
      <c r="L658" s="485"/>
      <c r="M658" s="485"/>
      <c r="N658" s="482">
        <f t="shared" si="35"/>
        <v>1140.7089178608478</v>
      </c>
    </row>
    <row r="659" spans="1:14">
      <c r="A659" s="470">
        <f t="shared" si="36"/>
        <v>2062</v>
      </c>
      <c r="B659" s="470">
        <f t="shared" si="37"/>
        <v>6</v>
      </c>
      <c r="C659" s="482">
        <v>236.15411285717727</v>
      </c>
      <c r="D659" s="482">
        <v>0</v>
      </c>
      <c r="E659" s="482">
        <v>909.65658904223847</v>
      </c>
      <c r="F659" s="482">
        <v>0</v>
      </c>
      <c r="G659" s="485"/>
      <c r="H659" s="485"/>
      <c r="I659" s="485"/>
      <c r="J659" s="485"/>
      <c r="K659" s="485"/>
      <c r="L659" s="485"/>
      <c r="M659" s="485"/>
      <c r="N659" s="482">
        <f t="shared" si="35"/>
        <v>1145.8107018994158</v>
      </c>
    </row>
    <row r="660" spans="1:14">
      <c r="A660" s="470">
        <f t="shared" si="36"/>
        <v>2062</v>
      </c>
      <c r="B660" s="470">
        <f t="shared" si="37"/>
        <v>7</v>
      </c>
      <c r="C660" s="482">
        <v>249.54714560650601</v>
      </c>
      <c r="D660" s="482">
        <v>0</v>
      </c>
      <c r="E660" s="482">
        <v>1010.4872868469398</v>
      </c>
      <c r="F660" s="482">
        <v>0</v>
      </c>
      <c r="G660" s="485"/>
      <c r="H660" s="485"/>
      <c r="I660" s="485"/>
      <c r="J660" s="485"/>
      <c r="K660" s="485"/>
      <c r="L660" s="485"/>
      <c r="M660" s="485"/>
      <c r="N660" s="482">
        <f t="shared" si="35"/>
        <v>1260.0344324534458</v>
      </c>
    </row>
    <row r="661" spans="1:14">
      <c r="A661" s="470">
        <f t="shared" si="36"/>
        <v>2062</v>
      </c>
      <c r="B661" s="470">
        <f t="shared" si="37"/>
        <v>8</v>
      </c>
      <c r="C661" s="482">
        <v>247.11731394140244</v>
      </c>
      <c r="D661" s="482">
        <v>0</v>
      </c>
      <c r="E661" s="482">
        <v>1027.6886294818935</v>
      </c>
      <c r="F661" s="482">
        <v>0</v>
      </c>
      <c r="G661" s="485"/>
      <c r="H661" s="485"/>
      <c r="I661" s="485"/>
      <c r="J661" s="485"/>
      <c r="K661" s="485"/>
      <c r="L661" s="485"/>
      <c r="M661" s="485"/>
      <c r="N661" s="482">
        <f t="shared" si="35"/>
        <v>1274.805943423296</v>
      </c>
    </row>
    <row r="662" spans="1:14">
      <c r="A662" s="470">
        <f t="shared" si="36"/>
        <v>2062</v>
      </c>
      <c r="B662" s="470">
        <f t="shared" si="37"/>
        <v>9</v>
      </c>
      <c r="C662" s="482">
        <v>233.23187265633595</v>
      </c>
      <c r="D662" s="482">
        <v>0</v>
      </c>
      <c r="E662" s="482">
        <v>982.78544360547323</v>
      </c>
      <c r="F662" s="482">
        <v>0</v>
      </c>
      <c r="G662" s="485"/>
      <c r="H662" s="485"/>
      <c r="I662" s="485"/>
      <c r="J662" s="485"/>
      <c r="K662" s="485"/>
      <c r="L662" s="485"/>
      <c r="M662" s="485"/>
      <c r="N662" s="482">
        <f t="shared" si="35"/>
        <v>1216.0173162618091</v>
      </c>
    </row>
    <row r="663" spans="1:14">
      <c r="A663" s="470">
        <f t="shared" si="36"/>
        <v>2062</v>
      </c>
      <c r="B663" s="470">
        <f t="shared" si="37"/>
        <v>10</v>
      </c>
      <c r="C663" s="482">
        <v>210.70907378699988</v>
      </c>
      <c r="D663" s="482">
        <v>0</v>
      </c>
      <c r="E663" s="482">
        <v>831.51653851587082</v>
      </c>
      <c r="F663" s="482">
        <v>0</v>
      </c>
      <c r="G663" s="485"/>
      <c r="H663" s="485"/>
      <c r="I663" s="485"/>
      <c r="J663" s="485"/>
      <c r="K663" s="485"/>
      <c r="L663" s="485"/>
      <c r="M663" s="485"/>
      <c r="N663" s="482">
        <f t="shared" si="35"/>
        <v>1042.2256123028708</v>
      </c>
    </row>
    <row r="664" spans="1:14">
      <c r="A664" s="470">
        <f t="shared" si="36"/>
        <v>2062</v>
      </c>
      <c r="B664" s="470">
        <f t="shared" si="37"/>
        <v>11</v>
      </c>
      <c r="C664" s="482">
        <v>188.2562903082123</v>
      </c>
      <c r="D664" s="482">
        <v>0</v>
      </c>
      <c r="E664" s="482">
        <v>642.45918646147629</v>
      </c>
      <c r="F664" s="482">
        <v>0</v>
      </c>
      <c r="G664" s="485"/>
      <c r="H664" s="485"/>
      <c r="I664" s="485"/>
      <c r="J664" s="485"/>
      <c r="K664" s="485"/>
      <c r="L664" s="485"/>
      <c r="M664" s="485"/>
      <c r="N664" s="482">
        <f t="shared" si="35"/>
        <v>830.71547676968862</v>
      </c>
    </row>
    <row r="665" spans="1:14">
      <c r="A665" s="470">
        <f t="shared" si="36"/>
        <v>2062</v>
      </c>
      <c r="B665" s="470">
        <f t="shared" si="37"/>
        <v>12</v>
      </c>
      <c r="C665" s="482">
        <v>195.39393370074643</v>
      </c>
      <c r="D665" s="482">
        <v>0</v>
      </c>
      <c r="E665" s="482">
        <v>628.42514295740443</v>
      </c>
      <c r="F665" s="482">
        <v>0</v>
      </c>
      <c r="G665" s="485"/>
      <c r="H665" s="485"/>
      <c r="I665" s="485"/>
      <c r="J665" s="485"/>
      <c r="K665" s="485"/>
      <c r="L665" s="485"/>
      <c r="M665" s="485"/>
      <c r="N665" s="482">
        <f t="shared" si="35"/>
        <v>823.81907665815083</v>
      </c>
    </row>
    <row r="666" spans="1:14">
      <c r="A666" s="470">
        <f t="shared" si="36"/>
        <v>2063</v>
      </c>
      <c r="B666" s="470">
        <f t="shared" si="37"/>
        <v>1</v>
      </c>
      <c r="C666" s="482">
        <v>195.63395138859724</v>
      </c>
      <c r="D666" s="482">
        <v>0</v>
      </c>
      <c r="E666" s="482">
        <v>787.48755660117467</v>
      </c>
      <c r="F666" s="482">
        <v>0</v>
      </c>
      <c r="G666" s="485"/>
      <c r="H666" s="485"/>
      <c r="I666" s="485"/>
      <c r="J666" s="485"/>
      <c r="K666" s="485"/>
      <c r="L666" s="485"/>
      <c r="M666" s="485"/>
      <c r="N666" s="482">
        <f t="shared" si="35"/>
        <v>983.12150798977189</v>
      </c>
    </row>
    <row r="667" spans="1:14">
      <c r="A667" s="470">
        <f t="shared" si="36"/>
        <v>2063</v>
      </c>
      <c r="B667" s="470">
        <f t="shared" si="37"/>
        <v>2</v>
      </c>
      <c r="C667" s="482">
        <v>193.50028368053168</v>
      </c>
      <c r="D667" s="482">
        <v>0</v>
      </c>
      <c r="E667" s="482">
        <v>704.32167046491747</v>
      </c>
      <c r="F667" s="482">
        <v>0</v>
      </c>
      <c r="G667" s="485"/>
      <c r="H667" s="485"/>
      <c r="I667" s="485"/>
      <c r="J667" s="485"/>
      <c r="K667" s="485"/>
      <c r="L667" s="485"/>
      <c r="M667" s="485"/>
      <c r="N667" s="482">
        <f t="shared" si="35"/>
        <v>897.82195414544913</v>
      </c>
    </row>
    <row r="668" spans="1:14">
      <c r="A668" s="470">
        <f t="shared" si="36"/>
        <v>2063</v>
      </c>
      <c r="B668" s="470">
        <f t="shared" si="37"/>
        <v>3</v>
      </c>
      <c r="C668" s="482">
        <v>204.78363210144713</v>
      </c>
      <c r="D668" s="482">
        <v>0</v>
      </c>
      <c r="E668" s="482">
        <v>651.68142995223081</v>
      </c>
      <c r="F668" s="482">
        <v>0</v>
      </c>
      <c r="G668" s="485"/>
      <c r="H668" s="485"/>
      <c r="I668" s="485"/>
      <c r="J668" s="485"/>
      <c r="K668" s="485"/>
      <c r="L668" s="485"/>
      <c r="M668" s="485"/>
      <c r="N668" s="482">
        <f t="shared" si="35"/>
        <v>856.46506205367791</v>
      </c>
    </row>
    <row r="669" spans="1:14">
      <c r="A669" s="470">
        <f t="shared" si="36"/>
        <v>2063</v>
      </c>
      <c r="B669" s="470">
        <f t="shared" si="37"/>
        <v>4</v>
      </c>
      <c r="C669" s="482">
        <v>212.86092685852105</v>
      </c>
      <c r="D669" s="482">
        <v>0</v>
      </c>
      <c r="E669" s="482">
        <v>844.79817257378556</v>
      </c>
      <c r="F669" s="482">
        <v>0</v>
      </c>
      <c r="G669" s="485"/>
      <c r="H669" s="485"/>
      <c r="I669" s="485"/>
      <c r="J669" s="485"/>
      <c r="K669" s="485"/>
      <c r="L669" s="485"/>
      <c r="M669" s="485"/>
      <c r="N669" s="482">
        <f t="shared" si="35"/>
        <v>1057.6590994323067</v>
      </c>
    </row>
    <row r="670" spans="1:14">
      <c r="A670" s="470">
        <f t="shared" si="36"/>
        <v>2063</v>
      </c>
      <c r="B670" s="470">
        <f t="shared" si="37"/>
        <v>5</v>
      </c>
      <c r="C670" s="482">
        <v>233.06058978234037</v>
      </c>
      <c r="D670" s="482">
        <v>0</v>
      </c>
      <c r="E670" s="482">
        <v>914.53374853018067</v>
      </c>
      <c r="F670" s="482">
        <v>0</v>
      </c>
      <c r="G670" s="485"/>
      <c r="H670" s="485"/>
      <c r="I670" s="485"/>
      <c r="J670" s="485"/>
      <c r="K670" s="485"/>
      <c r="L670" s="485"/>
      <c r="M670" s="485"/>
      <c r="N670" s="482">
        <f t="shared" si="35"/>
        <v>1147.5943383125211</v>
      </c>
    </row>
    <row r="671" spans="1:14">
      <c r="A671" s="470">
        <f t="shared" si="36"/>
        <v>2063</v>
      </c>
      <c r="B671" s="470">
        <f t="shared" si="37"/>
        <v>6</v>
      </c>
      <c r="C671" s="482">
        <v>238.38001347185988</v>
      </c>
      <c r="D671" s="482">
        <v>0</v>
      </c>
      <c r="E671" s="482">
        <v>912.86010173506691</v>
      </c>
      <c r="F671" s="482">
        <v>0</v>
      </c>
      <c r="G671" s="485"/>
      <c r="H671" s="485"/>
      <c r="I671" s="485"/>
      <c r="J671" s="485"/>
      <c r="K671" s="485"/>
      <c r="L671" s="485"/>
      <c r="M671" s="485"/>
      <c r="N671" s="482">
        <f t="shared" si="35"/>
        <v>1151.2401152069267</v>
      </c>
    </row>
    <row r="672" spans="1:14">
      <c r="A672" s="470">
        <f t="shared" si="36"/>
        <v>2063</v>
      </c>
      <c r="B672" s="470">
        <f t="shared" si="37"/>
        <v>7</v>
      </c>
      <c r="C672" s="482">
        <v>251.89974688647925</v>
      </c>
      <c r="D672" s="482">
        <v>0</v>
      </c>
      <c r="E672" s="482">
        <v>1016.2343344479387</v>
      </c>
      <c r="F672" s="482">
        <v>0</v>
      </c>
      <c r="G672" s="485"/>
      <c r="H672" s="485"/>
      <c r="I672" s="485"/>
      <c r="J672" s="485"/>
      <c r="K672" s="485"/>
      <c r="L672" s="485"/>
      <c r="M672" s="485"/>
      <c r="N672" s="482">
        <f t="shared" si="35"/>
        <v>1268.1340813344179</v>
      </c>
    </row>
    <row r="673" spans="1:14">
      <c r="A673" s="470">
        <f t="shared" si="36"/>
        <v>2063</v>
      </c>
      <c r="B673" s="470">
        <f t="shared" si="37"/>
        <v>8</v>
      </c>
      <c r="C673" s="482">
        <v>249.44654960173375</v>
      </c>
      <c r="D673" s="482">
        <v>0</v>
      </c>
      <c r="E673" s="482">
        <v>1033.560356171376</v>
      </c>
      <c r="F673" s="482">
        <v>0</v>
      </c>
      <c r="G673" s="485"/>
      <c r="H673" s="485"/>
      <c r="I673" s="485"/>
      <c r="J673" s="485"/>
      <c r="K673" s="485"/>
      <c r="L673" s="485"/>
      <c r="M673" s="485"/>
      <c r="N673" s="482">
        <f t="shared" si="35"/>
        <v>1283.0069057731098</v>
      </c>
    </row>
    <row r="674" spans="1:14">
      <c r="A674" s="470">
        <f t="shared" si="36"/>
        <v>2063</v>
      </c>
      <c r="B674" s="470">
        <f t="shared" si="37"/>
        <v>9</v>
      </c>
      <c r="C674" s="482">
        <v>235.43022932448045</v>
      </c>
      <c r="D674" s="482">
        <v>0</v>
      </c>
      <c r="E674" s="482">
        <v>988.41411773863183</v>
      </c>
      <c r="F674" s="482">
        <v>0</v>
      </c>
      <c r="G674" s="485"/>
      <c r="H674" s="485"/>
      <c r="I674" s="485"/>
      <c r="J674" s="485"/>
      <c r="K674" s="485"/>
      <c r="L674" s="485"/>
      <c r="M674" s="485"/>
      <c r="N674" s="482">
        <f t="shared" si="35"/>
        <v>1223.8443470631123</v>
      </c>
    </row>
    <row r="675" spans="1:14">
      <c r="A675" s="470">
        <f t="shared" si="36"/>
        <v>2063</v>
      </c>
      <c r="B675" s="470">
        <f t="shared" si="37"/>
        <v>10</v>
      </c>
      <c r="C675" s="482">
        <v>212.69513895091819</v>
      </c>
      <c r="D675" s="482">
        <v>0</v>
      </c>
      <c r="E675" s="482">
        <v>834.35690259798923</v>
      </c>
      <c r="F675" s="482">
        <v>0</v>
      </c>
      <c r="G675" s="485"/>
      <c r="H675" s="485"/>
      <c r="I675" s="485"/>
      <c r="J675" s="485"/>
      <c r="K675" s="485"/>
      <c r="L675" s="485"/>
      <c r="M675" s="485"/>
      <c r="N675" s="482">
        <f t="shared" si="35"/>
        <v>1047.0520415489075</v>
      </c>
    </row>
    <row r="676" spans="1:14">
      <c r="A676" s="470">
        <f t="shared" si="36"/>
        <v>2063</v>
      </c>
      <c r="B676" s="470">
        <f t="shared" si="37"/>
        <v>11</v>
      </c>
      <c r="C676" s="482">
        <v>190.03072390686964</v>
      </c>
      <c r="D676" s="482">
        <v>0</v>
      </c>
      <c r="E676" s="482">
        <v>643.77959209109008</v>
      </c>
      <c r="F676" s="482">
        <v>0</v>
      </c>
      <c r="G676" s="485"/>
      <c r="H676" s="485"/>
      <c r="I676" s="485"/>
      <c r="J676" s="485"/>
      <c r="K676" s="485"/>
      <c r="L676" s="485"/>
      <c r="M676" s="485"/>
      <c r="N676" s="482">
        <f t="shared" si="35"/>
        <v>833.81031599795972</v>
      </c>
    </row>
    <row r="677" spans="1:14">
      <c r="A677" s="470">
        <f t="shared" si="36"/>
        <v>2063</v>
      </c>
      <c r="B677" s="470">
        <f t="shared" si="37"/>
        <v>12</v>
      </c>
      <c r="C677" s="482">
        <v>197.23564406465937</v>
      </c>
      <c r="D677" s="482">
        <v>0</v>
      </c>
      <c r="E677" s="482">
        <v>630.1807739155887</v>
      </c>
      <c r="F677" s="482">
        <v>0</v>
      </c>
      <c r="G677" s="485"/>
      <c r="H677" s="485"/>
      <c r="I677" s="485"/>
      <c r="J677" s="485"/>
      <c r="K677" s="485"/>
      <c r="L677" s="485"/>
      <c r="M677" s="485"/>
      <c r="N677" s="482">
        <f t="shared" si="35"/>
        <v>827.41641798024807</v>
      </c>
    </row>
    <row r="678" spans="1:14">
      <c r="E678" s="472"/>
    </row>
    <row r="679" spans="1:14">
      <c r="E679" s="472"/>
    </row>
    <row r="680" spans="1:14">
      <c r="E680" s="472"/>
    </row>
    <row r="681" spans="1:14">
      <c r="E681" s="472"/>
    </row>
    <row r="682" spans="1:14">
      <c r="E682" s="472"/>
    </row>
    <row r="683" spans="1:14">
      <c r="E683" s="472"/>
    </row>
    <row r="684" spans="1:14">
      <c r="E684" s="472"/>
    </row>
    <row r="685" spans="1:14">
      <c r="E685" s="472"/>
    </row>
    <row r="686" spans="1:14">
      <c r="E686" s="472"/>
    </row>
    <row r="687" spans="1:14">
      <c r="E687" s="472"/>
    </row>
    <row r="688" spans="1:14">
      <c r="E688" s="472"/>
    </row>
    <row r="689" spans="5:5">
      <c r="E689" s="472"/>
    </row>
    <row r="690" spans="5:5">
      <c r="E690" s="472"/>
    </row>
    <row r="691" spans="5:5">
      <c r="E691" s="472"/>
    </row>
    <row r="692" spans="5:5">
      <c r="E692" s="472"/>
    </row>
    <row r="693" spans="5:5">
      <c r="E693" s="472"/>
    </row>
    <row r="694" spans="5:5">
      <c r="E694" s="472"/>
    </row>
    <row r="695" spans="5:5">
      <c r="E695" s="472"/>
    </row>
    <row r="696" spans="5:5">
      <c r="E696" s="472"/>
    </row>
    <row r="697" spans="5:5">
      <c r="E697" s="472"/>
    </row>
    <row r="698" spans="5:5">
      <c r="E698" s="472"/>
    </row>
    <row r="699" spans="5:5">
      <c r="E699" s="472"/>
    </row>
    <row r="700" spans="5:5">
      <c r="E700" s="472"/>
    </row>
    <row r="701" spans="5:5">
      <c r="E701" s="472"/>
    </row>
    <row r="702" spans="5:5">
      <c r="E702" s="472"/>
    </row>
    <row r="703" spans="5:5">
      <c r="E703" s="472"/>
    </row>
    <row r="704" spans="5:5">
      <c r="E704" s="472"/>
    </row>
    <row r="705" spans="5:5">
      <c r="E705" s="472"/>
    </row>
    <row r="706" spans="5:5">
      <c r="E706" s="472"/>
    </row>
    <row r="707" spans="5:5">
      <c r="E707" s="472"/>
    </row>
    <row r="708" spans="5:5">
      <c r="E708" s="472"/>
    </row>
    <row r="709" spans="5:5">
      <c r="E709" s="472"/>
    </row>
    <row r="710" spans="5:5">
      <c r="E710" s="472"/>
    </row>
    <row r="711" spans="5:5">
      <c r="E711" s="472"/>
    </row>
    <row r="712" spans="5:5">
      <c r="E712" s="472"/>
    </row>
    <row r="713" spans="5:5">
      <c r="E713" s="472"/>
    </row>
    <row r="714" spans="5:5">
      <c r="E714" s="472"/>
    </row>
    <row r="715" spans="5:5">
      <c r="E715" s="472"/>
    </row>
    <row r="716" spans="5:5">
      <c r="E716" s="472"/>
    </row>
    <row r="717" spans="5:5">
      <c r="E717" s="472"/>
    </row>
    <row r="718" spans="5:5">
      <c r="E718" s="472"/>
    </row>
    <row r="719" spans="5:5">
      <c r="E719" s="472"/>
    </row>
    <row r="720" spans="5:5">
      <c r="E720" s="472"/>
    </row>
    <row r="721" spans="3:5">
      <c r="C721" s="487"/>
      <c r="E721" s="472"/>
    </row>
    <row r="722" spans="3:5">
      <c r="C722" s="487"/>
      <c r="E722" s="472"/>
    </row>
    <row r="723" spans="3:5">
      <c r="C723" s="487"/>
      <c r="E723" s="472"/>
    </row>
    <row r="724" spans="3:5">
      <c r="C724" s="487"/>
    </row>
    <row r="725" spans="3:5">
      <c r="C725" s="487"/>
    </row>
    <row r="726" spans="3:5">
      <c r="C726" s="487"/>
    </row>
    <row r="727" spans="3:5">
      <c r="C727" s="487"/>
    </row>
    <row r="728" spans="3:5">
      <c r="C728" s="487"/>
    </row>
    <row r="729" spans="3:5">
      <c r="C729" s="487"/>
    </row>
    <row r="730" spans="3:5">
      <c r="C730" s="487"/>
    </row>
    <row r="731" spans="3:5">
      <c r="C731" s="487"/>
    </row>
    <row r="732" spans="3:5">
      <c r="C732" s="487"/>
    </row>
    <row r="733" spans="3:5">
      <c r="C733" s="487"/>
    </row>
    <row r="734" spans="3:5">
      <c r="C734" s="487"/>
    </row>
    <row r="735" spans="3:5">
      <c r="C735" s="487"/>
    </row>
    <row r="736" spans="3:5">
      <c r="C736" s="487"/>
    </row>
    <row r="737" spans="3:3">
      <c r="C737" s="487"/>
    </row>
    <row r="738" spans="3:3">
      <c r="C738" s="487"/>
    </row>
    <row r="739" spans="3:3">
      <c r="C739" s="487"/>
    </row>
    <row r="740" spans="3:3">
      <c r="C740" s="487"/>
    </row>
    <row r="741" spans="3:3">
      <c r="C741" s="487"/>
    </row>
    <row r="742" spans="3:3">
      <c r="C742" s="487"/>
    </row>
    <row r="743" spans="3:3">
      <c r="C743" s="487"/>
    </row>
    <row r="744" spans="3:3">
      <c r="C744" s="487"/>
    </row>
    <row r="745" spans="3:3">
      <c r="C745" s="487"/>
    </row>
    <row r="746" spans="3:3">
      <c r="C746" s="487"/>
    </row>
    <row r="747" spans="3:3">
      <c r="C747" s="487"/>
    </row>
    <row r="748" spans="3:3">
      <c r="C748" s="487"/>
    </row>
    <row r="749" spans="3:3">
      <c r="C749" s="487"/>
    </row>
    <row r="750" spans="3:3">
      <c r="C750" s="487"/>
    </row>
    <row r="751" spans="3:3">
      <c r="C751" s="487"/>
    </row>
    <row r="752" spans="3:3">
      <c r="C752" s="487"/>
    </row>
    <row r="753" spans="3:3">
      <c r="C753" s="487"/>
    </row>
    <row r="754" spans="3:3">
      <c r="C754" s="487"/>
    </row>
    <row r="755" spans="3:3">
      <c r="C755" s="487"/>
    </row>
    <row r="756" spans="3:3">
      <c r="C756" s="487"/>
    </row>
    <row r="757" spans="3:3">
      <c r="C757" s="487"/>
    </row>
    <row r="758" spans="3:3">
      <c r="C758" s="487"/>
    </row>
    <row r="759" spans="3:3">
      <c r="C759" s="487"/>
    </row>
    <row r="760" spans="3:3">
      <c r="C760" s="487"/>
    </row>
    <row r="761" spans="3:3">
      <c r="C761" s="487"/>
    </row>
    <row r="762" spans="3:3">
      <c r="C762" s="487"/>
    </row>
    <row r="763" spans="3:3">
      <c r="C763" s="487"/>
    </row>
    <row r="764" spans="3:3">
      <c r="C764" s="487"/>
    </row>
    <row r="765" spans="3:3">
      <c r="C765" s="487"/>
    </row>
    <row r="766" spans="3:3">
      <c r="C766" s="487"/>
    </row>
  </sheetData>
  <mergeCells count="1">
    <mergeCell ref="A4:N4"/>
  </mergeCells>
  <pageMargins left="0.25" right="0.24" top="0.19" bottom="0.2" header="0.17" footer="0.18"/>
  <pageSetup scale="6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Y364"/>
  <sheetViews>
    <sheetView zoomScale="75" zoomScaleNormal="75" workbookViewId="0">
      <selection activeCell="A2" sqref="A1:A2"/>
    </sheetView>
  </sheetViews>
  <sheetFormatPr defaultRowHeight="13.2"/>
  <cols>
    <col min="1" max="1" width="18.5546875" style="253" bestFit="1" customWidth="1"/>
    <col min="2" max="2" width="22.33203125" style="253" customWidth="1"/>
    <col min="3" max="14" width="14.33203125" style="255" bestFit="1" customWidth="1"/>
    <col min="15" max="15" width="17.44140625" style="255" bestFit="1" customWidth="1"/>
    <col min="16" max="16" width="15.6640625" style="255" customWidth="1"/>
    <col min="17" max="17" width="12.33203125" style="255" bestFit="1" customWidth="1"/>
    <col min="18" max="18" width="12.33203125" style="253" bestFit="1" customWidth="1"/>
    <col min="19" max="19" width="9.109375" style="253"/>
    <col min="20" max="20" width="16.33203125" style="255" customWidth="1"/>
    <col min="21" max="21" width="15.44140625" style="255" bestFit="1" customWidth="1"/>
    <col min="22" max="257" width="9.109375" style="253"/>
    <col min="258" max="258" width="22.33203125" style="253" customWidth="1"/>
    <col min="259" max="270" width="14.33203125" style="253" bestFit="1" customWidth="1"/>
    <col min="271" max="271" width="17.44140625" style="253" bestFit="1" customWidth="1"/>
    <col min="272" max="274" width="12.33203125" style="253" bestFit="1" customWidth="1"/>
    <col min="275" max="275" width="9.109375" style="253"/>
    <col min="276" max="276" width="16.33203125" style="253" customWidth="1"/>
    <col min="277" max="277" width="15.44140625" style="253" bestFit="1" customWidth="1"/>
    <col min="278" max="513" width="9.109375" style="253"/>
    <col min="514" max="514" width="22.33203125" style="253" customWidth="1"/>
    <col min="515" max="526" width="14.33203125" style="253" bestFit="1" customWidth="1"/>
    <col min="527" max="527" width="17.44140625" style="253" bestFit="1" customWidth="1"/>
    <col min="528" max="530" width="12.33203125" style="253" bestFit="1" customWidth="1"/>
    <col min="531" max="531" width="9.109375" style="253"/>
    <col min="532" max="532" width="16.33203125" style="253" customWidth="1"/>
    <col min="533" max="533" width="15.44140625" style="253" bestFit="1" customWidth="1"/>
    <col min="534" max="769" width="9.109375" style="253"/>
    <col min="770" max="770" width="22.33203125" style="253" customWidth="1"/>
    <col min="771" max="782" width="14.33203125" style="253" bestFit="1" customWidth="1"/>
    <col min="783" max="783" width="17.44140625" style="253" bestFit="1" customWidth="1"/>
    <col min="784" max="786" width="12.33203125" style="253" bestFit="1" customWidth="1"/>
    <col min="787" max="787" width="9.109375" style="253"/>
    <col min="788" max="788" width="16.33203125" style="253" customWidth="1"/>
    <col min="789" max="789" width="15.44140625" style="253" bestFit="1" customWidth="1"/>
    <col min="790" max="1025" width="9.109375" style="253"/>
    <col min="1026" max="1026" width="22.33203125" style="253" customWidth="1"/>
    <col min="1027" max="1038" width="14.33203125" style="253" bestFit="1" customWidth="1"/>
    <col min="1039" max="1039" width="17.44140625" style="253" bestFit="1" customWidth="1"/>
    <col min="1040" max="1042" width="12.33203125" style="253" bestFit="1" customWidth="1"/>
    <col min="1043" max="1043" width="9.109375" style="253"/>
    <col min="1044" max="1044" width="16.33203125" style="253" customWidth="1"/>
    <col min="1045" max="1045" width="15.44140625" style="253" bestFit="1" customWidth="1"/>
    <col min="1046" max="1281" width="9.109375" style="253"/>
    <col min="1282" max="1282" width="22.33203125" style="253" customWidth="1"/>
    <col min="1283" max="1294" width="14.33203125" style="253" bestFit="1" customWidth="1"/>
    <col min="1295" max="1295" width="17.44140625" style="253" bestFit="1" customWidth="1"/>
    <col min="1296" max="1298" width="12.33203125" style="253" bestFit="1" customWidth="1"/>
    <col min="1299" max="1299" width="9.109375" style="253"/>
    <col min="1300" max="1300" width="16.33203125" style="253" customWidth="1"/>
    <col min="1301" max="1301" width="15.44140625" style="253" bestFit="1" customWidth="1"/>
    <col min="1302" max="1537" width="9.109375" style="253"/>
    <col min="1538" max="1538" width="22.33203125" style="253" customWidth="1"/>
    <col min="1539" max="1550" width="14.33203125" style="253" bestFit="1" customWidth="1"/>
    <col min="1551" max="1551" width="17.44140625" style="253" bestFit="1" customWidth="1"/>
    <col min="1552" max="1554" width="12.33203125" style="253" bestFit="1" customWidth="1"/>
    <col min="1555" max="1555" width="9.109375" style="253"/>
    <col min="1556" max="1556" width="16.33203125" style="253" customWidth="1"/>
    <col min="1557" max="1557" width="15.44140625" style="253" bestFit="1" customWidth="1"/>
    <col min="1558" max="1793" width="9.109375" style="253"/>
    <col min="1794" max="1794" width="22.33203125" style="253" customWidth="1"/>
    <col min="1795" max="1806" width="14.33203125" style="253" bestFit="1" customWidth="1"/>
    <col min="1807" max="1807" width="17.44140625" style="253" bestFit="1" customWidth="1"/>
    <col min="1808" max="1810" width="12.33203125" style="253" bestFit="1" customWidth="1"/>
    <col min="1811" max="1811" width="9.109375" style="253"/>
    <col min="1812" max="1812" width="16.33203125" style="253" customWidth="1"/>
    <col min="1813" max="1813" width="15.44140625" style="253" bestFit="1" customWidth="1"/>
    <col min="1814" max="2049" width="9.109375" style="253"/>
    <col min="2050" max="2050" width="22.33203125" style="253" customWidth="1"/>
    <col min="2051" max="2062" width="14.33203125" style="253" bestFit="1" customWidth="1"/>
    <col min="2063" max="2063" width="17.44140625" style="253" bestFit="1" customWidth="1"/>
    <col min="2064" max="2066" width="12.33203125" style="253" bestFit="1" customWidth="1"/>
    <col min="2067" max="2067" width="9.109375" style="253"/>
    <col min="2068" max="2068" width="16.33203125" style="253" customWidth="1"/>
    <col min="2069" max="2069" width="15.44140625" style="253" bestFit="1" customWidth="1"/>
    <col min="2070" max="2305" width="9.109375" style="253"/>
    <col min="2306" max="2306" width="22.33203125" style="253" customWidth="1"/>
    <col min="2307" max="2318" width="14.33203125" style="253" bestFit="1" customWidth="1"/>
    <col min="2319" max="2319" width="17.44140625" style="253" bestFit="1" customWidth="1"/>
    <col min="2320" max="2322" width="12.33203125" style="253" bestFit="1" customWidth="1"/>
    <col min="2323" max="2323" width="9.109375" style="253"/>
    <col min="2324" max="2324" width="16.33203125" style="253" customWidth="1"/>
    <col min="2325" max="2325" width="15.44140625" style="253" bestFit="1" customWidth="1"/>
    <col min="2326" max="2561" width="9.109375" style="253"/>
    <col min="2562" max="2562" width="22.33203125" style="253" customWidth="1"/>
    <col min="2563" max="2574" width="14.33203125" style="253" bestFit="1" customWidth="1"/>
    <col min="2575" max="2575" width="17.44140625" style="253" bestFit="1" customWidth="1"/>
    <col min="2576" max="2578" width="12.33203125" style="253" bestFit="1" customWidth="1"/>
    <col min="2579" max="2579" width="9.109375" style="253"/>
    <col min="2580" max="2580" width="16.33203125" style="253" customWidth="1"/>
    <col min="2581" max="2581" width="15.44140625" style="253" bestFit="1" customWidth="1"/>
    <col min="2582" max="2817" width="9.109375" style="253"/>
    <col min="2818" max="2818" width="22.33203125" style="253" customWidth="1"/>
    <col min="2819" max="2830" width="14.33203125" style="253" bestFit="1" customWidth="1"/>
    <col min="2831" max="2831" width="17.44140625" style="253" bestFit="1" customWidth="1"/>
    <col min="2832" max="2834" width="12.33203125" style="253" bestFit="1" customWidth="1"/>
    <col min="2835" max="2835" width="9.109375" style="253"/>
    <col min="2836" max="2836" width="16.33203125" style="253" customWidth="1"/>
    <col min="2837" max="2837" width="15.44140625" style="253" bestFit="1" customWidth="1"/>
    <col min="2838" max="3073" width="9.109375" style="253"/>
    <col min="3074" max="3074" width="22.33203125" style="253" customWidth="1"/>
    <col min="3075" max="3086" width="14.33203125" style="253" bestFit="1" customWidth="1"/>
    <col min="3087" max="3087" width="17.44140625" style="253" bestFit="1" customWidth="1"/>
    <col min="3088" max="3090" width="12.33203125" style="253" bestFit="1" customWidth="1"/>
    <col min="3091" max="3091" width="9.109375" style="253"/>
    <col min="3092" max="3092" width="16.33203125" style="253" customWidth="1"/>
    <col min="3093" max="3093" width="15.44140625" style="253" bestFit="1" customWidth="1"/>
    <col min="3094" max="3329" width="9.109375" style="253"/>
    <col min="3330" max="3330" width="22.33203125" style="253" customWidth="1"/>
    <col min="3331" max="3342" width="14.33203125" style="253" bestFit="1" customWidth="1"/>
    <col min="3343" max="3343" width="17.44140625" style="253" bestFit="1" customWidth="1"/>
    <col min="3344" max="3346" width="12.33203125" style="253" bestFit="1" customWidth="1"/>
    <col min="3347" max="3347" width="9.109375" style="253"/>
    <col min="3348" max="3348" width="16.33203125" style="253" customWidth="1"/>
    <col min="3349" max="3349" width="15.44140625" style="253" bestFit="1" customWidth="1"/>
    <col min="3350" max="3585" width="9.109375" style="253"/>
    <col min="3586" max="3586" width="22.33203125" style="253" customWidth="1"/>
    <col min="3587" max="3598" width="14.33203125" style="253" bestFit="1" customWidth="1"/>
    <col min="3599" max="3599" width="17.44140625" style="253" bestFit="1" customWidth="1"/>
    <col min="3600" max="3602" width="12.33203125" style="253" bestFit="1" customWidth="1"/>
    <col min="3603" max="3603" width="9.109375" style="253"/>
    <col min="3604" max="3604" width="16.33203125" style="253" customWidth="1"/>
    <col min="3605" max="3605" width="15.44140625" style="253" bestFit="1" customWidth="1"/>
    <col min="3606" max="3841" width="9.109375" style="253"/>
    <col min="3842" max="3842" width="22.33203125" style="253" customWidth="1"/>
    <col min="3843" max="3854" width="14.33203125" style="253" bestFit="1" customWidth="1"/>
    <col min="3855" max="3855" width="17.44140625" style="253" bestFit="1" customWidth="1"/>
    <col min="3856" max="3858" width="12.33203125" style="253" bestFit="1" customWidth="1"/>
    <col min="3859" max="3859" width="9.109375" style="253"/>
    <col min="3860" max="3860" width="16.33203125" style="253" customWidth="1"/>
    <col min="3861" max="3861" width="15.44140625" style="253" bestFit="1" customWidth="1"/>
    <col min="3862" max="4097" width="9.109375" style="253"/>
    <col min="4098" max="4098" width="22.33203125" style="253" customWidth="1"/>
    <col min="4099" max="4110" width="14.33203125" style="253" bestFit="1" customWidth="1"/>
    <col min="4111" max="4111" width="17.44140625" style="253" bestFit="1" customWidth="1"/>
    <col min="4112" max="4114" width="12.33203125" style="253" bestFit="1" customWidth="1"/>
    <col min="4115" max="4115" width="9.109375" style="253"/>
    <col min="4116" max="4116" width="16.33203125" style="253" customWidth="1"/>
    <col min="4117" max="4117" width="15.44140625" style="253" bestFit="1" customWidth="1"/>
    <col min="4118" max="4353" width="9.109375" style="253"/>
    <col min="4354" max="4354" width="22.33203125" style="253" customWidth="1"/>
    <col min="4355" max="4366" width="14.33203125" style="253" bestFit="1" customWidth="1"/>
    <col min="4367" max="4367" width="17.44140625" style="253" bestFit="1" customWidth="1"/>
    <col min="4368" max="4370" width="12.33203125" style="253" bestFit="1" customWidth="1"/>
    <col min="4371" max="4371" width="9.109375" style="253"/>
    <col min="4372" max="4372" width="16.33203125" style="253" customWidth="1"/>
    <col min="4373" max="4373" width="15.44140625" style="253" bestFit="1" customWidth="1"/>
    <col min="4374" max="4609" width="9.109375" style="253"/>
    <col min="4610" max="4610" width="22.33203125" style="253" customWidth="1"/>
    <col min="4611" max="4622" width="14.33203125" style="253" bestFit="1" customWidth="1"/>
    <col min="4623" max="4623" width="17.44140625" style="253" bestFit="1" customWidth="1"/>
    <col min="4624" max="4626" width="12.33203125" style="253" bestFit="1" customWidth="1"/>
    <col min="4627" max="4627" width="9.109375" style="253"/>
    <col min="4628" max="4628" width="16.33203125" style="253" customWidth="1"/>
    <col min="4629" max="4629" width="15.44140625" style="253" bestFit="1" customWidth="1"/>
    <col min="4630" max="4865" width="9.109375" style="253"/>
    <col min="4866" max="4866" width="22.33203125" style="253" customWidth="1"/>
    <col min="4867" max="4878" width="14.33203125" style="253" bestFit="1" customWidth="1"/>
    <col min="4879" max="4879" width="17.44140625" style="253" bestFit="1" customWidth="1"/>
    <col min="4880" max="4882" width="12.33203125" style="253" bestFit="1" customWidth="1"/>
    <col min="4883" max="4883" width="9.109375" style="253"/>
    <col min="4884" max="4884" width="16.33203125" style="253" customWidth="1"/>
    <col min="4885" max="4885" width="15.44140625" style="253" bestFit="1" customWidth="1"/>
    <col min="4886" max="5121" width="9.109375" style="253"/>
    <col min="5122" max="5122" width="22.33203125" style="253" customWidth="1"/>
    <col min="5123" max="5134" width="14.33203125" style="253" bestFit="1" customWidth="1"/>
    <col min="5135" max="5135" width="17.44140625" style="253" bestFit="1" customWidth="1"/>
    <col min="5136" max="5138" width="12.33203125" style="253" bestFit="1" customWidth="1"/>
    <col min="5139" max="5139" width="9.109375" style="253"/>
    <col min="5140" max="5140" width="16.33203125" style="253" customWidth="1"/>
    <col min="5141" max="5141" width="15.44140625" style="253" bestFit="1" customWidth="1"/>
    <col min="5142" max="5377" width="9.109375" style="253"/>
    <col min="5378" max="5378" width="22.33203125" style="253" customWidth="1"/>
    <col min="5379" max="5390" width="14.33203125" style="253" bestFit="1" customWidth="1"/>
    <col min="5391" max="5391" width="17.44140625" style="253" bestFit="1" customWidth="1"/>
    <col min="5392" max="5394" width="12.33203125" style="253" bestFit="1" customWidth="1"/>
    <col min="5395" max="5395" width="9.109375" style="253"/>
    <col min="5396" max="5396" width="16.33203125" style="253" customWidth="1"/>
    <col min="5397" max="5397" width="15.44140625" style="253" bestFit="1" customWidth="1"/>
    <col min="5398" max="5633" width="9.109375" style="253"/>
    <col min="5634" max="5634" width="22.33203125" style="253" customWidth="1"/>
    <col min="5635" max="5646" width="14.33203125" style="253" bestFit="1" customWidth="1"/>
    <col min="5647" max="5647" width="17.44140625" style="253" bestFit="1" customWidth="1"/>
    <col min="5648" max="5650" width="12.33203125" style="253" bestFit="1" customWidth="1"/>
    <col min="5651" max="5651" width="9.109375" style="253"/>
    <col min="5652" max="5652" width="16.33203125" style="253" customWidth="1"/>
    <col min="5653" max="5653" width="15.44140625" style="253" bestFit="1" customWidth="1"/>
    <col min="5654" max="5889" width="9.109375" style="253"/>
    <col min="5890" max="5890" width="22.33203125" style="253" customWidth="1"/>
    <col min="5891" max="5902" width="14.33203125" style="253" bestFit="1" customWidth="1"/>
    <col min="5903" max="5903" width="17.44140625" style="253" bestFit="1" customWidth="1"/>
    <col min="5904" max="5906" width="12.33203125" style="253" bestFit="1" customWidth="1"/>
    <col min="5907" max="5907" width="9.109375" style="253"/>
    <col min="5908" max="5908" width="16.33203125" style="253" customWidth="1"/>
    <col min="5909" max="5909" width="15.44140625" style="253" bestFit="1" customWidth="1"/>
    <col min="5910" max="6145" width="9.109375" style="253"/>
    <col min="6146" max="6146" width="22.33203125" style="253" customWidth="1"/>
    <col min="6147" max="6158" width="14.33203125" style="253" bestFit="1" customWidth="1"/>
    <col min="6159" max="6159" width="17.44140625" style="253" bestFit="1" customWidth="1"/>
    <col min="6160" max="6162" width="12.33203125" style="253" bestFit="1" customWidth="1"/>
    <col min="6163" max="6163" width="9.109375" style="253"/>
    <col min="6164" max="6164" width="16.33203125" style="253" customWidth="1"/>
    <col min="6165" max="6165" width="15.44140625" style="253" bestFit="1" customWidth="1"/>
    <col min="6166" max="6401" width="9.109375" style="253"/>
    <col min="6402" max="6402" width="22.33203125" style="253" customWidth="1"/>
    <col min="6403" max="6414" width="14.33203125" style="253" bestFit="1" customWidth="1"/>
    <col min="6415" max="6415" width="17.44140625" style="253" bestFit="1" customWidth="1"/>
    <col min="6416" max="6418" width="12.33203125" style="253" bestFit="1" customWidth="1"/>
    <col min="6419" max="6419" width="9.109375" style="253"/>
    <col min="6420" max="6420" width="16.33203125" style="253" customWidth="1"/>
    <col min="6421" max="6421" width="15.44140625" style="253" bestFit="1" customWidth="1"/>
    <col min="6422" max="6657" width="9.109375" style="253"/>
    <col min="6658" max="6658" width="22.33203125" style="253" customWidth="1"/>
    <col min="6659" max="6670" width="14.33203125" style="253" bestFit="1" customWidth="1"/>
    <col min="6671" max="6671" width="17.44140625" style="253" bestFit="1" customWidth="1"/>
    <col min="6672" max="6674" width="12.33203125" style="253" bestFit="1" customWidth="1"/>
    <col min="6675" max="6675" width="9.109375" style="253"/>
    <col min="6676" max="6676" width="16.33203125" style="253" customWidth="1"/>
    <col min="6677" max="6677" width="15.44140625" style="253" bestFit="1" customWidth="1"/>
    <col min="6678" max="6913" width="9.109375" style="253"/>
    <col min="6914" max="6914" width="22.33203125" style="253" customWidth="1"/>
    <col min="6915" max="6926" width="14.33203125" style="253" bestFit="1" customWidth="1"/>
    <col min="6927" max="6927" width="17.44140625" style="253" bestFit="1" customWidth="1"/>
    <col min="6928" max="6930" width="12.33203125" style="253" bestFit="1" customWidth="1"/>
    <col min="6931" max="6931" width="9.109375" style="253"/>
    <col min="6932" max="6932" width="16.33203125" style="253" customWidth="1"/>
    <col min="6933" max="6933" width="15.44140625" style="253" bestFit="1" customWidth="1"/>
    <col min="6934" max="7169" width="9.109375" style="253"/>
    <col min="7170" max="7170" width="22.33203125" style="253" customWidth="1"/>
    <col min="7171" max="7182" width="14.33203125" style="253" bestFit="1" customWidth="1"/>
    <col min="7183" max="7183" width="17.44140625" style="253" bestFit="1" customWidth="1"/>
    <col min="7184" max="7186" width="12.33203125" style="253" bestFit="1" customWidth="1"/>
    <col min="7187" max="7187" width="9.109375" style="253"/>
    <col min="7188" max="7188" width="16.33203125" style="253" customWidth="1"/>
    <col min="7189" max="7189" width="15.44140625" style="253" bestFit="1" customWidth="1"/>
    <col min="7190" max="7425" width="9.109375" style="253"/>
    <col min="7426" max="7426" width="22.33203125" style="253" customWidth="1"/>
    <col min="7427" max="7438" width="14.33203125" style="253" bestFit="1" customWidth="1"/>
    <col min="7439" max="7439" width="17.44140625" style="253" bestFit="1" customWidth="1"/>
    <col min="7440" max="7442" width="12.33203125" style="253" bestFit="1" customWidth="1"/>
    <col min="7443" max="7443" width="9.109375" style="253"/>
    <col min="7444" max="7444" width="16.33203125" style="253" customWidth="1"/>
    <col min="7445" max="7445" width="15.44140625" style="253" bestFit="1" customWidth="1"/>
    <col min="7446" max="7681" width="9.109375" style="253"/>
    <col min="7682" max="7682" width="22.33203125" style="253" customWidth="1"/>
    <col min="7683" max="7694" width="14.33203125" style="253" bestFit="1" customWidth="1"/>
    <col min="7695" max="7695" width="17.44140625" style="253" bestFit="1" customWidth="1"/>
    <col min="7696" max="7698" width="12.33203125" style="253" bestFit="1" customWidth="1"/>
    <col min="7699" max="7699" width="9.109375" style="253"/>
    <col min="7700" max="7700" width="16.33203125" style="253" customWidth="1"/>
    <col min="7701" max="7701" width="15.44140625" style="253" bestFit="1" customWidth="1"/>
    <col min="7702" max="7937" width="9.109375" style="253"/>
    <col min="7938" max="7938" width="22.33203125" style="253" customWidth="1"/>
    <col min="7939" max="7950" width="14.33203125" style="253" bestFit="1" customWidth="1"/>
    <col min="7951" max="7951" width="17.44140625" style="253" bestFit="1" customWidth="1"/>
    <col min="7952" max="7954" width="12.33203125" style="253" bestFit="1" customWidth="1"/>
    <col min="7955" max="7955" width="9.109375" style="253"/>
    <col min="7956" max="7956" width="16.33203125" style="253" customWidth="1"/>
    <col min="7957" max="7957" width="15.44140625" style="253" bestFit="1" customWidth="1"/>
    <col min="7958" max="8193" width="9.109375" style="253"/>
    <col min="8194" max="8194" width="22.33203125" style="253" customWidth="1"/>
    <col min="8195" max="8206" width="14.33203125" style="253" bestFit="1" customWidth="1"/>
    <col min="8207" max="8207" width="17.44140625" style="253" bestFit="1" customWidth="1"/>
    <col min="8208" max="8210" width="12.33203125" style="253" bestFit="1" customWidth="1"/>
    <col min="8211" max="8211" width="9.109375" style="253"/>
    <col min="8212" max="8212" width="16.33203125" style="253" customWidth="1"/>
    <col min="8213" max="8213" width="15.44140625" style="253" bestFit="1" customWidth="1"/>
    <col min="8214" max="8449" width="9.109375" style="253"/>
    <col min="8450" max="8450" width="22.33203125" style="253" customWidth="1"/>
    <col min="8451" max="8462" width="14.33203125" style="253" bestFit="1" customWidth="1"/>
    <col min="8463" max="8463" width="17.44140625" style="253" bestFit="1" customWidth="1"/>
    <col min="8464" max="8466" width="12.33203125" style="253" bestFit="1" customWidth="1"/>
    <col min="8467" max="8467" width="9.109375" style="253"/>
    <col min="8468" max="8468" width="16.33203125" style="253" customWidth="1"/>
    <col min="8469" max="8469" width="15.44140625" style="253" bestFit="1" customWidth="1"/>
    <col min="8470" max="8705" width="9.109375" style="253"/>
    <col min="8706" max="8706" width="22.33203125" style="253" customWidth="1"/>
    <col min="8707" max="8718" width="14.33203125" style="253" bestFit="1" customWidth="1"/>
    <col min="8719" max="8719" width="17.44140625" style="253" bestFit="1" customWidth="1"/>
    <col min="8720" max="8722" width="12.33203125" style="253" bestFit="1" customWidth="1"/>
    <col min="8723" max="8723" width="9.109375" style="253"/>
    <col min="8724" max="8724" width="16.33203125" style="253" customWidth="1"/>
    <col min="8725" max="8725" width="15.44140625" style="253" bestFit="1" customWidth="1"/>
    <col min="8726" max="8961" width="9.109375" style="253"/>
    <col min="8962" max="8962" width="22.33203125" style="253" customWidth="1"/>
    <col min="8963" max="8974" width="14.33203125" style="253" bestFit="1" customWidth="1"/>
    <col min="8975" max="8975" width="17.44140625" style="253" bestFit="1" customWidth="1"/>
    <col min="8976" max="8978" width="12.33203125" style="253" bestFit="1" customWidth="1"/>
    <col min="8979" max="8979" width="9.109375" style="253"/>
    <col min="8980" max="8980" width="16.33203125" style="253" customWidth="1"/>
    <col min="8981" max="8981" width="15.44140625" style="253" bestFit="1" customWidth="1"/>
    <col min="8982" max="9217" width="9.109375" style="253"/>
    <col min="9218" max="9218" width="22.33203125" style="253" customWidth="1"/>
    <col min="9219" max="9230" width="14.33203125" style="253" bestFit="1" customWidth="1"/>
    <col min="9231" max="9231" width="17.44140625" style="253" bestFit="1" customWidth="1"/>
    <col min="9232" max="9234" width="12.33203125" style="253" bestFit="1" customWidth="1"/>
    <col min="9235" max="9235" width="9.109375" style="253"/>
    <col min="9236" max="9236" width="16.33203125" style="253" customWidth="1"/>
    <col min="9237" max="9237" width="15.44140625" style="253" bestFit="1" customWidth="1"/>
    <col min="9238" max="9473" width="9.109375" style="253"/>
    <col min="9474" max="9474" width="22.33203125" style="253" customWidth="1"/>
    <col min="9475" max="9486" width="14.33203125" style="253" bestFit="1" customWidth="1"/>
    <col min="9487" max="9487" width="17.44140625" style="253" bestFit="1" customWidth="1"/>
    <col min="9488" max="9490" width="12.33203125" style="253" bestFit="1" customWidth="1"/>
    <col min="9491" max="9491" width="9.109375" style="253"/>
    <col min="9492" max="9492" width="16.33203125" style="253" customWidth="1"/>
    <col min="9493" max="9493" width="15.44140625" style="253" bestFit="1" customWidth="1"/>
    <col min="9494" max="9729" width="9.109375" style="253"/>
    <col min="9730" max="9730" width="22.33203125" style="253" customWidth="1"/>
    <col min="9731" max="9742" width="14.33203125" style="253" bestFit="1" customWidth="1"/>
    <col min="9743" max="9743" width="17.44140625" style="253" bestFit="1" customWidth="1"/>
    <col min="9744" max="9746" width="12.33203125" style="253" bestFit="1" customWidth="1"/>
    <col min="9747" max="9747" width="9.109375" style="253"/>
    <col min="9748" max="9748" width="16.33203125" style="253" customWidth="1"/>
    <col min="9749" max="9749" width="15.44140625" style="253" bestFit="1" customWidth="1"/>
    <col min="9750" max="9985" width="9.109375" style="253"/>
    <col min="9986" max="9986" width="22.33203125" style="253" customWidth="1"/>
    <col min="9987" max="9998" width="14.33203125" style="253" bestFit="1" customWidth="1"/>
    <col min="9999" max="9999" width="17.44140625" style="253" bestFit="1" customWidth="1"/>
    <col min="10000" max="10002" width="12.33203125" style="253" bestFit="1" customWidth="1"/>
    <col min="10003" max="10003" width="9.109375" style="253"/>
    <col min="10004" max="10004" width="16.33203125" style="253" customWidth="1"/>
    <col min="10005" max="10005" width="15.44140625" style="253" bestFit="1" customWidth="1"/>
    <col min="10006" max="10241" width="9.109375" style="253"/>
    <col min="10242" max="10242" width="22.33203125" style="253" customWidth="1"/>
    <col min="10243" max="10254" width="14.33203125" style="253" bestFit="1" customWidth="1"/>
    <col min="10255" max="10255" width="17.44140625" style="253" bestFit="1" customWidth="1"/>
    <col min="10256" max="10258" width="12.33203125" style="253" bestFit="1" customWidth="1"/>
    <col min="10259" max="10259" width="9.109375" style="253"/>
    <col min="10260" max="10260" width="16.33203125" style="253" customWidth="1"/>
    <col min="10261" max="10261" width="15.44140625" style="253" bestFit="1" customWidth="1"/>
    <col min="10262" max="10497" width="9.109375" style="253"/>
    <col min="10498" max="10498" width="22.33203125" style="253" customWidth="1"/>
    <col min="10499" max="10510" width="14.33203125" style="253" bestFit="1" customWidth="1"/>
    <col min="10511" max="10511" width="17.44140625" style="253" bestFit="1" customWidth="1"/>
    <col min="10512" max="10514" width="12.33203125" style="253" bestFit="1" customWidth="1"/>
    <col min="10515" max="10515" width="9.109375" style="253"/>
    <col min="10516" max="10516" width="16.33203125" style="253" customWidth="1"/>
    <col min="10517" max="10517" width="15.44140625" style="253" bestFit="1" customWidth="1"/>
    <col min="10518" max="10753" width="9.109375" style="253"/>
    <col min="10754" max="10754" width="22.33203125" style="253" customWidth="1"/>
    <col min="10755" max="10766" width="14.33203125" style="253" bestFit="1" customWidth="1"/>
    <col min="10767" max="10767" width="17.44140625" style="253" bestFit="1" customWidth="1"/>
    <col min="10768" max="10770" width="12.33203125" style="253" bestFit="1" customWidth="1"/>
    <col min="10771" max="10771" width="9.109375" style="253"/>
    <col min="10772" max="10772" width="16.33203125" style="253" customWidth="1"/>
    <col min="10773" max="10773" width="15.44140625" style="253" bestFit="1" customWidth="1"/>
    <col min="10774" max="11009" width="9.109375" style="253"/>
    <col min="11010" max="11010" width="22.33203125" style="253" customWidth="1"/>
    <col min="11011" max="11022" width="14.33203125" style="253" bestFit="1" customWidth="1"/>
    <col min="11023" max="11023" width="17.44140625" style="253" bestFit="1" customWidth="1"/>
    <col min="11024" max="11026" width="12.33203125" style="253" bestFit="1" customWidth="1"/>
    <col min="11027" max="11027" width="9.109375" style="253"/>
    <col min="11028" max="11028" width="16.33203125" style="253" customWidth="1"/>
    <col min="11029" max="11029" width="15.44140625" style="253" bestFit="1" customWidth="1"/>
    <col min="11030" max="11265" width="9.109375" style="253"/>
    <col min="11266" max="11266" width="22.33203125" style="253" customWidth="1"/>
    <col min="11267" max="11278" width="14.33203125" style="253" bestFit="1" customWidth="1"/>
    <col min="11279" max="11279" width="17.44140625" style="253" bestFit="1" customWidth="1"/>
    <col min="11280" max="11282" width="12.33203125" style="253" bestFit="1" customWidth="1"/>
    <col min="11283" max="11283" width="9.109375" style="253"/>
    <col min="11284" max="11284" width="16.33203125" style="253" customWidth="1"/>
    <col min="11285" max="11285" width="15.44140625" style="253" bestFit="1" customWidth="1"/>
    <col min="11286" max="11521" width="9.109375" style="253"/>
    <col min="11522" max="11522" width="22.33203125" style="253" customWidth="1"/>
    <col min="11523" max="11534" width="14.33203125" style="253" bestFit="1" customWidth="1"/>
    <col min="11535" max="11535" width="17.44140625" style="253" bestFit="1" customWidth="1"/>
    <col min="11536" max="11538" width="12.33203125" style="253" bestFit="1" customWidth="1"/>
    <col min="11539" max="11539" width="9.109375" style="253"/>
    <col min="11540" max="11540" width="16.33203125" style="253" customWidth="1"/>
    <col min="11541" max="11541" width="15.44140625" style="253" bestFit="1" customWidth="1"/>
    <col min="11542" max="11777" width="9.109375" style="253"/>
    <col min="11778" max="11778" width="22.33203125" style="253" customWidth="1"/>
    <col min="11779" max="11790" width="14.33203125" style="253" bestFit="1" customWidth="1"/>
    <col min="11791" max="11791" width="17.44140625" style="253" bestFit="1" customWidth="1"/>
    <col min="11792" max="11794" width="12.33203125" style="253" bestFit="1" customWidth="1"/>
    <col min="11795" max="11795" width="9.109375" style="253"/>
    <col min="11796" max="11796" width="16.33203125" style="253" customWidth="1"/>
    <col min="11797" max="11797" width="15.44140625" style="253" bestFit="1" customWidth="1"/>
    <col min="11798" max="12033" width="9.109375" style="253"/>
    <col min="12034" max="12034" width="22.33203125" style="253" customWidth="1"/>
    <col min="12035" max="12046" width="14.33203125" style="253" bestFit="1" customWidth="1"/>
    <col min="12047" max="12047" width="17.44140625" style="253" bestFit="1" customWidth="1"/>
    <col min="12048" max="12050" width="12.33203125" style="253" bestFit="1" customWidth="1"/>
    <col min="12051" max="12051" width="9.109375" style="253"/>
    <col min="12052" max="12052" width="16.33203125" style="253" customWidth="1"/>
    <col min="12053" max="12053" width="15.44140625" style="253" bestFit="1" customWidth="1"/>
    <col min="12054" max="12289" width="9.109375" style="253"/>
    <col min="12290" max="12290" width="22.33203125" style="253" customWidth="1"/>
    <col min="12291" max="12302" width="14.33203125" style="253" bestFit="1" customWidth="1"/>
    <col min="12303" max="12303" width="17.44140625" style="253" bestFit="1" customWidth="1"/>
    <col min="12304" max="12306" width="12.33203125" style="253" bestFit="1" customWidth="1"/>
    <col min="12307" max="12307" width="9.109375" style="253"/>
    <col min="12308" max="12308" width="16.33203125" style="253" customWidth="1"/>
    <col min="12309" max="12309" width="15.44140625" style="253" bestFit="1" customWidth="1"/>
    <col min="12310" max="12545" width="9.109375" style="253"/>
    <col min="12546" max="12546" width="22.33203125" style="253" customWidth="1"/>
    <col min="12547" max="12558" width="14.33203125" style="253" bestFit="1" customWidth="1"/>
    <col min="12559" max="12559" width="17.44140625" style="253" bestFit="1" customWidth="1"/>
    <col min="12560" max="12562" width="12.33203125" style="253" bestFit="1" customWidth="1"/>
    <col min="12563" max="12563" width="9.109375" style="253"/>
    <col min="12564" max="12564" width="16.33203125" style="253" customWidth="1"/>
    <col min="12565" max="12565" width="15.44140625" style="253" bestFit="1" customWidth="1"/>
    <col min="12566" max="12801" width="9.109375" style="253"/>
    <col min="12802" max="12802" width="22.33203125" style="253" customWidth="1"/>
    <col min="12803" max="12814" width="14.33203125" style="253" bestFit="1" customWidth="1"/>
    <col min="12815" max="12815" width="17.44140625" style="253" bestFit="1" customWidth="1"/>
    <col min="12816" max="12818" width="12.33203125" style="253" bestFit="1" customWidth="1"/>
    <col min="12819" max="12819" width="9.109375" style="253"/>
    <col min="12820" max="12820" width="16.33203125" style="253" customWidth="1"/>
    <col min="12821" max="12821" width="15.44140625" style="253" bestFit="1" customWidth="1"/>
    <col min="12822" max="13057" width="9.109375" style="253"/>
    <col min="13058" max="13058" width="22.33203125" style="253" customWidth="1"/>
    <col min="13059" max="13070" width="14.33203125" style="253" bestFit="1" customWidth="1"/>
    <col min="13071" max="13071" width="17.44140625" style="253" bestFit="1" customWidth="1"/>
    <col min="13072" max="13074" width="12.33203125" style="253" bestFit="1" customWidth="1"/>
    <col min="13075" max="13075" width="9.109375" style="253"/>
    <col min="13076" max="13076" width="16.33203125" style="253" customWidth="1"/>
    <col min="13077" max="13077" width="15.44140625" style="253" bestFit="1" customWidth="1"/>
    <col min="13078" max="13313" width="9.109375" style="253"/>
    <col min="13314" max="13314" width="22.33203125" style="253" customWidth="1"/>
    <col min="13315" max="13326" width="14.33203125" style="253" bestFit="1" customWidth="1"/>
    <col min="13327" max="13327" width="17.44140625" style="253" bestFit="1" customWidth="1"/>
    <col min="13328" max="13330" width="12.33203125" style="253" bestFit="1" customWidth="1"/>
    <col min="13331" max="13331" width="9.109375" style="253"/>
    <col min="13332" max="13332" width="16.33203125" style="253" customWidth="1"/>
    <col min="13333" max="13333" width="15.44140625" style="253" bestFit="1" customWidth="1"/>
    <col min="13334" max="13569" width="9.109375" style="253"/>
    <col min="13570" max="13570" width="22.33203125" style="253" customWidth="1"/>
    <col min="13571" max="13582" width="14.33203125" style="253" bestFit="1" customWidth="1"/>
    <col min="13583" max="13583" width="17.44140625" style="253" bestFit="1" customWidth="1"/>
    <col min="13584" max="13586" width="12.33203125" style="253" bestFit="1" customWidth="1"/>
    <col min="13587" max="13587" width="9.109375" style="253"/>
    <col min="13588" max="13588" width="16.33203125" style="253" customWidth="1"/>
    <col min="13589" max="13589" width="15.44140625" style="253" bestFit="1" customWidth="1"/>
    <col min="13590" max="13825" width="9.109375" style="253"/>
    <col min="13826" max="13826" width="22.33203125" style="253" customWidth="1"/>
    <col min="13827" max="13838" width="14.33203125" style="253" bestFit="1" customWidth="1"/>
    <col min="13839" max="13839" width="17.44140625" style="253" bestFit="1" customWidth="1"/>
    <col min="13840" max="13842" width="12.33203125" style="253" bestFit="1" customWidth="1"/>
    <col min="13843" max="13843" width="9.109375" style="253"/>
    <col min="13844" max="13844" width="16.33203125" style="253" customWidth="1"/>
    <col min="13845" max="13845" width="15.44140625" style="253" bestFit="1" customWidth="1"/>
    <col min="13846" max="14081" width="9.109375" style="253"/>
    <col min="14082" max="14082" width="22.33203125" style="253" customWidth="1"/>
    <col min="14083" max="14094" width="14.33203125" style="253" bestFit="1" customWidth="1"/>
    <col min="14095" max="14095" width="17.44140625" style="253" bestFit="1" customWidth="1"/>
    <col min="14096" max="14098" width="12.33203125" style="253" bestFit="1" customWidth="1"/>
    <col min="14099" max="14099" width="9.109375" style="253"/>
    <col min="14100" max="14100" width="16.33203125" style="253" customWidth="1"/>
    <col min="14101" max="14101" width="15.44140625" style="253" bestFit="1" customWidth="1"/>
    <col min="14102" max="14337" width="9.109375" style="253"/>
    <col min="14338" max="14338" width="22.33203125" style="253" customWidth="1"/>
    <col min="14339" max="14350" width="14.33203125" style="253" bestFit="1" customWidth="1"/>
    <col min="14351" max="14351" width="17.44140625" style="253" bestFit="1" customWidth="1"/>
    <col min="14352" max="14354" width="12.33203125" style="253" bestFit="1" customWidth="1"/>
    <col min="14355" max="14355" width="9.109375" style="253"/>
    <col min="14356" max="14356" width="16.33203125" style="253" customWidth="1"/>
    <col min="14357" max="14357" width="15.44140625" style="253" bestFit="1" customWidth="1"/>
    <col min="14358" max="14593" width="9.109375" style="253"/>
    <col min="14594" max="14594" width="22.33203125" style="253" customWidth="1"/>
    <col min="14595" max="14606" width="14.33203125" style="253" bestFit="1" customWidth="1"/>
    <col min="14607" max="14607" width="17.44140625" style="253" bestFit="1" customWidth="1"/>
    <col min="14608" max="14610" width="12.33203125" style="253" bestFit="1" customWidth="1"/>
    <col min="14611" max="14611" width="9.109375" style="253"/>
    <col min="14612" max="14612" width="16.33203125" style="253" customWidth="1"/>
    <col min="14613" max="14613" width="15.44140625" style="253" bestFit="1" customWidth="1"/>
    <col min="14614" max="14849" width="9.109375" style="253"/>
    <col min="14850" max="14850" width="22.33203125" style="253" customWidth="1"/>
    <col min="14851" max="14862" width="14.33203125" style="253" bestFit="1" customWidth="1"/>
    <col min="14863" max="14863" width="17.44140625" style="253" bestFit="1" customWidth="1"/>
    <col min="14864" max="14866" width="12.33203125" style="253" bestFit="1" customWidth="1"/>
    <col min="14867" max="14867" width="9.109375" style="253"/>
    <col min="14868" max="14868" width="16.33203125" style="253" customWidth="1"/>
    <col min="14869" max="14869" width="15.44140625" style="253" bestFit="1" customWidth="1"/>
    <col min="14870" max="15105" width="9.109375" style="253"/>
    <col min="15106" max="15106" width="22.33203125" style="253" customWidth="1"/>
    <col min="15107" max="15118" width="14.33203125" style="253" bestFit="1" customWidth="1"/>
    <col min="15119" max="15119" width="17.44140625" style="253" bestFit="1" customWidth="1"/>
    <col min="15120" max="15122" width="12.33203125" style="253" bestFit="1" customWidth="1"/>
    <col min="15123" max="15123" width="9.109375" style="253"/>
    <col min="15124" max="15124" width="16.33203125" style="253" customWidth="1"/>
    <col min="15125" max="15125" width="15.44140625" style="253" bestFit="1" customWidth="1"/>
    <col min="15126" max="15361" width="9.109375" style="253"/>
    <col min="15362" max="15362" width="22.33203125" style="253" customWidth="1"/>
    <col min="15363" max="15374" width="14.33203125" style="253" bestFit="1" customWidth="1"/>
    <col min="15375" max="15375" width="17.44140625" style="253" bestFit="1" customWidth="1"/>
    <col min="15376" max="15378" width="12.33203125" style="253" bestFit="1" customWidth="1"/>
    <col min="15379" max="15379" width="9.109375" style="253"/>
    <col min="15380" max="15380" width="16.33203125" style="253" customWidth="1"/>
    <col min="15381" max="15381" width="15.44140625" style="253" bestFit="1" customWidth="1"/>
    <col min="15382" max="15617" width="9.109375" style="253"/>
    <col min="15618" max="15618" width="22.33203125" style="253" customWidth="1"/>
    <col min="15619" max="15630" width="14.33203125" style="253" bestFit="1" customWidth="1"/>
    <col min="15631" max="15631" width="17.44140625" style="253" bestFit="1" customWidth="1"/>
    <col min="15632" max="15634" width="12.33203125" style="253" bestFit="1" customWidth="1"/>
    <col min="15635" max="15635" width="9.109375" style="253"/>
    <col min="15636" max="15636" width="16.33203125" style="253" customWidth="1"/>
    <col min="15637" max="15637" width="15.44140625" style="253" bestFit="1" customWidth="1"/>
    <col min="15638" max="15873" width="9.109375" style="253"/>
    <col min="15874" max="15874" width="22.33203125" style="253" customWidth="1"/>
    <col min="15875" max="15886" width="14.33203125" style="253" bestFit="1" customWidth="1"/>
    <col min="15887" max="15887" width="17.44140625" style="253" bestFit="1" customWidth="1"/>
    <col min="15888" max="15890" width="12.33203125" style="253" bestFit="1" customWidth="1"/>
    <col min="15891" max="15891" width="9.109375" style="253"/>
    <col min="15892" max="15892" width="16.33203125" style="253" customWidth="1"/>
    <col min="15893" max="15893" width="15.44140625" style="253" bestFit="1" customWidth="1"/>
    <col min="15894" max="16129" width="9.109375" style="253"/>
    <col min="16130" max="16130" width="22.33203125" style="253" customWidth="1"/>
    <col min="16131" max="16142" width="14.33203125" style="253" bestFit="1" customWidth="1"/>
    <col min="16143" max="16143" width="17.44140625" style="253" bestFit="1" customWidth="1"/>
    <col min="16144" max="16146" width="12.33203125" style="253" bestFit="1" customWidth="1"/>
    <col min="16147" max="16147" width="9.109375" style="253"/>
    <col min="16148" max="16148" width="16.33203125" style="253" customWidth="1"/>
    <col min="16149" max="16149" width="15.44140625" style="253" bestFit="1" customWidth="1"/>
    <col min="16150" max="16384" width="9.109375" style="253"/>
  </cols>
  <sheetData>
    <row r="1" spans="1:21" s="164" customFormat="1">
      <c r="A1" s="164" t="s">
        <v>1271</v>
      </c>
      <c r="C1" s="282"/>
      <c r="D1" s="282"/>
      <c r="E1" s="282"/>
      <c r="F1" s="282"/>
      <c r="G1" s="282"/>
      <c r="H1" s="282"/>
      <c r="I1" s="282"/>
      <c r="J1" s="282"/>
      <c r="K1" s="282"/>
      <c r="L1" s="282"/>
      <c r="M1" s="282"/>
      <c r="N1" s="282"/>
      <c r="O1" s="282"/>
      <c r="P1" s="282"/>
      <c r="Q1" s="282"/>
      <c r="T1" s="282"/>
      <c r="U1" s="282"/>
    </row>
    <row r="2" spans="1:21" s="164" customFormat="1">
      <c r="A2" s="164" t="s">
        <v>1267</v>
      </c>
      <c r="C2" s="282"/>
      <c r="D2" s="282"/>
      <c r="E2" s="282"/>
      <c r="F2" s="282"/>
      <c r="G2" s="282"/>
      <c r="H2" s="282"/>
      <c r="I2" s="282"/>
      <c r="J2" s="282"/>
      <c r="K2" s="282"/>
      <c r="L2" s="282"/>
      <c r="M2" s="282"/>
      <c r="N2" s="282"/>
      <c r="O2" s="282"/>
      <c r="P2" s="282"/>
      <c r="Q2" s="282"/>
      <c r="T2" s="282"/>
      <c r="U2" s="282"/>
    </row>
    <row r="3" spans="1:21" s="164" customFormat="1">
      <c r="C3" s="282"/>
      <c r="D3" s="282"/>
      <c r="E3" s="282"/>
      <c r="F3" s="282"/>
      <c r="G3" s="282"/>
      <c r="H3" s="282"/>
      <c r="I3" s="282"/>
      <c r="J3" s="282"/>
      <c r="K3" s="282"/>
      <c r="L3" s="282"/>
      <c r="M3" s="282"/>
      <c r="N3" s="282"/>
      <c r="O3" s="282"/>
      <c r="P3" s="282"/>
      <c r="Q3" s="282"/>
      <c r="T3" s="282"/>
      <c r="U3" s="282"/>
    </row>
    <row r="4" spans="1:21" s="244" customFormat="1" ht="21">
      <c r="B4" s="124" t="s">
        <v>560</v>
      </c>
      <c r="C4" s="165"/>
      <c r="D4" s="165"/>
      <c r="E4" s="165"/>
      <c r="F4" s="165"/>
      <c r="G4" s="165"/>
      <c r="H4" s="165"/>
      <c r="I4" s="165"/>
      <c r="J4" s="165"/>
      <c r="K4" s="165"/>
      <c r="L4" s="165"/>
      <c r="M4" s="165"/>
      <c r="N4" s="165"/>
      <c r="O4" s="165"/>
      <c r="P4" s="165"/>
      <c r="Q4" s="165"/>
      <c r="R4" s="165"/>
      <c r="T4" s="272"/>
      <c r="U4" s="272"/>
    </row>
    <row r="5" spans="1:21" s="244" customFormat="1" ht="21.6" thickBot="1">
      <c r="B5" s="124" t="str">
        <f>MANUAL!$B$11&amp;" - SUBSEQUENT YEAR"</f>
        <v>2018 - SUBSEQUENT YEAR</v>
      </c>
      <c r="C5" s="165"/>
      <c r="D5" s="165"/>
      <c r="E5" s="165"/>
      <c r="F5" s="297"/>
      <c r="G5" s="165"/>
      <c r="H5" s="165"/>
      <c r="I5" s="165"/>
      <c r="J5" s="165"/>
      <c r="K5" s="165"/>
      <c r="L5" s="165"/>
      <c r="M5" s="165"/>
      <c r="N5" s="165"/>
      <c r="O5" s="165"/>
      <c r="P5" s="165"/>
      <c r="Q5" s="165"/>
      <c r="R5" s="165"/>
      <c r="T5" s="272"/>
      <c r="U5" s="272"/>
    </row>
    <row r="6" spans="1:21" s="164" customFormat="1" ht="13.8" thickBot="1">
      <c r="B6" s="245"/>
      <c r="C6" s="273"/>
      <c r="D6" s="273"/>
      <c r="E6" s="273"/>
      <c r="F6" s="273"/>
      <c r="G6" s="273"/>
      <c r="H6" s="273"/>
      <c r="I6" s="273"/>
      <c r="J6" s="273"/>
      <c r="K6" s="273"/>
      <c r="L6" s="273"/>
      <c r="M6" s="273"/>
      <c r="N6" s="273"/>
      <c r="O6" s="274"/>
      <c r="P6" s="274"/>
      <c r="Q6" s="274"/>
      <c r="T6" s="275" t="s">
        <v>567</v>
      </c>
      <c r="U6" s="276"/>
    </row>
    <row r="7" spans="1:21" s="165" customFormat="1" ht="13.8" thickBot="1">
      <c r="B7" s="277" t="s">
        <v>454</v>
      </c>
      <c r="C7" s="100" t="s">
        <v>70</v>
      </c>
      <c r="D7" s="100" t="s">
        <v>71</v>
      </c>
      <c r="E7" s="100" t="s">
        <v>72</v>
      </c>
      <c r="F7" s="103" t="s">
        <v>73</v>
      </c>
      <c r="G7" s="103" t="s">
        <v>74</v>
      </c>
      <c r="H7" s="103" t="s">
        <v>75</v>
      </c>
      <c r="I7" s="103" t="s">
        <v>76</v>
      </c>
      <c r="J7" s="103" t="s">
        <v>77</v>
      </c>
      <c r="K7" s="103" t="s">
        <v>78</v>
      </c>
      <c r="L7" s="103" t="s">
        <v>79</v>
      </c>
      <c r="M7" s="100" t="s">
        <v>80</v>
      </c>
      <c r="N7" s="100" t="s">
        <v>81</v>
      </c>
      <c r="O7" s="278" t="s">
        <v>60</v>
      </c>
      <c r="P7" s="279" t="s">
        <v>133</v>
      </c>
      <c r="Q7" s="279" t="s">
        <v>133</v>
      </c>
      <c r="R7" s="348" t="s">
        <v>568</v>
      </c>
      <c r="T7" s="280" t="s">
        <v>60</v>
      </c>
      <c r="U7" s="281" t="s">
        <v>569</v>
      </c>
    </row>
    <row r="8" spans="1:21" s="165" customFormat="1">
      <c r="B8" s="338"/>
      <c r="C8" s="337">
        <v>2</v>
      </c>
      <c r="D8" s="337">
        <v>3</v>
      </c>
      <c r="E8" s="337">
        <v>4</v>
      </c>
      <c r="F8" s="337">
        <v>5</v>
      </c>
      <c r="G8" s="337">
        <v>6</v>
      </c>
      <c r="H8" s="337">
        <v>7</v>
      </c>
      <c r="I8" s="337">
        <v>8</v>
      </c>
      <c r="J8" s="337">
        <v>9</v>
      </c>
      <c r="K8" s="337">
        <v>10</v>
      </c>
      <c r="L8" s="337">
        <v>11</v>
      </c>
      <c r="M8" s="337">
        <v>12</v>
      </c>
      <c r="N8" s="337">
        <v>13</v>
      </c>
      <c r="O8" s="274"/>
      <c r="P8" s="274"/>
      <c r="Q8" s="274"/>
      <c r="T8" s="339"/>
      <c r="U8" s="340"/>
    </row>
    <row r="9" spans="1:21" s="165" customFormat="1">
      <c r="B9" s="338"/>
      <c r="C9" s="273">
        <v>3</v>
      </c>
      <c r="D9" s="273">
        <v>4</v>
      </c>
      <c r="E9" s="273">
        <v>5</v>
      </c>
      <c r="F9" s="273">
        <v>6</v>
      </c>
      <c r="G9" s="273">
        <v>7</v>
      </c>
      <c r="H9" s="273">
        <v>8</v>
      </c>
      <c r="I9" s="273">
        <v>9</v>
      </c>
      <c r="J9" s="273">
        <v>10</v>
      </c>
      <c r="K9" s="273">
        <v>11</v>
      </c>
      <c r="L9" s="273">
        <v>12</v>
      </c>
      <c r="M9" s="273">
        <v>13</v>
      </c>
      <c r="N9" s="273">
        <v>14</v>
      </c>
      <c r="O9" s="274"/>
      <c r="P9" s="274"/>
      <c r="Q9" s="274"/>
      <c r="T9" s="339"/>
      <c r="U9" s="340"/>
    </row>
    <row r="10" spans="1:21" s="164" customFormat="1">
      <c r="B10" s="245"/>
      <c r="C10" s="273"/>
      <c r="D10" s="273"/>
      <c r="E10" s="273"/>
      <c r="F10" s="273"/>
      <c r="G10" s="273"/>
      <c r="H10" s="273"/>
      <c r="I10" s="273"/>
      <c r="J10" s="273"/>
      <c r="K10" s="273"/>
      <c r="L10" s="273"/>
      <c r="M10" s="273"/>
      <c r="N10" s="273"/>
      <c r="O10" s="274"/>
      <c r="P10" s="274"/>
      <c r="Q10" s="274"/>
      <c r="R10" s="165"/>
      <c r="T10" s="282"/>
      <c r="U10" s="282"/>
    </row>
    <row r="11" spans="1:21" s="251" customFormat="1" ht="15.6">
      <c r="B11" s="250" t="s">
        <v>83</v>
      </c>
      <c r="T11" s="283"/>
      <c r="U11" s="283"/>
    </row>
    <row r="12" spans="1:21">
      <c r="B12" s="252" t="s">
        <v>98</v>
      </c>
      <c r="C12" s="284"/>
      <c r="D12" s="284"/>
      <c r="E12" s="284"/>
      <c r="F12" s="284"/>
      <c r="G12" s="284"/>
      <c r="H12" s="284"/>
      <c r="I12" s="284"/>
      <c r="J12" s="284"/>
      <c r="K12" s="284"/>
      <c r="L12" s="284"/>
      <c r="M12" s="284"/>
      <c r="N12" s="284"/>
      <c r="O12" s="284"/>
      <c r="P12" s="284"/>
      <c r="Q12" s="284"/>
      <c r="R12" s="282"/>
    </row>
    <row r="13" spans="1:21">
      <c r="A13" s="253" t="str">
        <f>B12&amp;" "&amp;B13</f>
        <v>CILC-1D KWH Sales</v>
      </c>
      <c r="B13" s="254" t="s">
        <v>563</v>
      </c>
      <c r="C13" s="284">
        <f>VLOOKUP($B$12&amp;" ",'KWH FCST'!$A$104:$M$120,'2018 SUBSEQUENT'!C$8,FALSE)</f>
        <v>230147593</v>
      </c>
      <c r="D13" s="284">
        <f>VLOOKUP($B$12&amp;" ",'KWH FCST'!$A$104:$M$120,'2018 SUBSEQUENT'!D$8,FALSE)</f>
        <v>211718578</v>
      </c>
      <c r="E13" s="284">
        <f>VLOOKUP($B$12&amp;" ",'KWH FCST'!$A$104:$M$120,'2018 SUBSEQUENT'!E$8,FALSE)</f>
        <v>213057450</v>
      </c>
      <c r="F13" s="284">
        <f>VLOOKUP($B$12&amp;" ",'KWH FCST'!$A$104:$M$120,'2018 SUBSEQUENT'!F$8,FALSE)</f>
        <v>214749441</v>
      </c>
      <c r="G13" s="284">
        <f>VLOOKUP($B$12&amp;" ",'KWH FCST'!$A$104:$M$120,'2018 SUBSEQUENT'!G$8,FALSE)</f>
        <v>221607313</v>
      </c>
      <c r="H13" s="284">
        <f>VLOOKUP($B$12&amp;" ",'KWH FCST'!$A$104:$M$120,'2018 SUBSEQUENT'!H$8,FALSE)</f>
        <v>229312876</v>
      </c>
      <c r="I13" s="284">
        <f>VLOOKUP($B$12&amp;" ",'KWH FCST'!$A$104:$M$120,'2018 SUBSEQUENT'!I$8,FALSE)</f>
        <v>236244446</v>
      </c>
      <c r="J13" s="284">
        <f>VLOOKUP($B$12&amp;" ",'KWH FCST'!$A$104:$M$120,'2018 SUBSEQUENT'!J$8,FALSE)</f>
        <v>234641096</v>
      </c>
      <c r="K13" s="284">
        <f>VLOOKUP($B$12&amp;" ",'KWH FCST'!$A$104:$M$120,'2018 SUBSEQUENT'!K$8,FALSE)</f>
        <v>232382963</v>
      </c>
      <c r="L13" s="284">
        <f>VLOOKUP($B$12&amp;" ",'KWH FCST'!$A$104:$M$120,'2018 SUBSEQUENT'!L$8,FALSE)</f>
        <v>224910929</v>
      </c>
      <c r="M13" s="284">
        <f>VLOOKUP($B$12&amp;" ",'KWH FCST'!$A$104:$M$120,'2018 SUBSEQUENT'!M$8,FALSE)</f>
        <v>214593858</v>
      </c>
      <c r="N13" s="284">
        <f>VLOOKUP($B$12&amp;" ",'KWH FCST'!$A$104:$M$120,'2018 SUBSEQUENT'!N$8,FALSE)</f>
        <v>223591082</v>
      </c>
      <c r="O13" s="284">
        <f>SUM(C13:N13)</f>
        <v>2686957625</v>
      </c>
      <c r="P13" s="284"/>
      <c r="Q13" s="284"/>
      <c r="R13" s="282"/>
      <c r="T13" s="255">
        <f>VLOOKUP(B12,'Sales Forecast'!$B$7:$AO$23,40,FALSE)</f>
        <v>2686957625</v>
      </c>
      <c r="U13" s="255">
        <f>+O13-T13</f>
        <v>0</v>
      </c>
    </row>
    <row r="14" spans="1:21">
      <c r="A14" s="253" t="str">
        <f>B12&amp;" "&amp;B14</f>
        <v>CILC-1D NCP</v>
      </c>
      <c r="B14" s="254" t="s">
        <v>133</v>
      </c>
      <c r="C14" s="284">
        <f>VLOOKUP($B$12&amp;" ",'NCP FCST'!$A$103:$M$119,'2018 SUBSEQUENT'!C$8,FALSE)</f>
        <v>439976.49719360896</v>
      </c>
      <c r="D14" s="284">
        <f>VLOOKUP($B$12&amp;" ",'NCP FCST'!$A$103:$M$119,'2018 SUBSEQUENT'!D$8,FALSE)</f>
        <v>444334.37262267567</v>
      </c>
      <c r="E14" s="284">
        <f>VLOOKUP($B$12&amp;" ",'NCP FCST'!$A$103:$M$119,'2018 SUBSEQUENT'!E$8,FALSE)</f>
        <v>405842.34870388365</v>
      </c>
      <c r="F14" s="284">
        <f>VLOOKUP($B$12&amp;" ",'NCP FCST'!$A$103:$M$119,'2018 SUBSEQUENT'!F$8,FALSE)</f>
        <v>420958.33952216589</v>
      </c>
      <c r="G14" s="284">
        <f>VLOOKUP($B$12&amp;" ",'NCP FCST'!$A$103:$M$119,'2018 SUBSEQUENT'!G$8,FALSE)</f>
        <v>418688.51125754014</v>
      </c>
      <c r="H14" s="284">
        <f>VLOOKUP($B$12&amp;" ",'NCP FCST'!$A$103:$M$119,'2018 SUBSEQUENT'!H$8,FALSE)</f>
        <v>443525.32008949743</v>
      </c>
      <c r="I14" s="284">
        <f>VLOOKUP($B$12&amp;" ",'NCP FCST'!$A$103:$M$119,'2018 SUBSEQUENT'!I$8,FALSE)</f>
        <v>439459.74787267635</v>
      </c>
      <c r="J14" s="284">
        <f>VLOOKUP($B$12&amp;" ",'NCP FCST'!$A$103:$M$119,'2018 SUBSEQUENT'!J$8,FALSE)</f>
        <v>435990.34391469735</v>
      </c>
      <c r="K14" s="284">
        <f>VLOOKUP($B$12&amp;" ",'NCP FCST'!$A$103:$M$119,'2018 SUBSEQUENT'!K$8,FALSE)</f>
        <v>446181.21917275118</v>
      </c>
      <c r="L14" s="284">
        <f>VLOOKUP($B$12&amp;" ",'NCP FCST'!$A$103:$M$119,'2018 SUBSEQUENT'!L$8,FALSE)</f>
        <v>424300.84902003105</v>
      </c>
      <c r="M14" s="284">
        <f>VLOOKUP($B$12&amp;" ",'NCP FCST'!$A$103:$M$119,'2018 SUBSEQUENT'!M$8,FALSE)</f>
        <v>428014.13418541849</v>
      </c>
      <c r="N14" s="284">
        <f>VLOOKUP($B$12&amp;" ",'NCP FCST'!$A$103:$M$119,'2018 SUBSEQUENT'!N$8,FALSE)</f>
        <v>430600.60257030284</v>
      </c>
      <c r="O14" s="284"/>
      <c r="P14" s="284">
        <f>MAX(C14:N14)</f>
        <v>446181.21917275118</v>
      </c>
      <c r="Q14" s="284"/>
      <c r="R14" s="282"/>
      <c r="T14" s="255">
        <f>VLOOKUP($B12&amp;" ",'NCP FCST'!$A$103:$O$119,15,FALSE)</f>
        <v>446181.21917275118</v>
      </c>
      <c r="U14" s="255">
        <f>P14-T14</f>
        <v>0</v>
      </c>
    </row>
    <row r="15" spans="1:21">
      <c r="A15" s="253" t="str">
        <f>B12&amp;" "&amp;B15</f>
        <v>CILC-1D GNCP</v>
      </c>
      <c r="B15" s="254" t="s">
        <v>342</v>
      </c>
      <c r="C15" s="284">
        <f>VLOOKUP($B$12&amp;" ",'GNCP FCST'!$A$102:$M$118,'2018 SUBSEQUENT'!C$8,FALSE)</f>
        <v>364867.76853508234</v>
      </c>
      <c r="D15" s="284">
        <f>VLOOKUP($B$12&amp;" ",'GNCP FCST'!$A$102:$M$118,'2018 SUBSEQUENT'!D$8,FALSE)</f>
        <v>371612.70180661982</v>
      </c>
      <c r="E15" s="284">
        <f>VLOOKUP($B$12&amp;" ",'GNCP FCST'!$A$102:$M$118,'2018 SUBSEQUENT'!E$8,FALSE)</f>
        <v>338024.66493062145</v>
      </c>
      <c r="F15" s="284">
        <f>VLOOKUP($B$12&amp;" ",'GNCP FCST'!$A$102:$M$118,'2018 SUBSEQUENT'!F$8,FALSE)</f>
        <v>357970.56168578489</v>
      </c>
      <c r="G15" s="284">
        <f>VLOOKUP($B$12&amp;" ",'GNCP FCST'!$A$102:$M$118,'2018 SUBSEQUENT'!G$8,FALSE)</f>
        <v>356505.57573414472</v>
      </c>
      <c r="H15" s="284">
        <f>VLOOKUP($B$12&amp;" ",'GNCP FCST'!$A$102:$M$118,'2018 SUBSEQUENT'!H$8,FALSE)</f>
        <v>372146.08755869948</v>
      </c>
      <c r="I15" s="284">
        <f>VLOOKUP($B$12&amp;" ",'GNCP FCST'!$A$102:$M$118,'2018 SUBSEQUENT'!I$8,FALSE)</f>
        <v>366251.3279572592</v>
      </c>
      <c r="J15" s="284">
        <f>VLOOKUP($B$12&amp;" ",'GNCP FCST'!$A$102:$M$118,'2018 SUBSEQUENT'!J$8,FALSE)</f>
        <v>378101.7542149417</v>
      </c>
      <c r="K15" s="284">
        <f>VLOOKUP($B$12&amp;" ",'GNCP FCST'!$A$102:$M$118,'2018 SUBSEQUENT'!K$8,FALSE)</f>
        <v>371362.38490919338</v>
      </c>
      <c r="L15" s="284">
        <f>VLOOKUP($B$12&amp;" ",'GNCP FCST'!$A$102:$M$118,'2018 SUBSEQUENT'!L$8,FALSE)</f>
        <v>353270.37603858131</v>
      </c>
      <c r="M15" s="284">
        <f>VLOOKUP($B$12&amp;" ",'GNCP FCST'!$A$102:$M$118,'2018 SUBSEQUENT'!M$8,FALSE)</f>
        <v>358318.30657937762</v>
      </c>
      <c r="N15" s="284">
        <f>VLOOKUP($B$12&amp;" ",'GNCP FCST'!$A$102:$M$118,'2018 SUBSEQUENT'!N$8,FALSE)</f>
        <v>358874.03234484338</v>
      </c>
      <c r="O15" s="284"/>
      <c r="Q15" s="284">
        <f>MAX(C15:N15)</f>
        <v>378101.7542149417</v>
      </c>
      <c r="R15" s="282"/>
      <c r="T15" s="255">
        <f>VLOOKUP($B12&amp;" ",'GNCP FCST'!$A$102:$O$118,15,FALSE)</f>
        <v>378101.7542149417</v>
      </c>
      <c r="U15" s="255">
        <f>+Q15-T15</f>
        <v>0</v>
      </c>
    </row>
    <row r="16" spans="1:21">
      <c r="A16" s="253" t="str">
        <f>B12&amp;" "&amp;B16</f>
        <v>CILC-1D CP</v>
      </c>
      <c r="B16" s="254" t="s">
        <v>148</v>
      </c>
      <c r="C16" s="284">
        <f>VLOOKUP($B$12&amp;" ",'CP FCST'!$A$102:$M$118,'2018 SUBSEQUENT'!C$8,FALSE)</f>
        <v>353349.64192348311</v>
      </c>
      <c r="D16" s="284">
        <f>VLOOKUP($B$12&amp;" ",'CP FCST'!$A$102:$M$118,'2018 SUBSEQUENT'!D$8,FALSE)</f>
        <v>361802.60855519096</v>
      </c>
      <c r="E16" s="284">
        <f>VLOOKUP($B$12&amp;" ",'CP FCST'!$A$102:$M$118,'2018 SUBSEQUENT'!E$8,FALSE)</f>
        <v>331170.12827320758</v>
      </c>
      <c r="F16" s="284">
        <f>VLOOKUP($B$12&amp;" ",'CP FCST'!$A$102:$M$118,'2018 SUBSEQUENT'!F$8,FALSE)</f>
        <v>357970.56168578489</v>
      </c>
      <c r="G16" s="284">
        <f>VLOOKUP($B$12&amp;" ",'CP FCST'!$A$102:$M$118,'2018 SUBSEQUENT'!G$8,FALSE)</f>
        <v>356505.57573414472</v>
      </c>
      <c r="H16" s="284">
        <f>VLOOKUP($B$12&amp;" ",'CP FCST'!$A$102:$M$118,'2018 SUBSEQUENT'!H$8,FALSE)</f>
        <v>372146.08755869948</v>
      </c>
      <c r="I16" s="284">
        <f>VLOOKUP($B$12&amp;" ",'CP FCST'!$A$102:$M$118,'2018 SUBSEQUENT'!I$8,FALSE)</f>
        <v>366251.3279572592</v>
      </c>
      <c r="J16" s="284">
        <f>VLOOKUP($B$12&amp;" ",'CP FCST'!$A$102:$M$118,'2018 SUBSEQUENT'!J$8,FALSE)</f>
        <v>378101.7542149417</v>
      </c>
      <c r="K16" s="284">
        <f>VLOOKUP($B$12&amp;" ",'CP FCST'!$A$102:$M$118,'2018 SUBSEQUENT'!K$8,FALSE)</f>
        <v>351181.87214276835</v>
      </c>
      <c r="L16" s="284">
        <f>VLOOKUP($B$12&amp;" ",'CP FCST'!$A$102:$M$118,'2018 SUBSEQUENT'!L$8,FALSE)</f>
        <v>342734.72407989472</v>
      </c>
      <c r="M16" s="284">
        <f>VLOOKUP($B$12&amp;" ",'CP FCST'!$A$102:$M$118,'2018 SUBSEQUENT'!M$8,FALSE)</f>
        <v>337864.34817893896</v>
      </c>
      <c r="N16" s="284">
        <f>VLOOKUP($B$12&amp;" ",'CP FCST'!$A$102:$M$118,'2018 SUBSEQUENT'!N$8,FALSE)</f>
        <v>342430.20208395738</v>
      </c>
      <c r="O16" s="284"/>
      <c r="P16" s="284"/>
      <c r="Q16" s="284"/>
      <c r="R16" s="255">
        <f>AVERAGE(C16:N16)</f>
        <v>354292.40269902255</v>
      </c>
      <c r="T16" s="255">
        <f>VLOOKUP($B12&amp;" ",'CP FCST'!$A$102:$O$118,15,FALSE)</f>
        <v>354292.40269902255</v>
      </c>
      <c r="U16" s="255">
        <f>R16-T16</f>
        <v>0</v>
      </c>
    </row>
    <row r="17" spans="1:21">
      <c r="B17" s="254" t="s">
        <v>570</v>
      </c>
      <c r="C17" s="285" t="str">
        <f t="shared" ref="C17:N17" si="0">IF(C16&gt;C15,"ERROR",IF(C15&gt;C14,"ERROR","OK"))</f>
        <v>OK</v>
      </c>
      <c r="D17" s="285" t="str">
        <f t="shared" si="0"/>
        <v>OK</v>
      </c>
      <c r="E17" s="285" t="str">
        <f t="shared" si="0"/>
        <v>OK</v>
      </c>
      <c r="F17" s="285" t="str">
        <f t="shared" si="0"/>
        <v>OK</v>
      </c>
      <c r="G17" s="285" t="str">
        <f t="shared" si="0"/>
        <v>OK</v>
      </c>
      <c r="H17" s="285" t="str">
        <f t="shared" si="0"/>
        <v>OK</v>
      </c>
      <c r="I17" s="285" t="str">
        <f t="shared" si="0"/>
        <v>OK</v>
      </c>
      <c r="J17" s="285" t="str">
        <f t="shared" si="0"/>
        <v>OK</v>
      </c>
      <c r="K17" s="285" t="str">
        <f t="shared" si="0"/>
        <v>OK</v>
      </c>
      <c r="L17" s="285" t="str">
        <f t="shared" si="0"/>
        <v>OK</v>
      </c>
      <c r="M17" s="285" t="str">
        <f t="shared" si="0"/>
        <v>OK</v>
      </c>
      <c r="N17" s="285" t="str">
        <f t="shared" si="0"/>
        <v>OK</v>
      </c>
      <c r="O17" s="284"/>
      <c r="P17" s="284"/>
      <c r="Q17" s="284"/>
      <c r="R17" s="255"/>
    </row>
    <row r="18" spans="1:21">
      <c r="B18" s="259"/>
      <c r="C18" s="284"/>
      <c r="D18" s="284"/>
      <c r="E18" s="284"/>
      <c r="F18" s="284"/>
      <c r="G18" s="284"/>
      <c r="H18" s="284"/>
      <c r="I18" s="284"/>
      <c r="J18" s="284"/>
      <c r="K18" s="284"/>
      <c r="L18" s="284"/>
      <c r="M18" s="284"/>
      <c r="N18" s="284"/>
      <c r="O18" s="284"/>
      <c r="P18" s="284"/>
      <c r="Q18" s="284"/>
      <c r="R18" s="282"/>
    </row>
    <row r="19" spans="1:21">
      <c r="B19" s="252" t="s">
        <v>99</v>
      </c>
      <c r="C19" s="284"/>
      <c r="D19" s="284"/>
      <c r="E19" s="284"/>
      <c r="F19" s="284"/>
      <c r="G19" s="284"/>
      <c r="H19" s="284"/>
      <c r="I19" s="284"/>
      <c r="J19" s="284"/>
      <c r="K19" s="284"/>
      <c r="L19" s="284"/>
      <c r="M19" s="284"/>
      <c r="N19" s="284"/>
      <c r="O19" s="284"/>
      <c r="P19" s="284"/>
      <c r="Q19" s="284"/>
      <c r="R19" s="282"/>
    </row>
    <row r="20" spans="1:21">
      <c r="A20" s="253" t="str">
        <f>B19&amp;" "&amp;B20</f>
        <v>CILC-1G KWH Sales</v>
      </c>
      <c r="B20" s="254" t="s">
        <v>563</v>
      </c>
      <c r="C20" s="284">
        <f>VLOOKUP($B19&amp;" ",'KWH FCST'!$A$104:$M$120,'2018 SUBSEQUENT'!C$8,FALSE)</f>
        <v>8755599</v>
      </c>
      <c r="D20" s="284">
        <f>VLOOKUP($B19&amp;" ",'KWH FCST'!$A$104:$M$120,'2018 SUBSEQUENT'!D$8,FALSE)</f>
        <v>8087536</v>
      </c>
      <c r="E20" s="284">
        <f>VLOOKUP($B19&amp;" ",'KWH FCST'!$A$104:$M$120,'2018 SUBSEQUENT'!E$8,FALSE)</f>
        <v>8039075</v>
      </c>
      <c r="F20" s="284">
        <f>VLOOKUP($B19&amp;" ",'KWH FCST'!$A$104:$M$120,'2018 SUBSEQUENT'!F$8,FALSE)</f>
        <v>8072692</v>
      </c>
      <c r="G20" s="284">
        <f>VLOOKUP($B19&amp;" ",'KWH FCST'!$A$104:$M$120,'2018 SUBSEQUENT'!G$8,FALSE)</f>
        <v>8360935</v>
      </c>
      <c r="H20" s="284">
        <f>VLOOKUP($B19&amp;" ",'KWH FCST'!$A$104:$M$120,'2018 SUBSEQUENT'!H$8,FALSE)</f>
        <v>8568523</v>
      </c>
      <c r="I20" s="284">
        <f>VLOOKUP($B19&amp;" ",'KWH FCST'!$A$104:$M$120,'2018 SUBSEQUENT'!I$8,FALSE)</f>
        <v>8766288</v>
      </c>
      <c r="J20" s="284">
        <f>VLOOKUP($B19&amp;" ",'KWH FCST'!$A$104:$M$120,'2018 SUBSEQUENT'!J$8,FALSE)</f>
        <v>8786960</v>
      </c>
      <c r="K20" s="284">
        <f>VLOOKUP($B19&amp;" ",'KWH FCST'!$A$104:$M$120,'2018 SUBSEQUENT'!K$8,FALSE)</f>
        <v>8748441</v>
      </c>
      <c r="L20" s="284">
        <f>VLOOKUP($B19&amp;" ",'KWH FCST'!$A$104:$M$120,'2018 SUBSEQUENT'!L$8,FALSE)</f>
        <v>8495696</v>
      </c>
      <c r="M20" s="284">
        <f>VLOOKUP($B19&amp;" ",'KWH FCST'!$A$104:$M$120,'2018 SUBSEQUENT'!M$8,FALSE)</f>
        <v>8190030</v>
      </c>
      <c r="N20" s="284">
        <f>VLOOKUP($B19&amp;" ",'KWH FCST'!$A$104:$M$120,'2018 SUBSEQUENT'!N$8,FALSE)</f>
        <v>8636760</v>
      </c>
      <c r="O20" s="284">
        <f>SUM(C20:N20)</f>
        <v>101508535</v>
      </c>
      <c r="P20" s="284"/>
      <c r="Q20" s="284"/>
      <c r="R20" s="282"/>
      <c r="T20" s="255">
        <f>VLOOKUP(B19,'Sales Forecast'!$B$7:$AO$23,40,FALSE)</f>
        <v>101508535</v>
      </c>
      <c r="U20" s="255">
        <f>+O20-T20</f>
        <v>0</v>
      </c>
    </row>
    <row r="21" spans="1:21">
      <c r="A21" s="253" t="str">
        <f>B19&amp;" "&amp;B21</f>
        <v>CILC-1G NCP</v>
      </c>
      <c r="B21" s="254" t="s">
        <v>133</v>
      </c>
      <c r="C21" s="284">
        <f>VLOOKUP($B19&amp;" ",'NCP FCST'!$A$103:$M$119,'2018 SUBSEQUENT'!C$8,FALSE)</f>
        <v>17213.830583137551</v>
      </c>
      <c r="D21" s="284">
        <f>VLOOKUP($B19&amp;" ",'NCP FCST'!$A$103:$M$119,'2018 SUBSEQUENT'!D$8,FALSE)</f>
        <v>17563.855236879048</v>
      </c>
      <c r="E21" s="284">
        <f>VLOOKUP($B19&amp;" ",'NCP FCST'!$A$103:$M$119,'2018 SUBSEQUENT'!E$8,FALSE)</f>
        <v>15693.132474603843</v>
      </c>
      <c r="F21" s="284">
        <f>VLOOKUP($B19&amp;" ",'NCP FCST'!$A$103:$M$119,'2018 SUBSEQUENT'!F$8,FALSE)</f>
        <v>16247.407313743797</v>
      </c>
      <c r="G21" s="284">
        <f>VLOOKUP($B19&amp;" ",'NCP FCST'!$A$103:$M$119,'2018 SUBSEQUENT'!G$8,FALSE)</f>
        <v>16632.217245948472</v>
      </c>
      <c r="H21" s="284">
        <f>VLOOKUP($B19&amp;" ",'NCP FCST'!$A$103:$M$119,'2018 SUBSEQUENT'!H$8,FALSE)</f>
        <v>17509.081160062131</v>
      </c>
      <c r="I21" s="284">
        <f>VLOOKUP($B19&amp;" ",'NCP FCST'!$A$103:$M$119,'2018 SUBSEQUENT'!I$8,FALSE)</f>
        <v>17191.716453297566</v>
      </c>
      <c r="J21" s="284">
        <f>VLOOKUP($B19&amp;" ",'NCP FCST'!$A$103:$M$119,'2018 SUBSEQUENT'!J$8,FALSE)</f>
        <v>17297.776178609831</v>
      </c>
      <c r="K21" s="284">
        <f>VLOOKUP($B19&amp;" ",'NCP FCST'!$A$103:$M$119,'2018 SUBSEQUENT'!K$8,FALSE)</f>
        <v>17694.411938536574</v>
      </c>
      <c r="L21" s="284">
        <f>VLOOKUP($B19&amp;" ",'NCP FCST'!$A$103:$M$119,'2018 SUBSEQUENT'!L$8,FALSE)</f>
        <v>16654.782503893177</v>
      </c>
      <c r="M21" s="284">
        <f>VLOOKUP($B19&amp;" ",'NCP FCST'!$A$103:$M$119,'2018 SUBSEQUENT'!M$8,FALSE)</f>
        <v>16803.705276804441</v>
      </c>
      <c r="N21" s="284">
        <f>VLOOKUP($B19&amp;" ",'NCP FCST'!$A$103:$M$119,'2018 SUBSEQUENT'!N$8,FALSE)</f>
        <v>17139.835287756217</v>
      </c>
      <c r="O21" s="284"/>
      <c r="P21" s="284">
        <f>MAX(C21:N21)</f>
        <v>17694.411938536574</v>
      </c>
      <c r="Q21" s="284"/>
      <c r="R21" s="282"/>
      <c r="T21" s="255">
        <f>VLOOKUP($B19&amp;" ",'NCP FCST'!$A$103:$O$119,15,FALSE)</f>
        <v>17694.411938536574</v>
      </c>
      <c r="U21" s="255">
        <f>P21-T21</f>
        <v>0</v>
      </c>
    </row>
    <row r="22" spans="1:21">
      <c r="A22" s="253" t="str">
        <f>B19&amp;" "&amp;B22</f>
        <v>CILC-1G GNCP</v>
      </c>
      <c r="B22" s="254" t="s">
        <v>342</v>
      </c>
      <c r="C22" s="284">
        <f>VLOOKUP($B19&amp;" ",'GNCP FCST'!$A$102:$M$118,'2018 SUBSEQUENT'!C$8,FALSE)</f>
        <v>13833.696734357884</v>
      </c>
      <c r="D22" s="284">
        <f>VLOOKUP($B19&amp;" ",'GNCP FCST'!$A$102:$M$118,'2018 SUBSEQUENT'!D$8,FALSE)</f>
        <v>14411.759217036153</v>
      </c>
      <c r="E22" s="284">
        <f>VLOOKUP($B19&amp;" ",'GNCP FCST'!$A$102:$M$118,'2018 SUBSEQUENT'!E$8,FALSE)</f>
        <v>12967.781719779785</v>
      </c>
      <c r="F22" s="284">
        <f>VLOOKUP($B19&amp;" ",'GNCP FCST'!$A$102:$M$118,'2018 SUBSEQUENT'!F$8,FALSE)</f>
        <v>13712.655918622437</v>
      </c>
      <c r="G22" s="284">
        <f>VLOOKUP($B19&amp;" ",'GNCP FCST'!$A$102:$M$118,'2018 SUBSEQUENT'!G$8,FALSE)</f>
        <v>14030.841019289326</v>
      </c>
      <c r="H22" s="284">
        <f>VLOOKUP($B19&amp;" ",'GNCP FCST'!$A$102:$M$118,'2018 SUBSEQUENT'!H$8,FALSE)</f>
        <v>14319.676838183637</v>
      </c>
      <c r="I22" s="284">
        <f>VLOOKUP($B19&amp;" ",'GNCP FCST'!$A$102:$M$118,'2018 SUBSEQUENT'!I$8,FALSE)</f>
        <v>14119.258489668797</v>
      </c>
      <c r="J22" s="284">
        <f>VLOOKUP($B19&amp;" ",'GNCP FCST'!$A$102:$M$118,'2018 SUBSEQUENT'!J$8,FALSE)</f>
        <v>14605.193285210538</v>
      </c>
      <c r="K22" s="284">
        <f>VLOOKUP($B19&amp;" ",'GNCP FCST'!$A$102:$M$118,'2018 SUBSEQUENT'!K$8,FALSE)</f>
        <v>14364.829847272595</v>
      </c>
      <c r="L22" s="284">
        <f>VLOOKUP($B19&amp;" ",'GNCP FCST'!$A$102:$M$118,'2018 SUBSEQUENT'!L$8,FALSE)</f>
        <v>13648.340959544084</v>
      </c>
      <c r="M22" s="284">
        <f>VLOOKUP($B19&amp;" ",'GNCP FCST'!$A$102:$M$118,'2018 SUBSEQUENT'!M$8,FALSE)</f>
        <v>13587.599107278642</v>
      </c>
      <c r="N22" s="284">
        <f>VLOOKUP($B19&amp;" ",'GNCP FCST'!$A$102:$M$118,'2018 SUBSEQUENT'!N$8,FALSE)</f>
        <v>13802.462811454141</v>
      </c>
      <c r="O22" s="284"/>
      <c r="Q22" s="284">
        <f>MAX(C22:N22)</f>
        <v>14605.193285210538</v>
      </c>
      <c r="R22" s="282"/>
      <c r="T22" s="255">
        <f>VLOOKUP($B19&amp;" ",'GNCP FCST'!$A$102:$O$118,15,FALSE)</f>
        <v>14605.193285210538</v>
      </c>
      <c r="U22" s="255">
        <f>+Q22-T22</f>
        <v>0</v>
      </c>
    </row>
    <row r="23" spans="1:21">
      <c r="A23" s="253" t="str">
        <f>B19&amp;" "&amp;B23</f>
        <v>CILC-1G CP</v>
      </c>
      <c r="B23" s="254" t="s">
        <v>148</v>
      </c>
      <c r="C23" s="284">
        <f>VLOOKUP($B19&amp;" ",'CP FCST'!$A$102:$M$118,'2018 SUBSEQUENT'!C$8,FALSE)</f>
        <v>13720.296068439491</v>
      </c>
      <c r="D23" s="284">
        <f>VLOOKUP($B19&amp;" ",'CP FCST'!$A$102:$M$118,'2018 SUBSEQUENT'!D$8,FALSE)</f>
        <v>14060.789784890174</v>
      </c>
      <c r="E23" s="284">
        <f>VLOOKUP($B19&amp;" ",'CP FCST'!$A$102:$M$118,'2018 SUBSEQUENT'!E$8,FALSE)</f>
        <v>12967.781719779785</v>
      </c>
      <c r="F23" s="284">
        <f>VLOOKUP($B19&amp;" ",'CP FCST'!$A$102:$M$118,'2018 SUBSEQUENT'!F$8,FALSE)</f>
        <v>13712.655918622437</v>
      </c>
      <c r="G23" s="284">
        <f>VLOOKUP($B19&amp;" ",'CP FCST'!$A$102:$M$118,'2018 SUBSEQUENT'!G$8,FALSE)</f>
        <v>14030.841019289326</v>
      </c>
      <c r="H23" s="284">
        <f>VLOOKUP($B19&amp;" ",'CP FCST'!$A$102:$M$118,'2018 SUBSEQUENT'!H$8,FALSE)</f>
        <v>14319.676838183637</v>
      </c>
      <c r="I23" s="284">
        <f>VLOOKUP($B19&amp;" ",'CP FCST'!$A$102:$M$118,'2018 SUBSEQUENT'!I$8,FALSE)</f>
        <v>14119.258489668797</v>
      </c>
      <c r="J23" s="284">
        <f>VLOOKUP($B19&amp;" ",'CP FCST'!$A$102:$M$118,'2018 SUBSEQUENT'!J$8,FALSE)</f>
        <v>14605.193285210538</v>
      </c>
      <c r="K23" s="284">
        <f>VLOOKUP($B19&amp;" ",'CP FCST'!$A$102:$M$118,'2018 SUBSEQUENT'!K$8,FALSE)</f>
        <v>13577.49940013334</v>
      </c>
      <c r="L23" s="284">
        <f>VLOOKUP($B19&amp;" ",'CP FCST'!$A$102:$M$118,'2018 SUBSEQUENT'!L$8,FALSE)</f>
        <v>13381.881340895996</v>
      </c>
      <c r="M23" s="284">
        <f>VLOOKUP($B19&amp;" ",'CP FCST'!$A$102:$M$118,'2018 SUBSEQUENT'!M$8,FALSE)</f>
        <v>12740.195131787899</v>
      </c>
      <c r="N23" s="284">
        <f>VLOOKUP($B19&amp;" ",'CP FCST'!$A$102:$M$118,'2018 SUBSEQUENT'!N$8,FALSE)</f>
        <v>13060.274113905869</v>
      </c>
      <c r="O23" s="284"/>
      <c r="P23" s="284"/>
      <c r="Q23" s="284"/>
      <c r="R23" s="255">
        <f>AVERAGE(C23:N23)</f>
        <v>13691.361925900606</v>
      </c>
      <c r="T23" s="255">
        <f>VLOOKUP($B19&amp;" ",'CP FCST'!$A$102:$O$118,15,FALSE)</f>
        <v>13691.361925900606</v>
      </c>
      <c r="U23" s="255">
        <f>R23-T23</f>
        <v>0</v>
      </c>
    </row>
    <row r="24" spans="1:21">
      <c r="B24" s="254" t="s">
        <v>570</v>
      </c>
      <c r="C24" s="285" t="str">
        <f t="shared" ref="C24:N24" si="1">IF(C23&gt;C22,"ERROR",IF(C22&gt;C21,"ERROR","OK"))</f>
        <v>OK</v>
      </c>
      <c r="D24" s="285" t="str">
        <f t="shared" si="1"/>
        <v>OK</v>
      </c>
      <c r="E24" s="285" t="str">
        <f t="shared" si="1"/>
        <v>OK</v>
      </c>
      <c r="F24" s="285" t="str">
        <f t="shared" si="1"/>
        <v>OK</v>
      </c>
      <c r="G24" s="285" t="str">
        <f t="shared" si="1"/>
        <v>OK</v>
      </c>
      <c r="H24" s="285" t="str">
        <f t="shared" si="1"/>
        <v>OK</v>
      </c>
      <c r="I24" s="285" t="str">
        <f t="shared" si="1"/>
        <v>OK</v>
      </c>
      <c r="J24" s="285" t="str">
        <f t="shared" si="1"/>
        <v>OK</v>
      </c>
      <c r="K24" s="285" t="str">
        <f t="shared" si="1"/>
        <v>OK</v>
      </c>
      <c r="L24" s="285" t="str">
        <f t="shared" si="1"/>
        <v>OK</v>
      </c>
      <c r="M24" s="285" t="str">
        <f t="shared" si="1"/>
        <v>OK</v>
      </c>
      <c r="N24" s="285" t="str">
        <f t="shared" si="1"/>
        <v>OK</v>
      </c>
      <c r="O24" s="284"/>
      <c r="P24" s="284"/>
      <c r="Q24" s="284"/>
      <c r="R24" s="255"/>
    </row>
    <row r="25" spans="1:21">
      <c r="B25" s="259"/>
      <c r="C25" s="284"/>
      <c r="D25" s="284"/>
      <c r="E25" s="284"/>
      <c r="F25" s="284"/>
      <c r="G25" s="284"/>
      <c r="H25" s="284"/>
      <c r="I25" s="284"/>
      <c r="J25" s="284"/>
      <c r="K25" s="284"/>
      <c r="L25" s="284"/>
      <c r="M25" s="284"/>
      <c r="N25" s="284"/>
      <c r="O25" s="284"/>
      <c r="P25" s="284"/>
      <c r="Q25" s="284"/>
      <c r="R25" s="282"/>
    </row>
    <row r="26" spans="1:21">
      <c r="B26" s="252" t="s">
        <v>50</v>
      </c>
      <c r="C26" s="284"/>
      <c r="D26" s="284"/>
      <c r="E26" s="284"/>
      <c r="F26" s="284"/>
      <c r="G26" s="284"/>
      <c r="H26" s="284"/>
      <c r="I26" s="284"/>
      <c r="J26" s="284"/>
      <c r="K26" s="284"/>
      <c r="L26" s="284"/>
      <c r="M26" s="284"/>
      <c r="N26" s="284"/>
      <c r="O26" s="284"/>
      <c r="P26" s="284"/>
      <c r="Q26" s="284"/>
      <c r="R26" s="282"/>
    </row>
    <row r="27" spans="1:21">
      <c r="A27" s="253" t="str">
        <f>B26&amp;" "&amp;B27</f>
        <v>CILC-1T KWH Sales</v>
      </c>
      <c r="B27" s="254" t="s">
        <v>563</v>
      </c>
      <c r="C27" s="284">
        <f>VLOOKUP($B26,'KWH FCST'!$A$104:$M$120,'2018 SUBSEQUENT'!C$8,FALSE)</f>
        <v>127991407</v>
      </c>
      <c r="D27" s="284">
        <f>VLOOKUP($B26,'KWH FCST'!$A$104:$M$120,'2018 SUBSEQUENT'!D$8,FALSE)</f>
        <v>119297338</v>
      </c>
      <c r="E27" s="284">
        <f>VLOOKUP($B26,'KWH FCST'!$A$104:$M$120,'2018 SUBSEQUENT'!E$8,FALSE)</f>
        <v>120875493</v>
      </c>
      <c r="F27" s="284">
        <f>VLOOKUP($B26,'KWH FCST'!$A$104:$M$120,'2018 SUBSEQUENT'!F$8,FALSE)</f>
        <v>125583003</v>
      </c>
      <c r="G27" s="284">
        <f>VLOOKUP($B26,'KWH FCST'!$A$104:$M$120,'2018 SUBSEQUENT'!G$8,FALSE)</f>
        <v>124861170</v>
      </c>
      <c r="H27" s="284">
        <f>VLOOKUP($B26,'KWH FCST'!$A$104:$M$120,'2018 SUBSEQUENT'!H$8,FALSE)</f>
        <v>129581872</v>
      </c>
      <c r="I27" s="284">
        <f>VLOOKUP($B26,'KWH FCST'!$A$104:$M$120,'2018 SUBSEQUENT'!I$8,FALSE)</f>
        <v>130185341</v>
      </c>
      <c r="J27" s="284">
        <f>VLOOKUP($B26,'KWH FCST'!$A$104:$M$120,'2018 SUBSEQUENT'!J$8,FALSE)</f>
        <v>129273135</v>
      </c>
      <c r="K27" s="284">
        <f>VLOOKUP($B26,'KWH FCST'!$A$104:$M$120,'2018 SUBSEQUENT'!K$8,FALSE)</f>
        <v>132412807</v>
      </c>
      <c r="L27" s="284">
        <f>VLOOKUP($B26,'KWH FCST'!$A$104:$M$120,'2018 SUBSEQUENT'!L$8,FALSE)</f>
        <v>128676900</v>
      </c>
      <c r="M27" s="284">
        <f>VLOOKUP($B26,'KWH FCST'!$A$104:$M$120,'2018 SUBSEQUENT'!M$8,FALSE)</f>
        <v>131665175</v>
      </c>
      <c r="N27" s="284">
        <f>VLOOKUP($B26,'KWH FCST'!$A$104:$M$120,'2018 SUBSEQUENT'!N$8,FALSE)</f>
        <v>132017750</v>
      </c>
      <c r="O27" s="284">
        <f>SUM(C27:N27)</f>
        <v>1532421391</v>
      </c>
      <c r="P27" s="284"/>
      <c r="Q27" s="284"/>
      <c r="R27" s="282"/>
      <c r="T27" s="255">
        <f>VLOOKUP(B26,'Sales Forecast'!$B$7:$AO$23,40,FALSE)</f>
        <v>1532421391</v>
      </c>
      <c r="U27" s="255">
        <f>+O27-T27</f>
        <v>0</v>
      </c>
    </row>
    <row r="28" spans="1:21">
      <c r="A28" s="253" t="str">
        <f>B26&amp;" "&amp;B28</f>
        <v>CILC-1T NCP</v>
      </c>
      <c r="B28" s="254" t="s">
        <v>133</v>
      </c>
      <c r="C28" s="284">
        <f>VLOOKUP($B26,'NCP FCST'!$A$103:$M$119,'2018 SUBSEQUENT'!C$8,FALSE)</f>
        <v>233013.00815124941</v>
      </c>
      <c r="D28" s="284">
        <f>VLOOKUP($B26,'NCP FCST'!$A$103:$M$119,'2018 SUBSEQUENT'!D$8,FALSE)</f>
        <v>246679.31018013397</v>
      </c>
      <c r="E28" s="284">
        <f>VLOOKUP($B26,'NCP FCST'!$A$103:$M$119,'2018 SUBSEQUENT'!E$8,FALSE)</f>
        <v>226031.10440446486</v>
      </c>
      <c r="F28" s="284">
        <f>VLOOKUP($B26,'NCP FCST'!$A$103:$M$119,'2018 SUBSEQUENT'!F$8,FALSE)</f>
        <v>234712.90394632716</v>
      </c>
      <c r="G28" s="284">
        <f>VLOOKUP($B26,'NCP FCST'!$A$103:$M$119,'2018 SUBSEQUENT'!G$8,FALSE)</f>
        <v>222089.45405944609</v>
      </c>
      <c r="H28" s="284">
        <f>VLOOKUP($B26,'NCP FCST'!$A$103:$M$119,'2018 SUBSEQUENT'!H$8,FALSE)</f>
        <v>245393.14342016069</v>
      </c>
      <c r="I28" s="284">
        <f>VLOOKUP($B26,'NCP FCST'!$A$103:$M$119,'2018 SUBSEQUENT'!I$8,FALSE)</f>
        <v>235166.01081140072</v>
      </c>
      <c r="J28" s="284">
        <f>VLOOKUP($B26,'NCP FCST'!$A$103:$M$119,'2018 SUBSEQUENT'!J$8,FALSE)</f>
        <v>231046.81561098265</v>
      </c>
      <c r="K28" s="284">
        <f>VLOOKUP($B26,'NCP FCST'!$A$103:$M$119,'2018 SUBSEQUENT'!K$8,FALSE)</f>
        <v>252981.3465033937</v>
      </c>
      <c r="L28" s="284">
        <f>VLOOKUP($B26,'NCP FCST'!$A$103:$M$119,'2018 SUBSEQUENT'!L$8,FALSE)</f>
        <v>232933.67691099556</v>
      </c>
      <c r="M28" s="284">
        <f>VLOOKUP($B26,'NCP FCST'!$A$103:$M$119,'2018 SUBSEQUENT'!M$8,FALSE)</f>
        <v>249768.43936623551</v>
      </c>
      <c r="N28" s="284">
        <f>VLOOKUP($B26,'NCP FCST'!$A$103:$M$119,'2018 SUBSEQUENT'!N$8,FALSE)</f>
        <v>239208.20884994659</v>
      </c>
      <c r="O28" s="284"/>
      <c r="P28" s="284">
        <f>MAX(C28:N28)</f>
        <v>252981.3465033937</v>
      </c>
      <c r="Q28" s="284"/>
      <c r="R28" s="282"/>
      <c r="T28" s="255">
        <f>VLOOKUP($B26,'NCP FCST'!$A$103:$O$119,15,FALSE)</f>
        <v>252981.3465033937</v>
      </c>
      <c r="U28" s="255">
        <f>P28-T28</f>
        <v>0</v>
      </c>
    </row>
    <row r="29" spans="1:21">
      <c r="A29" s="253" t="str">
        <f>B26&amp;" "&amp;B29</f>
        <v>CILC-1T GNCP</v>
      </c>
      <c r="B29" s="254" t="s">
        <v>342</v>
      </c>
      <c r="C29" s="284">
        <f>VLOOKUP($B26,'GNCP FCST'!$A$102:$M$118,'2018 SUBSEQUENT'!C$8,FALSE)</f>
        <v>201051.97737590069</v>
      </c>
      <c r="D29" s="284">
        <f>VLOOKUP($B26,'GNCP FCST'!$A$102:$M$118,'2018 SUBSEQUENT'!D$8,FALSE)</f>
        <v>212056.17035280471</v>
      </c>
      <c r="E29" s="284">
        <f>VLOOKUP($B26,'GNCP FCST'!$A$102:$M$118,'2018 SUBSEQUENT'!E$8,FALSE)</f>
        <v>199103.10885575155</v>
      </c>
      <c r="F29" s="284">
        <f>VLOOKUP($B26,'GNCP FCST'!$A$102:$M$118,'2018 SUBSEQUENT'!F$8,FALSE)</f>
        <v>202044.20435800703</v>
      </c>
      <c r="G29" s="284">
        <f>VLOOKUP($B26,'GNCP FCST'!$A$102:$M$118,'2018 SUBSEQUENT'!G$8,FALSE)</f>
        <v>201089.4628712103</v>
      </c>
      <c r="H29" s="284">
        <f>VLOOKUP($B26,'GNCP FCST'!$A$102:$M$118,'2018 SUBSEQUENT'!H$8,FALSE)</f>
        <v>208825.42964257335</v>
      </c>
      <c r="I29" s="284">
        <f>VLOOKUP($B26,'GNCP FCST'!$A$102:$M$118,'2018 SUBSEQUENT'!I$8,FALSE)</f>
        <v>203113.59807110066</v>
      </c>
      <c r="J29" s="284">
        <f>VLOOKUP($B26,'GNCP FCST'!$A$102:$M$118,'2018 SUBSEQUENT'!J$8,FALSE)</f>
        <v>200233.39566681464</v>
      </c>
      <c r="K29" s="284">
        <f>VLOOKUP($B26,'GNCP FCST'!$A$102:$M$118,'2018 SUBSEQUENT'!K$8,FALSE)</f>
        <v>219013.02650990119</v>
      </c>
      <c r="L29" s="284">
        <f>VLOOKUP($B26,'GNCP FCST'!$A$102:$M$118,'2018 SUBSEQUENT'!L$8,FALSE)</f>
        <v>203268.18061016209</v>
      </c>
      <c r="M29" s="284">
        <f>VLOOKUP($B26,'GNCP FCST'!$A$102:$M$118,'2018 SUBSEQUENT'!M$8,FALSE)</f>
        <v>216111.1289084258</v>
      </c>
      <c r="N29" s="284">
        <f>VLOOKUP($B26,'GNCP FCST'!$A$102:$M$118,'2018 SUBSEQUENT'!N$8,FALSE)</f>
        <v>211366.07241254897</v>
      </c>
      <c r="O29" s="284"/>
      <c r="Q29" s="284">
        <f>MAX(C29:N29)</f>
        <v>219013.02650990119</v>
      </c>
      <c r="R29" s="282"/>
      <c r="T29" s="255">
        <f>VLOOKUP($B26,'GNCP FCST'!$A$102:$O$118,15,FALSE)</f>
        <v>219013.02650990119</v>
      </c>
      <c r="U29" s="255">
        <f>+Q29-T29</f>
        <v>0</v>
      </c>
    </row>
    <row r="30" spans="1:21">
      <c r="A30" s="253" t="str">
        <f>B26&amp;" "&amp;B30</f>
        <v>CILC-1T CP</v>
      </c>
      <c r="B30" s="254" t="s">
        <v>148</v>
      </c>
      <c r="C30" s="284">
        <f>VLOOKUP($B26,'CP FCST'!$A$102:$M$118,'2018 SUBSEQUENT'!C$8,FALSE)</f>
        <v>183675.59962899442</v>
      </c>
      <c r="D30" s="284">
        <f>VLOOKUP($B26,'CP FCST'!$A$102:$M$118,'2018 SUBSEQUENT'!D$8,FALSE)</f>
        <v>194756.89863740801</v>
      </c>
      <c r="E30" s="284">
        <f>VLOOKUP($B26,'CP FCST'!$A$102:$M$118,'2018 SUBSEQUENT'!E$8,FALSE)</f>
        <v>199103.10885575155</v>
      </c>
      <c r="F30" s="284">
        <f>VLOOKUP($B26,'CP FCST'!$A$102:$M$118,'2018 SUBSEQUENT'!F$8,FALSE)</f>
        <v>189963.92653296088</v>
      </c>
      <c r="G30" s="284">
        <f>VLOOKUP($B26,'CP FCST'!$A$102:$M$118,'2018 SUBSEQUENT'!G$8,FALSE)</f>
        <v>201089.4628712103</v>
      </c>
      <c r="H30" s="284">
        <f>VLOOKUP($B26,'CP FCST'!$A$102:$M$118,'2018 SUBSEQUENT'!H$8,FALSE)</f>
        <v>196147.56332278685</v>
      </c>
      <c r="I30" s="284">
        <f>VLOOKUP($B26,'CP FCST'!$A$102:$M$118,'2018 SUBSEQUENT'!I$8,FALSE)</f>
        <v>194765.70425145232</v>
      </c>
      <c r="J30" s="284">
        <f>VLOOKUP($B26,'CP FCST'!$A$102:$M$118,'2018 SUBSEQUENT'!J$8,FALSE)</f>
        <v>198378.86341107805</v>
      </c>
      <c r="K30" s="284">
        <f>VLOOKUP($B26,'CP FCST'!$A$102:$M$118,'2018 SUBSEQUENT'!K$8,FALSE)</f>
        <v>187615.29172549956</v>
      </c>
      <c r="L30" s="284">
        <f>VLOOKUP($B26,'CP FCST'!$A$102:$M$118,'2018 SUBSEQUENT'!L$8,FALSE)</f>
        <v>184565.46929095453</v>
      </c>
      <c r="M30" s="284">
        <f>VLOOKUP($B26,'CP FCST'!$A$102:$M$118,'2018 SUBSEQUENT'!M$8,FALSE)</f>
        <v>195555.52071977025</v>
      </c>
      <c r="N30" s="284">
        <f>VLOOKUP($B26,'CP FCST'!$A$102:$M$118,'2018 SUBSEQUENT'!N$8,FALSE)</f>
        <v>196375.00174022606</v>
      </c>
      <c r="O30" s="284"/>
      <c r="P30" s="284"/>
      <c r="Q30" s="284"/>
      <c r="R30" s="255">
        <f>AVERAGE(C30:N30)</f>
        <v>193499.36758234107</v>
      </c>
      <c r="T30" s="255">
        <f>VLOOKUP($B26,'CP FCST'!$A$102:$O$118,15,FALSE)</f>
        <v>193499.36758234107</v>
      </c>
      <c r="U30" s="255">
        <f>R30-T30</f>
        <v>0</v>
      </c>
    </row>
    <row r="31" spans="1:21">
      <c r="B31" s="254" t="s">
        <v>570</v>
      </c>
      <c r="C31" s="285" t="str">
        <f t="shared" ref="C31:N31" si="2">IF(C30&gt;C29,"ERROR",IF(C29&gt;C28,"ERROR","OK"))</f>
        <v>OK</v>
      </c>
      <c r="D31" s="285" t="str">
        <f t="shared" si="2"/>
        <v>OK</v>
      </c>
      <c r="E31" s="285" t="str">
        <f t="shared" si="2"/>
        <v>OK</v>
      </c>
      <c r="F31" s="285" t="str">
        <f t="shared" si="2"/>
        <v>OK</v>
      </c>
      <c r="G31" s="285" t="str">
        <f t="shared" si="2"/>
        <v>OK</v>
      </c>
      <c r="H31" s="285" t="str">
        <f t="shared" si="2"/>
        <v>OK</v>
      </c>
      <c r="I31" s="285" t="str">
        <f t="shared" si="2"/>
        <v>OK</v>
      </c>
      <c r="J31" s="285" t="str">
        <f t="shared" si="2"/>
        <v>OK</v>
      </c>
      <c r="K31" s="285" t="str">
        <f t="shared" si="2"/>
        <v>OK</v>
      </c>
      <c r="L31" s="285" t="str">
        <f t="shared" si="2"/>
        <v>OK</v>
      </c>
      <c r="M31" s="285" t="str">
        <f t="shared" si="2"/>
        <v>OK</v>
      </c>
      <c r="N31" s="285" t="str">
        <f t="shared" si="2"/>
        <v>OK</v>
      </c>
      <c r="O31" s="284"/>
      <c r="P31" s="284"/>
      <c r="Q31" s="284"/>
      <c r="R31" s="255"/>
    </row>
    <row r="32" spans="1:21">
      <c r="B32" s="259"/>
      <c r="C32" s="284"/>
      <c r="D32" s="284"/>
      <c r="E32" s="284"/>
      <c r="F32" s="284"/>
      <c r="G32" s="284"/>
      <c r="H32" s="284"/>
      <c r="I32" s="284"/>
      <c r="J32" s="284"/>
      <c r="K32" s="284"/>
      <c r="L32" s="284"/>
      <c r="M32" s="284"/>
      <c r="N32" s="284"/>
      <c r="O32" s="284"/>
      <c r="P32" s="284"/>
      <c r="Q32" s="284"/>
      <c r="R32" s="282"/>
    </row>
    <row r="33" spans="1:21">
      <c r="B33" s="252" t="s">
        <v>49</v>
      </c>
      <c r="C33" s="284"/>
      <c r="D33" s="284"/>
      <c r="E33" s="284"/>
      <c r="F33" s="284"/>
      <c r="G33" s="284"/>
      <c r="H33" s="284"/>
      <c r="I33" s="284"/>
      <c r="J33" s="284"/>
      <c r="K33" s="284"/>
      <c r="L33" s="284"/>
      <c r="M33" s="284"/>
      <c r="N33" s="284"/>
      <c r="O33" s="284"/>
      <c r="P33" s="284"/>
      <c r="Q33" s="284"/>
      <c r="R33" s="282"/>
    </row>
    <row r="34" spans="1:21">
      <c r="A34" s="253" t="str">
        <f>B33&amp;" "&amp;B34</f>
        <v>GS(T)-1 KWH Sales</v>
      </c>
      <c r="B34" s="254" t="s">
        <v>563</v>
      </c>
      <c r="C34" s="284">
        <f>VLOOKUP($B33,'KWH FCST'!$A$104:$M$120,'2018 SUBSEQUENT'!C$8,FALSE)</f>
        <v>474911913</v>
      </c>
      <c r="D34" s="284">
        <f>VLOOKUP($B33,'KWH FCST'!$A$104:$M$120,'2018 SUBSEQUENT'!D$8,FALSE)</f>
        <v>423086514</v>
      </c>
      <c r="E34" s="284">
        <f>VLOOKUP($B33,'KWH FCST'!$A$104:$M$120,'2018 SUBSEQUENT'!E$8,FALSE)</f>
        <v>438581362</v>
      </c>
      <c r="F34" s="284">
        <f>VLOOKUP($B33,'KWH FCST'!$A$104:$M$120,'2018 SUBSEQUENT'!F$8,FALSE)</f>
        <v>455379730</v>
      </c>
      <c r="G34" s="284">
        <f>VLOOKUP($B33,'KWH FCST'!$A$104:$M$120,'2018 SUBSEQUENT'!G$8,FALSE)</f>
        <v>508865785</v>
      </c>
      <c r="H34" s="284">
        <f>VLOOKUP($B33,'KWH FCST'!$A$104:$M$120,'2018 SUBSEQUENT'!H$8,FALSE)</f>
        <v>544347197</v>
      </c>
      <c r="I34" s="284">
        <f>VLOOKUP($B33,'KWH FCST'!$A$104:$M$120,'2018 SUBSEQUENT'!I$8,FALSE)</f>
        <v>574359053</v>
      </c>
      <c r="J34" s="284">
        <f>VLOOKUP($B33,'KWH FCST'!$A$104:$M$120,'2018 SUBSEQUENT'!J$8,FALSE)</f>
        <v>574291634</v>
      </c>
      <c r="K34" s="284">
        <f>VLOOKUP($B33,'KWH FCST'!$A$104:$M$120,'2018 SUBSEQUENT'!K$8,FALSE)</f>
        <v>558012811</v>
      </c>
      <c r="L34" s="284">
        <f>VLOOKUP($B33,'KWH FCST'!$A$104:$M$120,'2018 SUBSEQUENT'!L$8,FALSE)</f>
        <v>518024824</v>
      </c>
      <c r="M34" s="284">
        <f>VLOOKUP($B33,'KWH FCST'!$A$104:$M$120,'2018 SUBSEQUENT'!M$8,FALSE)</f>
        <v>466858900</v>
      </c>
      <c r="N34" s="284">
        <f>VLOOKUP($B33,'KWH FCST'!$A$104:$M$120,'2018 SUBSEQUENT'!N$8,FALSE)</f>
        <v>465071362</v>
      </c>
      <c r="O34" s="284">
        <f>SUM(C34:N34)</f>
        <v>6001791085</v>
      </c>
      <c r="P34" s="284"/>
      <c r="Q34" s="284"/>
      <c r="R34" s="282"/>
      <c r="T34" s="255">
        <f>VLOOKUP(B33,'Sales Forecast'!$B$7:$AO$23,40,FALSE)</f>
        <v>6001791085</v>
      </c>
      <c r="U34" s="255">
        <f>+O34-T34</f>
        <v>0</v>
      </c>
    </row>
    <row r="35" spans="1:21">
      <c r="A35" s="253" t="str">
        <f>B33&amp;" "&amp;B35</f>
        <v>GS(T)-1 NCP</v>
      </c>
      <c r="B35" s="254" t="s">
        <v>133</v>
      </c>
      <c r="C35" s="284">
        <f>VLOOKUP($B33,'NCP FCST'!$A$103:$M$119,'2018 SUBSEQUENT'!C$8,FALSE)</f>
        <v>2113843.1806581612</v>
      </c>
      <c r="D35" s="284">
        <f>VLOOKUP($B33,'NCP FCST'!$A$103:$M$119,'2018 SUBSEQUENT'!D$8,FALSE)</f>
        <v>1992184.8410122355</v>
      </c>
      <c r="E35" s="284">
        <f>VLOOKUP($B33,'NCP FCST'!$A$103:$M$119,'2018 SUBSEQUENT'!E$8,FALSE)</f>
        <v>1850305.0630319999</v>
      </c>
      <c r="F35" s="284">
        <f>VLOOKUP($B33,'NCP FCST'!$A$103:$M$119,'2018 SUBSEQUENT'!F$8,FALSE)</f>
        <v>1862090.9876254874</v>
      </c>
      <c r="G35" s="284">
        <f>VLOOKUP($B33,'NCP FCST'!$A$103:$M$119,'2018 SUBSEQUENT'!G$8,FALSE)</f>
        <v>1941571.7759636147</v>
      </c>
      <c r="H35" s="284">
        <f>VLOOKUP($B33,'NCP FCST'!$A$103:$M$119,'2018 SUBSEQUENT'!H$8,FALSE)</f>
        <v>2117281.5335707809</v>
      </c>
      <c r="I35" s="284">
        <f>VLOOKUP($B33,'NCP FCST'!$A$103:$M$119,'2018 SUBSEQUENT'!I$8,FALSE)</f>
        <v>2084785.0724951217</v>
      </c>
      <c r="J35" s="284">
        <f>VLOOKUP($B33,'NCP FCST'!$A$103:$M$119,'2018 SUBSEQUENT'!J$8,FALSE)</f>
        <v>2055201.4303375741</v>
      </c>
      <c r="K35" s="284">
        <f>VLOOKUP($B33,'NCP FCST'!$A$103:$M$119,'2018 SUBSEQUENT'!K$8,FALSE)</f>
        <v>2155409.6075348491</v>
      </c>
      <c r="L35" s="284">
        <f>VLOOKUP($B33,'NCP FCST'!$A$103:$M$119,'2018 SUBSEQUENT'!L$8,FALSE)</f>
        <v>2010013.7668199763</v>
      </c>
      <c r="M35" s="284">
        <f>VLOOKUP($B33,'NCP FCST'!$A$103:$M$119,'2018 SUBSEQUENT'!M$8,FALSE)</f>
        <v>2056997.6213624156</v>
      </c>
      <c r="N35" s="284">
        <f>VLOOKUP($B33,'NCP FCST'!$A$103:$M$119,'2018 SUBSEQUENT'!N$8,FALSE)</f>
        <v>2007596.6533741408</v>
      </c>
      <c r="O35" s="284"/>
      <c r="P35" s="284">
        <f>MAX(C35:N35)</f>
        <v>2155409.6075348491</v>
      </c>
      <c r="Q35" s="284"/>
      <c r="R35" s="282"/>
      <c r="T35" s="255">
        <f>VLOOKUP($B33,'NCP FCST'!$A$103:$O$119,15,FALSE)</f>
        <v>2155409.6075348491</v>
      </c>
      <c r="U35" s="255">
        <f>P35-T35</f>
        <v>0</v>
      </c>
    </row>
    <row r="36" spans="1:21">
      <c r="A36" s="253" t="str">
        <f>B33&amp;" "&amp;B36</f>
        <v>GS(T)-1 GNCP</v>
      </c>
      <c r="B36" s="254" t="s">
        <v>342</v>
      </c>
      <c r="C36" s="284">
        <f>VLOOKUP($B33,'GNCP FCST'!$A$102:$M$118,'2018 SUBSEQUENT'!C$8,FALSE)</f>
        <v>1037266.4961644633</v>
      </c>
      <c r="D36" s="284">
        <f>VLOOKUP($B33,'GNCP FCST'!$A$102:$M$118,'2018 SUBSEQUENT'!D$8,FALSE)</f>
        <v>1047194.8134079314</v>
      </c>
      <c r="E36" s="284">
        <f>VLOOKUP($B33,'GNCP FCST'!$A$102:$M$118,'2018 SUBSEQUENT'!E$8,FALSE)</f>
        <v>949726.58097520657</v>
      </c>
      <c r="F36" s="284">
        <f>VLOOKUP($B33,'GNCP FCST'!$A$102:$M$118,'2018 SUBSEQUENT'!F$8,FALSE)</f>
        <v>1097668.0865012596</v>
      </c>
      <c r="G36" s="284">
        <f>VLOOKUP($B33,'GNCP FCST'!$A$102:$M$118,'2018 SUBSEQUENT'!G$8,FALSE)</f>
        <v>1160990.2290927269</v>
      </c>
      <c r="H36" s="284">
        <f>VLOOKUP($B33,'GNCP FCST'!$A$102:$M$118,'2018 SUBSEQUENT'!H$8,FALSE)</f>
        <v>1300351.4494133252</v>
      </c>
      <c r="I36" s="284">
        <f>VLOOKUP($B33,'GNCP FCST'!$A$102:$M$118,'2018 SUBSEQUENT'!I$8,FALSE)</f>
        <v>1292281.4120257662</v>
      </c>
      <c r="J36" s="284">
        <f>VLOOKUP($B33,'GNCP FCST'!$A$102:$M$118,'2018 SUBSEQUENT'!J$8,FALSE)</f>
        <v>1319438.5177063679</v>
      </c>
      <c r="K36" s="284">
        <f>VLOOKUP($B33,'GNCP FCST'!$A$102:$M$118,'2018 SUBSEQUENT'!K$8,FALSE)</f>
        <v>1306475.6038530883</v>
      </c>
      <c r="L36" s="284">
        <f>VLOOKUP($B33,'GNCP FCST'!$A$102:$M$118,'2018 SUBSEQUENT'!L$8,FALSE)</f>
        <v>1192498.2355266109</v>
      </c>
      <c r="M36" s="284">
        <f>VLOOKUP($B33,'GNCP FCST'!$A$102:$M$118,'2018 SUBSEQUENT'!M$8,FALSE)</f>
        <v>1108262.1057331755</v>
      </c>
      <c r="N36" s="284">
        <f>VLOOKUP($B33,'GNCP FCST'!$A$102:$M$118,'2018 SUBSEQUENT'!N$8,FALSE)</f>
        <v>1057443.4326390622</v>
      </c>
      <c r="O36" s="284"/>
      <c r="Q36" s="284">
        <f>MAX(C36:N36)</f>
        <v>1319438.5177063679</v>
      </c>
      <c r="R36" s="282"/>
      <c r="T36" s="255">
        <f>VLOOKUP($B33,'GNCP FCST'!$A$102:$O$118,15,FALSE)</f>
        <v>1319438.5177063679</v>
      </c>
      <c r="U36" s="255">
        <f>+Q36-T36</f>
        <v>0</v>
      </c>
    </row>
    <row r="37" spans="1:21">
      <c r="A37" s="253" t="str">
        <f>B33&amp;" "&amp;B37</f>
        <v>GS(T)-1 CP</v>
      </c>
      <c r="B37" s="254" t="s">
        <v>148</v>
      </c>
      <c r="C37" s="284">
        <f>VLOOKUP($B33,'CP FCST'!$A$102:$M$118,'2018 SUBSEQUENT'!C$8,FALSE)</f>
        <v>698388.79686254682</v>
      </c>
      <c r="D37" s="284">
        <f>VLOOKUP($B33,'CP FCST'!$A$102:$M$118,'2018 SUBSEQUENT'!D$8,FALSE)</f>
        <v>1045276.209628881</v>
      </c>
      <c r="E37" s="284">
        <f>VLOOKUP($B33,'CP FCST'!$A$102:$M$118,'2018 SUBSEQUENT'!E$8,FALSE)</f>
        <v>682749.59508606733</v>
      </c>
      <c r="F37" s="284">
        <f>VLOOKUP($B33,'CP FCST'!$A$102:$M$118,'2018 SUBSEQUENT'!F$8,FALSE)</f>
        <v>1057906.844032916</v>
      </c>
      <c r="G37" s="284">
        <f>VLOOKUP($B33,'CP FCST'!$A$102:$M$118,'2018 SUBSEQUENT'!G$8,FALSE)</f>
        <v>1160990.2290927269</v>
      </c>
      <c r="H37" s="284">
        <f>VLOOKUP($B33,'CP FCST'!$A$102:$M$118,'2018 SUBSEQUENT'!H$8,FALSE)</f>
        <v>1300351.4494133252</v>
      </c>
      <c r="I37" s="284">
        <f>VLOOKUP($B33,'CP FCST'!$A$102:$M$118,'2018 SUBSEQUENT'!I$8,FALSE)</f>
        <v>1292281.4120257662</v>
      </c>
      <c r="J37" s="284">
        <f>VLOOKUP($B33,'CP FCST'!$A$102:$M$118,'2018 SUBSEQUENT'!J$8,FALSE)</f>
        <v>1319438.5177063679</v>
      </c>
      <c r="K37" s="284">
        <f>VLOOKUP($B33,'CP FCST'!$A$102:$M$118,'2018 SUBSEQUENT'!K$8,FALSE)</f>
        <v>1162923.0268580697</v>
      </c>
      <c r="L37" s="284">
        <f>VLOOKUP($B33,'CP FCST'!$A$102:$M$118,'2018 SUBSEQUENT'!L$8,FALSE)</f>
        <v>1118592.4969217153</v>
      </c>
      <c r="M37" s="284">
        <f>VLOOKUP($B33,'CP FCST'!$A$102:$M$118,'2018 SUBSEQUENT'!M$8,FALSE)</f>
        <v>1016830.6016671542</v>
      </c>
      <c r="N37" s="284">
        <f>VLOOKUP($B33,'CP FCST'!$A$102:$M$118,'2018 SUBSEQUENT'!N$8,FALSE)</f>
        <v>905518.90608711855</v>
      </c>
      <c r="O37" s="284"/>
      <c r="P37" s="284"/>
      <c r="Q37" s="284"/>
      <c r="R37" s="255">
        <f>AVERAGE(C37:N37)</f>
        <v>1063437.3404485546</v>
      </c>
      <c r="T37" s="255">
        <f>VLOOKUP($B33,'CP FCST'!$A$102:$O$118,15,FALSE)</f>
        <v>1063437.3404485546</v>
      </c>
      <c r="U37" s="255">
        <f>R37-T37</f>
        <v>0</v>
      </c>
    </row>
    <row r="38" spans="1:21">
      <c r="B38" s="254" t="s">
        <v>570</v>
      </c>
      <c r="C38" s="285" t="str">
        <f t="shared" ref="C38:N38" si="3">IF(C37&gt;C36,"ERROR",IF(C36&gt;C35,"ERROR","OK"))</f>
        <v>OK</v>
      </c>
      <c r="D38" s="285" t="str">
        <f t="shared" si="3"/>
        <v>OK</v>
      </c>
      <c r="E38" s="285" t="str">
        <f t="shared" si="3"/>
        <v>OK</v>
      </c>
      <c r="F38" s="285" t="str">
        <f t="shared" si="3"/>
        <v>OK</v>
      </c>
      <c r="G38" s="285" t="str">
        <f t="shared" si="3"/>
        <v>OK</v>
      </c>
      <c r="H38" s="285" t="str">
        <f t="shared" si="3"/>
        <v>OK</v>
      </c>
      <c r="I38" s="285" t="str">
        <f t="shared" si="3"/>
        <v>OK</v>
      </c>
      <c r="J38" s="285" t="str">
        <f t="shared" si="3"/>
        <v>OK</v>
      </c>
      <c r="K38" s="285" t="str">
        <f t="shared" si="3"/>
        <v>OK</v>
      </c>
      <c r="L38" s="285" t="str">
        <f t="shared" si="3"/>
        <v>OK</v>
      </c>
      <c r="M38" s="285" t="str">
        <f t="shared" si="3"/>
        <v>OK</v>
      </c>
      <c r="N38" s="285" t="str">
        <f t="shared" si="3"/>
        <v>OK</v>
      </c>
      <c r="O38" s="284"/>
      <c r="P38" s="284"/>
      <c r="Q38" s="284"/>
      <c r="R38" s="255"/>
    </row>
    <row r="39" spans="1:21">
      <c r="B39" s="259"/>
      <c r="C39" s="284"/>
      <c r="D39" s="284"/>
      <c r="E39" s="284"/>
      <c r="F39" s="284"/>
      <c r="G39" s="284"/>
      <c r="H39" s="284"/>
      <c r="I39" s="284"/>
      <c r="J39" s="284"/>
      <c r="K39" s="284"/>
      <c r="L39" s="284"/>
      <c r="M39" s="284"/>
      <c r="N39" s="284"/>
      <c r="O39" s="284"/>
      <c r="P39" s="284"/>
      <c r="Q39" s="284"/>
      <c r="R39" s="282"/>
    </row>
    <row r="40" spans="1:21">
      <c r="B40" s="252" t="s">
        <v>325</v>
      </c>
      <c r="C40" s="284"/>
      <c r="D40" s="284"/>
      <c r="E40" s="284"/>
      <c r="F40" s="284"/>
      <c r="G40" s="284"/>
      <c r="H40" s="284"/>
      <c r="I40" s="284"/>
      <c r="J40" s="284"/>
      <c r="K40" s="284"/>
      <c r="L40" s="284"/>
      <c r="M40" s="284"/>
      <c r="N40" s="284"/>
      <c r="O40" s="284"/>
      <c r="P40" s="284"/>
      <c r="Q40" s="284"/>
      <c r="R40" s="282"/>
    </row>
    <row r="41" spans="1:21">
      <c r="A41" s="253" t="str">
        <f>B40&amp;" "&amp;B41</f>
        <v>GSCU-1 KWH Sales</v>
      </c>
      <c r="B41" s="254" t="s">
        <v>563</v>
      </c>
      <c r="C41" s="284">
        <f>VLOOKUP($B40,'KWH FCST'!$A$104:$M$120,'2018 SUBSEQUENT'!C$8,FALSE)</f>
        <v>5891638</v>
      </c>
      <c r="D41" s="284">
        <f>VLOOKUP($B40,'KWH FCST'!$A$104:$M$120,'2018 SUBSEQUENT'!D$8,FALSE)</f>
        <v>5897018</v>
      </c>
      <c r="E41" s="284">
        <f>VLOOKUP($B40,'KWH FCST'!$A$104:$M$120,'2018 SUBSEQUENT'!E$8,FALSE)</f>
        <v>5902398</v>
      </c>
      <c r="F41" s="284">
        <f>VLOOKUP($B40,'KWH FCST'!$A$104:$M$120,'2018 SUBSEQUENT'!F$8,FALSE)</f>
        <v>5908854</v>
      </c>
      <c r="G41" s="284">
        <f>VLOOKUP($B40,'KWH FCST'!$A$104:$M$120,'2018 SUBSEQUENT'!G$8,FALSE)</f>
        <v>5915310</v>
      </c>
      <c r="H41" s="284">
        <f>VLOOKUP($B40,'KWH FCST'!$A$104:$M$120,'2018 SUBSEQUENT'!H$8,FALSE)</f>
        <v>5921228</v>
      </c>
      <c r="I41" s="284">
        <f>VLOOKUP($B40,'KWH FCST'!$A$104:$M$120,'2018 SUBSEQUENT'!I$8,FALSE)</f>
        <v>5927146</v>
      </c>
      <c r="J41" s="284">
        <f>VLOOKUP($B40,'KWH FCST'!$A$104:$M$120,'2018 SUBSEQUENT'!J$8,FALSE)</f>
        <v>5932526</v>
      </c>
      <c r="K41" s="284">
        <f>VLOOKUP($B40,'KWH FCST'!$A$104:$M$120,'2018 SUBSEQUENT'!K$8,FALSE)</f>
        <v>5938444</v>
      </c>
      <c r="L41" s="284">
        <f>VLOOKUP($B40,'KWH FCST'!$A$104:$M$120,'2018 SUBSEQUENT'!L$8,FALSE)</f>
        <v>5943824</v>
      </c>
      <c r="M41" s="284">
        <f>VLOOKUP($B40,'KWH FCST'!$A$104:$M$120,'2018 SUBSEQUENT'!M$8,FALSE)</f>
        <v>5949204</v>
      </c>
      <c r="N41" s="284">
        <f>VLOOKUP($B40,'KWH FCST'!$A$104:$M$120,'2018 SUBSEQUENT'!N$8,FALSE)</f>
        <v>5954584</v>
      </c>
      <c r="O41" s="284">
        <f>SUM(C41:N41)</f>
        <v>71082174</v>
      </c>
      <c r="P41" s="284"/>
      <c r="Q41" s="284"/>
      <c r="R41" s="282"/>
      <c r="T41" s="255">
        <f>VLOOKUP(B40,'Sales Forecast'!$B$7:$AO$23,40,FALSE)</f>
        <v>71082174</v>
      </c>
      <c r="U41" s="255">
        <f>+O41-T41</f>
        <v>0</v>
      </c>
    </row>
    <row r="42" spans="1:21">
      <c r="A42" s="253" t="str">
        <f>B40&amp;" "&amp;B42</f>
        <v>GSCU-1 NCP</v>
      </c>
      <c r="B42" s="254" t="s">
        <v>133</v>
      </c>
      <c r="C42" s="284">
        <f>VLOOKUP($B40,'NCP FCST'!$A$103:$M$119,'2018 SUBSEQUENT'!C$8,FALSE)</f>
        <v>8588.0002967091095</v>
      </c>
      <c r="D42" s="284">
        <f>VLOOKUP($B40,'NCP FCST'!$A$103:$M$119,'2018 SUBSEQUENT'!D$8,FALSE)</f>
        <v>9393.4142669052762</v>
      </c>
      <c r="E42" s="284">
        <f>VLOOKUP($B40,'NCP FCST'!$A$103:$M$119,'2018 SUBSEQUENT'!E$8,FALSE)</f>
        <v>8949.1726749414593</v>
      </c>
      <c r="F42" s="284">
        <f>VLOOKUP($B40,'NCP FCST'!$A$103:$M$119,'2018 SUBSEQUENT'!F$8,FALSE)</f>
        <v>8686.2252227215868</v>
      </c>
      <c r="G42" s="284">
        <f>VLOOKUP($B40,'NCP FCST'!$A$103:$M$119,'2018 SUBSEQUENT'!G$8,FALSE)</f>
        <v>8821.7218010160232</v>
      </c>
      <c r="H42" s="284">
        <f>VLOOKUP($B40,'NCP FCST'!$A$103:$M$119,'2018 SUBSEQUENT'!H$8,FALSE)</f>
        <v>8998.6858175474536</v>
      </c>
      <c r="I42" s="284">
        <f>VLOOKUP($B40,'NCP FCST'!$A$103:$M$119,'2018 SUBSEQUENT'!I$8,FALSE)</f>
        <v>8548.9609338665232</v>
      </c>
      <c r="J42" s="284">
        <f>VLOOKUP($B40,'NCP FCST'!$A$103:$M$119,'2018 SUBSEQUENT'!J$8,FALSE)</f>
        <v>8851.5968546986278</v>
      </c>
      <c r="K42" s="284">
        <f>VLOOKUP($B40,'NCP FCST'!$A$103:$M$119,'2018 SUBSEQUENT'!K$8,FALSE)</f>
        <v>8952.3178796201628</v>
      </c>
      <c r="L42" s="284">
        <f>VLOOKUP($B40,'NCP FCST'!$A$103:$M$119,'2018 SUBSEQUENT'!L$8,FALSE)</f>
        <v>8937.2300570708412</v>
      </c>
      <c r="M42" s="284">
        <f>VLOOKUP($B40,'NCP FCST'!$A$103:$M$119,'2018 SUBSEQUENT'!M$8,FALSE)</f>
        <v>8822.2815033718252</v>
      </c>
      <c r="N42" s="284">
        <f>VLOOKUP($B40,'NCP FCST'!$A$103:$M$119,'2018 SUBSEQUENT'!N$8,FALSE)</f>
        <v>8870.6852978329098</v>
      </c>
      <c r="O42" s="284"/>
      <c r="P42" s="284">
        <f>MAX(C42:N42)</f>
        <v>9393.4142669052762</v>
      </c>
      <c r="Q42" s="284"/>
      <c r="R42" s="282"/>
      <c r="T42" s="255">
        <f>VLOOKUP($B40,'NCP FCST'!$A$103:$O$119,15,FALSE)</f>
        <v>9393.4142669052762</v>
      </c>
      <c r="U42" s="255">
        <f>P42-T42</f>
        <v>0</v>
      </c>
    </row>
    <row r="43" spans="1:21">
      <c r="A43" s="253" t="str">
        <f>B40&amp;" "&amp;B43</f>
        <v>GSCU-1 GNCP</v>
      </c>
      <c r="B43" s="254" t="s">
        <v>342</v>
      </c>
      <c r="C43" s="284">
        <f>VLOOKUP($B40,'GNCP FCST'!$A$102:$M$118,'2018 SUBSEQUENT'!C$8,FALSE)</f>
        <v>8531.748535400835</v>
      </c>
      <c r="D43" s="284">
        <f>VLOOKUP($B40,'GNCP FCST'!$A$102:$M$118,'2018 SUBSEQUENT'!D$8,FALSE)</f>
        <v>9067.9539690662405</v>
      </c>
      <c r="E43" s="284">
        <f>VLOOKUP($B40,'GNCP FCST'!$A$102:$M$118,'2018 SUBSEQUENT'!E$8,FALSE)</f>
        <v>8949.1726749414593</v>
      </c>
      <c r="F43" s="284">
        <f>VLOOKUP($B40,'GNCP FCST'!$A$102:$M$118,'2018 SUBSEQUENT'!F$8,FALSE)</f>
        <v>8663.9866414519947</v>
      </c>
      <c r="G43" s="284">
        <f>VLOOKUP($B40,'GNCP FCST'!$A$102:$M$118,'2018 SUBSEQUENT'!G$8,FALSE)</f>
        <v>8821.7218010160232</v>
      </c>
      <c r="H43" s="284">
        <f>VLOOKUP($B40,'GNCP FCST'!$A$102:$M$118,'2018 SUBSEQUENT'!H$8,FALSE)</f>
        <v>8721.7268171029773</v>
      </c>
      <c r="I43" s="284">
        <f>VLOOKUP($B40,'GNCP FCST'!$A$102:$M$118,'2018 SUBSEQUENT'!I$8,FALSE)</f>
        <v>8548.9609338665232</v>
      </c>
      <c r="J43" s="284">
        <f>VLOOKUP($B40,'GNCP FCST'!$A$102:$M$118,'2018 SUBSEQUENT'!J$8,FALSE)</f>
        <v>8851.5968546986278</v>
      </c>
      <c r="K43" s="284">
        <f>VLOOKUP($B40,'GNCP FCST'!$A$102:$M$118,'2018 SUBSEQUENT'!K$8,FALSE)</f>
        <v>8415.6707327519671</v>
      </c>
      <c r="L43" s="284">
        <f>VLOOKUP($B40,'GNCP FCST'!$A$102:$M$118,'2018 SUBSEQUENT'!L$8,FALSE)</f>
        <v>8231.2436242605145</v>
      </c>
      <c r="M43" s="284">
        <f>VLOOKUP($B40,'GNCP FCST'!$A$102:$M$118,'2018 SUBSEQUENT'!M$8,FALSE)</f>
        <v>8412.0904963775683</v>
      </c>
      <c r="N43" s="284">
        <f>VLOOKUP($B40,'GNCP FCST'!$A$102:$M$118,'2018 SUBSEQUENT'!N$8,FALSE)</f>
        <v>8346.6997791423055</v>
      </c>
      <c r="O43" s="284"/>
      <c r="Q43" s="284">
        <f>MAX(C43:N43)</f>
        <v>9067.9539690662405</v>
      </c>
      <c r="R43" s="282"/>
      <c r="T43" s="255">
        <f>VLOOKUP($B40,'GNCP FCST'!$A$102:$O$118,15,FALSE)</f>
        <v>9067.9539690662405</v>
      </c>
      <c r="U43" s="255">
        <f>+Q43-T43</f>
        <v>0</v>
      </c>
    </row>
    <row r="44" spans="1:21">
      <c r="A44" s="253" t="str">
        <f>B40&amp;" "&amp;B44</f>
        <v>GSCU-1 CP</v>
      </c>
      <c r="B44" s="254" t="s">
        <v>148</v>
      </c>
      <c r="C44" s="284">
        <f>VLOOKUP($B40,'CP FCST'!$A$102:$M$118,'2018 SUBSEQUENT'!C$8,FALSE)</f>
        <v>8531.748535400835</v>
      </c>
      <c r="D44" s="284">
        <f>VLOOKUP($B40,'CP FCST'!$A$102:$M$118,'2018 SUBSEQUENT'!D$8,FALSE)</f>
        <v>9067.9539690662405</v>
      </c>
      <c r="E44" s="284">
        <f>VLOOKUP($B40,'CP FCST'!$A$102:$M$118,'2018 SUBSEQUENT'!E$8,FALSE)</f>
        <v>8949.1726749414593</v>
      </c>
      <c r="F44" s="284">
        <f>VLOOKUP($B40,'CP FCST'!$A$102:$M$118,'2018 SUBSEQUENT'!F$8,FALSE)</f>
        <v>8663.9866414519947</v>
      </c>
      <c r="G44" s="284">
        <f>VLOOKUP($B40,'CP FCST'!$A$102:$M$118,'2018 SUBSEQUENT'!G$8,FALSE)</f>
        <v>8821.7218010160232</v>
      </c>
      <c r="H44" s="284">
        <f>VLOOKUP($B40,'CP FCST'!$A$102:$M$118,'2018 SUBSEQUENT'!H$8,FALSE)</f>
        <v>8721.7268171029773</v>
      </c>
      <c r="I44" s="284">
        <f>VLOOKUP($B40,'CP FCST'!$A$102:$M$118,'2018 SUBSEQUENT'!I$8,FALSE)</f>
        <v>8548.9609338665232</v>
      </c>
      <c r="J44" s="284">
        <f>VLOOKUP($B40,'CP FCST'!$A$102:$M$118,'2018 SUBSEQUENT'!J$8,FALSE)</f>
        <v>8851.5968546986278</v>
      </c>
      <c r="K44" s="284">
        <f>VLOOKUP($B40,'CP FCST'!$A$102:$M$118,'2018 SUBSEQUENT'!K$8,FALSE)</f>
        <v>8415.6707327519671</v>
      </c>
      <c r="L44" s="284">
        <f>VLOOKUP($B40,'CP FCST'!$A$102:$M$118,'2018 SUBSEQUENT'!L$8,FALSE)</f>
        <v>8231.2436242605145</v>
      </c>
      <c r="M44" s="284">
        <f>VLOOKUP($B40,'CP FCST'!$A$102:$M$118,'2018 SUBSEQUENT'!M$8,FALSE)</f>
        <v>8208.580694640661</v>
      </c>
      <c r="N44" s="284">
        <f>VLOOKUP($B40,'CP FCST'!$A$102:$M$118,'2018 SUBSEQUENT'!N$8,FALSE)</f>
        <v>8287.4191306817102</v>
      </c>
      <c r="O44" s="284"/>
      <c r="P44" s="284"/>
      <c r="Q44" s="284"/>
      <c r="R44" s="255">
        <f>AVERAGE(C44:N44)</f>
        <v>8608.3152008232955</v>
      </c>
      <c r="T44" s="255">
        <f>VLOOKUP($B40,'CP FCST'!$A$102:$O$118,15,FALSE)</f>
        <v>8608.3152008232955</v>
      </c>
      <c r="U44" s="255">
        <f>R44-T44</f>
        <v>0</v>
      </c>
    </row>
    <row r="45" spans="1:21">
      <c r="B45" s="254" t="s">
        <v>570</v>
      </c>
      <c r="C45" s="285" t="str">
        <f t="shared" ref="C45:N45" si="4">IF(C44&gt;C43,"ERROR",IF(C43&gt;C42,"ERROR","OK"))</f>
        <v>OK</v>
      </c>
      <c r="D45" s="285" t="str">
        <f t="shared" si="4"/>
        <v>OK</v>
      </c>
      <c r="E45" s="285" t="str">
        <f t="shared" si="4"/>
        <v>OK</v>
      </c>
      <c r="F45" s="285" t="str">
        <f t="shared" si="4"/>
        <v>OK</v>
      </c>
      <c r="G45" s="285" t="str">
        <f t="shared" si="4"/>
        <v>OK</v>
      </c>
      <c r="H45" s="285" t="str">
        <f t="shared" si="4"/>
        <v>OK</v>
      </c>
      <c r="I45" s="285" t="str">
        <f t="shared" si="4"/>
        <v>OK</v>
      </c>
      <c r="J45" s="285" t="str">
        <f t="shared" si="4"/>
        <v>OK</v>
      </c>
      <c r="K45" s="285" t="str">
        <f t="shared" si="4"/>
        <v>OK</v>
      </c>
      <c r="L45" s="285" t="str">
        <f t="shared" si="4"/>
        <v>OK</v>
      </c>
      <c r="M45" s="285" t="str">
        <f t="shared" si="4"/>
        <v>OK</v>
      </c>
      <c r="N45" s="285" t="str">
        <f t="shared" si="4"/>
        <v>OK</v>
      </c>
      <c r="O45" s="284"/>
      <c r="P45" s="284"/>
      <c r="Q45" s="284"/>
      <c r="R45" s="255"/>
    </row>
    <row r="46" spans="1:21">
      <c r="B46" s="259"/>
      <c r="C46" s="284"/>
      <c r="D46" s="284"/>
      <c r="E46" s="284"/>
      <c r="F46" s="284"/>
      <c r="G46" s="284"/>
      <c r="H46" s="284"/>
      <c r="I46" s="284"/>
      <c r="J46" s="284"/>
      <c r="K46" s="284"/>
      <c r="L46" s="284"/>
      <c r="M46" s="284"/>
      <c r="N46" s="284"/>
      <c r="O46" s="284"/>
      <c r="P46" s="284"/>
      <c r="Q46" s="284"/>
      <c r="R46" s="282"/>
    </row>
    <row r="47" spans="1:21">
      <c r="B47" s="252" t="s">
        <v>67</v>
      </c>
      <c r="C47" s="284"/>
      <c r="D47" s="284"/>
      <c r="E47" s="284"/>
      <c r="F47" s="284"/>
      <c r="G47" s="284"/>
      <c r="H47" s="284"/>
      <c r="I47" s="284"/>
      <c r="J47" s="284"/>
      <c r="K47" s="284"/>
      <c r="L47" s="284"/>
      <c r="M47" s="284"/>
      <c r="N47" s="284"/>
      <c r="O47" s="284"/>
      <c r="P47" s="284"/>
      <c r="Q47" s="284"/>
      <c r="R47" s="282"/>
    </row>
    <row r="48" spans="1:21">
      <c r="A48" s="253" t="str">
        <f>B47&amp;" "&amp;B48</f>
        <v>GSD(T)-1 KWH Sales</v>
      </c>
      <c r="B48" s="254" t="s">
        <v>563</v>
      </c>
      <c r="C48" s="284">
        <f>VLOOKUP($B47,'KWH FCST'!$A$104:$M$120,'2018 SUBSEQUENT'!C$8,FALSE)</f>
        <v>2126959738</v>
      </c>
      <c r="D48" s="284">
        <f>VLOOKUP($B47,'KWH FCST'!$A$104:$M$120,'2018 SUBSEQUENT'!D$8,FALSE)</f>
        <v>1873797784</v>
      </c>
      <c r="E48" s="284">
        <f>VLOOKUP($B47,'KWH FCST'!$A$104:$M$120,'2018 SUBSEQUENT'!E$8,FALSE)</f>
        <v>1930704311</v>
      </c>
      <c r="F48" s="284">
        <f>VLOOKUP($B47,'KWH FCST'!$A$104:$M$120,'2018 SUBSEQUENT'!F$8,FALSE)</f>
        <v>1991087521</v>
      </c>
      <c r="G48" s="284">
        <f>VLOOKUP($B47,'KWH FCST'!$A$104:$M$120,'2018 SUBSEQUENT'!G$8,FALSE)</f>
        <v>2189052499</v>
      </c>
      <c r="H48" s="284">
        <f>VLOOKUP($B47,'KWH FCST'!$A$104:$M$120,'2018 SUBSEQUENT'!H$8,FALSE)</f>
        <v>2306918989</v>
      </c>
      <c r="I48" s="284">
        <f>VLOOKUP($B47,'KWH FCST'!$A$104:$M$120,'2018 SUBSEQUENT'!I$8,FALSE)</f>
        <v>2395264761</v>
      </c>
      <c r="J48" s="284">
        <f>VLOOKUP($B47,'KWH FCST'!$A$104:$M$120,'2018 SUBSEQUENT'!J$8,FALSE)</f>
        <v>2388332886</v>
      </c>
      <c r="K48" s="284">
        <f>VLOOKUP($B47,'KWH FCST'!$A$104:$M$120,'2018 SUBSEQUENT'!K$8,FALSE)</f>
        <v>2366641005</v>
      </c>
      <c r="L48" s="284">
        <f>VLOOKUP($B47,'KWH FCST'!$A$104:$M$120,'2018 SUBSEQUENT'!L$8,FALSE)</f>
        <v>2236585324</v>
      </c>
      <c r="M48" s="284">
        <f>VLOOKUP($B47,'KWH FCST'!$A$104:$M$120,'2018 SUBSEQUENT'!M$8,FALSE)</f>
        <v>2059115027</v>
      </c>
      <c r="N48" s="284">
        <f>VLOOKUP($B47,'KWH FCST'!$A$104:$M$120,'2018 SUBSEQUENT'!N$8,FALSE)</f>
        <v>2085282411</v>
      </c>
      <c r="O48" s="284">
        <f>SUM(C48:N48)</f>
        <v>25949742256</v>
      </c>
      <c r="P48" s="284"/>
      <c r="Q48" s="284"/>
      <c r="R48" s="282"/>
      <c r="T48" s="255">
        <f>VLOOKUP(B47,'Sales Forecast'!$B$7:$AO$23,40,FALSE)</f>
        <v>25949742256</v>
      </c>
      <c r="U48" s="255">
        <f>+O48-T48</f>
        <v>0</v>
      </c>
    </row>
    <row r="49" spans="1:21">
      <c r="A49" s="253" t="str">
        <f>B47&amp;" "&amp;B49</f>
        <v>GSD(T)-1 NCP</v>
      </c>
      <c r="B49" s="254" t="s">
        <v>133</v>
      </c>
      <c r="C49" s="284">
        <f>VLOOKUP($B47,'NCP FCST'!$A$103:$M$119,'2018 SUBSEQUENT'!C$8,FALSE)</f>
        <v>6053326.5818369249</v>
      </c>
      <c r="D49" s="284">
        <f>VLOOKUP($B47,'NCP FCST'!$A$103:$M$119,'2018 SUBSEQUENT'!D$8,FALSE)</f>
        <v>5825079.8050292209</v>
      </c>
      <c r="E49" s="284">
        <f>VLOOKUP($B47,'NCP FCST'!$A$103:$M$119,'2018 SUBSEQUENT'!E$8,FALSE)</f>
        <v>5435621.7020224277</v>
      </c>
      <c r="F49" s="284">
        <f>VLOOKUP($B47,'NCP FCST'!$A$103:$M$119,'2018 SUBSEQUENT'!F$8,FALSE)</f>
        <v>5598465.471879676</v>
      </c>
      <c r="G49" s="284">
        <f>VLOOKUP($B47,'NCP FCST'!$A$103:$M$119,'2018 SUBSEQUENT'!G$8,FALSE)</f>
        <v>5773509.3970357897</v>
      </c>
      <c r="H49" s="284">
        <f>VLOOKUP($B47,'NCP FCST'!$A$103:$M$119,'2018 SUBSEQUENT'!H$8,FALSE)</f>
        <v>6157330.4697028408</v>
      </c>
      <c r="I49" s="284">
        <f>VLOOKUP($B47,'NCP FCST'!$A$103:$M$119,'2018 SUBSEQUENT'!I$8,FALSE)</f>
        <v>6043728.3967083758</v>
      </c>
      <c r="J49" s="284">
        <f>VLOOKUP($B47,'NCP FCST'!$A$103:$M$119,'2018 SUBSEQUENT'!J$8,FALSE)</f>
        <v>6003184.6555039501</v>
      </c>
      <c r="K49" s="284">
        <f>VLOOKUP($B47,'NCP FCST'!$A$103:$M$119,'2018 SUBSEQUENT'!K$8,FALSE)</f>
        <v>6267740.1214928403</v>
      </c>
      <c r="L49" s="284">
        <f>VLOOKUP($B47,'NCP FCST'!$A$103:$M$119,'2018 SUBSEQUENT'!L$8,FALSE)</f>
        <v>5954281.4551962418</v>
      </c>
      <c r="M49" s="284">
        <f>VLOOKUP($B47,'NCP FCST'!$A$103:$M$119,'2018 SUBSEQUENT'!M$8,FALSE)</f>
        <v>5969309.5047002584</v>
      </c>
      <c r="N49" s="284">
        <f>VLOOKUP($B47,'NCP FCST'!$A$103:$M$119,'2018 SUBSEQUENT'!N$8,FALSE)</f>
        <v>5793763.2245934522</v>
      </c>
      <c r="O49" s="284"/>
      <c r="P49" s="284">
        <f>MAX(C49:N49)</f>
        <v>6267740.1214928403</v>
      </c>
      <c r="Q49" s="284"/>
      <c r="R49" s="282"/>
      <c r="T49" s="255">
        <f>VLOOKUP($B47,'NCP FCST'!$A$103:$O$119,15,FALSE)</f>
        <v>6267740.1214928403</v>
      </c>
      <c r="U49" s="255">
        <f>P49-T49</f>
        <v>0</v>
      </c>
    </row>
    <row r="50" spans="1:21">
      <c r="A50" s="253" t="str">
        <f>B47&amp;" "&amp;B50</f>
        <v>GSD(T)-1 GNCP</v>
      </c>
      <c r="B50" s="254" t="s">
        <v>342</v>
      </c>
      <c r="C50" s="284">
        <f>VLOOKUP($B47,'GNCP FCST'!$A$102:$M$118,'2018 SUBSEQUENT'!C$8,FALSE)</f>
        <v>4166776.1468367078</v>
      </c>
      <c r="D50" s="284">
        <f>VLOOKUP($B47,'GNCP FCST'!$A$102:$M$118,'2018 SUBSEQUENT'!D$8,FALSE)</f>
        <v>4065345.095823904</v>
      </c>
      <c r="E50" s="284">
        <f>VLOOKUP($B47,'GNCP FCST'!$A$102:$M$118,'2018 SUBSEQUENT'!E$8,FALSE)</f>
        <v>3750526.2354018199</v>
      </c>
      <c r="F50" s="284">
        <f>VLOOKUP($B47,'GNCP FCST'!$A$102:$M$118,'2018 SUBSEQUENT'!F$8,FALSE)</f>
        <v>4088080.918029733</v>
      </c>
      <c r="G50" s="284">
        <f>VLOOKUP($B47,'GNCP FCST'!$A$102:$M$118,'2018 SUBSEQUENT'!G$8,FALSE)</f>
        <v>4359904.1155952932</v>
      </c>
      <c r="H50" s="284">
        <f>VLOOKUP($B47,'GNCP FCST'!$A$102:$M$118,'2018 SUBSEQUENT'!H$8,FALSE)</f>
        <v>4584118.0830018204</v>
      </c>
      <c r="I50" s="284">
        <f>VLOOKUP($B47,'GNCP FCST'!$A$102:$M$118,'2018 SUBSEQUENT'!I$8,FALSE)</f>
        <v>4629134.3161336724</v>
      </c>
      <c r="J50" s="284">
        <f>VLOOKUP($B47,'GNCP FCST'!$A$102:$M$118,'2018 SUBSEQUENT'!J$8,FALSE)</f>
        <v>4640186.6403206792</v>
      </c>
      <c r="K50" s="284">
        <f>VLOOKUP($B47,'GNCP FCST'!$A$102:$M$118,'2018 SUBSEQUENT'!K$8,FALSE)</f>
        <v>4701965.3420960875</v>
      </c>
      <c r="L50" s="284">
        <f>VLOOKUP($B47,'GNCP FCST'!$A$102:$M$118,'2018 SUBSEQUENT'!L$8,FALSE)</f>
        <v>4400092.8306087535</v>
      </c>
      <c r="M50" s="284">
        <f>VLOOKUP($B47,'GNCP FCST'!$A$102:$M$118,'2018 SUBSEQUENT'!M$8,FALSE)</f>
        <v>4262855.6137539707</v>
      </c>
      <c r="N50" s="284">
        <f>VLOOKUP($B47,'GNCP FCST'!$A$102:$M$118,'2018 SUBSEQUENT'!N$8,FALSE)</f>
        <v>4128154.8597730217</v>
      </c>
      <c r="O50" s="284"/>
      <c r="Q50" s="284">
        <f>MAX(C50:N50)</f>
        <v>4701965.3420960875</v>
      </c>
      <c r="R50" s="282"/>
      <c r="T50" s="255">
        <f>VLOOKUP($B47,'GNCP FCST'!$A$102:$O$118,15,FALSE)</f>
        <v>4701965.3420960875</v>
      </c>
      <c r="U50" s="255">
        <f>+Q50-T50</f>
        <v>0</v>
      </c>
    </row>
    <row r="51" spans="1:21">
      <c r="A51" s="253" t="str">
        <f>B47&amp;" "&amp;B51</f>
        <v>GSD(T)-1 CP</v>
      </c>
      <c r="B51" s="254" t="s">
        <v>148</v>
      </c>
      <c r="C51" s="284">
        <f>VLOOKUP($B47,'CP FCST'!$A$102:$M$118,'2018 SUBSEQUENT'!C$8,FALSE)</f>
        <v>3398141.6433676942</v>
      </c>
      <c r="D51" s="284">
        <f>VLOOKUP($B47,'CP FCST'!$A$102:$M$118,'2018 SUBSEQUENT'!D$8,FALSE)</f>
        <v>4006471.3723642332</v>
      </c>
      <c r="E51" s="284">
        <f>VLOOKUP($B47,'CP FCST'!$A$102:$M$118,'2018 SUBSEQUENT'!E$8,FALSE)</f>
        <v>3310986.9986908417</v>
      </c>
      <c r="F51" s="284">
        <f>VLOOKUP($B47,'CP FCST'!$A$102:$M$118,'2018 SUBSEQUENT'!F$8,FALSE)</f>
        <v>4027006.3795206537</v>
      </c>
      <c r="G51" s="284">
        <f>VLOOKUP($B47,'CP FCST'!$A$102:$M$118,'2018 SUBSEQUENT'!G$8,FALSE)</f>
        <v>4359904.1155952932</v>
      </c>
      <c r="H51" s="284">
        <f>VLOOKUP($B47,'CP FCST'!$A$102:$M$118,'2018 SUBSEQUENT'!H$8,FALSE)</f>
        <v>4584118.0830018204</v>
      </c>
      <c r="I51" s="284">
        <f>VLOOKUP($B47,'CP FCST'!$A$102:$M$118,'2018 SUBSEQUENT'!I$8,FALSE)</f>
        <v>4629134.3161336724</v>
      </c>
      <c r="J51" s="284">
        <f>VLOOKUP($B47,'CP FCST'!$A$102:$M$118,'2018 SUBSEQUENT'!J$8,FALSE)</f>
        <v>4640186.6403206792</v>
      </c>
      <c r="K51" s="284">
        <f>VLOOKUP($B47,'CP FCST'!$A$102:$M$118,'2018 SUBSEQUENT'!K$8,FALSE)</f>
        <v>4339386.8120165234</v>
      </c>
      <c r="L51" s="284">
        <f>VLOOKUP($B47,'CP FCST'!$A$102:$M$118,'2018 SUBSEQUENT'!L$8,FALSE)</f>
        <v>4257396.1907815654</v>
      </c>
      <c r="M51" s="284">
        <f>VLOOKUP($B47,'CP FCST'!$A$102:$M$118,'2018 SUBSEQUENT'!M$8,FALSE)</f>
        <v>3993425.9239700236</v>
      </c>
      <c r="N51" s="284">
        <f>VLOOKUP($B47,'CP FCST'!$A$102:$M$118,'2018 SUBSEQUENT'!N$8,FALSE)</f>
        <v>3759950.3183885794</v>
      </c>
      <c r="O51" s="284"/>
      <c r="P51" s="284"/>
      <c r="Q51" s="284"/>
      <c r="R51" s="255">
        <f>AVERAGE(C51:N51)</f>
        <v>4108842.3995126314</v>
      </c>
      <c r="T51" s="255">
        <f>VLOOKUP($B47,'CP FCST'!$A$102:$O$118,15,FALSE)</f>
        <v>4108842.3995126314</v>
      </c>
      <c r="U51" s="255">
        <f>R51-T51</f>
        <v>0</v>
      </c>
    </row>
    <row r="52" spans="1:21">
      <c r="B52" s="254" t="s">
        <v>570</v>
      </c>
      <c r="C52" s="285" t="str">
        <f t="shared" ref="C52:N52" si="5">IF(C51&gt;C50,"ERROR",IF(C50&gt;C49,"ERROR","OK"))</f>
        <v>OK</v>
      </c>
      <c r="D52" s="285" t="str">
        <f t="shared" si="5"/>
        <v>OK</v>
      </c>
      <c r="E52" s="285" t="str">
        <f t="shared" si="5"/>
        <v>OK</v>
      </c>
      <c r="F52" s="285" t="str">
        <f t="shared" si="5"/>
        <v>OK</v>
      </c>
      <c r="G52" s="285" t="str">
        <f t="shared" si="5"/>
        <v>OK</v>
      </c>
      <c r="H52" s="285" t="str">
        <f t="shared" si="5"/>
        <v>OK</v>
      </c>
      <c r="I52" s="285" t="str">
        <f t="shared" si="5"/>
        <v>OK</v>
      </c>
      <c r="J52" s="285" t="str">
        <f t="shared" si="5"/>
        <v>OK</v>
      </c>
      <c r="K52" s="285" t="str">
        <f t="shared" si="5"/>
        <v>OK</v>
      </c>
      <c r="L52" s="285" t="str">
        <f t="shared" si="5"/>
        <v>OK</v>
      </c>
      <c r="M52" s="285" t="str">
        <f t="shared" si="5"/>
        <v>OK</v>
      </c>
      <c r="N52" s="285" t="str">
        <f t="shared" si="5"/>
        <v>OK</v>
      </c>
      <c r="O52" s="284"/>
      <c r="P52" s="284"/>
      <c r="Q52" s="284"/>
      <c r="R52" s="255"/>
    </row>
    <row r="53" spans="1:21">
      <c r="B53" s="259"/>
      <c r="C53" s="284"/>
      <c r="D53" s="284"/>
      <c r="E53" s="284"/>
      <c r="F53" s="284"/>
      <c r="G53" s="284"/>
      <c r="H53" s="284"/>
      <c r="I53" s="284"/>
      <c r="J53" s="284"/>
      <c r="K53" s="284"/>
      <c r="L53" s="284"/>
      <c r="M53" s="284"/>
      <c r="N53" s="284"/>
      <c r="O53" s="284"/>
      <c r="P53" s="284"/>
      <c r="Q53" s="284"/>
      <c r="R53" s="282"/>
    </row>
    <row r="54" spans="1:21">
      <c r="B54" s="252" t="s">
        <v>68</v>
      </c>
      <c r="C54" s="284"/>
      <c r="D54" s="284"/>
      <c r="E54" s="284"/>
      <c r="F54" s="284"/>
      <c r="G54" s="284"/>
      <c r="H54" s="284"/>
      <c r="I54" s="284"/>
      <c r="J54" s="284"/>
      <c r="K54" s="284"/>
      <c r="L54" s="284"/>
      <c r="M54" s="284"/>
      <c r="N54" s="284"/>
      <c r="O54" s="284"/>
      <c r="P54" s="284"/>
      <c r="Q54" s="284"/>
      <c r="R54" s="282"/>
    </row>
    <row r="55" spans="1:21">
      <c r="A55" s="253" t="str">
        <f>B54&amp;" "&amp;B55</f>
        <v>GSLD(T)-1 KWH Sales</v>
      </c>
      <c r="B55" s="254" t="s">
        <v>563</v>
      </c>
      <c r="C55" s="284">
        <f>VLOOKUP($B54,'KWH FCST'!$A$104:$M$120,'2018 SUBSEQUENT'!C$8,FALSE)</f>
        <v>870597168</v>
      </c>
      <c r="D55" s="284">
        <f>VLOOKUP($B54,'KWH FCST'!$A$104:$M$120,'2018 SUBSEQUENT'!D$8,FALSE)</f>
        <v>784006470</v>
      </c>
      <c r="E55" s="284">
        <f>VLOOKUP($B54,'KWH FCST'!$A$104:$M$120,'2018 SUBSEQUENT'!E$8,FALSE)</f>
        <v>803735942</v>
      </c>
      <c r="F55" s="284">
        <f>VLOOKUP($B54,'KWH FCST'!$A$104:$M$120,'2018 SUBSEQUENT'!F$8,FALSE)</f>
        <v>818611119</v>
      </c>
      <c r="G55" s="284">
        <f>VLOOKUP($B54,'KWH FCST'!$A$104:$M$120,'2018 SUBSEQUENT'!G$8,FALSE)</f>
        <v>897899840</v>
      </c>
      <c r="H55" s="284">
        <f>VLOOKUP($B54,'KWH FCST'!$A$104:$M$120,'2018 SUBSEQUENT'!H$8,FALSE)</f>
        <v>923960089</v>
      </c>
      <c r="I55" s="284">
        <f>VLOOKUP($B54,'KWH FCST'!$A$104:$M$120,'2018 SUBSEQUENT'!I$8,FALSE)</f>
        <v>939148073</v>
      </c>
      <c r="J55" s="284">
        <f>VLOOKUP($B54,'KWH FCST'!$A$104:$M$120,'2018 SUBSEQUENT'!J$8,FALSE)</f>
        <v>946418138</v>
      </c>
      <c r="K55" s="284">
        <f>VLOOKUP($B54,'KWH FCST'!$A$104:$M$120,'2018 SUBSEQUENT'!K$8,FALSE)</f>
        <v>949043502</v>
      </c>
      <c r="L55" s="284">
        <f>VLOOKUP($B54,'KWH FCST'!$A$104:$M$120,'2018 SUBSEQUENT'!L$8,FALSE)</f>
        <v>915120924</v>
      </c>
      <c r="M55" s="284">
        <f>VLOOKUP($B54,'KWH FCST'!$A$104:$M$120,'2018 SUBSEQUENT'!M$8,FALSE)</f>
        <v>844793003</v>
      </c>
      <c r="N55" s="284">
        <f>VLOOKUP($B54,'KWH FCST'!$A$104:$M$120,'2018 SUBSEQUENT'!N$8,FALSE)</f>
        <v>868293213</v>
      </c>
      <c r="O55" s="284">
        <f>SUM(C55:N55)</f>
        <v>10561627481</v>
      </c>
      <c r="P55" s="284"/>
      <c r="Q55" s="284"/>
      <c r="R55" s="282"/>
      <c r="T55" s="255">
        <f>VLOOKUP(B54,'Sales Forecast'!$B$7:$AO$23,40,FALSE)</f>
        <v>10561627481</v>
      </c>
      <c r="U55" s="255">
        <f>+O55-T55</f>
        <v>0</v>
      </c>
    </row>
    <row r="56" spans="1:21">
      <c r="A56" s="253" t="str">
        <f>B54&amp;" "&amp;B56</f>
        <v>GSLD(T)-1 NCP</v>
      </c>
      <c r="B56" s="254" t="s">
        <v>133</v>
      </c>
      <c r="C56" s="284">
        <f>VLOOKUP($B54,'NCP FCST'!$A$103:$M$119,'2018 SUBSEQUENT'!C$8,FALSE)</f>
        <v>2110577.4202683987</v>
      </c>
      <c r="D56" s="284">
        <f>VLOOKUP($B54,'NCP FCST'!$A$103:$M$119,'2018 SUBSEQUENT'!D$8,FALSE)</f>
        <v>2073082.0240497014</v>
      </c>
      <c r="E56" s="284">
        <f>VLOOKUP($B54,'NCP FCST'!$A$103:$M$119,'2018 SUBSEQUENT'!E$8,FALSE)</f>
        <v>1963441.6713403258</v>
      </c>
      <c r="F56" s="284">
        <f>VLOOKUP($B54,'NCP FCST'!$A$103:$M$119,'2018 SUBSEQUENT'!F$8,FALSE)</f>
        <v>1994339.0424477945</v>
      </c>
      <c r="G56" s="284">
        <f>VLOOKUP($B54,'NCP FCST'!$A$103:$M$119,'2018 SUBSEQUENT'!G$8,FALSE)</f>
        <v>2108868.4591746437</v>
      </c>
      <c r="H56" s="284">
        <f>VLOOKUP($B54,'NCP FCST'!$A$103:$M$119,'2018 SUBSEQUENT'!H$8,FALSE)</f>
        <v>2248788.7256974285</v>
      </c>
      <c r="I56" s="284">
        <f>VLOOKUP($B54,'NCP FCST'!$A$103:$M$119,'2018 SUBSEQUENT'!I$8,FALSE)</f>
        <v>2121829.2884894093</v>
      </c>
      <c r="J56" s="284">
        <f>VLOOKUP($B54,'NCP FCST'!$A$103:$M$119,'2018 SUBSEQUENT'!J$8,FALSE)</f>
        <v>2161908.0695812912</v>
      </c>
      <c r="K56" s="284">
        <f>VLOOKUP($B54,'NCP FCST'!$A$103:$M$119,'2018 SUBSEQUENT'!K$8,FALSE)</f>
        <v>2278363.6315221656</v>
      </c>
      <c r="L56" s="284">
        <f>VLOOKUP($B54,'NCP FCST'!$A$103:$M$119,'2018 SUBSEQUENT'!L$8,FALSE)</f>
        <v>2153798.5399206942</v>
      </c>
      <c r="M56" s="284">
        <f>VLOOKUP($B54,'NCP FCST'!$A$103:$M$119,'2018 SUBSEQUENT'!M$8,FALSE)</f>
        <v>2135373.6489866525</v>
      </c>
      <c r="N56" s="284">
        <f>VLOOKUP($B54,'NCP FCST'!$A$103:$M$119,'2018 SUBSEQUENT'!N$8,FALSE)</f>
        <v>2160837.2595794871</v>
      </c>
      <c r="O56" s="284"/>
      <c r="P56" s="284">
        <f>MAX(C56:N56)</f>
        <v>2278363.6315221656</v>
      </c>
      <c r="Q56" s="284"/>
      <c r="R56" s="282"/>
      <c r="T56" s="255">
        <f>VLOOKUP($B54,'NCP FCST'!$A$103:$O$119,15,FALSE)</f>
        <v>2278363.6315221656</v>
      </c>
      <c r="U56" s="255">
        <f>P56-T56</f>
        <v>0</v>
      </c>
    </row>
    <row r="57" spans="1:21">
      <c r="A57" s="253" t="str">
        <f>B54&amp;" "&amp;B57</f>
        <v>GSLD(T)-1 GNCP</v>
      </c>
      <c r="B57" s="254" t="s">
        <v>342</v>
      </c>
      <c r="C57" s="284">
        <f>VLOOKUP($B54,'GNCP FCST'!$A$102:$M$118,'2018 SUBSEQUENT'!C$8,FALSE)</f>
        <v>1767361.5925516135</v>
      </c>
      <c r="D57" s="284">
        <f>VLOOKUP($B54,'GNCP FCST'!$A$102:$M$118,'2018 SUBSEQUENT'!D$8,FALSE)</f>
        <v>1765052.2565956744</v>
      </c>
      <c r="E57" s="284">
        <f>VLOOKUP($B54,'GNCP FCST'!$A$102:$M$118,'2018 SUBSEQUENT'!E$8,FALSE)</f>
        <v>1643837.8453562816</v>
      </c>
      <c r="F57" s="284">
        <f>VLOOKUP($B54,'GNCP FCST'!$A$102:$M$118,'2018 SUBSEQUENT'!F$8,FALSE)</f>
        <v>1689945.7908110449</v>
      </c>
      <c r="G57" s="284">
        <f>VLOOKUP($B54,'GNCP FCST'!$A$102:$M$118,'2018 SUBSEQUENT'!G$8,FALSE)</f>
        <v>1769328.3133835248</v>
      </c>
      <c r="H57" s="284">
        <f>VLOOKUP($B54,'GNCP FCST'!$A$102:$M$118,'2018 SUBSEQUENT'!H$8,FALSE)</f>
        <v>1833451.5368590944</v>
      </c>
      <c r="I57" s="284">
        <f>VLOOKUP($B54,'GNCP FCST'!$A$102:$M$118,'2018 SUBSEQUENT'!I$8,FALSE)</f>
        <v>1759659.0978182687</v>
      </c>
      <c r="J57" s="284">
        <f>VLOOKUP($B54,'GNCP FCST'!$A$102:$M$118,'2018 SUBSEQUENT'!J$8,FALSE)</f>
        <v>1840238.2198085808</v>
      </c>
      <c r="K57" s="284">
        <f>VLOOKUP($B54,'GNCP FCST'!$A$102:$M$118,'2018 SUBSEQUENT'!K$8,FALSE)</f>
        <v>1935087.724463901</v>
      </c>
      <c r="L57" s="284">
        <f>VLOOKUP($B54,'GNCP FCST'!$A$102:$M$118,'2018 SUBSEQUENT'!L$8,FALSE)</f>
        <v>1837819.6864316307</v>
      </c>
      <c r="M57" s="284">
        <f>VLOOKUP($B54,'GNCP FCST'!$A$102:$M$118,'2018 SUBSEQUENT'!M$8,FALSE)</f>
        <v>1838505.1342197452</v>
      </c>
      <c r="N57" s="284">
        <f>VLOOKUP($B54,'GNCP FCST'!$A$102:$M$118,'2018 SUBSEQUENT'!N$8,FALSE)</f>
        <v>1862128.804482775</v>
      </c>
      <c r="O57" s="284"/>
      <c r="Q57" s="284">
        <f>MAX(C57:N57)</f>
        <v>1935087.724463901</v>
      </c>
      <c r="R57" s="282"/>
      <c r="T57" s="255">
        <f>VLOOKUP($B54,'GNCP FCST'!$A$102:$O$118,15,FALSE)</f>
        <v>1935087.724463901</v>
      </c>
      <c r="U57" s="255">
        <f>+Q57-T57</f>
        <v>0</v>
      </c>
    </row>
    <row r="58" spans="1:21">
      <c r="A58" s="253" t="str">
        <f>B54&amp;" "&amp;B58</f>
        <v>GSLD(T)-1 CP</v>
      </c>
      <c r="B58" s="254" t="s">
        <v>148</v>
      </c>
      <c r="C58" s="284">
        <f>VLOOKUP($B54,'CP FCST'!$A$102:$M$118,'2018 SUBSEQUENT'!C$8,FALSE)</f>
        <v>1465290.5325141579</v>
      </c>
      <c r="D58" s="284">
        <f>VLOOKUP($B54,'CP FCST'!$A$102:$M$118,'2018 SUBSEQUENT'!D$8,FALSE)</f>
        <v>1706370.3543894158</v>
      </c>
      <c r="E58" s="284">
        <f>VLOOKUP($B54,'CP FCST'!$A$102:$M$118,'2018 SUBSEQUENT'!E$8,FALSE)</f>
        <v>1427294.3552634828</v>
      </c>
      <c r="F58" s="284">
        <f>VLOOKUP($B54,'CP FCST'!$A$102:$M$118,'2018 SUBSEQUENT'!F$8,FALSE)</f>
        <v>1648082.1303820838</v>
      </c>
      <c r="G58" s="284">
        <f>VLOOKUP($B54,'CP FCST'!$A$102:$M$118,'2018 SUBSEQUENT'!G$8,FALSE)</f>
        <v>1743381.2687417087</v>
      </c>
      <c r="H58" s="284">
        <f>VLOOKUP($B54,'CP FCST'!$A$102:$M$118,'2018 SUBSEQUENT'!H$8,FALSE)</f>
        <v>1831843.6754303798</v>
      </c>
      <c r="I58" s="284">
        <f>VLOOKUP($B54,'CP FCST'!$A$102:$M$118,'2018 SUBSEQUENT'!I$8,FALSE)</f>
        <v>1759659.0978182687</v>
      </c>
      <c r="J58" s="284">
        <f>VLOOKUP($B54,'CP FCST'!$A$102:$M$118,'2018 SUBSEQUENT'!J$8,FALSE)</f>
        <v>1820958.3490329061</v>
      </c>
      <c r="K58" s="284">
        <f>VLOOKUP($B54,'CP FCST'!$A$102:$M$118,'2018 SUBSEQUENT'!K$8,FALSE)</f>
        <v>1642440.8767967934</v>
      </c>
      <c r="L58" s="284">
        <f>VLOOKUP($B54,'CP FCST'!$A$102:$M$118,'2018 SUBSEQUENT'!L$8,FALSE)</f>
        <v>1752718.1086424384</v>
      </c>
      <c r="M58" s="284">
        <f>VLOOKUP($B54,'CP FCST'!$A$102:$M$118,'2018 SUBSEQUENT'!M$8,FALSE)</f>
        <v>1607578.2087142812</v>
      </c>
      <c r="N58" s="284">
        <f>VLOOKUP($B54,'CP FCST'!$A$102:$M$118,'2018 SUBSEQUENT'!N$8,FALSE)</f>
        <v>1526885.3365716282</v>
      </c>
      <c r="O58" s="284"/>
      <c r="P58" s="284"/>
      <c r="Q58" s="284"/>
      <c r="R58" s="255">
        <f>AVERAGE(C58:N58)</f>
        <v>1661041.8578581288</v>
      </c>
      <c r="T58" s="255">
        <f>VLOOKUP($B54,'CP FCST'!$A$102:$O$118,15,FALSE)</f>
        <v>1661041.8578581288</v>
      </c>
      <c r="U58" s="255">
        <f>R58-T58</f>
        <v>0</v>
      </c>
    </row>
    <row r="59" spans="1:21">
      <c r="B59" s="254" t="s">
        <v>570</v>
      </c>
      <c r="C59" s="285" t="str">
        <f t="shared" ref="C59:N59" si="6">IF(C58&gt;C57,"ERROR",IF(C57&gt;C56,"ERROR","OK"))</f>
        <v>OK</v>
      </c>
      <c r="D59" s="285" t="str">
        <f t="shared" si="6"/>
        <v>OK</v>
      </c>
      <c r="E59" s="285" t="str">
        <f t="shared" si="6"/>
        <v>OK</v>
      </c>
      <c r="F59" s="285" t="str">
        <f t="shared" si="6"/>
        <v>OK</v>
      </c>
      <c r="G59" s="285" t="str">
        <f t="shared" si="6"/>
        <v>OK</v>
      </c>
      <c r="H59" s="285" t="str">
        <f t="shared" si="6"/>
        <v>OK</v>
      </c>
      <c r="I59" s="285" t="str">
        <f t="shared" si="6"/>
        <v>OK</v>
      </c>
      <c r="J59" s="285" t="str">
        <f t="shared" si="6"/>
        <v>OK</v>
      </c>
      <c r="K59" s="285" t="str">
        <f t="shared" si="6"/>
        <v>OK</v>
      </c>
      <c r="L59" s="285" t="str">
        <f t="shared" si="6"/>
        <v>OK</v>
      </c>
      <c r="M59" s="285" t="str">
        <f t="shared" si="6"/>
        <v>OK</v>
      </c>
      <c r="N59" s="285" t="str">
        <f t="shared" si="6"/>
        <v>OK</v>
      </c>
      <c r="O59" s="284"/>
      <c r="P59" s="284"/>
      <c r="Q59" s="284"/>
      <c r="R59" s="255"/>
    </row>
    <row r="60" spans="1:21">
      <c r="B60" s="259"/>
      <c r="C60" s="284"/>
      <c r="D60" s="284"/>
      <c r="E60" s="284"/>
      <c r="F60" s="284"/>
      <c r="G60" s="284"/>
      <c r="H60" s="284"/>
      <c r="I60" s="284"/>
      <c r="J60" s="284"/>
      <c r="K60" s="284"/>
      <c r="L60" s="284"/>
      <c r="M60" s="284"/>
      <c r="N60" s="284"/>
      <c r="O60" s="284"/>
      <c r="P60" s="284"/>
      <c r="Q60" s="284"/>
      <c r="R60" s="282"/>
    </row>
    <row r="61" spans="1:21">
      <c r="B61" s="252" t="s">
        <v>69</v>
      </c>
      <c r="C61" s="284"/>
      <c r="D61" s="284"/>
      <c r="E61" s="284"/>
      <c r="F61" s="284"/>
      <c r="G61" s="284"/>
      <c r="H61" s="284"/>
      <c r="I61" s="284"/>
      <c r="J61" s="284"/>
      <c r="K61" s="284"/>
      <c r="L61" s="284"/>
      <c r="M61" s="284"/>
      <c r="N61" s="284"/>
      <c r="O61" s="284"/>
      <c r="P61" s="284"/>
      <c r="Q61" s="284"/>
      <c r="R61" s="282"/>
    </row>
    <row r="62" spans="1:21">
      <c r="A62" s="253" t="str">
        <f>B61&amp;" "&amp;B62</f>
        <v>GSLD(T)-2 KWH Sales</v>
      </c>
      <c r="B62" s="254" t="s">
        <v>563</v>
      </c>
      <c r="C62" s="284">
        <f>VLOOKUP($B61,'KWH FCST'!$A$104:$M$120,'2018 SUBSEQUENT'!C$8,FALSE)</f>
        <v>213349844</v>
      </c>
      <c r="D62" s="284">
        <f>VLOOKUP($B61,'KWH FCST'!$A$104:$M$120,'2018 SUBSEQUENT'!D$8,FALSE)</f>
        <v>188241092</v>
      </c>
      <c r="E62" s="284">
        <f>VLOOKUP($B61,'KWH FCST'!$A$104:$M$120,'2018 SUBSEQUENT'!E$8,FALSE)</f>
        <v>193060457</v>
      </c>
      <c r="F62" s="284">
        <f>VLOOKUP($B61,'KWH FCST'!$A$104:$M$120,'2018 SUBSEQUENT'!F$8,FALSE)</f>
        <v>194555503</v>
      </c>
      <c r="G62" s="284">
        <f>VLOOKUP($B61,'KWH FCST'!$A$104:$M$120,'2018 SUBSEQUENT'!G$8,FALSE)</f>
        <v>208135640</v>
      </c>
      <c r="H62" s="284">
        <f>VLOOKUP($B61,'KWH FCST'!$A$104:$M$120,'2018 SUBSEQUENT'!H$8,FALSE)</f>
        <v>219534845</v>
      </c>
      <c r="I62" s="284">
        <f>VLOOKUP($B61,'KWH FCST'!$A$104:$M$120,'2018 SUBSEQUENT'!I$8,FALSE)</f>
        <v>224959658</v>
      </c>
      <c r="J62" s="284">
        <f>VLOOKUP($B61,'KWH FCST'!$A$104:$M$120,'2018 SUBSEQUENT'!J$8,FALSE)</f>
        <v>227679903</v>
      </c>
      <c r="K62" s="284">
        <f>VLOOKUP($B61,'KWH FCST'!$A$104:$M$120,'2018 SUBSEQUENT'!K$8,FALSE)</f>
        <v>221058338</v>
      </c>
      <c r="L62" s="284">
        <f>VLOOKUP($B61,'KWH FCST'!$A$104:$M$120,'2018 SUBSEQUENT'!L$8,FALSE)</f>
        <v>212178164</v>
      </c>
      <c r="M62" s="284">
        <f>VLOOKUP($B61,'KWH FCST'!$A$104:$M$120,'2018 SUBSEQUENT'!M$8,FALSE)</f>
        <v>201348538</v>
      </c>
      <c r="N62" s="284">
        <f>VLOOKUP($B61,'KWH FCST'!$A$104:$M$120,'2018 SUBSEQUENT'!N$8,FALSE)</f>
        <v>207329605</v>
      </c>
      <c r="O62" s="284">
        <f>SUM(C62:N62)</f>
        <v>2511431587</v>
      </c>
      <c r="P62" s="284"/>
      <c r="Q62" s="284"/>
      <c r="R62" s="282"/>
      <c r="T62" s="255">
        <f>VLOOKUP(B61,'Sales Forecast'!$B$7:$AO$23,40,FALSE)</f>
        <v>2511431587</v>
      </c>
      <c r="U62" s="255">
        <f>+O62-T62</f>
        <v>0</v>
      </c>
    </row>
    <row r="63" spans="1:21">
      <c r="A63" s="253" t="str">
        <f>B61&amp;" "&amp;B63</f>
        <v>GSLD(T)-2 NCP</v>
      </c>
      <c r="B63" s="254" t="s">
        <v>133</v>
      </c>
      <c r="C63" s="284">
        <f>VLOOKUP($B61,'NCP FCST'!$A$103:$M$119,'2018 SUBSEQUENT'!C$8,FALSE)</f>
        <v>449266.43708169082</v>
      </c>
      <c r="D63" s="284">
        <f>VLOOKUP($B61,'NCP FCST'!$A$103:$M$119,'2018 SUBSEQUENT'!D$8,FALSE)</f>
        <v>436481.0853330142</v>
      </c>
      <c r="E63" s="284">
        <f>VLOOKUP($B61,'NCP FCST'!$A$103:$M$119,'2018 SUBSEQUENT'!E$8,FALSE)</f>
        <v>406792.58776793798</v>
      </c>
      <c r="F63" s="284">
        <f>VLOOKUP($B61,'NCP FCST'!$A$103:$M$119,'2018 SUBSEQUENT'!F$8,FALSE)</f>
        <v>414913.51785381761</v>
      </c>
      <c r="G63" s="284">
        <f>VLOOKUP($B61,'NCP FCST'!$A$103:$M$119,'2018 SUBSEQUENT'!G$8,FALSE)</f>
        <v>421827.55374563584</v>
      </c>
      <c r="H63" s="284">
        <f>VLOOKUP($B61,'NCP FCST'!$A$103:$M$119,'2018 SUBSEQUENT'!H$8,FALSE)</f>
        <v>437682.08387955517</v>
      </c>
      <c r="I63" s="284">
        <f>VLOOKUP($B61,'NCP FCST'!$A$103:$M$119,'2018 SUBSEQUENT'!I$8,FALSE)</f>
        <v>444336.02734733146</v>
      </c>
      <c r="J63" s="284">
        <f>VLOOKUP($B61,'NCP FCST'!$A$103:$M$119,'2018 SUBSEQUENT'!J$8,FALSE)</f>
        <v>439600.18250594579</v>
      </c>
      <c r="K63" s="284">
        <f>VLOOKUP($B61,'NCP FCST'!$A$103:$M$119,'2018 SUBSEQUENT'!K$8,FALSE)</f>
        <v>457843.27157036646</v>
      </c>
      <c r="L63" s="284">
        <f>VLOOKUP($B61,'NCP FCST'!$A$103:$M$119,'2018 SUBSEQUENT'!L$8,FALSE)</f>
        <v>435646.47432562406</v>
      </c>
      <c r="M63" s="284">
        <f>VLOOKUP($B61,'NCP FCST'!$A$103:$M$119,'2018 SUBSEQUENT'!M$8,FALSE)</f>
        <v>442300.90097210009</v>
      </c>
      <c r="N63" s="284">
        <f>VLOOKUP($B61,'NCP FCST'!$A$103:$M$119,'2018 SUBSEQUENT'!N$8,FALSE)</f>
        <v>442713.68422670598</v>
      </c>
      <c r="O63" s="284"/>
      <c r="P63" s="284">
        <f>MAX(C63:N63)</f>
        <v>457843.27157036646</v>
      </c>
      <c r="Q63" s="284"/>
      <c r="R63" s="282"/>
      <c r="T63" s="255">
        <f>VLOOKUP($B61,'NCP FCST'!$A$103:$O$119,15,FALSE)</f>
        <v>457843.27157036646</v>
      </c>
      <c r="U63" s="255">
        <f>P63-T63</f>
        <v>0</v>
      </c>
    </row>
    <row r="64" spans="1:21">
      <c r="A64" s="253" t="str">
        <f>B61&amp;" "&amp;B64</f>
        <v>GSLD(T)-2 GNCP</v>
      </c>
      <c r="B64" s="254" t="s">
        <v>342</v>
      </c>
      <c r="C64" s="284">
        <f>VLOOKUP($B61,'GNCP FCST'!$A$102:$M$118,'2018 SUBSEQUENT'!C$8,FALSE)</f>
        <v>363685.80627934641</v>
      </c>
      <c r="D64" s="284">
        <f>VLOOKUP($B61,'GNCP FCST'!$A$102:$M$118,'2018 SUBSEQUENT'!D$8,FALSE)</f>
        <v>352139.64892819215</v>
      </c>
      <c r="E64" s="284">
        <f>VLOOKUP($B61,'GNCP FCST'!$A$102:$M$118,'2018 SUBSEQUENT'!E$8,FALSE)</f>
        <v>327179.15437755245</v>
      </c>
      <c r="F64" s="284">
        <f>VLOOKUP($B61,'GNCP FCST'!$A$102:$M$118,'2018 SUBSEQUENT'!F$8,FALSE)</f>
        <v>334873.32986210642</v>
      </c>
      <c r="G64" s="284">
        <f>VLOOKUP($B61,'GNCP FCST'!$A$102:$M$118,'2018 SUBSEQUENT'!G$8,FALSE)</f>
        <v>338427.08149301959</v>
      </c>
      <c r="H64" s="284">
        <f>VLOOKUP($B61,'GNCP FCST'!$A$102:$M$118,'2018 SUBSEQUENT'!H$8,FALSE)</f>
        <v>351856.50356811011</v>
      </c>
      <c r="I64" s="284">
        <f>VLOOKUP($B61,'GNCP FCST'!$A$102:$M$118,'2018 SUBSEQUENT'!I$8,FALSE)</f>
        <v>356057.56071883789</v>
      </c>
      <c r="J64" s="284">
        <f>VLOOKUP($B61,'GNCP FCST'!$A$102:$M$118,'2018 SUBSEQUENT'!J$8,FALSE)</f>
        <v>351664.65686761087</v>
      </c>
      <c r="K64" s="284">
        <f>VLOOKUP($B61,'GNCP FCST'!$A$102:$M$118,'2018 SUBSEQUENT'!K$8,FALSE)</f>
        <v>366698.48301689303</v>
      </c>
      <c r="L64" s="284">
        <f>VLOOKUP($B61,'GNCP FCST'!$A$102:$M$118,'2018 SUBSEQUENT'!L$8,FALSE)</f>
        <v>345943.56519292278</v>
      </c>
      <c r="M64" s="284">
        <f>VLOOKUP($B61,'GNCP FCST'!$A$102:$M$118,'2018 SUBSEQUENT'!M$8,FALSE)</f>
        <v>360740.98819996353</v>
      </c>
      <c r="N64" s="284">
        <f>VLOOKUP($B61,'GNCP FCST'!$A$102:$M$118,'2018 SUBSEQUENT'!N$8,FALSE)</f>
        <v>358968.3223592217</v>
      </c>
      <c r="O64" s="284"/>
      <c r="Q64" s="284">
        <f>MAX(C64:N64)</f>
        <v>366698.48301689303</v>
      </c>
      <c r="R64" s="282"/>
      <c r="T64" s="255">
        <f>VLOOKUP($B61,'GNCP FCST'!$A$102:$O$118,15,FALSE)</f>
        <v>366698.48301689303</v>
      </c>
      <c r="U64" s="255">
        <f>+Q64-T64</f>
        <v>0</v>
      </c>
    </row>
    <row r="65" spans="1:21">
      <c r="A65" s="253" t="str">
        <f>B61&amp;" "&amp;B65</f>
        <v>GSLD(T)-2 CP</v>
      </c>
      <c r="B65" s="254" t="s">
        <v>148</v>
      </c>
      <c r="C65" s="284">
        <f>VLOOKUP($B61,'CP FCST'!$A$102:$M$118,'2018 SUBSEQUENT'!C$8,FALSE)</f>
        <v>306325.56955002289</v>
      </c>
      <c r="D65" s="284">
        <f>VLOOKUP($B61,'CP FCST'!$A$102:$M$118,'2018 SUBSEQUENT'!D$8,FALSE)</f>
        <v>344549.13822153688</v>
      </c>
      <c r="E65" s="284">
        <f>VLOOKUP($B61,'CP FCST'!$A$102:$M$118,'2018 SUBSEQUENT'!E$8,FALSE)</f>
        <v>309951.94873697363</v>
      </c>
      <c r="F65" s="284">
        <f>VLOOKUP($B61,'CP FCST'!$A$102:$M$118,'2018 SUBSEQUENT'!F$8,FALSE)</f>
        <v>320700.9764646776</v>
      </c>
      <c r="G65" s="284">
        <f>VLOOKUP($B61,'CP FCST'!$A$102:$M$118,'2018 SUBSEQUENT'!G$8,FALSE)</f>
        <v>334659.02347613667</v>
      </c>
      <c r="H65" s="284">
        <f>VLOOKUP($B61,'CP FCST'!$A$102:$M$118,'2018 SUBSEQUENT'!H$8,FALSE)</f>
        <v>336530.56730394077</v>
      </c>
      <c r="I65" s="284">
        <f>VLOOKUP($B61,'CP FCST'!$A$102:$M$118,'2018 SUBSEQUENT'!I$8,FALSE)</f>
        <v>344117.04519037978</v>
      </c>
      <c r="J65" s="284">
        <f>VLOOKUP($B61,'CP FCST'!$A$102:$M$118,'2018 SUBSEQUENT'!J$8,FALSE)</f>
        <v>349260.67174394475</v>
      </c>
      <c r="K65" s="284">
        <f>VLOOKUP($B61,'CP FCST'!$A$102:$M$118,'2018 SUBSEQUENT'!K$8,FALSE)</f>
        <v>327498.98899022304</v>
      </c>
      <c r="L65" s="284">
        <f>VLOOKUP($B61,'CP FCST'!$A$102:$M$118,'2018 SUBSEQUENT'!L$8,FALSE)</f>
        <v>325543.3149252967</v>
      </c>
      <c r="M65" s="284">
        <f>VLOOKUP($B61,'CP FCST'!$A$102:$M$118,'2018 SUBSEQUENT'!M$8,FALSE)</f>
        <v>332058.35253853607</v>
      </c>
      <c r="N65" s="284">
        <f>VLOOKUP($B61,'CP FCST'!$A$102:$M$118,'2018 SUBSEQUENT'!N$8,FALSE)</f>
        <v>330392.23330520146</v>
      </c>
      <c r="O65" s="284"/>
      <c r="P65" s="284"/>
      <c r="Q65" s="284"/>
      <c r="R65" s="255">
        <f>AVERAGE(C65:N65)</f>
        <v>330132.31920390588</v>
      </c>
      <c r="T65" s="255">
        <f>VLOOKUP($B61,'CP FCST'!$A$102:$O$118,15,FALSE)</f>
        <v>330132.31920390588</v>
      </c>
      <c r="U65" s="255">
        <f>R65-T65</f>
        <v>0</v>
      </c>
    </row>
    <row r="66" spans="1:21">
      <c r="B66" s="254" t="s">
        <v>570</v>
      </c>
      <c r="C66" s="285" t="str">
        <f t="shared" ref="C66:N66" si="7">IF(C65&gt;C64,"ERROR",IF(C64&gt;C63,"ERROR","OK"))</f>
        <v>OK</v>
      </c>
      <c r="D66" s="285" t="str">
        <f t="shared" si="7"/>
        <v>OK</v>
      </c>
      <c r="E66" s="285" t="str">
        <f t="shared" si="7"/>
        <v>OK</v>
      </c>
      <c r="F66" s="285" t="str">
        <f t="shared" si="7"/>
        <v>OK</v>
      </c>
      <c r="G66" s="285" t="str">
        <f t="shared" si="7"/>
        <v>OK</v>
      </c>
      <c r="H66" s="285" t="str">
        <f t="shared" si="7"/>
        <v>OK</v>
      </c>
      <c r="I66" s="285" t="str">
        <f t="shared" si="7"/>
        <v>OK</v>
      </c>
      <c r="J66" s="285" t="str">
        <f t="shared" si="7"/>
        <v>OK</v>
      </c>
      <c r="K66" s="285" t="str">
        <f t="shared" si="7"/>
        <v>OK</v>
      </c>
      <c r="L66" s="285" t="str">
        <f t="shared" si="7"/>
        <v>OK</v>
      </c>
      <c r="M66" s="285" t="str">
        <f t="shared" si="7"/>
        <v>OK</v>
      </c>
      <c r="N66" s="285" t="str">
        <f t="shared" si="7"/>
        <v>OK</v>
      </c>
      <c r="O66" s="284"/>
      <c r="P66" s="284"/>
      <c r="Q66" s="284"/>
      <c r="R66" s="255"/>
    </row>
    <row r="67" spans="1:21">
      <c r="B67" s="259"/>
      <c r="C67" s="284"/>
      <c r="D67" s="284"/>
      <c r="E67" s="284"/>
      <c r="F67" s="284"/>
      <c r="G67" s="284"/>
      <c r="H67" s="284"/>
      <c r="I67" s="284"/>
      <c r="J67" s="284"/>
      <c r="K67" s="284"/>
      <c r="L67" s="284"/>
      <c r="M67" s="284"/>
      <c r="N67" s="284"/>
      <c r="O67" s="284"/>
      <c r="P67" s="284"/>
      <c r="Q67" s="284"/>
      <c r="R67" s="282"/>
    </row>
    <row r="68" spans="1:21">
      <c r="B68" s="252" t="s">
        <v>52</v>
      </c>
      <c r="C68" s="284"/>
      <c r="D68" s="284"/>
      <c r="E68" s="284"/>
      <c r="F68" s="284"/>
      <c r="G68" s="284"/>
      <c r="H68" s="284"/>
      <c r="I68" s="284"/>
      <c r="J68" s="284"/>
      <c r="K68" s="284"/>
      <c r="L68" s="284"/>
      <c r="M68" s="284"/>
      <c r="N68" s="284"/>
      <c r="O68" s="284"/>
      <c r="P68" s="284"/>
      <c r="Q68" s="284"/>
      <c r="R68" s="282"/>
    </row>
    <row r="69" spans="1:21">
      <c r="A69" s="253" t="str">
        <f>B68&amp;" "&amp;B69</f>
        <v>GSLD(T)-3 KWH Sales</v>
      </c>
      <c r="B69" s="254" t="s">
        <v>563</v>
      </c>
      <c r="C69" s="284">
        <f>VLOOKUP($B68,'KWH FCST'!$A$104:$M$120,'2018 SUBSEQUENT'!C$8,FALSE)</f>
        <v>15425108</v>
      </c>
      <c r="D69" s="284">
        <f>VLOOKUP($B68,'KWH FCST'!$A$104:$M$120,'2018 SUBSEQUENT'!D$8,FALSE)</f>
        <v>16748922</v>
      </c>
      <c r="E69" s="284">
        <f>VLOOKUP($B68,'KWH FCST'!$A$104:$M$120,'2018 SUBSEQUENT'!E$8,FALSE)</f>
        <v>15198299</v>
      </c>
      <c r="F69" s="284">
        <f>VLOOKUP($B68,'KWH FCST'!$A$104:$M$120,'2018 SUBSEQUENT'!F$8,FALSE)</f>
        <v>15447726</v>
      </c>
      <c r="G69" s="284">
        <f>VLOOKUP($B68,'KWH FCST'!$A$104:$M$120,'2018 SUBSEQUENT'!G$8,FALSE)</f>
        <v>16458422</v>
      </c>
      <c r="H69" s="284">
        <f>VLOOKUP($B68,'KWH FCST'!$A$104:$M$120,'2018 SUBSEQUENT'!H$8,FALSE)</f>
        <v>16352543</v>
      </c>
      <c r="I69" s="284">
        <f>VLOOKUP($B68,'KWH FCST'!$A$104:$M$120,'2018 SUBSEQUENT'!I$8,FALSE)</f>
        <v>13949252</v>
      </c>
      <c r="J69" s="284">
        <f>VLOOKUP($B68,'KWH FCST'!$A$104:$M$120,'2018 SUBSEQUENT'!J$8,FALSE)</f>
        <v>14409104</v>
      </c>
      <c r="K69" s="284">
        <f>VLOOKUP($B68,'KWH FCST'!$A$104:$M$120,'2018 SUBSEQUENT'!K$8,FALSE)</f>
        <v>13006701</v>
      </c>
      <c r="L69" s="284">
        <f>VLOOKUP($B68,'KWH FCST'!$A$104:$M$120,'2018 SUBSEQUENT'!L$8,FALSE)</f>
        <v>13385730</v>
      </c>
      <c r="M69" s="284">
        <f>VLOOKUP($B68,'KWH FCST'!$A$104:$M$120,'2018 SUBSEQUENT'!M$8,FALSE)</f>
        <v>12175178</v>
      </c>
      <c r="N69" s="284">
        <f>VLOOKUP($B68,'KWH FCST'!$A$104:$M$120,'2018 SUBSEQUENT'!N$8,FALSE)</f>
        <v>13225543</v>
      </c>
      <c r="O69" s="284">
        <f>SUM(C69:N69)</f>
        <v>175782528</v>
      </c>
      <c r="P69" s="284"/>
      <c r="Q69" s="284"/>
      <c r="R69" s="282"/>
      <c r="T69" s="255">
        <f>VLOOKUP(B68,'Sales Forecast'!$B$7:$AO$23,40,FALSE)</f>
        <v>175782528</v>
      </c>
      <c r="U69" s="255">
        <f>+O69-T69</f>
        <v>0</v>
      </c>
    </row>
    <row r="70" spans="1:21">
      <c r="A70" s="253" t="str">
        <f>B68&amp;" "&amp;B70</f>
        <v>GSLD(T)-3 NCP</v>
      </c>
      <c r="B70" s="254" t="s">
        <v>133</v>
      </c>
      <c r="C70" s="284">
        <f>VLOOKUP($B68,'NCP FCST'!$A$103:$M$119,'2018 SUBSEQUENT'!C$8,FALSE)</f>
        <v>35571.105007258411</v>
      </c>
      <c r="D70" s="284">
        <f>VLOOKUP($B68,'NCP FCST'!$A$103:$M$119,'2018 SUBSEQUENT'!D$8,FALSE)</f>
        <v>43612.119502022644</v>
      </c>
      <c r="E70" s="284">
        <f>VLOOKUP($B68,'NCP FCST'!$A$103:$M$119,'2018 SUBSEQUENT'!E$8,FALSE)</f>
        <v>37021.299709719096</v>
      </c>
      <c r="F70" s="284">
        <f>VLOOKUP($B68,'NCP FCST'!$A$103:$M$119,'2018 SUBSEQUENT'!F$8,FALSE)</f>
        <v>38357.147523327163</v>
      </c>
      <c r="G70" s="284">
        <f>VLOOKUP($B68,'NCP FCST'!$A$103:$M$119,'2018 SUBSEQUENT'!G$8,FALSE)</f>
        <v>38798.099941724882</v>
      </c>
      <c r="H70" s="284">
        <f>VLOOKUP($B68,'NCP FCST'!$A$103:$M$119,'2018 SUBSEQUENT'!H$8,FALSE)</f>
        <v>42238.228394773621</v>
      </c>
      <c r="I70" s="284">
        <f>VLOOKUP($B68,'NCP FCST'!$A$103:$M$119,'2018 SUBSEQUENT'!I$8,FALSE)</f>
        <v>33914.297132359825</v>
      </c>
      <c r="J70" s="284">
        <f>VLOOKUP($B68,'NCP FCST'!$A$103:$M$119,'2018 SUBSEQUENT'!J$8,FALSE)</f>
        <v>33141.989966329362</v>
      </c>
      <c r="K70" s="284">
        <f>VLOOKUP($B68,'NCP FCST'!$A$103:$M$119,'2018 SUBSEQUENT'!K$8,FALSE)</f>
        <v>33641.250674188552</v>
      </c>
      <c r="L70" s="284">
        <f>VLOOKUP($B68,'NCP FCST'!$A$103:$M$119,'2018 SUBSEQUENT'!L$8,FALSE)</f>
        <v>33233.678117677147</v>
      </c>
      <c r="M70" s="284">
        <f>VLOOKUP($B68,'NCP FCST'!$A$103:$M$119,'2018 SUBSEQUENT'!M$8,FALSE)</f>
        <v>34585.537375051186</v>
      </c>
      <c r="N70" s="284">
        <f>VLOOKUP($B68,'NCP FCST'!$A$103:$M$119,'2018 SUBSEQUENT'!N$8,FALSE)</f>
        <v>32713.0663788694</v>
      </c>
      <c r="O70" s="284"/>
      <c r="P70" s="284">
        <f>MAX(C70:N70)</f>
        <v>43612.119502022644</v>
      </c>
      <c r="Q70" s="284"/>
      <c r="R70" s="282"/>
      <c r="T70" s="255">
        <f>VLOOKUP($B68,'NCP FCST'!$A$103:$O$119,15,FALSE)</f>
        <v>43612.119502022644</v>
      </c>
      <c r="U70" s="255">
        <f>P70-T70</f>
        <v>0</v>
      </c>
    </row>
    <row r="71" spans="1:21">
      <c r="A71" s="253" t="str">
        <f>B68&amp;" "&amp;B71</f>
        <v>GSLD(T)-3 GNCP</v>
      </c>
      <c r="B71" s="254" t="s">
        <v>342</v>
      </c>
      <c r="C71" s="284">
        <f>VLOOKUP($B68,'GNCP FCST'!$A$102:$M$118,'2018 SUBSEQUENT'!C$8,FALSE)</f>
        <v>27881.268154221616</v>
      </c>
      <c r="D71" s="284">
        <f>VLOOKUP($B68,'GNCP FCST'!$A$102:$M$118,'2018 SUBSEQUENT'!D$8,FALSE)</f>
        <v>36855.415748213207</v>
      </c>
      <c r="E71" s="284">
        <f>VLOOKUP($B68,'GNCP FCST'!$A$102:$M$118,'2018 SUBSEQUENT'!E$8,FALSE)</f>
        <v>29381.307671426475</v>
      </c>
      <c r="F71" s="284">
        <f>VLOOKUP($B68,'GNCP FCST'!$A$102:$M$118,'2018 SUBSEQUENT'!F$8,FALSE)</f>
        <v>32465.421397408139</v>
      </c>
      <c r="G71" s="284">
        <f>VLOOKUP($B68,'GNCP FCST'!$A$102:$M$118,'2018 SUBSEQUENT'!G$8,FALSE)</f>
        <v>31697.44111915513</v>
      </c>
      <c r="H71" s="284">
        <f>VLOOKUP($B68,'GNCP FCST'!$A$102:$M$118,'2018 SUBSEQUENT'!H$8,FALSE)</f>
        <v>34499.978206049956</v>
      </c>
      <c r="I71" s="284">
        <f>VLOOKUP($B68,'GNCP FCST'!$A$102:$M$118,'2018 SUBSEQUENT'!I$8,FALSE)</f>
        <v>26204.764947597349</v>
      </c>
      <c r="J71" s="284">
        <f>VLOOKUP($B68,'GNCP FCST'!$A$102:$M$118,'2018 SUBSEQUENT'!J$8,FALSE)</f>
        <v>29315.491542922355</v>
      </c>
      <c r="K71" s="284">
        <f>VLOOKUP($B68,'GNCP FCST'!$A$102:$M$118,'2018 SUBSEQUENT'!K$8,FALSE)</f>
        <v>27882.980887254183</v>
      </c>
      <c r="L71" s="284">
        <f>VLOOKUP($B68,'GNCP FCST'!$A$102:$M$118,'2018 SUBSEQUENT'!L$8,FALSE)</f>
        <v>27504.311042038007</v>
      </c>
      <c r="M71" s="284">
        <f>VLOOKUP($B68,'GNCP FCST'!$A$102:$M$118,'2018 SUBSEQUENT'!M$8,FALSE)</f>
        <v>25662.405035626318</v>
      </c>
      <c r="N71" s="284">
        <f>VLOOKUP($B68,'GNCP FCST'!$A$102:$M$118,'2018 SUBSEQUENT'!N$8,FALSE)</f>
        <v>25758.351743340467</v>
      </c>
      <c r="O71" s="284"/>
      <c r="Q71" s="284">
        <f>MAX(C71:N71)</f>
        <v>36855.415748213207</v>
      </c>
      <c r="R71" s="282"/>
      <c r="T71" s="255">
        <f>VLOOKUP($B68,'GNCP FCST'!$A$102:$O$118,15,FALSE)</f>
        <v>36855.415748213207</v>
      </c>
      <c r="U71" s="255">
        <f>+Q71-T71</f>
        <v>0</v>
      </c>
    </row>
    <row r="72" spans="1:21">
      <c r="A72" s="253" t="str">
        <f>B68&amp;" "&amp;B72</f>
        <v>GSLD(T)-3 CP</v>
      </c>
      <c r="B72" s="254" t="s">
        <v>148</v>
      </c>
      <c r="C72" s="284">
        <f>VLOOKUP($B68,'CP FCST'!$A$102:$M$118,'2018 SUBSEQUENT'!C$8,FALSE)</f>
        <v>23165.48104411742</v>
      </c>
      <c r="D72" s="284">
        <f>VLOOKUP($B68,'CP FCST'!$A$102:$M$118,'2018 SUBSEQUENT'!D$8,FALSE)</f>
        <v>27048.622753068437</v>
      </c>
      <c r="E72" s="284">
        <f>VLOOKUP($B68,'CP FCST'!$A$102:$M$118,'2018 SUBSEQUENT'!E$8,FALSE)</f>
        <v>25915.162707454678</v>
      </c>
      <c r="F72" s="284">
        <f>VLOOKUP($B68,'CP FCST'!$A$102:$M$118,'2018 SUBSEQUENT'!F$8,FALSE)</f>
        <v>27616.336604310727</v>
      </c>
      <c r="G72" s="284">
        <f>VLOOKUP($B68,'CP FCST'!$A$102:$M$118,'2018 SUBSEQUENT'!G$8,FALSE)</f>
        <v>25458.303023398716</v>
      </c>
      <c r="H72" s="284">
        <f>VLOOKUP($B68,'CP FCST'!$A$102:$M$118,'2018 SUBSEQUENT'!H$8,FALSE)</f>
        <v>27155.051708630894</v>
      </c>
      <c r="I72" s="284">
        <f>VLOOKUP($B68,'CP FCST'!$A$102:$M$118,'2018 SUBSEQUENT'!I$8,FALSE)</f>
        <v>23158.88716181169</v>
      </c>
      <c r="J72" s="284">
        <f>VLOOKUP($B68,'CP FCST'!$A$102:$M$118,'2018 SUBSEQUENT'!J$8,FALSE)</f>
        <v>26210.127863961945</v>
      </c>
      <c r="K72" s="284">
        <f>VLOOKUP($B68,'CP FCST'!$A$102:$M$118,'2018 SUBSEQUENT'!K$8,FALSE)</f>
        <v>19357.439222751524</v>
      </c>
      <c r="L72" s="284">
        <f>VLOOKUP($B68,'CP FCST'!$A$102:$M$118,'2018 SUBSEQUENT'!L$8,FALSE)</f>
        <v>21710.413972268983</v>
      </c>
      <c r="M72" s="284">
        <f>VLOOKUP($B68,'CP FCST'!$A$102:$M$118,'2018 SUBSEQUENT'!M$8,FALSE)</f>
        <v>18008.354814466064</v>
      </c>
      <c r="N72" s="284">
        <f>VLOOKUP($B68,'CP FCST'!$A$102:$M$118,'2018 SUBSEQUENT'!N$8,FALSE)</f>
        <v>17499.523647236445</v>
      </c>
      <c r="O72" s="284"/>
      <c r="P72" s="284"/>
      <c r="Q72" s="284"/>
      <c r="R72" s="255">
        <f>AVERAGE(C72:N72)</f>
        <v>23525.308710289799</v>
      </c>
      <c r="T72" s="255">
        <f>VLOOKUP($B68,'CP FCST'!$A$102:$O$118,15,FALSE)</f>
        <v>23525.308710289799</v>
      </c>
      <c r="U72" s="255">
        <f>R72-T72</f>
        <v>0</v>
      </c>
    </row>
    <row r="73" spans="1:21">
      <c r="B73" s="254" t="s">
        <v>570</v>
      </c>
      <c r="C73" s="285" t="str">
        <f t="shared" ref="C73:N73" si="8">IF(C72&gt;C71,"ERROR",IF(C71&gt;C70,"ERROR","OK"))</f>
        <v>OK</v>
      </c>
      <c r="D73" s="285" t="str">
        <f t="shared" si="8"/>
        <v>OK</v>
      </c>
      <c r="E73" s="285" t="str">
        <f t="shared" si="8"/>
        <v>OK</v>
      </c>
      <c r="F73" s="285" t="str">
        <f t="shared" si="8"/>
        <v>OK</v>
      </c>
      <c r="G73" s="285" t="str">
        <f t="shared" si="8"/>
        <v>OK</v>
      </c>
      <c r="H73" s="285" t="str">
        <f t="shared" si="8"/>
        <v>OK</v>
      </c>
      <c r="I73" s="285" t="str">
        <f t="shared" si="8"/>
        <v>OK</v>
      </c>
      <c r="J73" s="285" t="str">
        <f t="shared" si="8"/>
        <v>OK</v>
      </c>
      <c r="K73" s="285" t="str">
        <f t="shared" si="8"/>
        <v>OK</v>
      </c>
      <c r="L73" s="285" t="str">
        <f t="shared" si="8"/>
        <v>OK</v>
      </c>
      <c r="M73" s="285" t="str">
        <f t="shared" si="8"/>
        <v>OK</v>
      </c>
      <c r="N73" s="285" t="str">
        <f t="shared" si="8"/>
        <v>OK</v>
      </c>
      <c r="O73" s="284"/>
      <c r="P73" s="284"/>
      <c r="Q73" s="284"/>
      <c r="R73" s="255"/>
    </row>
    <row r="74" spans="1:21">
      <c r="B74" s="259"/>
      <c r="C74" s="284"/>
      <c r="D74" s="284"/>
      <c r="E74" s="284"/>
      <c r="F74" s="284"/>
      <c r="G74" s="284"/>
      <c r="H74" s="284"/>
      <c r="I74" s="284"/>
      <c r="J74" s="284"/>
      <c r="K74" s="284"/>
      <c r="L74" s="284"/>
      <c r="M74" s="284"/>
      <c r="N74" s="284"/>
      <c r="O74" s="284"/>
      <c r="P74" s="284"/>
      <c r="Q74" s="284"/>
      <c r="R74" s="282"/>
    </row>
    <row r="75" spans="1:21">
      <c r="B75" s="252" t="s">
        <v>15</v>
      </c>
      <c r="C75" s="284"/>
      <c r="D75" s="284"/>
      <c r="E75" s="284"/>
      <c r="F75" s="284"/>
      <c r="G75" s="284"/>
      <c r="H75" s="284"/>
      <c r="I75" s="284"/>
      <c r="J75" s="284"/>
      <c r="K75" s="284"/>
      <c r="L75" s="284"/>
      <c r="M75" s="284"/>
      <c r="N75" s="284"/>
      <c r="O75" s="284"/>
      <c r="P75" s="284"/>
      <c r="Q75" s="284"/>
      <c r="R75" s="282"/>
    </row>
    <row r="76" spans="1:21">
      <c r="A76" s="253" t="str">
        <f>B75&amp;" "&amp;B76</f>
        <v>METRO KWH Sales</v>
      </c>
      <c r="B76" s="254" t="s">
        <v>563</v>
      </c>
      <c r="C76" s="284">
        <f>VLOOKUP($B75,'KWH FCST'!$A$104:$M$120,'2018 SUBSEQUENT'!C$8,FALSE)</f>
        <v>7738456</v>
      </c>
      <c r="D76" s="284">
        <f>VLOOKUP($B75,'KWH FCST'!$A$104:$M$120,'2018 SUBSEQUENT'!D$8,FALSE)</f>
        <v>7064794</v>
      </c>
      <c r="E76" s="284">
        <f>VLOOKUP($B75,'KWH FCST'!$A$104:$M$120,'2018 SUBSEQUENT'!E$8,FALSE)</f>
        <v>6633200</v>
      </c>
      <c r="F76" s="284">
        <f>VLOOKUP($B75,'KWH FCST'!$A$104:$M$120,'2018 SUBSEQUENT'!F$8,FALSE)</f>
        <v>7682281</v>
      </c>
      <c r="G76" s="284">
        <f>VLOOKUP($B75,'KWH FCST'!$A$104:$M$120,'2018 SUBSEQUENT'!G$8,FALSE)</f>
        <v>7861525</v>
      </c>
      <c r="H76" s="284">
        <f>VLOOKUP($B75,'KWH FCST'!$A$104:$M$120,'2018 SUBSEQUENT'!H$8,FALSE)</f>
        <v>7721438</v>
      </c>
      <c r="I76" s="284">
        <f>VLOOKUP($B75,'KWH FCST'!$A$104:$M$120,'2018 SUBSEQUENT'!I$8,FALSE)</f>
        <v>8117627</v>
      </c>
      <c r="J76" s="284">
        <f>VLOOKUP($B75,'KWH FCST'!$A$104:$M$120,'2018 SUBSEQUENT'!J$8,FALSE)</f>
        <v>8140185</v>
      </c>
      <c r="K76" s="284">
        <f>VLOOKUP($B75,'KWH FCST'!$A$104:$M$120,'2018 SUBSEQUENT'!K$8,FALSE)</f>
        <v>8081455</v>
      </c>
      <c r="L76" s="284">
        <f>VLOOKUP($B75,'KWH FCST'!$A$104:$M$120,'2018 SUBSEQUENT'!L$8,FALSE)</f>
        <v>8007930</v>
      </c>
      <c r="M76" s="284">
        <f>VLOOKUP($B75,'KWH FCST'!$A$104:$M$120,'2018 SUBSEQUENT'!M$8,FALSE)</f>
        <v>7271090</v>
      </c>
      <c r="N76" s="284">
        <f>VLOOKUP($B75,'KWH FCST'!$A$104:$M$120,'2018 SUBSEQUENT'!N$8,FALSE)</f>
        <v>6921163</v>
      </c>
      <c r="O76" s="284">
        <f>SUM(C76:N76)</f>
        <v>91241144</v>
      </c>
      <c r="P76" s="284"/>
      <c r="Q76" s="284"/>
      <c r="R76" s="282"/>
      <c r="T76" s="255">
        <f>VLOOKUP(B75,'Sales Forecast'!$B$7:$AO$23,40,FALSE)</f>
        <v>91241144</v>
      </c>
      <c r="U76" s="255">
        <f>+O76-T76</f>
        <v>0</v>
      </c>
    </row>
    <row r="77" spans="1:21">
      <c r="A77" s="253" t="str">
        <f>B75&amp;" "&amp;B77</f>
        <v>METRO NCP</v>
      </c>
      <c r="B77" s="254" t="s">
        <v>133</v>
      </c>
      <c r="C77" s="284">
        <f>VLOOKUP($B75,'NCP FCST'!$A$103:$M$119,'2018 SUBSEQUENT'!C$8,FALSE)</f>
        <v>18782.4875102281</v>
      </c>
      <c r="D77" s="284">
        <f>VLOOKUP($B75,'NCP FCST'!$A$103:$M$119,'2018 SUBSEQUENT'!D$8,FALSE)</f>
        <v>19920.86989770017</v>
      </c>
      <c r="E77" s="284">
        <f>VLOOKUP($B75,'NCP FCST'!$A$103:$M$119,'2018 SUBSEQUENT'!E$8,FALSE)</f>
        <v>16355.792394271068</v>
      </c>
      <c r="F77" s="284">
        <f>VLOOKUP($B75,'NCP FCST'!$A$103:$M$119,'2018 SUBSEQUENT'!F$8,FALSE)</f>
        <v>19332.078915559985</v>
      </c>
      <c r="G77" s="284">
        <f>VLOOKUP($B75,'NCP FCST'!$A$103:$M$119,'2018 SUBSEQUENT'!G$8,FALSE)</f>
        <v>18783.854756211113</v>
      </c>
      <c r="H77" s="284">
        <f>VLOOKUP($B75,'NCP FCST'!$A$103:$M$119,'2018 SUBSEQUENT'!H$8,FALSE)</f>
        <v>19898.022935342375</v>
      </c>
      <c r="I77" s="284">
        <f>VLOOKUP($B75,'NCP FCST'!$A$103:$M$119,'2018 SUBSEQUENT'!I$8,FALSE)</f>
        <v>20696.794304219256</v>
      </c>
      <c r="J77" s="284">
        <f>VLOOKUP($B75,'NCP FCST'!$A$103:$M$119,'2018 SUBSEQUENT'!J$8,FALSE)</f>
        <v>20379.9660969711</v>
      </c>
      <c r="K77" s="284">
        <f>VLOOKUP($B75,'NCP FCST'!$A$103:$M$119,'2018 SUBSEQUENT'!K$8,FALSE)</f>
        <v>21114.022004504906</v>
      </c>
      <c r="L77" s="284">
        <f>VLOOKUP($B75,'NCP FCST'!$A$103:$M$119,'2018 SUBSEQUENT'!L$8,FALSE)</f>
        <v>19967.213776121618</v>
      </c>
      <c r="M77" s="284">
        <f>VLOOKUP($B75,'NCP FCST'!$A$103:$M$119,'2018 SUBSEQUENT'!M$8,FALSE)</f>
        <v>18688.810824983462</v>
      </c>
      <c r="N77" s="284">
        <f>VLOOKUP($B75,'NCP FCST'!$A$103:$M$119,'2018 SUBSEQUENT'!N$8,FALSE)</f>
        <v>16594.849116187648</v>
      </c>
      <c r="O77" s="284"/>
      <c r="P77" s="284">
        <f>MAX(C77:N77)</f>
        <v>21114.022004504906</v>
      </c>
      <c r="Q77" s="284"/>
      <c r="R77" s="282"/>
      <c r="T77" s="255">
        <f>VLOOKUP($B75,'NCP FCST'!$A$103:$O$119,15,FALSE)</f>
        <v>21114.022004504906</v>
      </c>
      <c r="U77" s="255">
        <f>P77-T77</f>
        <v>0</v>
      </c>
    </row>
    <row r="78" spans="1:21">
      <c r="A78" s="253" t="str">
        <f>B75&amp;" "&amp;B78</f>
        <v>METRO GNCP</v>
      </c>
      <c r="B78" s="254" t="s">
        <v>342</v>
      </c>
      <c r="C78" s="284">
        <f>VLOOKUP($B75,'GNCP FCST'!$A$102:$M$118,'2018 SUBSEQUENT'!C$8,FALSE)</f>
        <v>16405.469354029377</v>
      </c>
      <c r="D78" s="284">
        <f>VLOOKUP($B75,'GNCP FCST'!$A$102:$M$118,'2018 SUBSEQUENT'!D$8,FALSE)</f>
        <v>16798.917464913317</v>
      </c>
      <c r="E78" s="284">
        <f>VLOOKUP($B75,'GNCP FCST'!$A$102:$M$118,'2018 SUBSEQUENT'!E$8,FALSE)</f>
        <v>13915.632510781281</v>
      </c>
      <c r="F78" s="284">
        <f>VLOOKUP($B75,'GNCP FCST'!$A$102:$M$118,'2018 SUBSEQUENT'!F$8,FALSE)</f>
        <v>16098.389643861741</v>
      </c>
      <c r="G78" s="284">
        <f>VLOOKUP($B75,'GNCP FCST'!$A$102:$M$118,'2018 SUBSEQUENT'!G$8,FALSE)</f>
        <v>16279.185770652499</v>
      </c>
      <c r="H78" s="284">
        <f>VLOOKUP($B75,'GNCP FCST'!$A$102:$M$118,'2018 SUBSEQUENT'!H$8,FALSE)</f>
        <v>16561.655336237865</v>
      </c>
      <c r="I78" s="284">
        <f>VLOOKUP($B75,'GNCP FCST'!$A$102:$M$118,'2018 SUBSEQUENT'!I$8,FALSE)</f>
        <v>16631.643389014404</v>
      </c>
      <c r="J78" s="284">
        <f>VLOOKUP($B75,'GNCP FCST'!$A$102:$M$118,'2018 SUBSEQUENT'!J$8,FALSE)</f>
        <v>16485.648609040738</v>
      </c>
      <c r="K78" s="284">
        <f>VLOOKUP($B75,'GNCP FCST'!$A$102:$M$118,'2018 SUBSEQUENT'!K$8,FALSE)</f>
        <v>17101.002680929632</v>
      </c>
      <c r="L78" s="284">
        <f>VLOOKUP($B75,'GNCP FCST'!$A$102:$M$118,'2018 SUBSEQUENT'!L$8,FALSE)</f>
        <v>16292.090442886734</v>
      </c>
      <c r="M78" s="284">
        <f>VLOOKUP($B75,'GNCP FCST'!$A$102:$M$118,'2018 SUBSEQUENT'!M$8,FALSE)</f>
        <v>16315.577978963482</v>
      </c>
      <c r="N78" s="284">
        <f>VLOOKUP($B75,'GNCP FCST'!$A$102:$M$118,'2018 SUBSEQUENT'!N$8,FALSE)</f>
        <v>14675.784831056417</v>
      </c>
      <c r="O78" s="284"/>
      <c r="Q78" s="284">
        <f>MAX(C78:N78)</f>
        <v>17101.002680929632</v>
      </c>
      <c r="R78" s="282"/>
      <c r="T78" s="255">
        <f>+'GNCP FCST'!O$66</f>
        <v>17139.200035167636</v>
      </c>
      <c r="U78" s="255">
        <f>+Q78-T78</f>
        <v>-38.197354238003754</v>
      </c>
    </row>
    <row r="79" spans="1:21">
      <c r="A79" s="253" t="str">
        <f>B75&amp;" "&amp;B79</f>
        <v>METRO CP</v>
      </c>
      <c r="B79" s="254" t="s">
        <v>148</v>
      </c>
      <c r="C79" s="284">
        <f>VLOOKUP($B75,'CP FCST'!$A$102:$M$118,'2018 SUBSEQUENT'!C$8,FALSE)</f>
        <v>15822.838692788855</v>
      </c>
      <c r="D79" s="284">
        <f>VLOOKUP($B75,'CP FCST'!$A$102:$M$118,'2018 SUBSEQUENT'!D$8,FALSE)</f>
        <v>13949.797490312923</v>
      </c>
      <c r="E79" s="284">
        <f>VLOOKUP($B75,'CP FCST'!$A$102:$M$118,'2018 SUBSEQUENT'!E$8,FALSE)</f>
        <v>12268.751694524557</v>
      </c>
      <c r="F79" s="284">
        <f>VLOOKUP($B75,'CP FCST'!$A$102:$M$118,'2018 SUBSEQUENT'!F$8,FALSE)</f>
        <v>15674.143769544473</v>
      </c>
      <c r="G79" s="284">
        <f>VLOOKUP($B75,'CP FCST'!$A$102:$M$118,'2018 SUBSEQUENT'!G$8,FALSE)</f>
        <v>16279.185770652499</v>
      </c>
      <c r="H79" s="284">
        <f>VLOOKUP($B75,'CP FCST'!$A$102:$M$118,'2018 SUBSEQUENT'!H$8,FALSE)</f>
        <v>15337.583152045403</v>
      </c>
      <c r="I79" s="284">
        <f>VLOOKUP($B75,'CP FCST'!$A$102:$M$118,'2018 SUBSEQUENT'!I$8,FALSE)</f>
        <v>15837.323546937088</v>
      </c>
      <c r="J79" s="284">
        <f>VLOOKUP($B75,'CP FCST'!$A$102:$M$118,'2018 SUBSEQUENT'!J$8,FALSE)</f>
        <v>16485.648609040738</v>
      </c>
      <c r="K79" s="284">
        <f>VLOOKUP($B75,'CP FCST'!$A$102:$M$118,'2018 SUBSEQUENT'!K$8,FALSE)</f>
        <v>14151.079674803599</v>
      </c>
      <c r="L79" s="284">
        <f>VLOOKUP($B75,'CP FCST'!$A$102:$M$118,'2018 SUBSEQUENT'!L$8,FALSE)</f>
        <v>14028.611964977883</v>
      </c>
      <c r="M79" s="284">
        <f>VLOOKUP($B75,'CP FCST'!$A$102:$M$118,'2018 SUBSEQUENT'!M$8,FALSE)</f>
        <v>13890.154713914797</v>
      </c>
      <c r="N79" s="284">
        <f>VLOOKUP($B75,'CP FCST'!$A$102:$M$118,'2018 SUBSEQUENT'!N$8,FALSE)</f>
        <v>12296.955439030145</v>
      </c>
      <c r="O79" s="284"/>
      <c r="P79" s="284"/>
      <c r="Q79" s="284"/>
      <c r="R79" s="255">
        <f>AVERAGE(C79:N79)</f>
        <v>14668.506209881079</v>
      </c>
      <c r="T79" s="255">
        <f>VLOOKUP($B75,'CP FCST'!$A$102:$O$118,15,FALSE)</f>
        <v>14668.506209881079</v>
      </c>
      <c r="U79" s="255">
        <f>R79-T79</f>
        <v>0</v>
      </c>
    </row>
    <row r="80" spans="1:21">
      <c r="B80" s="254" t="s">
        <v>570</v>
      </c>
      <c r="C80" s="285" t="str">
        <f t="shared" ref="C80:N80" si="9">IF(C79&gt;C78,"ERROR",IF(C78&gt;C77,"ERROR","OK"))</f>
        <v>OK</v>
      </c>
      <c r="D80" s="285" t="str">
        <f t="shared" si="9"/>
        <v>OK</v>
      </c>
      <c r="E80" s="285" t="str">
        <f t="shared" si="9"/>
        <v>OK</v>
      </c>
      <c r="F80" s="285" t="str">
        <f t="shared" si="9"/>
        <v>OK</v>
      </c>
      <c r="G80" s="285" t="str">
        <f t="shared" si="9"/>
        <v>OK</v>
      </c>
      <c r="H80" s="285" t="str">
        <f t="shared" si="9"/>
        <v>OK</v>
      </c>
      <c r="I80" s="285" t="str">
        <f t="shared" si="9"/>
        <v>OK</v>
      </c>
      <c r="J80" s="285" t="str">
        <f t="shared" si="9"/>
        <v>OK</v>
      </c>
      <c r="K80" s="285" t="str">
        <f t="shared" si="9"/>
        <v>OK</v>
      </c>
      <c r="L80" s="285" t="str">
        <f t="shared" si="9"/>
        <v>OK</v>
      </c>
      <c r="M80" s="285" t="str">
        <f t="shared" si="9"/>
        <v>OK</v>
      </c>
      <c r="N80" s="285" t="str">
        <f t="shared" si="9"/>
        <v>OK</v>
      </c>
      <c r="O80" s="284"/>
      <c r="P80" s="284"/>
      <c r="Q80" s="284"/>
      <c r="R80" s="255"/>
    </row>
    <row r="81" spans="1:21">
      <c r="B81" s="259"/>
      <c r="C81" s="284"/>
      <c r="D81" s="284"/>
      <c r="E81" s="284"/>
      <c r="F81" s="284"/>
      <c r="G81" s="284"/>
      <c r="H81" s="284"/>
      <c r="I81" s="284"/>
      <c r="J81" s="284"/>
      <c r="K81" s="284"/>
      <c r="L81" s="284"/>
      <c r="M81" s="284"/>
      <c r="N81" s="284"/>
      <c r="O81" s="284"/>
      <c r="P81" s="284"/>
      <c r="Q81" s="284"/>
      <c r="R81" s="282"/>
    </row>
    <row r="82" spans="1:21">
      <c r="B82" s="252" t="s">
        <v>56</v>
      </c>
      <c r="C82" s="284"/>
      <c r="D82" s="284"/>
      <c r="E82" s="284"/>
      <c r="F82" s="284"/>
      <c r="G82" s="284"/>
      <c r="H82" s="284"/>
      <c r="I82" s="284"/>
      <c r="J82" s="284"/>
      <c r="K82" s="284"/>
      <c r="L82" s="284"/>
      <c r="M82" s="284"/>
      <c r="N82" s="284"/>
      <c r="O82" s="284"/>
      <c r="P82" s="284"/>
      <c r="Q82" s="284"/>
      <c r="R82" s="282"/>
    </row>
    <row r="83" spans="1:21">
      <c r="A83" s="253" t="str">
        <f>B82&amp;" "&amp;B83</f>
        <v>OL-1 KWH Sales</v>
      </c>
      <c r="B83" s="254" t="s">
        <v>563</v>
      </c>
      <c r="C83" s="284">
        <f>VLOOKUP($B82,'KWH FCST'!$A$104:$M$120,'2018 SUBSEQUENT'!C$8,FALSE)</f>
        <v>8131916</v>
      </c>
      <c r="D83" s="284">
        <f>VLOOKUP($B82,'KWH FCST'!$A$104:$M$120,'2018 SUBSEQUENT'!D$8,FALSE)</f>
        <v>8127852</v>
      </c>
      <c r="E83" s="284">
        <f>VLOOKUP($B82,'KWH FCST'!$A$104:$M$120,'2018 SUBSEQUENT'!E$8,FALSE)</f>
        <v>8123788</v>
      </c>
      <c r="F83" s="284">
        <f>VLOOKUP($B82,'KWH FCST'!$A$104:$M$120,'2018 SUBSEQUENT'!F$8,FALSE)</f>
        <v>8119724</v>
      </c>
      <c r="G83" s="284">
        <f>VLOOKUP($B82,'KWH FCST'!$A$104:$M$120,'2018 SUBSEQUENT'!G$8,FALSE)</f>
        <v>8115660</v>
      </c>
      <c r="H83" s="284">
        <f>VLOOKUP($B82,'KWH FCST'!$A$104:$M$120,'2018 SUBSEQUENT'!H$8,FALSE)</f>
        <v>8111596</v>
      </c>
      <c r="I83" s="284">
        <f>VLOOKUP($B82,'KWH FCST'!$A$104:$M$120,'2018 SUBSEQUENT'!I$8,FALSE)</f>
        <v>8107532</v>
      </c>
      <c r="J83" s="284">
        <f>VLOOKUP($B82,'KWH FCST'!$A$104:$M$120,'2018 SUBSEQUENT'!J$8,FALSE)</f>
        <v>8103468</v>
      </c>
      <c r="K83" s="284">
        <f>VLOOKUP($B82,'KWH FCST'!$A$104:$M$120,'2018 SUBSEQUENT'!K$8,FALSE)</f>
        <v>8099404</v>
      </c>
      <c r="L83" s="284">
        <f>VLOOKUP($B82,'KWH FCST'!$A$104:$M$120,'2018 SUBSEQUENT'!L$8,FALSE)</f>
        <v>8095340</v>
      </c>
      <c r="M83" s="284">
        <f>VLOOKUP($B82,'KWH FCST'!$A$104:$M$120,'2018 SUBSEQUENT'!M$8,FALSE)</f>
        <v>8091276</v>
      </c>
      <c r="N83" s="284">
        <f>VLOOKUP($B82,'KWH FCST'!$A$104:$M$120,'2018 SUBSEQUENT'!N$8,FALSE)</f>
        <v>8087212</v>
      </c>
      <c r="O83" s="284">
        <f>SUM(C83:N83)</f>
        <v>97314768</v>
      </c>
      <c r="P83" s="284"/>
      <c r="Q83" s="284"/>
      <c r="R83" s="282"/>
      <c r="T83" s="255">
        <f>VLOOKUP(B82,'Sales Forecast'!$B$7:$AO$23,40,FALSE)</f>
        <v>97314768</v>
      </c>
      <c r="U83" s="255">
        <f>+O83-T83</f>
        <v>0</v>
      </c>
    </row>
    <row r="84" spans="1:21">
      <c r="A84" s="253" t="str">
        <f>B82&amp;" "&amp;B84</f>
        <v>OL-1 NCP</v>
      </c>
      <c r="B84" s="254" t="s">
        <v>133</v>
      </c>
      <c r="C84" s="284">
        <f>VLOOKUP($B82,'NCP FCST'!$A$103:$M$119,'2018 SUBSEQUENT'!C$8,FALSE)</f>
        <v>19792.981217630091</v>
      </c>
      <c r="D84" s="284">
        <f>VLOOKUP($B82,'NCP FCST'!$A$103:$M$119,'2018 SUBSEQUENT'!D$8,FALSE)</f>
        <v>22823.105336463726</v>
      </c>
      <c r="E84" s="284">
        <f>VLOOKUP($B82,'NCP FCST'!$A$103:$M$119,'2018 SUBSEQUENT'!E$8,FALSE)</f>
        <v>21903.874691940029</v>
      </c>
      <c r="F84" s="284">
        <f>VLOOKUP($B82,'NCP FCST'!$A$103:$M$119,'2018 SUBSEQUENT'!F$8,FALSE)</f>
        <v>24097.062742550355</v>
      </c>
      <c r="G84" s="284">
        <f>VLOOKUP($B82,'NCP FCST'!$A$103:$M$119,'2018 SUBSEQUENT'!G$8,FALSE)</f>
        <v>24674.871451979074</v>
      </c>
      <c r="H84" s="284">
        <f>VLOOKUP($B82,'NCP FCST'!$A$103:$M$119,'2018 SUBSEQUENT'!H$8,FALSE)</f>
        <v>26235.774346634145</v>
      </c>
      <c r="I84" s="284">
        <f>VLOOKUP($B82,'NCP FCST'!$A$103:$M$119,'2018 SUBSEQUENT'!I$8,FALSE)</f>
        <v>25042.26452525302</v>
      </c>
      <c r="J84" s="284">
        <f>VLOOKUP($B82,'NCP FCST'!$A$103:$M$119,'2018 SUBSEQUENT'!J$8,FALSE)</f>
        <v>23834.288611680935</v>
      </c>
      <c r="K84" s="284">
        <f>VLOOKUP($B82,'NCP FCST'!$A$103:$M$119,'2018 SUBSEQUENT'!K$8,FALSE)</f>
        <v>23097.633564711916</v>
      </c>
      <c r="L84" s="284">
        <f>VLOOKUP($B82,'NCP FCST'!$A$103:$M$119,'2018 SUBSEQUENT'!L$8,FALSE)</f>
        <v>20977.530499756325</v>
      </c>
      <c r="M84" s="284">
        <f>VLOOKUP($B82,'NCP FCST'!$A$103:$M$119,'2018 SUBSEQUENT'!M$8,FALSE)</f>
        <v>20600.331814892688</v>
      </c>
      <c r="N84" s="284">
        <f>VLOOKUP($B82,'NCP FCST'!$A$103:$M$119,'2018 SUBSEQUENT'!N$8,FALSE)</f>
        <v>19457.810679410817</v>
      </c>
      <c r="O84" s="284"/>
      <c r="P84" s="284">
        <f>MAX(C84:N84)</f>
        <v>26235.774346634145</v>
      </c>
      <c r="Q84" s="284"/>
      <c r="R84" s="282"/>
      <c r="T84" s="255">
        <f>VLOOKUP($B82,'NCP FCST'!$A$103:$O$119,15,FALSE)</f>
        <v>26235.774346634145</v>
      </c>
      <c r="U84" s="255">
        <f>P84-T84</f>
        <v>0</v>
      </c>
    </row>
    <row r="85" spans="1:21">
      <c r="A85" s="253" t="str">
        <f>B82&amp;" "&amp;B85</f>
        <v>OL-1 GNCP</v>
      </c>
      <c r="B85" s="254" t="s">
        <v>342</v>
      </c>
      <c r="C85" s="284">
        <f>VLOOKUP($B82,'GNCP FCST'!$A$102:$M$118,'2018 SUBSEQUENT'!C$8,FALSE)</f>
        <v>19792.981217630091</v>
      </c>
      <c r="D85" s="284">
        <f>VLOOKUP($B82,'GNCP FCST'!$A$102:$M$118,'2018 SUBSEQUENT'!D$8,FALSE)</f>
        <v>22823.105336463726</v>
      </c>
      <c r="E85" s="284">
        <f>VLOOKUP($B82,'GNCP FCST'!$A$102:$M$118,'2018 SUBSEQUENT'!E$8,FALSE)</f>
        <v>21903.874691940029</v>
      </c>
      <c r="F85" s="284">
        <f>VLOOKUP($B82,'GNCP FCST'!$A$102:$M$118,'2018 SUBSEQUENT'!F$8,FALSE)</f>
        <v>24097.062742550355</v>
      </c>
      <c r="G85" s="284">
        <f>VLOOKUP($B82,'GNCP FCST'!$A$102:$M$118,'2018 SUBSEQUENT'!G$8,FALSE)</f>
        <v>24674.871451979074</v>
      </c>
      <c r="H85" s="284">
        <f>VLOOKUP($B82,'GNCP FCST'!$A$102:$M$118,'2018 SUBSEQUENT'!H$8,FALSE)</f>
        <v>26235.774346634145</v>
      </c>
      <c r="I85" s="284">
        <f>VLOOKUP($B82,'GNCP FCST'!$A$102:$M$118,'2018 SUBSEQUENT'!I$8,FALSE)</f>
        <v>25042.26452525302</v>
      </c>
      <c r="J85" s="284">
        <f>VLOOKUP($B82,'GNCP FCST'!$A$102:$M$118,'2018 SUBSEQUENT'!J$8,FALSE)</f>
        <v>23834.288611680935</v>
      </c>
      <c r="K85" s="284">
        <f>VLOOKUP($B82,'GNCP FCST'!$A$102:$M$118,'2018 SUBSEQUENT'!K$8,FALSE)</f>
        <v>23097.633564711916</v>
      </c>
      <c r="L85" s="284">
        <f>VLOOKUP($B82,'GNCP FCST'!$A$102:$M$118,'2018 SUBSEQUENT'!L$8,FALSE)</f>
        <v>20977.530499756325</v>
      </c>
      <c r="M85" s="284">
        <f>VLOOKUP($B82,'GNCP FCST'!$A$102:$M$118,'2018 SUBSEQUENT'!M$8,FALSE)</f>
        <v>20600.331814892688</v>
      </c>
      <c r="N85" s="284">
        <f>VLOOKUP($B82,'GNCP FCST'!$A$102:$M$118,'2018 SUBSEQUENT'!N$8,FALSE)</f>
        <v>19457.810679410817</v>
      </c>
      <c r="O85" s="284"/>
      <c r="Q85" s="284">
        <f>MAX(C85:N85)</f>
        <v>26235.774346634145</v>
      </c>
      <c r="R85" s="282"/>
      <c r="T85" s="255">
        <f>VLOOKUP($B82,'GNCP FCST'!$A$102:$O$118,15,FALSE)</f>
        <v>26235.774346634145</v>
      </c>
      <c r="U85" s="255">
        <f>+Q85-T85</f>
        <v>0</v>
      </c>
    </row>
    <row r="86" spans="1:21">
      <c r="A86" s="253" t="str">
        <f>B82&amp;" "&amp;B86</f>
        <v>OL-1 CP</v>
      </c>
      <c r="B86" s="254" t="s">
        <v>148</v>
      </c>
      <c r="C86" s="284">
        <f>VLOOKUP($B82,'CP FCST'!$A$102:$M$118,'2018 SUBSEQUENT'!C$8,FALSE)</f>
        <v>8987.5190980299012</v>
      </c>
      <c r="D86" s="284">
        <f>VLOOKUP($B82,'CP FCST'!$A$102:$M$118,'2018 SUBSEQUENT'!D$8,FALSE)</f>
        <v>0</v>
      </c>
      <c r="E86" s="284">
        <f>VLOOKUP($B82,'CP FCST'!$A$102:$M$118,'2018 SUBSEQUENT'!E$8,FALSE)</f>
        <v>0</v>
      </c>
      <c r="F86" s="284">
        <f>VLOOKUP($B82,'CP FCST'!$A$102:$M$118,'2018 SUBSEQUENT'!F$8,FALSE)</f>
        <v>0</v>
      </c>
      <c r="G86" s="284">
        <f>VLOOKUP($B82,'CP FCST'!$A$102:$M$118,'2018 SUBSEQUENT'!G$8,FALSE)</f>
        <v>0</v>
      </c>
      <c r="H86" s="284">
        <f>VLOOKUP($B82,'CP FCST'!$A$102:$M$118,'2018 SUBSEQUENT'!H$8,FALSE)</f>
        <v>0</v>
      </c>
      <c r="I86" s="284">
        <f>VLOOKUP($B82,'CP FCST'!$A$102:$M$118,'2018 SUBSEQUENT'!I$8,FALSE)</f>
        <v>0</v>
      </c>
      <c r="J86" s="284">
        <f>VLOOKUP($B82,'CP FCST'!$A$102:$M$118,'2018 SUBSEQUENT'!J$8,FALSE)</f>
        <v>0</v>
      </c>
      <c r="K86" s="284">
        <f>VLOOKUP($B82,'CP FCST'!$A$102:$M$118,'2018 SUBSEQUENT'!K$8,FALSE)</f>
        <v>0</v>
      </c>
      <c r="L86" s="284">
        <f>VLOOKUP($B82,'CP FCST'!$A$102:$M$118,'2018 SUBSEQUENT'!L$8,FALSE)</f>
        <v>0</v>
      </c>
      <c r="M86" s="284">
        <f>VLOOKUP($B82,'CP FCST'!$A$102:$M$118,'2018 SUBSEQUENT'!M$8,FALSE)</f>
        <v>6753.1442852286291</v>
      </c>
      <c r="N86" s="284">
        <f>VLOOKUP($B82,'CP FCST'!$A$102:$M$118,'2018 SUBSEQUENT'!N$8,FALSE)</f>
        <v>6678.9655183355871</v>
      </c>
      <c r="O86" s="284"/>
      <c r="P86" s="284"/>
      <c r="Q86" s="284"/>
      <c r="R86" s="255">
        <f>AVERAGE(C86:N86)</f>
        <v>1868.3024084661765</v>
      </c>
      <c r="T86" s="255">
        <f>VLOOKUP($B82,'CP FCST'!$A$102:$O$118,15,FALSE)</f>
        <v>1868.3024084661765</v>
      </c>
      <c r="U86" s="255">
        <f>R86-T86</f>
        <v>0</v>
      </c>
    </row>
    <row r="87" spans="1:21">
      <c r="B87" s="254" t="s">
        <v>570</v>
      </c>
      <c r="C87" s="285" t="str">
        <f t="shared" ref="C87:N87" si="10">IF(C86&gt;C85,"ERROR",IF(C85&gt;C84,"ERROR","OK"))</f>
        <v>OK</v>
      </c>
      <c r="D87" s="285" t="str">
        <f t="shared" si="10"/>
        <v>OK</v>
      </c>
      <c r="E87" s="285" t="str">
        <f t="shared" si="10"/>
        <v>OK</v>
      </c>
      <c r="F87" s="285" t="str">
        <f t="shared" si="10"/>
        <v>OK</v>
      </c>
      <c r="G87" s="285" t="str">
        <f t="shared" si="10"/>
        <v>OK</v>
      </c>
      <c r="H87" s="285" t="str">
        <f t="shared" si="10"/>
        <v>OK</v>
      </c>
      <c r="I87" s="285" t="str">
        <f t="shared" si="10"/>
        <v>OK</v>
      </c>
      <c r="J87" s="285" t="str">
        <f t="shared" si="10"/>
        <v>OK</v>
      </c>
      <c r="K87" s="285" t="str">
        <f t="shared" si="10"/>
        <v>OK</v>
      </c>
      <c r="L87" s="285" t="str">
        <f t="shared" si="10"/>
        <v>OK</v>
      </c>
      <c r="M87" s="285" t="str">
        <f t="shared" si="10"/>
        <v>OK</v>
      </c>
      <c r="N87" s="285" t="str">
        <f t="shared" si="10"/>
        <v>OK</v>
      </c>
      <c r="O87" s="284"/>
      <c r="P87" s="284"/>
      <c r="Q87" s="284"/>
      <c r="R87" s="255"/>
    </row>
    <row r="88" spans="1:21">
      <c r="B88" s="259"/>
      <c r="C88" s="284"/>
      <c r="D88" s="284"/>
      <c r="E88" s="284"/>
      <c r="F88" s="284"/>
      <c r="G88" s="284"/>
      <c r="H88" s="284"/>
      <c r="I88" s="284"/>
      <c r="J88" s="284"/>
      <c r="K88" s="284"/>
      <c r="L88" s="284"/>
      <c r="M88" s="284"/>
      <c r="N88" s="284"/>
      <c r="O88" s="284"/>
      <c r="P88" s="284"/>
      <c r="Q88" s="284"/>
      <c r="R88" s="282"/>
    </row>
    <row r="89" spans="1:21">
      <c r="B89" s="252" t="s">
        <v>57</v>
      </c>
      <c r="C89" s="284"/>
      <c r="D89" s="284"/>
      <c r="E89" s="284"/>
      <c r="F89" s="284"/>
      <c r="G89" s="284"/>
      <c r="H89" s="284"/>
      <c r="I89" s="284"/>
      <c r="J89" s="284"/>
      <c r="K89" s="284"/>
      <c r="L89" s="284"/>
      <c r="M89" s="284"/>
      <c r="N89" s="284"/>
      <c r="O89" s="284"/>
      <c r="P89" s="284"/>
      <c r="Q89" s="284"/>
      <c r="R89" s="282"/>
    </row>
    <row r="90" spans="1:21">
      <c r="A90" s="253" t="str">
        <f>B89&amp;" "&amp;B90</f>
        <v>OS-2 KWH Sales</v>
      </c>
      <c r="B90" s="254" t="s">
        <v>563</v>
      </c>
      <c r="C90" s="284">
        <f>VLOOKUP($B89,'KWH FCST'!$A$104:$M$120,'2018 SUBSEQUENT'!C$8,FALSE)</f>
        <v>867864</v>
      </c>
      <c r="D90" s="284">
        <f>VLOOKUP($B89,'KWH FCST'!$A$104:$M$120,'2018 SUBSEQUENT'!D$8,FALSE)</f>
        <v>984899</v>
      </c>
      <c r="E90" s="284">
        <f>VLOOKUP($B89,'KWH FCST'!$A$104:$M$120,'2018 SUBSEQUENT'!E$8,FALSE)</f>
        <v>1053975</v>
      </c>
      <c r="F90" s="284">
        <f>VLOOKUP($B89,'KWH FCST'!$A$104:$M$120,'2018 SUBSEQUENT'!F$8,FALSE)</f>
        <v>905029</v>
      </c>
      <c r="G90" s="284">
        <f>VLOOKUP($B89,'KWH FCST'!$A$104:$M$120,'2018 SUBSEQUENT'!G$8,FALSE)</f>
        <v>867571</v>
      </c>
      <c r="H90" s="284">
        <f>VLOOKUP($B89,'KWH FCST'!$A$104:$M$120,'2018 SUBSEQUENT'!H$8,FALSE)</f>
        <v>826700</v>
      </c>
      <c r="I90" s="284">
        <f>VLOOKUP($B89,'KWH FCST'!$A$104:$M$120,'2018 SUBSEQUENT'!I$8,FALSE)</f>
        <v>716833</v>
      </c>
      <c r="J90" s="284">
        <f>VLOOKUP($B89,'KWH FCST'!$A$104:$M$120,'2018 SUBSEQUENT'!J$8,FALSE)</f>
        <v>721114</v>
      </c>
      <c r="K90" s="284">
        <f>VLOOKUP($B89,'KWH FCST'!$A$104:$M$120,'2018 SUBSEQUENT'!K$8,FALSE)</f>
        <v>913339</v>
      </c>
      <c r="L90" s="284">
        <f>VLOOKUP($B89,'KWH FCST'!$A$104:$M$120,'2018 SUBSEQUENT'!L$8,FALSE)</f>
        <v>937603</v>
      </c>
      <c r="M90" s="284">
        <f>VLOOKUP($B89,'KWH FCST'!$A$104:$M$120,'2018 SUBSEQUENT'!M$8,FALSE)</f>
        <v>1080423</v>
      </c>
      <c r="N90" s="284">
        <f>VLOOKUP($B89,'KWH FCST'!$A$104:$M$120,'2018 SUBSEQUENT'!N$8,FALSE)</f>
        <v>944116</v>
      </c>
      <c r="O90" s="284">
        <f>SUM(C90:N90)</f>
        <v>10819466</v>
      </c>
      <c r="P90" s="284"/>
      <c r="Q90" s="284"/>
      <c r="R90" s="282"/>
      <c r="T90" s="255">
        <f>VLOOKUP(B89,'Sales Forecast'!$B$7:$AO$23,40,FALSE)</f>
        <v>10819466</v>
      </c>
      <c r="U90" s="255">
        <f>+O90-T90</f>
        <v>0</v>
      </c>
    </row>
    <row r="91" spans="1:21">
      <c r="A91" s="253" t="str">
        <f>B89&amp;" "&amp;B91</f>
        <v>OS-2 NCP</v>
      </c>
      <c r="B91" s="254" t="s">
        <v>133</v>
      </c>
      <c r="C91" s="284">
        <f>VLOOKUP($B89,'NCP FCST'!$A$103:$M$119,'2018 SUBSEQUENT'!C$8,FALSE)</f>
        <v>11988.672916169391</v>
      </c>
      <c r="D91" s="284">
        <f>VLOOKUP($B89,'NCP FCST'!$A$103:$M$119,'2018 SUBSEQUENT'!D$8,FALSE)</f>
        <v>13851.744780732981</v>
      </c>
      <c r="E91" s="284">
        <f>VLOOKUP($B89,'NCP FCST'!$A$103:$M$119,'2018 SUBSEQUENT'!E$8,FALSE)</f>
        <v>14855.154125307121</v>
      </c>
      <c r="F91" s="284">
        <f>VLOOKUP($B89,'NCP FCST'!$A$103:$M$119,'2018 SUBSEQUENT'!F$8,FALSE)</f>
        <v>14187.045654667081</v>
      </c>
      <c r="G91" s="284">
        <f>VLOOKUP($B89,'NCP FCST'!$A$103:$M$119,'2018 SUBSEQUENT'!G$8,FALSE)</f>
        <v>13656.510023027973</v>
      </c>
      <c r="H91" s="284">
        <f>VLOOKUP($B89,'NCP FCST'!$A$103:$M$119,'2018 SUBSEQUENT'!H$8,FALSE)</f>
        <v>12001.802564129723</v>
      </c>
      <c r="I91" s="284">
        <f>VLOOKUP($B89,'NCP FCST'!$A$103:$M$119,'2018 SUBSEQUENT'!I$8,FALSE)</f>
        <v>9330.2207395825717</v>
      </c>
      <c r="J91" s="284">
        <f>VLOOKUP($B89,'NCP FCST'!$A$103:$M$119,'2018 SUBSEQUENT'!J$8,FALSE)</f>
        <v>9963.6962274949237</v>
      </c>
      <c r="K91" s="284">
        <f>VLOOKUP($B89,'NCP FCST'!$A$103:$M$119,'2018 SUBSEQUENT'!K$8,FALSE)</f>
        <v>14341.507868376289</v>
      </c>
      <c r="L91" s="284">
        <f>VLOOKUP($B89,'NCP FCST'!$A$103:$M$119,'2018 SUBSEQUENT'!L$8,FALSE)</f>
        <v>12812.573926581301</v>
      </c>
      <c r="M91" s="284">
        <f>VLOOKUP($B89,'NCP FCST'!$A$103:$M$119,'2018 SUBSEQUENT'!M$8,FALSE)</f>
        <v>14797.470115580363</v>
      </c>
      <c r="N91" s="284">
        <f>VLOOKUP($B89,'NCP FCST'!$A$103:$M$119,'2018 SUBSEQUENT'!N$8,FALSE)</f>
        <v>13883.962441806383</v>
      </c>
      <c r="O91" s="284"/>
      <c r="P91" s="284">
        <f>MAX(C91:N91)</f>
        <v>14855.154125307121</v>
      </c>
      <c r="Q91" s="284"/>
      <c r="R91" s="282"/>
      <c r="T91" s="255">
        <f>VLOOKUP($B89,'NCP FCST'!$A$103:$O$119,15,FALSE)</f>
        <v>14855.154125307121</v>
      </c>
      <c r="U91" s="255">
        <f>P91-T91</f>
        <v>0</v>
      </c>
    </row>
    <row r="92" spans="1:21">
      <c r="A92" s="253" t="str">
        <f>B89&amp;" "&amp;B92</f>
        <v>OS-2 GNCP</v>
      </c>
      <c r="B92" s="254" t="s">
        <v>342</v>
      </c>
      <c r="C92" s="284">
        <f>VLOOKUP($B89,'GNCP FCST'!$A$102:$M$118,'2018 SUBSEQUENT'!C$8,FALSE)</f>
        <v>8216.8380060371746</v>
      </c>
      <c r="D92" s="284">
        <f>VLOOKUP($B89,'GNCP FCST'!$A$102:$M$118,'2018 SUBSEQUENT'!D$8,FALSE)</f>
        <v>10718.203231117248</v>
      </c>
      <c r="E92" s="284">
        <f>VLOOKUP($B89,'GNCP FCST'!$A$102:$M$118,'2018 SUBSEQUENT'!E$8,FALSE)</f>
        <v>11798.451777802586</v>
      </c>
      <c r="F92" s="284">
        <f>VLOOKUP($B89,'GNCP FCST'!$A$102:$M$118,'2018 SUBSEQUENT'!F$8,FALSE)</f>
        <v>9068.2953246131638</v>
      </c>
      <c r="G92" s="284">
        <f>VLOOKUP($B89,'GNCP FCST'!$A$102:$M$118,'2018 SUBSEQUENT'!G$8,FALSE)</f>
        <v>8016.0459346508678</v>
      </c>
      <c r="H92" s="284">
        <f>VLOOKUP($B89,'GNCP FCST'!$A$102:$M$118,'2018 SUBSEQUENT'!H$8,FALSE)</f>
        <v>6668.8211994000994</v>
      </c>
      <c r="I92" s="284">
        <f>VLOOKUP($B89,'GNCP FCST'!$A$102:$M$118,'2018 SUBSEQUENT'!I$8,FALSE)</f>
        <v>5057.1337967218778</v>
      </c>
      <c r="J92" s="284">
        <f>VLOOKUP($B89,'GNCP FCST'!$A$102:$M$118,'2018 SUBSEQUENT'!J$8,FALSE)</f>
        <v>5686.8920436015987</v>
      </c>
      <c r="K92" s="284">
        <f>VLOOKUP($B89,'GNCP FCST'!$A$102:$M$118,'2018 SUBSEQUENT'!K$8,FALSE)</f>
        <v>8721.4854584730601</v>
      </c>
      <c r="L92" s="284">
        <f>VLOOKUP($B89,'GNCP FCST'!$A$102:$M$118,'2018 SUBSEQUENT'!L$8,FALSE)</f>
        <v>9180.7064710501545</v>
      </c>
      <c r="M92" s="284">
        <f>VLOOKUP($B89,'GNCP FCST'!$A$102:$M$118,'2018 SUBSEQUENT'!M$8,FALSE)</f>
        <v>11020.777723533552</v>
      </c>
      <c r="N92" s="284">
        <f>VLOOKUP($B89,'GNCP FCST'!$A$102:$M$118,'2018 SUBSEQUENT'!N$8,FALSE)</f>
        <v>9218.7365682158252</v>
      </c>
      <c r="O92" s="284"/>
      <c r="Q92" s="284">
        <f>MAX(C92:N92)</f>
        <v>11798.451777802586</v>
      </c>
      <c r="R92" s="282"/>
      <c r="T92" s="255">
        <f>VLOOKUP($B89,'GNCP FCST'!$A$102:$O$118,15,FALSE)</f>
        <v>11798.451777802586</v>
      </c>
      <c r="U92" s="255">
        <f>+Q92-T92</f>
        <v>0</v>
      </c>
    </row>
    <row r="93" spans="1:21">
      <c r="A93" s="253" t="str">
        <f>B89&amp;" "&amp;B93</f>
        <v>OS-2 CP</v>
      </c>
      <c r="B93" s="254" t="s">
        <v>148</v>
      </c>
      <c r="C93" s="284">
        <f>VLOOKUP($B89,'CP FCST'!$A$102:$M$118,'2018 SUBSEQUENT'!C$8,FALSE)</f>
        <v>2456.3528167616623</v>
      </c>
      <c r="D93" s="284">
        <f>VLOOKUP($B89,'CP FCST'!$A$102:$M$118,'2018 SUBSEQUENT'!D$8,FALSE)</f>
        <v>604.1688781476746</v>
      </c>
      <c r="E93" s="284">
        <f>VLOOKUP($B89,'CP FCST'!$A$102:$M$118,'2018 SUBSEQUENT'!E$8,FALSE)</f>
        <v>944.45276821490859</v>
      </c>
      <c r="F93" s="284">
        <f>VLOOKUP($B89,'CP FCST'!$A$102:$M$118,'2018 SUBSEQUENT'!F$8,FALSE)</f>
        <v>985.1573860512359</v>
      </c>
      <c r="G93" s="284">
        <f>VLOOKUP($B89,'CP FCST'!$A$102:$M$118,'2018 SUBSEQUENT'!G$8,FALSE)</f>
        <v>961.362510372629</v>
      </c>
      <c r="H93" s="284">
        <f>VLOOKUP($B89,'CP FCST'!$A$102:$M$118,'2018 SUBSEQUENT'!H$8,FALSE)</f>
        <v>946.02830314816902</v>
      </c>
      <c r="I93" s="284">
        <f>VLOOKUP($B89,'CP FCST'!$A$102:$M$118,'2018 SUBSEQUENT'!I$8,FALSE)</f>
        <v>812.47663284751911</v>
      </c>
      <c r="J93" s="284">
        <f>VLOOKUP($B89,'CP FCST'!$A$102:$M$118,'2018 SUBSEQUENT'!J$8,FALSE)</f>
        <v>966.6482443452652</v>
      </c>
      <c r="K93" s="284">
        <f>VLOOKUP($B89,'CP FCST'!$A$102:$M$118,'2018 SUBSEQUENT'!K$8,FALSE)</f>
        <v>951.02962729381125</v>
      </c>
      <c r="L93" s="284">
        <f>VLOOKUP($B89,'CP FCST'!$A$102:$M$118,'2018 SUBSEQUENT'!L$8,FALSE)</f>
        <v>818.30588149386813</v>
      </c>
      <c r="M93" s="284">
        <f>VLOOKUP($B89,'CP FCST'!$A$102:$M$118,'2018 SUBSEQUENT'!M$8,FALSE)</f>
        <v>2688.7861774663033</v>
      </c>
      <c r="N93" s="284">
        <f>VLOOKUP($B89,'CP FCST'!$A$102:$M$118,'2018 SUBSEQUENT'!N$8,FALSE)</f>
        <v>3073.662215580418</v>
      </c>
      <c r="O93" s="284"/>
      <c r="P93" s="284"/>
      <c r="Q93" s="284"/>
      <c r="R93" s="255">
        <f>AVERAGE(C93:N93)</f>
        <v>1350.7026201436222</v>
      </c>
      <c r="T93" s="255">
        <f>VLOOKUP($B89,'CP FCST'!$A$102:$O$118,15,FALSE)</f>
        <v>1350.7026201436222</v>
      </c>
      <c r="U93" s="255">
        <f>R93-T93</f>
        <v>0</v>
      </c>
    </row>
    <row r="94" spans="1:21">
      <c r="B94" s="254" t="s">
        <v>570</v>
      </c>
      <c r="C94" s="285" t="str">
        <f t="shared" ref="C94:N94" si="11">IF(C93&gt;C92,"ERROR",IF(C92&gt;C91,"ERROR","OK"))</f>
        <v>OK</v>
      </c>
      <c r="D94" s="285" t="str">
        <f t="shared" si="11"/>
        <v>OK</v>
      </c>
      <c r="E94" s="285" t="str">
        <f t="shared" si="11"/>
        <v>OK</v>
      </c>
      <c r="F94" s="285" t="str">
        <f t="shared" si="11"/>
        <v>OK</v>
      </c>
      <c r="G94" s="285" t="str">
        <f t="shared" si="11"/>
        <v>OK</v>
      </c>
      <c r="H94" s="285" t="str">
        <f t="shared" si="11"/>
        <v>OK</v>
      </c>
      <c r="I94" s="285" t="str">
        <f t="shared" si="11"/>
        <v>OK</v>
      </c>
      <c r="J94" s="285" t="str">
        <f t="shared" si="11"/>
        <v>OK</v>
      </c>
      <c r="K94" s="285" t="str">
        <f t="shared" si="11"/>
        <v>OK</v>
      </c>
      <c r="L94" s="285" t="str">
        <f t="shared" si="11"/>
        <v>OK</v>
      </c>
      <c r="M94" s="285" t="str">
        <f t="shared" si="11"/>
        <v>OK</v>
      </c>
      <c r="N94" s="285" t="str">
        <f t="shared" si="11"/>
        <v>OK</v>
      </c>
      <c r="O94" s="284"/>
      <c r="P94" s="284"/>
      <c r="Q94" s="284"/>
      <c r="R94" s="255"/>
    </row>
    <row r="95" spans="1:21">
      <c r="B95" s="259"/>
      <c r="C95" s="284"/>
      <c r="D95" s="284"/>
      <c r="E95" s="284"/>
      <c r="F95" s="284"/>
      <c r="G95" s="284"/>
      <c r="H95" s="284"/>
      <c r="I95" s="284"/>
      <c r="J95" s="284"/>
      <c r="K95" s="284"/>
      <c r="L95" s="284"/>
      <c r="M95" s="284"/>
      <c r="N95" s="284"/>
      <c r="O95" s="284"/>
      <c r="P95" s="284"/>
      <c r="Q95" s="284"/>
      <c r="R95" s="282"/>
    </row>
    <row r="96" spans="1:21">
      <c r="B96" s="252" t="s">
        <v>48</v>
      </c>
      <c r="C96" s="284"/>
      <c r="D96" s="284"/>
      <c r="E96" s="284"/>
      <c r="F96" s="284"/>
      <c r="G96" s="284"/>
      <c r="H96" s="284"/>
      <c r="I96" s="284"/>
      <c r="J96" s="284"/>
      <c r="K96" s="284"/>
      <c r="L96" s="284"/>
      <c r="M96" s="284"/>
      <c r="N96" s="284"/>
      <c r="O96" s="284"/>
      <c r="P96" s="284"/>
      <c r="Q96" s="284"/>
      <c r="R96" s="282"/>
    </row>
    <row r="97" spans="1:21">
      <c r="A97" s="253" t="str">
        <f>B96&amp;" "&amp;B97</f>
        <v>RS(T)-1 KWH Sales</v>
      </c>
      <c r="B97" s="254" t="s">
        <v>563</v>
      </c>
      <c r="C97" s="284">
        <f>VLOOKUP($B96,'KWH FCST'!$A$104:$M$120,'2018 SUBSEQUENT'!C$8,FALSE)</f>
        <v>4480547058</v>
      </c>
      <c r="D97" s="284">
        <f>VLOOKUP($B96,'KWH FCST'!$A$104:$M$120,'2018 SUBSEQUENT'!D$8,FALSE)</f>
        <v>3970626763</v>
      </c>
      <c r="E97" s="284">
        <f>VLOOKUP($B96,'KWH FCST'!$A$104:$M$120,'2018 SUBSEQUENT'!E$8,FALSE)</f>
        <v>3898615460</v>
      </c>
      <c r="F97" s="284">
        <f>VLOOKUP($B96,'KWH FCST'!$A$104:$M$120,'2018 SUBSEQUENT'!F$8,FALSE)</f>
        <v>4003806466</v>
      </c>
      <c r="G97" s="284">
        <f>VLOOKUP($B96,'KWH FCST'!$A$104:$M$120,'2018 SUBSEQUENT'!G$8,FALSE)</f>
        <v>4668629145</v>
      </c>
      <c r="H97" s="284">
        <f>VLOOKUP($B96,'KWH FCST'!$A$104:$M$120,'2018 SUBSEQUENT'!H$8,FALSE)</f>
        <v>5326911058</v>
      </c>
      <c r="I97" s="284">
        <f>VLOOKUP($B96,'KWH FCST'!$A$104:$M$120,'2018 SUBSEQUENT'!I$8,FALSE)</f>
        <v>5797588974</v>
      </c>
      <c r="J97" s="284">
        <f>VLOOKUP($B96,'KWH FCST'!$A$104:$M$120,'2018 SUBSEQUENT'!J$8,FALSE)</f>
        <v>5927891677</v>
      </c>
      <c r="K97" s="284">
        <f>VLOOKUP($B96,'KWH FCST'!$A$104:$M$120,'2018 SUBSEQUENT'!K$8,FALSE)</f>
        <v>5743314788</v>
      </c>
      <c r="L97" s="284">
        <f>VLOOKUP($B96,'KWH FCST'!$A$104:$M$120,'2018 SUBSEQUENT'!L$8,FALSE)</f>
        <v>5166360566</v>
      </c>
      <c r="M97" s="284">
        <f>VLOOKUP($B96,'KWH FCST'!$A$104:$M$120,'2018 SUBSEQUENT'!M$8,FALSE)</f>
        <v>4269989489</v>
      </c>
      <c r="N97" s="284">
        <f>VLOOKUP($B96,'KWH FCST'!$A$104:$M$120,'2018 SUBSEQUENT'!N$8,FALSE)</f>
        <v>4106934435</v>
      </c>
      <c r="O97" s="284">
        <f>SUM(C97:N97)</f>
        <v>57361215879</v>
      </c>
      <c r="P97" s="284"/>
      <c r="Q97" s="284"/>
      <c r="R97" s="282"/>
      <c r="T97" s="255">
        <f>VLOOKUP(B96,'Sales Forecast'!$B$7:$AO$23,40,FALSE)</f>
        <v>57361215879</v>
      </c>
      <c r="U97" s="255">
        <f>+O97-T97</f>
        <v>0</v>
      </c>
    </row>
    <row r="98" spans="1:21">
      <c r="A98" s="253" t="str">
        <f>B96&amp;" "&amp;B98</f>
        <v>RS(T)-1 NCP</v>
      </c>
      <c r="B98" s="254" t="s">
        <v>133</v>
      </c>
      <c r="C98" s="284">
        <f>VLOOKUP($B96,'NCP FCST'!$A$103:$M$119,'2018 SUBSEQUENT'!C$8,FALSE)</f>
        <v>33400925.359279197</v>
      </c>
      <c r="D98" s="284">
        <f>VLOOKUP($B96,'NCP FCST'!$A$103:$M$119,'2018 SUBSEQUENT'!D$8,FALSE)</f>
        <v>30920216.677756939</v>
      </c>
      <c r="E98" s="284">
        <f>VLOOKUP($B96,'NCP FCST'!$A$103:$M$119,'2018 SUBSEQUENT'!E$8,FALSE)</f>
        <v>27011252.676266547</v>
      </c>
      <c r="F98" s="284">
        <f>VLOOKUP($B96,'NCP FCST'!$A$103:$M$119,'2018 SUBSEQUENT'!F$8,FALSE)</f>
        <v>24395968.823495604</v>
      </c>
      <c r="G98" s="284">
        <f>VLOOKUP($B96,'NCP FCST'!$A$103:$M$119,'2018 SUBSEQUENT'!G$8,FALSE)</f>
        <v>24378777.304491904</v>
      </c>
      <c r="H98" s="284">
        <f>VLOOKUP($B96,'NCP FCST'!$A$103:$M$119,'2018 SUBSEQUENT'!H$8,FALSE)</f>
        <v>25706291.317125693</v>
      </c>
      <c r="I98" s="284">
        <f>VLOOKUP($B96,'NCP FCST'!$A$103:$M$119,'2018 SUBSEQUENT'!I$8,FALSE)</f>
        <v>26185684.648148429</v>
      </c>
      <c r="J98" s="284">
        <f>VLOOKUP($B96,'NCP FCST'!$A$103:$M$119,'2018 SUBSEQUENT'!J$8,FALSE)</f>
        <v>25888128.311549827</v>
      </c>
      <c r="K98" s="284">
        <f>VLOOKUP($B96,'NCP FCST'!$A$103:$M$119,'2018 SUBSEQUENT'!K$8,FALSE)</f>
        <v>27818080.530982319</v>
      </c>
      <c r="L98" s="284">
        <f>VLOOKUP($B96,'NCP FCST'!$A$103:$M$119,'2018 SUBSEQUENT'!L$8,FALSE)</f>
        <v>27296845.58914189</v>
      </c>
      <c r="M98" s="284">
        <f>VLOOKUP($B96,'NCP FCST'!$A$103:$M$119,'2018 SUBSEQUENT'!M$8,FALSE)</f>
        <v>29948734.01752409</v>
      </c>
      <c r="N98" s="284">
        <f>VLOOKUP($B96,'NCP FCST'!$A$103:$M$119,'2018 SUBSEQUENT'!N$8,FALSE)</f>
        <v>28748611.737518813</v>
      </c>
      <c r="O98" s="284"/>
      <c r="P98" s="284">
        <f>MAX(C98:N98)</f>
        <v>33400925.359279197</v>
      </c>
      <c r="Q98" s="284"/>
      <c r="R98" s="282"/>
      <c r="T98" s="255">
        <f>VLOOKUP($B96,'NCP FCST'!$A$103:$O$119,15,FALSE)</f>
        <v>33400925.359279197</v>
      </c>
      <c r="U98" s="255">
        <f>P98-T98</f>
        <v>0</v>
      </c>
    </row>
    <row r="99" spans="1:21">
      <c r="A99" s="253" t="str">
        <f>B96&amp;" "&amp;B99</f>
        <v>RS(T)-1 GNCP</v>
      </c>
      <c r="B99" s="254" t="s">
        <v>342</v>
      </c>
      <c r="C99" s="284">
        <f>VLOOKUP($B96,'GNCP FCST'!$A$102:$M$118,'2018 SUBSEQUENT'!C$8,FALSE)</f>
        <v>12436715.479783271</v>
      </c>
      <c r="D99" s="284">
        <f>VLOOKUP($B96,'GNCP FCST'!$A$102:$M$118,'2018 SUBSEQUENT'!D$8,FALSE)</f>
        <v>10717692.831553455</v>
      </c>
      <c r="E99" s="284">
        <f>VLOOKUP($B96,'GNCP FCST'!$A$102:$M$118,'2018 SUBSEQUENT'!E$8,FALSE)</f>
        <v>10208714.097423151</v>
      </c>
      <c r="F99" s="284">
        <f>VLOOKUP($B96,'GNCP FCST'!$A$102:$M$118,'2018 SUBSEQUENT'!F$8,FALSE)</f>
        <v>10344494.673365265</v>
      </c>
      <c r="G99" s="284">
        <f>VLOOKUP($B96,'GNCP FCST'!$A$102:$M$118,'2018 SUBSEQUENT'!G$8,FALSE)</f>
        <v>11445348.265144141</v>
      </c>
      <c r="H99" s="284">
        <f>VLOOKUP($B96,'GNCP FCST'!$A$102:$M$118,'2018 SUBSEQUENT'!H$8,FALSE)</f>
        <v>12300186.666364992</v>
      </c>
      <c r="I99" s="284">
        <f>VLOOKUP($B96,'GNCP FCST'!$A$102:$M$118,'2018 SUBSEQUENT'!I$8,FALSE)</f>
        <v>12735059.301057592</v>
      </c>
      <c r="J99" s="284">
        <f>VLOOKUP($B96,'GNCP FCST'!$A$102:$M$118,'2018 SUBSEQUENT'!J$8,FALSE)</f>
        <v>13173312.797917232</v>
      </c>
      <c r="K99" s="284">
        <f>VLOOKUP($B96,'GNCP FCST'!$A$102:$M$118,'2018 SUBSEQUENT'!K$8,FALSE)</f>
        <v>13277759.346655909</v>
      </c>
      <c r="L99" s="284">
        <f>VLOOKUP($B96,'GNCP FCST'!$A$102:$M$118,'2018 SUBSEQUENT'!L$8,FALSE)</f>
        <v>11785612.851307558</v>
      </c>
      <c r="M99" s="284">
        <f>VLOOKUP($B96,'GNCP FCST'!$A$102:$M$118,'2018 SUBSEQUENT'!M$8,FALSE)</f>
        <v>9985389.4595095515</v>
      </c>
      <c r="N99" s="284">
        <f>VLOOKUP($B96,'GNCP FCST'!$A$102:$M$118,'2018 SUBSEQUENT'!N$8,FALSE)</f>
        <v>9221765.9555183072</v>
      </c>
      <c r="O99" s="284"/>
      <c r="Q99" s="284">
        <f>MAX(C99:N99)</f>
        <v>13277759.346655909</v>
      </c>
      <c r="R99" s="282"/>
      <c r="T99" s="255">
        <f>VLOOKUP($B96,'GNCP FCST'!$A$102:$O$118,15,FALSE)</f>
        <v>13277759.346655909</v>
      </c>
      <c r="U99" s="255">
        <f>+Q99-T99</f>
        <v>0</v>
      </c>
    </row>
    <row r="100" spans="1:21">
      <c r="A100" s="253" t="str">
        <f>B96&amp;" "&amp;B100</f>
        <v>RS(T)-1 CP</v>
      </c>
      <c r="B100" s="254" t="s">
        <v>148</v>
      </c>
      <c r="C100" s="284">
        <f>VLOOKUP($B96,'CP FCST'!$A$102:$M$118,'2018 SUBSEQUENT'!C$8,FALSE)</f>
        <v>12436715.479783271</v>
      </c>
      <c r="D100" s="284">
        <f>VLOOKUP($B96,'CP FCST'!$A$102:$M$118,'2018 SUBSEQUENT'!D$8,FALSE)</f>
        <v>8804289.4707257971</v>
      </c>
      <c r="E100" s="284">
        <f>VLOOKUP($B96,'CP FCST'!$A$102:$M$118,'2018 SUBSEQUENT'!E$8,FALSE)</f>
        <v>10208714.097423151</v>
      </c>
      <c r="F100" s="284">
        <f>VLOOKUP($B96,'CP FCST'!$A$102:$M$118,'2018 SUBSEQUENT'!F$8,FALSE)</f>
        <v>10344494.673365265</v>
      </c>
      <c r="G100" s="284">
        <f>VLOOKUP($B96,'CP FCST'!$A$102:$M$118,'2018 SUBSEQUENT'!G$8,FALSE)</f>
        <v>11445348.265144141</v>
      </c>
      <c r="H100" s="284">
        <f>VLOOKUP($B96,'CP FCST'!$A$102:$M$118,'2018 SUBSEQUENT'!H$8,FALSE)</f>
        <v>12300186.666364992</v>
      </c>
      <c r="I100" s="284">
        <f>VLOOKUP($B96,'CP FCST'!$A$102:$M$118,'2018 SUBSEQUENT'!I$8,FALSE)</f>
        <v>12735059.301057592</v>
      </c>
      <c r="J100" s="284">
        <f>VLOOKUP($B96,'CP FCST'!$A$102:$M$118,'2018 SUBSEQUENT'!J$8,FALSE)</f>
        <v>13173312.797917232</v>
      </c>
      <c r="K100" s="284">
        <f>VLOOKUP($B96,'CP FCST'!$A$102:$M$118,'2018 SUBSEQUENT'!K$8,FALSE)</f>
        <v>12622476.509656837</v>
      </c>
      <c r="L100" s="284">
        <f>VLOOKUP($B96,'CP FCST'!$A$102:$M$118,'2018 SUBSEQUENT'!L$8,FALSE)</f>
        <v>11344658.573166814</v>
      </c>
      <c r="M100" s="284">
        <f>VLOOKUP($B96,'CP FCST'!$A$102:$M$118,'2018 SUBSEQUENT'!M$8,FALSE)</f>
        <v>9452192.0060957503</v>
      </c>
      <c r="N100" s="284">
        <f>VLOOKUP($B96,'CP FCST'!$A$102:$M$118,'2018 SUBSEQUENT'!N$8,FALSE)</f>
        <v>9221765.9555183072</v>
      </c>
      <c r="O100" s="284"/>
      <c r="P100" s="284"/>
      <c r="Q100" s="284"/>
      <c r="R100" s="255">
        <f>AVERAGE(C100:N100)</f>
        <v>11174101.14968493</v>
      </c>
      <c r="T100" s="255">
        <f>VLOOKUP($B96,'CP FCST'!$A$102:$O$118,15,FALSE)</f>
        <v>11174101.14968493</v>
      </c>
      <c r="U100" s="255">
        <f>R100-T100</f>
        <v>0</v>
      </c>
    </row>
    <row r="101" spans="1:21">
      <c r="B101" s="254" t="s">
        <v>570</v>
      </c>
      <c r="C101" s="285" t="str">
        <f t="shared" ref="C101:N101" si="12">IF(C100&gt;C99,"ERROR",IF(C99&gt;C98,"ERROR","OK"))</f>
        <v>OK</v>
      </c>
      <c r="D101" s="285" t="str">
        <f t="shared" si="12"/>
        <v>OK</v>
      </c>
      <c r="E101" s="285" t="str">
        <f t="shared" si="12"/>
        <v>OK</v>
      </c>
      <c r="F101" s="285" t="str">
        <f t="shared" si="12"/>
        <v>OK</v>
      </c>
      <c r="G101" s="285" t="str">
        <f t="shared" si="12"/>
        <v>OK</v>
      </c>
      <c r="H101" s="285" t="str">
        <f t="shared" si="12"/>
        <v>OK</v>
      </c>
      <c r="I101" s="285" t="str">
        <f t="shared" si="12"/>
        <v>OK</v>
      </c>
      <c r="J101" s="285" t="str">
        <f t="shared" si="12"/>
        <v>OK</v>
      </c>
      <c r="K101" s="285" t="str">
        <f t="shared" si="12"/>
        <v>OK</v>
      </c>
      <c r="L101" s="285" t="str">
        <f t="shared" si="12"/>
        <v>OK</v>
      </c>
      <c r="M101" s="285" t="str">
        <f t="shared" si="12"/>
        <v>OK</v>
      </c>
      <c r="N101" s="285" t="str">
        <f t="shared" si="12"/>
        <v>OK</v>
      </c>
      <c r="O101" s="284"/>
      <c r="P101" s="284"/>
      <c r="Q101" s="284"/>
      <c r="R101" s="255"/>
    </row>
    <row r="102" spans="1:21">
      <c r="B102" s="259"/>
      <c r="C102" s="284"/>
      <c r="D102" s="284"/>
      <c r="E102" s="284"/>
      <c r="F102" s="284"/>
      <c r="G102" s="284"/>
      <c r="H102" s="284"/>
      <c r="I102" s="284"/>
      <c r="J102" s="284"/>
      <c r="K102" s="284"/>
      <c r="L102" s="284"/>
      <c r="M102" s="284"/>
      <c r="N102" s="284"/>
      <c r="O102" s="284"/>
      <c r="P102" s="284"/>
      <c r="Q102" s="284"/>
      <c r="R102" s="282"/>
    </row>
    <row r="103" spans="1:21">
      <c r="B103" s="252" t="s">
        <v>53</v>
      </c>
      <c r="C103" s="284"/>
      <c r="D103" s="284"/>
      <c r="E103" s="284"/>
      <c r="F103" s="284"/>
      <c r="G103" s="284"/>
      <c r="H103" s="284"/>
      <c r="I103" s="284"/>
      <c r="J103" s="284"/>
      <c r="K103" s="284"/>
      <c r="L103" s="284"/>
      <c r="M103" s="284"/>
      <c r="N103" s="284"/>
      <c r="O103" s="284"/>
      <c r="P103" s="284"/>
      <c r="Q103" s="284"/>
      <c r="R103" s="282"/>
    </row>
    <row r="104" spans="1:21">
      <c r="A104" s="253" t="str">
        <f>B103&amp;" "&amp;B104</f>
        <v>SL-1 KWH Sales</v>
      </c>
      <c r="B104" s="254" t="s">
        <v>563</v>
      </c>
      <c r="C104" s="284">
        <f>VLOOKUP($B103,'KWH FCST'!$A$104:$M$120,'2018 SUBSEQUENT'!C$8,FALSE)</f>
        <v>49954501</v>
      </c>
      <c r="D104" s="284">
        <f>VLOOKUP($B103,'KWH FCST'!$A$104:$M$120,'2018 SUBSEQUENT'!D$8,FALSE)</f>
        <v>46262213</v>
      </c>
      <c r="E104" s="284">
        <f>VLOOKUP($B103,'KWH FCST'!$A$104:$M$120,'2018 SUBSEQUENT'!E$8,FALSE)</f>
        <v>46526540</v>
      </c>
      <c r="F104" s="284">
        <f>VLOOKUP($B103,'KWH FCST'!$A$104:$M$120,'2018 SUBSEQUENT'!F$8,FALSE)</f>
        <v>48037603</v>
      </c>
      <c r="G104" s="284">
        <f>VLOOKUP($B103,'KWH FCST'!$A$104:$M$120,'2018 SUBSEQUENT'!G$8,FALSE)</f>
        <v>47848318</v>
      </c>
      <c r="H104" s="284">
        <f>VLOOKUP($B103,'KWH FCST'!$A$104:$M$120,'2018 SUBSEQUENT'!H$8,FALSE)</f>
        <v>45261755</v>
      </c>
      <c r="I104" s="284">
        <f>VLOOKUP($B103,'KWH FCST'!$A$104:$M$120,'2018 SUBSEQUENT'!I$8,FALSE)</f>
        <v>46811116</v>
      </c>
      <c r="J104" s="284">
        <f>VLOOKUP($B103,'KWH FCST'!$A$104:$M$120,'2018 SUBSEQUENT'!J$8,FALSE)</f>
        <v>53380049</v>
      </c>
      <c r="K104" s="284">
        <f>VLOOKUP($B103,'KWH FCST'!$A$104:$M$120,'2018 SUBSEQUENT'!K$8,FALSE)</f>
        <v>47321203</v>
      </c>
      <c r="L104" s="284">
        <f>VLOOKUP($B103,'KWH FCST'!$A$104:$M$120,'2018 SUBSEQUENT'!L$8,FALSE)</f>
        <v>44630969</v>
      </c>
      <c r="M104" s="284">
        <f>VLOOKUP($B103,'KWH FCST'!$A$104:$M$120,'2018 SUBSEQUENT'!M$8,FALSE)</f>
        <v>44174215</v>
      </c>
      <c r="N104" s="284">
        <f>VLOOKUP($B103,'KWH FCST'!$A$104:$M$120,'2018 SUBSEQUENT'!N$8,FALSE)</f>
        <v>50751782</v>
      </c>
      <c r="O104" s="284">
        <f>SUM(C104:N104)</f>
        <v>570960264</v>
      </c>
      <c r="P104" s="284"/>
      <c r="Q104" s="284"/>
      <c r="R104" s="282"/>
      <c r="T104" s="255">
        <f>VLOOKUP(B103,'Sales Forecast'!$B$7:$AO$23,40,FALSE)</f>
        <v>570960264</v>
      </c>
      <c r="U104" s="255">
        <f>+O104-T104</f>
        <v>0</v>
      </c>
    </row>
    <row r="105" spans="1:21">
      <c r="A105" s="253" t="str">
        <f>B103&amp;" "&amp;B105</f>
        <v>SL-1 NCP</v>
      </c>
      <c r="B105" s="254" t="s">
        <v>133</v>
      </c>
      <c r="C105" s="284">
        <f>VLOOKUP($B103,'NCP FCST'!$A$103:$M$119,'2018 SUBSEQUENT'!C$8,FALSE)</f>
        <v>121588.62886739362</v>
      </c>
      <c r="D105" s="284">
        <f>VLOOKUP($B103,'NCP FCST'!$A$103:$M$119,'2018 SUBSEQUENT'!D$8,FALSE)</f>
        <v>129896.03650813719</v>
      </c>
      <c r="E105" s="284">
        <f>VLOOKUP($B103,'NCP FCST'!$A$103:$M$119,'2018 SUBSEQUENT'!E$8,FALSE)</f>
        <v>125445.352761663</v>
      </c>
      <c r="F105" s="284">
        <f>VLOOKUP($B103,'NCP FCST'!$A$103:$M$119,'2018 SUBSEQUENT'!F$8,FALSE)</f>
        <v>142562.10900091712</v>
      </c>
      <c r="G105" s="284">
        <f>VLOOKUP($B103,'NCP FCST'!$A$103:$M$119,'2018 SUBSEQUENT'!G$8,FALSE)</f>
        <v>145476.63276528814</v>
      </c>
      <c r="H105" s="284">
        <f>VLOOKUP($B103,'NCP FCST'!$A$103:$M$119,'2018 SUBSEQUENT'!H$8,FALSE)</f>
        <v>146386.42192705124</v>
      </c>
      <c r="I105" s="284">
        <f>VLOOKUP($B103,'NCP FCST'!$A$103:$M$119,'2018 SUBSEQUENT'!I$8,FALSE)</f>
        <v>144598.50127513421</v>
      </c>
      <c r="J105" s="284">
        <f>VLOOKUP($B103,'NCP FCST'!$A$103:$M$119,'2018 SUBSEQUENT'!J$8,FALSE)</f>
        <v>157002.30975241194</v>
      </c>
      <c r="K105" s="284">
        <f>VLOOKUP($B103,'NCP FCST'!$A$103:$M$119,'2018 SUBSEQUENT'!K$8,FALSE)</f>
        <v>134950.17456363016</v>
      </c>
      <c r="L105" s="284">
        <f>VLOOKUP($B103,'NCP FCST'!$A$103:$M$119,'2018 SUBSEQUENT'!L$8,FALSE)</f>
        <v>115656.6941546076</v>
      </c>
      <c r="M105" s="284">
        <f>VLOOKUP($B103,'NCP FCST'!$A$103:$M$119,'2018 SUBSEQUENT'!M$8,FALSE)</f>
        <v>112464.68398081642</v>
      </c>
      <c r="N105" s="284">
        <f>VLOOKUP($B103,'NCP FCST'!$A$103:$M$119,'2018 SUBSEQUENT'!N$8,FALSE)</f>
        <v>122039.48507816791</v>
      </c>
      <c r="O105" s="284"/>
      <c r="P105" s="284">
        <f>MAX(C105:N105)</f>
        <v>157002.30975241194</v>
      </c>
      <c r="Q105" s="284"/>
      <c r="R105" s="282"/>
      <c r="T105" s="255">
        <f>VLOOKUP($B103,'NCP FCST'!$A$103:$O$119,15,FALSE)</f>
        <v>157002.30975241194</v>
      </c>
      <c r="U105" s="255">
        <f>P105-T105</f>
        <v>0</v>
      </c>
    </row>
    <row r="106" spans="1:21">
      <c r="A106" s="253" t="str">
        <f>B103&amp;" "&amp;B106</f>
        <v>SL-1 GNCP</v>
      </c>
      <c r="B106" s="254" t="s">
        <v>342</v>
      </c>
      <c r="C106" s="284">
        <f>VLOOKUP($B103,'GNCP FCST'!$A$102:$M$118,'2018 SUBSEQUENT'!C$8,FALSE)</f>
        <v>121588.62886739362</v>
      </c>
      <c r="D106" s="284">
        <f>VLOOKUP($B103,'GNCP FCST'!$A$102:$M$118,'2018 SUBSEQUENT'!D$8,FALSE)</f>
        <v>129896.03650813719</v>
      </c>
      <c r="E106" s="284">
        <f>VLOOKUP($B103,'GNCP FCST'!$A$102:$M$118,'2018 SUBSEQUENT'!E$8,FALSE)</f>
        <v>125445.352761663</v>
      </c>
      <c r="F106" s="284">
        <f>VLOOKUP($B103,'GNCP FCST'!$A$102:$M$118,'2018 SUBSEQUENT'!F$8,FALSE)</f>
        <v>142562.10900091712</v>
      </c>
      <c r="G106" s="284">
        <f>VLOOKUP($B103,'GNCP FCST'!$A$102:$M$118,'2018 SUBSEQUENT'!G$8,FALSE)</f>
        <v>145476.63276528814</v>
      </c>
      <c r="H106" s="284">
        <f>VLOOKUP($B103,'GNCP FCST'!$A$102:$M$118,'2018 SUBSEQUENT'!H$8,FALSE)</f>
        <v>146386.42192705124</v>
      </c>
      <c r="I106" s="284">
        <f>VLOOKUP($B103,'GNCP FCST'!$A$102:$M$118,'2018 SUBSEQUENT'!I$8,FALSE)</f>
        <v>144598.50127513421</v>
      </c>
      <c r="J106" s="284">
        <f>VLOOKUP($B103,'GNCP FCST'!$A$102:$M$118,'2018 SUBSEQUENT'!J$8,FALSE)</f>
        <v>157002.30975241194</v>
      </c>
      <c r="K106" s="284">
        <f>VLOOKUP($B103,'GNCP FCST'!$A$102:$M$118,'2018 SUBSEQUENT'!K$8,FALSE)</f>
        <v>134950.17456363016</v>
      </c>
      <c r="L106" s="284">
        <f>VLOOKUP($B103,'GNCP FCST'!$A$102:$M$118,'2018 SUBSEQUENT'!L$8,FALSE)</f>
        <v>115656.6941546076</v>
      </c>
      <c r="M106" s="284">
        <f>VLOOKUP($B103,'GNCP FCST'!$A$102:$M$118,'2018 SUBSEQUENT'!M$8,FALSE)</f>
        <v>112464.68398081642</v>
      </c>
      <c r="N106" s="284">
        <f>VLOOKUP($B103,'GNCP FCST'!$A$102:$M$118,'2018 SUBSEQUENT'!N$8,FALSE)</f>
        <v>122039.48507816791</v>
      </c>
      <c r="O106" s="284"/>
      <c r="Q106" s="284">
        <f>MAX(C106:N106)</f>
        <v>157002.30975241194</v>
      </c>
      <c r="R106" s="282"/>
      <c r="T106" s="255">
        <f>VLOOKUP($B103,'GNCP FCST'!$A$102:$O$118,15,FALSE)</f>
        <v>157002.30975241194</v>
      </c>
      <c r="U106" s="255">
        <f>+Q106-T106</f>
        <v>0</v>
      </c>
    </row>
    <row r="107" spans="1:21">
      <c r="A107" s="253" t="str">
        <f>B103&amp;" "&amp;B107</f>
        <v>SL-1 CP</v>
      </c>
      <c r="B107" s="254" t="s">
        <v>148</v>
      </c>
      <c r="C107" s="284">
        <f>VLOOKUP($B103,'CP FCST'!$A$102:$M$118,'2018 SUBSEQUENT'!C$8,FALSE)</f>
        <v>55467.77652848899</v>
      </c>
      <c r="D107" s="284">
        <f>VLOOKUP($B103,'CP FCST'!$A$102:$M$118,'2018 SUBSEQUENT'!D$8,FALSE)</f>
        <v>0</v>
      </c>
      <c r="E107" s="284">
        <f>VLOOKUP($B103,'CP FCST'!$A$102:$M$118,'2018 SUBSEQUENT'!E$8,FALSE)</f>
        <v>0</v>
      </c>
      <c r="F107" s="284">
        <f>VLOOKUP($B103,'CP FCST'!$A$102:$M$118,'2018 SUBSEQUENT'!F$8,FALSE)</f>
        <v>0</v>
      </c>
      <c r="G107" s="284">
        <f>VLOOKUP($B103,'CP FCST'!$A$102:$M$118,'2018 SUBSEQUENT'!G$8,FALSE)</f>
        <v>0</v>
      </c>
      <c r="H107" s="284">
        <f>VLOOKUP($B103,'CP FCST'!$A$102:$M$118,'2018 SUBSEQUENT'!H$8,FALSE)</f>
        <v>0</v>
      </c>
      <c r="I107" s="284">
        <f>VLOOKUP($B103,'CP FCST'!$A$102:$M$118,'2018 SUBSEQUENT'!I$8,FALSE)</f>
        <v>0</v>
      </c>
      <c r="J107" s="284">
        <f>VLOOKUP($B103,'CP FCST'!$A$102:$M$118,'2018 SUBSEQUENT'!J$8,FALSE)</f>
        <v>0</v>
      </c>
      <c r="K107" s="284">
        <f>VLOOKUP($B103,'CP FCST'!$A$102:$M$118,'2018 SUBSEQUENT'!K$8,FALSE)</f>
        <v>0</v>
      </c>
      <c r="L107" s="284">
        <f>VLOOKUP($B103,'CP FCST'!$A$102:$M$118,'2018 SUBSEQUENT'!L$8,FALSE)</f>
        <v>0</v>
      </c>
      <c r="M107" s="284">
        <f>VLOOKUP($B103,'CP FCST'!$A$102:$M$118,'2018 SUBSEQUENT'!M$8,FALSE)</f>
        <v>39583.030255968602</v>
      </c>
      <c r="N107" s="284">
        <f>VLOOKUP($B103,'CP FCST'!$A$102:$M$118,'2018 SUBSEQUENT'!N$8,FALSE)</f>
        <v>39957.723614630529</v>
      </c>
      <c r="O107" s="284"/>
      <c r="P107" s="284"/>
      <c r="Q107" s="284"/>
      <c r="R107" s="255">
        <f>AVERAGE(C107:N107)</f>
        <v>11250.710866590676</v>
      </c>
      <c r="T107" s="255">
        <f>VLOOKUP($B103,'CP FCST'!$A$102:$O$118,15,FALSE)</f>
        <v>11250.710866590676</v>
      </c>
      <c r="U107" s="255">
        <f>R107-T107</f>
        <v>0</v>
      </c>
    </row>
    <row r="108" spans="1:21">
      <c r="B108" s="254" t="s">
        <v>570</v>
      </c>
      <c r="C108" s="285" t="str">
        <f t="shared" ref="C108:N108" si="13">IF(C107&gt;C106,"ERROR",IF(C106&gt;C105,"ERROR","OK"))</f>
        <v>OK</v>
      </c>
      <c r="D108" s="285" t="str">
        <f t="shared" si="13"/>
        <v>OK</v>
      </c>
      <c r="E108" s="285" t="str">
        <f t="shared" si="13"/>
        <v>OK</v>
      </c>
      <c r="F108" s="285" t="str">
        <f t="shared" si="13"/>
        <v>OK</v>
      </c>
      <c r="G108" s="285" t="str">
        <f t="shared" si="13"/>
        <v>OK</v>
      </c>
      <c r="H108" s="285" t="str">
        <f t="shared" si="13"/>
        <v>OK</v>
      </c>
      <c r="I108" s="285" t="str">
        <f t="shared" si="13"/>
        <v>OK</v>
      </c>
      <c r="J108" s="285" t="str">
        <f t="shared" si="13"/>
        <v>OK</v>
      </c>
      <c r="K108" s="285" t="str">
        <f t="shared" si="13"/>
        <v>OK</v>
      </c>
      <c r="L108" s="285" t="str">
        <f t="shared" si="13"/>
        <v>OK</v>
      </c>
      <c r="M108" s="285" t="str">
        <f t="shared" si="13"/>
        <v>OK</v>
      </c>
      <c r="N108" s="285" t="str">
        <f t="shared" si="13"/>
        <v>OK</v>
      </c>
      <c r="O108" s="284"/>
      <c r="P108" s="284"/>
      <c r="Q108" s="284"/>
      <c r="R108" s="255"/>
    </row>
    <row r="109" spans="1:21">
      <c r="B109" s="259"/>
      <c r="C109" s="284"/>
      <c r="D109" s="284"/>
      <c r="E109" s="284"/>
      <c r="F109" s="284"/>
      <c r="G109" s="284"/>
      <c r="H109" s="284"/>
      <c r="I109" s="284"/>
      <c r="J109" s="284"/>
      <c r="K109" s="284"/>
      <c r="L109" s="284"/>
      <c r="M109" s="284"/>
      <c r="N109" s="284"/>
      <c r="O109" s="284"/>
      <c r="P109" s="284"/>
      <c r="Q109" s="284"/>
      <c r="R109" s="282"/>
    </row>
    <row r="110" spans="1:21">
      <c r="B110" s="252" t="s">
        <v>55</v>
      </c>
      <c r="C110" s="284"/>
      <c r="D110" s="284"/>
      <c r="E110" s="284"/>
      <c r="F110" s="284"/>
      <c r="G110" s="284"/>
      <c r="H110" s="284"/>
      <c r="I110" s="284"/>
      <c r="J110" s="284"/>
      <c r="K110" s="284"/>
      <c r="L110" s="284"/>
      <c r="M110" s="284"/>
      <c r="N110" s="284"/>
      <c r="O110" s="284"/>
      <c r="P110" s="284"/>
      <c r="Q110" s="284"/>
      <c r="R110" s="282"/>
    </row>
    <row r="111" spans="1:21">
      <c r="A111" s="253" t="str">
        <f>B110&amp;" "&amp;B111</f>
        <v>SL-2 KWH Sales</v>
      </c>
      <c r="B111" s="254" t="s">
        <v>563</v>
      </c>
      <c r="C111" s="284">
        <f>VLOOKUP($B110,'KWH FCST'!$A$104:$M$120,'2018 SUBSEQUENT'!C$8,FALSE)</f>
        <v>2756550</v>
      </c>
      <c r="D111" s="284">
        <f>VLOOKUP($B110,'KWH FCST'!$A$104:$M$120,'2018 SUBSEQUENT'!D$8,FALSE)</f>
        <v>2762564</v>
      </c>
      <c r="E111" s="284">
        <f>VLOOKUP($B110,'KWH FCST'!$A$104:$M$120,'2018 SUBSEQUENT'!E$8,FALSE)</f>
        <v>2767409</v>
      </c>
      <c r="F111" s="284">
        <f>VLOOKUP($B110,'KWH FCST'!$A$104:$M$120,'2018 SUBSEQUENT'!F$8,FALSE)</f>
        <v>2773427</v>
      </c>
      <c r="G111" s="284">
        <f>VLOOKUP($B110,'KWH FCST'!$A$104:$M$120,'2018 SUBSEQUENT'!G$8,FALSE)</f>
        <v>2782214</v>
      </c>
      <c r="H111" s="284">
        <f>VLOOKUP($B110,'KWH FCST'!$A$104:$M$120,'2018 SUBSEQUENT'!H$8,FALSE)</f>
        <v>2787074</v>
      </c>
      <c r="I111" s="284">
        <f>VLOOKUP($B110,'KWH FCST'!$A$104:$M$120,'2018 SUBSEQUENT'!I$8,FALSE)</f>
        <v>2793102</v>
      </c>
      <c r="J111" s="284">
        <f>VLOOKUP($B110,'KWH FCST'!$A$104:$M$120,'2018 SUBSEQUENT'!J$8,FALSE)</f>
        <v>2796116</v>
      </c>
      <c r="K111" s="284">
        <f>VLOOKUP($B110,'KWH FCST'!$A$104:$M$120,'2018 SUBSEQUENT'!K$8,FALSE)</f>
        <v>2800286</v>
      </c>
      <c r="L111" s="284">
        <f>VLOOKUP($B110,'KWH FCST'!$A$104:$M$120,'2018 SUBSEQUENT'!L$8,FALSE)</f>
        <v>2808172</v>
      </c>
      <c r="M111" s="284">
        <f>VLOOKUP($B110,'KWH FCST'!$A$104:$M$120,'2018 SUBSEQUENT'!M$8,FALSE)</f>
        <v>2812118</v>
      </c>
      <c r="N111" s="284">
        <f>VLOOKUP($B110,'KWH FCST'!$A$104:$M$120,'2018 SUBSEQUENT'!N$8,FALSE)</f>
        <v>2816280</v>
      </c>
      <c r="O111" s="284">
        <f>SUM(C111:N111)</f>
        <v>33455312</v>
      </c>
      <c r="P111" s="284"/>
      <c r="Q111" s="284"/>
      <c r="R111" s="282"/>
      <c r="T111" s="255">
        <f>VLOOKUP(B110,'Sales Forecast'!$B$7:$AO$23,40,FALSE)</f>
        <v>33455312</v>
      </c>
      <c r="U111" s="255">
        <f>+O111-T111</f>
        <v>0</v>
      </c>
    </row>
    <row r="112" spans="1:21">
      <c r="A112" s="253" t="str">
        <f>B110&amp;" "&amp;B112</f>
        <v>SL-2 NCP</v>
      </c>
      <c r="B112" s="254" t="s">
        <v>133</v>
      </c>
      <c r="C112" s="284">
        <f>VLOOKUP($B110,'NCP FCST'!$A$103:$M$119,'2018 SUBSEQUENT'!C$8,FALSE)</f>
        <v>4082.4174626986128</v>
      </c>
      <c r="D112" s="284">
        <f>VLOOKUP($B110,'NCP FCST'!$A$103:$M$119,'2018 SUBSEQUENT'!D$8,FALSE)</f>
        <v>4175.8718451179866</v>
      </c>
      <c r="E112" s="284">
        <f>VLOOKUP($B110,'NCP FCST'!$A$103:$M$119,'2018 SUBSEQUENT'!E$8,FALSE)</f>
        <v>4193.4220486998647</v>
      </c>
      <c r="F112" s="284">
        <f>VLOOKUP($B110,'NCP FCST'!$A$103:$M$119,'2018 SUBSEQUENT'!F$8,FALSE)</f>
        <v>4176.6809373448541</v>
      </c>
      <c r="G112" s="284">
        <f>VLOOKUP($B110,'NCP FCST'!$A$103:$M$119,'2018 SUBSEQUENT'!G$8,FALSE)</f>
        <v>4129.8977679217123</v>
      </c>
      <c r="H112" s="284">
        <f>VLOOKUP($B110,'NCP FCST'!$A$103:$M$119,'2018 SUBSEQUENT'!H$8,FALSE)</f>
        <v>4089.2996824841457</v>
      </c>
      <c r="I112" s="284">
        <f>VLOOKUP($B110,'NCP FCST'!$A$103:$M$119,'2018 SUBSEQUENT'!I$8,FALSE)</f>
        <v>4015.0511741078994</v>
      </c>
      <c r="J112" s="284">
        <f>VLOOKUP($B110,'NCP FCST'!$A$103:$M$119,'2018 SUBSEQUENT'!J$8,FALSE)</f>
        <v>4154.4975651873465</v>
      </c>
      <c r="K112" s="284">
        <f>VLOOKUP($B110,'NCP FCST'!$A$103:$M$119,'2018 SUBSEQUENT'!K$8,FALSE)</f>
        <v>3947.8805294235653</v>
      </c>
      <c r="L112" s="284">
        <f>VLOOKUP($B110,'NCP FCST'!$A$103:$M$119,'2018 SUBSEQUENT'!L$8,FALSE)</f>
        <v>3870.8395149901908</v>
      </c>
      <c r="M112" s="284">
        <f>VLOOKUP($B110,'NCP FCST'!$A$103:$M$119,'2018 SUBSEQUENT'!M$8,FALSE)</f>
        <v>3911.2214500870864</v>
      </c>
      <c r="N112" s="284">
        <f>VLOOKUP($B110,'NCP FCST'!$A$103:$M$119,'2018 SUBSEQUENT'!N$8,FALSE)</f>
        <v>3898.09989429098</v>
      </c>
      <c r="O112" s="284"/>
      <c r="P112" s="284">
        <f>MAX(C112:N112)</f>
        <v>4193.4220486998647</v>
      </c>
      <c r="Q112" s="284"/>
      <c r="R112" s="282"/>
      <c r="T112" s="255">
        <f>VLOOKUP($B110,'NCP FCST'!$A$103:$O$119,15,FALSE)</f>
        <v>4193.4220486998647</v>
      </c>
      <c r="U112" s="255">
        <f>P112-T112</f>
        <v>0</v>
      </c>
    </row>
    <row r="113" spans="1:21">
      <c r="A113" s="253" t="str">
        <f>B110&amp;" "&amp;B113</f>
        <v>SL-2 GNCP</v>
      </c>
      <c r="B113" s="254" t="s">
        <v>342</v>
      </c>
      <c r="C113" s="284">
        <f>VLOOKUP($B110,'GNCP FCST'!$A$102:$M$118,'2018 SUBSEQUENT'!C$8,FALSE)</f>
        <v>4082.4174626986128</v>
      </c>
      <c r="D113" s="284">
        <f>VLOOKUP($B110,'GNCP FCST'!$A$102:$M$118,'2018 SUBSEQUENT'!D$8,FALSE)</f>
        <v>4175.8718451179866</v>
      </c>
      <c r="E113" s="284">
        <f>VLOOKUP($B110,'GNCP FCST'!$A$102:$M$118,'2018 SUBSEQUENT'!E$8,FALSE)</f>
        <v>4193.4220486998647</v>
      </c>
      <c r="F113" s="284">
        <f>VLOOKUP($B110,'GNCP FCST'!$A$102:$M$118,'2018 SUBSEQUENT'!F$8,FALSE)</f>
        <v>4176.6809373448541</v>
      </c>
      <c r="G113" s="284">
        <f>VLOOKUP($B110,'GNCP FCST'!$A$102:$M$118,'2018 SUBSEQUENT'!G$8,FALSE)</f>
        <v>4129.8977679217123</v>
      </c>
      <c r="H113" s="284">
        <f>VLOOKUP($B110,'GNCP FCST'!$A$102:$M$118,'2018 SUBSEQUENT'!H$8,FALSE)</f>
        <v>4089.2996824841457</v>
      </c>
      <c r="I113" s="284">
        <f>VLOOKUP($B110,'GNCP FCST'!$A$102:$M$118,'2018 SUBSEQUENT'!I$8,FALSE)</f>
        <v>4015.0511741078994</v>
      </c>
      <c r="J113" s="284">
        <f>VLOOKUP($B110,'GNCP FCST'!$A$102:$M$118,'2018 SUBSEQUENT'!J$8,FALSE)</f>
        <v>4154.4975651873465</v>
      </c>
      <c r="K113" s="284">
        <f>VLOOKUP($B110,'GNCP FCST'!$A$102:$M$118,'2018 SUBSEQUENT'!K$8,FALSE)</f>
        <v>3947.8805294235653</v>
      </c>
      <c r="L113" s="284">
        <f>VLOOKUP($B110,'GNCP FCST'!$A$102:$M$118,'2018 SUBSEQUENT'!L$8,FALSE)</f>
        <v>3870.8395149901908</v>
      </c>
      <c r="M113" s="284">
        <f>VLOOKUP($B110,'GNCP FCST'!$A$102:$M$118,'2018 SUBSEQUENT'!M$8,FALSE)</f>
        <v>3911.2214500870864</v>
      </c>
      <c r="N113" s="284">
        <f>VLOOKUP($B110,'GNCP FCST'!$A$102:$M$118,'2018 SUBSEQUENT'!N$8,FALSE)</f>
        <v>3898.09989429098</v>
      </c>
      <c r="O113" s="284"/>
      <c r="Q113" s="284">
        <f>MAX(C113:N113)</f>
        <v>4193.4220486998647</v>
      </c>
      <c r="R113" s="282"/>
      <c r="T113" s="255">
        <f>VLOOKUP($B110,'GNCP FCST'!$A$102:$O$118,15,FALSE)</f>
        <v>4193.4220486998647</v>
      </c>
      <c r="U113" s="255">
        <f>+Q113-T113</f>
        <v>0</v>
      </c>
    </row>
    <row r="114" spans="1:21">
      <c r="A114" s="253" t="str">
        <f>B110&amp;" "&amp;B114</f>
        <v>SL-2 CP</v>
      </c>
      <c r="B114" s="254" t="s">
        <v>148</v>
      </c>
      <c r="C114" s="284">
        <f>VLOOKUP($B110,'CP FCST'!$A$102:$M$118,'2018 SUBSEQUENT'!C$8,FALSE)</f>
        <v>4082.4174626986128</v>
      </c>
      <c r="D114" s="284">
        <f>VLOOKUP($B110,'CP FCST'!$A$102:$M$118,'2018 SUBSEQUENT'!D$8,FALSE)</f>
        <v>4175.8718451179866</v>
      </c>
      <c r="E114" s="284">
        <f>VLOOKUP($B110,'CP FCST'!$A$102:$M$118,'2018 SUBSEQUENT'!E$8,FALSE)</f>
        <v>4193.4220486998647</v>
      </c>
      <c r="F114" s="284">
        <f>VLOOKUP($B110,'CP FCST'!$A$102:$M$118,'2018 SUBSEQUENT'!F$8,FALSE)</f>
        <v>4176.6809373448541</v>
      </c>
      <c r="G114" s="284">
        <f>VLOOKUP($B110,'CP FCST'!$A$102:$M$118,'2018 SUBSEQUENT'!G$8,FALSE)</f>
        <v>4129.8977679217123</v>
      </c>
      <c r="H114" s="284">
        <f>VLOOKUP($B110,'CP FCST'!$A$102:$M$118,'2018 SUBSEQUENT'!H$8,FALSE)</f>
        <v>4089.2996824841457</v>
      </c>
      <c r="I114" s="284">
        <f>VLOOKUP($B110,'CP FCST'!$A$102:$M$118,'2018 SUBSEQUENT'!I$8,FALSE)</f>
        <v>4015.0511741078994</v>
      </c>
      <c r="J114" s="284">
        <f>VLOOKUP($B110,'CP FCST'!$A$102:$M$118,'2018 SUBSEQUENT'!J$8,FALSE)</f>
        <v>4154.4975651873465</v>
      </c>
      <c r="K114" s="284">
        <f>VLOOKUP($B110,'CP FCST'!$A$102:$M$118,'2018 SUBSEQUENT'!K$8,FALSE)</f>
        <v>3947.8805294235653</v>
      </c>
      <c r="L114" s="284">
        <f>VLOOKUP($B110,'CP FCST'!$A$102:$M$118,'2018 SUBSEQUENT'!L$8,FALSE)</f>
        <v>3870.8395149901908</v>
      </c>
      <c r="M114" s="284">
        <f>VLOOKUP($B110,'CP FCST'!$A$102:$M$118,'2018 SUBSEQUENT'!M$8,FALSE)</f>
        <v>3848.5541689872525</v>
      </c>
      <c r="N114" s="284">
        <f>VLOOKUP($B110,'CP FCST'!$A$102:$M$118,'2018 SUBSEQUENT'!N$8,FALSE)</f>
        <v>3898.09989429098</v>
      </c>
      <c r="O114" s="284"/>
      <c r="P114" s="284"/>
      <c r="Q114" s="284"/>
      <c r="R114" s="255">
        <f>AVERAGE(C114:N114)</f>
        <v>4048.5427159378673</v>
      </c>
      <c r="T114" s="255">
        <f>VLOOKUP($B110,'CP FCST'!$A$102:$O$118,15,FALSE)</f>
        <v>4048.5427159378673</v>
      </c>
      <c r="U114" s="255">
        <f>R114-T114</f>
        <v>0</v>
      </c>
    </row>
    <row r="115" spans="1:21">
      <c r="B115" s="254" t="s">
        <v>570</v>
      </c>
      <c r="C115" s="285" t="str">
        <f t="shared" ref="C115:N115" si="14">IF(C114&gt;C113,"ERROR",IF(C113&gt;C112,"ERROR","OK"))</f>
        <v>OK</v>
      </c>
      <c r="D115" s="285" t="str">
        <f t="shared" si="14"/>
        <v>OK</v>
      </c>
      <c r="E115" s="285" t="str">
        <f t="shared" si="14"/>
        <v>OK</v>
      </c>
      <c r="F115" s="285" t="str">
        <f t="shared" si="14"/>
        <v>OK</v>
      </c>
      <c r="G115" s="285" t="str">
        <f t="shared" si="14"/>
        <v>OK</v>
      </c>
      <c r="H115" s="285" t="str">
        <f t="shared" si="14"/>
        <v>OK</v>
      </c>
      <c r="I115" s="285" t="str">
        <f t="shared" si="14"/>
        <v>OK</v>
      </c>
      <c r="J115" s="285" t="str">
        <f t="shared" si="14"/>
        <v>OK</v>
      </c>
      <c r="K115" s="285" t="str">
        <f t="shared" si="14"/>
        <v>OK</v>
      </c>
      <c r="L115" s="285" t="str">
        <f t="shared" si="14"/>
        <v>OK</v>
      </c>
      <c r="M115" s="285" t="str">
        <f t="shared" si="14"/>
        <v>OK</v>
      </c>
      <c r="N115" s="285" t="str">
        <f t="shared" si="14"/>
        <v>OK</v>
      </c>
      <c r="O115" s="284"/>
      <c r="P115" s="284"/>
      <c r="Q115" s="284"/>
      <c r="R115" s="255"/>
    </row>
    <row r="116" spans="1:21">
      <c r="B116" s="259"/>
      <c r="C116" s="284"/>
      <c r="D116" s="284"/>
      <c r="E116" s="284"/>
      <c r="F116" s="284"/>
      <c r="G116" s="284"/>
      <c r="H116" s="284"/>
      <c r="I116" s="284"/>
      <c r="J116" s="284"/>
      <c r="K116" s="284"/>
      <c r="L116" s="284"/>
      <c r="M116" s="284"/>
      <c r="N116" s="284"/>
      <c r="O116" s="284"/>
      <c r="P116" s="284"/>
      <c r="Q116" s="284"/>
      <c r="R116" s="282"/>
    </row>
    <row r="117" spans="1:21">
      <c r="B117" s="252" t="s">
        <v>87</v>
      </c>
      <c r="C117" s="284"/>
      <c r="D117" s="284"/>
      <c r="E117" s="284"/>
      <c r="F117" s="284"/>
      <c r="G117" s="284"/>
      <c r="H117" s="284"/>
      <c r="I117" s="284"/>
      <c r="J117" s="284"/>
      <c r="K117" s="284"/>
      <c r="L117" s="284"/>
      <c r="M117" s="284"/>
      <c r="N117" s="284"/>
      <c r="O117" s="284"/>
      <c r="P117" s="284"/>
      <c r="Q117" s="284"/>
      <c r="R117" s="282"/>
    </row>
    <row r="118" spans="1:21">
      <c r="A118" s="253" t="str">
        <f>B117&amp;" "&amp;B118</f>
        <v>SST-D KWH Sales</v>
      </c>
      <c r="B118" s="254" t="s">
        <v>563</v>
      </c>
      <c r="C118" s="284">
        <f>VLOOKUP($B117,'KWH FCST'!$A$104:$M$120,'2018 SUBSEQUENT'!C$8,FALSE)</f>
        <v>602856</v>
      </c>
      <c r="D118" s="284">
        <f>VLOOKUP($B117,'KWH FCST'!$A$104:$M$120,'2018 SUBSEQUENT'!D$8,FALSE)</f>
        <v>685784</v>
      </c>
      <c r="E118" s="284">
        <f>VLOOKUP($B117,'KWH FCST'!$A$104:$M$120,'2018 SUBSEQUENT'!E$8,FALSE)</f>
        <v>666585</v>
      </c>
      <c r="F118" s="284">
        <f>VLOOKUP($B117,'KWH FCST'!$A$104:$M$120,'2018 SUBSEQUENT'!F$8,FALSE)</f>
        <v>1230699</v>
      </c>
      <c r="G118" s="284">
        <f>VLOOKUP($B117,'KWH FCST'!$A$104:$M$120,'2018 SUBSEQUENT'!G$8,FALSE)</f>
        <v>1462083</v>
      </c>
      <c r="H118" s="284">
        <f>VLOOKUP($B117,'KWH FCST'!$A$104:$M$120,'2018 SUBSEQUENT'!H$8,FALSE)</f>
        <v>1187857</v>
      </c>
      <c r="I118" s="284">
        <f>VLOOKUP($B117,'KWH FCST'!$A$104:$M$120,'2018 SUBSEQUENT'!I$8,FALSE)</f>
        <v>1087713</v>
      </c>
      <c r="J118" s="284">
        <f>VLOOKUP($B117,'KWH FCST'!$A$104:$M$120,'2018 SUBSEQUENT'!J$8,FALSE)</f>
        <v>1181803</v>
      </c>
      <c r="K118" s="284">
        <f>VLOOKUP($B117,'KWH FCST'!$A$104:$M$120,'2018 SUBSEQUENT'!K$8,FALSE)</f>
        <v>1205075</v>
      </c>
      <c r="L118" s="284">
        <f>VLOOKUP($B117,'KWH FCST'!$A$104:$M$120,'2018 SUBSEQUENT'!L$8,FALSE)</f>
        <v>1239312</v>
      </c>
      <c r="M118" s="284">
        <f>VLOOKUP($B117,'KWH FCST'!$A$104:$M$120,'2018 SUBSEQUENT'!M$8,FALSE)</f>
        <v>799615</v>
      </c>
      <c r="N118" s="284">
        <f>VLOOKUP($B117,'KWH FCST'!$A$104:$M$120,'2018 SUBSEQUENT'!N$8,FALSE)</f>
        <v>507544</v>
      </c>
      <c r="O118" s="284">
        <f>SUM(C118:N118)</f>
        <v>11856926</v>
      </c>
      <c r="P118" s="284"/>
      <c r="Q118" s="284"/>
      <c r="R118" s="282"/>
      <c r="T118" s="255">
        <f>VLOOKUP(B117,'Sales Forecast'!$B$7:$AO$23,40,FALSE)</f>
        <v>11856926</v>
      </c>
      <c r="U118" s="255">
        <f>+O118-T118</f>
        <v>0</v>
      </c>
    </row>
    <row r="119" spans="1:21">
      <c r="A119" s="253" t="str">
        <f>B117&amp;" "&amp;B119</f>
        <v>SST-D NCP</v>
      </c>
      <c r="B119" s="254" t="s">
        <v>133</v>
      </c>
      <c r="C119" s="284">
        <f>VLOOKUP($B117,'NCP FCST'!$A$103:$M$119,'2018 SUBSEQUENT'!C$8,FALSE)</f>
        <v>2593.5189042567208</v>
      </c>
      <c r="D119" s="284">
        <f>VLOOKUP($B117,'NCP FCST'!$A$103:$M$119,'2018 SUBSEQUENT'!D$8,FALSE)</f>
        <v>4194.7799959621143</v>
      </c>
      <c r="E119" s="284">
        <f>VLOOKUP($B117,'NCP FCST'!$A$103:$M$119,'2018 SUBSEQUENT'!E$8,FALSE)</f>
        <v>2074.4309236034824</v>
      </c>
      <c r="F119" s="284">
        <f>VLOOKUP($B117,'NCP FCST'!$A$103:$M$119,'2018 SUBSEQUENT'!F$8,FALSE)</f>
        <v>4502.7040479529442</v>
      </c>
      <c r="G119" s="284">
        <f>VLOOKUP($B117,'NCP FCST'!$A$103:$M$119,'2018 SUBSEQUENT'!G$8,FALSE)</f>
        <v>4384.7171398394057</v>
      </c>
      <c r="H119" s="284">
        <f>VLOOKUP($B117,'NCP FCST'!$A$103:$M$119,'2018 SUBSEQUENT'!H$8,FALSE)</f>
        <v>4269.2452020185001</v>
      </c>
      <c r="I119" s="284">
        <f>VLOOKUP($B117,'NCP FCST'!$A$103:$M$119,'2018 SUBSEQUENT'!I$8,FALSE)</f>
        <v>3783.8880214331339</v>
      </c>
      <c r="J119" s="284">
        <f>VLOOKUP($B117,'NCP FCST'!$A$103:$M$119,'2018 SUBSEQUENT'!J$8,FALSE)</f>
        <v>4125.9206866137783</v>
      </c>
      <c r="K119" s="284">
        <f>VLOOKUP($B117,'NCP FCST'!$A$103:$M$119,'2018 SUBSEQUENT'!K$8,FALSE)</f>
        <v>4196.8912214794764</v>
      </c>
      <c r="L119" s="284">
        <f>VLOOKUP($B117,'NCP FCST'!$A$103:$M$119,'2018 SUBSEQUENT'!L$8,FALSE)</f>
        <v>7191.7662933466336</v>
      </c>
      <c r="M119" s="284">
        <f>VLOOKUP($B117,'NCP FCST'!$A$103:$M$119,'2018 SUBSEQUENT'!M$8,FALSE)</f>
        <v>9915.8901043602818</v>
      </c>
      <c r="N119" s="284">
        <f>VLOOKUP($B117,'NCP FCST'!$A$103:$M$119,'2018 SUBSEQUENT'!N$8,FALSE)</f>
        <v>3484.258878399472</v>
      </c>
      <c r="O119" s="284"/>
      <c r="P119" s="284">
        <f>MAX(C119:N119)</f>
        <v>9915.8901043602818</v>
      </c>
      <c r="Q119" s="284"/>
      <c r="R119" s="282"/>
      <c r="T119" s="255">
        <f>VLOOKUP($B117,'NCP FCST'!$A$103:$O$119,15,FALSE)</f>
        <v>9915.8901043602818</v>
      </c>
      <c r="U119" s="255">
        <f>P119-T119</f>
        <v>0</v>
      </c>
    </row>
    <row r="120" spans="1:21">
      <c r="A120" s="253" t="str">
        <f>B117&amp;" "&amp;B120</f>
        <v>SST-D GNCP</v>
      </c>
      <c r="B120" s="254" t="s">
        <v>342</v>
      </c>
      <c r="C120" s="284">
        <f>VLOOKUP($B117,'GNCP FCST'!$A$102:$M$118,'2018 SUBSEQUENT'!C$8,FALSE)</f>
        <v>2094.8997814579911</v>
      </c>
      <c r="D120" s="284">
        <f>VLOOKUP($B117,'GNCP FCST'!$A$102:$M$118,'2018 SUBSEQUENT'!D$8,FALSE)</f>
        <v>3688.2855722195604</v>
      </c>
      <c r="E120" s="284">
        <f>VLOOKUP($B117,'GNCP FCST'!$A$102:$M$118,'2018 SUBSEQUENT'!E$8,FALSE)</f>
        <v>1559.5730910102195</v>
      </c>
      <c r="F120" s="284">
        <f>VLOOKUP($B117,'GNCP FCST'!$A$102:$M$118,'2018 SUBSEQUENT'!F$8,FALSE)</f>
        <v>3752.7793593986644</v>
      </c>
      <c r="G120" s="284">
        <f>VLOOKUP($B117,'GNCP FCST'!$A$102:$M$118,'2018 SUBSEQUENT'!G$8,FALSE)</f>
        <v>3780.5827207051971</v>
      </c>
      <c r="H120" s="284">
        <f>VLOOKUP($B117,'GNCP FCST'!$A$102:$M$118,'2018 SUBSEQUENT'!H$8,FALSE)</f>
        <v>3297.8128041258406</v>
      </c>
      <c r="I120" s="284">
        <f>VLOOKUP($B117,'GNCP FCST'!$A$102:$M$118,'2018 SUBSEQUENT'!I$8,FALSE)</f>
        <v>3153.7324038724792</v>
      </c>
      <c r="J120" s="284">
        <f>VLOOKUP($B117,'GNCP FCST'!$A$102:$M$118,'2018 SUBSEQUENT'!J$8,FALSE)</f>
        <v>3347.9186106707912</v>
      </c>
      <c r="K120" s="284">
        <f>VLOOKUP($B117,'GNCP FCST'!$A$102:$M$118,'2018 SUBSEQUENT'!K$8,FALSE)</f>
        <v>3632.0019128777417</v>
      </c>
      <c r="L120" s="284">
        <f>VLOOKUP($B117,'GNCP FCST'!$A$102:$M$118,'2018 SUBSEQUENT'!L$8,FALSE)</f>
        <v>5011.848283997344</v>
      </c>
      <c r="M120" s="284">
        <f>VLOOKUP($B117,'GNCP FCST'!$A$102:$M$118,'2018 SUBSEQUENT'!M$8,FALSE)</f>
        <v>8201.2538466420629</v>
      </c>
      <c r="N120" s="284">
        <f>VLOOKUP($B117,'GNCP FCST'!$A$102:$M$118,'2018 SUBSEQUENT'!N$8,FALSE)</f>
        <v>2237.9847529906792</v>
      </c>
      <c r="O120" s="284"/>
      <c r="Q120" s="284">
        <f>MAX(C120:N120)</f>
        <v>8201.2538466420629</v>
      </c>
      <c r="R120" s="282"/>
      <c r="T120" s="255">
        <f>VLOOKUP($B117,'GNCP FCST'!$A$102:$O$118,15,FALSE)</f>
        <v>8201.2538466420629</v>
      </c>
      <c r="U120" s="255">
        <f>+Q120-T120</f>
        <v>0</v>
      </c>
    </row>
    <row r="121" spans="1:21">
      <c r="A121" s="253" t="str">
        <f>B117&amp;" "&amp;B121</f>
        <v>SST-D CP</v>
      </c>
      <c r="B121" s="254" t="s">
        <v>148</v>
      </c>
      <c r="C121" s="284">
        <f>VLOOKUP($B117,'CP FCST'!$A$102:$M$118,'2018 SUBSEQUENT'!C$8,FALSE)</f>
        <v>1085.6822210455634</v>
      </c>
      <c r="D121" s="284">
        <f>VLOOKUP($B117,'CP FCST'!$A$102:$M$118,'2018 SUBSEQUENT'!D$8,FALSE)</f>
        <v>1512.8341091982998</v>
      </c>
      <c r="E121" s="284">
        <f>VLOOKUP($B117,'CP FCST'!$A$102:$M$118,'2018 SUBSEQUENT'!E$8,FALSE)</f>
        <v>1174.6045923760191</v>
      </c>
      <c r="F121" s="284">
        <f>VLOOKUP($B117,'CP FCST'!$A$102:$M$118,'2018 SUBSEQUENT'!F$8,FALSE)</f>
        <v>2159.7247780484176</v>
      </c>
      <c r="G121" s="284">
        <f>VLOOKUP($B117,'CP FCST'!$A$102:$M$118,'2018 SUBSEQUENT'!G$8,FALSE)</f>
        <v>1896.5084914924219</v>
      </c>
      <c r="H121" s="284">
        <f>VLOOKUP($B117,'CP FCST'!$A$102:$M$118,'2018 SUBSEQUENT'!H$8,FALSE)</f>
        <v>2236.1116648501552</v>
      </c>
      <c r="I121" s="284">
        <f>VLOOKUP($B117,'CP FCST'!$A$102:$M$118,'2018 SUBSEQUENT'!I$8,FALSE)</f>
        <v>2133.581641346801</v>
      </c>
      <c r="J121" s="284">
        <f>VLOOKUP($B117,'CP FCST'!$A$102:$M$118,'2018 SUBSEQUENT'!J$8,FALSE)</f>
        <v>1719.5274694945347</v>
      </c>
      <c r="K121" s="284">
        <f>VLOOKUP($B117,'CP FCST'!$A$102:$M$118,'2018 SUBSEQUENT'!K$8,FALSE)</f>
        <v>1240.6262840323066</v>
      </c>
      <c r="L121" s="284">
        <f>VLOOKUP($B117,'CP FCST'!$A$102:$M$118,'2018 SUBSEQUENT'!L$8,FALSE)</f>
        <v>2611.6989883816514</v>
      </c>
      <c r="M121" s="284">
        <f>VLOOKUP($B117,'CP FCST'!$A$102:$M$118,'2018 SUBSEQUENT'!M$8,FALSE)</f>
        <v>2603.8677344965945</v>
      </c>
      <c r="N121" s="284">
        <f>VLOOKUP($B117,'CP FCST'!$A$102:$M$118,'2018 SUBSEQUENT'!N$8,FALSE)</f>
        <v>564.90736509667909</v>
      </c>
      <c r="O121" s="284"/>
      <c r="P121" s="284"/>
      <c r="Q121" s="284"/>
      <c r="R121" s="255">
        <f>AVERAGE(C121:N121)</f>
        <v>1744.9729449882871</v>
      </c>
      <c r="T121" s="255">
        <f>VLOOKUP($B117,'CP FCST'!$A$102:$O$118,15,FALSE)</f>
        <v>1744.9729449882871</v>
      </c>
      <c r="U121" s="255">
        <f>R121-T121</f>
        <v>0</v>
      </c>
    </row>
    <row r="122" spans="1:21">
      <c r="B122" s="254" t="s">
        <v>570</v>
      </c>
      <c r="C122" s="285" t="str">
        <f t="shared" ref="C122:N122" si="15">IF(C121&gt;C120,"ERROR",IF(C120&gt;C119,"ERROR","OK"))</f>
        <v>OK</v>
      </c>
      <c r="D122" s="285" t="str">
        <f t="shared" si="15"/>
        <v>OK</v>
      </c>
      <c r="E122" s="285" t="str">
        <f t="shared" si="15"/>
        <v>OK</v>
      </c>
      <c r="F122" s="285" t="str">
        <f t="shared" si="15"/>
        <v>OK</v>
      </c>
      <c r="G122" s="285" t="str">
        <f t="shared" si="15"/>
        <v>OK</v>
      </c>
      <c r="H122" s="285" t="str">
        <f t="shared" si="15"/>
        <v>OK</v>
      </c>
      <c r="I122" s="285" t="str">
        <f t="shared" si="15"/>
        <v>OK</v>
      </c>
      <c r="J122" s="285" t="str">
        <f t="shared" si="15"/>
        <v>OK</v>
      </c>
      <c r="K122" s="285" t="str">
        <f t="shared" si="15"/>
        <v>OK</v>
      </c>
      <c r="L122" s="285" t="str">
        <f t="shared" si="15"/>
        <v>OK</v>
      </c>
      <c r="M122" s="285" t="str">
        <f t="shared" si="15"/>
        <v>OK</v>
      </c>
      <c r="N122" s="285" t="str">
        <f t="shared" si="15"/>
        <v>OK</v>
      </c>
      <c r="O122" s="284"/>
      <c r="P122" s="284"/>
      <c r="Q122" s="284"/>
      <c r="R122" s="255"/>
    </row>
    <row r="123" spans="1:21">
      <c r="B123" s="259"/>
      <c r="C123" s="284"/>
      <c r="D123" s="284"/>
      <c r="E123" s="284"/>
      <c r="F123" s="284"/>
      <c r="G123" s="284"/>
      <c r="H123" s="284"/>
      <c r="I123" s="284"/>
      <c r="J123" s="284"/>
      <c r="K123" s="284"/>
      <c r="L123" s="284"/>
      <c r="M123" s="284"/>
      <c r="N123" s="284"/>
      <c r="O123" s="284"/>
      <c r="P123" s="284"/>
      <c r="Q123" s="284"/>
      <c r="R123" s="282"/>
    </row>
    <row r="124" spans="1:21">
      <c r="B124" s="252" t="s">
        <v>88</v>
      </c>
      <c r="C124" s="284"/>
      <c r="D124" s="284"/>
      <c r="E124" s="284"/>
      <c r="F124" s="284"/>
      <c r="G124" s="284"/>
      <c r="H124" s="284"/>
      <c r="I124" s="284"/>
      <c r="J124" s="284"/>
      <c r="K124" s="284"/>
      <c r="L124" s="284"/>
      <c r="M124" s="284"/>
      <c r="N124" s="284"/>
      <c r="O124" s="284"/>
      <c r="P124" s="284"/>
      <c r="Q124" s="284"/>
      <c r="R124" s="282"/>
    </row>
    <row r="125" spans="1:21">
      <c r="A125" s="253" t="str">
        <f>B124&amp;" "&amp;B125</f>
        <v>SST-1T KWH Sales</v>
      </c>
      <c r="B125" s="254" t="s">
        <v>563</v>
      </c>
      <c r="C125" s="284">
        <f>VLOOKUP($B124,'KWH FCST'!$A$104:$M$120,'2018 SUBSEQUENT'!C$8,FALSE)</f>
        <v>5811710</v>
      </c>
      <c r="D125" s="284">
        <f>VLOOKUP($B124,'KWH FCST'!$A$104:$M$120,'2018 SUBSEQUENT'!D$8,FALSE)</f>
        <v>6787344</v>
      </c>
      <c r="E125" s="284">
        <f>VLOOKUP($B124,'KWH FCST'!$A$104:$M$120,'2018 SUBSEQUENT'!E$8,FALSE)</f>
        <v>8318048</v>
      </c>
      <c r="F125" s="284">
        <f>VLOOKUP($B124,'KWH FCST'!$A$104:$M$120,'2018 SUBSEQUENT'!F$8,FALSE)</f>
        <v>7683818</v>
      </c>
      <c r="G125" s="284">
        <f>VLOOKUP($B124,'KWH FCST'!$A$104:$M$120,'2018 SUBSEQUENT'!G$8,FALSE)</f>
        <v>10687136</v>
      </c>
      <c r="H125" s="284">
        <f>VLOOKUP($B124,'KWH FCST'!$A$104:$M$120,'2018 SUBSEQUENT'!H$8,FALSE)</f>
        <v>7415962</v>
      </c>
      <c r="I125" s="284">
        <f>VLOOKUP($B124,'KWH FCST'!$A$104:$M$120,'2018 SUBSEQUENT'!I$8,FALSE)</f>
        <v>7202482</v>
      </c>
      <c r="J125" s="284">
        <f>VLOOKUP($B124,'KWH FCST'!$A$104:$M$120,'2018 SUBSEQUENT'!J$8,FALSE)</f>
        <v>6421378</v>
      </c>
      <c r="K125" s="284">
        <f>VLOOKUP($B124,'KWH FCST'!$A$104:$M$120,'2018 SUBSEQUENT'!K$8,FALSE)</f>
        <v>4740820</v>
      </c>
      <c r="L125" s="284">
        <f>VLOOKUP($B124,'KWH FCST'!$A$104:$M$120,'2018 SUBSEQUENT'!L$8,FALSE)</f>
        <v>9837782</v>
      </c>
      <c r="M125" s="284">
        <f>VLOOKUP($B124,'KWH FCST'!$A$104:$M$120,'2018 SUBSEQUENT'!M$8,FALSE)</f>
        <v>9758504</v>
      </c>
      <c r="N125" s="284">
        <f>VLOOKUP($B124,'KWH FCST'!$A$104:$M$120,'2018 SUBSEQUENT'!N$8,FALSE)</f>
        <v>5002770</v>
      </c>
      <c r="O125" s="284">
        <f>SUM(C125:N125)</f>
        <v>89667754</v>
      </c>
      <c r="P125" s="284"/>
      <c r="Q125" s="284"/>
      <c r="R125" s="282"/>
      <c r="T125" s="255">
        <f>VLOOKUP(B124,'Sales Forecast'!$B$7:$AO$23,40,FALSE)</f>
        <v>89667754</v>
      </c>
      <c r="U125" s="255">
        <f>+O125-T125</f>
        <v>0</v>
      </c>
    </row>
    <row r="126" spans="1:21">
      <c r="A126" s="253" t="str">
        <f>B124&amp;" "&amp;B126</f>
        <v>SST-1T NCP</v>
      </c>
      <c r="B126" s="254" t="s">
        <v>133</v>
      </c>
      <c r="C126" s="284">
        <f>VLOOKUP($B124,'NCP FCST'!$A$103:$M$119,'2018 SUBSEQUENT'!C$8,FALSE)</f>
        <v>77165.349050049161</v>
      </c>
      <c r="D126" s="284">
        <f>VLOOKUP($B124,'NCP FCST'!$A$103:$M$119,'2018 SUBSEQUENT'!D$8,FALSE)</f>
        <v>79339.846464051327</v>
      </c>
      <c r="E126" s="284">
        <f>VLOOKUP($B124,'NCP FCST'!$A$103:$M$119,'2018 SUBSEQUENT'!E$8,FALSE)</f>
        <v>126194.63538322384</v>
      </c>
      <c r="F126" s="284">
        <f>VLOOKUP($B124,'NCP FCST'!$A$103:$M$119,'2018 SUBSEQUENT'!F$8,FALSE)</f>
        <v>85236.757496452658</v>
      </c>
      <c r="G126" s="284">
        <f>VLOOKUP($B124,'NCP FCST'!$A$103:$M$119,'2018 SUBSEQUENT'!G$8,FALSE)</f>
        <v>130358.62287063993</v>
      </c>
      <c r="H126" s="284">
        <f>VLOOKUP($B124,'NCP FCST'!$A$103:$M$119,'2018 SUBSEQUENT'!H$8,FALSE)</f>
        <v>93864.854941203899</v>
      </c>
      <c r="I126" s="284">
        <f>VLOOKUP($B124,'NCP FCST'!$A$103:$M$119,'2018 SUBSEQUENT'!I$8,FALSE)</f>
        <v>69829.322856681159</v>
      </c>
      <c r="J126" s="284">
        <f>VLOOKUP($B124,'NCP FCST'!$A$103:$M$119,'2018 SUBSEQUENT'!J$8,FALSE)</f>
        <v>81030.196231143462</v>
      </c>
      <c r="K126" s="284">
        <f>VLOOKUP($B124,'NCP FCST'!$A$103:$M$119,'2018 SUBSEQUENT'!K$8,FALSE)</f>
        <v>54470.549108778621</v>
      </c>
      <c r="L126" s="284">
        <f>VLOOKUP($B124,'NCP FCST'!$A$103:$M$119,'2018 SUBSEQUENT'!L$8,FALSE)</f>
        <v>75766.052788883608</v>
      </c>
      <c r="M126" s="284">
        <f>VLOOKUP($B124,'NCP FCST'!$A$103:$M$119,'2018 SUBSEQUENT'!M$8,FALSE)</f>
        <v>143697.9946725058</v>
      </c>
      <c r="N126" s="284">
        <f>VLOOKUP($B124,'NCP FCST'!$A$103:$M$119,'2018 SUBSEQUENT'!N$8,FALSE)</f>
        <v>68168.578564909767</v>
      </c>
      <c r="O126" s="284"/>
      <c r="P126" s="284">
        <f>MAX(C126:N126)</f>
        <v>143697.9946725058</v>
      </c>
      <c r="Q126" s="284"/>
      <c r="R126" s="282"/>
      <c r="T126" s="255">
        <f>VLOOKUP($B124,'NCP FCST'!$A$103:$O$119,15,FALSE)</f>
        <v>143697.9946725058</v>
      </c>
      <c r="U126" s="255">
        <f>P126-T126</f>
        <v>0</v>
      </c>
    </row>
    <row r="127" spans="1:21">
      <c r="A127" s="253" t="str">
        <f>B124&amp;" "&amp;B127</f>
        <v>SST-1T GNCP</v>
      </c>
      <c r="B127" s="254" t="s">
        <v>342</v>
      </c>
      <c r="C127" s="284">
        <f>VLOOKUP($B124,'GNCP FCST'!$A$102:$M$118,'2018 SUBSEQUENT'!C$8,FALSE)</f>
        <v>27161.062652635697</v>
      </c>
      <c r="D127" s="284">
        <f>VLOOKUP($B124,'GNCP FCST'!$A$102:$M$118,'2018 SUBSEQUENT'!D$8,FALSE)</f>
        <v>35824.269817482767</v>
      </c>
      <c r="E127" s="284">
        <f>VLOOKUP($B124,'GNCP FCST'!$A$102:$M$118,'2018 SUBSEQUENT'!E$8,FALSE)</f>
        <v>51499.060994838066</v>
      </c>
      <c r="F127" s="284">
        <f>VLOOKUP($B124,'GNCP FCST'!$A$102:$M$118,'2018 SUBSEQUENT'!F$8,FALSE)</f>
        <v>38254.510631621291</v>
      </c>
      <c r="G127" s="284">
        <f>VLOOKUP($B124,'GNCP FCST'!$A$102:$M$118,'2018 SUBSEQUENT'!G$8,FALSE)</f>
        <v>51961.080237677292</v>
      </c>
      <c r="H127" s="284">
        <f>VLOOKUP($B124,'GNCP FCST'!$A$102:$M$118,'2018 SUBSEQUENT'!H$8,FALSE)</f>
        <v>42020.066943799779</v>
      </c>
      <c r="I127" s="284">
        <f>VLOOKUP($B124,'GNCP FCST'!$A$102:$M$118,'2018 SUBSEQUENT'!I$8,FALSE)</f>
        <v>27417.529125675705</v>
      </c>
      <c r="J127" s="284">
        <f>VLOOKUP($B124,'GNCP FCST'!$A$102:$M$118,'2018 SUBSEQUENT'!J$8,FALSE)</f>
        <v>33207.601247620143</v>
      </c>
      <c r="K127" s="284">
        <f>VLOOKUP($B124,'GNCP FCST'!$A$102:$M$118,'2018 SUBSEQUENT'!K$8,FALSE)</f>
        <v>25998.538042951033</v>
      </c>
      <c r="L127" s="284">
        <f>VLOOKUP($B124,'GNCP FCST'!$A$102:$M$118,'2018 SUBSEQUENT'!L$8,FALSE)</f>
        <v>35228.26656812647</v>
      </c>
      <c r="M127" s="284">
        <f>VLOOKUP($B124,'GNCP FCST'!$A$102:$M$118,'2018 SUBSEQUENT'!M$8,FALSE)</f>
        <v>57625.579904252954</v>
      </c>
      <c r="N127" s="284">
        <f>VLOOKUP($B124,'GNCP FCST'!$A$102:$M$118,'2018 SUBSEQUENT'!N$8,FALSE)</f>
        <v>29998.785873165416</v>
      </c>
      <c r="O127" s="284"/>
      <c r="Q127" s="284">
        <f>MAX(C127:N127)</f>
        <v>57625.579904252954</v>
      </c>
      <c r="R127" s="282"/>
      <c r="T127" s="255">
        <f>VLOOKUP($B124,'GNCP FCST'!$A$102:$O$118,15,FALSE)</f>
        <v>57625.579904252954</v>
      </c>
      <c r="U127" s="255">
        <f>+Q127-T127</f>
        <v>0</v>
      </c>
    </row>
    <row r="128" spans="1:21">
      <c r="A128" s="253" t="str">
        <f>B124&amp;" "&amp;B128</f>
        <v>SST-1T CP</v>
      </c>
      <c r="B128" s="254" t="s">
        <v>148</v>
      </c>
      <c r="C128" s="284">
        <f>VLOOKUP($B124,'CP FCST'!$A$102:$M$118,'2018 SUBSEQUENT'!C$8,FALSE)</f>
        <v>11120.440250218409</v>
      </c>
      <c r="D128" s="284">
        <f>VLOOKUP($B124,'CP FCST'!$A$102:$M$118,'2018 SUBSEQUENT'!D$8,FALSE)</f>
        <v>9785.6928706935432</v>
      </c>
      <c r="E128" s="284">
        <f>VLOOKUP($B124,'CP FCST'!$A$102:$M$118,'2018 SUBSEQUENT'!E$8,FALSE)</f>
        <v>8616.4974915890762</v>
      </c>
      <c r="F128" s="284">
        <f>VLOOKUP($B124,'CP FCST'!$A$102:$M$118,'2018 SUBSEQUENT'!F$8,FALSE)</f>
        <v>9264.6487011463614</v>
      </c>
      <c r="G128" s="284">
        <f>VLOOKUP($B124,'CP FCST'!$A$102:$M$118,'2018 SUBSEQUENT'!G$8,FALSE)</f>
        <v>10192.66656638389</v>
      </c>
      <c r="H128" s="284">
        <f>VLOOKUP($B124,'CP FCST'!$A$102:$M$118,'2018 SUBSEQUENT'!H$8,FALSE)</f>
        <v>8201.3028948306674</v>
      </c>
      <c r="I128" s="284">
        <f>VLOOKUP($B124,'CP FCST'!$A$102:$M$118,'2018 SUBSEQUENT'!I$8,FALSE)</f>
        <v>6962.3302332130543</v>
      </c>
      <c r="J128" s="284">
        <f>VLOOKUP($B124,'CP FCST'!$A$102:$M$118,'2018 SUBSEQUENT'!J$8,FALSE)</f>
        <v>6174.797850171517</v>
      </c>
      <c r="K128" s="284">
        <f>VLOOKUP($B124,'CP FCST'!$A$102:$M$118,'2018 SUBSEQUENT'!K$8,FALSE)</f>
        <v>10879.762938366943</v>
      </c>
      <c r="L128" s="284">
        <f>VLOOKUP($B124,'CP FCST'!$A$102:$M$118,'2018 SUBSEQUENT'!L$8,FALSE)</f>
        <v>7257.4918971712459</v>
      </c>
      <c r="M128" s="284">
        <f>VLOOKUP($B124,'CP FCST'!$A$102:$M$118,'2018 SUBSEQUENT'!M$8,FALSE)</f>
        <v>18932.245718157494</v>
      </c>
      <c r="N128" s="284">
        <f>VLOOKUP($B124,'CP FCST'!$A$102:$M$118,'2018 SUBSEQUENT'!N$8,FALSE)</f>
        <v>8028.7118544502764</v>
      </c>
      <c r="O128" s="284"/>
      <c r="P128" s="284"/>
      <c r="Q128" s="284"/>
      <c r="R128" s="255">
        <f>AVERAGE(C128:N128)</f>
        <v>9618.0491055327057</v>
      </c>
      <c r="T128" s="255">
        <f>VLOOKUP($B124,'CP FCST'!$A$102:$O$118,15,FALSE)</f>
        <v>9618.0491055327057</v>
      </c>
      <c r="U128" s="255">
        <f>R128-T128</f>
        <v>0</v>
      </c>
    </row>
    <row r="129" spans="1:25">
      <c r="B129" s="254" t="s">
        <v>570</v>
      </c>
      <c r="C129" s="285" t="str">
        <f t="shared" ref="C129:N129" si="16">IF(C128&gt;C127,"ERROR",IF(C127&gt;C126,"ERROR","OK"))</f>
        <v>OK</v>
      </c>
      <c r="D129" s="285" t="str">
        <f t="shared" si="16"/>
        <v>OK</v>
      </c>
      <c r="E129" s="285" t="str">
        <f t="shared" si="16"/>
        <v>OK</v>
      </c>
      <c r="F129" s="285" t="str">
        <f t="shared" si="16"/>
        <v>OK</v>
      </c>
      <c r="G129" s="285" t="str">
        <f t="shared" si="16"/>
        <v>OK</v>
      </c>
      <c r="H129" s="285" t="str">
        <f t="shared" si="16"/>
        <v>OK</v>
      </c>
      <c r="I129" s="285" t="str">
        <f t="shared" si="16"/>
        <v>OK</v>
      </c>
      <c r="J129" s="285" t="str">
        <f t="shared" si="16"/>
        <v>OK</v>
      </c>
      <c r="K129" s="285" t="str">
        <f t="shared" si="16"/>
        <v>OK</v>
      </c>
      <c r="L129" s="285" t="str">
        <f t="shared" si="16"/>
        <v>OK</v>
      </c>
      <c r="M129" s="285" t="str">
        <f t="shared" si="16"/>
        <v>OK</v>
      </c>
      <c r="N129" s="285" t="str">
        <f t="shared" si="16"/>
        <v>OK</v>
      </c>
      <c r="O129" s="284"/>
      <c r="P129" s="284"/>
      <c r="Q129" s="284"/>
      <c r="R129" s="255"/>
    </row>
    <row r="130" spans="1:25">
      <c r="B130" s="259"/>
      <c r="C130" s="284"/>
      <c r="D130" s="284"/>
      <c r="E130" s="284"/>
      <c r="F130" s="284"/>
      <c r="G130" s="284"/>
      <c r="H130" s="284"/>
      <c r="I130" s="284"/>
      <c r="J130" s="284"/>
      <c r="K130" s="284"/>
      <c r="L130" s="284"/>
      <c r="M130" s="284"/>
      <c r="N130" s="284"/>
      <c r="O130" s="284"/>
      <c r="P130" s="284"/>
      <c r="Q130" s="284"/>
      <c r="R130" s="282"/>
    </row>
    <row r="131" spans="1:25">
      <c r="R131" s="164"/>
    </row>
    <row r="132" spans="1:25" s="260" customFormat="1" ht="15.6">
      <c r="B132" s="286" t="s">
        <v>453</v>
      </c>
      <c r="C132" s="255"/>
      <c r="D132" s="255"/>
      <c r="E132" s="255"/>
      <c r="F132" s="255"/>
      <c r="G132" s="255"/>
      <c r="H132" s="255"/>
      <c r="I132" s="255"/>
      <c r="J132" s="255"/>
      <c r="K132" s="255"/>
      <c r="L132" s="255"/>
      <c r="M132" s="255"/>
      <c r="N132" s="255"/>
      <c r="O132" s="287">
        <f>SUM(O12:O131)</f>
        <v>107858876175</v>
      </c>
      <c r="P132" s="287">
        <f>SUM(P12:P131)</f>
        <v>45707159.069837458</v>
      </c>
      <c r="Q132" s="287">
        <f>SUM(Q12:Q131)</f>
        <v>22540750.552023865</v>
      </c>
      <c r="R132" s="287">
        <f>SUM(R12:R131)</f>
        <v>18975721.609698068</v>
      </c>
      <c r="T132" s="287">
        <f>SUM(T12:T131)</f>
        <v>107946099844.42888</v>
      </c>
      <c r="U132" s="287">
        <f>SUM(U12:U131)</f>
        <v>-38.197354238003754</v>
      </c>
    </row>
    <row r="133" spans="1:25" s="260" customFormat="1">
      <c r="C133" s="255"/>
      <c r="D133" s="255"/>
      <c r="E133" s="255"/>
      <c r="F133" s="255"/>
      <c r="G133" s="255"/>
      <c r="H133" s="255"/>
      <c r="I133" s="255"/>
      <c r="J133" s="255"/>
      <c r="K133" s="255"/>
      <c r="L133" s="255"/>
      <c r="M133" s="255"/>
      <c r="N133" s="255"/>
      <c r="O133" s="255"/>
      <c r="P133" s="255"/>
      <c r="Q133" s="255"/>
      <c r="R133" s="288"/>
      <c r="T133" s="261"/>
      <c r="U133" s="261"/>
    </row>
    <row r="134" spans="1:25" s="260" customFormat="1" ht="15.6">
      <c r="B134" s="250" t="s">
        <v>86</v>
      </c>
      <c r="C134" s="255"/>
      <c r="D134" s="255"/>
      <c r="E134" s="255"/>
      <c r="F134" s="255"/>
      <c r="G134" s="255"/>
      <c r="H134" s="255"/>
      <c r="I134" s="255"/>
      <c r="J134" s="255"/>
      <c r="K134" s="255"/>
      <c r="L134" s="255"/>
      <c r="M134" s="255"/>
      <c r="N134" s="255"/>
      <c r="O134" s="255"/>
      <c r="P134" s="255"/>
      <c r="Q134" s="255"/>
      <c r="R134" s="288"/>
      <c r="T134" s="261"/>
      <c r="U134" s="261"/>
    </row>
    <row r="135" spans="1:25">
      <c r="B135" s="252" t="s">
        <v>603</v>
      </c>
      <c r="C135" s="284"/>
      <c r="D135" s="284"/>
      <c r="E135" s="284"/>
      <c r="F135" s="284"/>
      <c r="G135" s="284"/>
      <c r="H135" s="284"/>
      <c r="I135" s="284"/>
      <c r="J135" s="284"/>
      <c r="K135" s="284"/>
      <c r="L135" s="284"/>
      <c r="M135" s="284"/>
      <c r="N135" s="284"/>
      <c r="O135" s="284"/>
      <c r="P135" s="284"/>
      <c r="Q135" s="284"/>
      <c r="R135" s="282"/>
    </row>
    <row r="136" spans="1:25">
      <c r="A136" s="253" t="str">
        <f>B135&amp;" "&amp;B136</f>
        <v>BLOUNTSTOWN KWH Sales</v>
      </c>
      <c r="B136" s="254" t="s">
        <v>563</v>
      </c>
      <c r="C136" s="284">
        <f>VLOOKUP($B135,'KWH FCST'!$A$104:$M$133,'2018 SUBSEQUENT'!C$8,FALSE)</f>
        <v>0</v>
      </c>
      <c r="D136" s="284">
        <f>VLOOKUP($B135,'KWH FCST'!$A$104:$M$133,'2018 SUBSEQUENT'!D$8,FALSE)</f>
        <v>0</v>
      </c>
      <c r="E136" s="284">
        <f>VLOOKUP($B135,'KWH FCST'!$A$104:$M$133,'2018 SUBSEQUENT'!E$8,FALSE)</f>
        <v>0</v>
      </c>
      <c r="F136" s="284">
        <f>VLOOKUP($B135,'KWH FCST'!$A$104:$M$133,'2018 SUBSEQUENT'!F$8,FALSE)</f>
        <v>0</v>
      </c>
      <c r="G136" s="284">
        <f>VLOOKUP($B135,'KWH FCST'!$A$104:$M$133,'2018 SUBSEQUENT'!G$8,FALSE)</f>
        <v>0</v>
      </c>
      <c r="H136" s="284">
        <f>VLOOKUP($B135,'KWH FCST'!$A$104:$M$133,'2018 SUBSEQUENT'!H$8,FALSE)</f>
        <v>0</v>
      </c>
      <c r="I136" s="284">
        <f>VLOOKUP($B135,'KWH FCST'!$A$104:$M$133,'2018 SUBSEQUENT'!I$8,FALSE)</f>
        <v>0</v>
      </c>
      <c r="J136" s="284">
        <f>VLOOKUP($B135,'KWH FCST'!$A$104:$M$133,'2018 SUBSEQUENT'!J$8,FALSE)</f>
        <v>0</v>
      </c>
      <c r="K136" s="284">
        <f>VLOOKUP($B135,'KWH FCST'!$A$104:$M$133,'2018 SUBSEQUENT'!K$8,FALSE)</f>
        <v>0</v>
      </c>
      <c r="L136" s="284">
        <f>VLOOKUP($B135,'KWH FCST'!$A$104:$M$133,'2018 SUBSEQUENT'!L$8,FALSE)</f>
        <v>0</v>
      </c>
      <c r="M136" s="284">
        <f>VLOOKUP($B135,'KWH FCST'!$A$104:$M$133,'2018 SUBSEQUENT'!M$8,FALSE)</f>
        <v>0</v>
      </c>
      <c r="N136" s="284">
        <f>VLOOKUP($B135,'KWH FCST'!$A$104:$M$133,'2018 SUBSEQUENT'!N$8,FALSE)</f>
        <v>0</v>
      </c>
      <c r="O136" s="284">
        <f>SUM(C136:N136)</f>
        <v>0</v>
      </c>
      <c r="P136" s="284"/>
      <c r="Q136" s="284"/>
      <c r="R136" s="282"/>
      <c r="T136" s="296">
        <f>VLOOKUP($B135,'KWH FCST'!$A$104:$O$133,14,FALSE)</f>
        <v>0</v>
      </c>
      <c r="U136" s="255">
        <f>+O136-T136</f>
        <v>0</v>
      </c>
    </row>
    <row r="137" spans="1:25">
      <c r="A137" s="253" t="str">
        <f>B135&amp;" "&amp;B137</f>
        <v>BLOUNTSTOWN NCP</v>
      </c>
      <c r="B137" s="254" t="s">
        <v>133</v>
      </c>
      <c r="C137" s="284">
        <f>VLOOKUP($B135,'NCP FCST'!$A$103:$M$132,'2018 SUBSEQUENT'!C$8,FALSE)</f>
        <v>0</v>
      </c>
      <c r="D137" s="284">
        <f>VLOOKUP($B135,'NCP FCST'!$A$103:$M$132,'2018 SUBSEQUENT'!D$8,FALSE)</f>
        <v>0</v>
      </c>
      <c r="E137" s="284">
        <f>VLOOKUP($B135,'NCP FCST'!$A$103:$M$132,'2018 SUBSEQUENT'!E$8,FALSE)</f>
        <v>0</v>
      </c>
      <c r="F137" s="284">
        <f>VLOOKUP($B135,'NCP FCST'!$A$103:$M$132,'2018 SUBSEQUENT'!F$8,FALSE)</f>
        <v>0</v>
      </c>
      <c r="G137" s="284">
        <f>VLOOKUP($B135,'NCP FCST'!$A$103:$M$132,'2018 SUBSEQUENT'!G$8,FALSE)</f>
        <v>0</v>
      </c>
      <c r="H137" s="284">
        <f>VLOOKUP($B135,'NCP FCST'!$A$103:$M$132,'2018 SUBSEQUENT'!H$8,FALSE)</f>
        <v>0</v>
      </c>
      <c r="I137" s="284">
        <f>VLOOKUP($B135,'NCP FCST'!$A$103:$M$132,'2018 SUBSEQUENT'!I$8,FALSE)</f>
        <v>0</v>
      </c>
      <c r="J137" s="284">
        <f>VLOOKUP($B135,'NCP FCST'!$A$103:$M$132,'2018 SUBSEQUENT'!J$8,FALSE)</f>
        <v>0</v>
      </c>
      <c r="K137" s="284">
        <f>VLOOKUP($B135,'NCP FCST'!$A$103:$M$132,'2018 SUBSEQUENT'!K$8,FALSE)</f>
        <v>0</v>
      </c>
      <c r="L137" s="284">
        <f>VLOOKUP($B135,'NCP FCST'!$A$103:$M$132,'2018 SUBSEQUENT'!L$8,FALSE)</f>
        <v>0</v>
      </c>
      <c r="M137" s="284">
        <f>VLOOKUP($B135,'NCP FCST'!$A$103:$M$132,'2018 SUBSEQUENT'!M$8,FALSE)</f>
        <v>0</v>
      </c>
      <c r="N137" s="284">
        <f>VLOOKUP($B135,'NCP FCST'!$A$103:$M$132,'2018 SUBSEQUENT'!N$8,FALSE)</f>
        <v>0</v>
      </c>
      <c r="O137" s="284"/>
      <c r="P137" s="284">
        <f>MAX(C137:N137)</f>
        <v>0</v>
      </c>
      <c r="Q137" s="284"/>
      <c r="R137" s="282"/>
      <c r="T137" s="255">
        <f>VLOOKUP($B135,'NCP FCST'!$A$103:$O$132,15,FALSE)</f>
        <v>0</v>
      </c>
      <c r="U137" s="255">
        <f>P137-T137</f>
        <v>0</v>
      </c>
    </row>
    <row r="138" spans="1:25">
      <c r="A138" s="253" t="str">
        <f>B135&amp;" "&amp;B138</f>
        <v>BLOUNTSTOWN GNCP</v>
      </c>
      <c r="B138" s="254" t="s">
        <v>342</v>
      </c>
      <c r="C138" s="284">
        <f>VLOOKUP($B135,'GNCP FCST'!$A$102:$M$131,'2018 SUBSEQUENT'!C$8,FALSE)</f>
        <v>0</v>
      </c>
      <c r="D138" s="284">
        <f>VLOOKUP($B135,'GNCP FCST'!$A$102:$M$131,'2018 SUBSEQUENT'!D$8,FALSE)</f>
        <v>0</v>
      </c>
      <c r="E138" s="284">
        <f>VLOOKUP($B135,'GNCP FCST'!$A$102:$M$131,'2018 SUBSEQUENT'!E$8,FALSE)</f>
        <v>0</v>
      </c>
      <c r="F138" s="284">
        <f>VLOOKUP($B135,'GNCP FCST'!$A$102:$M$131,'2018 SUBSEQUENT'!F$8,FALSE)</f>
        <v>0</v>
      </c>
      <c r="G138" s="284">
        <f>VLOOKUP($B135,'GNCP FCST'!$A$102:$M$131,'2018 SUBSEQUENT'!G$8,FALSE)</f>
        <v>0</v>
      </c>
      <c r="H138" s="284">
        <f>VLOOKUP($B135,'GNCP FCST'!$A$102:$M$131,'2018 SUBSEQUENT'!H$8,FALSE)</f>
        <v>0</v>
      </c>
      <c r="I138" s="284">
        <f>VLOOKUP($B135,'GNCP FCST'!$A$102:$M$131,'2018 SUBSEQUENT'!I$8,FALSE)</f>
        <v>0</v>
      </c>
      <c r="J138" s="284">
        <f>VLOOKUP($B135,'GNCP FCST'!$A$102:$M$131,'2018 SUBSEQUENT'!J$8,FALSE)</f>
        <v>0</v>
      </c>
      <c r="K138" s="284">
        <f>VLOOKUP($B135,'GNCP FCST'!$A$102:$M$131,'2018 SUBSEQUENT'!K$8,FALSE)</f>
        <v>0</v>
      </c>
      <c r="L138" s="284">
        <f>VLOOKUP($B135,'GNCP FCST'!$A$102:$M$131,'2018 SUBSEQUENT'!L$8,FALSE)</f>
        <v>0</v>
      </c>
      <c r="M138" s="284">
        <f>VLOOKUP($B135,'GNCP FCST'!$A$102:$M$131,'2018 SUBSEQUENT'!M$8,FALSE)</f>
        <v>0</v>
      </c>
      <c r="N138" s="284">
        <f>VLOOKUP($B135,'GNCP FCST'!$A$102:$M$131,'2018 SUBSEQUENT'!N$8,FALSE)</f>
        <v>0</v>
      </c>
      <c r="O138" s="284"/>
      <c r="P138" s="253"/>
      <c r="Q138" s="284">
        <f>MAX(C138:N138)</f>
        <v>0</v>
      </c>
      <c r="R138" s="282"/>
      <c r="T138" s="255">
        <f>VLOOKUP($B135,'GNCP FCST'!$A$102:$O$131,15,FALSE)</f>
        <v>0</v>
      </c>
      <c r="U138" s="255">
        <f>+Q138-T138</f>
        <v>0</v>
      </c>
    </row>
    <row r="139" spans="1:25">
      <c r="A139" s="253" t="str">
        <f>B135&amp;" "&amp;B139</f>
        <v>BLOUNTSTOWN CP</v>
      </c>
      <c r="B139" s="254" t="s">
        <v>148</v>
      </c>
      <c r="C139" s="284">
        <f>VLOOKUP($B135,'CP FCST'!$A$102:$M$131,'2018 SUBSEQUENT'!C$8,FALSE)</f>
        <v>0</v>
      </c>
      <c r="D139" s="284">
        <f>VLOOKUP($B135,'CP FCST'!$A$102:$M$131,'2018 SUBSEQUENT'!D$8,FALSE)</f>
        <v>0</v>
      </c>
      <c r="E139" s="284">
        <f>VLOOKUP($B135,'CP FCST'!$A$102:$M$131,'2018 SUBSEQUENT'!E$8,FALSE)</f>
        <v>0</v>
      </c>
      <c r="F139" s="284">
        <f>VLOOKUP($B135,'CP FCST'!$A$102:$M$131,'2018 SUBSEQUENT'!F$8,FALSE)</f>
        <v>0</v>
      </c>
      <c r="G139" s="284">
        <f>VLOOKUP($B135,'CP FCST'!$A$102:$M$131,'2018 SUBSEQUENT'!G$8,FALSE)</f>
        <v>0</v>
      </c>
      <c r="H139" s="284">
        <f>VLOOKUP($B135,'CP FCST'!$A$102:$M$131,'2018 SUBSEQUENT'!H$8,FALSE)</f>
        <v>0</v>
      </c>
      <c r="I139" s="284">
        <f>VLOOKUP($B135,'CP FCST'!$A$102:$M$131,'2018 SUBSEQUENT'!I$8,FALSE)</f>
        <v>0</v>
      </c>
      <c r="J139" s="284">
        <f>VLOOKUP($B135,'CP FCST'!$A$102:$M$131,'2018 SUBSEQUENT'!J$8,FALSE)</f>
        <v>0</v>
      </c>
      <c r="K139" s="284">
        <f>VLOOKUP($B135,'CP FCST'!$A$102:$M$131,'2018 SUBSEQUENT'!K$8,FALSE)</f>
        <v>0</v>
      </c>
      <c r="L139" s="284">
        <f>VLOOKUP($B135,'CP FCST'!$A$102:$M$131,'2018 SUBSEQUENT'!L$8,FALSE)</f>
        <v>0</v>
      </c>
      <c r="M139" s="284">
        <f>VLOOKUP($B135,'CP FCST'!$A$102:$M$131,'2018 SUBSEQUENT'!M$8,FALSE)</f>
        <v>0</v>
      </c>
      <c r="N139" s="284">
        <f>VLOOKUP($B135,'CP FCST'!$A$102:$M$131,'2018 SUBSEQUENT'!N$8,FALSE)</f>
        <v>0</v>
      </c>
      <c r="O139" s="284"/>
      <c r="P139" s="284"/>
      <c r="Q139" s="284"/>
      <c r="R139" s="255">
        <f>AVERAGE(C139:N139)</f>
        <v>0</v>
      </c>
      <c r="T139" s="255">
        <f>VLOOKUP($B135,'CP FCST'!$A$102:$O$131,15,FALSE)</f>
        <v>0</v>
      </c>
      <c r="U139" s="255">
        <f>R139-T139</f>
        <v>0</v>
      </c>
    </row>
    <row r="140" spans="1:25">
      <c r="B140" s="254" t="s">
        <v>570</v>
      </c>
      <c r="C140" s="285" t="str">
        <f>IF(C139&gt;C138,"ERROR",IF(C138&gt;C137,"ERROR","OK"))</f>
        <v>OK</v>
      </c>
      <c r="D140" s="285" t="str">
        <f t="shared" ref="D140:N140" si="17">IF(D139&gt;D138,"ERROR",IF(D138&gt;D137,"ERROR","OK"))</f>
        <v>OK</v>
      </c>
      <c r="E140" s="285" t="str">
        <f t="shared" si="17"/>
        <v>OK</v>
      </c>
      <c r="F140" s="285" t="str">
        <f t="shared" si="17"/>
        <v>OK</v>
      </c>
      <c r="G140" s="285" t="str">
        <f t="shared" si="17"/>
        <v>OK</v>
      </c>
      <c r="H140" s="285" t="str">
        <f t="shared" si="17"/>
        <v>OK</v>
      </c>
      <c r="I140" s="285" t="str">
        <f t="shared" si="17"/>
        <v>OK</v>
      </c>
      <c r="J140" s="285" t="str">
        <f t="shared" si="17"/>
        <v>OK</v>
      </c>
      <c r="K140" s="285" t="str">
        <f t="shared" si="17"/>
        <v>OK</v>
      </c>
      <c r="L140" s="285" t="str">
        <f t="shared" si="17"/>
        <v>OK</v>
      </c>
      <c r="M140" s="285" t="str">
        <f t="shared" si="17"/>
        <v>OK</v>
      </c>
      <c r="N140" s="285" t="str">
        <f t="shared" si="17"/>
        <v>OK</v>
      </c>
      <c r="O140" s="284"/>
      <c r="P140" s="284"/>
      <c r="Q140" s="284"/>
      <c r="R140" s="255"/>
    </row>
    <row r="141" spans="1:25">
      <c r="B141" s="259"/>
      <c r="C141" s="284"/>
      <c r="D141" s="284"/>
      <c r="E141" s="284"/>
      <c r="F141" s="284"/>
      <c r="G141" s="284"/>
      <c r="H141" s="284"/>
      <c r="I141" s="284"/>
      <c r="J141" s="284"/>
      <c r="K141" s="284"/>
      <c r="L141" s="284"/>
      <c r="M141" s="284"/>
      <c r="N141" s="284"/>
      <c r="O141" s="284"/>
      <c r="P141" s="284"/>
      <c r="Q141" s="284"/>
      <c r="R141" s="282"/>
    </row>
    <row r="142" spans="1:25" s="260" customFormat="1">
      <c r="B142" s="252" t="s">
        <v>983</v>
      </c>
      <c r="C142" s="255"/>
      <c r="D142" s="255"/>
      <c r="E142" s="255"/>
      <c r="F142" s="255"/>
      <c r="G142" s="255"/>
      <c r="H142" s="255"/>
      <c r="I142" s="255"/>
      <c r="J142" s="255"/>
      <c r="K142" s="255"/>
      <c r="L142" s="255"/>
      <c r="M142" s="255"/>
      <c r="N142" s="255"/>
      <c r="O142" s="284"/>
      <c r="P142" s="284"/>
      <c r="Q142" s="284"/>
      <c r="R142" s="282"/>
      <c r="T142" s="261"/>
      <c r="U142" s="261"/>
      <c r="Y142" s="163"/>
    </row>
    <row r="143" spans="1:25">
      <c r="A143" s="253" t="str">
        <f>B142&amp;" "&amp;B143</f>
        <v>FLORIDA KEYS KWH Sales</v>
      </c>
      <c r="B143" s="254" t="s">
        <v>563</v>
      </c>
      <c r="C143" s="284">
        <f>VLOOKUP($B142,'KWH FCST'!$A$104:$M$133,'2018 SUBSEQUENT'!C$8,FALSE)</f>
        <v>57423516.574453846</v>
      </c>
      <c r="D143" s="284">
        <f>VLOOKUP($B142,'KWH FCST'!$A$104:$M$133,'2018 SUBSEQUENT'!D$8,FALSE)</f>
        <v>57598218.739825688</v>
      </c>
      <c r="E143" s="284">
        <f>VLOOKUP($B142,'KWH FCST'!$A$104:$M$133,'2018 SUBSEQUENT'!E$8,FALSE)</f>
        <v>54311564.358758911</v>
      </c>
      <c r="F143" s="284">
        <f>VLOOKUP($B142,'KWH FCST'!$A$104:$M$133,'2018 SUBSEQUENT'!F$8,FALSE)</f>
        <v>62064062.542005226</v>
      </c>
      <c r="G143" s="284">
        <f>VLOOKUP($B142,'KWH FCST'!$A$104:$M$133,'2018 SUBSEQUENT'!G$8,FALSE)</f>
        <v>65163997.781169876</v>
      </c>
      <c r="H143" s="284">
        <f>VLOOKUP($B142,'KWH FCST'!$A$104:$M$133,'2018 SUBSEQUENT'!H$8,FALSE)</f>
        <v>73748038.152224928</v>
      </c>
      <c r="I143" s="284">
        <f>VLOOKUP($B142,'KWH FCST'!$A$104:$M$133,'2018 SUBSEQUENT'!I$8,FALSE)</f>
        <v>80260798.649848387</v>
      </c>
      <c r="J143" s="284">
        <f>VLOOKUP($B142,'KWH FCST'!$A$104:$M$133,'2018 SUBSEQUENT'!J$8,FALSE)</f>
        <v>87768165.774147451</v>
      </c>
      <c r="K143" s="284">
        <f>VLOOKUP($B142,'KWH FCST'!$A$104:$M$133,'2018 SUBSEQUENT'!K$8,FALSE)</f>
        <v>87017824.511909038</v>
      </c>
      <c r="L143" s="284">
        <f>VLOOKUP($B142,'KWH FCST'!$A$104:$M$133,'2018 SUBSEQUENT'!L$8,FALSE)</f>
        <v>74036154.870901763</v>
      </c>
      <c r="M143" s="284">
        <f>VLOOKUP($B142,'KWH FCST'!$A$104:$M$133,'2018 SUBSEQUENT'!M$8,FALSE)</f>
        <v>68454919.941440672</v>
      </c>
      <c r="N143" s="284">
        <f>VLOOKUP($B142,'KWH FCST'!$A$104:$M$133,'2018 SUBSEQUENT'!N$8,FALSE)</f>
        <v>56336314.742574126</v>
      </c>
      <c r="O143" s="284">
        <f>SUM(C143:N143)</f>
        <v>824183576.63925982</v>
      </c>
      <c r="P143" s="284"/>
      <c r="Q143" s="284"/>
      <c r="R143" s="282"/>
      <c r="T143" s="296">
        <f>VLOOKUP($B142,'KWH FCST'!$A$104:$O$133,14,FALSE)</f>
        <v>824183576.63925982</v>
      </c>
      <c r="U143" s="255">
        <f>+O143-T143</f>
        <v>0</v>
      </c>
      <c r="Y143" s="163"/>
    </row>
    <row r="144" spans="1:25">
      <c r="A144" s="253" t="str">
        <f>B142&amp;" "&amp;B144</f>
        <v>FLORIDA KEYS NCP</v>
      </c>
      <c r="B144" s="254" t="s">
        <v>133</v>
      </c>
      <c r="C144" s="284">
        <f>VLOOKUP($B142,'NCP FCST'!$A$103:$M$132,'2018 SUBSEQUENT'!C$8,FALSE)</f>
        <v>128262.45306079926</v>
      </c>
      <c r="D144" s="284">
        <f>VLOOKUP($B142,'NCP FCST'!$A$103:$M$132,'2018 SUBSEQUENT'!D$8,FALSE)</f>
        <v>126863.56778393018</v>
      </c>
      <c r="E144" s="284">
        <f>VLOOKUP($B142,'NCP FCST'!$A$103:$M$132,'2018 SUBSEQUENT'!E$8,FALSE)</f>
        <v>134261.20984418743</v>
      </c>
      <c r="F144" s="284">
        <f>VLOOKUP($B142,'NCP FCST'!$A$103:$M$132,'2018 SUBSEQUENT'!F$8,FALSE)</f>
        <v>139556.88389403324</v>
      </c>
      <c r="G144" s="284">
        <f>VLOOKUP($B142,'NCP FCST'!$A$103:$M$132,'2018 SUBSEQUENT'!G$8,FALSE)</f>
        <v>152800.28208346051</v>
      </c>
      <c r="H144" s="284">
        <f>VLOOKUP($B142,'NCP FCST'!$A$103:$M$132,'2018 SUBSEQUENT'!H$8,FALSE)</f>
        <v>156287.82770856516</v>
      </c>
      <c r="I144" s="284">
        <f>VLOOKUP($B142,'NCP FCST'!$A$103:$M$132,'2018 SUBSEQUENT'!I$8,FALSE)</f>
        <v>165140</v>
      </c>
      <c r="J144" s="284">
        <f>VLOOKUP($B142,'NCP FCST'!$A$103:$M$132,'2018 SUBSEQUENT'!J$8,FALSE)</f>
        <v>163543.32227292401</v>
      </c>
      <c r="K144" s="284">
        <f>VLOOKUP($B142,'NCP FCST'!$A$103:$M$132,'2018 SUBSEQUENT'!K$8,FALSE)</f>
        <v>154353.87632611097</v>
      </c>
      <c r="L144" s="284">
        <f>VLOOKUP($B142,'NCP FCST'!$A$103:$M$132,'2018 SUBSEQUENT'!L$8,FALSE)</f>
        <v>139448.18924483523</v>
      </c>
      <c r="M144" s="284">
        <f>VLOOKUP($B142,'NCP FCST'!$A$103:$M$132,'2018 SUBSEQUENT'!M$8,FALSE)</f>
        <v>124588.83865612792</v>
      </c>
      <c r="N144" s="284">
        <f>VLOOKUP($B142,'NCP FCST'!$A$103:$M$132,'2018 SUBSEQUENT'!N$8,FALSE)</f>
        <v>129312.56236045343</v>
      </c>
      <c r="O144" s="284"/>
      <c r="P144" s="284">
        <f>MAX(C144:N144)</f>
        <v>165140</v>
      </c>
      <c r="Q144" s="284"/>
      <c r="R144" s="282"/>
      <c r="T144" s="255">
        <f>VLOOKUP($B142,'NCP FCST'!$A$103:$O$132,15,FALSE)</f>
        <v>165140</v>
      </c>
      <c r="U144" s="255">
        <f>P144-T144</f>
        <v>0</v>
      </c>
      <c r="Y144" s="163"/>
    </row>
    <row r="145" spans="1:25">
      <c r="A145" s="253" t="str">
        <f>B142&amp;" "&amp;B145</f>
        <v>FLORIDA KEYS GNCP</v>
      </c>
      <c r="B145" s="254" t="s">
        <v>342</v>
      </c>
      <c r="C145" s="284">
        <f>VLOOKUP($B142,'GNCP FCST'!$A$102:$M$131,'2018 SUBSEQUENT'!C$8,FALSE)</f>
        <v>128262.45306079926</v>
      </c>
      <c r="D145" s="284">
        <f>VLOOKUP($B142,'GNCP FCST'!$A$102:$M$131,'2018 SUBSEQUENT'!D$8,FALSE)</f>
        <v>126863.56778393018</v>
      </c>
      <c r="E145" s="284">
        <f>VLOOKUP($B142,'GNCP FCST'!$A$102:$M$131,'2018 SUBSEQUENT'!E$8,FALSE)</f>
        <v>134261.20984418743</v>
      </c>
      <c r="F145" s="284">
        <f>VLOOKUP($B142,'GNCP FCST'!$A$102:$M$131,'2018 SUBSEQUENT'!F$8,FALSE)</f>
        <v>139556.88389403324</v>
      </c>
      <c r="G145" s="284">
        <f>VLOOKUP($B142,'GNCP FCST'!$A$102:$M$131,'2018 SUBSEQUENT'!G$8,FALSE)</f>
        <v>152800.28208346051</v>
      </c>
      <c r="H145" s="284">
        <f>VLOOKUP($B142,'GNCP FCST'!$A$102:$M$131,'2018 SUBSEQUENT'!H$8,FALSE)</f>
        <v>156287.82770856516</v>
      </c>
      <c r="I145" s="284">
        <f>VLOOKUP($B142,'GNCP FCST'!$A$102:$M$131,'2018 SUBSEQUENT'!I$8,FALSE)</f>
        <v>165140</v>
      </c>
      <c r="J145" s="284">
        <f>VLOOKUP($B142,'GNCP FCST'!$A$102:$M$131,'2018 SUBSEQUENT'!J$8,FALSE)</f>
        <v>163543.32227292401</v>
      </c>
      <c r="K145" s="284">
        <f>VLOOKUP($B142,'GNCP FCST'!$A$102:$M$131,'2018 SUBSEQUENT'!K$8,FALSE)</f>
        <v>154353.87632611097</v>
      </c>
      <c r="L145" s="284">
        <f>VLOOKUP($B142,'GNCP FCST'!$A$102:$M$131,'2018 SUBSEQUENT'!L$8,FALSE)</f>
        <v>139448.18924483523</v>
      </c>
      <c r="M145" s="284">
        <f>VLOOKUP($B142,'GNCP FCST'!$A$102:$M$131,'2018 SUBSEQUENT'!M$8,FALSE)</f>
        <v>124588.83865612792</v>
      </c>
      <c r="N145" s="284">
        <f>VLOOKUP($B142,'GNCP FCST'!$A$102:$M$131,'2018 SUBSEQUENT'!N$8,FALSE)</f>
        <v>129312.56236045343</v>
      </c>
      <c r="O145" s="284"/>
      <c r="Q145" s="284">
        <f>MAX(C145:N145)</f>
        <v>165140</v>
      </c>
      <c r="R145" s="282"/>
      <c r="T145" s="255">
        <f>VLOOKUP($B142,'GNCP FCST'!$A$102:$O$131,15,FALSE)</f>
        <v>165140</v>
      </c>
      <c r="U145" s="255">
        <f>+Q145-T145</f>
        <v>0</v>
      </c>
      <c r="Y145" s="163"/>
    </row>
    <row r="146" spans="1:25">
      <c r="A146" s="253" t="str">
        <f>B142&amp;" "&amp;B146</f>
        <v>FLORIDA KEYS CP</v>
      </c>
      <c r="B146" s="254" t="s">
        <v>148</v>
      </c>
      <c r="C146" s="284">
        <f>VLOOKUP($B142,'CP FCST'!$A$102:$M$131,'2018 SUBSEQUENT'!C$8,FALSE)</f>
        <v>111029.50077166939</v>
      </c>
      <c r="D146" s="284">
        <f>VLOOKUP($B142,'CP FCST'!$A$102:$M$131,'2018 SUBSEQUENT'!D$8,FALSE)</f>
        <v>118139.37409264322</v>
      </c>
      <c r="E146" s="284">
        <f>VLOOKUP($B142,'CP FCST'!$A$102:$M$131,'2018 SUBSEQUENT'!E$8,FALSE)</f>
        <v>112110.77957793939</v>
      </c>
      <c r="F146" s="284">
        <f>VLOOKUP($B142,'CP FCST'!$A$102:$M$131,'2018 SUBSEQUENT'!F$8,FALSE)</f>
        <v>133137.4559094577</v>
      </c>
      <c r="G146" s="284">
        <f>VLOOKUP($B142,'CP FCST'!$A$102:$M$131,'2018 SUBSEQUENT'!G$8,FALSE)</f>
        <v>141523.75609180695</v>
      </c>
      <c r="H146" s="284">
        <f>VLOOKUP($B142,'CP FCST'!$A$102:$M$131,'2018 SUBSEQUENT'!H$8,FALSE)</f>
        <v>145649.9099679607</v>
      </c>
      <c r="I146" s="284">
        <f>VLOOKUP($B142,'CP FCST'!$A$102:$M$131,'2018 SUBSEQUENT'!I$8,FALSE)</f>
        <v>157775.88540399523</v>
      </c>
      <c r="J146" s="284">
        <f>VLOOKUP($B142,'CP FCST'!$A$102:$M$131,'2018 SUBSEQUENT'!J$8,FALSE)</f>
        <v>153908.71718101701</v>
      </c>
      <c r="K146" s="284">
        <f>VLOOKUP($B142,'CP FCST'!$A$102:$M$131,'2018 SUBSEQUENT'!K$8,FALSE)</f>
        <v>141987.24973742448</v>
      </c>
      <c r="L146" s="284">
        <f>VLOOKUP($B142,'CP FCST'!$A$102:$M$131,'2018 SUBSEQUENT'!L$8,FALSE)</f>
        <v>135751.33785682029</v>
      </c>
      <c r="M146" s="284">
        <f>VLOOKUP($B142,'CP FCST'!$A$102:$M$131,'2018 SUBSEQUENT'!M$8,FALSE)</f>
        <v>120435.32504668142</v>
      </c>
      <c r="N146" s="284">
        <f>VLOOKUP($B142,'CP FCST'!$A$102:$M$131,'2018 SUBSEQUENT'!N$8,FALSE)</f>
        <v>114792.82662533609</v>
      </c>
      <c r="O146" s="284"/>
      <c r="P146" s="284"/>
      <c r="Q146" s="284"/>
      <c r="R146" s="255">
        <f>AVERAGE(C146:N146)</f>
        <v>132186.84318856266</v>
      </c>
      <c r="T146" s="255">
        <f>VLOOKUP($B142,'CP FCST'!$A$102:$O$131,15,FALSE)</f>
        <v>132186.84318856266</v>
      </c>
      <c r="U146" s="255">
        <f>R146-T146</f>
        <v>0</v>
      </c>
      <c r="Y146" s="163"/>
    </row>
    <row r="147" spans="1:25">
      <c r="B147" s="254" t="s">
        <v>570</v>
      </c>
      <c r="C147" s="285" t="str">
        <f t="shared" ref="C147:N147" si="18">IF(C146&gt;C145,"ERROR",IF(C145&gt;C144,"ERROR","OK"))</f>
        <v>OK</v>
      </c>
      <c r="D147" s="285" t="str">
        <f t="shared" si="18"/>
        <v>OK</v>
      </c>
      <c r="E147" s="285" t="str">
        <f>IF(E146&gt;E145,"ERROR",IF(E145&gt;E144,"ERROR","OK"))</f>
        <v>OK</v>
      </c>
      <c r="F147" s="285" t="str">
        <f t="shared" si="18"/>
        <v>OK</v>
      </c>
      <c r="G147" s="285" t="str">
        <f t="shared" si="18"/>
        <v>OK</v>
      </c>
      <c r="H147" s="285" t="str">
        <f t="shared" si="18"/>
        <v>OK</v>
      </c>
      <c r="I147" s="285" t="str">
        <f t="shared" si="18"/>
        <v>OK</v>
      </c>
      <c r="J147" s="285" t="str">
        <f t="shared" si="18"/>
        <v>OK</v>
      </c>
      <c r="K147" s="285" t="str">
        <f t="shared" si="18"/>
        <v>OK</v>
      </c>
      <c r="L147" s="285" t="str">
        <f t="shared" si="18"/>
        <v>OK</v>
      </c>
      <c r="M147" s="285" t="str">
        <f t="shared" si="18"/>
        <v>OK</v>
      </c>
      <c r="N147" s="285" t="str">
        <f t="shared" si="18"/>
        <v>OK</v>
      </c>
      <c r="O147" s="284"/>
      <c r="P147" s="284"/>
      <c r="Q147" s="284"/>
      <c r="R147" s="255"/>
      <c r="Y147" s="163"/>
    </row>
    <row r="148" spans="1:25">
      <c r="B148" s="254"/>
      <c r="C148" s="285"/>
      <c r="D148" s="285"/>
      <c r="E148" s="285"/>
      <c r="F148" s="285"/>
      <c r="G148" s="285"/>
      <c r="H148" s="285"/>
      <c r="I148" s="285"/>
      <c r="J148" s="285"/>
      <c r="K148" s="285"/>
      <c r="L148" s="285"/>
      <c r="M148" s="285"/>
      <c r="N148" s="285"/>
      <c r="O148" s="284"/>
      <c r="P148" s="284"/>
      <c r="Q148" s="284"/>
      <c r="R148" s="255"/>
      <c r="Y148" s="163"/>
    </row>
    <row r="149" spans="1:25">
      <c r="A149" s="260"/>
      <c r="B149" s="252" t="s">
        <v>1192</v>
      </c>
      <c r="O149" s="284"/>
      <c r="P149" s="284"/>
      <c r="Q149" s="284"/>
      <c r="R149" s="282"/>
      <c r="S149" s="260"/>
      <c r="T149" s="261"/>
      <c r="U149" s="261"/>
      <c r="Y149" s="163"/>
    </row>
    <row r="150" spans="1:25">
      <c r="A150" s="253" t="str">
        <f>B149&amp;" "&amp;B150</f>
        <v>HOMESTEAD KWH Sales</v>
      </c>
      <c r="B150" s="254" t="s">
        <v>563</v>
      </c>
      <c r="C150" s="284">
        <f>VLOOKUP($B149,'KWH FCST'!$A$104:$M$133,'2018 SUBSEQUENT'!C$8,FALSE)</f>
        <v>0</v>
      </c>
      <c r="D150" s="284">
        <f>VLOOKUP($B149,'KWH FCST'!$A$104:$M$133,'2018 SUBSEQUENT'!D$8,FALSE)</f>
        <v>96000</v>
      </c>
      <c r="E150" s="284">
        <f>VLOOKUP($B149,'KWH FCST'!$A$104:$M$133,'2018 SUBSEQUENT'!E$8,FALSE)</f>
        <v>0</v>
      </c>
      <c r="F150" s="284">
        <f>VLOOKUP($B149,'KWH FCST'!$A$104:$M$133,'2018 SUBSEQUENT'!F$8,FALSE)</f>
        <v>0</v>
      </c>
      <c r="G150" s="284">
        <f>VLOOKUP($B149,'KWH FCST'!$A$104:$M$133,'2018 SUBSEQUENT'!G$8,FALSE)</f>
        <v>0</v>
      </c>
      <c r="H150" s="284">
        <f>VLOOKUP($B149,'KWH FCST'!$A$104:$M$133,'2018 SUBSEQUENT'!H$8,FALSE)</f>
        <v>0</v>
      </c>
      <c r="I150" s="284">
        <f>VLOOKUP($B149,'KWH FCST'!$A$104:$M$133,'2018 SUBSEQUENT'!I$8,FALSE)</f>
        <v>0</v>
      </c>
      <c r="J150" s="284">
        <f>VLOOKUP($B149,'KWH FCST'!$A$104:$M$133,'2018 SUBSEQUENT'!J$8,FALSE)</f>
        <v>0</v>
      </c>
      <c r="K150" s="284">
        <f>VLOOKUP($B149,'KWH FCST'!$A$104:$M$133,'2018 SUBSEQUENT'!K$8,FALSE)</f>
        <v>96000</v>
      </c>
      <c r="L150" s="284">
        <f>VLOOKUP($B149,'KWH FCST'!$A$104:$M$133,'2018 SUBSEQUENT'!L$8,FALSE)</f>
        <v>0</v>
      </c>
      <c r="M150" s="284">
        <f>VLOOKUP($B149,'KWH FCST'!$A$104:$M$133,'2018 SUBSEQUENT'!M$8,FALSE)</f>
        <v>0</v>
      </c>
      <c r="N150" s="284">
        <f>VLOOKUP($B149,'KWH FCST'!$A$104:$M$133,'2018 SUBSEQUENT'!N$8,FALSE)</f>
        <v>0</v>
      </c>
      <c r="O150" s="284">
        <f>SUM(C150:N150)</f>
        <v>192000</v>
      </c>
      <c r="P150" s="284"/>
      <c r="Q150" s="284"/>
      <c r="R150" s="282"/>
      <c r="T150" s="296">
        <f>VLOOKUP($B149,'KWH FCST'!$A$104:$O$133,14,FALSE)</f>
        <v>192000</v>
      </c>
      <c r="U150" s="255">
        <f>+O150-T150</f>
        <v>0</v>
      </c>
      <c r="Y150" s="163"/>
    </row>
    <row r="151" spans="1:25">
      <c r="A151" s="253" t="str">
        <f>B149&amp;" "&amp;B151</f>
        <v>HOMESTEAD NCP</v>
      </c>
      <c r="B151" s="254" t="s">
        <v>133</v>
      </c>
      <c r="C151" s="284">
        <f>VLOOKUP($B149,'NCP FCST'!$A$103:$M$132,'2018 SUBSEQUENT'!C$8,FALSE)</f>
        <v>24000</v>
      </c>
      <c r="D151" s="284">
        <f>VLOOKUP($B149,'NCP FCST'!$A$103:$M$132,'2018 SUBSEQUENT'!D$8,FALSE)</f>
        <v>0</v>
      </c>
      <c r="E151" s="284">
        <f>VLOOKUP($B149,'NCP FCST'!$A$103:$M$132,'2018 SUBSEQUENT'!E$8,FALSE)</f>
        <v>0</v>
      </c>
      <c r="F151" s="284">
        <f>VLOOKUP($B149,'NCP FCST'!$A$103:$M$132,'2018 SUBSEQUENT'!F$8,FALSE)</f>
        <v>0</v>
      </c>
      <c r="G151" s="284">
        <f>VLOOKUP($B149,'NCP FCST'!$A$103:$M$132,'2018 SUBSEQUENT'!G$8,FALSE)</f>
        <v>0</v>
      </c>
      <c r="H151" s="284">
        <f>VLOOKUP($B149,'NCP FCST'!$A$103:$M$132,'2018 SUBSEQUENT'!H$8,FALSE)</f>
        <v>0</v>
      </c>
      <c r="I151" s="284">
        <f>VLOOKUP($B149,'NCP FCST'!$A$103:$M$132,'2018 SUBSEQUENT'!I$8,FALSE)</f>
        <v>0</v>
      </c>
      <c r="J151" s="284">
        <f>VLOOKUP($B149,'NCP FCST'!$A$103:$M$132,'2018 SUBSEQUENT'!J$8,FALSE)</f>
        <v>24000</v>
      </c>
      <c r="K151" s="284">
        <f>VLOOKUP($B149,'NCP FCST'!$A$103:$M$132,'2018 SUBSEQUENT'!K$8,FALSE)</f>
        <v>0</v>
      </c>
      <c r="L151" s="284">
        <f>VLOOKUP($B149,'NCP FCST'!$A$103:$M$132,'2018 SUBSEQUENT'!L$8,FALSE)</f>
        <v>0</v>
      </c>
      <c r="M151" s="284">
        <f>VLOOKUP($B149,'NCP FCST'!$A$103:$M$132,'2018 SUBSEQUENT'!M$8,FALSE)</f>
        <v>0</v>
      </c>
      <c r="N151" s="284">
        <f>VLOOKUP($B149,'NCP FCST'!$A$103:$M$132,'2018 SUBSEQUENT'!N$8,FALSE)</f>
        <v>0</v>
      </c>
      <c r="O151" s="284"/>
      <c r="P151" s="284">
        <f>MAX(C151:N151)</f>
        <v>24000</v>
      </c>
      <c r="Q151" s="284"/>
      <c r="R151" s="282"/>
      <c r="T151" s="255">
        <f>VLOOKUP($B149,'NCP FCST'!$A$103:$O$132,15,FALSE)</f>
        <v>24000</v>
      </c>
      <c r="U151" s="255">
        <f>P151-T151</f>
        <v>0</v>
      </c>
      <c r="Y151" s="163"/>
    </row>
    <row r="152" spans="1:25">
      <c r="A152" s="253" t="str">
        <f>B149&amp;" "&amp;B152</f>
        <v>HOMESTEAD GNCP</v>
      </c>
      <c r="B152" s="254" t="s">
        <v>342</v>
      </c>
      <c r="C152" s="284">
        <f>VLOOKUP($B149,'GNCP FCST'!$A$102:$M$131,'2018 SUBSEQUENT'!C$8,FALSE)</f>
        <v>24000</v>
      </c>
      <c r="D152" s="284">
        <f>VLOOKUP($B149,'GNCP FCST'!$A$102:$M$131,'2018 SUBSEQUENT'!D$8,FALSE)</f>
        <v>0</v>
      </c>
      <c r="E152" s="284">
        <f>VLOOKUP($B149,'GNCP FCST'!$A$102:$M$131,'2018 SUBSEQUENT'!E$8,FALSE)</f>
        <v>0</v>
      </c>
      <c r="F152" s="284">
        <f>VLOOKUP($B149,'GNCP FCST'!$A$102:$M$131,'2018 SUBSEQUENT'!F$8,FALSE)</f>
        <v>0</v>
      </c>
      <c r="G152" s="284">
        <f>VLOOKUP($B149,'GNCP FCST'!$A$102:$M$131,'2018 SUBSEQUENT'!G$8,FALSE)</f>
        <v>0</v>
      </c>
      <c r="H152" s="284">
        <f>VLOOKUP($B149,'GNCP FCST'!$A$102:$M$131,'2018 SUBSEQUENT'!H$8,FALSE)</f>
        <v>0</v>
      </c>
      <c r="I152" s="284">
        <f>VLOOKUP($B149,'GNCP FCST'!$A$102:$M$131,'2018 SUBSEQUENT'!I$8,FALSE)</f>
        <v>0</v>
      </c>
      <c r="J152" s="284">
        <f>VLOOKUP($B149,'GNCP FCST'!$A$102:$M$131,'2018 SUBSEQUENT'!J$8,FALSE)</f>
        <v>24000</v>
      </c>
      <c r="K152" s="284">
        <f>VLOOKUP($B149,'GNCP FCST'!$A$102:$M$131,'2018 SUBSEQUENT'!K$8,FALSE)</f>
        <v>0</v>
      </c>
      <c r="L152" s="284">
        <f>VLOOKUP($B149,'GNCP FCST'!$A$102:$M$131,'2018 SUBSEQUENT'!L$8,FALSE)</f>
        <v>0</v>
      </c>
      <c r="M152" s="284">
        <f>VLOOKUP($B149,'GNCP FCST'!$A$102:$M$131,'2018 SUBSEQUENT'!M$8,FALSE)</f>
        <v>0</v>
      </c>
      <c r="N152" s="284">
        <f>VLOOKUP($B149,'GNCP FCST'!$A$102:$M$131,'2018 SUBSEQUENT'!N$8,FALSE)</f>
        <v>0</v>
      </c>
      <c r="O152" s="284"/>
      <c r="Q152" s="284">
        <f>MAX(C152:N152)</f>
        <v>24000</v>
      </c>
      <c r="R152" s="282"/>
      <c r="T152" s="255">
        <f>VLOOKUP($B149,'GNCP FCST'!$A$102:$O$131,15,FALSE)</f>
        <v>24000</v>
      </c>
      <c r="U152" s="255">
        <f>+Q152-T152</f>
        <v>0</v>
      </c>
      <c r="Y152" s="163"/>
    </row>
    <row r="153" spans="1:25">
      <c r="A153" s="253" t="str">
        <f>B149&amp;" "&amp;B153</f>
        <v>HOMESTEAD CP</v>
      </c>
      <c r="B153" s="254" t="s">
        <v>148</v>
      </c>
      <c r="C153" s="284">
        <f>VLOOKUP($B149,'CP FCST'!$A$102:$M$131,'2018 SUBSEQUENT'!C$8,FALSE)</f>
        <v>23485.287564417671</v>
      </c>
      <c r="D153" s="284">
        <f>VLOOKUP($B149,'CP FCST'!$A$102:$M$131,'2018 SUBSEQUENT'!D$8,FALSE)</f>
        <v>0</v>
      </c>
      <c r="E153" s="284">
        <f>VLOOKUP($B149,'CP FCST'!$A$102:$M$131,'2018 SUBSEQUENT'!E$8,FALSE)</f>
        <v>0</v>
      </c>
      <c r="F153" s="284">
        <f>VLOOKUP($B149,'CP FCST'!$A$102:$M$131,'2018 SUBSEQUENT'!F$8,FALSE)</f>
        <v>0</v>
      </c>
      <c r="G153" s="284">
        <f>VLOOKUP($B149,'CP FCST'!$A$102:$M$131,'2018 SUBSEQUENT'!G$8,FALSE)</f>
        <v>0</v>
      </c>
      <c r="H153" s="284">
        <f>VLOOKUP($B149,'CP FCST'!$A$102:$M$131,'2018 SUBSEQUENT'!H$8,FALSE)</f>
        <v>0</v>
      </c>
      <c r="I153" s="284">
        <f>VLOOKUP($B149,'CP FCST'!$A$102:$M$131,'2018 SUBSEQUENT'!I$8,FALSE)</f>
        <v>0</v>
      </c>
      <c r="J153" s="284">
        <f>VLOOKUP($B149,'CP FCST'!$A$102:$M$131,'2018 SUBSEQUENT'!J$8,FALSE)</f>
        <v>23485.287564417671</v>
      </c>
      <c r="K153" s="284">
        <f>VLOOKUP($B149,'CP FCST'!$A$102:$M$131,'2018 SUBSEQUENT'!K$8,FALSE)</f>
        <v>0</v>
      </c>
      <c r="L153" s="284">
        <f>VLOOKUP($B149,'CP FCST'!$A$102:$M$131,'2018 SUBSEQUENT'!L$8,FALSE)</f>
        <v>0</v>
      </c>
      <c r="M153" s="284">
        <f>VLOOKUP($B149,'CP FCST'!$A$102:$M$131,'2018 SUBSEQUENT'!M$8,FALSE)</f>
        <v>0</v>
      </c>
      <c r="N153" s="284">
        <f>VLOOKUP($B149,'CP FCST'!$A$102:$M$131,'2018 SUBSEQUENT'!N$8,FALSE)</f>
        <v>0</v>
      </c>
      <c r="O153" s="284"/>
      <c r="P153" s="284"/>
      <c r="Q153" s="284"/>
      <c r="R153" s="255">
        <f>AVERAGE(C153:N153)</f>
        <v>3914.2145940696118</v>
      </c>
      <c r="T153" s="255">
        <f>VLOOKUP($B149,'CP FCST'!$A$102:$O$131,15,FALSE)</f>
        <v>3914.2145940696118</v>
      </c>
      <c r="U153" s="255">
        <f>R153-T153</f>
        <v>0</v>
      </c>
      <c r="Y153" s="163"/>
    </row>
    <row r="154" spans="1:25">
      <c r="B154" s="254" t="s">
        <v>570</v>
      </c>
      <c r="C154" s="285" t="str">
        <f t="shared" ref="C154:N154" si="19">IF(C153&gt;C152,"ERROR",IF(C152&gt;C151,"ERROR","OK"))</f>
        <v>OK</v>
      </c>
      <c r="D154" s="285" t="str">
        <f t="shared" si="19"/>
        <v>OK</v>
      </c>
      <c r="E154" s="285" t="str">
        <f t="shared" si="19"/>
        <v>OK</v>
      </c>
      <c r="F154" s="285" t="str">
        <f t="shared" si="19"/>
        <v>OK</v>
      </c>
      <c r="G154" s="285" t="str">
        <f t="shared" si="19"/>
        <v>OK</v>
      </c>
      <c r="H154" s="285" t="str">
        <f t="shared" si="19"/>
        <v>OK</v>
      </c>
      <c r="I154" s="285" t="str">
        <f t="shared" si="19"/>
        <v>OK</v>
      </c>
      <c r="J154" s="285" t="str">
        <f t="shared" si="19"/>
        <v>OK</v>
      </c>
      <c r="K154" s="285" t="str">
        <f t="shared" si="19"/>
        <v>OK</v>
      </c>
      <c r="L154" s="285" t="str">
        <f t="shared" si="19"/>
        <v>OK</v>
      </c>
      <c r="M154" s="285" t="str">
        <f t="shared" si="19"/>
        <v>OK</v>
      </c>
      <c r="N154" s="285" t="str">
        <f t="shared" si="19"/>
        <v>OK</v>
      </c>
      <c r="O154" s="284"/>
      <c r="P154" s="284"/>
      <c r="Q154" s="284"/>
      <c r="R154" s="255"/>
      <c r="Y154" s="163"/>
    </row>
    <row r="155" spans="1:25">
      <c r="B155" s="254"/>
      <c r="C155" s="285"/>
      <c r="D155" s="285"/>
      <c r="E155" s="285"/>
      <c r="F155" s="285"/>
      <c r="G155" s="285"/>
      <c r="H155" s="285"/>
      <c r="I155" s="285"/>
      <c r="J155" s="285"/>
      <c r="K155" s="285"/>
      <c r="L155" s="285"/>
      <c r="M155" s="285"/>
      <c r="N155" s="285"/>
      <c r="O155" s="284"/>
      <c r="P155" s="284"/>
      <c r="Q155" s="284"/>
      <c r="R155" s="255"/>
      <c r="Y155" s="163"/>
    </row>
    <row r="156" spans="1:25">
      <c r="B156" s="252" t="s">
        <v>984</v>
      </c>
      <c r="C156" s="284"/>
      <c r="D156" s="284"/>
      <c r="E156" s="284"/>
      <c r="F156" s="284"/>
      <c r="G156" s="284"/>
      <c r="H156" s="284"/>
      <c r="I156" s="284"/>
      <c r="J156" s="284"/>
      <c r="K156" s="284"/>
      <c r="L156" s="284"/>
      <c r="M156" s="284"/>
      <c r="N156" s="284"/>
      <c r="O156" s="284"/>
      <c r="P156" s="284"/>
      <c r="Q156" s="284"/>
      <c r="R156" s="282"/>
    </row>
    <row r="157" spans="1:25">
      <c r="A157" s="253" t="str">
        <f>B156&amp;" "&amp;B157</f>
        <v>LEE COUNTY KWH Sales</v>
      </c>
      <c r="B157" s="254" t="s">
        <v>563</v>
      </c>
      <c r="C157" s="284">
        <f>VLOOKUP($B156,'KWH FCST'!$A$104:$M$133,'2018 SUBSEQUENT'!C$8,FALSE)</f>
        <v>291035044</v>
      </c>
      <c r="D157" s="284">
        <f>VLOOKUP($B156,'KWH FCST'!$A$104:$M$133,'2018 SUBSEQUENT'!D$8,FALSE)</f>
        <v>288236292</v>
      </c>
      <c r="E157" s="284">
        <f>VLOOKUP($B156,'KWH FCST'!$A$104:$M$133,'2018 SUBSEQUENT'!E$8,FALSE)</f>
        <v>279900889</v>
      </c>
      <c r="F157" s="284">
        <f>VLOOKUP($B156,'KWH FCST'!$A$104:$M$133,'2018 SUBSEQUENT'!F$8,FALSE)</f>
        <v>332176215</v>
      </c>
      <c r="G157" s="284">
        <f>VLOOKUP($B156,'KWH FCST'!$A$104:$M$133,'2018 SUBSEQUENT'!G$8,FALSE)</f>
        <v>363302933</v>
      </c>
      <c r="H157" s="284">
        <f>VLOOKUP($B156,'KWH FCST'!$A$104:$M$133,'2018 SUBSEQUENT'!H$8,FALSE)</f>
        <v>368224494</v>
      </c>
      <c r="I157" s="284">
        <f>VLOOKUP($B156,'KWH FCST'!$A$104:$M$133,'2018 SUBSEQUENT'!I$8,FALSE)</f>
        <v>380293219</v>
      </c>
      <c r="J157" s="284">
        <f>VLOOKUP($B156,'KWH FCST'!$A$104:$M$133,'2018 SUBSEQUENT'!J$8,FALSE)</f>
        <v>357831718</v>
      </c>
      <c r="K157" s="284">
        <f>VLOOKUP($B156,'KWH FCST'!$A$104:$M$133,'2018 SUBSEQUENT'!K$8,FALSE)</f>
        <v>383850184</v>
      </c>
      <c r="L157" s="284">
        <f>VLOOKUP($B156,'KWH FCST'!$A$104:$M$133,'2018 SUBSEQUENT'!L$8,FALSE)</f>
        <v>378896205</v>
      </c>
      <c r="M157" s="284">
        <f>VLOOKUP($B156,'KWH FCST'!$A$104:$M$133,'2018 SUBSEQUENT'!M$8,FALSE)</f>
        <v>346456688</v>
      </c>
      <c r="N157" s="284">
        <f>VLOOKUP($B156,'KWH FCST'!$A$104:$M$133,'2018 SUBSEQUENT'!N$8,FALSE)</f>
        <v>315374732</v>
      </c>
      <c r="O157" s="284">
        <f>SUM(C157:N157)</f>
        <v>4085578613</v>
      </c>
      <c r="P157" s="284"/>
      <c r="Q157" s="284"/>
      <c r="R157" s="282"/>
      <c r="T157" s="296">
        <f>VLOOKUP($B156,'KWH FCST'!$A$104:$O$133,14,FALSE)</f>
        <v>4085578613</v>
      </c>
      <c r="U157" s="255">
        <f>+O157-T157</f>
        <v>0</v>
      </c>
    </row>
    <row r="158" spans="1:25">
      <c r="A158" s="253" t="str">
        <f>B156&amp;" "&amp;B158</f>
        <v>LEE COUNTY NCP</v>
      </c>
      <c r="B158" s="254" t="s">
        <v>133</v>
      </c>
      <c r="C158" s="284">
        <f>VLOOKUP($B156,'NCP FCST'!$A$103:$M$132,'2018 SUBSEQUENT'!C$8,FALSE)</f>
        <v>752853</v>
      </c>
      <c r="D158" s="284">
        <f>VLOOKUP($B156,'NCP FCST'!$A$103:$M$132,'2018 SUBSEQUENT'!D$8,FALSE)</f>
        <v>673351</v>
      </c>
      <c r="E158" s="284">
        <f>VLOOKUP($B156,'NCP FCST'!$A$103:$M$132,'2018 SUBSEQUENT'!E$8,FALSE)</f>
        <v>620165</v>
      </c>
      <c r="F158" s="284">
        <f>VLOOKUP($B156,'NCP FCST'!$A$103:$M$132,'2018 SUBSEQUENT'!F$8,FALSE)</f>
        <v>636181</v>
      </c>
      <c r="G158" s="284">
        <f>VLOOKUP($B156,'NCP FCST'!$A$103:$M$132,'2018 SUBSEQUENT'!G$8,FALSE)</f>
        <v>724836</v>
      </c>
      <c r="H158" s="284">
        <f>VLOOKUP($B156,'NCP FCST'!$A$103:$M$132,'2018 SUBSEQUENT'!H$8,FALSE)</f>
        <v>779270</v>
      </c>
      <c r="I158" s="284">
        <f>VLOOKUP($B156,'NCP FCST'!$A$103:$M$132,'2018 SUBSEQUENT'!I$8,FALSE)</f>
        <v>787301</v>
      </c>
      <c r="J158" s="284">
        <f>VLOOKUP($B156,'NCP FCST'!$A$103:$M$132,'2018 SUBSEQUENT'!J$8,FALSE)</f>
        <v>799787</v>
      </c>
      <c r="K158" s="284">
        <f>VLOOKUP($B156,'NCP FCST'!$A$103:$M$132,'2018 SUBSEQUENT'!K$8,FALSE)</f>
        <v>764382</v>
      </c>
      <c r="L158" s="284">
        <f>VLOOKUP($B156,'NCP FCST'!$A$103:$M$132,'2018 SUBSEQUENT'!L$8,FALSE)</f>
        <v>715634</v>
      </c>
      <c r="M158" s="284">
        <f>VLOOKUP($B156,'NCP FCST'!$A$103:$M$132,'2018 SUBSEQUENT'!M$8,FALSE)</f>
        <v>586948</v>
      </c>
      <c r="N158" s="284">
        <f>VLOOKUP($B156,'NCP FCST'!$A$103:$M$132,'2018 SUBSEQUENT'!N$8,FALSE)</f>
        <v>555803</v>
      </c>
      <c r="O158" s="284"/>
      <c r="P158" s="284">
        <f>MAX(C158:N158)</f>
        <v>799787</v>
      </c>
      <c r="Q158" s="284"/>
      <c r="R158" s="282"/>
      <c r="T158" s="255">
        <f>VLOOKUP($B156,'NCP FCST'!$A$103:$O$132,15,FALSE)</f>
        <v>799787</v>
      </c>
      <c r="U158" s="255">
        <f>P158-T158</f>
        <v>0</v>
      </c>
    </row>
    <row r="159" spans="1:25">
      <c r="A159" s="253" t="str">
        <f>B156&amp;" "&amp;B159</f>
        <v>LEE COUNTY GNCP</v>
      </c>
      <c r="B159" s="254" t="s">
        <v>342</v>
      </c>
      <c r="C159" s="284">
        <f>VLOOKUP($B156,'GNCP FCST'!$A$102:$M$131,'2018 SUBSEQUENT'!C$8,FALSE)</f>
        <v>752853</v>
      </c>
      <c r="D159" s="284">
        <f>VLOOKUP($B156,'GNCP FCST'!$A$102:$M$131,'2018 SUBSEQUENT'!D$8,FALSE)</f>
        <v>673351</v>
      </c>
      <c r="E159" s="284">
        <f>VLOOKUP($B156,'GNCP FCST'!$A$102:$M$131,'2018 SUBSEQUENT'!E$8,FALSE)</f>
        <v>620165</v>
      </c>
      <c r="F159" s="284">
        <f>VLOOKUP($B156,'GNCP FCST'!$A$102:$M$131,'2018 SUBSEQUENT'!F$8,FALSE)</f>
        <v>636181</v>
      </c>
      <c r="G159" s="284">
        <f>VLOOKUP($B156,'GNCP FCST'!$A$102:$M$131,'2018 SUBSEQUENT'!G$8,FALSE)</f>
        <v>724836</v>
      </c>
      <c r="H159" s="284">
        <f>VLOOKUP($B156,'GNCP FCST'!$A$102:$M$131,'2018 SUBSEQUENT'!H$8,FALSE)</f>
        <v>779270</v>
      </c>
      <c r="I159" s="284">
        <f>VLOOKUP($B156,'GNCP FCST'!$A$102:$M$131,'2018 SUBSEQUENT'!I$8,FALSE)</f>
        <v>787301</v>
      </c>
      <c r="J159" s="284">
        <f>VLOOKUP($B156,'GNCP FCST'!$A$102:$M$131,'2018 SUBSEQUENT'!J$8,FALSE)</f>
        <v>799787</v>
      </c>
      <c r="K159" s="284">
        <f>VLOOKUP($B156,'GNCP FCST'!$A$102:$M$131,'2018 SUBSEQUENT'!K$8,FALSE)</f>
        <v>764382</v>
      </c>
      <c r="L159" s="284">
        <f>VLOOKUP($B156,'GNCP FCST'!$A$102:$M$131,'2018 SUBSEQUENT'!L$8,FALSE)</f>
        <v>715634</v>
      </c>
      <c r="M159" s="284">
        <f>VLOOKUP($B156,'GNCP FCST'!$A$102:$M$131,'2018 SUBSEQUENT'!M$8,FALSE)</f>
        <v>586948</v>
      </c>
      <c r="N159" s="284">
        <f>VLOOKUP($B156,'GNCP FCST'!$A$102:$M$131,'2018 SUBSEQUENT'!N$8,FALSE)</f>
        <v>555803</v>
      </c>
      <c r="O159" s="284"/>
      <c r="Q159" s="284">
        <f>MAX(C159:N159)</f>
        <v>799787</v>
      </c>
      <c r="R159" s="282"/>
      <c r="T159" s="255">
        <f>VLOOKUP($B156,'GNCP FCST'!$A$102:$O$131,15,FALSE)</f>
        <v>799787</v>
      </c>
      <c r="U159" s="255">
        <f>+Q159-T159</f>
        <v>0</v>
      </c>
    </row>
    <row r="160" spans="1:25">
      <c r="A160" s="253" t="str">
        <f>B156&amp;" "&amp;B160</f>
        <v>LEE COUNTY CP</v>
      </c>
      <c r="B160" s="254" t="s">
        <v>148</v>
      </c>
      <c r="C160" s="284">
        <f>VLOOKUP($B156,'CP FCST'!$A$102:$M$131,'2018 SUBSEQUENT'!C$8,FALSE)</f>
        <v>729914.85590419127</v>
      </c>
      <c r="D160" s="284">
        <f>VLOOKUP($B156,'CP FCST'!$A$102:$M$131,'2018 SUBSEQUENT'!D$8,FALSE)</f>
        <v>655255.24176510237</v>
      </c>
      <c r="E160" s="284">
        <f>VLOOKUP($B156,'CP FCST'!$A$102:$M$131,'2018 SUBSEQUENT'!E$8,FALSE)</f>
        <v>603892.65869103943</v>
      </c>
      <c r="F160" s="284">
        <f>VLOOKUP($B156,'CP FCST'!$A$102:$M$131,'2018 SUBSEQUENT'!F$8,FALSE)</f>
        <v>594680.21114026208</v>
      </c>
      <c r="G160" s="284">
        <f>VLOOKUP($B156,'CP FCST'!$A$102:$M$131,'2018 SUBSEQUENT'!G$8,FALSE)</f>
        <v>688347.42195884278</v>
      </c>
      <c r="H160" s="284">
        <f>VLOOKUP($B156,'CP FCST'!$A$102:$M$131,'2018 SUBSEQUENT'!H$8,FALSE)</f>
        <v>754689.23449373618</v>
      </c>
      <c r="I160" s="284">
        <f>VLOOKUP($B156,'CP FCST'!$A$102:$M$131,'2018 SUBSEQUENT'!I$8,FALSE)</f>
        <v>737213.65395021671</v>
      </c>
      <c r="J160" s="284">
        <f>VLOOKUP($B156,'CP FCST'!$A$102:$M$131,'2018 SUBSEQUENT'!J$8,FALSE)</f>
        <v>771038.22085824702</v>
      </c>
      <c r="K160" s="284">
        <f>VLOOKUP($B156,'CP FCST'!$A$102:$M$131,'2018 SUBSEQUENT'!K$8,FALSE)</f>
        <v>662144.29077524377</v>
      </c>
      <c r="L160" s="284">
        <f>VLOOKUP($B156,'CP FCST'!$A$102:$M$131,'2018 SUBSEQUENT'!L$8,FALSE)</f>
        <v>695825.65304306929</v>
      </c>
      <c r="M160" s="284">
        <f>VLOOKUP($B156,'CP FCST'!$A$102:$M$131,'2018 SUBSEQUENT'!M$8,FALSE)</f>
        <v>570797.87001558079</v>
      </c>
      <c r="N160" s="284">
        <f>VLOOKUP($B156,'CP FCST'!$A$102:$M$131,'2018 SUBSEQUENT'!N$8,FALSE)</f>
        <v>536929.95518244593</v>
      </c>
      <c r="O160" s="284"/>
      <c r="P160" s="284"/>
      <c r="Q160" s="284"/>
      <c r="R160" s="255">
        <f>AVERAGE(C160:N160)</f>
        <v>666727.43898149824</v>
      </c>
      <c r="T160" s="255">
        <f>VLOOKUP($B156,'CP FCST'!$A$102:$O$131,15,FALSE)</f>
        <v>666727.43898149824</v>
      </c>
      <c r="U160" s="255">
        <f>R160-T160</f>
        <v>0</v>
      </c>
    </row>
    <row r="161" spans="1:21">
      <c r="B161" s="254" t="s">
        <v>570</v>
      </c>
      <c r="C161" s="285" t="str">
        <f t="shared" ref="C161:N161" si="20">IF(C160&gt;C159,"ERROR",IF(C159&gt;C158,"ERROR","OK"))</f>
        <v>OK</v>
      </c>
      <c r="D161" s="285" t="str">
        <f t="shared" si="20"/>
        <v>OK</v>
      </c>
      <c r="E161" s="285" t="str">
        <f t="shared" si="20"/>
        <v>OK</v>
      </c>
      <c r="F161" s="285" t="str">
        <f t="shared" si="20"/>
        <v>OK</v>
      </c>
      <c r="G161" s="285" t="str">
        <f t="shared" si="20"/>
        <v>OK</v>
      </c>
      <c r="H161" s="285" t="str">
        <f t="shared" si="20"/>
        <v>OK</v>
      </c>
      <c r="I161" s="285" t="str">
        <f t="shared" si="20"/>
        <v>OK</v>
      </c>
      <c r="J161" s="285" t="str">
        <f t="shared" si="20"/>
        <v>OK</v>
      </c>
      <c r="K161" s="285" t="str">
        <f t="shared" si="20"/>
        <v>OK</v>
      </c>
      <c r="L161" s="285" t="str">
        <f t="shared" si="20"/>
        <v>OK</v>
      </c>
      <c r="M161" s="285" t="str">
        <f t="shared" si="20"/>
        <v>OK</v>
      </c>
      <c r="N161" s="285" t="str">
        <f t="shared" si="20"/>
        <v>OK</v>
      </c>
      <c r="O161" s="284"/>
      <c r="P161" s="284"/>
      <c r="Q161" s="284"/>
      <c r="R161" s="255"/>
    </row>
    <row r="162" spans="1:21">
      <c r="B162" s="259"/>
      <c r="C162" s="284"/>
      <c r="D162" s="284"/>
      <c r="E162" s="284"/>
      <c r="F162" s="284"/>
      <c r="G162" s="284"/>
      <c r="H162" s="284"/>
      <c r="I162" s="284"/>
      <c r="J162" s="284"/>
      <c r="K162" s="284"/>
      <c r="L162" s="284"/>
      <c r="M162" s="284"/>
      <c r="N162" s="284"/>
      <c r="O162" s="284"/>
      <c r="P162" s="284"/>
      <c r="Q162" s="284"/>
      <c r="R162" s="282"/>
    </row>
    <row r="163" spans="1:21" s="260" customFormat="1">
      <c r="B163" s="252" t="s">
        <v>985</v>
      </c>
      <c r="C163" s="255"/>
      <c r="D163" s="255"/>
      <c r="E163" s="255"/>
      <c r="F163" s="255"/>
      <c r="G163" s="255"/>
      <c r="H163" s="255"/>
      <c r="I163" s="255"/>
      <c r="J163" s="255"/>
      <c r="K163" s="255"/>
      <c r="L163" s="255"/>
      <c r="M163" s="255"/>
      <c r="N163" s="255"/>
      <c r="O163" s="284"/>
      <c r="P163" s="284"/>
      <c r="Q163" s="284"/>
      <c r="R163" s="282"/>
      <c r="T163" s="261"/>
      <c r="U163" s="261"/>
    </row>
    <row r="164" spans="1:21">
      <c r="A164" s="253" t="str">
        <f>B163&amp;" "&amp;B164</f>
        <v>NEW SMYRNA BEACH KWH Sales</v>
      </c>
      <c r="B164" s="254" t="s">
        <v>563</v>
      </c>
      <c r="C164" s="284">
        <f>VLOOKUP($B163,'KWH FCST'!$A$104:$M$133,'2018 SUBSEQUENT'!C$8,FALSE)</f>
        <v>0</v>
      </c>
      <c r="D164" s="284">
        <f>VLOOKUP($B163,'KWH FCST'!$A$104:$M$133,'2018 SUBSEQUENT'!D$8,FALSE)</f>
        <v>0</v>
      </c>
      <c r="E164" s="284">
        <f>VLOOKUP($B163,'KWH FCST'!$A$104:$M$133,'2018 SUBSEQUENT'!E$8,FALSE)</f>
        <v>0</v>
      </c>
      <c r="F164" s="284">
        <f>VLOOKUP($B163,'KWH FCST'!$A$104:$M$133,'2018 SUBSEQUENT'!F$8,FALSE)</f>
        <v>0</v>
      </c>
      <c r="G164" s="284">
        <f>VLOOKUP($B163,'KWH FCST'!$A$104:$M$133,'2018 SUBSEQUENT'!G$8,FALSE)</f>
        <v>0</v>
      </c>
      <c r="H164" s="284">
        <f>VLOOKUP($B163,'KWH FCST'!$A$104:$M$133,'2018 SUBSEQUENT'!H$8,FALSE)</f>
        <v>0</v>
      </c>
      <c r="I164" s="284">
        <f>VLOOKUP($B163,'KWH FCST'!$A$104:$M$133,'2018 SUBSEQUENT'!I$8,FALSE)</f>
        <v>0</v>
      </c>
      <c r="J164" s="284">
        <f>VLOOKUP($B163,'KWH FCST'!$A$104:$M$133,'2018 SUBSEQUENT'!J$8,FALSE)</f>
        <v>0</v>
      </c>
      <c r="K164" s="284">
        <f>VLOOKUP($B163,'KWH FCST'!$A$104:$M$133,'2018 SUBSEQUENT'!K$8,FALSE)</f>
        <v>0</v>
      </c>
      <c r="L164" s="284">
        <f>VLOOKUP($B163,'KWH FCST'!$A$104:$M$133,'2018 SUBSEQUENT'!L$8,FALSE)</f>
        <v>0</v>
      </c>
      <c r="M164" s="284">
        <f>VLOOKUP($B163,'KWH FCST'!$A$104:$M$133,'2018 SUBSEQUENT'!M$8,FALSE)</f>
        <v>0</v>
      </c>
      <c r="N164" s="284">
        <f>VLOOKUP($B163,'KWH FCST'!$A$104:$M$133,'2018 SUBSEQUENT'!N$8,FALSE)</f>
        <v>0</v>
      </c>
      <c r="O164" s="284">
        <f>SUM(C164:N164)</f>
        <v>0</v>
      </c>
      <c r="P164" s="284"/>
      <c r="Q164" s="284"/>
      <c r="R164" s="282"/>
      <c r="T164" s="296">
        <f>VLOOKUP($B163,'KWH FCST'!$A$104:$O$133,14,FALSE)</f>
        <v>0</v>
      </c>
      <c r="U164" s="255">
        <f>+O164-T164</f>
        <v>0</v>
      </c>
    </row>
    <row r="165" spans="1:21">
      <c r="A165" s="253" t="str">
        <f>B163&amp;" "&amp;B165</f>
        <v>NEW SMYRNA BEACH NCP</v>
      </c>
      <c r="B165" s="254" t="s">
        <v>133</v>
      </c>
      <c r="C165" s="284">
        <f>VLOOKUP($B163,'NCP FCST'!$A$103:$M$132,'2018 SUBSEQUENT'!C$8,FALSE)</f>
        <v>0</v>
      </c>
      <c r="D165" s="284">
        <f>VLOOKUP($B163,'NCP FCST'!$A$103:$M$132,'2018 SUBSEQUENT'!D$8,FALSE)</f>
        <v>0</v>
      </c>
      <c r="E165" s="284">
        <f>VLOOKUP($B163,'NCP FCST'!$A$103:$M$132,'2018 SUBSEQUENT'!E$8,FALSE)</f>
        <v>0</v>
      </c>
      <c r="F165" s="284">
        <f>VLOOKUP($B163,'NCP FCST'!$A$103:$M$132,'2018 SUBSEQUENT'!F$8,FALSE)</f>
        <v>0</v>
      </c>
      <c r="G165" s="284">
        <f>VLOOKUP($B163,'NCP FCST'!$A$103:$M$132,'2018 SUBSEQUENT'!G$8,FALSE)</f>
        <v>0</v>
      </c>
      <c r="H165" s="284">
        <f>VLOOKUP($B163,'NCP FCST'!$A$103:$M$132,'2018 SUBSEQUENT'!H$8,FALSE)</f>
        <v>0</v>
      </c>
      <c r="I165" s="284">
        <f>VLOOKUP($B163,'NCP FCST'!$A$103:$M$132,'2018 SUBSEQUENT'!I$8,FALSE)</f>
        <v>0</v>
      </c>
      <c r="J165" s="284">
        <f>VLOOKUP($B163,'NCP FCST'!$A$103:$M$132,'2018 SUBSEQUENT'!J$8,FALSE)</f>
        <v>0</v>
      </c>
      <c r="K165" s="284">
        <f>VLOOKUP($B163,'NCP FCST'!$A$103:$M$132,'2018 SUBSEQUENT'!K$8,FALSE)</f>
        <v>0</v>
      </c>
      <c r="L165" s="284">
        <f>VLOOKUP($B163,'NCP FCST'!$A$103:$M$132,'2018 SUBSEQUENT'!L$8,FALSE)</f>
        <v>0</v>
      </c>
      <c r="M165" s="284">
        <f>VLOOKUP($B163,'NCP FCST'!$A$103:$M$132,'2018 SUBSEQUENT'!M$8,FALSE)</f>
        <v>0</v>
      </c>
      <c r="N165" s="284">
        <f>VLOOKUP($B163,'NCP FCST'!$A$103:$M$132,'2018 SUBSEQUENT'!N$8,FALSE)</f>
        <v>0</v>
      </c>
      <c r="O165" s="284"/>
      <c r="P165" s="284">
        <f>MAX(C165:N165)</f>
        <v>0</v>
      </c>
      <c r="Q165" s="284"/>
      <c r="R165" s="282"/>
      <c r="T165" s="255">
        <f>VLOOKUP($B163,'NCP FCST'!$A$103:$O$132,15,FALSE)</f>
        <v>0</v>
      </c>
      <c r="U165" s="255">
        <f>P165-T165</f>
        <v>0</v>
      </c>
    </row>
    <row r="166" spans="1:21">
      <c r="A166" s="253" t="str">
        <f>B163&amp;" "&amp;B166</f>
        <v>NEW SMYRNA BEACH GNCP</v>
      </c>
      <c r="B166" s="254" t="s">
        <v>342</v>
      </c>
      <c r="C166" s="284">
        <f>VLOOKUP($B163,'GNCP FCST'!$A$102:$M$131,'2018 SUBSEQUENT'!C$8,FALSE)</f>
        <v>0</v>
      </c>
      <c r="D166" s="284">
        <f>VLOOKUP($B163,'GNCP FCST'!$A$102:$M$131,'2018 SUBSEQUENT'!D$8,FALSE)</f>
        <v>0</v>
      </c>
      <c r="E166" s="284">
        <f>VLOOKUP($B163,'GNCP FCST'!$A$102:$M$131,'2018 SUBSEQUENT'!E$8,FALSE)</f>
        <v>0</v>
      </c>
      <c r="F166" s="284">
        <f>VLOOKUP($B163,'GNCP FCST'!$A$102:$M$131,'2018 SUBSEQUENT'!F$8,FALSE)</f>
        <v>0</v>
      </c>
      <c r="G166" s="284">
        <f>VLOOKUP($B163,'GNCP FCST'!$A$102:$M$131,'2018 SUBSEQUENT'!G$8,FALSE)</f>
        <v>0</v>
      </c>
      <c r="H166" s="284">
        <f>VLOOKUP($B163,'GNCP FCST'!$A$102:$M$131,'2018 SUBSEQUENT'!H$8,FALSE)</f>
        <v>0</v>
      </c>
      <c r="I166" s="284">
        <f>VLOOKUP($B163,'GNCP FCST'!$A$102:$M$131,'2018 SUBSEQUENT'!I$8,FALSE)</f>
        <v>0</v>
      </c>
      <c r="J166" s="284">
        <f>VLOOKUP($B163,'GNCP FCST'!$A$102:$M$131,'2018 SUBSEQUENT'!J$8,FALSE)</f>
        <v>0</v>
      </c>
      <c r="K166" s="284">
        <f>VLOOKUP($B163,'GNCP FCST'!$A$102:$M$131,'2018 SUBSEQUENT'!K$8,FALSE)</f>
        <v>0</v>
      </c>
      <c r="L166" s="284">
        <f>VLOOKUP($B163,'GNCP FCST'!$A$102:$M$131,'2018 SUBSEQUENT'!L$8,FALSE)</f>
        <v>0</v>
      </c>
      <c r="M166" s="284">
        <f>VLOOKUP($B163,'GNCP FCST'!$A$102:$M$131,'2018 SUBSEQUENT'!M$8,FALSE)</f>
        <v>0</v>
      </c>
      <c r="N166" s="284">
        <f>VLOOKUP($B163,'GNCP FCST'!$A$102:$M$131,'2018 SUBSEQUENT'!N$8,FALSE)</f>
        <v>0</v>
      </c>
      <c r="O166" s="284"/>
      <c r="Q166" s="284">
        <f>MAX(C166:N166)</f>
        <v>0</v>
      </c>
      <c r="R166" s="282"/>
      <c r="T166" s="255">
        <f>VLOOKUP($B163,'GNCP FCST'!$A$102:$O$131,15,FALSE)</f>
        <v>0</v>
      </c>
      <c r="U166" s="255">
        <f>+Q166-T166</f>
        <v>0</v>
      </c>
    </row>
    <row r="167" spans="1:21">
      <c r="A167" s="253" t="str">
        <f>B163&amp;" "&amp;B167</f>
        <v>NEW SMYRNA BEACH CP</v>
      </c>
      <c r="B167" s="254" t="s">
        <v>148</v>
      </c>
      <c r="C167" s="284">
        <f>VLOOKUP($B163,'CP FCST'!$A$102:$M$131,'2018 SUBSEQUENT'!C$8,FALSE)</f>
        <v>0</v>
      </c>
      <c r="D167" s="284">
        <f>VLOOKUP($B163,'CP FCST'!$A$102:$M$131,'2018 SUBSEQUENT'!D$8,FALSE)</f>
        <v>0</v>
      </c>
      <c r="E167" s="284">
        <f>VLOOKUP($B163,'CP FCST'!$A$102:$M$131,'2018 SUBSEQUENT'!E$8,FALSE)</f>
        <v>0</v>
      </c>
      <c r="F167" s="284">
        <f>VLOOKUP($B163,'CP FCST'!$A$102:$M$131,'2018 SUBSEQUENT'!F$8,FALSE)</f>
        <v>0</v>
      </c>
      <c r="G167" s="284">
        <f>VLOOKUP($B163,'CP FCST'!$A$102:$M$131,'2018 SUBSEQUENT'!G$8,FALSE)</f>
        <v>0</v>
      </c>
      <c r="H167" s="284">
        <f>VLOOKUP($B163,'CP FCST'!$A$102:$M$131,'2018 SUBSEQUENT'!H$8,FALSE)</f>
        <v>0</v>
      </c>
      <c r="I167" s="284">
        <f>VLOOKUP($B163,'CP FCST'!$A$102:$M$131,'2018 SUBSEQUENT'!I$8,FALSE)</f>
        <v>0</v>
      </c>
      <c r="J167" s="284">
        <f>VLOOKUP($B163,'CP FCST'!$A$102:$M$131,'2018 SUBSEQUENT'!J$8,FALSE)</f>
        <v>0</v>
      </c>
      <c r="K167" s="284">
        <f>VLOOKUP($B163,'CP FCST'!$A$102:$M$131,'2018 SUBSEQUENT'!K$8,FALSE)</f>
        <v>0</v>
      </c>
      <c r="L167" s="284">
        <f>VLOOKUP($B163,'CP FCST'!$A$102:$M$131,'2018 SUBSEQUENT'!L$8,FALSE)</f>
        <v>0</v>
      </c>
      <c r="M167" s="284">
        <f>VLOOKUP($B163,'CP FCST'!$A$102:$M$131,'2018 SUBSEQUENT'!M$8,FALSE)</f>
        <v>0</v>
      </c>
      <c r="N167" s="284">
        <f>VLOOKUP($B163,'CP FCST'!$A$102:$M$131,'2018 SUBSEQUENT'!N$8,FALSE)</f>
        <v>0</v>
      </c>
      <c r="O167" s="284"/>
      <c r="P167" s="284"/>
      <c r="Q167" s="284"/>
      <c r="R167" s="255">
        <f>AVERAGE(C167:N167)</f>
        <v>0</v>
      </c>
      <c r="T167" s="255">
        <f>VLOOKUP($B163,'CP FCST'!$A$102:$O$131,15,FALSE)</f>
        <v>0</v>
      </c>
      <c r="U167" s="255">
        <f>R167-T167</f>
        <v>0</v>
      </c>
    </row>
    <row r="168" spans="1:21">
      <c r="B168" s="254" t="s">
        <v>570</v>
      </c>
      <c r="C168" s="285" t="str">
        <f t="shared" ref="C168:N168" si="21">IF(C167&gt;C166,"ERROR",IF(C166&gt;C165,"ERROR","OK"))</f>
        <v>OK</v>
      </c>
      <c r="D168" s="285" t="str">
        <f t="shared" si="21"/>
        <v>OK</v>
      </c>
      <c r="E168" s="285" t="str">
        <f t="shared" si="21"/>
        <v>OK</v>
      </c>
      <c r="F168" s="285" t="str">
        <f t="shared" si="21"/>
        <v>OK</v>
      </c>
      <c r="G168" s="285" t="str">
        <f t="shared" si="21"/>
        <v>OK</v>
      </c>
      <c r="H168" s="285" t="str">
        <f t="shared" si="21"/>
        <v>OK</v>
      </c>
      <c r="I168" s="285" t="str">
        <f t="shared" si="21"/>
        <v>OK</v>
      </c>
      <c r="J168" s="285" t="str">
        <f t="shared" si="21"/>
        <v>OK</v>
      </c>
      <c r="K168" s="285" t="str">
        <f t="shared" si="21"/>
        <v>OK</v>
      </c>
      <c r="L168" s="285" t="str">
        <f t="shared" si="21"/>
        <v>OK</v>
      </c>
      <c r="M168" s="285" t="str">
        <f t="shared" si="21"/>
        <v>OK</v>
      </c>
      <c r="N168" s="285" t="str">
        <f t="shared" si="21"/>
        <v>OK</v>
      </c>
      <c r="O168" s="284"/>
      <c r="P168" s="284"/>
      <c r="Q168" s="284"/>
      <c r="R168" s="255"/>
    </row>
    <row r="169" spans="1:21">
      <c r="B169" s="254"/>
      <c r="C169" s="285"/>
      <c r="D169" s="285"/>
      <c r="E169" s="285"/>
      <c r="F169" s="285"/>
      <c r="G169" s="285"/>
      <c r="H169" s="285"/>
      <c r="I169" s="285"/>
      <c r="J169" s="285"/>
      <c r="K169" s="285"/>
      <c r="L169" s="285"/>
      <c r="M169" s="285"/>
      <c r="N169" s="285"/>
      <c r="O169" s="284"/>
      <c r="P169" s="284"/>
      <c r="Q169" s="284"/>
      <c r="R169" s="255"/>
    </row>
    <row r="170" spans="1:21">
      <c r="A170" s="260"/>
      <c r="B170" s="252" t="s">
        <v>1193</v>
      </c>
      <c r="O170" s="284"/>
      <c r="P170" s="284"/>
      <c r="Q170" s="284"/>
      <c r="R170" s="282"/>
      <c r="S170" s="260"/>
      <c r="T170" s="261"/>
      <c r="U170" s="261"/>
    </row>
    <row r="171" spans="1:21">
      <c r="A171" s="253" t="str">
        <f>B170&amp;" "&amp;B171</f>
        <v>QUINCY KWH Sales</v>
      </c>
      <c r="B171" s="254" t="s">
        <v>563</v>
      </c>
      <c r="C171" s="284">
        <f>VLOOKUP($B170,'KWH FCST'!$A$104:$M$133,'2018 SUBSEQUENT'!C$8,FALSE)</f>
        <v>0</v>
      </c>
      <c r="D171" s="284">
        <f>VLOOKUP($B170,'KWH FCST'!$A$104:$M$133,'2018 SUBSEQUENT'!D$8,FALSE)</f>
        <v>76000</v>
      </c>
      <c r="E171" s="284">
        <f>VLOOKUP($B170,'KWH FCST'!$A$104:$M$133,'2018 SUBSEQUENT'!E$8,FALSE)</f>
        <v>0</v>
      </c>
      <c r="F171" s="284">
        <f>VLOOKUP($B170,'KWH FCST'!$A$104:$M$133,'2018 SUBSEQUENT'!F$8,FALSE)</f>
        <v>0</v>
      </c>
      <c r="G171" s="284">
        <f>VLOOKUP($B170,'KWH FCST'!$A$104:$M$133,'2018 SUBSEQUENT'!G$8,FALSE)</f>
        <v>0</v>
      </c>
      <c r="H171" s="284">
        <f>VLOOKUP($B170,'KWH FCST'!$A$104:$M$133,'2018 SUBSEQUENT'!H$8,FALSE)</f>
        <v>0</v>
      </c>
      <c r="I171" s="284">
        <f>VLOOKUP($B170,'KWH FCST'!$A$104:$M$133,'2018 SUBSEQUENT'!I$8,FALSE)</f>
        <v>0</v>
      </c>
      <c r="J171" s="284">
        <f>VLOOKUP($B170,'KWH FCST'!$A$104:$M$133,'2018 SUBSEQUENT'!J$8,FALSE)</f>
        <v>0</v>
      </c>
      <c r="K171" s="284">
        <f>VLOOKUP($B170,'KWH FCST'!$A$104:$M$133,'2018 SUBSEQUENT'!K$8,FALSE)</f>
        <v>76000</v>
      </c>
      <c r="L171" s="284">
        <f>VLOOKUP($B170,'KWH FCST'!$A$104:$M$133,'2018 SUBSEQUENT'!L$8,FALSE)</f>
        <v>0</v>
      </c>
      <c r="M171" s="284">
        <f>VLOOKUP($B170,'KWH FCST'!$A$104:$M$133,'2018 SUBSEQUENT'!M$8,FALSE)</f>
        <v>0</v>
      </c>
      <c r="N171" s="284">
        <f>VLOOKUP($B170,'KWH FCST'!$A$104:$M$133,'2018 SUBSEQUENT'!N$8,FALSE)</f>
        <v>0</v>
      </c>
      <c r="O171" s="284">
        <f>SUM(C171:N171)</f>
        <v>152000</v>
      </c>
      <c r="P171" s="284"/>
      <c r="Q171" s="284"/>
      <c r="R171" s="282"/>
      <c r="T171" s="296">
        <f>VLOOKUP($B170,'KWH FCST'!$A$104:$O$133,14,FALSE)</f>
        <v>152000</v>
      </c>
      <c r="U171" s="255">
        <f>+O171-T171</f>
        <v>0</v>
      </c>
    </row>
    <row r="172" spans="1:21">
      <c r="A172" s="253" t="str">
        <f>B170&amp;" "&amp;B172</f>
        <v>QUINCY NCP</v>
      </c>
      <c r="B172" s="254" t="s">
        <v>133</v>
      </c>
      <c r="C172" s="284">
        <f>VLOOKUP($B170,'NCP FCST'!$A$103:$M$132,'2018 SUBSEQUENT'!C$8,FALSE)</f>
        <v>19000</v>
      </c>
      <c r="D172" s="284">
        <f>VLOOKUP($B170,'NCP FCST'!$A$103:$M$132,'2018 SUBSEQUENT'!D$8,FALSE)</f>
        <v>0</v>
      </c>
      <c r="E172" s="284">
        <f>VLOOKUP($B170,'NCP FCST'!$A$103:$M$132,'2018 SUBSEQUENT'!E$8,FALSE)</f>
        <v>0</v>
      </c>
      <c r="F172" s="284">
        <f>VLOOKUP($B170,'NCP FCST'!$A$103:$M$132,'2018 SUBSEQUENT'!F$8,FALSE)</f>
        <v>0</v>
      </c>
      <c r="G172" s="284">
        <f>VLOOKUP($B170,'NCP FCST'!$A$103:$M$132,'2018 SUBSEQUENT'!G$8,FALSE)</f>
        <v>0</v>
      </c>
      <c r="H172" s="284">
        <f>VLOOKUP($B170,'NCP FCST'!$A$103:$M$132,'2018 SUBSEQUENT'!H$8,FALSE)</f>
        <v>0</v>
      </c>
      <c r="I172" s="284">
        <f>VLOOKUP($B170,'NCP FCST'!$A$103:$M$132,'2018 SUBSEQUENT'!I$8,FALSE)</f>
        <v>0</v>
      </c>
      <c r="J172" s="284">
        <f>VLOOKUP($B170,'NCP FCST'!$A$103:$M$132,'2018 SUBSEQUENT'!J$8,FALSE)</f>
        <v>19000</v>
      </c>
      <c r="K172" s="284">
        <f>VLOOKUP($B170,'NCP FCST'!$A$103:$M$132,'2018 SUBSEQUENT'!K$8,FALSE)</f>
        <v>0</v>
      </c>
      <c r="L172" s="284">
        <f>VLOOKUP($B170,'NCP FCST'!$A$103:$M$132,'2018 SUBSEQUENT'!L$8,FALSE)</f>
        <v>0</v>
      </c>
      <c r="M172" s="284">
        <f>VLOOKUP($B170,'NCP FCST'!$A$103:$M$132,'2018 SUBSEQUENT'!M$8,FALSE)</f>
        <v>0</v>
      </c>
      <c r="N172" s="284">
        <f>VLOOKUP($B170,'NCP FCST'!$A$103:$M$132,'2018 SUBSEQUENT'!N$8,FALSE)</f>
        <v>0</v>
      </c>
      <c r="O172" s="284"/>
      <c r="P172" s="284">
        <f>MAX(C172:N172)</f>
        <v>19000</v>
      </c>
      <c r="Q172" s="284"/>
      <c r="R172" s="282"/>
      <c r="T172" s="255">
        <f>VLOOKUP($B170,'NCP FCST'!$A$103:$O$132,15,FALSE)</f>
        <v>19000</v>
      </c>
      <c r="U172" s="255">
        <f>P172-T172</f>
        <v>0</v>
      </c>
    </row>
    <row r="173" spans="1:21">
      <c r="A173" s="253" t="str">
        <f>B170&amp;" "&amp;B173</f>
        <v>QUINCY GNCP</v>
      </c>
      <c r="B173" s="254" t="s">
        <v>342</v>
      </c>
      <c r="C173" s="284">
        <f>VLOOKUP($B170,'GNCP FCST'!$A$102:$M$131,'2018 SUBSEQUENT'!C$8,FALSE)</f>
        <v>19000</v>
      </c>
      <c r="D173" s="284">
        <f>VLOOKUP($B170,'GNCP FCST'!$A$102:$M$131,'2018 SUBSEQUENT'!D$8,FALSE)</f>
        <v>0</v>
      </c>
      <c r="E173" s="284">
        <f>VLOOKUP($B170,'GNCP FCST'!$A$102:$M$131,'2018 SUBSEQUENT'!E$8,FALSE)</f>
        <v>0</v>
      </c>
      <c r="F173" s="284">
        <f>VLOOKUP($B170,'GNCP FCST'!$A$102:$M$131,'2018 SUBSEQUENT'!F$8,FALSE)</f>
        <v>0</v>
      </c>
      <c r="G173" s="284">
        <f>VLOOKUP($B170,'GNCP FCST'!$A$102:$M$131,'2018 SUBSEQUENT'!G$8,FALSE)</f>
        <v>0</v>
      </c>
      <c r="H173" s="284">
        <f>VLOOKUP($B170,'GNCP FCST'!$A$102:$M$131,'2018 SUBSEQUENT'!H$8,FALSE)</f>
        <v>0</v>
      </c>
      <c r="I173" s="284">
        <f>VLOOKUP($B170,'GNCP FCST'!$A$102:$M$131,'2018 SUBSEQUENT'!I$8,FALSE)</f>
        <v>0</v>
      </c>
      <c r="J173" s="284">
        <f>VLOOKUP($B170,'GNCP FCST'!$A$102:$M$131,'2018 SUBSEQUENT'!J$8,FALSE)</f>
        <v>19000</v>
      </c>
      <c r="K173" s="284">
        <f>VLOOKUP($B170,'GNCP FCST'!$A$102:$M$131,'2018 SUBSEQUENT'!K$8,FALSE)</f>
        <v>0</v>
      </c>
      <c r="L173" s="284">
        <f>VLOOKUP($B170,'GNCP FCST'!$A$102:$M$131,'2018 SUBSEQUENT'!L$8,FALSE)</f>
        <v>0</v>
      </c>
      <c r="M173" s="284">
        <f>VLOOKUP($B170,'GNCP FCST'!$A$102:$M$131,'2018 SUBSEQUENT'!M$8,FALSE)</f>
        <v>0</v>
      </c>
      <c r="N173" s="284">
        <f>VLOOKUP($B170,'GNCP FCST'!$A$102:$M$131,'2018 SUBSEQUENT'!N$8,FALSE)</f>
        <v>0</v>
      </c>
      <c r="O173" s="284"/>
      <c r="Q173" s="284">
        <f>MAX(C173:N173)</f>
        <v>19000</v>
      </c>
      <c r="R173" s="282"/>
      <c r="T173" s="255">
        <f>VLOOKUP($B170,'GNCP FCST'!$A$102:$O$131,15,FALSE)</f>
        <v>19000</v>
      </c>
      <c r="U173" s="255">
        <f>+Q173-T173</f>
        <v>0</v>
      </c>
    </row>
    <row r="174" spans="1:21">
      <c r="A174" s="253" t="str">
        <f>B170&amp;" "&amp;B174</f>
        <v>QUINCY CP</v>
      </c>
      <c r="B174" s="254" t="s">
        <v>148</v>
      </c>
      <c r="C174" s="284">
        <f>VLOOKUP($B170,'CP FCST'!$A$102:$M$131,'2018 SUBSEQUENT'!C$8,FALSE)</f>
        <v>18592.519321830656</v>
      </c>
      <c r="D174" s="284">
        <f>VLOOKUP($B170,'CP FCST'!$A$102:$M$131,'2018 SUBSEQUENT'!D$8,FALSE)</f>
        <v>0</v>
      </c>
      <c r="E174" s="284">
        <f>VLOOKUP($B170,'CP FCST'!$A$102:$M$131,'2018 SUBSEQUENT'!E$8,FALSE)</f>
        <v>0</v>
      </c>
      <c r="F174" s="284">
        <f>VLOOKUP($B170,'CP FCST'!$A$102:$M$131,'2018 SUBSEQUENT'!F$8,FALSE)</f>
        <v>0</v>
      </c>
      <c r="G174" s="284">
        <f>VLOOKUP($B170,'CP FCST'!$A$102:$M$131,'2018 SUBSEQUENT'!G$8,FALSE)</f>
        <v>0</v>
      </c>
      <c r="H174" s="284">
        <f>VLOOKUP($B170,'CP FCST'!$A$102:$M$131,'2018 SUBSEQUENT'!H$8,FALSE)</f>
        <v>0</v>
      </c>
      <c r="I174" s="284">
        <f>VLOOKUP($B170,'CP FCST'!$A$102:$M$131,'2018 SUBSEQUENT'!I$8,FALSE)</f>
        <v>0</v>
      </c>
      <c r="J174" s="284">
        <f>VLOOKUP($B170,'CP FCST'!$A$102:$M$131,'2018 SUBSEQUENT'!J$8,FALSE)</f>
        <v>18592.519321830656</v>
      </c>
      <c r="K174" s="284">
        <f>VLOOKUP($B170,'CP FCST'!$A$102:$M$131,'2018 SUBSEQUENT'!K$8,FALSE)</f>
        <v>0</v>
      </c>
      <c r="L174" s="284">
        <f>VLOOKUP($B170,'CP FCST'!$A$102:$M$131,'2018 SUBSEQUENT'!L$8,FALSE)</f>
        <v>0</v>
      </c>
      <c r="M174" s="284">
        <f>VLOOKUP($B170,'CP FCST'!$A$102:$M$131,'2018 SUBSEQUENT'!M$8,FALSE)</f>
        <v>0</v>
      </c>
      <c r="N174" s="284">
        <f>VLOOKUP($B170,'CP FCST'!$A$102:$M$131,'2018 SUBSEQUENT'!N$8,FALSE)</f>
        <v>0</v>
      </c>
      <c r="O174" s="284"/>
      <c r="P174" s="284"/>
      <c r="Q174" s="284"/>
      <c r="R174" s="255">
        <f>AVERAGE(C174:N174)</f>
        <v>3098.7532203051092</v>
      </c>
      <c r="T174" s="255">
        <f>VLOOKUP($B170,'CP FCST'!$A$102:$O$131,15,FALSE)</f>
        <v>3098.7532203051092</v>
      </c>
      <c r="U174" s="255">
        <f>R174-T174</f>
        <v>0</v>
      </c>
    </row>
    <row r="175" spans="1:21">
      <c r="B175" s="254" t="s">
        <v>570</v>
      </c>
      <c r="C175" s="285" t="str">
        <f t="shared" ref="C175:N175" si="22">IF(C174&gt;C173,"ERROR",IF(C173&gt;C172,"ERROR","OK"))</f>
        <v>OK</v>
      </c>
      <c r="D175" s="285" t="str">
        <f t="shared" si="22"/>
        <v>OK</v>
      </c>
      <c r="E175" s="285" t="str">
        <f t="shared" si="22"/>
        <v>OK</v>
      </c>
      <c r="F175" s="285" t="str">
        <f t="shared" si="22"/>
        <v>OK</v>
      </c>
      <c r="G175" s="285" t="str">
        <f t="shared" si="22"/>
        <v>OK</v>
      </c>
      <c r="H175" s="285" t="str">
        <f t="shared" si="22"/>
        <v>OK</v>
      </c>
      <c r="I175" s="285" t="str">
        <f t="shared" si="22"/>
        <v>OK</v>
      </c>
      <c r="J175" s="285" t="str">
        <f t="shared" si="22"/>
        <v>OK</v>
      </c>
      <c r="K175" s="285" t="str">
        <f t="shared" si="22"/>
        <v>OK</v>
      </c>
      <c r="L175" s="285" t="str">
        <f t="shared" si="22"/>
        <v>OK</v>
      </c>
      <c r="M175" s="285" t="str">
        <f t="shared" si="22"/>
        <v>OK</v>
      </c>
      <c r="N175" s="285" t="str">
        <f t="shared" si="22"/>
        <v>OK</v>
      </c>
      <c r="O175" s="284"/>
      <c r="P175" s="284"/>
      <c r="Q175" s="284"/>
      <c r="R175" s="255"/>
    </row>
    <row r="176" spans="1:21">
      <c r="B176" s="254"/>
      <c r="C176" s="285"/>
      <c r="D176" s="285"/>
      <c r="E176" s="285"/>
      <c r="F176" s="285"/>
      <c r="G176" s="285"/>
      <c r="H176" s="285"/>
      <c r="I176" s="285"/>
      <c r="J176" s="285"/>
      <c r="K176" s="285"/>
      <c r="L176" s="285"/>
      <c r="M176" s="285"/>
      <c r="N176" s="285"/>
      <c r="O176" s="284"/>
      <c r="P176" s="284"/>
      <c r="Q176" s="284"/>
      <c r="R176" s="255"/>
    </row>
    <row r="177" spans="1:21" s="260" customFormat="1">
      <c r="B177" s="252" t="s">
        <v>1060</v>
      </c>
      <c r="C177" s="255"/>
      <c r="D177" s="255"/>
      <c r="E177" s="255"/>
      <c r="F177" s="255"/>
      <c r="G177" s="255"/>
      <c r="H177" s="255"/>
      <c r="I177" s="255"/>
      <c r="J177" s="255"/>
      <c r="K177" s="255"/>
      <c r="L177" s="255"/>
      <c r="M177" s="255"/>
      <c r="N177" s="255"/>
      <c r="O177" s="284"/>
      <c r="P177" s="284"/>
      <c r="Q177" s="284"/>
      <c r="R177" s="282"/>
      <c r="T177" s="261"/>
      <c r="U177" s="261"/>
    </row>
    <row r="178" spans="1:21" s="260" customFormat="1">
      <c r="A178" s="253" t="str">
        <f>B177&amp;" "&amp;B178</f>
        <v>SEMINOLE AGREEMENT KWH Sales</v>
      </c>
      <c r="B178" s="254" t="s">
        <v>563</v>
      </c>
      <c r="C178" s="284">
        <f>VLOOKUP($B177,'KWH FCST'!$A$104:$M$133,'2018 SUBSEQUENT'!C$8,FALSE)</f>
        <v>13575000</v>
      </c>
      <c r="D178" s="284">
        <f>VLOOKUP($B177,'KWH FCST'!$A$104:$M$133,'2018 SUBSEQUENT'!D$8,FALSE)</f>
        <v>73250000</v>
      </c>
      <c r="E178" s="284">
        <f>VLOOKUP($B177,'KWH FCST'!$A$104:$M$133,'2018 SUBSEQUENT'!E$8,FALSE)</f>
        <v>85800000</v>
      </c>
      <c r="F178" s="284">
        <f>VLOOKUP($B177,'KWH FCST'!$A$104:$M$133,'2018 SUBSEQUENT'!F$8,FALSE)</f>
        <v>111860000</v>
      </c>
      <c r="G178" s="284">
        <f>VLOOKUP($B177,'KWH FCST'!$A$104:$M$133,'2018 SUBSEQUENT'!G$8,FALSE)</f>
        <v>125830000</v>
      </c>
      <c r="H178" s="284">
        <f>VLOOKUP($B177,'KWH FCST'!$A$104:$M$133,'2018 SUBSEQUENT'!H$8,FALSE)</f>
        <v>113525000</v>
      </c>
      <c r="I178" s="284">
        <f>VLOOKUP($B177,'KWH FCST'!$A$104:$M$133,'2018 SUBSEQUENT'!I$8,FALSE)</f>
        <v>115975000</v>
      </c>
      <c r="J178" s="284">
        <f>VLOOKUP($B177,'KWH FCST'!$A$104:$M$133,'2018 SUBSEQUENT'!J$8,FALSE)</f>
        <v>144250000</v>
      </c>
      <c r="K178" s="284">
        <f>VLOOKUP($B177,'KWH FCST'!$A$104:$M$133,'2018 SUBSEQUENT'!K$8,FALSE)</f>
        <v>96050000</v>
      </c>
      <c r="L178" s="284">
        <f>VLOOKUP($B177,'KWH FCST'!$A$104:$M$133,'2018 SUBSEQUENT'!L$8,FALSE)</f>
        <v>91130000</v>
      </c>
      <c r="M178" s="284">
        <f>VLOOKUP($B177,'KWH FCST'!$A$104:$M$133,'2018 SUBSEQUENT'!M$8,FALSE)</f>
        <v>87075000</v>
      </c>
      <c r="N178" s="284">
        <f>VLOOKUP($B177,'KWH FCST'!$A$104:$M$133,'2018 SUBSEQUENT'!N$8,FALSE)</f>
        <v>44020000</v>
      </c>
      <c r="O178" s="284">
        <f>SUM(C178:N178)</f>
        <v>1102340000</v>
      </c>
      <c r="P178" s="284"/>
      <c r="Q178" s="284"/>
      <c r="R178" s="282"/>
      <c r="S178" s="253"/>
      <c r="T178" s="296">
        <f>VLOOKUP($B177,'KWH FCST'!$A$104:$O$133,14,FALSE)</f>
        <v>1102340000</v>
      </c>
      <c r="U178" s="255">
        <f>+O178-T178</f>
        <v>0</v>
      </c>
    </row>
    <row r="179" spans="1:21" s="260" customFormat="1">
      <c r="A179" s="253" t="str">
        <f>B177&amp;" "&amp;B179</f>
        <v>SEMINOLE AGREEMENT NCP</v>
      </c>
      <c r="B179" s="254" t="s">
        <v>133</v>
      </c>
      <c r="C179" s="284">
        <f>VLOOKUP($B177,'NCP FCST'!$A$103:$M$132,'2018 SUBSEQUENT'!C$8,FALSE)</f>
        <v>200000</v>
      </c>
      <c r="D179" s="284">
        <f>VLOOKUP($B177,'NCP FCST'!$A$103:$M$132,'2018 SUBSEQUENT'!D$8,FALSE)</f>
        <v>200000</v>
      </c>
      <c r="E179" s="284">
        <f>VLOOKUP($B177,'NCP FCST'!$A$103:$M$132,'2018 SUBSEQUENT'!E$8,FALSE)</f>
        <v>200000</v>
      </c>
      <c r="F179" s="284">
        <f>VLOOKUP($B177,'NCP FCST'!$A$103:$M$132,'2018 SUBSEQUENT'!F$8,FALSE)</f>
        <v>200000</v>
      </c>
      <c r="G179" s="284">
        <f>VLOOKUP($B177,'NCP FCST'!$A$103:$M$132,'2018 SUBSEQUENT'!G$8,FALSE)</f>
        <v>200000</v>
      </c>
      <c r="H179" s="284">
        <f>VLOOKUP($B177,'NCP FCST'!$A$103:$M$132,'2018 SUBSEQUENT'!H$8,FALSE)</f>
        <v>200000</v>
      </c>
      <c r="I179" s="284">
        <f>VLOOKUP($B177,'NCP FCST'!$A$103:$M$132,'2018 SUBSEQUENT'!I$8,FALSE)</f>
        <v>200000</v>
      </c>
      <c r="J179" s="284">
        <f>VLOOKUP($B177,'NCP FCST'!$A$103:$M$132,'2018 SUBSEQUENT'!J$8,FALSE)</f>
        <v>200000</v>
      </c>
      <c r="K179" s="284">
        <f>VLOOKUP($B177,'NCP FCST'!$A$103:$M$132,'2018 SUBSEQUENT'!K$8,FALSE)</f>
        <v>200000</v>
      </c>
      <c r="L179" s="284">
        <f>VLOOKUP($B177,'NCP FCST'!$A$103:$M$132,'2018 SUBSEQUENT'!L$8,FALSE)</f>
        <v>200000</v>
      </c>
      <c r="M179" s="284">
        <f>VLOOKUP($B177,'NCP FCST'!$A$103:$M$132,'2018 SUBSEQUENT'!M$8,FALSE)</f>
        <v>200000</v>
      </c>
      <c r="N179" s="284">
        <f>VLOOKUP($B177,'NCP FCST'!$A$103:$M$132,'2018 SUBSEQUENT'!N$8,FALSE)</f>
        <v>200000</v>
      </c>
      <c r="O179" s="284"/>
      <c r="P179" s="284">
        <f>MAX(C179:N179)</f>
        <v>200000</v>
      </c>
      <c r="Q179" s="284"/>
      <c r="R179" s="282"/>
      <c r="S179" s="253"/>
      <c r="T179" s="255">
        <f>VLOOKUP($B177,'NCP FCST'!$A$103:$O$132,15,FALSE)</f>
        <v>200000</v>
      </c>
      <c r="U179" s="255">
        <f>P179-T179</f>
        <v>0</v>
      </c>
    </row>
    <row r="180" spans="1:21" s="260" customFormat="1">
      <c r="A180" s="253" t="str">
        <f>B177&amp;" "&amp;B180</f>
        <v>SEMINOLE AGREEMENT GNCP</v>
      </c>
      <c r="B180" s="254" t="s">
        <v>342</v>
      </c>
      <c r="C180" s="284">
        <f>VLOOKUP($B177,'GNCP FCST'!$A$102:$M$131,'2018 SUBSEQUENT'!C$8,FALSE)</f>
        <v>200000</v>
      </c>
      <c r="D180" s="284">
        <f>VLOOKUP($B177,'GNCP FCST'!$A$102:$M$131,'2018 SUBSEQUENT'!D$8,FALSE)</f>
        <v>200000</v>
      </c>
      <c r="E180" s="284">
        <f>VLOOKUP($B177,'GNCP FCST'!$A$102:$M$131,'2018 SUBSEQUENT'!E$8,FALSE)</f>
        <v>200000</v>
      </c>
      <c r="F180" s="284">
        <f>VLOOKUP($B177,'GNCP FCST'!$A$102:$M$131,'2018 SUBSEQUENT'!F$8,FALSE)</f>
        <v>200000</v>
      </c>
      <c r="G180" s="284">
        <f>VLOOKUP($B177,'GNCP FCST'!$A$102:$M$131,'2018 SUBSEQUENT'!G$8,FALSE)</f>
        <v>200000</v>
      </c>
      <c r="H180" s="284">
        <f>VLOOKUP($B177,'GNCP FCST'!$A$102:$M$131,'2018 SUBSEQUENT'!H$8,FALSE)</f>
        <v>200000</v>
      </c>
      <c r="I180" s="284">
        <f>VLOOKUP($B177,'GNCP FCST'!$A$102:$M$131,'2018 SUBSEQUENT'!I$8,FALSE)</f>
        <v>200000</v>
      </c>
      <c r="J180" s="284">
        <f>VLOOKUP($B177,'GNCP FCST'!$A$102:$M$131,'2018 SUBSEQUENT'!J$8,FALSE)</f>
        <v>200000</v>
      </c>
      <c r="K180" s="284">
        <f>VLOOKUP($B177,'GNCP FCST'!$A$102:$M$131,'2018 SUBSEQUENT'!K$8,FALSE)</f>
        <v>200000</v>
      </c>
      <c r="L180" s="284">
        <f>VLOOKUP($B177,'GNCP FCST'!$A$102:$M$131,'2018 SUBSEQUENT'!L$8,FALSE)</f>
        <v>200000</v>
      </c>
      <c r="M180" s="284">
        <f>VLOOKUP($B177,'GNCP FCST'!$A$102:$M$131,'2018 SUBSEQUENT'!M$8,FALSE)</f>
        <v>200000</v>
      </c>
      <c r="N180" s="284">
        <f>VLOOKUP($B177,'GNCP FCST'!$A$102:$M$131,'2018 SUBSEQUENT'!N$8,FALSE)</f>
        <v>200000</v>
      </c>
      <c r="O180" s="284"/>
      <c r="P180" s="255"/>
      <c r="Q180" s="284">
        <f>MAX(C180:N180)</f>
        <v>200000</v>
      </c>
      <c r="R180" s="282"/>
      <c r="S180" s="253"/>
      <c r="T180" s="255">
        <f>VLOOKUP($B177,'GNCP FCST'!$A$102:$O$131,15,FALSE)</f>
        <v>200000</v>
      </c>
      <c r="U180" s="255">
        <f>+Q180-T180</f>
        <v>0</v>
      </c>
    </row>
    <row r="181" spans="1:21" s="260" customFormat="1">
      <c r="A181" s="253" t="str">
        <f>B177&amp;" "&amp;B181</f>
        <v>SEMINOLE AGREEMENT CP</v>
      </c>
      <c r="B181" s="254" t="s">
        <v>148</v>
      </c>
      <c r="C181" s="284">
        <f>VLOOKUP($B177,'CP FCST'!$A$102:$M$131,'2018 SUBSEQUENT'!C$8,FALSE)</f>
        <v>195710.72970348061</v>
      </c>
      <c r="D181" s="284">
        <f>VLOOKUP($B177,'CP FCST'!$A$102:$M$131,'2018 SUBSEQUENT'!D$8,FALSE)</f>
        <v>195710.72970348058</v>
      </c>
      <c r="E181" s="284">
        <f>VLOOKUP($B177,'CP FCST'!$A$102:$M$131,'2018 SUBSEQUENT'!E$8,FALSE)</f>
        <v>195710.72970348052</v>
      </c>
      <c r="F181" s="284">
        <f>VLOOKUP($B177,'CP FCST'!$A$102:$M$131,'2018 SUBSEQUENT'!F$8,FALSE)</f>
        <v>195710.72970348055</v>
      </c>
      <c r="G181" s="284">
        <f>VLOOKUP($B177,'CP FCST'!$A$102:$M$131,'2018 SUBSEQUENT'!G$8,FALSE)</f>
        <v>195710.72970348052</v>
      </c>
      <c r="H181" s="284">
        <f>VLOOKUP($B177,'CP FCST'!$A$102:$M$131,'2018 SUBSEQUENT'!H$8,FALSE)</f>
        <v>195710.72970348058</v>
      </c>
      <c r="I181" s="284">
        <f>VLOOKUP($B177,'CP FCST'!$A$102:$M$131,'2018 SUBSEQUENT'!I$8,FALSE)</f>
        <v>195710.72970348061</v>
      </c>
      <c r="J181" s="284">
        <f>VLOOKUP($B177,'CP FCST'!$A$102:$M$131,'2018 SUBSEQUENT'!J$8,FALSE)</f>
        <v>195710.72970348058</v>
      </c>
      <c r="K181" s="284">
        <f>VLOOKUP($B177,'CP FCST'!$A$102:$M$131,'2018 SUBSEQUENT'!K$8,FALSE)</f>
        <v>195710.72970348052</v>
      </c>
      <c r="L181" s="284">
        <f>VLOOKUP($B177,'CP FCST'!$A$102:$M$131,'2018 SUBSEQUENT'!L$8,FALSE)</f>
        <v>195710.72970348055</v>
      </c>
      <c r="M181" s="284">
        <f>VLOOKUP($B177,'CP FCST'!$A$102:$M$131,'2018 SUBSEQUENT'!M$8,FALSE)</f>
        <v>195710.72970348055</v>
      </c>
      <c r="N181" s="284">
        <f>VLOOKUP($B177,'CP FCST'!$A$102:$M$131,'2018 SUBSEQUENT'!N$8,FALSE)</f>
        <v>195710.72970348055</v>
      </c>
      <c r="O181" s="284"/>
      <c r="P181" s="284"/>
      <c r="Q181" s="284"/>
      <c r="R181" s="255">
        <f>AVERAGE(C181:N181)</f>
        <v>195710.72970348052</v>
      </c>
      <c r="S181" s="253"/>
      <c r="T181" s="255">
        <f>VLOOKUP($B177,'CP FCST'!$A$102:$O$131,15,FALSE)</f>
        <v>195710.72970348052</v>
      </c>
      <c r="U181" s="255">
        <f>R181-T181</f>
        <v>0</v>
      </c>
    </row>
    <row r="182" spans="1:21" s="260" customFormat="1">
      <c r="B182" s="254" t="s">
        <v>570</v>
      </c>
      <c r="C182" s="285" t="str">
        <f t="shared" ref="C182:N182" si="23">IF(C181&gt;C180,"ERROR",IF(C180&gt;C179,"ERROR","OK"))</f>
        <v>OK</v>
      </c>
      <c r="D182" s="285" t="str">
        <f t="shared" si="23"/>
        <v>OK</v>
      </c>
      <c r="E182" s="285" t="str">
        <f t="shared" si="23"/>
        <v>OK</v>
      </c>
      <c r="F182" s="285" t="str">
        <f t="shared" si="23"/>
        <v>OK</v>
      </c>
      <c r="G182" s="285" t="str">
        <f t="shared" si="23"/>
        <v>OK</v>
      </c>
      <c r="H182" s="285" t="str">
        <f t="shared" si="23"/>
        <v>OK</v>
      </c>
      <c r="I182" s="285" t="str">
        <f t="shared" si="23"/>
        <v>OK</v>
      </c>
      <c r="J182" s="285" t="str">
        <f t="shared" si="23"/>
        <v>OK</v>
      </c>
      <c r="K182" s="285" t="str">
        <f t="shared" si="23"/>
        <v>OK</v>
      </c>
      <c r="L182" s="285" t="str">
        <f t="shared" si="23"/>
        <v>OK</v>
      </c>
      <c r="M182" s="285" t="str">
        <f t="shared" si="23"/>
        <v>OK</v>
      </c>
      <c r="N182" s="285" t="str">
        <f t="shared" si="23"/>
        <v>OK</v>
      </c>
      <c r="O182" s="284"/>
      <c r="P182" s="284"/>
      <c r="Q182" s="284"/>
      <c r="R182" s="255"/>
      <c r="S182" s="253"/>
      <c r="T182" s="255"/>
      <c r="U182" s="255"/>
    </row>
    <row r="183" spans="1:21">
      <c r="B183" s="254"/>
      <c r="C183" s="284"/>
      <c r="D183" s="284"/>
      <c r="E183" s="284"/>
      <c r="F183" s="284"/>
      <c r="G183" s="284"/>
      <c r="H183" s="284"/>
      <c r="I183" s="284"/>
      <c r="J183" s="284"/>
      <c r="K183" s="284"/>
      <c r="L183" s="284"/>
      <c r="M183" s="284"/>
      <c r="N183" s="284"/>
      <c r="O183" s="284"/>
      <c r="P183" s="284"/>
      <c r="Q183" s="284"/>
      <c r="R183" s="255"/>
    </row>
    <row r="184" spans="1:21" s="263" customFormat="1">
      <c r="B184" s="252" t="s">
        <v>724</v>
      </c>
      <c r="C184" s="255"/>
      <c r="D184" s="255"/>
      <c r="E184" s="255"/>
      <c r="F184" s="255"/>
      <c r="G184" s="255"/>
      <c r="H184" s="255"/>
      <c r="I184" s="255"/>
      <c r="J184" s="255"/>
      <c r="K184" s="255"/>
      <c r="L184" s="255"/>
      <c r="M184" s="255"/>
      <c r="N184" s="255"/>
      <c r="O184" s="284"/>
      <c r="P184" s="284"/>
      <c r="Q184" s="284"/>
      <c r="R184" s="282"/>
      <c r="S184" s="260"/>
      <c r="T184" s="261"/>
      <c r="U184" s="261"/>
    </row>
    <row r="185" spans="1:21" s="263" customFormat="1">
      <c r="A185" s="253" t="str">
        <f>B184&amp;" "&amp;B185</f>
        <v>WAUCHULA KWH Sales</v>
      </c>
      <c r="B185" s="254" t="s">
        <v>563</v>
      </c>
      <c r="C185" s="284">
        <f>VLOOKUP($B184,'KWH FCST'!$A$104:$M$133,'2018 SUBSEQUENT'!C$8,FALSE)</f>
        <v>0</v>
      </c>
      <c r="D185" s="284">
        <f>VLOOKUP($B184,'KWH FCST'!$A$104:$M$133,'2018 SUBSEQUENT'!D$8,FALSE)</f>
        <v>0</v>
      </c>
      <c r="E185" s="284">
        <f>VLOOKUP($B184,'KWH FCST'!$A$104:$M$133,'2018 SUBSEQUENT'!E$8,FALSE)</f>
        <v>0</v>
      </c>
      <c r="F185" s="284">
        <f>VLOOKUP($B184,'KWH FCST'!$A$104:$M$133,'2018 SUBSEQUENT'!F$8,FALSE)</f>
        <v>0</v>
      </c>
      <c r="G185" s="284">
        <f>VLOOKUP($B184,'KWH FCST'!$A$104:$M$133,'2018 SUBSEQUENT'!G$8,FALSE)</f>
        <v>0</v>
      </c>
      <c r="H185" s="284">
        <f>VLOOKUP($B184,'KWH FCST'!$A$104:$M$133,'2018 SUBSEQUENT'!H$8,FALSE)</f>
        <v>0</v>
      </c>
      <c r="I185" s="284">
        <f>VLOOKUP($B184,'KWH FCST'!$A$104:$M$133,'2018 SUBSEQUENT'!I$8,FALSE)</f>
        <v>0</v>
      </c>
      <c r="J185" s="284">
        <f>VLOOKUP($B184,'KWH FCST'!$A$104:$M$133,'2018 SUBSEQUENT'!J$8,FALSE)</f>
        <v>0</v>
      </c>
      <c r="K185" s="284">
        <f>VLOOKUP($B184,'KWH FCST'!$A$104:$M$133,'2018 SUBSEQUENT'!K$8,FALSE)</f>
        <v>0</v>
      </c>
      <c r="L185" s="284">
        <f>VLOOKUP($B184,'KWH FCST'!$A$104:$M$133,'2018 SUBSEQUENT'!L$8,FALSE)</f>
        <v>0</v>
      </c>
      <c r="M185" s="284">
        <f>VLOOKUP($B184,'KWH FCST'!$A$104:$M$133,'2018 SUBSEQUENT'!M$8,FALSE)</f>
        <v>0</v>
      </c>
      <c r="N185" s="284">
        <f>VLOOKUP($B184,'KWH FCST'!$A$104:$M$133,'2018 SUBSEQUENT'!N$8,FALSE)</f>
        <v>0</v>
      </c>
      <c r="O185" s="284">
        <f>SUM(C185:N185)</f>
        <v>0</v>
      </c>
      <c r="P185" s="284"/>
      <c r="Q185" s="284"/>
      <c r="R185" s="282"/>
      <c r="S185" s="253"/>
      <c r="T185" s="296">
        <f>VLOOKUP($B184,'KWH FCST'!$A$104:$O$133,14,FALSE)</f>
        <v>0</v>
      </c>
      <c r="U185" s="255">
        <f>+O185-T185</f>
        <v>0</v>
      </c>
    </row>
    <row r="186" spans="1:21" s="263" customFormat="1">
      <c r="A186" s="253" t="str">
        <f>B184&amp;" "&amp;B186</f>
        <v>WAUCHULA NCP</v>
      </c>
      <c r="B186" s="254" t="s">
        <v>133</v>
      </c>
      <c r="C186" s="284">
        <f>VLOOKUP($B184,'NCP FCST'!$A$103:$M$132,'2018 SUBSEQUENT'!C$8,FALSE)</f>
        <v>0</v>
      </c>
      <c r="D186" s="284">
        <f>VLOOKUP($B184,'NCP FCST'!$A$103:$M$132,'2018 SUBSEQUENT'!D$8,FALSE)</f>
        <v>0</v>
      </c>
      <c r="E186" s="284">
        <f>VLOOKUP($B184,'NCP FCST'!$A$103:$M$132,'2018 SUBSEQUENT'!E$8,FALSE)</f>
        <v>0</v>
      </c>
      <c r="F186" s="284">
        <f>VLOOKUP($B184,'NCP FCST'!$A$103:$M$132,'2018 SUBSEQUENT'!F$8,FALSE)</f>
        <v>0</v>
      </c>
      <c r="G186" s="284">
        <f>VLOOKUP($B184,'NCP FCST'!$A$103:$M$132,'2018 SUBSEQUENT'!G$8,FALSE)</f>
        <v>0</v>
      </c>
      <c r="H186" s="284">
        <f>VLOOKUP($B184,'NCP FCST'!$A$103:$M$132,'2018 SUBSEQUENT'!H$8,FALSE)</f>
        <v>0</v>
      </c>
      <c r="I186" s="284">
        <f>VLOOKUP($B184,'NCP FCST'!$A$103:$M$132,'2018 SUBSEQUENT'!I$8,FALSE)</f>
        <v>0</v>
      </c>
      <c r="J186" s="284">
        <f>VLOOKUP($B184,'NCP FCST'!$A$103:$M$132,'2018 SUBSEQUENT'!J$8,FALSE)</f>
        <v>0</v>
      </c>
      <c r="K186" s="284">
        <f>VLOOKUP($B184,'NCP FCST'!$A$103:$M$132,'2018 SUBSEQUENT'!K$8,FALSE)</f>
        <v>0</v>
      </c>
      <c r="L186" s="284">
        <f>VLOOKUP($B184,'NCP FCST'!$A$103:$M$132,'2018 SUBSEQUENT'!L$8,FALSE)</f>
        <v>0</v>
      </c>
      <c r="M186" s="284">
        <f>VLOOKUP($B184,'NCP FCST'!$A$103:$M$132,'2018 SUBSEQUENT'!M$8,FALSE)</f>
        <v>0</v>
      </c>
      <c r="N186" s="284">
        <f>VLOOKUP($B184,'NCP FCST'!$A$103:$M$132,'2018 SUBSEQUENT'!N$8,FALSE)</f>
        <v>0</v>
      </c>
      <c r="O186" s="284"/>
      <c r="P186" s="284">
        <f>MAX(C186:N186)</f>
        <v>0</v>
      </c>
      <c r="Q186" s="284"/>
      <c r="R186" s="282"/>
      <c r="S186" s="253"/>
      <c r="T186" s="255">
        <f>VLOOKUP($B184,'NCP FCST'!$A$103:$O$132,15,FALSE)</f>
        <v>0</v>
      </c>
      <c r="U186" s="255">
        <f>P186-T186</f>
        <v>0</v>
      </c>
    </row>
    <row r="187" spans="1:21" s="263" customFormat="1">
      <c r="A187" s="253" t="str">
        <f>B184&amp;" "&amp;B187</f>
        <v>WAUCHULA GNCP</v>
      </c>
      <c r="B187" s="254" t="s">
        <v>342</v>
      </c>
      <c r="C187" s="284">
        <f>VLOOKUP($B184,'GNCP FCST'!$A$102:$M$131,'2018 SUBSEQUENT'!C$8,FALSE)</f>
        <v>0</v>
      </c>
      <c r="D187" s="284">
        <f>VLOOKUP($B184,'GNCP FCST'!$A$102:$M$131,'2018 SUBSEQUENT'!D$8,FALSE)</f>
        <v>0</v>
      </c>
      <c r="E187" s="284">
        <f>VLOOKUP($B184,'GNCP FCST'!$A$102:$M$131,'2018 SUBSEQUENT'!E$8,FALSE)</f>
        <v>0</v>
      </c>
      <c r="F187" s="284">
        <f>VLOOKUP($B184,'GNCP FCST'!$A$102:$M$131,'2018 SUBSEQUENT'!F$8,FALSE)</f>
        <v>0</v>
      </c>
      <c r="G187" s="284">
        <f>VLOOKUP($B184,'GNCP FCST'!$A$102:$M$131,'2018 SUBSEQUENT'!G$8,FALSE)</f>
        <v>0</v>
      </c>
      <c r="H187" s="284">
        <f>VLOOKUP($B184,'GNCP FCST'!$A$102:$M$131,'2018 SUBSEQUENT'!H$8,FALSE)</f>
        <v>0</v>
      </c>
      <c r="I187" s="284">
        <f>VLOOKUP($B184,'GNCP FCST'!$A$102:$M$131,'2018 SUBSEQUENT'!I$8,FALSE)</f>
        <v>0</v>
      </c>
      <c r="J187" s="284">
        <f>VLOOKUP($B184,'GNCP FCST'!$A$102:$M$131,'2018 SUBSEQUENT'!J$8,FALSE)</f>
        <v>0</v>
      </c>
      <c r="K187" s="284">
        <f>VLOOKUP($B184,'GNCP FCST'!$A$102:$M$131,'2018 SUBSEQUENT'!K$8,FALSE)</f>
        <v>0</v>
      </c>
      <c r="L187" s="284">
        <f>VLOOKUP($B184,'GNCP FCST'!$A$102:$M$131,'2018 SUBSEQUENT'!L$8,FALSE)</f>
        <v>0</v>
      </c>
      <c r="M187" s="284">
        <f>VLOOKUP($B184,'GNCP FCST'!$A$102:$M$131,'2018 SUBSEQUENT'!M$8,FALSE)</f>
        <v>0</v>
      </c>
      <c r="N187" s="284">
        <f>VLOOKUP($B184,'GNCP FCST'!$A$102:$M$131,'2018 SUBSEQUENT'!N$8,FALSE)</f>
        <v>0</v>
      </c>
      <c r="O187" s="284"/>
      <c r="P187" s="255"/>
      <c r="Q187" s="284">
        <f>MAX(C187:N187)</f>
        <v>0</v>
      </c>
      <c r="R187" s="282"/>
      <c r="S187" s="253"/>
      <c r="T187" s="255">
        <f>VLOOKUP($B184,'GNCP FCST'!$A$102:$O$131,15,FALSE)</f>
        <v>0</v>
      </c>
      <c r="U187" s="255">
        <f>+Q187-T187</f>
        <v>0</v>
      </c>
    </row>
    <row r="188" spans="1:21" s="263" customFormat="1">
      <c r="A188" s="253" t="str">
        <f>B184&amp;" "&amp;B188</f>
        <v>WAUCHULA CP</v>
      </c>
      <c r="B188" s="254" t="s">
        <v>148</v>
      </c>
      <c r="C188" s="284">
        <f>VLOOKUP($B184,'CP FCST'!$A$102:$M$131,'2018 SUBSEQUENT'!C$8,FALSE)</f>
        <v>0</v>
      </c>
      <c r="D188" s="284">
        <f>VLOOKUP($B184,'CP FCST'!$A$102:$M$131,'2018 SUBSEQUENT'!D$8,FALSE)</f>
        <v>0</v>
      </c>
      <c r="E188" s="284">
        <f>VLOOKUP($B184,'CP FCST'!$A$102:$M$131,'2018 SUBSEQUENT'!E$8,FALSE)</f>
        <v>0</v>
      </c>
      <c r="F188" s="284">
        <f>VLOOKUP($B184,'CP FCST'!$A$102:$M$131,'2018 SUBSEQUENT'!F$8,FALSE)</f>
        <v>0</v>
      </c>
      <c r="G188" s="284">
        <f>VLOOKUP($B184,'CP FCST'!$A$102:$M$131,'2018 SUBSEQUENT'!G$8,FALSE)</f>
        <v>0</v>
      </c>
      <c r="H188" s="284">
        <f>VLOOKUP($B184,'CP FCST'!$A$102:$M$131,'2018 SUBSEQUENT'!H$8,FALSE)</f>
        <v>0</v>
      </c>
      <c r="I188" s="284">
        <f>VLOOKUP($B184,'CP FCST'!$A$102:$M$131,'2018 SUBSEQUENT'!I$8,FALSE)</f>
        <v>0</v>
      </c>
      <c r="J188" s="284">
        <f>VLOOKUP($B184,'CP FCST'!$A$102:$M$131,'2018 SUBSEQUENT'!J$8,FALSE)</f>
        <v>0</v>
      </c>
      <c r="K188" s="284">
        <f>VLOOKUP($B184,'CP FCST'!$A$102:$M$131,'2018 SUBSEQUENT'!K$8,FALSE)</f>
        <v>0</v>
      </c>
      <c r="L188" s="284">
        <f>VLOOKUP($B184,'CP FCST'!$A$102:$M$131,'2018 SUBSEQUENT'!L$8,FALSE)</f>
        <v>0</v>
      </c>
      <c r="M188" s="284">
        <f>VLOOKUP($B184,'CP FCST'!$A$102:$M$131,'2018 SUBSEQUENT'!M$8,FALSE)</f>
        <v>0</v>
      </c>
      <c r="N188" s="284">
        <f>VLOOKUP($B184,'CP FCST'!$A$102:$M$131,'2018 SUBSEQUENT'!N$8,FALSE)</f>
        <v>0</v>
      </c>
      <c r="O188" s="284"/>
      <c r="P188" s="284"/>
      <c r="Q188" s="284"/>
      <c r="R188" s="255">
        <f>AVERAGE(C188:N188)</f>
        <v>0</v>
      </c>
      <c r="S188" s="253"/>
      <c r="T188" s="255">
        <f>VLOOKUP($B184,'CP FCST'!$A$102:$O$131,15,FALSE)</f>
        <v>0</v>
      </c>
      <c r="U188" s="255">
        <f>R188-T188</f>
        <v>0</v>
      </c>
    </row>
    <row r="189" spans="1:21" s="263" customFormat="1">
      <c r="B189" s="254" t="s">
        <v>570</v>
      </c>
      <c r="C189" s="285" t="str">
        <f t="shared" ref="C189:N189" si="24">IF(C188&gt;C187,"ERROR",IF(C187&gt;C186,"ERROR","OK"))</f>
        <v>OK</v>
      </c>
      <c r="D189" s="285" t="str">
        <f t="shared" si="24"/>
        <v>OK</v>
      </c>
      <c r="E189" s="285" t="str">
        <f t="shared" si="24"/>
        <v>OK</v>
      </c>
      <c r="F189" s="285" t="str">
        <f t="shared" si="24"/>
        <v>OK</v>
      </c>
      <c r="G189" s="285" t="str">
        <f t="shared" si="24"/>
        <v>OK</v>
      </c>
      <c r="H189" s="285" t="str">
        <f t="shared" si="24"/>
        <v>OK</v>
      </c>
      <c r="I189" s="285" t="str">
        <f t="shared" si="24"/>
        <v>OK</v>
      </c>
      <c r="J189" s="285" t="str">
        <f t="shared" si="24"/>
        <v>OK</v>
      </c>
      <c r="K189" s="285" t="str">
        <f t="shared" si="24"/>
        <v>OK</v>
      </c>
      <c r="L189" s="285" t="str">
        <f t="shared" si="24"/>
        <v>OK</v>
      </c>
      <c r="M189" s="285" t="str">
        <f t="shared" si="24"/>
        <v>OK</v>
      </c>
      <c r="N189" s="285" t="str">
        <f t="shared" si="24"/>
        <v>OK</v>
      </c>
      <c r="O189" s="284"/>
      <c r="P189" s="284"/>
      <c r="Q189" s="284"/>
      <c r="R189" s="255"/>
      <c r="S189" s="253"/>
      <c r="T189" s="255"/>
      <c r="U189" s="255"/>
    </row>
    <row r="190" spans="1:21" s="263" customFormat="1">
      <c r="B190" s="254"/>
      <c r="C190" s="284"/>
      <c r="D190" s="284"/>
      <c r="E190" s="284"/>
      <c r="F190" s="284"/>
      <c r="G190" s="284"/>
      <c r="H190" s="284"/>
      <c r="I190" s="284"/>
      <c r="J190" s="284"/>
      <c r="K190" s="284"/>
      <c r="L190" s="284"/>
      <c r="M190" s="284"/>
      <c r="N190" s="284"/>
      <c r="O190" s="284"/>
      <c r="P190" s="284"/>
      <c r="Q190" s="284"/>
      <c r="R190" s="255"/>
      <c r="S190" s="253"/>
      <c r="T190" s="255"/>
      <c r="U190" s="255"/>
    </row>
    <row r="191" spans="1:21" s="263" customFormat="1">
      <c r="B191" s="252" t="s">
        <v>986</v>
      </c>
      <c r="C191" s="255"/>
      <c r="D191" s="255"/>
      <c r="E191" s="255"/>
      <c r="F191" s="255"/>
      <c r="G191" s="255"/>
      <c r="H191" s="255"/>
      <c r="I191" s="255"/>
      <c r="J191" s="255"/>
      <c r="K191" s="255"/>
      <c r="L191" s="255"/>
      <c r="M191" s="255"/>
      <c r="N191" s="255"/>
      <c r="O191" s="284"/>
      <c r="P191" s="284"/>
      <c r="Q191" s="284"/>
      <c r="R191" s="282"/>
      <c r="S191" s="260"/>
      <c r="T191" s="261"/>
      <c r="U191" s="261"/>
    </row>
    <row r="192" spans="1:21" s="263" customFormat="1">
      <c r="A192" s="253" t="str">
        <f>B191&amp;" "&amp;B192</f>
        <v>WINTER PARK KWH Sales</v>
      </c>
      <c r="B192" s="254" t="s">
        <v>563</v>
      </c>
      <c r="C192" s="284">
        <f>VLOOKUP($B191,'KWH FCST'!$A$104:$M$133,'2018 SUBSEQUENT'!C$8,FALSE)</f>
        <v>0</v>
      </c>
      <c r="D192" s="284">
        <f>VLOOKUP($B191,'KWH FCST'!$A$104:$M$133,'2018 SUBSEQUENT'!D$8,FALSE)</f>
        <v>240000</v>
      </c>
      <c r="E192" s="284">
        <f>VLOOKUP($B191,'KWH FCST'!$A$104:$M$133,'2018 SUBSEQUENT'!E$8,FALSE)</f>
        <v>0</v>
      </c>
      <c r="F192" s="284">
        <f>VLOOKUP($B191,'KWH FCST'!$A$104:$M$133,'2018 SUBSEQUENT'!F$8,FALSE)</f>
        <v>0</v>
      </c>
      <c r="G192" s="284">
        <f>VLOOKUP($B191,'KWH FCST'!$A$104:$M$133,'2018 SUBSEQUENT'!G$8,FALSE)</f>
        <v>0</v>
      </c>
      <c r="H192" s="284">
        <f>VLOOKUP($B191,'KWH FCST'!$A$104:$M$133,'2018 SUBSEQUENT'!H$8,FALSE)</f>
        <v>0</v>
      </c>
      <c r="I192" s="284">
        <f>VLOOKUP($B191,'KWH FCST'!$A$104:$M$133,'2018 SUBSEQUENT'!I$8,FALSE)</f>
        <v>0</v>
      </c>
      <c r="J192" s="284">
        <f>VLOOKUP($B191,'KWH FCST'!$A$104:$M$133,'2018 SUBSEQUENT'!J$8,FALSE)</f>
        <v>0</v>
      </c>
      <c r="K192" s="284">
        <f>VLOOKUP($B191,'KWH FCST'!$A$104:$M$133,'2018 SUBSEQUENT'!K$8,FALSE)</f>
        <v>240000</v>
      </c>
      <c r="L192" s="284">
        <f>VLOOKUP($B191,'KWH FCST'!$A$104:$M$133,'2018 SUBSEQUENT'!L$8,FALSE)</f>
        <v>0</v>
      </c>
      <c r="M192" s="284">
        <f>VLOOKUP($B191,'KWH FCST'!$A$104:$M$133,'2018 SUBSEQUENT'!M$8,FALSE)</f>
        <v>0</v>
      </c>
      <c r="N192" s="284">
        <f>VLOOKUP($B191,'KWH FCST'!$A$104:$M$133,'2018 SUBSEQUENT'!N$8,FALSE)</f>
        <v>0</v>
      </c>
      <c r="O192" s="284">
        <f>SUM(C192:N192)</f>
        <v>480000</v>
      </c>
      <c r="P192" s="284"/>
      <c r="Q192" s="284"/>
      <c r="R192" s="282"/>
      <c r="S192" s="253"/>
      <c r="T192" s="296">
        <f>VLOOKUP($B191,'KWH FCST'!$A$104:$O$133,14,FALSE)</f>
        <v>480000</v>
      </c>
      <c r="U192" s="255">
        <f>+O192-T192</f>
        <v>0</v>
      </c>
    </row>
    <row r="193" spans="1:21" s="263" customFormat="1">
      <c r="A193" s="253" t="str">
        <f>B191&amp;" "&amp;B193</f>
        <v>WINTER PARK NCP</v>
      </c>
      <c r="B193" s="254" t="s">
        <v>133</v>
      </c>
      <c r="C193" s="284">
        <f>VLOOKUP($B191,'NCP FCST'!$A$103:$M$132,'2018 SUBSEQUENT'!C$8,FALSE)</f>
        <v>60000</v>
      </c>
      <c r="D193" s="284">
        <f>VLOOKUP($B191,'NCP FCST'!$A$103:$M$132,'2018 SUBSEQUENT'!D$8,FALSE)</f>
        <v>0</v>
      </c>
      <c r="E193" s="284">
        <f>VLOOKUP($B191,'NCP FCST'!$A$103:$M$132,'2018 SUBSEQUENT'!E$8,FALSE)</f>
        <v>0</v>
      </c>
      <c r="F193" s="284">
        <f>VLOOKUP($B191,'NCP FCST'!$A$103:$M$132,'2018 SUBSEQUENT'!F$8,FALSE)</f>
        <v>0</v>
      </c>
      <c r="G193" s="284">
        <f>VLOOKUP($B191,'NCP FCST'!$A$103:$M$132,'2018 SUBSEQUENT'!G$8,FALSE)</f>
        <v>0</v>
      </c>
      <c r="H193" s="284">
        <f>VLOOKUP($B191,'NCP FCST'!$A$103:$M$132,'2018 SUBSEQUENT'!H$8,FALSE)</f>
        <v>0</v>
      </c>
      <c r="I193" s="284">
        <f>VLOOKUP($B191,'NCP FCST'!$A$103:$M$132,'2018 SUBSEQUENT'!I$8,FALSE)</f>
        <v>0</v>
      </c>
      <c r="J193" s="284">
        <f>VLOOKUP($B191,'NCP FCST'!$A$103:$M$132,'2018 SUBSEQUENT'!J$8,FALSE)</f>
        <v>60000</v>
      </c>
      <c r="K193" s="284">
        <f>VLOOKUP($B191,'NCP FCST'!$A$103:$M$132,'2018 SUBSEQUENT'!K$8,FALSE)</f>
        <v>0</v>
      </c>
      <c r="L193" s="284">
        <f>VLOOKUP($B191,'NCP FCST'!$A$103:$M$132,'2018 SUBSEQUENT'!L$8,FALSE)</f>
        <v>0</v>
      </c>
      <c r="M193" s="284">
        <f>VLOOKUP($B191,'NCP FCST'!$A$103:$M$132,'2018 SUBSEQUENT'!M$8,FALSE)</f>
        <v>0</v>
      </c>
      <c r="N193" s="284">
        <f>VLOOKUP($B191,'NCP FCST'!$A$103:$M$132,'2018 SUBSEQUENT'!N$8,FALSE)</f>
        <v>0</v>
      </c>
      <c r="O193" s="284"/>
      <c r="P193" s="284">
        <f>MAX(C193:N193)</f>
        <v>60000</v>
      </c>
      <c r="Q193" s="284"/>
      <c r="R193" s="282"/>
      <c r="S193" s="253"/>
      <c r="T193" s="255">
        <f>VLOOKUP($B191,'NCP FCST'!$A$103:$O$132,15,FALSE)</f>
        <v>60000</v>
      </c>
      <c r="U193" s="255">
        <f>P193-T193</f>
        <v>0</v>
      </c>
    </row>
    <row r="194" spans="1:21" s="263" customFormat="1">
      <c r="A194" s="253" t="str">
        <f>B191&amp;" "&amp;B194</f>
        <v>WINTER PARK GNCP</v>
      </c>
      <c r="B194" s="254" t="s">
        <v>342</v>
      </c>
      <c r="C194" s="284">
        <f>VLOOKUP($B191,'GNCP FCST'!$A$102:$M$131,'2018 SUBSEQUENT'!C$8,FALSE)</f>
        <v>60000</v>
      </c>
      <c r="D194" s="284">
        <f>VLOOKUP($B191,'GNCP FCST'!$A$102:$M$131,'2018 SUBSEQUENT'!D$8,FALSE)</f>
        <v>0</v>
      </c>
      <c r="E194" s="284">
        <f>VLOOKUP($B191,'GNCP FCST'!$A$102:$M$131,'2018 SUBSEQUENT'!E$8,FALSE)</f>
        <v>0</v>
      </c>
      <c r="F194" s="284">
        <f>VLOOKUP($B191,'GNCP FCST'!$A$102:$M$131,'2018 SUBSEQUENT'!F$8,FALSE)</f>
        <v>0</v>
      </c>
      <c r="G194" s="284">
        <f>VLOOKUP($B191,'GNCP FCST'!$A$102:$M$131,'2018 SUBSEQUENT'!G$8,FALSE)</f>
        <v>0</v>
      </c>
      <c r="H194" s="284">
        <f>VLOOKUP($B191,'GNCP FCST'!$A$102:$M$131,'2018 SUBSEQUENT'!H$8,FALSE)</f>
        <v>0</v>
      </c>
      <c r="I194" s="284">
        <f>VLOOKUP($B191,'GNCP FCST'!$A$102:$M$131,'2018 SUBSEQUENT'!I$8,FALSE)</f>
        <v>0</v>
      </c>
      <c r="J194" s="284">
        <f>VLOOKUP($B191,'GNCP FCST'!$A$102:$M$131,'2018 SUBSEQUENT'!J$8,FALSE)</f>
        <v>60000</v>
      </c>
      <c r="K194" s="284">
        <f>VLOOKUP($B191,'GNCP FCST'!$A$102:$M$131,'2018 SUBSEQUENT'!K$8,FALSE)</f>
        <v>0</v>
      </c>
      <c r="L194" s="284">
        <f>VLOOKUP($B191,'GNCP FCST'!$A$102:$M$131,'2018 SUBSEQUENT'!L$8,FALSE)</f>
        <v>0</v>
      </c>
      <c r="M194" s="284">
        <f>VLOOKUP($B191,'GNCP FCST'!$A$102:$M$131,'2018 SUBSEQUENT'!M$8,FALSE)</f>
        <v>0</v>
      </c>
      <c r="N194" s="284">
        <f>VLOOKUP($B191,'GNCP FCST'!$A$102:$M$131,'2018 SUBSEQUENT'!N$8,FALSE)</f>
        <v>0</v>
      </c>
      <c r="O194" s="284"/>
      <c r="P194" s="255"/>
      <c r="Q194" s="284">
        <f>MAX(C194:N194)</f>
        <v>60000</v>
      </c>
      <c r="R194" s="282"/>
      <c r="S194" s="253"/>
      <c r="T194" s="255">
        <f>VLOOKUP($B191,'GNCP FCST'!$A$102:$O$131,15,FALSE)</f>
        <v>60000</v>
      </c>
      <c r="U194" s="255">
        <f>+Q194-T194</f>
        <v>0</v>
      </c>
    </row>
    <row r="195" spans="1:21" s="263" customFormat="1">
      <c r="A195" s="253" t="str">
        <f>B191&amp;" "&amp;B195</f>
        <v>WINTER PARK CP</v>
      </c>
      <c r="B195" s="254" t="s">
        <v>148</v>
      </c>
      <c r="C195" s="284">
        <f>VLOOKUP($B191,'CP FCST'!$A$102:$M$131,'2018 SUBSEQUENT'!C$8,FALSE)</f>
        <v>58713.218911044183</v>
      </c>
      <c r="D195" s="284">
        <f>VLOOKUP($B191,'CP FCST'!$A$102:$M$131,'2018 SUBSEQUENT'!D$8,FALSE)</f>
        <v>0</v>
      </c>
      <c r="E195" s="284">
        <f>VLOOKUP($B191,'CP FCST'!$A$102:$M$131,'2018 SUBSEQUENT'!E$8,FALSE)</f>
        <v>0</v>
      </c>
      <c r="F195" s="284">
        <f>VLOOKUP($B191,'CP FCST'!$A$102:$M$131,'2018 SUBSEQUENT'!F$8,FALSE)</f>
        <v>0</v>
      </c>
      <c r="G195" s="284">
        <f>VLOOKUP($B191,'CP FCST'!$A$102:$M$131,'2018 SUBSEQUENT'!G$8,FALSE)</f>
        <v>0</v>
      </c>
      <c r="H195" s="284">
        <f>VLOOKUP($B191,'CP FCST'!$A$102:$M$131,'2018 SUBSEQUENT'!H$8,FALSE)</f>
        <v>0</v>
      </c>
      <c r="I195" s="284">
        <f>VLOOKUP($B191,'CP FCST'!$A$102:$M$131,'2018 SUBSEQUENT'!I$8,FALSE)</f>
        <v>0</v>
      </c>
      <c r="J195" s="284">
        <f>VLOOKUP($B191,'CP FCST'!$A$102:$M$131,'2018 SUBSEQUENT'!J$8,FALSE)</f>
        <v>58713.218911044176</v>
      </c>
      <c r="K195" s="284">
        <f>VLOOKUP($B191,'CP FCST'!$A$102:$M$131,'2018 SUBSEQUENT'!K$8,FALSE)</f>
        <v>0</v>
      </c>
      <c r="L195" s="284">
        <f>VLOOKUP($B191,'CP FCST'!$A$102:$M$131,'2018 SUBSEQUENT'!L$8,FALSE)</f>
        <v>0</v>
      </c>
      <c r="M195" s="284">
        <f>VLOOKUP($B191,'CP FCST'!$A$102:$M$131,'2018 SUBSEQUENT'!M$8,FALSE)</f>
        <v>0</v>
      </c>
      <c r="N195" s="284">
        <f>VLOOKUP($B191,'CP FCST'!$A$102:$M$131,'2018 SUBSEQUENT'!N$8,FALSE)</f>
        <v>0</v>
      </c>
      <c r="O195" s="284"/>
      <c r="P195" s="284"/>
      <c r="Q195" s="284"/>
      <c r="R195" s="255">
        <f>AVERAGE(C195:N195)</f>
        <v>9785.5364851740305</v>
      </c>
      <c r="S195" s="253"/>
      <c r="T195" s="255">
        <f>VLOOKUP($B191,'CP FCST'!$A$102:$O$131,15,FALSE)</f>
        <v>9785.5364851740305</v>
      </c>
      <c r="U195" s="255">
        <f>R195-T195</f>
        <v>0</v>
      </c>
    </row>
    <row r="196" spans="1:21" s="263" customFormat="1">
      <c r="B196" s="254" t="s">
        <v>570</v>
      </c>
      <c r="C196" s="285" t="str">
        <f t="shared" ref="C196:N196" si="25">IF(C195&gt;C194,"ERROR",IF(C194&gt;C193,"ERROR","OK"))</f>
        <v>OK</v>
      </c>
      <c r="D196" s="285" t="str">
        <f t="shared" si="25"/>
        <v>OK</v>
      </c>
      <c r="E196" s="285" t="str">
        <f t="shared" si="25"/>
        <v>OK</v>
      </c>
      <c r="F196" s="285" t="str">
        <f t="shared" si="25"/>
        <v>OK</v>
      </c>
      <c r="G196" s="285" t="str">
        <f t="shared" si="25"/>
        <v>OK</v>
      </c>
      <c r="H196" s="285" t="str">
        <f t="shared" si="25"/>
        <v>OK</v>
      </c>
      <c r="I196" s="285" t="str">
        <f t="shared" si="25"/>
        <v>OK</v>
      </c>
      <c r="J196" s="285" t="str">
        <f t="shared" si="25"/>
        <v>OK</v>
      </c>
      <c r="K196" s="285" t="str">
        <f t="shared" si="25"/>
        <v>OK</v>
      </c>
      <c r="L196" s="285" t="str">
        <f t="shared" si="25"/>
        <v>OK</v>
      </c>
      <c r="M196" s="285" t="str">
        <f t="shared" si="25"/>
        <v>OK</v>
      </c>
      <c r="N196" s="285" t="str">
        <f t="shared" si="25"/>
        <v>OK</v>
      </c>
      <c r="O196" s="284"/>
      <c r="P196" s="284"/>
      <c r="Q196" s="284"/>
      <c r="R196" s="255"/>
      <c r="S196" s="253"/>
      <c r="T196" s="255"/>
      <c r="U196" s="255"/>
    </row>
    <row r="197" spans="1:21" s="263" customFormat="1">
      <c r="B197" s="254"/>
      <c r="C197" s="284"/>
      <c r="D197" s="284"/>
      <c r="E197" s="284"/>
      <c r="F197" s="284"/>
      <c r="G197" s="284"/>
      <c r="H197" s="284"/>
      <c r="I197" s="284"/>
      <c r="J197" s="284"/>
      <c r="K197" s="284"/>
      <c r="L197" s="284"/>
      <c r="M197" s="284"/>
      <c r="N197" s="284"/>
      <c r="O197" s="284"/>
      <c r="P197" s="284"/>
      <c r="Q197" s="284"/>
      <c r="R197" s="255"/>
      <c r="S197" s="253"/>
      <c r="T197" s="255"/>
      <c r="U197" s="255"/>
    </row>
    <row r="198" spans="1:21" s="263" customFormat="1">
      <c r="B198" s="260"/>
      <c r="C198" s="264"/>
      <c r="D198" s="264"/>
      <c r="E198" s="264"/>
      <c r="F198" s="264"/>
      <c r="G198" s="264"/>
      <c r="H198" s="264"/>
      <c r="I198" s="264"/>
      <c r="J198" s="264"/>
      <c r="K198" s="264"/>
      <c r="L198" s="264"/>
      <c r="M198" s="264"/>
      <c r="N198" s="264"/>
      <c r="O198" s="255"/>
      <c r="P198" s="255"/>
      <c r="Q198" s="255"/>
      <c r="R198" s="288"/>
      <c r="S198" s="260"/>
      <c r="T198" s="261"/>
      <c r="U198" s="261"/>
    </row>
    <row r="199" spans="1:21" s="263" customFormat="1" ht="15.6">
      <c r="B199" s="286" t="s">
        <v>453</v>
      </c>
      <c r="C199" s="264"/>
      <c r="D199" s="264"/>
      <c r="E199" s="264"/>
      <c r="F199" s="264"/>
      <c r="G199" s="264"/>
      <c r="H199" s="264"/>
      <c r="I199" s="264"/>
      <c r="J199" s="264"/>
      <c r="K199" s="264"/>
      <c r="L199" s="264"/>
      <c r="M199" s="264"/>
      <c r="N199" s="264"/>
      <c r="O199" s="287">
        <f>SUM(O135:O198)</f>
        <v>6012926189.6392593</v>
      </c>
      <c r="P199" s="287">
        <f>SUM(P135:P198)</f>
        <v>1267927</v>
      </c>
      <c r="Q199" s="287">
        <f>SUM(Q135:Q198)</f>
        <v>1267927</v>
      </c>
      <c r="R199" s="287">
        <f>SUM(R135:R198)</f>
        <v>1011423.5161730901</v>
      </c>
      <c r="S199" s="260"/>
      <c r="T199" s="287">
        <f>SUM(T135:T198)</f>
        <v>6016473467.1554327</v>
      </c>
      <c r="U199" s="287">
        <f>SUM(U135:U198)</f>
        <v>0</v>
      </c>
    </row>
    <row r="200" spans="1:21" s="263" customFormat="1">
      <c r="B200" s="260"/>
      <c r="C200" s="264"/>
      <c r="D200" s="264"/>
      <c r="E200" s="264"/>
      <c r="F200" s="264"/>
      <c r="G200" s="264"/>
      <c r="H200" s="264"/>
      <c r="I200" s="264"/>
      <c r="J200" s="264"/>
      <c r="K200" s="264"/>
      <c r="L200" s="264"/>
      <c r="M200" s="264"/>
      <c r="N200" s="264"/>
      <c r="O200" s="255"/>
      <c r="P200" s="255"/>
      <c r="Q200" s="255"/>
      <c r="R200" s="289"/>
      <c r="S200" s="260"/>
      <c r="T200" s="289"/>
      <c r="U200" s="289"/>
    </row>
    <row r="201" spans="1:21" s="263" customFormat="1" ht="16.2" thickBot="1">
      <c r="B201" s="286" t="s">
        <v>571</v>
      </c>
      <c r="C201" s="264"/>
      <c r="D201" s="264"/>
      <c r="E201" s="264"/>
      <c r="F201" s="264"/>
      <c r="G201" s="264"/>
      <c r="H201" s="264"/>
      <c r="I201" s="264"/>
      <c r="J201" s="264"/>
      <c r="K201" s="264"/>
      <c r="L201" s="264"/>
      <c r="M201" s="264"/>
      <c r="N201" s="264"/>
      <c r="O201" s="290">
        <f>+O132+O199</f>
        <v>113871802364.63925</v>
      </c>
      <c r="P201" s="290">
        <f>+P132+P199</f>
        <v>46975086.069837458</v>
      </c>
      <c r="Q201" s="290">
        <f>+Q132+Q199</f>
        <v>23808677.552023865</v>
      </c>
      <c r="R201" s="290">
        <f>+R132+R199</f>
        <v>19987145.125871159</v>
      </c>
      <c r="S201" s="260"/>
      <c r="T201" s="290">
        <f>+T132+T199</f>
        <v>113962573311.5843</v>
      </c>
      <c r="U201" s="290">
        <f>+U132+U199</f>
        <v>-38.197354238003754</v>
      </c>
    </row>
    <row r="202" spans="1:21" s="263" customFormat="1" ht="13.8" thickTop="1">
      <c r="B202" s="260"/>
      <c r="C202" s="264"/>
      <c r="D202" s="264"/>
      <c r="E202" s="264"/>
      <c r="F202" s="264"/>
      <c r="G202" s="264"/>
      <c r="H202" s="264"/>
      <c r="I202" s="264"/>
      <c r="J202" s="264"/>
      <c r="K202" s="264"/>
      <c r="L202" s="264"/>
      <c r="M202" s="264"/>
      <c r="N202" s="264"/>
      <c r="O202" s="255"/>
      <c r="P202" s="255"/>
      <c r="Q202" s="255"/>
      <c r="R202" s="288"/>
      <c r="S202" s="260"/>
      <c r="T202" s="261"/>
      <c r="U202" s="261"/>
    </row>
    <row r="203" spans="1:21" s="263" customFormat="1">
      <c r="B203" s="260"/>
      <c r="C203" s="264"/>
      <c r="D203" s="264"/>
      <c r="E203" s="264"/>
      <c r="F203" s="264"/>
      <c r="G203" s="264"/>
      <c r="H203" s="264"/>
      <c r="I203" s="264"/>
      <c r="J203" s="264"/>
      <c r="K203" s="264"/>
      <c r="L203" s="264"/>
      <c r="M203" s="264"/>
      <c r="N203" s="264"/>
      <c r="O203" s="255"/>
      <c r="P203" s="255"/>
      <c r="Q203" s="255"/>
      <c r="R203" s="288"/>
      <c r="S203" s="260"/>
      <c r="T203" s="261"/>
      <c r="U203" s="261"/>
    </row>
    <row r="204" spans="1:21" s="263" customFormat="1">
      <c r="B204" s="253"/>
      <c r="C204" s="264"/>
      <c r="D204" s="264"/>
      <c r="E204" s="264"/>
      <c r="F204" s="264"/>
      <c r="G204" s="264"/>
      <c r="H204" s="264"/>
      <c r="I204" s="264"/>
      <c r="J204" s="264"/>
      <c r="K204" s="264"/>
      <c r="L204" s="264"/>
      <c r="M204" s="264"/>
      <c r="N204" s="264"/>
      <c r="O204" s="255"/>
      <c r="P204" s="255"/>
      <c r="Q204" s="255"/>
      <c r="R204" s="253"/>
      <c r="S204" s="253"/>
      <c r="T204" s="255"/>
      <c r="U204" s="255"/>
    </row>
    <row r="205" spans="1:21" s="263" customFormat="1">
      <c r="C205" s="264"/>
      <c r="D205" s="264"/>
      <c r="E205" s="264"/>
      <c r="F205" s="264"/>
      <c r="G205" s="264"/>
      <c r="H205" s="264"/>
      <c r="I205" s="264"/>
      <c r="J205" s="264"/>
      <c r="K205" s="264"/>
      <c r="L205" s="264"/>
      <c r="M205" s="264"/>
      <c r="N205" s="264"/>
      <c r="O205" s="264"/>
      <c r="P205" s="264"/>
      <c r="Q205" s="264"/>
      <c r="T205" s="264"/>
      <c r="U205" s="264"/>
    </row>
    <row r="206" spans="1:21" s="263" customFormat="1">
      <c r="C206" s="264"/>
      <c r="D206" s="264"/>
      <c r="E206" s="264"/>
      <c r="F206" s="264"/>
      <c r="G206" s="264"/>
      <c r="H206" s="264"/>
      <c r="I206" s="264"/>
      <c r="J206" s="264"/>
      <c r="K206" s="264"/>
      <c r="L206" s="264"/>
      <c r="M206" s="264"/>
      <c r="N206" s="264"/>
      <c r="O206" s="264"/>
      <c r="P206" s="264"/>
      <c r="Q206" s="264"/>
      <c r="T206" s="264"/>
      <c r="U206" s="264"/>
    </row>
    <row r="207" spans="1:21" s="263" customFormat="1">
      <c r="C207" s="264"/>
      <c r="D207" s="264"/>
      <c r="E207" s="264"/>
      <c r="F207" s="264"/>
      <c r="G207" s="264"/>
      <c r="H207" s="264"/>
      <c r="I207" s="264"/>
      <c r="J207" s="264"/>
      <c r="K207" s="264"/>
      <c r="L207" s="264"/>
      <c r="M207" s="264"/>
      <c r="N207" s="264"/>
      <c r="O207" s="264"/>
      <c r="P207" s="264"/>
      <c r="Q207" s="264"/>
      <c r="T207" s="264"/>
      <c r="U207" s="264"/>
    </row>
    <row r="208" spans="1:21" s="263" customFormat="1">
      <c r="C208" s="264"/>
      <c r="D208" s="264"/>
      <c r="E208" s="264"/>
      <c r="F208" s="264"/>
      <c r="G208" s="264"/>
      <c r="H208" s="264"/>
      <c r="I208" s="264"/>
      <c r="J208" s="264"/>
      <c r="K208" s="264"/>
      <c r="L208" s="264"/>
      <c r="M208" s="264"/>
      <c r="N208" s="264"/>
      <c r="O208" s="264"/>
      <c r="P208" s="264"/>
      <c r="Q208" s="264"/>
      <c r="T208" s="264"/>
      <c r="U208" s="264"/>
    </row>
    <row r="209" spans="3:21" s="263" customFormat="1">
      <c r="C209" s="264"/>
      <c r="D209" s="264"/>
      <c r="E209" s="264"/>
      <c r="F209" s="264"/>
      <c r="G209" s="264"/>
      <c r="H209" s="264"/>
      <c r="I209" s="264"/>
      <c r="J209" s="264"/>
      <c r="K209" s="264"/>
      <c r="L209" s="264"/>
      <c r="M209" s="264"/>
      <c r="N209" s="264"/>
      <c r="O209" s="264"/>
      <c r="P209" s="264"/>
      <c r="Q209" s="264"/>
      <c r="T209" s="264"/>
      <c r="U209" s="264"/>
    </row>
    <row r="210" spans="3:21" s="263" customFormat="1">
      <c r="C210" s="264"/>
      <c r="D210" s="264"/>
      <c r="E210" s="264"/>
      <c r="F210" s="264"/>
      <c r="G210" s="264"/>
      <c r="H210" s="264"/>
      <c r="I210" s="264"/>
      <c r="J210" s="264"/>
      <c r="K210" s="264"/>
      <c r="L210" s="264"/>
      <c r="M210" s="264"/>
      <c r="N210" s="264"/>
      <c r="O210" s="264"/>
      <c r="P210" s="264"/>
      <c r="Q210" s="264"/>
      <c r="T210" s="264"/>
      <c r="U210" s="264"/>
    </row>
    <row r="211" spans="3:21" s="263" customFormat="1">
      <c r="C211" s="264"/>
      <c r="D211" s="264"/>
      <c r="E211" s="264"/>
      <c r="F211" s="264"/>
      <c r="G211" s="264"/>
      <c r="H211" s="264"/>
      <c r="I211" s="264"/>
      <c r="J211" s="264"/>
      <c r="K211" s="264"/>
      <c r="L211" s="264"/>
      <c r="M211" s="264"/>
      <c r="N211" s="264"/>
      <c r="O211" s="264"/>
      <c r="P211" s="264"/>
      <c r="Q211" s="264"/>
      <c r="T211" s="264"/>
      <c r="U211" s="264"/>
    </row>
    <row r="212" spans="3:21" s="263" customFormat="1">
      <c r="C212" s="264"/>
      <c r="D212" s="264"/>
      <c r="E212" s="264"/>
      <c r="F212" s="264"/>
      <c r="G212" s="264"/>
      <c r="H212" s="264"/>
      <c r="I212" s="264"/>
      <c r="J212" s="264"/>
      <c r="K212" s="264"/>
      <c r="L212" s="264"/>
      <c r="M212" s="264"/>
      <c r="N212" s="264"/>
      <c r="O212" s="264"/>
      <c r="P212" s="264"/>
      <c r="Q212" s="264"/>
      <c r="T212" s="264"/>
      <c r="U212" s="264"/>
    </row>
    <row r="213" spans="3:21" s="263" customFormat="1">
      <c r="C213" s="264"/>
      <c r="D213" s="264"/>
      <c r="E213" s="264"/>
      <c r="F213" s="264"/>
      <c r="G213" s="264"/>
      <c r="H213" s="264"/>
      <c r="I213" s="264"/>
      <c r="J213" s="264"/>
      <c r="K213" s="264"/>
      <c r="L213" s="264"/>
      <c r="M213" s="264"/>
      <c r="N213" s="264"/>
      <c r="O213" s="264"/>
      <c r="P213" s="264"/>
      <c r="Q213" s="264"/>
      <c r="T213" s="264"/>
      <c r="U213" s="264"/>
    </row>
    <row r="214" spans="3:21" s="263" customFormat="1">
      <c r="C214" s="264"/>
      <c r="D214" s="264"/>
      <c r="E214" s="264"/>
      <c r="F214" s="264"/>
      <c r="G214" s="264"/>
      <c r="H214" s="264"/>
      <c r="I214" s="264"/>
      <c r="J214" s="264"/>
      <c r="K214" s="264"/>
      <c r="L214" s="264"/>
      <c r="M214" s="264"/>
      <c r="N214" s="264"/>
      <c r="O214" s="264"/>
      <c r="P214" s="264"/>
      <c r="Q214" s="264"/>
      <c r="T214" s="264"/>
      <c r="U214" s="264"/>
    </row>
    <row r="215" spans="3:21" s="263" customFormat="1">
      <c r="C215" s="264"/>
      <c r="D215" s="264"/>
      <c r="E215" s="264"/>
      <c r="F215" s="264"/>
      <c r="G215" s="264"/>
      <c r="H215" s="264"/>
      <c r="I215" s="264"/>
      <c r="J215" s="264"/>
      <c r="K215" s="264"/>
      <c r="L215" s="264"/>
      <c r="M215" s="264"/>
      <c r="N215" s="264"/>
      <c r="O215" s="264"/>
      <c r="P215" s="264"/>
      <c r="Q215" s="264"/>
      <c r="T215" s="264"/>
      <c r="U215" s="264"/>
    </row>
    <row r="216" spans="3:21" s="263" customFormat="1">
      <c r="C216" s="264"/>
      <c r="D216" s="264"/>
      <c r="E216" s="264"/>
      <c r="F216" s="264"/>
      <c r="G216" s="264"/>
      <c r="H216" s="264"/>
      <c r="I216" s="264"/>
      <c r="J216" s="264"/>
      <c r="K216" s="264"/>
      <c r="L216" s="264"/>
      <c r="M216" s="264"/>
      <c r="N216" s="264"/>
      <c r="O216" s="264"/>
      <c r="P216" s="264"/>
      <c r="Q216" s="264"/>
      <c r="T216" s="264"/>
      <c r="U216" s="264"/>
    </row>
    <row r="217" spans="3:21" s="263" customFormat="1">
      <c r="C217" s="264"/>
      <c r="D217" s="264"/>
      <c r="E217" s="264"/>
      <c r="F217" s="264"/>
      <c r="G217" s="264"/>
      <c r="H217" s="264"/>
      <c r="I217" s="264"/>
      <c r="J217" s="264"/>
      <c r="K217" s="264"/>
      <c r="L217" s="264"/>
      <c r="M217" s="264"/>
      <c r="N217" s="264"/>
      <c r="O217" s="264"/>
      <c r="P217" s="264"/>
      <c r="Q217" s="264"/>
      <c r="T217" s="264"/>
      <c r="U217" s="264"/>
    </row>
    <row r="218" spans="3:21" s="263" customFormat="1">
      <c r="C218" s="264"/>
      <c r="D218" s="264"/>
      <c r="E218" s="264"/>
      <c r="F218" s="264"/>
      <c r="G218" s="264"/>
      <c r="H218" s="264"/>
      <c r="I218" s="264"/>
      <c r="J218" s="264"/>
      <c r="K218" s="264"/>
      <c r="L218" s="264"/>
      <c r="M218" s="264"/>
      <c r="N218" s="264"/>
      <c r="O218" s="264"/>
      <c r="P218" s="264"/>
      <c r="Q218" s="264"/>
      <c r="T218" s="264"/>
      <c r="U218" s="264"/>
    </row>
    <row r="219" spans="3:21" s="263" customFormat="1">
      <c r="C219" s="264"/>
      <c r="D219" s="264"/>
      <c r="E219" s="264"/>
      <c r="F219" s="264"/>
      <c r="G219" s="264"/>
      <c r="H219" s="264"/>
      <c r="I219" s="264"/>
      <c r="J219" s="264"/>
      <c r="K219" s="264"/>
      <c r="L219" s="264"/>
      <c r="M219" s="264"/>
      <c r="N219" s="264"/>
      <c r="O219" s="264"/>
      <c r="P219" s="264"/>
      <c r="Q219" s="264"/>
      <c r="T219" s="264"/>
      <c r="U219" s="264"/>
    </row>
    <row r="220" spans="3:21" s="263" customFormat="1">
      <c r="C220" s="264"/>
      <c r="D220" s="264"/>
      <c r="E220" s="264"/>
      <c r="F220" s="264"/>
      <c r="G220" s="264"/>
      <c r="H220" s="264"/>
      <c r="I220" s="264"/>
      <c r="J220" s="264"/>
      <c r="K220" s="264"/>
      <c r="L220" s="264"/>
      <c r="M220" s="264"/>
      <c r="N220" s="264"/>
      <c r="O220" s="264"/>
      <c r="P220" s="264"/>
      <c r="Q220" s="264"/>
      <c r="T220" s="264"/>
      <c r="U220" s="264"/>
    </row>
    <row r="221" spans="3:21" s="263" customFormat="1">
      <c r="C221" s="264"/>
      <c r="D221" s="264"/>
      <c r="E221" s="264"/>
      <c r="F221" s="264"/>
      <c r="G221" s="264"/>
      <c r="H221" s="264"/>
      <c r="I221" s="264"/>
      <c r="J221" s="264"/>
      <c r="K221" s="264"/>
      <c r="L221" s="264"/>
      <c r="M221" s="264"/>
      <c r="N221" s="264"/>
      <c r="O221" s="264"/>
      <c r="P221" s="264"/>
      <c r="Q221" s="264"/>
      <c r="T221" s="264"/>
      <c r="U221" s="264"/>
    </row>
    <row r="222" spans="3:21" s="263" customFormat="1">
      <c r="C222" s="264"/>
      <c r="D222" s="264"/>
      <c r="E222" s="264"/>
      <c r="F222" s="264"/>
      <c r="G222" s="264"/>
      <c r="H222" s="264"/>
      <c r="I222" s="264"/>
      <c r="J222" s="264"/>
      <c r="K222" s="264"/>
      <c r="L222" s="264"/>
      <c r="M222" s="264"/>
      <c r="N222" s="264"/>
      <c r="O222" s="264"/>
      <c r="P222" s="264"/>
      <c r="Q222" s="264"/>
      <c r="T222" s="264"/>
      <c r="U222" s="264"/>
    </row>
    <row r="223" spans="3:21" s="263" customFormat="1">
      <c r="C223" s="264"/>
      <c r="D223" s="264"/>
      <c r="E223" s="264"/>
      <c r="F223" s="264"/>
      <c r="G223" s="264"/>
      <c r="H223" s="264"/>
      <c r="I223" s="264"/>
      <c r="J223" s="264"/>
      <c r="K223" s="264"/>
      <c r="L223" s="264"/>
      <c r="M223" s="264"/>
      <c r="N223" s="264"/>
      <c r="O223" s="264"/>
      <c r="P223" s="264"/>
      <c r="Q223" s="264"/>
      <c r="T223" s="264"/>
      <c r="U223" s="264"/>
    </row>
    <row r="224" spans="3:21" s="263" customFormat="1">
      <c r="C224" s="264"/>
      <c r="D224" s="264"/>
      <c r="E224" s="264"/>
      <c r="F224" s="264"/>
      <c r="G224" s="264"/>
      <c r="H224" s="264"/>
      <c r="I224" s="264"/>
      <c r="J224" s="264"/>
      <c r="K224" s="264"/>
      <c r="L224" s="264"/>
      <c r="M224" s="264"/>
      <c r="N224" s="264"/>
      <c r="O224" s="264"/>
      <c r="P224" s="264"/>
      <c r="Q224" s="264"/>
      <c r="T224" s="264"/>
      <c r="U224" s="264"/>
    </row>
    <row r="225" spans="3:21" s="263" customFormat="1">
      <c r="C225" s="264"/>
      <c r="D225" s="264"/>
      <c r="E225" s="264"/>
      <c r="F225" s="264"/>
      <c r="G225" s="264"/>
      <c r="H225" s="264"/>
      <c r="I225" s="264"/>
      <c r="J225" s="264"/>
      <c r="K225" s="264"/>
      <c r="L225" s="264"/>
      <c r="M225" s="264"/>
      <c r="N225" s="264"/>
      <c r="O225" s="264"/>
      <c r="P225" s="264"/>
      <c r="Q225" s="264"/>
      <c r="T225" s="264"/>
      <c r="U225" s="264"/>
    </row>
    <row r="226" spans="3:21" s="263" customFormat="1">
      <c r="C226" s="264"/>
      <c r="D226" s="264"/>
      <c r="E226" s="264"/>
      <c r="F226" s="264"/>
      <c r="G226" s="264"/>
      <c r="H226" s="264"/>
      <c r="I226" s="264"/>
      <c r="J226" s="264"/>
      <c r="K226" s="264"/>
      <c r="L226" s="264"/>
      <c r="M226" s="264"/>
      <c r="N226" s="264"/>
      <c r="O226" s="264"/>
      <c r="P226" s="264"/>
      <c r="Q226" s="264"/>
      <c r="T226" s="264"/>
      <c r="U226" s="264"/>
    </row>
    <row r="227" spans="3:21" s="263" customFormat="1">
      <c r="C227" s="264"/>
      <c r="D227" s="264"/>
      <c r="E227" s="264"/>
      <c r="F227" s="264"/>
      <c r="G227" s="264"/>
      <c r="H227" s="264"/>
      <c r="I227" s="264"/>
      <c r="J227" s="264"/>
      <c r="K227" s="264"/>
      <c r="L227" s="264"/>
      <c r="M227" s="264"/>
      <c r="N227" s="264"/>
      <c r="O227" s="264"/>
      <c r="P227" s="264"/>
      <c r="Q227" s="264"/>
      <c r="T227" s="264"/>
      <c r="U227" s="264"/>
    </row>
    <row r="228" spans="3:21" s="263" customFormat="1">
      <c r="C228" s="264"/>
      <c r="D228" s="264"/>
      <c r="E228" s="264"/>
      <c r="F228" s="264"/>
      <c r="G228" s="264"/>
      <c r="H228" s="264"/>
      <c r="I228" s="264"/>
      <c r="J228" s="264"/>
      <c r="K228" s="264"/>
      <c r="L228" s="264"/>
      <c r="M228" s="264"/>
      <c r="N228" s="264"/>
      <c r="O228" s="264"/>
      <c r="P228" s="264"/>
      <c r="Q228" s="264"/>
      <c r="T228" s="264"/>
      <c r="U228" s="264"/>
    </row>
    <row r="229" spans="3:21" s="263" customFormat="1">
      <c r="C229" s="264"/>
      <c r="D229" s="264"/>
      <c r="E229" s="264"/>
      <c r="F229" s="264"/>
      <c r="G229" s="264"/>
      <c r="H229" s="264"/>
      <c r="I229" s="264"/>
      <c r="J229" s="264"/>
      <c r="K229" s="264"/>
      <c r="L229" s="264"/>
      <c r="M229" s="264"/>
      <c r="N229" s="264"/>
      <c r="O229" s="264"/>
      <c r="P229" s="264"/>
      <c r="Q229" s="264"/>
      <c r="T229" s="264"/>
      <c r="U229" s="264"/>
    </row>
    <row r="230" spans="3:21" s="263" customFormat="1">
      <c r="C230" s="264"/>
      <c r="D230" s="264"/>
      <c r="E230" s="264"/>
      <c r="F230" s="264"/>
      <c r="G230" s="264"/>
      <c r="H230" s="264"/>
      <c r="I230" s="264"/>
      <c r="J230" s="264"/>
      <c r="K230" s="264"/>
      <c r="L230" s="264"/>
      <c r="M230" s="264"/>
      <c r="N230" s="264"/>
      <c r="O230" s="264"/>
      <c r="P230" s="264"/>
      <c r="Q230" s="264"/>
      <c r="T230" s="264"/>
      <c r="U230" s="264"/>
    </row>
    <row r="231" spans="3:21" s="263" customFormat="1">
      <c r="C231" s="264"/>
      <c r="D231" s="264"/>
      <c r="E231" s="264"/>
      <c r="F231" s="264"/>
      <c r="G231" s="264"/>
      <c r="H231" s="264"/>
      <c r="I231" s="264"/>
      <c r="J231" s="264"/>
      <c r="K231" s="264"/>
      <c r="L231" s="264"/>
      <c r="M231" s="264"/>
      <c r="N231" s="264"/>
      <c r="O231" s="264"/>
      <c r="P231" s="264"/>
      <c r="Q231" s="264"/>
      <c r="T231" s="264"/>
      <c r="U231" s="264"/>
    </row>
    <row r="232" spans="3:21" s="263" customFormat="1">
      <c r="C232" s="264"/>
      <c r="D232" s="264"/>
      <c r="E232" s="264"/>
      <c r="F232" s="264"/>
      <c r="G232" s="264"/>
      <c r="H232" s="264"/>
      <c r="I232" s="264"/>
      <c r="J232" s="264"/>
      <c r="K232" s="264"/>
      <c r="L232" s="264"/>
      <c r="M232" s="264"/>
      <c r="N232" s="264"/>
      <c r="O232" s="264"/>
      <c r="P232" s="264"/>
      <c r="Q232" s="264"/>
      <c r="T232" s="264"/>
      <c r="U232" s="264"/>
    </row>
    <row r="233" spans="3:21" s="263" customFormat="1">
      <c r="C233" s="264"/>
      <c r="D233" s="264"/>
      <c r="E233" s="264"/>
      <c r="F233" s="264"/>
      <c r="G233" s="264"/>
      <c r="H233" s="264"/>
      <c r="I233" s="264"/>
      <c r="J233" s="264"/>
      <c r="K233" s="264"/>
      <c r="L233" s="264"/>
      <c r="M233" s="264"/>
      <c r="N233" s="264"/>
      <c r="O233" s="264"/>
      <c r="P233" s="264"/>
      <c r="Q233" s="264"/>
      <c r="T233" s="264"/>
      <c r="U233" s="264"/>
    </row>
    <row r="234" spans="3:21" s="263" customFormat="1">
      <c r="C234" s="264"/>
      <c r="D234" s="264"/>
      <c r="E234" s="264"/>
      <c r="F234" s="264"/>
      <c r="G234" s="264"/>
      <c r="H234" s="264"/>
      <c r="I234" s="264"/>
      <c r="J234" s="264"/>
      <c r="K234" s="264"/>
      <c r="L234" s="264"/>
      <c r="M234" s="264"/>
      <c r="N234" s="264"/>
      <c r="O234" s="264"/>
      <c r="P234" s="264"/>
      <c r="Q234" s="264"/>
      <c r="T234" s="264"/>
      <c r="U234" s="264"/>
    </row>
    <row r="235" spans="3:21" s="263" customFormat="1">
      <c r="C235" s="264"/>
      <c r="D235" s="264"/>
      <c r="E235" s="264"/>
      <c r="F235" s="264"/>
      <c r="G235" s="264"/>
      <c r="H235" s="264"/>
      <c r="I235" s="264"/>
      <c r="J235" s="264"/>
      <c r="K235" s="264"/>
      <c r="L235" s="264"/>
      <c r="M235" s="264"/>
      <c r="N235" s="264"/>
      <c r="O235" s="264"/>
      <c r="P235" s="264"/>
      <c r="Q235" s="264"/>
      <c r="T235" s="264"/>
      <c r="U235" s="264"/>
    </row>
    <row r="236" spans="3:21" s="263" customFormat="1">
      <c r="C236" s="264"/>
      <c r="D236" s="264"/>
      <c r="E236" s="264"/>
      <c r="F236" s="264"/>
      <c r="G236" s="264"/>
      <c r="H236" s="264"/>
      <c r="I236" s="264"/>
      <c r="J236" s="264"/>
      <c r="K236" s="264"/>
      <c r="L236" s="264"/>
      <c r="M236" s="264"/>
      <c r="N236" s="264"/>
      <c r="O236" s="264"/>
      <c r="P236" s="264"/>
      <c r="Q236" s="264"/>
      <c r="T236" s="264"/>
      <c r="U236" s="264"/>
    </row>
    <row r="237" spans="3:21" s="263" customFormat="1">
      <c r="C237" s="264"/>
      <c r="D237" s="264"/>
      <c r="E237" s="264"/>
      <c r="F237" s="264"/>
      <c r="G237" s="264"/>
      <c r="H237" s="264"/>
      <c r="I237" s="264"/>
      <c r="J237" s="264"/>
      <c r="K237" s="264"/>
      <c r="L237" s="264"/>
      <c r="M237" s="264"/>
      <c r="N237" s="264"/>
      <c r="O237" s="264"/>
      <c r="P237" s="264"/>
      <c r="Q237" s="264"/>
      <c r="T237" s="264"/>
      <c r="U237" s="264"/>
    </row>
    <row r="238" spans="3:21" s="263" customFormat="1">
      <c r="C238" s="264"/>
      <c r="D238" s="264"/>
      <c r="E238" s="264"/>
      <c r="F238" s="264"/>
      <c r="G238" s="264"/>
      <c r="H238" s="264"/>
      <c r="I238" s="264"/>
      <c r="J238" s="264"/>
      <c r="K238" s="264"/>
      <c r="L238" s="264"/>
      <c r="M238" s="264"/>
      <c r="N238" s="264"/>
      <c r="O238" s="264"/>
      <c r="P238" s="264"/>
      <c r="Q238" s="264"/>
      <c r="T238" s="264"/>
      <c r="U238" s="264"/>
    </row>
    <row r="239" spans="3:21" s="263" customFormat="1">
      <c r="C239" s="264"/>
      <c r="D239" s="264"/>
      <c r="E239" s="264"/>
      <c r="F239" s="264"/>
      <c r="G239" s="264"/>
      <c r="H239" s="264"/>
      <c r="I239" s="264"/>
      <c r="J239" s="264"/>
      <c r="K239" s="264"/>
      <c r="L239" s="264"/>
      <c r="M239" s="264"/>
      <c r="N239" s="264"/>
      <c r="O239" s="264"/>
      <c r="P239" s="264"/>
      <c r="Q239" s="264"/>
      <c r="T239" s="264"/>
      <c r="U239" s="264"/>
    </row>
    <row r="240" spans="3:21" s="263" customFormat="1">
      <c r="C240" s="264"/>
      <c r="D240" s="264"/>
      <c r="E240" s="264"/>
      <c r="F240" s="264"/>
      <c r="G240" s="264"/>
      <c r="H240" s="264"/>
      <c r="I240" s="264"/>
      <c r="J240" s="264"/>
      <c r="K240" s="264"/>
      <c r="L240" s="264"/>
      <c r="M240" s="264"/>
      <c r="N240" s="264"/>
      <c r="O240" s="264"/>
      <c r="P240" s="264"/>
      <c r="Q240" s="264"/>
      <c r="T240" s="264"/>
      <c r="U240" s="264"/>
    </row>
    <row r="241" spans="3:21" s="263" customFormat="1">
      <c r="C241" s="264"/>
      <c r="D241" s="264"/>
      <c r="E241" s="264"/>
      <c r="F241" s="264"/>
      <c r="G241" s="264"/>
      <c r="H241" s="264"/>
      <c r="I241" s="264"/>
      <c r="J241" s="264"/>
      <c r="K241" s="264"/>
      <c r="L241" s="264"/>
      <c r="M241" s="264"/>
      <c r="N241" s="264"/>
      <c r="O241" s="264"/>
      <c r="P241" s="264"/>
      <c r="Q241" s="264"/>
      <c r="T241" s="264"/>
      <c r="U241" s="264"/>
    </row>
    <row r="242" spans="3:21" s="263" customFormat="1">
      <c r="C242" s="264"/>
      <c r="D242" s="264"/>
      <c r="E242" s="264"/>
      <c r="F242" s="264"/>
      <c r="G242" s="264"/>
      <c r="H242" s="264"/>
      <c r="I242" s="264"/>
      <c r="J242" s="264"/>
      <c r="K242" s="264"/>
      <c r="L242" s="264"/>
      <c r="M242" s="264"/>
      <c r="N242" s="264"/>
      <c r="O242" s="264"/>
      <c r="P242" s="264"/>
      <c r="Q242" s="264"/>
      <c r="T242" s="264"/>
      <c r="U242" s="264"/>
    </row>
    <row r="243" spans="3:21" s="263" customFormat="1">
      <c r="C243" s="264"/>
      <c r="D243" s="264"/>
      <c r="E243" s="264"/>
      <c r="F243" s="264"/>
      <c r="G243" s="264"/>
      <c r="H243" s="264"/>
      <c r="I243" s="264"/>
      <c r="J243" s="264"/>
      <c r="K243" s="264"/>
      <c r="L243" s="264"/>
      <c r="M243" s="264"/>
      <c r="N243" s="264"/>
      <c r="O243" s="264"/>
      <c r="P243" s="264"/>
      <c r="Q243" s="264"/>
      <c r="T243" s="264"/>
      <c r="U243" s="264"/>
    </row>
    <row r="244" spans="3:21" s="263" customFormat="1">
      <c r="C244" s="264"/>
      <c r="D244" s="264"/>
      <c r="E244" s="264"/>
      <c r="F244" s="264"/>
      <c r="G244" s="264"/>
      <c r="H244" s="264"/>
      <c r="I244" s="264"/>
      <c r="J244" s="264"/>
      <c r="K244" s="264"/>
      <c r="L244" s="264"/>
      <c r="M244" s="264"/>
      <c r="N244" s="264"/>
      <c r="O244" s="264"/>
      <c r="P244" s="264"/>
      <c r="Q244" s="264"/>
      <c r="T244" s="264"/>
      <c r="U244" s="264"/>
    </row>
    <row r="245" spans="3:21" s="263" customFormat="1">
      <c r="C245" s="264"/>
      <c r="D245" s="264"/>
      <c r="E245" s="264"/>
      <c r="F245" s="264"/>
      <c r="G245" s="264"/>
      <c r="H245" s="264"/>
      <c r="I245" s="264"/>
      <c r="J245" s="264"/>
      <c r="K245" s="264"/>
      <c r="L245" s="264"/>
      <c r="M245" s="264"/>
      <c r="N245" s="264"/>
      <c r="O245" s="264"/>
      <c r="P245" s="264"/>
      <c r="Q245" s="264"/>
      <c r="T245" s="264"/>
      <c r="U245" s="264"/>
    </row>
    <row r="246" spans="3:21" s="263" customFormat="1">
      <c r="C246" s="264"/>
      <c r="D246" s="264"/>
      <c r="E246" s="264"/>
      <c r="F246" s="264"/>
      <c r="G246" s="264"/>
      <c r="H246" s="264"/>
      <c r="I246" s="264"/>
      <c r="J246" s="264"/>
      <c r="K246" s="264"/>
      <c r="L246" s="264"/>
      <c r="M246" s="264"/>
      <c r="N246" s="264"/>
      <c r="O246" s="264"/>
      <c r="P246" s="264"/>
      <c r="Q246" s="264"/>
      <c r="T246" s="264"/>
      <c r="U246" s="264"/>
    </row>
    <row r="247" spans="3:21" s="263" customFormat="1">
      <c r="C247" s="264"/>
      <c r="D247" s="264"/>
      <c r="E247" s="264"/>
      <c r="F247" s="264"/>
      <c r="G247" s="264"/>
      <c r="H247" s="264"/>
      <c r="I247" s="264"/>
      <c r="J247" s="264"/>
      <c r="K247" s="264"/>
      <c r="L247" s="264"/>
      <c r="M247" s="264"/>
      <c r="N247" s="264"/>
      <c r="O247" s="264"/>
      <c r="P247" s="264"/>
      <c r="Q247" s="264"/>
      <c r="T247" s="264"/>
      <c r="U247" s="264"/>
    </row>
    <row r="248" spans="3:21" s="263" customFormat="1">
      <c r="C248" s="264"/>
      <c r="D248" s="264"/>
      <c r="E248" s="264"/>
      <c r="F248" s="264"/>
      <c r="G248" s="264"/>
      <c r="H248" s="264"/>
      <c r="I248" s="264"/>
      <c r="J248" s="264"/>
      <c r="K248" s="264"/>
      <c r="L248" s="264"/>
      <c r="M248" s="264"/>
      <c r="N248" s="264"/>
      <c r="O248" s="264"/>
      <c r="P248" s="264"/>
      <c r="Q248" s="264"/>
      <c r="T248" s="264"/>
      <c r="U248" s="264"/>
    </row>
    <row r="249" spans="3:21" s="263" customFormat="1">
      <c r="C249" s="264"/>
      <c r="D249" s="264"/>
      <c r="E249" s="264"/>
      <c r="F249" s="264"/>
      <c r="G249" s="264"/>
      <c r="H249" s="264"/>
      <c r="I249" s="264"/>
      <c r="J249" s="264"/>
      <c r="K249" s="264"/>
      <c r="L249" s="264"/>
      <c r="M249" s="264"/>
      <c r="N249" s="264"/>
      <c r="O249" s="264"/>
      <c r="P249" s="264"/>
      <c r="Q249" s="264"/>
      <c r="T249" s="264"/>
      <c r="U249" s="264"/>
    </row>
    <row r="250" spans="3:21" s="263" customFormat="1">
      <c r="C250" s="264"/>
      <c r="D250" s="264"/>
      <c r="E250" s="264"/>
      <c r="F250" s="264"/>
      <c r="G250" s="264"/>
      <c r="H250" s="264"/>
      <c r="I250" s="264"/>
      <c r="J250" s="264"/>
      <c r="K250" s="264"/>
      <c r="L250" s="264"/>
      <c r="M250" s="264"/>
      <c r="N250" s="264"/>
      <c r="O250" s="264"/>
      <c r="P250" s="264"/>
      <c r="Q250" s="264"/>
      <c r="T250" s="264"/>
      <c r="U250" s="264"/>
    </row>
    <row r="251" spans="3:21" s="263" customFormat="1">
      <c r="C251" s="264"/>
      <c r="D251" s="264"/>
      <c r="E251" s="264"/>
      <c r="F251" s="264"/>
      <c r="G251" s="264"/>
      <c r="H251" s="264"/>
      <c r="I251" s="264"/>
      <c r="J251" s="264"/>
      <c r="K251" s="264"/>
      <c r="L251" s="264"/>
      <c r="M251" s="264"/>
      <c r="N251" s="264"/>
      <c r="O251" s="264"/>
      <c r="P251" s="264"/>
      <c r="Q251" s="264"/>
      <c r="T251" s="264"/>
      <c r="U251" s="264"/>
    </row>
    <row r="252" spans="3:21" s="263" customFormat="1">
      <c r="C252" s="264"/>
      <c r="D252" s="264"/>
      <c r="E252" s="264"/>
      <c r="F252" s="264"/>
      <c r="G252" s="264"/>
      <c r="H252" s="264"/>
      <c r="I252" s="264"/>
      <c r="J252" s="264"/>
      <c r="K252" s="264"/>
      <c r="L252" s="264"/>
      <c r="M252" s="264"/>
      <c r="N252" s="264"/>
      <c r="O252" s="264"/>
      <c r="P252" s="264"/>
      <c r="Q252" s="264"/>
      <c r="T252" s="264"/>
      <c r="U252" s="264"/>
    </row>
    <row r="253" spans="3:21" s="263" customFormat="1">
      <c r="C253" s="264"/>
      <c r="D253" s="264"/>
      <c r="E253" s="264"/>
      <c r="F253" s="264"/>
      <c r="G253" s="264"/>
      <c r="H253" s="264"/>
      <c r="I253" s="264"/>
      <c r="J253" s="264"/>
      <c r="K253" s="264"/>
      <c r="L253" s="264"/>
      <c r="M253" s="264"/>
      <c r="N253" s="264"/>
      <c r="O253" s="264"/>
      <c r="P253" s="264"/>
      <c r="Q253" s="264"/>
      <c r="T253" s="264"/>
      <c r="U253" s="264"/>
    </row>
    <row r="254" spans="3:21" s="263" customFormat="1">
      <c r="C254" s="264"/>
      <c r="D254" s="264"/>
      <c r="E254" s="264"/>
      <c r="F254" s="264"/>
      <c r="G254" s="264"/>
      <c r="H254" s="264"/>
      <c r="I254" s="264"/>
      <c r="J254" s="264"/>
      <c r="K254" s="264"/>
      <c r="L254" s="264"/>
      <c r="M254" s="264"/>
      <c r="N254" s="264"/>
      <c r="O254" s="264"/>
      <c r="P254" s="264"/>
      <c r="Q254" s="264"/>
      <c r="T254" s="264"/>
      <c r="U254" s="264"/>
    </row>
    <row r="255" spans="3:21" s="263" customFormat="1">
      <c r="C255" s="264"/>
      <c r="D255" s="264"/>
      <c r="E255" s="264"/>
      <c r="F255" s="264"/>
      <c r="G255" s="264"/>
      <c r="H255" s="264"/>
      <c r="I255" s="264"/>
      <c r="J255" s="264"/>
      <c r="K255" s="264"/>
      <c r="L255" s="264"/>
      <c r="M255" s="264"/>
      <c r="N255" s="264"/>
      <c r="O255" s="264"/>
      <c r="P255" s="264"/>
      <c r="Q255" s="264"/>
      <c r="T255" s="264"/>
      <c r="U255" s="264"/>
    </row>
    <row r="256" spans="3:21" s="263" customFormat="1">
      <c r="C256" s="264"/>
      <c r="D256" s="264"/>
      <c r="E256" s="264"/>
      <c r="F256" s="264"/>
      <c r="G256" s="264"/>
      <c r="H256" s="264"/>
      <c r="I256" s="264"/>
      <c r="J256" s="264"/>
      <c r="K256" s="264"/>
      <c r="L256" s="264"/>
      <c r="M256" s="264"/>
      <c r="N256" s="264"/>
      <c r="O256" s="264"/>
      <c r="P256" s="264"/>
      <c r="Q256" s="264"/>
      <c r="T256" s="264"/>
      <c r="U256" s="264"/>
    </row>
    <row r="257" spans="3:21" s="263" customFormat="1">
      <c r="C257" s="264"/>
      <c r="D257" s="264"/>
      <c r="E257" s="264"/>
      <c r="F257" s="264"/>
      <c r="G257" s="264"/>
      <c r="H257" s="264"/>
      <c r="I257" s="264"/>
      <c r="J257" s="264"/>
      <c r="K257" s="264"/>
      <c r="L257" s="264"/>
      <c r="M257" s="264"/>
      <c r="N257" s="264"/>
      <c r="O257" s="264"/>
      <c r="P257" s="264"/>
      <c r="Q257" s="264"/>
      <c r="T257" s="264"/>
      <c r="U257" s="264"/>
    </row>
    <row r="258" spans="3:21" s="263" customFormat="1">
      <c r="C258" s="264"/>
      <c r="D258" s="264"/>
      <c r="E258" s="264"/>
      <c r="F258" s="264"/>
      <c r="G258" s="264"/>
      <c r="H258" s="264"/>
      <c r="I258" s="264"/>
      <c r="J258" s="264"/>
      <c r="K258" s="264"/>
      <c r="L258" s="264"/>
      <c r="M258" s="264"/>
      <c r="N258" s="264"/>
      <c r="O258" s="264"/>
      <c r="P258" s="264"/>
      <c r="Q258" s="264"/>
      <c r="T258" s="264"/>
      <c r="U258" s="264"/>
    </row>
    <row r="259" spans="3:21" s="263" customFormat="1">
      <c r="C259" s="264"/>
      <c r="D259" s="264"/>
      <c r="E259" s="264"/>
      <c r="F259" s="264"/>
      <c r="G259" s="264"/>
      <c r="H259" s="264"/>
      <c r="I259" s="264"/>
      <c r="J259" s="264"/>
      <c r="K259" s="264"/>
      <c r="L259" s="264"/>
      <c r="M259" s="264"/>
      <c r="N259" s="264"/>
      <c r="O259" s="264"/>
      <c r="P259" s="264"/>
      <c r="Q259" s="264"/>
      <c r="T259" s="264"/>
      <c r="U259" s="264"/>
    </row>
    <row r="260" spans="3:21" s="263" customFormat="1">
      <c r="C260" s="264"/>
      <c r="D260" s="264"/>
      <c r="E260" s="264"/>
      <c r="F260" s="264"/>
      <c r="G260" s="264"/>
      <c r="H260" s="264"/>
      <c r="I260" s="264"/>
      <c r="J260" s="264"/>
      <c r="K260" s="264"/>
      <c r="L260" s="264"/>
      <c r="M260" s="264"/>
      <c r="N260" s="264"/>
      <c r="O260" s="264"/>
      <c r="P260" s="264"/>
      <c r="Q260" s="264"/>
      <c r="T260" s="264"/>
      <c r="U260" s="264"/>
    </row>
    <row r="261" spans="3:21" s="263" customFormat="1">
      <c r="C261" s="264"/>
      <c r="D261" s="264"/>
      <c r="E261" s="264"/>
      <c r="F261" s="264"/>
      <c r="G261" s="264"/>
      <c r="H261" s="264"/>
      <c r="I261" s="264"/>
      <c r="J261" s="264"/>
      <c r="K261" s="264"/>
      <c r="L261" s="264"/>
      <c r="M261" s="264"/>
      <c r="N261" s="264"/>
      <c r="O261" s="264"/>
      <c r="P261" s="264"/>
      <c r="Q261" s="264"/>
      <c r="T261" s="264"/>
      <c r="U261" s="264"/>
    </row>
    <row r="262" spans="3:21" s="263" customFormat="1">
      <c r="C262" s="264"/>
      <c r="D262" s="264"/>
      <c r="E262" s="264"/>
      <c r="F262" s="264"/>
      <c r="G262" s="264"/>
      <c r="H262" s="264"/>
      <c r="I262" s="264"/>
      <c r="J262" s="264"/>
      <c r="K262" s="264"/>
      <c r="L262" s="264"/>
      <c r="M262" s="264"/>
      <c r="N262" s="264"/>
      <c r="O262" s="264"/>
      <c r="P262" s="264"/>
      <c r="Q262" s="264"/>
      <c r="T262" s="264"/>
      <c r="U262" s="264"/>
    </row>
    <row r="263" spans="3:21" s="263" customFormat="1">
      <c r="C263" s="264"/>
      <c r="D263" s="264"/>
      <c r="E263" s="264"/>
      <c r="F263" s="264"/>
      <c r="G263" s="264"/>
      <c r="H263" s="264"/>
      <c r="I263" s="264"/>
      <c r="J263" s="264"/>
      <c r="K263" s="264"/>
      <c r="L263" s="264"/>
      <c r="M263" s="264"/>
      <c r="N263" s="264"/>
      <c r="O263" s="264"/>
      <c r="P263" s="264"/>
      <c r="Q263" s="264"/>
      <c r="T263" s="264"/>
      <c r="U263" s="264"/>
    </row>
    <row r="264" spans="3:21" s="263" customFormat="1">
      <c r="C264" s="264"/>
      <c r="D264" s="264"/>
      <c r="E264" s="264"/>
      <c r="F264" s="264"/>
      <c r="G264" s="264"/>
      <c r="H264" s="264"/>
      <c r="I264" s="264"/>
      <c r="J264" s="264"/>
      <c r="K264" s="264"/>
      <c r="L264" s="264"/>
      <c r="M264" s="264"/>
      <c r="N264" s="264"/>
      <c r="O264" s="264"/>
      <c r="P264" s="264"/>
      <c r="Q264" s="264"/>
      <c r="T264" s="264"/>
      <c r="U264" s="264"/>
    </row>
    <row r="265" spans="3:21" s="263" customFormat="1">
      <c r="C265" s="264"/>
      <c r="D265" s="264"/>
      <c r="E265" s="264"/>
      <c r="F265" s="264"/>
      <c r="G265" s="264"/>
      <c r="H265" s="264"/>
      <c r="I265" s="264"/>
      <c r="J265" s="264"/>
      <c r="K265" s="264"/>
      <c r="L265" s="264"/>
      <c r="M265" s="264"/>
      <c r="N265" s="264"/>
      <c r="O265" s="264"/>
      <c r="P265" s="264"/>
      <c r="Q265" s="264"/>
      <c r="T265" s="264"/>
      <c r="U265" s="264"/>
    </row>
    <row r="266" spans="3:21" s="263" customFormat="1">
      <c r="C266" s="264"/>
      <c r="D266" s="264"/>
      <c r="E266" s="264"/>
      <c r="F266" s="264"/>
      <c r="G266" s="264"/>
      <c r="H266" s="264"/>
      <c r="I266" s="264"/>
      <c r="J266" s="264"/>
      <c r="K266" s="264"/>
      <c r="L266" s="264"/>
      <c r="M266" s="264"/>
      <c r="N266" s="264"/>
      <c r="O266" s="264"/>
      <c r="P266" s="264"/>
      <c r="Q266" s="264"/>
      <c r="T266" s="264"/>
      <c r="U266" s="264"/>
    </row>
    <row r="267" spans="3:21" s="263" customFormat="1">
      <c r="C267" s="264"/>
      <c r="D267" s="264"/>
      <c r="E267" s="264"/>
      <c r="F267" s="264"/>
      <c r="G267" s="264"/>
      <c r="H267" s="264"/>
      <c r="I267" s="264"/>
      <c r="J267" s="264"/>
      <c r="K267" s="264"/>
      <c r="L267" s="264"/>
      <c r="M267" s="264"/>
      <c r="N267" s="264"/>
      <c r="O267" s="264"/>
      <c r="P267" s="264"/>
      <c r="Q267" s="264"/>
      <c r="T267" s="264"/>
      <c r="U267" s="264"/>
    </row>
    <row r="268" spans="3:21" s="263" customFormat="1">
      <c r="C268" s="264"/>
      <c r="D268" s="264"/>
      <c r="E268" s="264"/>
      <c r="F268" s="264"/>
      <c r="G268" s="264"/>
      <c r="H268" s="264"/>
      <c r="I268" s="264"/>
      <c r="J268" s="264"/>
      <c r="K268" s="264"/>
      <c r="L268" s="264"/>
      <c r="M268" s="264"/>
      <c r="N268" s="264"/>
      <c r="O268" s="264"/>
      <c r="P268" s="264"/>
      <c r="Q268" s="264"/>
      <c r="T268" s="264"/>
      <c r="U268" s="264"/>
    </row>
    <row r="269" spans="3:21" s="263" customFormat="1">
      <c r="C269" s="264"/>
      <c r="D269" s="264"/>
      <c r="E269" s="264"/>
      <c r="F269" s="264"/>
      <c r="G269" s="264"/>
      <c r="H269" s="264"/>
      <c r="I269" s="264"/>
      <c r="J269" s="264"/>
      <c r="K269" s="264"/>
      <c r="L269" s="264"/>
      <c r="M269" s="264"/>
      <c r="N269" s="264"/>
      <c r="O269" s="264"/>
      <c r="P269" s="264"/>
      <c r="Q269" s="264"/>
      <c r="T269" s="264"/>
      <c r="U269" s="264"/>
    </row>
    <row r="270" spans="3:21" s="263" customFormat="1">
      <c r="C270" s="264"/>
      <c r="D270" s="264"/>
      <c r="E270" s="264"/>
      <c r="F270" s="264"/>
      <c r="G270" s="264"/>
      <c r="H270" s="264"/>
      <c r="I270" s="264"/>
      <c r="J270" s="264"/>
      <c r="K270" s="264"/>
      <c r="L270" s="264"/>
      <c r="M270" s="264"/>
      <c r="N270" s="264"/>
      <c r="O270" s="264"/>
      <c r="P270" s="264"/>
      <c r="Q270" s="264"/>
      <c r="T270" s="264"/>
      <c r="U270" s="264"/>
    </row>
    <row r="271" spans="3:21" s="263" customFormat="1">
      <c r="C271" s="264"/>
      <c r="D271" s="264"/>
      <c r="E271" s="264"/>
      <c r="F271" s="264"/>
      <c r="G271" s="264"/>
      <c r="H271" s="264"/>
      <c r="I271" s="264"/>
      <c r="J271" s="264"/>
      <c r="K271" s="264"/>
      <c r="L271" s="264"/>
      <c r="M271" s="264"/>
      <c r="N271" s="264"/>
      <c r="O271" s="264"/>
      <c r="P271" s="264"/>
      <c r="Q271" s="264"/>
      <c r="T271" s="264"/>
      <c r="U271" s="264"/>
    </row>
    <row r="272" spans="3:21" s="263" customFormat="1">
      <c r="C272" s="264"/>
      <c r="D272" s="264"/>
      <c r="E272" s="264"/>
      <c r="F272" s="264"/>
      <c r="G272" s="264"/>
      <c r="H272" s="264"/>
      <c r="I272" s="264"/>
      <c r="J272" s="264"/>
      <c r="K272" s="264"/>
      <c r="L272" s="264"/>
      <c r="M272" s="264"/>
      <c r="N272" s="264"/>
      <c r="O272" s="264"/>
      <c r="P272" s="264"/>
      <c r="Q272" s="264"/>
      <c r="T272" s="264"/>
      <c r="U272" s="264"/>
    </row>
    <row r="273" spans="3:21" s="263" customFormat="1">
      <c r="C273" s="264"/>
      <c r="D273" s="264"/>
      <c r="E273" s="264"/>
      <c r="F273" s="264"/>
      <c r="G273" s="264"/>
      <c r="H273" s="264"/>
      <c r="I273" s="264"/>
      <c r="J273" s="264"/>
      <c r="K273" s="264"/>
      <c r="L273" s="264"/>
      <c r="M273" s="264"/>
      <c r="N273" s="264"/>
      <c r="O273" s="264"/>
      <c r="P273" s="264"/>
      <c r="Q273" s="264"/>
      <c r="T273" s="264"/>
      <c r="U273" s="264"/>
    </row>
    <row r="274" spans="3:21" s="263" customFormat="1">
      <c r="C274" s="264"/>
      <c r="D274" s="264"/>
      <c r="E274" s="264"/>
      <c r="F274" s="264"/>
      <c r="G274" s="264"/>
      <c r="H274" s="264"/>
      <c r="I274" s="264"/>
      <c r="J274" s="264"/>
      <c r="K274" s="264"/>
      <c r="L274" s="264"/>
      <c r="M274" s="264"/>
      <c r="N274" s="264"/>
      <c r="O274" s="264"/>
      <c r="P274" s="264"/>
      <c r="Q274" s="264"/>
      <c r="T274" s="264"/>
      <c r="U274" s="264"/>
    </row>
    <row r="275" spans="3:21" s="263" customFormat="1">
      <c r="C275" s="264"/>
      <c r="D275" s="264"/>
      <c r="E275" s="264"/>
      <c r="F275" s="264"/>
      <c r="G275" s="264"/>
      <c r="H275" s="264"/>
      <c r="I275" s="264"/>
      <c r="J275" s="264"/>
      <c r="K275" s="264"/>
      <c r="L275" s="264"/>
      <c r="M275" s="264"/>
      <c r="N275" s="264"/>
      <c r="O275" s="264"/>
      <c r="P275" s="264"/>
      <c r="Q275" s="264"/>
      <c r="T275" s="264"/>
      <c r="U275" s="264"/>
    </row>
    <row r="276" spans="3:21" s="263" customFormat="1">
      <c r="C276" s="264"/>
      <c r="D276" s="264"/>
      <c r="E276" s="264"/>
      <c r="F276" s="264"/>
      <c r="G276" s="264"/>
      <c r="H276" s="264"/>
      <c r="I276" s="264"/>
      <c r="J276" s="264"/>
      <c r="K276" s="264"/>
      <c r="L276" s="264"/>
      <c r="M276" s="264"/>
      <c r="N276" s="264"/>
      <c r="O276" s="264"/>
      <c r="P276" s="264"/>
      <c r="Q276" s="264"/>
      <c r="T276" s="264"/>
      <c r="U276" s="264"/>
    </row>
    <row r="277" spans="3:21" s="263" customFormat="1">
      <c r="C277" s="264"/>
      <c r="D277" s="264"/>
      <c r="E277" s="264"/>
      <c r="F277" s="264"/>
      <c r="G277" s="264"/>
      <c r="H277" s="264"/>
      <c r="I277" s="264"/>
      <c r="J277" s="264"/>
      <c r="K277" s="264"/>
      <c r="L277" s="264"/>
      <c r="M277" s="264"/>
      <c r="N277" s="264"/>
      <c r="O277" s="264"/>
      <c r="P277" s="264"/>
      <c r="Q277" s="264"/>
      <c r="T277" s="264"/>
      <c r="U277" s="264"/>
    </row>
    <row r="278" spans="3:21" s="263" customFormat="1">
      <c r="C278" s="264"/>
      <c r="D278" s="264"/>
      <c r="E278" s="264"/>
      <c r="F278" s="264"/>
      <c r="G278" s="264"/>
      <c r="H278" s="264"/>
      <c r="I278" s="264"/>
      <c r="J278" s="264"/>
      <c r="K278" s="264"/>
      <c r="L278" s="264"/>
      <c r="M278" s="264"/>
      <c r="N278" s="264"/>
      <c r="O278" s="264"/>
      <c r="P278" s="264"/>
      <c r="Q278" s="264"/>
      <c r="T278" s="264"/>
      <c r="U278" s="264"/>
    </row>
    <row r="279" spans="3:21" s="263" customFormat="1">
      <c r="C279" s="264"/>
      <c r="D279" s="264"/>
      <c r="E279" s="264"/>
      <c r="F279" s="264"/>
      <c r="G279" s="264"/>
      <c r="H279" s="264"/>
      <c r="I279" s="264"/>
      <c r="J279" s="264"/>
      <c r="K279" s="264"/>
      <c r="L279" s="264"/>
      <c r="M279" s="264"/>
      <c r="N279" s="264"/>
      <c r="O279" s="264"/>
      <c r="P279" s="264"/>
      <c r="Q279" s="264"/>
      <c r="T279" s="264"/>
      <c r="U279" s="264"/>
    </row>
    <row r="280" spans="3:21" s="263" customFormat="1">
      <c r="C280" s="264"/>
      <c r="D280" s="264"/>
      <c r="E280" s="264"/>
      <c r="F280" s="264"/>
      <c r="G280" s="264"/>
      <c r="H280" s="264"/>
      <c r="I280" s="264"/>
      <c r="J280" s="264"/>
      <c r="K280" s="264"/>
      <c r="L280" s="264"/>
      <c r="M280" s="264"/>
      <c r="N280" s="264"/>
      <c r="O280" s="264"/>
      <c r="P280" s="264"/>
      <c r="Q280" s="264"/>
      <c r="T280" s="264"/>
      <c r="U280" s="264"/>
    </row>
    <row r="281" spans="3:21" s="263" customFormat="1">
      <c r="C281" s="264"/>
      <c r="D281" s="264"/>
      <c r="E281" s="264"/>
      <c r="F281" s="264"/>
      <c r="G281" s="264"/>
      <c r="H281" s="264"/>
      <c r="I281" s="264"/>
      <c r="J281" s="264"/>
      <c r="K281" s="264"/>
      <c r="L281" s="264"/>
      <c r="M281" s="264"/>
      <c r="N281" s="264"/>
      <c r="O281" s="264"/>
      <c r="P281" s="264"/>
      <c r="Q281" s="264"/>
      <c r="T281" s="264"/>
      <c r="U281" s="264"/>
    </row>
    <row r="282" spans="3:21" s="263" customFormat="1">
      <c r="C282" s="264"/>
      <c r="D282" s="264"/>
      <c r="E282" s="264"/>
      <c r="F282" s="264"/>
      <c r="G282" s="264"/>
      <c r="H282" s="264"/>
      <c r="I282" s="264"/>
      <c r="J282" s="264"/>
      <c r="K282" s="264"/>
      <c r="L282" s="264"/>
      <c r="M282" s="264"/>
      <c r="N282" s="264"/>
      <c r="O282" s="264"/>
      <c r="P282" s="264"/>
      <c r="Q282" s="264"/>
      <c r="T282" s="264"/>
      <c r="U282" s="264"/>
    </row>
    <row r="283" spans="3:21" s="263" customFormat="1">
      <c r="C283" s="264"/>
      <c r="D283" s="264"/>
      <c r="E283" s="264"/>
      <c r="F283" s="264"/>
      <c r="G283" s="264"/>
      <c r="H283" s="264"/>
      <c r="I283" s="264"/>
      <c r="J283" s="264"/>
      <c r="K283" s="264"/>
      <c r="L283" s="264"/>
      <c r="M283" s="264"/>
      <c r="N283" s="264"/>
      <c r="O283" s="264"/>
      <c r="P283" s="264"/>
      <c r="Q283" s="264"/>
      <c r="T283" s="264"/>
      <c r="U283" s="264"/>
    </row>
    <row r="284" spans="3:21" s="263" customFormat="1">
      <c r="C284" s="264"/>
      <c r="D284" s="264"/>
      <c r="E284" s="264"/>
      <c r="F284" s="264"/>
      <c r="G284" s="264"/>
      <c r="H284" s="264"/>
      <c r="I284" s="264"/>
      <c r="J284" s="264"/>
      <c r="K284" s="264"/>
      <c r="L284" s="264"/>
      <c r="M284" s="264"/>
      <c r="N284" s="264"/>
      <c r="O284" s="264"/>
      <c r="P284" s="264"/>
      <c r="Q284" s="264"/>
      <c r="T284" s="264"/>
      <c r="U284" s="264"/>
    </row>
    <row r="285" spans="3:21" s="263" customFormat="1">
      <c r="C285" s="264"/>
      <c r="D285" s="264"/>
      <c r="E285" s="264"/>
      <c r="F285" s="264"/>
      <c r="G285" s="264"/>
      <c r="H285" s="264"/>
      <c r="I285" s="264"/>
      <c r="J285" s="264"/>
      <c r="K285" s="264"/>
      <c r="L285" s="264"/>
      <c r="M285" s="264"/>
      <c r="N285" s="264"/>
      <c r="O285" s="264"/>
      <c r="P285" s="264"/>
      <c r="Q285" s="264"/>
      <c r="T285" s="264"/>
      <c r="U285" s="264"/>
    </row>
    <row r="286" spans="3:21" s="263" customFormat="1">
      <c r="C286" s="264"/>
      <c r="D286" s="264"/>
      <c r="E286" s="264"/>
      <c r="F286" s="264"/>
      <c r="G286" s="264"/>
      <c r="H286" s="264"/>
      <c r="I286" s="264"/>
      <c r="J286" s="264"/>
      <c r="K286" s="264"/>
      <c r="L286" s="264"/>
      <c r="M286" s="264"/>
      <c r="N286" s="264"/>
      <c r="O286" s="264"/>
      <c r="P286" s="264"/>
      <c r="Q286" s="264"/>
      <c r="T286" s="264"/>
      <c r="U286" s="264"/>
    </row>
    <row r="287" spans="3:21" s="263" customFormat="1">
      <c r="C287" s="264"/>
      <c r="D287" s="264"/>
      <c r="E287" s="264"/>
      <c r="F287" s="264"/>
      <c r="G287" s="264"/>
      <c r="H287" s="264"/>
      <c r="I287" s="264"/>
      <c r="J287" s="264"/>
      <c r="K287" s="264"/>
      <c r="L287" s="264"/>
      <c r="M287" s="264"/>
      <c r="N287" s="264"/>
      <c r="O287" s="264"/>
      <c r="P287" s="264"/>
      <c r="Q287" s="264"/>
      <c r="T287" s="264"/>
      <c r="U287" s="264"/>
    </row>
    <row r="288" spans="3:21" s="263" customFormat="1">
      <c r="C288" s="264"/>
      <c r="D288" s="264"/>
      <c r="E288" s="264"/>
      <c r="F288" s="264"/>
      <c r="G288" s="264"/>
      <c r="H288" s="264"/>
      <c r="I288" s="264"/>
      <c r="J288" s="264"/>
      <c r="K288" s="264"/>
      <c r="L288" s="264"/>
      <c r="M288" s="264"/>
      <c r="N288" s="264"/>
      <c r="O288" s="264"/>
      <c r="P288" s="264"/>
      <c r="Q288" s="264"/>
      <c r="T288" s="264"/>
      <c r="U288" s="264"/>
    </row>
    <row r="289" spans="3:21" s="263" customFormat="1">
      <c r="C289" s="264"/>
      <c r="D289" s="264"/>
      <c r="E289" s="264"/>
      <c r="F289" s="264"/>
      <c r="G289" s="264"/>
      <c r="H289" s="264"/>
      <c r="I289" s="264"/>
      <c r="J289" s="264"/>
      <c r="K289" s="264"/>
      <c r="L289" s="264"/>
      <c r="M289" s="264"/>
      <c r="N289" s="264"/>
      <c r="O289" s="264"/>
      <c r="P289" s="264"/>
      <c r="Q289" s="264"/>
      <c r="T289" s="264"/>
      <c r="U289" s="264"/>
    </row>
    <row r="290" spans="3:21" s="263" customFormat="1">
      <c r="C290" s="264"/>
      <c r="D290" s="264"/>
      <c r="E290" s="264"/>
      <c r="F290" s="264"/>
      <c r="G290" s="264"/>
      <c r="H290" s="264"/>
      <c r="I290" s="264"/>
      <c r="J290" s="264"/>
      <c r="K290" s="264"/>
      <c r="L290" s="264"/>
      <c r="M290" s="264"/>
      <c r="N290" s="264"/>
      <c r="O290" s="264"/>
      <c r="P290" s="264"/>
      <c r="Q290" s="264"/>
      <c r="T290" s="264"/>
      <c r="U290" s="264"/>
    </row>
    <row r="291" spans="3:21" s="263" customFormat="1">
      <c r="C291" s="264"/>
      <c r="D291" s="264"/>
      <c r="E291" s="264"/>
      <c r="F291" s="264"/>
      <c r="G291" s="264"/>
      <c r="H291" s="264"/>
      <c r="I291" s="264"/>
      <c r="J291" s="264"/>
      <c r="K291" s="264"/>
      <c r="L291" s="264"/>
      <c r="M291" s="264"/>
      <c r="N291" s="264"/>
      <c r="O291" s="264"/>
      <c r="P291" s="264"/>
      <c r="Q291" s="264"/>
      <c r="T291" s="264"/>
      <c r="U291" s="264"/>
    </row>
    <row r="292" spans="3:21" s="263" customFormat="1">
      <c r="C292" s="264"/>
      <c r="D292" s="264"/>
      <c r="E292" s="264"/>
      <c r="F292" s="264"/>
      <c r="G292" s="264"/>
      <c r="H292" s="264"/>
      <c r="I292" s="264"/>
      <c r="J292" s="264"/>
      <c r="K292" s="264"/>
      <c r="L292" s="264"/>
      <c r="M292" s="264"/>
      <c r="N292" s="264"/>
      <c r="O292" s="264"/>
      <c r="P292" s="264"/>
      <c r="Q292" s="264"/>
      <c r="T292" s="264"/>
      <c r="U292" s="264"/>
    </row>
    <row r="293" spans="3:21" s="263" customFormat="1">
      <c r="C293" s="264"/>
      <c r="D293" s="264"/>
      <c r="E293" s="264"/>
      <c r="F293" s="264"/>
      <c r="G293" s="264"/>
      <c r="H293" s="264"/>
      <c r="I293" s="264"/>
      <c r="J293" s="264"/>
      <c r="K293" s="264"/>
      <c r="L293" s="264"/>
      <c r="M293" s="264"/>
      <c r="N293" s="264"/>
      <c r="O293" s="264"/>
      <c r="P293" s="264"/>
      <c r="Q293" s="264"/>
      <c r="T293" s="264"/>
      <c r="U293" s="264"/>
    </row>
    <row r="294" spans="3:21" s="263" customFormat="1">
      <c r="C294" s="264"/>
      <c r="D294" s="264"/>
      <c r="E294" s="264"/>
      <c r="F294" s="264"/>
      <c r="G294" s="264"/>
      <c r="H294" s="264"/>
      <c r="I294" s="264"/>
      <c r="J294" s="264"/>
      <c r="K294" s="264"/>
      <c r="L294" s="264"/>
      <c r="M294" s="264"/>
      <c r="N294" s="264"/>
      <c r="O294" s="264"/>
      <c r="P294" s="264"/>
      <c r="Q294" s="264"/>
      <c r="T294" s="264"/>
      <c r="U294" s="264"/>
    </row>
    <row r="295" spans="3:21" s="263" customFormat="1">
      <c r="C295" s="264"/>
      <c r="D295" s="264"/>
      <c r="E295" s="264"/>
      <c r="F295" s="264"/>
      <c r="G295" s="264"/>
      <c r="H295" s="264"/>
      <c r="I295" s="264"/>
      <c r="J295" s="264"/>
      <c r="K295" s="264"/>
      <c r="L295" s="264"/>
      <c r="M295" s="264"/>
      <c r="N295" s="264"/>
      <c r="O295" s="264"/>
      <c r="P295" s="264"/>
      <c r="Q295" s="264"/>
      <c r="T295" s="264"/>
      <c r="U295" s="264"/>
    </row>
    <row r="296" spans="3:21" s="263" customFormat="1">
      <c r="C296" s="264"/>
      <c r="D296" s="264"/>
      <c r="E296" s="264"/>
      <c r="F296" s="264"/>
      <c r="G296" s="264"/>
      <c r="H296" s="264"/>
      <c r="I296" s="264"/>
      <c r="J296" s="264"/>
      <c r="K296" s="264"/>
      <c r="L296" s="264"/>
      <c r="M296" s="264"/>
      <c r="N296" s="264"/>
      <c r="O296" s="264"/>
      <c r="P296" s="264"/>
      <c r="Q296" s="264"/>
      <c r="T296" s="264"/>
      <c r="U296" s="264"/>
    </row>
    <row r="297" spans="3:21" s="263" customFormat="1">
      <c r="C297" s="264"/>
      <c r="D297" s="264"/>
      <c r="E297" s="264"/>
      <c r="F297" s="264"/>
      <c r="G297" s="264"/>
      <c r="H297" s="264"/>
      <c r="I297" s="264"/>
      <c r="J297" s="264"/>
      <c r="K297" s="264"/>
      <c r="L297" s="264"/>
      <c r="M297" s="264"/>
      <c r="N297" s="264"/>
      <c r="O297" s="264"/>
      <c r="P297" s="264"/>
      <c r="Q297" s="264"/>
      <c r="T297" s="264"/>
      <c r="U297" s="264"/>
    </row>
    <row r="298" spans="3:21" s="263" customFormat="1">
      <c r="C298" s="264"/>
      <c r="D298" s="264"/>
      <c r="E298" s="264"/>
      <c r="F298" s="264"/>
      <c r="G298" s="264"/>
      <c r="H298" s="264"/>
      <c r="I298" s="264"/>
      <c r="J298" s="264"/>
      <c r="K298" s="264"/>
      <c r="L298" s="264"/>
      <c r="M298" s="264"/>
      <c r="N298" s="264"/>
      <c r="O298" s="264"/>
      <c r="P298" s="264"/>
      <c r="Q298" s="264"/>
      <c r="T298" s="264"/>
      <c r="U298" s="264"/>
    </row>
    <row r="299" spans="3:21" s="263" customFormat="1">
      <c r="C299" s="264"/>
      <c r="D299" s="264"/>
      <c r="E299" s="264"/>
      <c r="F299" s="264"/>
      <c r="G299" s="264"/>
      <c r="H299" s="264"/>
      <c r="I299" s="264"/>
      <c r="J299" s="264"/>
      <c r="K299" s="264"/>
      <c r="L299" s="264"/>
      <c r="M299" s="264"/>
      <c r="N299" s="264"/>
      <c r="O299" s="264"/>
      <c r="P299" s="264"/>
      <c r="Q299" s="264"/>
      <c r="T299" s="264"/>
      <c r="U299" s="264"/>
    </row>
    <row r="300" spans="3:21" s="263" customFormat="1">
      <c r="C300" s="264"/>
      <c r="D300" s="264"/>
      <c r="E300" s="264"/>
      <c r="F300" s="264"/>
      <c r="G300" s="264"/>
      <c r="H300" s="264"/>
      <c r="I300" s="264"/>
      <c r="J300" s="264"/>
      <c r="K300" s="264"/>
      <c r="L300" s="264"/>
      <c r="M300" s="264"/>
      <c r="N300" s="264"/>
      <c r="O300" s="264"/>
      <c r="P300" s="264"/>
      <c r="Q300" s="264"/>
      <c r="T300" s="264"/>
      <c r="U300" s="264"/>
    </row>
    <row r="301" spans="3:21" s="263" customFormat="1">
      <c r="C301" s="264"/>
      <c r="D301" s="264"/>
      <c r="E301" s="264"/>
      <c r="F301" s="264"/>
      <c r="G301" s="264"/>
      <c r="H301" s="264"/>
      <c r="I301" s="264"/>
      <c r="J301" s="264"/>
      <c r="K301" s="264"/>
      <c r="L301" s="264"/>
      <c r="M301" s="264"/>
      <c r="N301" s="264"/>
      <c r="O301" s="264"/>
      <c r="P301" s="264"/>
      <c r="Q301" s="264"/>
      <c r="T301" s="264"/>
      <c r="U301" s="264"/>
    </row>
    <row r="302" spans="3:21" s="263" customFormat="1">
      <c r="C302" s="264"/>
      <c r="D302" s="264"/>
      <c r="E302" s="264"/>
      <c r="F302" s="264"/>
      <c r="G302" s="264"/>
      <c r="H302" s="264"/>
      <c r="I302" s="264"/>
      <c r="J302" s="264"/>
      <c r="K302" s="264"/>
      <c r="L302" s="264"/>
      <c r="M302" s="264"/>
      <c r="N302" s="264"/>
      <c r="O302" s="264"/>
      <c r="P302" s="264"/>
      <c r="Q302" s="264"/>
      <c r="T302" s="264"/>
      <c r="U302" s="264"/>
    </row>
    <row r="303" spans="3:21" s="263" customFormat="1">
      <c r="C303" s="264"/>
      <c r="D303" s="264"/>
      <c r="E303" s="264"/>
      <c r="F303" s="264"/>
      <c r="G303" s="264"/>
      <c r="H303" s="264"/>
      <c r="I303" s="264"/>
      <c r="J303" s="264"/>
      <c r="K303" s="264"/>
      <c r="L303" s="264"/>
      <c r="M303" s="264"/>
      <c r="N303" s="264"/>
      <c r="O303" s="264"/>
      <c r="P303" s="264"/>
      <c r="Q303" s="264"/>
      <c r="T303" s="264"/>
      <c r="U303" s="264"/>
    </row>
    <row r="304" spans="3:21" s="263" customFormat="1">
      <c r="C304" s="264"/>
      <c r="D304" s="264"/>
      <c r="E304" s="264"/>
      <c r="F304" s="264"/>
      <c r="G304" s="264"/>
      <c r="H304" s="264"/>
      <c r="I304" s="264"/>
      <c r="J304" s="264"/>
      <c r="K304" s="264"/>
      <c r="L304" s="264"/>
      <c r="M304" s="264"/>
      <c r="N304" s="264"/>
      <c r="O304" s="264"/>
      <c r="P304" s="264"/>
      <c r="Q304" s="264"/>
      <c r="T304" s="264"/>
      <c r="U304" s="264"/>
    </row>
    <row r="305" spans="3:21" s="263" customFormat="1">
      <c r="C305" s="264"/>
      <c r="D305" s="264"/>
      <c r="E305" s="264"/>
      <c r="F305" s="264"/>
      <c r="G305" s="264"/>
      <c r="H305" s="264"/>
      <c r="I305" s="264"/>
      <c r="J305" s="264"/>
      <c r="K305" s="264"/>
      <c r="L305" s="264"/>
      <c r="M305" s="264"/>
      <c r="N305" s="264"/>
      <c r="O305" s="264"/>
      <c r="P305" s="264"/>
      <c r="Q305" s="264"/>
      <c r="T305" s="264"/>
      <c r="U305" s="264"/>
    </row>
    <row r="306" spans="3:21" s="263" customFormat="1">
      <c r="C306" s="264"/>
      <c r="D306" s="264"/>
      <c r="E306" s="264"/>
      <c r="F306" s="264"/>
      <c r="G306" s="264"/>
      <c r="H306" s="264"/>
      <c r="I306" s="264"/>
      <c r="J306" s="264"/>
      <c r="K306" s="264"/>
      <c r="L306" s="264"/>
      <c r="M306" s="264"/>
      <c r="N306" s="264"/>
      <c r="O306" s="264"/>
      <c r="P306" s="264"/>
      <c r="Q306" s="264"/>
      <c r="T306" s="264"/>
      <c r="U306" s="264"/>
    </row>
    <row r="307" spans="3:21" s="263" customFormat="1">
      <c r="C307" s="264"/>
      <c r="D307" s="264"/>
      <c r="E307" s="264"/>
      <c r="F307" s="264"/>
      <c r="G307" s="264"/>
      <c r="H307" s="264"/>
      <c r="I307" s="264"/>
      <c r="J307" s="264"/>
      <c r="K307" s="264"/>
      <c r="L307" s="264"/>
      <c r="M307" s="264"/>
      <c r="N307" s="264"/>
      <c r="O307" s="264"/>
      <c r="P307" s="264"/>
      <c r="Q307" s="264"/>
      <c r="T307" s="264"/>
      <c r="U307" s="264"/>
    </row>
    <row r="308" spans="3:21" s="263" customFormat="1">
      <c r="C308" s="264"/>
      <c r="D308" s="264"/>
      <c r="E308" s="264"/>
      <c r="F308" s="264"/>
      <c r="G308" s="264"/>
      <c r="H308" s="264"/>
      <c r="I308" s="264"/>
      <c r="J308" s="264"/>
      <c r="K308" s="264"/>
      <c r="L308" s="264"/>
      <c r="M308" s="264"/>
      <c r="N308" s="264"/>
      <c r="O308" s="264"/>
      <c r="P308" s="264"/>
      <c r="Q308" s="264"/>
      <c r="T308" s="264"/>
      <c r="U308" s="264"/>
    </row>
    <row r="309" spans="3:21" s="263" customFormat="1">
      <c r="C309" s="264"/>
      <c r="D309" s="264"/>
      <c r="E309" s="264"/>
      <c r="F309" s="264"/>
      <c r="G309" s="264"/>
      <c r="H309" s="264"/>
      <c r="I309" s="264"/>
      <c r="J309" s="264"/>
      <c r="K309" s="264"/>
      <c r="L309" s="264"/>
      <c r="M309" s="264"/>
      <c r="N309" s="264"/>
      <c r="O309" s="264"/>
      <c r="P309" s="264"/>
      <c r="Q309" s="264"/>
      <c r="T309" s="264"/>
      <c r="U309" s="264"/>
    </row>
    <row r="310" spans="3:21" s="263" customFormat="1">
      <c r="C310" s="264"/>
      <c r="D310" s="264"/>
      <c r="E310" s="264"/>
      <c r="F310" s="264"/>
      <c r="G310" s="264"/>
      <c r="H310" s="264"/>
      <c r="I310" s="264"/>
      <c r="J310" s="264"/>
      <c r="K310" s="264"/>
      <c r="L310" s="264"/>
      <c r="M310" s="264"/>
      <c r="N310" s="264"/>
      <c r="O310" s="264"/>
      <c r="P310" s="264"/>
      <c r="Q310" s="264"/>
      <c r="T310" s="264"/>
      <c r="U310" s="264"/>
    </row>
    <row r="311" spans="3:21" s="263" customFormat="1">
      <c r="C311" s="264"/>
      <c r="D311" s="264"/>
      <c r="E311" s="264"/>
      <c r="F311" s="264"/>
      <c r="G311" s="264"/>
      <c r="H311" s="264"/>
      <c r="I311" s="264"/>
      <c r="J311" s="264"/>
      <c r="K311" s="264"/>
      <c r="L311" s="264"/>
      <c r="M311" s="264"/>
      <c r="N311" s="264"/>
      <c r="O311" s="264"/>
      <c r="P311" s="264"/>
      <c r="Q311" s="264"/>
      <c r="T311" s="264"/>
      <c r="U311" s="264"/>
    </row>
    <row r="312" spans="3:21" s="263" customFormat="1">
      <c r="C312" s="264"/>
      <c r="D312" s="264"/>
      <c r="E312" s="264"/>
      <c r="F312" s="264"/>
      <c r="G312" s="264"/>
      <c r="H312" s="264"/>
      <c r="I312" s="264"/>
      <c r="J312" s="264"/>
      <c r="K312" s="264"/>
      <c r="L312" s="264"/>
      <c r="M312" s="264"/>
      <c r="N312" s="264"/>
      <c r="O312" s="264"/>
      <c r="P312" s="264"/>
      <c r="Q312" s="264"/>
      <c r="T312" s="264"/>
      <c r="U312" s="264"/>
    </row>
    <row r="313" spans="3:21" s="263" customFormat="1">
      <c r="C313" s="264"/>
      <c r="D313" s="264"/>
      <c r="E313" s="264"/>
      <c r="F313" s="264"/>
      <c r="G313" s="264"/>
      <c r="H313" s="264"/>
      <c r="I313" s="264"/>
      <c r="J313" s="264"/>
      <c r="K313" s="264"/>
      <c r="L313" s="264"/>
      <c r="M313" s="264"/>
      <c r="N313" s="264"/>
      <c r="O313" s="264"/>
      <c r="P313" s="264"/>
      <c r="Q313" s="264"/>
      <c r="T313" s="264"/>
      <c r="U313" s="264"/>
    </row>
    <row r="314" spans="3:21" s="263" customFormat="1">
      <c r="C314" s="264"/>
      <c r="D314" s="264"/>
      <c r="E314" s="264"/>
      <c r="F314" s="264"/>
      <c r="G314" s="264"/>
      <c r="H314" s="264"/>
      <c r="I314" s="264"/>
      <c r="J314" s="264"/>
      <c r="K314" s="264"/>
      <c r="L314" s="264"/>
      <c r="M314" s="264"/>
      <c r="N314" s="264"/>
      <c r="O314" s="264"/>
      <c r="P314" s="264"/>
      <c r="Q314" s="264"/>
      <c r="T314" s="264"/>
      <c r="U314" s="264"/>
    </row>
    <row r="315" spans="3:21" s="263" customFormat="1">
      <c r="C315" s="264"/>
      <c r="D315" s="264"/>
      <c r="E315" s="264"/>
      <c r="F315" s="264"/>
      <c r="G315" s="264"/>
      <c r="H315" s="264"/>
      <c r="I315" s="264"/>
      <c r="J315" s="264"/>
      <c r="K315" s="264"/>
      <c r="L315" s="264"/>
      <c r="M315" s="264"/>
      <c r="N315" s="264"/>
      <c r="O315" s="264"/>
      <c r="P315" s="264"/>
      <c r="Q315" s="264"/>
      <c r="T315" s="264"/>
      <c r="U315" s="264"/>
    </row>
    <row r="316" spans="3:21" s="263" customFormat="1">
      <c r="C316" s="264"/>
      <c r="D316" s="264"/>
      <c r="E316" s="264"/>
      <c r="F316" s="264"/>
      <c r="G316" s="264"/>
      <c r="H316" s="264"/>
      <c r="I316" s="264"/>
      <c r="J316" s="264"/>
      <c r="K316" s="264"/>
      <c r="L316" s="264"/>
      <c r="M316" s="264"/>
      <c r="N316" s="264"/>
      <c r="O316" s="264"/>
      <c r="P316" s="264"/>
      <c r="Q316" s="264"/>
      <c r="T316" s="264"/>
      <c r="U316" s="264"/>
    </row>
    <row r="317" spans="3:21" s="263" customFormat="1">
      <c r="C317" s="264"/>
      <c r="D317" s="264"/>
      <c r="E317" s="264"/>
      <c r="F317" s="264"/>
      <c r="G317" s="264"/>
      <c r="H317" s="264"/>
      <c r="I317" s="264"/>
      <c r="J317" s="264"/>
      <c r="K317" s="264"/>
      <c r="L317" s="264"/>
      <c r="M317" s="264"/>
      <c r="N317" s="264"/>
      <c r="O317" s="264"/>
      <c r="P317" s="264"/>
      <c r="Q317" s="264"/>
      <c r="T317" s="264"/>
      <c r="U317" s="264"/>
    </row>
    <row r="318" spans="3:21" s="263" customFormat="1">
      <c r="C318" s="264"/>
      <c r="D318" s="264"/>
      <c r="E318" s="264"/>
      <c r="F318" s="264"/>
      <c r="G318" s="264"/>
      <c r="H318" s="264"/>
      <c r="I318" s="264"/>
      <c r="J318" s="264"/>
      <c r="K318" s="264"/>
      <c r="L318" s="264"/>
      <c r="M318" s="264"/>
      <c r="N318" s="264"/>
      <c r="O318" s="264"/>
      <c r="P318" s="264"/>
      <c r="Q318" s="264"/>
      <c r="T318" s="264"/>
      <c r="U318" s="264"/>
    </row>
    <row r="319" spans="3:21" s="263" customFormat="1">
      <c r="C319" s="264"/>
      <c r="D319" s="264"/>
      <c r="E319" s="264"/>
      <c r="F319" s="264"/>
      <c r="G319" s="264"/>
      <c r="H319" s="264"/>
      <c r="I319" s="264"/>
      <c r="J319" s="264"/>
      <c r="K319" s="264"/>
      <c r="L319" s="264"/>
      <c r="M319" s="264"/>
      <c r="N319" s="264"/>
      <c r="O319" s="264"/>
      <c r="P319" s="264"/>
      <c r="Q319" s="264"/>
      <c r="T319" s="264"/>
      <c r="U319" s="264"/>
    </row>
    <row r="320" spans="3:21" s="263" customFormat="1">
      <c r="C320" s="264"/>
      <c r="D320" s="264"/>
      <c r="E320" s="264"/>
      <c r="F320" s="264"/>
      <c r="G320" s="264"/>
      <c r="H320" s="264"/>
      <c r="I320" s="264"/>
      <c r="J320" s="264"/>
      <c r="K320" s="264"/>
      <c r="L320" s="264"/>
      <c r="M320" s="264"/>
      <c r="N320" s="264"/>
      <c r="O320" s="264"/>
      <c r="P320" s="264"/>
      <c r="Q320" s="264"/>
      <c r="T320" s="264"/>
      <c r="U320" s="264"/>
    </row>
    <row r="321" spans="3:21" s="263" customFormat="1">
      <c r="C321" s="264"/>
      <c r="D321" s="264"/>
      <c r="E321" s="264"/>
      <c r="F321" s="264"/>
      <c r="G321" s="264"/>
      <c r="H321" s="264"/>
      <c r="I321" s="264"/>
      <c r="J321" s="264"/>
      <c r="K321" s="264"/>
      <c r="L321" s="264"/>
      <c r="M321" s="264"/>
      <c r="N321" s="264"/>
      <c r="O321" s="264"/>
      <c r="P321" s="264"/>
      <c r="Q321" s="264"/>
      <c r="T321" s="264"/>
      <c r="U321" s="264"/>
    </row>
    <row r="322" spans="3:21" s="263" customFormat="1">
      <c r="C322" s="264"/>
      <c r="D322" s="264"/>
      <c r="E322" s="264"/>
      <c r="F322" s="264"/>
      <c r="G322" s="264"/>
      <c r="H322" s="264"/>
      <c r="I322" s="264"/>
      <c r="J322" s="264"/>
      <c r="K322" s="264"/>
      <c r="L322" s="264"/>
      <c r="M322" s="264"/>
      <c r="N322" s="264"/>
      <c r="O322" s="264"/>
      <c r="P322" s="264"/>
      <c r="Q322" s="264"/>
      <c r="T322" s="264"/>
      <c r="U322" s="264"/>
    </row>
    <row r="323" spans="3:21" s="263" customFormat="1">
      <c r="C323" s="264"/>
      <c r="D323" s="264"/>
      <c r="E323" s="264"/>
      <c r="F323" s="264"/>
      <c r="G323" s="264"/>
      <c r="H323" s="264"/>
      <c r="I323" s="264"/>
      <c r="J323" s="264"/>
      <c r="K323" s="264"/>
      <c r="L323" s="264"/>
      <c r="M323" s="264"/>
      <c r="N323" s="264"/>
      <c r="O323" s="264"/>
      <c r="P323" s="264"/>
      <c r="Q323" s="264"/>
      <c r="T323" s="264"/>
      <c r="U323" s="264"/>
    </row>
    <row r="324" spans="3:21" s="263" customFormat="1">
      <c r="C324" s="264"/>
      <c r="D324" s="264"/>
      <c r="E324" s="264"/>
      <c r="F324" s="264"/>
      <c r="G324" s="264"/>
      <c r="H324" s="264"/>
      <c r="I324" s="264"/>
      <c r="J324" s="264"/>
      <c r="K324" s="264"/>
      <c r="L324" s="264"/>
      <c r="M324" s="264"/>
      <c r="N324" s="264"/>
      <c r="O324" s="264"/>
      <c r="P324" s="264"/>
      <c r="Q324" s="264"/>
      <c r="T324" s="264"/>
      <c r="U324" s="264"/>
    </row>
    <row r="325" spans="3:21" s="263" customFormat="1">
      <c r="C325" s="264"/>
      <c r="D325" s="264"/>
      <c r="E325" s="264"/>
      <c r="F325" s="264"/>
      <c r="G325" s="264"/>
      <c r="H325" s="264"/>
      <c r="I325" s="264"/>
      <c r="J325" s="264"/>
      <c r="K325" s="264"/>
      <c r="L325" s="264"/>
      <c r="M325" s="264"/>
      <c r="N325" s="264"/>
      <c r="O325" s="264"/>
      <c r="P325" s="264"/>
      <c r="Q325" s="264"/>
      <c r="T325" s="264"/>
      <c r="U325" s="264"/>
    </row>
    <row r="326" spans="3:21" s="263" customFormat="1">
      <c r="C326" s="264"/>
      <c r="D326" s="264"/>
      <c r="E326" s="264"/>
      <c r="F326" s="264"/>
      <c r="G326" s="264"/>
      <c r="H326" s="264"/>
      <c r="I326" s="264"/>
      <c r="J326" s="264"/>
      <c r="K326" s="264"/>
      <c r="L326" s="264"/>
      <c r="M326" s="264"/>
      <c r="N326" s="264"/>
      <c r="O326" s="264"/>
      <c r="P326" s="264"/>
      <c r="Q326" s="264"/>
      <c r="T326" s="264"/>
      <c r="U326" s="264"/>
    </row>
    <row r="327" spans="3:21" s="263" customFormat="1">
      <c r="C327" s="264"/>
      <c r="D327" s="264"/>
      <c r="E327" s="264"/>
      <c r="F327" s="264"/>
      <c r="G327" s="264"/>
      <c r="H327" s="264"/>
      <c r="I327" s="264"/>
      <c r="J327" s="264"/>
      <c r="K327" s="264"/>
      <c r="L327" s="264"/>
      <c r="M327" s="264"/>
      <c r="N327" s="264"/>
      <c r="O327" s="264"/>
      <c r="P327" s="264"/>
      <c r="Q327" s="264"/>
      <c r="T327" s="264"/>
      <c r="U327" s="264"/>
    </row>
    <row r="328" spans="3:21" s="263" customFormat="1">
      <c r="C328" s="264"/>
      <c r="D328" s="264"/>
      <c r="E328" s="264"/>
      <c r="F328" s="264"/>
      <c r="G328" s="264"/>
      <c r="H328" s="264"/>
      <c r="I328" s="264"/>
      <c r="J328" s="264"/>
      <c r="K328" s="264"/>
      <c r="L328" s="264"/>
      <c r="M328" s="264"/>
      <c r="N328" s="264"/>
      <c r="O328" s="264"/>
      <c r="P328" s="264"/>
      <c r="Q328" s="264"/>
      <c r="T328" s="264"/>
      <c r="U328" s="264"/>
    </row>
    <row r="329" spans="3:21" s="263" customFormat="1">
      <c r="C329" s="264"/>
      <c r="D329" s="264"/>
      <c r="E329" s="264"/>
      <c r="F329" s="264"/>
      <c r="G329" s="264"/>
      <c r="H329" s="264"/>
      <c r="I329" s="264"/>
      <c r="J329" s="264"/>
      <c r="K329" s="264"/>
      <c r="L329" s="264"/>
      <c r="M329" s="264"/>
      <c r="N329" s="264"/>
      <c r="O329" s="264"/>
      <c r="P329" s="264"/>
      <c r="Q329" s="264"/>
      <c r="T329" s="264"/>
      <c r="U329" s="264"/>
    </row>
    <row r="330" spans="3:21" s="263" customFormat="1">
      <c r="C330" s="264"/>
      <c r="D330" s="264"/>
      <c r="E330" s="264"/>
      <c r="F330" s="264"/>
      <c r="G330" s="264"/>
      <c r="H330" s="264"/>
      <c r="I330" s="264"/>
      <c r="J330" s="264"/>
      <c r="K330" s="264"/>
      <c r="L330" s="264"/>
      <c r="M330" s="264"/>
      <c r="N330" s="264"/>
      <c r="O330" s="264"/>
      <c r="P330" s="264"/>
      <c r="Q330" s="264"/>
      <c r="T330" s="264"/>
      <c r="U330" s="264"/>
    </row>
    <row r="331" spans="3:21" s="263" customFormat="1">
      <c r="C331" s="264"/>
      <c r="D331" s="264"/>
      <c r="E331" s="264"/>
      <c r="F331" s="264"/>
      <c r="G331" s="264"/>
      <c r="H331" s="264"/>
      <c r="I331" s="264"/>
      <c r="J331" s="264"/>
      <c r="K331" s="264"/>
      <c r="L331" s="264"/>
      <c r="M331" s="264"/>
      <c r="N331" s="264"/>
      <c r="O331" s="264"/>
      <c r="P331" s="264"/>
      <c r="Q331" s="264"/>
      <c r="T331" s="264"/>
      <c r="U331" s="264"/>
    </row>
    <row r="332" spans="3:21" s="263" customFormat="1">
      <c r="C332" s="264"/>
      <c r="D332" s="264"/>
      <c r="E332" s="264"/>
      <c r="F332" s="264"/>
      <c r="G332" s="264"/>
      <c r="H332" s="264"/>
      <c r="I332" s="264"/>
      <c r="J332" s="264"/>
      <c r="K332" s="264"/>
      <c r="L332" s="264"/>
      <c r="M332" s="264"/>
      <c r="N332" s="264"/>
      <c r="O332" s="264"/>
      <c r="P332" s="264"/>
      <c r="Q332" s="264"/>
      <c r="T332" s="264"/>
      <c r="U332" s="264"/>
    </row>
    <row r="333" spans="3:21" s="263" customFormat="1">
      <c r="C333" s="264"/>
      <c r="D333" s="264"/>
      <c r="E333" s="264"/>
      <c r="F333" s="264"/>
      <c r="G333" s="264"/>
      <c r="H333" s="264"/>
      <c r="I333" s="264"/>
      <c r="J333" s="264"/>
      <c r="K333" s="264"/>
      <c r="L333" s="264"/>
      <c r="M333" s="264"/>
      <c r="N333" s="264"/>
      <c r="O333" s="264"/>
      <c r="P333" s="264"/>
      <c r="Q333" s="264"/>
      <c r="T333" s="264"/>
      <c r="U333" s="264"/>
    </row>
    <row r="334" spans="3:21" s="263" customFormat="1">
      <c r="C334" s="264"/>
      <c r="D334" s="264"/>
      <c r="E334" s="264"/>
      <c r="F334" s="264"/>
      <c r="G334" s="264"/>
      <c r="H334" s="264"/>
      <c r="I334" s="264"/>
      <c r="J334" s="264"/>
      <c r="K334" s="264"/>
      <c r="L334" s="264"/>
      <c r="M334" s="264"/>
      <c r="N334" s="264"/>
      <c r="O334" s="264"/>
      <c r="P334" s="264"/>
      <c r="Q334" s="264"/>
      <c r="T334" s="264"/>
      <c r="U334" s="264"/>
    </row>
    <row r="335" spans="3:21" s="263" customFormat="1">
      <c r="C335" s="264"/>
      <c r="D335" s="264"/>
      <c r="E335" s="264"/>
      <c r="F335" s="264"/>
      <c r="G335" s="264"/>
      <c r="H335" s="264"/>
      <c r="I335" s="264"/>
      <c r="J335" s="264"/>
      <c r="K335" s="264"/>
      <c r="L335" s="264"/>
      <c r="M335" s="264"/>
      <c r="N335" s="264"/>
      <c r="O335" s="264"/>
      <c r="P335" s="264"/>
      <c r="Q335" s="264"/>
      <c r="T335" s="264"/>
      <c r="U335" s="264"/>
    </row>
    <row r="336" spans="3:21" s="263" customFormat="1">
      <c r="C336" s="264"/>
      <c r="D336" s="264"/>
      <c r="E336" s="264"/>
      <c r="F336" s="264"/>
      <c r="G336" s="264"/>
      <c r="H336" s="264"/>
      <c r="I336" s="264"/>
      <c r="J336" s="264"/>
      <c r="K336" s="264"/>
      <c r="L336" s="264"/>
      <c r="M336" s="264"/>
      <c r="N336" s="264"/>
      <c r="O336" s="264"/>
      <c r="P336" s="264"/>
      <c r="Q336" s="264"/>
      <c r="T336" s="264"/>
      <c r="U336" s="264"/>
    </row>
    <row r="337" spans="2:21" s="263" customFormat="1">
      <c r="C337" s="264"/>
      <c r="D337" s="264"/>
      <c r="E337" s="264"/>
      <c r="F337" s="264"/>
      <c r="G337" s="264"/>
      <c r="H337" s="264"/>
      <c r="I337" s="264"/>
      <c r="J337" s="264"/>
      <c r="K337" s="264"/>
      <c r="L337" s="264"/>
      <c r="M337" s="264"/>
      <c r="N337" s="264"/>
      <c r="O337" s="264"/>
      <c r="P337" s="264"/>
      <c r="Q337" s="264"/>
      <c r="T337" s="264"/>
      <c r="U337" s="264"/>
    </row>
    <row r="338" spans="2:21" s="263" customFormat="1">
      <c r="C338" s="264"/>
      <c r="D338" s="264"/>
      <c r="E338" s="264"/>
      <c r="F338" s="264"/>
      <c r="G338" s="264"/>
      <c r="H338" s="264"/>
      <c r="I338" s="264"/>
      <c r="J338" s="264"/>
      <c r="K338" s="264"/>
      <c r="L338" s="264"/>
      <c r="M338" s="264"/>
      <c r="N338" s="264"/>
      <c r="O338" s="264"/>
      <c r="P338" s="264"/>
      <c r="Q338" s="264"/>
      <c r="T338" s="264"/>
      <c r="U338" s="264"/>
    </row>
    <row r="339" spans="2:21" s="263" customFormat="1">
      <c r="C339" s="264"/>
      <c r="D339" s="264"/>
      <c r="E339" s="264"/>
      <c r="F339" s="264"/>
      <c r="G339" s="264"/>
      <c r="H339" s="264"/>
      <c r="I339" s="264"/>
      <c r="J339" s="264"/>
      <c r="K339" s="264"/>
      <c r="L339" s="264"/>
      <c r="M339" s="264"/>
      <c r="N339" s="264"/>
      <c r="O339" s="264"/>
      <c r="P339" s="264"/>
      <c r="Q339" s="264"/>
      <c r="T339" s="264"/>
      <c r="U339" s="264"/>
    </row>
    <row r="340" spans="2:21" s="263" customFormat="1">
      <c r="C340" s="264"/>
      <c r="D340" s="264"/>
      <c r="E340" s="264"/>
      <c r="F340" s="264"/>
      <c r="G340" s="264"/>
      <c r="H340" s="264"/>
      <c r="I340" s="264"/>
      <c r="J340" s="264"/>
      <c r="K340" s="264"/>
      <c r="L340" s="264"/>
      <c r="M340" s="264"/>
      <c r="N340" s="264"/>
      <c r="O340" s="264"/>
      <c r="P340" s="264"/>
      <c r="Q340" s="264"/>
      <c r="T340" s="264"/>
      <c r="U340" s="264"/>
    </row>
    <row r="341" spans="2:21" s="263" customFormat="1">
      <c r="C341" s="264"/>
      <c r="D341" s="264"/>
      <c r="E341" s="264"/>
      <c r="F341" s="264"/>
      <c r="G341" s="264"/>
      <c r="H341" s="264"/>
      <c r="I341" s="264"/>
      <c r="J341" s="264"/>
      <c r="K341" s="264"/>
      <c r="L341" s="264"/>
      <c r="M341" s="264"/>
      <c r="N341" s="264"/>
      <c r="O341" s="264"/>
      <c r="P341" s="264"/>
      <c r="Q341" s="264"/>
      <c r="T341" s="264"/>
      <c r="U341" s="264"/>
    </row>
    <row r="342" spans="2:21" s="263" customFormat="1">
      <c r="C342" s="264"/>
      <c r="D342" s="264"/>
      <c r="E342" s="264"/>
      <c r="F342" s="264"/>
      <c r="G342" s="264"/>
      <c r="H342" s="264"/>
      <c r="I342" s="264"/>
      <c r="J342" s="264"/>
      <c r="K342" s="264"/>
      <c r="L342" s="264"/>
      <c r="M342" s="264"/>
      <c r="N342" s="264"/>
      <c r="O342" s="264"/>
      <c r="P342" s="264"/>
      <c r="Q342" s="264"/>
      <c r="T342" s="264"/>
      <c r="U342" s="264"/>
    </row>
    <row r="343" spans="2:21" s="263" customFormat="1">
      <c r="C343" s="264"/>
      <c r="D343" s="264"/>
      <c r="E343" s="264"/>
      <c r="F343" s="264"/>
      <c r="G343" s="264"/>
      <c r="H343" s="264"/>
      <c r="I343" s="264"/>
      <c r="J343" s="264"/>
      <c r="K343" s="264"/>
      <c r="L343" s="264"/>
      <c r="M343" s="264"/>
      <c r="N343" s="264"/>
      <c r="O343" s="264"/>
      <c r="P343" s="264"/>
      <c r="Q343" s="264"/>
      <c r="T343" s="264"/>
      <c r="U343" s="264"/>
    </row>
    <row r="344" spans="2:21">
      <c r="B344" s="263"/>
      <c r="O344" s="264"/>
      <c r="P344" s="264"/>
      <c r="Q344" s="264"/>
      <c r="R344" s="263"/>
      <c r="S344" s="263"/>
      <c r="T344" s="264"/>
      <c r="U344" s="264"/>
    </row>
    <row r="345" spans="2:21">
      <c r="B345" s="263"/>
      <c r="O345" s="264"/>
      <c r="P345" s="264"/>
      <c r="Q345" s="264"/>
      <c r="R345" s="263"/>
      <c r="S345" s="263"/>
      <c r="T345" s="264"/>
      <c r="U345" s="264"/>
    </row>
    <row r="346" spans="2:21">
      <c r="B346" s="263"/>
      <c r="O346" s="264"/>
      <c r="P346" s="264"/>
      <c r="Q346" s="264"/>
      <c r="R346" s="263"/>
      <c r="S346" s="263"/>
      <c r="T346" s="264"/>
      <c r="U346" s="264"/>
    </row>
    <row r="347" spans="2:21">
      <c r="B347" s="263"/>
      <c r="O347" s="264"/>
      <c r="P347" s="264"/>
      <c r="Q347" s="264"/>
      <c r="R347" s="263"/>
      <c r="S347" s="263"/>
      <c r="T347" s="264"/>
      <c r="U347" s="264"/>
    </row>
    <row r="348" spans="2:21">
      <c r="B348" s="263"/>
      <c r="O348" s="264"/>
      <c r="P348" s="264"/>
      <c r="Q348" s="264"/>
      <c r="R348" s="263"/>
      <c r="S348" s="263"/>
      <c r="T348" s="264"/>
      <c r="U348" s="264"/>
    </row>
    <row r="349" spans="2:21">
      <c r="B349" s="263"/>
      <c r="O349" s="264"/>
      <c r="P349" s="264"/>
      <c r="Q349" s="264"/>
      <c r="R349" s="263"/>
      <c r="S349" s="263"/>
      <c r="T349" s="264"/>
      <c r="U349" s="264"/>
    </row>
    <row r="350" spans="2:21">
      <c r="B350" s="263"/>
      <c r="O350" s="264"/>
      <c r="P350" s="264"/>
      <c r="Q350" s="264"/>
      <c r="R350" s="263"/>
      <c r="S350" s="263"/>
      <c r="T350" s="264"/>
      <c r="U350" s="264"/>
    </row>
    <row r="351" spans="2:21">
      <c r="B351" s="263"/>
      <c r="O351" s="264"/>
      <c r="P351" s="264"/>
      <c r="Q351" s="264"/>
      <c r="R351" s="263"/>
      <c r="S351" s="263"/>
      <c r="T351" s="264"/>
      <c r="U351" s="264"/>
    </row>
    <row r="352" spans="2:21">
      <c r="B352" s="263"/>
      <c r="O352" s="264"/>
      <c r="P352" s="264"/>
      <c r="Q352" s="264"/>
      <c r="R352" s="263"/>
      <c r="S352" s="263"/>
      <c r="T352" s="264"/>
      <c r="U352" s="264"/>
    </row>
    <row r="353" spans="2:21">
      <c r="B353" s="263"/>
      <c r="O353" s="264"/>
      <c r="P353" s="264"/>
      <c r="Q353" s="264"/>
      <c r="R353" s="263"/>
      <c r="S353" s="263"/>
      <c r="T353" s="264"/>
      <c r="U353" s="264"/>
    </row>
    <row r="354" spans="2:21">
      <c r="B354" s="263"/>
      <c r="O354" s="264"/>
      <c r="P354" s="264"/>
      <c r="Q354" s="264"/>
      <c r="R354" s="263"/>
      <c r="S354" s="263"/>
      <c r="T354" s="264"/>
      <c r="U354" s="264"/>
    </row>
    <row r="355" spans="2:21">
      <c r="B355" s="263"/>
      <c r="O355" s="264"/>
      <c r="P355" s="264"/>
      <c r="Q355" s="264"/>
      <c r="R355" s="263"/>
      <c r="S355" s="263"/>
      <c r="T355" s="264"/>
      <c r="U355" s="264"/>
    </row>
    <row r="356" spans="2:21">
      <c r="B356" s="263"/>
      <c r="O356" s="264"/>
      <c r="P356" s="264"/>
      <c r="Q356" s="264"/>
      <c r="R356" s="263"/>
      <c r="S356" s="263"/>
      <c r="T356" s="264"/>
      <c r="U356" s="264"/>
    </row>
    <row r="357" spans="2:21">
      <c r="B357" s="263"/>
      <c r="O357" s="264"/>
      <c r="P357" s="264"/>
      <c r="Q357" s="264"/>
      <c r="R357" s="263"/>
      <c r="S357" s="263"/>
      <c r="T357" s="264"/>
      <c r="U357" s="264"/>
    </row>
    <row r="358" spans="2:21">
      <c r="B358" s="263"/>
      <c r="O358" s="264"/>
      <c r="P358" s="264"/>
      <c r="Q358" s="264"/>
      <c r="R358" s="263"/>
      <c r="S358" s="263"/>
      <c r="T358" s="264"/>
      <c r="U358" s="264"/>
    </row>
    <row r="359" spans="2:21">
      <c r="B359" s="263"/>
      <c r="O359" s="264"/>
      <c r="P359" s="264"/>
      <c r="Q359" s="264"/>
      <c r="R359" s="263"/>
      <c r="S359" s="263"/>
      <c r="T359" s="264"/>
      <c r="U359" s="264"/>
    </row>
    <row r="360" spans="2:21">
      <c r="B360" s="263"/>
      <c r="O360" s="264"/>
      <c r="P360" s="264"/>
      <c r="Q360" s="264"/>
      <c r="R360" s="263"/>
      <c r="S360" s="263"/>
      <c r="T360" s="264"/>
      <c r="U360" s="264"/>
    </row>
    <row r="361" spans="2:21">
      <c r="B361" s="263"/>
      <c r="O361" s="264"/>
      <c r="P361" s="264"/>
      <c r="Q361" s="264"/>
      <c r="R361" s="263"/>
      <c r="S361" s="263"/>
      <c r="T361" s="264"/>
      <c r="U361" s="264"/>
    </row>
    <row r="362" spans="2:21" ht="409.6">
      <c r="B362" s="263"/>
      <c r="O362" s="264"/>
      <c r="P362" s="264"/>
      <c r="Q362" s="264"/>
      <c r="R362" s="263"/>
      <c r="S362" s="263"/>
      <c r="T362" s="264"/>
      <c r="U362" s="264"/>
    </row>
    <row r="363" spans="2:21" ht="409.6">
      <c r="B363" s="263"/>
      <c r="O363" s="264"/>
      <c r="P363" s="264"/>
      <c r="Q363" s="264"/>
      <c r="R363" s="263"/>
      <c r="S363" s="263"/>
      <c r="T363" s="264"/>
      <c r="U363" s="264"/>
    </row>
    <row r="364" spans="2:21">
      <c r="B364" s="263"/>
      <c r="O364" s="264"/>
      <c r="P364" s="264"/>
      <c r="Q364" s="264"/>
      <c r="R364" s="263"/>
      <c r="S364" s="263"/>
      <c r="T364" s="264"/>
      <c r="U364" s="264"/>
    </row>
  </sheetData>
  <conditionalFormatting sqref="C168:N169 C140:N140 C24:N24 C31:N31 C161:N161 C45:N45 C52:N52 C59:N59 C66:N66 C73:N73 C80:N80 C87:N87 C94:N94 C101:N101 C108:N108 C115:N115 C122:N122 C129:N129 C38:N38 C147:N148 C17:N17 C176:N176">
    <cfRule type="cellIs" dxfId="332" priority="40" stopIfTrue="1" operator="equal">
      <formula>"ERROR"</formula>
    </cfRule>
  </conditionalFormatting>
  <conditionalFormatting sqref="C182:N182">
    <cfRule type="cellIs" dxfId="331" priority="37" stopIfTrue="1" operator="equal">
      <formula>"ERROR"</formula>
    </cfRule>
  </conditionalFormatting>
  <conditionalFormatting sqref="C189:N189">
    <cfRule type="cellIs" dxfId="330" priority="36" stopIfTrue="1" operator="equal">
      <formula>"ERROR"</formula>
    </cfRule>
  </conditionalFormatting>
  <conditionalFormatting sqref="C196:N196">
    <cfRule type="cellIs" dxfId="329" priority="35" stopIfTrue="1" operator="equal">
      <formula>"ERROR"</formula>
    </cfRule>
  </conditionalFormatting>
  <conditionalFormatting sqref="C154:N155">
    <cfRule type="cellIs" dxfId="328" priority="2" stopIfTrue="1" operator="equal">
      <formula>"ERROR"</formula>
    </cfRule>
  </conditionalFormatting>
  <conditionalFormatting sqref="C175:N175">
    <cfRule type="cellIs" dxfId="327" priority="1" stopIfTrue="1" operator="equal">
      <formula>"ERROR"</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T91"/>
  <sheetViews>
    <sheetView showGridLines="0" zoomScale="75" zoomScaleNormal="75" workbookViewId="0">
      <selection activeCell="A2" sqref="A1:A2"/>
    </sheetView>
  </sheetViews>
  <sheetFormatPr defaultRowHeight="13.2"/>
  <cols>
    <col min="1" max="1" width="25.88671875" customWidth="1"/>
    <col min="19" max="19" width="15" bestFit="1" customWidth="1"/>
    <col min="20" max="20" width="12" bestFit="1" customWidth="1"/>
    <col min="24" max="24" width="11.33203125" bestFit="1" customWidth="1"/>
    <col min="25" max="25" width="12" bestFit="1" customWidth="1"/>
  </cols>
  <sheetData>
    <row r="1" spans="1:20" s="8" customFormat="1">
      <c r="A1" s="8" t="s">
        <v>1313</v>
      </c>
    </row>
    <row r="2" spans="1:20" s="8" customFormat="1">
      <c r="A2" s="8" t="s">
        <v>1267</v>
      </c>
    </row>
    <row r="3" spans="1:20" s="8" customFormat="1"/>
    <row r="4" spans="1:20" ht="21">
      <c r="A4" s="52" t="s">
        <v>1063</v>
      </c>
      <c r="B4" s="47"/>
      <c r="C4" s="47"/>
      <c r="D4" s="47"/>
      <c r="E4" s="47"/>
      <c r="F4" s="47"/>
      <c r="G4" s="47"/>
      <c r="H4" s="47"/>
      <c r="I4" s="47"/>
      <c r="J4" s="47"/>
      <c r="K4" s="47"/>
      <c r="L4" s="47"/>
      <c r="M4" s="47"/>
      <c r="N4" s="47"/>
      <c r="O4" s="47"/>
    </row>
    <row r="5" spans="1:20">
      <c r="A5" s="47"/>
      <c r="B5" s="47"/>
      <c r="C5" s="47"/>
      <c r="D5" s="47"/>
      <c r="E5" s="47"/>
      <c r="F5" s="47"/>
      <c r="G5" s="47"/>
      <c r="H5" s="47"/>
      <c r="I5" s="47"/>
      <c r="J5" s="47"/>
      <c r="K5" s="47"/>
      <c r="L5" s="47"/>
      <c r="M5" s="47"/>
      <c r="N5" s="47"/>
      <c r="O5" s="47"/>
    </row>
    <row r="6" spans="1:20">
      <c r="A6" s="47"/>
      <c r="B6" s="56"/>
      <c r="C6" s="56"/>
      <c r="D6" s="56"/>
      <c r="E6" s="56"/>
      <c r="F6" s="56"/>
      <c r="G6" s="56"/>
      <c r="H6" s="56"/>
      <c r="I6" s="56"/>
      <c r="J6" s="56"/>
      <c r="K6" s="56"/>
      <c r="L6" s="56"/>
      <c r="M6" s="56"/>
      <c r="N6" s="47"/>
      <c r="O6" s="47"/>
    </row>
    <row r="7" spans="1:20">
      <c r="A7" s="47"/>
      <c r="B7" s="341" t="s">
        <v>70</v>
      </c>
      <c r="C7" s="341" t="s">
        <v>71</v>
      </c>
      <c r="D7" s="341" t="s">
        <v>72</v>
      </c>
      <c r="E7" s="341" t="s">
        <v>73</v>
      </c>
      <c r="F7" s="341" t="s">
        <v>74</v>
      </c>
      <c r="G7" s="341" t="s">
        <v>75</v>
      </c>
      <c r="H7" s="341" t="s">
        <v>76</v>
      </c>
      <c r="I7" s="341" t="s">
        <v>77</v>
      </c>
      <c r="J7" s="341" t="s">
        <v>78</v>
      </c>
      <c r="K7" s="341" t="s">
        <v>79</v>
      </c>
      <c r="L7" s="341" t="s">
        <v>80</v>
      </c>
      <c r="M7" s="341" t="s">
        <v>81</v>
      </c>
      <c r="N7" s="47"/>
      <c r="O7" s="53" t="s">
        <v>93</v>
      </c>
      <c r="R7" s="12"/>
      <c r="S7" s="12"/>
      <c r="T7" s="12"/>
    </row>
    <row r="8" spans="1:20">
      <c r="A8" s="47"/>
      <c r="B8" s="53"/>
      <c r="C8" s="53"/>
      <c r="D8" s="53"/>
      <c r="E8" s="53"/>
      <c r="F8" s="53"/>
      <c r="G8" s="53"/>
      <c r="H8" s="53"/>
      <c r="I8" s="53"/>
      <c r="J8" s="53"/>
      <c r="K8" s="53"/>
      <c r="L8" s="53"/>
      <c r="M8" s="53"/>
      <c r="N8" s="47"/>
      <c r="O8" s="47"/>
      <c r="R8" s="12"/>
      <c r="S8" s="92"/>
      <c r="T8" s="93"/>
    </row>
    <row r="9" spans="1:20">
      <c r="A9" s="54" t="s">
        <v>94</v>
      </c>
      <c r="B9" s="47"/>
      <c r="C9" s="47"/>
      <c r="D9" s="47"/>
      <c r="E9" s="47"/>
      <c r="F9" s="47"/>
      <c r="G9" s="47"/>
      <c r="H9" s="47"/>
      <c r="I9" s="47"/>
      <c r="J9" s="47"/>
      <c r="K9" s="47"/>
      <c r="L9" s="47"/>
      <c r="M9" s="47"/>
      <c r="N9" s="47"/>
      <c r="O9" s="47"/>
      <c r="R9" s="12"/>
      <c r="S9" s="93"/>
      <c r="T9" s="93"/>
    </row>
    <row r="10" spans="1:20">
      <c r="A10" s="55" t="s">
        <v>48</v>
      </c>
      <c r="B10" s="56"/>
      <c r="C10" s="56"/>
      <c r="D10" s="56"/>
      <c r="E10" s="56"/>
      <c r="F10" s="56"/>
      <c r="G10" s="56"/>
      <c r="H10" s="56"/>
      <c r="I10" s="56"/>
      <c r="J10" s="56"/>
      <c r="K10" s="56"/>
      <c r="L10" s="56"/>
      <c r="M10" s="56"/>
      <c r="N10" s="47"/>
      <c r="O10" s="57">
        <f t="shared" ref="O10:O15" si="0">SUM(B10:M10)</f>
        <v>0</v>
      </c>
      <c r="R10" s="12"/>
      <c r="S10" s="12"/>
      <c r="T10" s="12"/>
    </row>
    <row r="11" spans="1:20">
      <c r="A11" s="55" t="s">
        <v>49</v>
      </c>
      <c r="B11" s="56"/>
      <c r="C11" s="56"/>
      <c r="D11" s="56"/>
      <c r="E11" s="56"/>
      <c r="F11" s="56"/>
      <c r="G11" s="56"/>
      <c r="H11" s="56"/>
      <c r="I11" s="56"/>
      <c r="J11" s="56"/>
      <c r="K11" s="56"/>
      <c r="L11" s="56"/>
      <c r="M11" s="56"/>
      <c r="N11" s="47"/>
      <c r="O11" s="57">
        <f t="shared" si="0"/>
        <v>0</v>
      </c>
      <c r="R11" s="12"/>
      <c r="S11" s="94"/>
      <c r="T11" s="94"/>
    </row>
    <row r="12" spans="1:20">
      <c r="A12" s="55" t="s">
        <v>98</v>
      </c>
      <c r="B12" s="56"/>
      <c r="C12" s="56"/>
      <c r="D12" s="56"/>
      <c r="E12" s="56"/>
      <c r="F12" s="56"/>
      <c r="G12" s="56"/>
      <c r="H12" s="56"/>
      <c r="I12" s="56"/>
      <c r="J12" s="56"/>
      <c r="K12" s="56"/>
      <c r="L12" s="56"/>
      <c r="M12" s="56"/>
      <c r="N12" s="47"/>
      <c r="O12" s="57">
        <f t="shared" si="0"/>
        <v>0</v>
      </c>
      <c r="R12" s="12"/>
      <c r="S12" s="94"/>
      <c r="T12" s="94"/>
    </row>
    <row r="13" spans="1:20">
      <c r="A13" s="55" t="s">
        <v>99</v>
      </c>
      <c r="B13" s="56"/>
      <c r="C13" s="56"/>
      <c r="D13" s="56"/>
      <c r="E13" s="56"/>
      <c r="F13" s="56"/>
      <c r="G13" s="56"/>
      <c r="H13" s="56"/>
      <c r="I13" s="56"/>
      <c r="J13" s="56"/>
      <c r="K13" s="56"/>
      <c r="L13" s="56"/>
      <c r="M13" s="56"/>
      <c r="N13" s="47"/>
      <c r="O13" s="57">
        <f t="shared" si="0"/>
        <v>0</v>
      </c>
      <c r="R13" s="12"/>
      <c r="S13" s="94"/>
      <c r="T13" s="94"/>
    </row>
    <row r="14" spans="1:20">
      <c r="A14" s="55" t="s">
        <v>50</v>
      </c>
      <c r="B14" s="56"/>
      <c r="C14" s="56"/>
      <c r="D14" s="56"/>
      <c r="E14" s="56"/>
      <c r="F14" s="56"/>
      <c r="G14" s="56"/>
      <c r="H14" s="56"/>
      <c r="I14" s="56"/>
      <c r="J14" s="56"/>
      <c r="K14" s="56"/>
      <c r="L14" s="56"/>
      <c r="M14" s="56"/>
      <c r="N14" s="47"/>
      <c r="O14" s="57">
        <f t="shared" si="0"/>
        <v>0</v>
      </c>
      <c r="R14" s="12"/>
      <c r="S14" s="94"/>
      <c r="T14" s="94"/>
    </row>
    <row r="15" spans="1:20">
      <c r="A15" s="55" t="s">
        <v>95</v>
      </c>
      <c r="B15" s="56"/>
      <c r="C15" s="56"/>
      <c r="D15" s="56"/>
      <c r="E15" s="56"/>
      <c r="F15" s="56"/>
      <c r="G15" s="56"/>
      <c r="H15" s="56"/>
      <c r="I15" s="56"/>
      <c r="J15" s="56"/>
      <c r="K15" s="56"/>
      <c r="L15" s="56"/>
      <c r="M15" s="56"/>
      <c r="N15" s="47"/>
      <c r="O15" s="57">
        <f t="shared" si="0"/>
        <v>0</v>
      </c>
      <c r="R15" s="12"/>
      <c r="S15" s="94"/>
      <c r="T15" s="94"/>
    </row>
    <row r="16" spans="1:20">
      <c r="A16" s="55"/>
      <c r="B16" s="56"/>
      <c r="C16" s="56"/>
      <c r="D16" s="56"/>
      <c r="E16" s="56"/>
      <c r="F16" s="56"/>
      <c r="G16" s="56"/>
      <c r="H16" s="56"/>
      <c r="I16" s="56"/>
      <c r="J16" s="56"/>
      <c r="K16" s="56"/>
      <c r="L16" s="56"/>
      <c r="M16" s="56"/>
      <c r="N16" s="47"/>
      <c r="O16" s="47"/>
      <c r="R16" s="12"/>
      <c r="S16" s="12"/>
      <c r="T16" s="12"/>
    </row>
    <row r="17" spans="1:20" ht="13.8" thickBot="1">
      <c r="A17" s="58" t="s">
        <v>93</v>
      </c>
      <c r="B17" s="59">
        <f t="shared" ref="B17:H17" si="1">SUM(B10:B15)</f>
        <v>0</v>
      </c>
      <c r="C17" s="59">
        <f t="shared" si="1"/>
        <v>0</v>
      </c>
      <c r="D17" s="59">
        <f t="shared" si="1"/>
        <v>0</v>
      </c>
      <c r="E17" s="59">
        <f t="shared" si="1"/>
        <v>0</v>
      </c>
      <c r="F17" s="59">
        <f t="shared" si="1"/>
        <v>0</v>
      </c>
      <c r="G17" s="59">
        <f t="shared" si="1"/>
        <v>0</v>
      </c>
      <c r="H17" s="59">
        <f t="shared" si="1"/>
        <v>0</v>
      </c>
      <c r="I17" s="59">
        <f>SUM(I10:I15)</f>
        <v>0</v>
      </c>
      <c r="J17" s="59">
        <f t="shared" ref="J17:O17" si="2">SUM(J10:J15)</f>
        <v>0</v>
      </c>
      <c r="K17" s="59">
        <f t="shared" si="2"/>
        <v>0</v>
      </c>
      <c r="L17" s="59">
        <f t="shared" si="2"/>
        <v>0</v>
      </c>
      <c r="M17" s="59">
        <f t="shared" si="2"/>
        <v>0</v>
      </c>
      <c r="N17" s="47"/>
      <c r="O17" s="59">
        <f t="shared" si="2"/>
        <v>0</v>
      </c>
      <c r="R17" s="12"/>
      <c r="S17" s="95"/>
      <c r="T17" s="95"/>
    </row>
    <row r="18" spans="1:20" ht="13.8" thickTop="1">
      <c r="A18" s="47"/>
      <c r="B18" s="56"/>
      <c r="C18" s="56"/>
      <c r="D18" s="56"/>
      <c r="E18" s="56"/>
      <c r="F18" s="56"/>
      <c r="G18" s="56"/>
      <c r="H18" s="56"/>
      <c r="I18" s="56"/>
      <c r="J18" s="56"/>
      <c r="K18" s="56"/>
      <c r="L18" s="56"/>
      <c r="M18" s="56"/>
      <c r="N18" s="47"/>
      <c r="O18" s="47"/>
      <c r="R18" s="12"/>
      <c r="S18" s="12"/>
      <c r="T18" s="12"/>
    </row>
    <row r="19" spans="1:20">
      <c r="A19" s="54" t="s">
        <v>96</v>
      </c>
      <c r="B19" s="56"/>
      <c r="C19" s="56"/>
      <c r="D19" s="56"/>
      <c r="E19" s="56"/>
      <c r="F19" s="56"/>
      <c r="G19" s="56"/>
      <c r="H19" s="56"/>
      <c r="I19" s="56"/>
      <c r="J19" s="56"/>
      <c r="K19" s="56"/>
      <c r="L19" s="56"/>
      <c r="M19" s="56"/>
      <c r="N19" s="47"/>
      <c r="O19" s="47"/>
      <c r="R19" s="12"/>
      <c r="S19" s="12"/>
      <c r="T19" s="12"/>
    </row>
    <row r="20" spans="1:20">
      <c r="A20" s="55" t="s">
        <v>48</v>
      </c>
      <c r="B20" s="56"/>
      <c r="C20" s="56"/>
      <c r="D20" s="56"/>
      <c r="E20" s="56"/>
      <c r="F20" s="56"/>
      <c r="G20" s="56"/>
      <c r="H20" s="56"/>
      <c r="I20" s="56"/>
      <c r="J20" s="56"/>
      <c r="K20" s="56"/>
      <c r="L20" s="56"/>
      <c r="M20" s="56"/>
      <c r="N20" s="47"/>
      <c r="O20" s="57">
        <f t="shared" ref="O20:O25" si="3">SUM(B20:M20)</f>
        <v>0</v>
      </c>
      <c r="R20" s="12"/>
      <c r="S20" s="92"/>
      <c r="T20" s="93"/>
    </row>
    <row r="21" spans="1:20">
      <c r="A21" s="55" t="s">
        <v>49</v>
      </c>
      <c r="B21" s="56"/>
      <c r="C21" s="56"/>
      <c r="D21" s="56"/>
      <c r="E21" s="56"/>
      <c r="F21" s="56"/>
      <c r="G21" s="56"/>
      <c r="H21" s="56"/>
      <c r="I21" s="56"/>
      <c r="J21" s="56"/>
      <c r="K21" s="56"/>
      <c r="L21" s="56"/>
      <c r="M21" s="56"/>
      <c r="N21" s="47"/>
      <c r="O21" s="57">
        <f t="shared" si="3"/>
        <v>0</v>
      </c>
      <c r="R21" s="12"/>
      <c r="S21" s="93"/>
      <c r="T21" s="93"/>
    </row>
    <row r="22" spans="1:20">
      <c r="A22" s="55" t="s">
        <v>98</v>
      </c>
      <c r="B22" s="56"/>
      <c r="C22" s="56"/>
      <c r="D22" s="56"/>
      <c r="E22" s="56"/>
      <c r="F22" s="56"/>
      <c r="G22" s="56"/>
      <c r="H22" s="56"/>
      <c r="I22" s="56"/>
      <c r="J22" s="56"/>
      <c r="K22" s="56"/>
      <c r="L22" s="56"/>
      <c r="M22" s="56"/>
      <c r="N22" s="47"/>
      <c r="O22" s="57">
        <f t="shared" si="3"/>
        <v>0</v>
      </c>
      <c r="R22" s="12"/>
      <c r="S22" s="93"/>
      <c r="T22" s="93"/>
    </row>
    <row r="23" spans="1:20">
      <c r="A23" s="55" t="s">
        <v>99</v>
      </c>
      <c r="B23" s="56"/>
      <c r="C23" s="56"/>
      <c r="D23" s="56"/>
      <c r="E23" s="56"/>
      <c r="F23" s="56"/>
      <c r="G23" s="56"/>
      <c r="H23" s="56"/>
      <c r="I23" s="56"/>
      <c r="J23" s="56"/>
      <c r="K23" s="56"/>
      <c r="L23" s="56"/>
      <c r="M23" s="56"/>
      <c r="N23" s="47"/>
      <c r="O23" s="57">
        <f t="shared" si="3"/>
        <v>0</v>
      </c>
      <c r="R23" s="12"/>
      <c r="S23" s="93"/>
      <c r="T23" s="93"/>
    </row>
    <row r="24" spans="1:20">
      <c r="A24" s="55" t="s">
        <v>50</v>
      </c>
      <c r="B24" s="56"/>
      <c r="C24" s="56"/>
      <c r="D24" s="56"/>
      <c r="E24" s="56"/>
      <c r="F24" s="56"/>
      <c r="G24" s="56"/>
      <c r="H24" s="56"/>
      <c r="I24" s="56"/>
      <c r="J24" s="56"/>
      <c r="K24" s="56"/>
      <c r="L24" s="56"/>
      <c r="M24" s="56"/>
      <c r="N24" s="47"/>
      <c r="O24" s="57">
        <f t="shared" si="3"/>
        <v>0</v>
      </c>
      <c r="R24" s="12"/>
      <c r="S24" s="12"/>
      <c r="T24" s="12"/>
    </row>
    <row r="25" spans="1:20">
      <c r="A25" s="55" t="s">
        <v>95</v>
      </c>
      <c r="B25" s="56"/>
      <c r="C25" s="56"/>
      <c r="D25" s="56"/>
      <c r="E25" s="56"/>
      <c r="F25" s="56"/>
      <c r="G25" s="56"/>
      <c r="H25" s="56"/>
      <c r="I25" s="56"/>
      <c r="J25" s="56"/>
      <c r="K25" s="56"/>
      <c r="L25" s="56"/>
      <c r="M25" s="56"/>
      <c r="N25" s="47"/>
      <c r="O25" s="57">
        <f t="shared" si="3"/>
        <v>0</v>
      </c>
      <c r="R25" s="96"/>
      <c r="S25" s="94"/>
      <c r="T25" s="94"/>
    </row>
    <row r="26" spans="1:20">
      <c r="A26" s="55"/>
      <c r="B26" s="56"/>
      <c r="C26" s="56"/>
      <c r="D26" s="56"/>
      <c r="E26" s="56"/>
      <c r="F26" s="56"/>
      <c r="G26" s="56"/>
      <c r="H26" s="56"/>
      <c r="I26" s="56"/>
      <c r="J26" s="56"/>
      <c r="K26" s="56"/>
      <c r="L26" s="56"/>
      <c r="M26" s="56"/>
      <c r="N26" s="47"/>
      <c r="O26" s="47"/>
      <c r="R26" s="96"/>
      <c r="S26" s="94"/>
      <c r="T26" s="94"/>
    </row>
    <row r="27" spans="1:20" ht="13.8" thickBot="1">
      <c r="A27" s="58" t="s">
        <v>93</v>
      </c>
      <c r="B27" s="59">
        <f t="shared" ref="B27:O27" si="4">SUM(B20:B25)</f>
        <v>0</v>
      </c>
      <c r="C27" s="59">
        <f t="shared" si="4"/>
        <v>0</v>
      </c>
      <c r="D27" s="59">
        <f t="shared" si="4"/>
        <v>0</v>
      </c>
      <c r="E27" s="59">
        <f t="shared" si="4"/>
        <v>0</v>
      </c>
      <c r="F27" s="59">
        <f t="shared" si="4"/>
        <v>0</v>
      </c>
      <c r="G27" s="59">
        <f t="shared" si="4"/>
        <v>0</v>
      </c>
      <c r="H27" s="59">
        <f t="shared" si="4"/>
        <v>0</v>
      </c>
      <c r="I27" s="59">
        <f t="shared" si="4"/>
        <v>0</v>
      </c>
      <c r="J27" s="59">
        <f t="shared" si="4"/>
        <v>0</v>
      </c>
      <c r="K27" s="59">
        <f t="shared" si="4"/>
        <v>0</v>
      </c>
      <c r="L27" s="59">
        <f t="shared" si="4"/>
        <v>0</v>
      </c>
      <c r="M27" s="59">
        <f t="shared" si="4"/>
        <v>0</v>
      </c>
      <c r="N27" s="47"/>
      <c r="O27" s="59">
        <f t="shared" si="4"/>
        <v>0</v>
      </c>
      <c r="R27" s="96"/>
      <c r="S27" s="94"/>
      <c r="T27" s="94"/>
    </row>
    <row r="28" spans="1:20" ht="13.8" thickTop="1">
      <c r="A28" s="47"/>
      <c r="B28" s="47"/>
      <c r="C28" s="47"/>
      <c r="D28" s="47"/>
      <c r="E28" s="47"/>
      <c r="F28" s="47"/>
      <c r="G28" s="47"/>
      <c r="H28" s="47"/>
      <c r="I28" s="47"/>
      <c r="J28" s="47"/>
      <c r="K28" s="47"/>
      <c r="L28" s="47"/>
      <c r="M28" s="47"/>
      <c r="N28" s="47"/>
      <c r="O28" s="47"/>
      <c r="R28" s="12"/>
      <c r="S28" s="12"/>
      <c r="T28" s="12"/>
    </row>
    <row r="29" spans="1:20">
      <c r="A29" s="47"/>
      <c r="B29" s="47"/>
      <c r="C29" s="47"/>
      <c r="D29" s="47"/>
      <c r="E29" s="47"/>
      <c r="F29" s="47"/>
      <c r="G29" s="47"/>
      <c r="H29" s="47"/>
      <c r="I29" s="47"/>
      <c r="J29" s="47"/>
      <c r="K29" s="47"/>
      <c r="L29" s="47"/>
      <c r="M29" s="47"/>
      <c r="N29" s="47"/>
      <c r="O29" s="47"/>
      <c r="R29" s="12"/>
      <c r="S29" s="95"/>
      <c r="T29" s="95"/>
    </row>
    <row r="30" spans="1:20">
      <c r="A30" s="47" t="s">
        <v>97</v>
      </c>
      <c r="B30" s="47"/>
      <c r="C30" s="47"/>
      <c r="D30" s="47"/>
      <c r="E30" s="47"/>
      <c r="F30" s="47"/>
      <c r="G30" s="47"/>
      <c r="H30" s="47"/>
      <c r="I30" s="47"/>
      <c r="J30" s="47"/>
      <c r="K30" s="47"/>
      <c r="L30" s="47"/>
      <c r="M30" s="47"/>
      <c r="N30" s="47"/>
      <c r="O30" s="47"/>
      <c r="R30" s="12"/>
      <c r="S30" s="12"/>
      <c r="T30" s="12"/>
    </row>
    <row r="31" spans="1:20">
      <c r="A31" s="47"/>
      <c r="B31" s="47"/>
      <c r="C31" s="47"/>
      <c r="D31" s="47"/>
      <c r="E31" s="47"/>
      <c r="F31" s="47"/>
      <c r="G31" s="47"/>
      <c r="H31" s="47"/>
      <c r="I31" s="47"/>
      <c r="J31" s="47"/>
      <c r="K31" s="47"/>
      <c r="L31" s="47"/>
      <c r="M31" s="47"/>
      <c r="N31" s="47"/>
      <c r="O31" s="47"/>
      <c r="R31" s="12"/>
      <c r="S31" s="12"/>
      <c r="T31" s="12"/>
    </row>
    <row r="34" spans="1:17" ht="21">
      <c r="A34" s="60" t="s">
        <v>1064</v>
      </c>
      <c r="B34" s="7"/>
      <c r="C34" s="7"/>
      <c r="D34" s="7"/>
      <c r="E34" s="7"/>
      <c r="F34" s="7"/>
      <c r="G34" s="7"/>
      <c r="H34" s="7"/>
      <c r="I34" s="7"/>
      <c r="J34" s="7"/>
      <c r="K34" s="7"/>
      <c r="L34" s="7"/>
      <c r="M34" s="7"/>
      <c r="N34" s="7"/>
      <c r="O34" s="7"/>
    </row>
    <row r="35" spans="1:17">
      <c r="A35" s="7"/>
      <c r="B35" s="7"/>
      <c r="C35" s="7"/>
      <c r="D35" s="7"/>
      <c r="E35" s="7"/>
      <c r="F35" s="7"/>
      <c r="G35" s="7"/>
      <c r="H35" s="7"/>
      <c r="I35" s="7"/>
      <c r="J35" s="7"/>
      <c r="K35" s="7"/>
      <c r="L35" s="7"/>
      <c r="M35" s="7"/>
      <c r="N35" s="7"/>
      <c r="O35" s="7"/>
    </row>
    <row r="36" spans="1:17">
      <c r="A36" s="7"/>
      <c r="B36" s="61"/>
      <c r="C36" s="61"/>
      <c r="D36" s="61"/>
      <c r="E36" s="61"/>
      <c r="F36" s="61"/>
      <c r="G36" s="61"/>
      <c r="H36" s="61"/>
      <c r="I36" s="61"/>
      <c r="J36" s="61"/>
      <c r="K36" s="61"/>
      <c r="L36" s="61"/>
      <c r="M36" s="61"/>
      <c r="N36" s="7"/>
      <c r="O36" s="7"/>
    </row>
    <row r="37" spans="1:17">
      <c r="A37" s="7"/>
      <c r="B37" s="61" t="s">
        <v>70</v>
      </c>
      <c r="C37" s="61" t="s">
        <v>71</v>
      </c>
      <c r="D37" s="61" t="s">
        <v>72</v>
      </c>
      <c r="E37" s="61" t="s">
        <v>73</v>
      </c>
      <c r="F37" s="61" t="s">
        <v>74</v>
      </c>
      <c r="G37" s="61" t="s">
        <v>75</v>
      </c>
      <c r="H37" s="61" t="s">
        <v>76</v>
      </c>
      <c r="I37" s="61" t="s">
        <v>77</v>
      </c>
      <c r="J37" s="61" t="s">
        <v>78</v>
      </c>
      <c r="K37" s="61" t="s">
        <v>79</v>
      </c>
      <c r="L37" s="61" t="s">
        <v>80</v>
      </c>
      <c r="M37" s="61" t="s">
        <v>81</v>
      </c>
      <c r="N37" s="7"/>
      <c r="O37" s="61" t="s">
        <v>93</v>
      </c>
    </row>
    <row r="38" spans="1:17">
      <c r="A38" s="7"/>
      <c r="B38" s="61"/>
      <c r="C38" s="61"/>
      <c r="D38" s="61"/>
      <c r="E38" s="61"/>
      <c r="F38" s="61"/>
      <c r="G38" s="61"/>
      <c r="H38" s="61"/>
      <c r="I38" s="61"/>
      <c r="J38" s="61"/>
      <c r="K38" s="61"/>
      <c r="L38" s="61"/>
      <c r="M38" s="61"/>
      <c r="N38" s="7"/>
      <c r="O38" s="7"/>
      <c r="Q38" s="44"/>
    </row>
    <row r="39" spans="1:17">
      <c r="A39" s="62" t="s">
        <v>94</v>
      </c>
      <c r="B39" s="7"/>
      <c r="C39" s="7"/>
      <c r="D39" s="7"/>
      <c r="E39" s="7"/>
      <c r="F39" s="7"/>
      <c r="G39" s="7"/>
      <c r="H39" s="7"/>
      <c r="I39" s="7"/>
      <c r="J39" s="7"/>
      <c r="K39" s="7"/>
      <c r="L39" s="7"/>
      <c r="M39" s="7"/>
      <c r="N39" s="7"/>
      <c r="O39" s="7"/>
    </row>
    <row r="40" spans="1:17">
      <c r="A40" s="63" t="s">
        <v>48</v>
      </c>
      <c r="B40" s="64"/>
      <c r="C40" s="64"/>
      <c r="D40" s="64"/>
      <c r="E40" s="64"/>
      <c r="F40" s="64"/>
      <c r="G40" s="64"/>
      <c r="H40" s="64"/>
      <c r="I40" s="64"/>
      <c r="J40" s="64"/>
      <c r="K40" s="64"/>
      <c r="L40" s="64"/>
      <c r="M40" s="64"/>
      <c r="N40" s="7"/>
      <c r="O40" s="65">
        <f t="shared" ref="O40:O45" si="5">SUM(B40:M40)</f>
        <v>0</v>
      </c>
    </row>
    <row r="41" spans="1:17">
      <c r="A41" s="63" t="s">
        <v>49</v>
      </c>
      <c r="B41" s="64"/>
      <c r="C41" s="64"/>
      <c r="D41" s="64"/>
      <c r="E41" s="64"/>
      <c r="F41" s="64"/>
      <c r="G41" s="64"/>
      <c r="H41" s="64"/>
      <c r="I41" s="64"/>
      <c r="J41" s="64"/>
      <c r="K41" s="64"/>
      <c r="L41" s="64"/>
      <c r="M41" s="64"/>
      <c r="N41" s="7"/>
      <c r="O41" s="65">
        <f t="shared" si="5"/>
        <v>0</v>
      </c>
    </row>
    <row r="42" spans="1:17">
      <c r="A42" s="97" t="s">
        <v>98</v>
      </c>
      <c r="B42" s="64"/>
      <c r="C42" s="64"/>
      <c r="D42" s="64"/>
      <c r="E42" s="64"/>
      <c r="F42" s="64"/>
      <c r="G42" s="64"/>
      <c r="H42" s="64"/>
      <c r="I42" s="64"/>
      <c r="J42" s="64"/>
      <c r="K42" s="64"/>
      <c r="L42" s="64"/>
      <c r="M42" s="64"/>
      <c r="N42" s="7"/>
      <c r="O42" s="65">
        <f t="shared" si="5"/>
        <v>0</v>
      </c>
    </row>
    <row r="43" spans="1:17">
      <c r="A43" s="97" t="s">
        <v>99</v>
      </c>
      <c r="B43" s="64"/>
      <c r="C43" s="64"/>
      <c r="D43" s="64"/>
      <c r="E43" s="64"/>
      <c r="F43" s="64"/>
      <c r="G43" s="64"/>
      <c r="H43" s="64"/>
      <c r="I43" s="64"/>
      <c r="J43" s="64"/>
      <c r="K43" s="64"/>
      <c r="L43" s="64"/>
      <c r="M43" s="64"/>
      <c r="N43" s="7"/>
      <c r="O43" s="65">
        <f t="shared" si="5"/>
        <v>0</v>
      </c>
    </row>
    <row r="44" spans="1:17">
      <c r="A44" s="97" t="s">
        <v>50</v>
      </c>
      <c r="B44" s="64"/>
      <c r="C44" s="64"/>
      <c r="D44" s="64"/>
      <c r="E44" s="64"/>
      <c r="F44" s="64"/>
      <c r="G44" s="64"/>
      <c r="H44" s="64"/>
      <c r="I44" s="64"/>
      <c r="J44" s="64"/>
      <c r="K44" s="64"/>
      <c r="L44" s="64"/>
      <c r="M44" s="64"/>
      <c r="N44" s="7"/>
      <c r="O44" s="65">
        <f t="shared" si="5"/>
        <v>0</v>
      </c>
    </row>
    <row r="45" spans="1:17">
      <c r="A45" s="63" t="s">
        <v>95</v>
      </c>
      <c r="B45" s="64"/>
      <c r="C45" s="64"/>
      <c r="D45" s="64"/>
      <c r="E45" s="64"/>
      <c r="F45" s="64"/>
      <c r="G45" s="64"/>
      <c r="H45" s="64"/>
      <c r="I45" s="64"/>
      <c r="J45" s="64"/>
      <c r="K45" s="64"/>
      <c r="L45" s="64"/>
      <c r="M45" s="64"/>
      <c r="N45" s="7"/>
      <c r="O45" s="65">
        <f t="shared" si="5"/>
        <v>0</v>
      </c>
    </row>
    <row r="46" spans="1:17">
      <c r="A46" s="63"/>
      <c r="B46" s="64"/>
      <c r="C46" s="64"/>
      <c r="D46" s="64"/>
      <c r="E46" s="64"/>
      <c r="F46" s="64"/>
      <c r="G46" s="64"/>
      <c r="H46" s="64"/>
      <c r="I46" s="64"/>
      <c r="J46" s="64"/>
      <c r="K46" s="64"/>
      <c r="L46" s="64"/>
      <c r="M46" s="64"/>
      <c r="N46" s="7"/>
      <c r="O46" s="7"/>
    </row>
    <row r="47" spans="1:17" ht="13.8" thickBot="1">
      <c r="A47" s="66" t="s">
        <v>93</v>
      </c>
      <c r="B47" s="67">
        <f t="shared" ref="B47:M47" si="6">SUM(B40:B46)</f>
        <v>0</v>
      </c>
      <c r="C47" s="67">
        <f t="shared" si="6"/>
        <v>0</v>
      </c>
      <c r="D47" s="67">
        <f t="shared" si="6"/>
        <v>0</v>
      </c>
      <c r="E47" s="67">
        <f t="shared" si="6"/>
        <v>0</v>
      </c>
      <c r="F47" s="67">
        <f t="shared" si="6"/>
        <v>0</v>
      </c>
      <c r="G47" s="67">
        <f t="shared" si="6"/>
        <v>0</v>
      </c>
      <c r="H47" s="67">
        <f t="shared" si="6"/>
        <v>0</v>
      </c>
      <c r="I47" s="67">
        <f t="shared" si="6"/>
        <v>0</v>
      </c>
      <c r="J47" s="67">
        <f t="shared" si="6"/>
        <v>0</v>
      </c>
      <c r="K47" s="67">
        <f t="shared" si="6"/>
        <v>0</v>
      </c>
      <c r="L47" s="67">
        <f t="shared" si="6"/>
        <v>0</v>
      </c>
      <c r="M47" s="67">
        <f t="shared" si="6"/>
        <v>0</v>
      </c>
      <c r="N47" s="7"/>
      <c r="O47" s="67">
        <f>SUM(O40:O46)</f>
        <v>0</v>
      </c>
    </row>
    <row r="48" spans="1:17" ht="13.8" thickTop="1">
      <c r="A48" s="7"/>
      <c r="B48" s="64"/>
      <c r="C48" s="64"/>
      <c r="D48" s="64"/>
      <c r="E48" s="64"/>
      <c r="F48" s="64"/>
      <c r="G48" s="64"/>
      <c r="H48" s="64"/>
      <c r="I48" s="64"/>
      <c r="J48" s="64"/>
      <c r="K48" s="64"/>
      <c r="L48" s="64"/>
      <c r="M48" s="64"/>
      <c r="N48" s="7"/>
      <c r="O48" s="7"/>
    </row>
    <row r="49" spans="1:17">
      <c r="A49" s="62" t="s">
        <v>96</v>
      </c>
      <c r="B49" s="64"/>
      <c r="C49" s="64"/>
      <c r="D49" s="64"/>
      <c r="E49" s="64"/>
      <c r="F49" s="64"/>
      <c r="G49" s="64"/>
      <c r="H49" s="64"/>
      <c r="I49" s="64"/>
      <c r="J49" s="64"/>
      <c r="K49" s="64"/>
      <c r="L49" s="64"/>
      <c r="M49" s="64"/>
      <c r="N49" s="7"/>
      <c r="O49" s="7"/>
    </row>
    <row r="50" spans="1:17">
      <c r="A50" s="63" t="s">
        <v>48</v>
      </c>
      <c r="B50" s="64"/>
      <c r="C50" s="64"/>
      <c r="D50" s="64"/>
      <c r="E50" s="64"/>
      <c r="F50" s="64"/>
      <c r="G50" s="64"/>
      <c r="H50" s="64"/>
      <c r="I50" s="64"/>
      <c r="J50" s="64"/>
      <c r="K50" s="64"/>
      <c r="L50" s="64"/>
      <c r="M50" s="64"/>
      <c r="N50" s="7"/>
      <c r="O50" s="65">
        <f t="shared" ref="O50:O55" si="7">SUM(B50:M50)</f>
        <v>0</v>
      </c>
      <c r="Q50" s="44"/>
    </row>
    <row r="51" spans="1:17">
      <c r="A51" s="63" t="s">
        <v>49</v>
      </c>
      <c r="B51" s="64"/>
      <c r="C51" s="64"/>
      <c r="D51" s="64"/>
      <c r="E51" s="64"/>
      <c r="F51" s="64"/>
      <c r="G51" s="64"/>
      <c r="H51" s="64"/>
      <c r="I51" s="64"/>
      <c r="J51" s="64"/>
      <c r="K51" s="64"/>
      <c r="L51" s="64"/>
      <c r="M51" s="64"/>
      <c r="N51" s="7"/>
      <c r="O51" s="65">
        <f t="shared" si="7"/>
        <v>0</v>
      </c>
    </row>
    <row r="52" spans="1:17">
      <c r="A52" s="97" t="s">
        <v>98</v>
      </c>
      <c r="B52" s="64"/>
      <c r="C52" s="64"/>
      <c r="D52" s="64"/>
      <c r="E52" s="64"/>
      <c r="F52" s="64"/>
      <c r="G52" s="64"/>
      <c r="H52" s="64"/>
      <c r="I52" s="64"/>
      <c r="J52" s="64"/>
      <c r="K52" s="64"/>
      <c r="L52" s="64"/>
      <c r="M52" s="64"/>
      <c r="N52" s="7"/>
      <c r="O52" s="65">
        <f t="shared" si="7"/>
        <v>0</v>
      </c>
    </row>
    <row r="53" spans="1:17">
      <c r="A53" s="97" t="s">
        <v>99</v>
      </c>
      <c r="B53" s="64"/>
      <c r="C53" s="64"/>
      <c r="D53" s="64"/>
      <c r="E53" s="64"/>
      <c r="F53" s="64"/>
      <c r="G53" s="64"/>
      <c r="H53" s="64"/>
      <c r="I53" s="64"/>
      <c r="J53" s="64"/>
      <c r="K53" s="64"/>
      <c r="L53" s="64"/>
      <c r="M53" s="64"/>
      <c r="N53" s="7"/>
      <c r="O53" s="65">
        <f t="shared" si="7"/>
        <v>0</v>
      </c>
    </row>
    <row r="54" spans="1:17">
      <c r="A54" s="97" t="s">
        <v>50</v>
      </c>
      <c r="B54" s="64"/>
      <c r="C54" s="64"/>
      <c r="D54" s="64"/>
      <c r="E54" s="64"/>
      <c r="F54" s="64"/>
      <c r="G54" s="64"/>
      <c r="H54" s="64"/>
      <c r="I54" s="64"/>
      <c r="J54" s="64"/>
      <c r="K54" s="64"/>
      <c r="L54" s="64"/>
      <c r="M54" s="64"/>
      <c r="N54" s="7"/>
      <c r="O54" s="65">
        <f t="shared" si="7"/>
        <v>0</v>
      </c>
      <c r="Q54" s="44"/>
    </row>
    <row r="55" spans="1:17">
      <c r="A55" s="63" t="s">
        <v>95</v>
      </c>
      <c r="B55" s="64"/>
      <c r="C55" s="64"/>
      <c r="D55" s="64"/>
      <c r="E55" s="64"/>
      <c r="F55" s="64"/>
      <c r="G55" s="64"/>
      <c r="H55" s="64"/>
      <c r="I55" s="64"/>
      <c r="J55" s="64"/>
      <c r="K55" s="64"/>
      <c r="L55" s="64"/>
      <c r="M55" s="64"/>
      <c r="N55" s="7"/>
      <c r="O55" s="65">
        <f t="shared" si="7"/>
        <v>0</v>
      </c>
    </row>
    <row r="56" spans="1:17">
      <c r="A56" s="63"/>
      <c r="B56" s="64"/>
      <c r="C56" s="64"/>
      <c r="D56" s="64"/>
      <c r="E56" s="64"/>
      <c r="F56" s="64"/>
      <c r="G56" s="64"/>
      <c r="H56" s="64"/>
      <c r="I56" s="64"/>
      <c r="J56" s="64"/>
      <c r="K56" s="64"/>
      <c r="L56" s="64"/>
      <c r="M56" s="64"/>
      <c r="N56" s="7"/>
      <c r="O56" s="7"/>
    </row>
    <row r="57" spans="1:17" ht="13.8" thickBot="1">
      <c r="A57" s="66" t="s">
        <v>93</v>
      </c>
      <c r="B57" s="67">
        <f>SUM(B50:B56)</f>
        <v>0</v>
      </c>
      <c r="C57" s="67">
        <f t="shared" ref="C57:M57" si="8">SUM(C50:C56)</f>
        <v>0</v>
      </c>
      <c r="D57" s="67">
        <f t="shared" si="8"/>
        <v>0</v>
      </c>
      <c r="E57" s="67">
        <f t="shared" si="8"/>
        <v>0</v>
      </c>
      <c r="F57" s="67">
        <f t="shared" si="8"/>
        <v>0</v>
      </c>
      <c r="G57" s="67">
        <f t="shared" si="8"/>
        <v>0</v>
      </c>
      <c r="H57" s="67">
        <f t="shared" si="8"/>
        <v>0</v>
      </c>
      <c r="I57" s="67">
        <f t="shared" si="8"/>
        <v>0</v>
      </c>
      <c r="J57" s="67">
        <f t="shared" si="8"/>
        <v>0</v>
      </c>
      <c r="K57" s="67">
        <f t="shared" si="8"/>
        <v>0</v>
      </c>
      <c r="L57" s="67">
        <f t="shared" si="8"/>
        <v>0</v>
      </c>
      <c r="M57" s="67">
        <f t="shared" si="8"/>
        <v>0</v>
      </c>
      <c r="N57" s="7"/>
      <c r="O57" s="67">
        <f>SUM(O50:O56)</f>
        <v>0</v>
      </c>
      <c r="Q57" s="44"/>
    </row>
    <row r="58" spans="1:17" ht="13.8" thickTop="1">
      <c r="A58" s="7"/>
      <c r="B58" s="7"/>
      <c r="C58" s="7"/>
      <c r="D58" s="7"/>
      <c r="E58" s="7"/>
      <c r="F58" s="7"/>
      <c r="G58" s="7"/>
      <c r="H58" s="7"/>
      <c r="I58" s="7"/>
      <c r="J58" s="7"/>
      <c r="K58" s="7"/>
      <c r="L58" s="7"/>
      <c r="M58" s="7"/>
      <c r="N58" s="7"/>
      <c r="O58" s="7"/>
    </row>
    <row r="59" spans="1:17">
      <c r="A59" s="7"/>
      <c r="B59" s="7"/>
      <c r="C59" s="7"/>
      <c r="D59" s="7"/>
      <c r="E59" s="7"/>
      <c r="F59" s="7"/>
      <c r="G59" s="7"/>
      <c r="H59" s="7"/>
      <c r="I59" s="7"/>
      <c r="J59" s="7"/>
      <c r="K59" s="7"/>
      <c r="L59" s="7"/>
      <c r="M59" s="7"/>
      <c r="N59" s="7"/>
      <c r="O59" s="7"/>
    </row>
    <row r="60" spans="1:17">
      <c r="A60" s="7" t="s">
        <v>336</v>
      </c>
      <c r="B60" s="7"/>
      <c r="C60" s="7"/>
      <c r="D60" s="7"/>
      <c r="E60" s="7"/>
      <c r="F60" s="7"/>
      <c r="G60" s="7"/>
      <c r="H60" s="7"/>
      <c r="I60" s="7"/>
      <c r="J60" s="7"/>
      <c r="K60" s="7"/>
      <c r="L60" s="7"/>
      <c r="M60" s="7"/>
      <c r="N60" s="7"/>
      <c r="O60" s="7"/>
    </row>
    <row r="61" spans="1:17">
      <c r="A61" s="7"/>
      <c r="B61" s="7"/>
      <c r="C61" s="7"/>
      <c r="D61" s="7"/>
      <c r="E61" s="7"/>
      <c r="F61" s="7"/>
      <c r="G61" s="7"/>
      <c r="H61" s="7"/>
      <c r="I61" s="7"/>
      <c r="J61" s="7"/>
      <c r="K61" s="7"/>
      <c r="L61" s="7"/>
      <c r="M61" s="7"/>
      <c r="N61" s="7"/>
      <c r="O61" s="7"/>
    </row>
    <row r="64" spans="1:17" ht="21">
      <c r="A64" s="68" t="s">
        <v>1065</v>
      </c>
      <c r="B64" s="69"/>
      <c r="C64" s="69"/>
      <c r="D64" s="69"/>
      <c r="E64" s="69"/>
      <c r="F64" s="69"/>
      <c r="G64" s="69"/>
      <c r="H64" s="69"/>
      <c r="I64" s="69"/>
      <c r="J64" s="69"/>
      <c r="K64" s="69"/>
      <c r="L64" s="69"/>
      <c r="M64" s="69"/>
      <c r="N64" s="69"/>
      <c r="O64" s="69"/>
    </row>
    <row r="65" spans="1:15">
      <c r="A65" s="69"/>
      <c r="B65" s="69"/>
      <c r="C65" s="69"/>
      <c r="D65" s="69"/>
      <c r="E65" s="69"/>
      <c r="F65" s="69"/>
      <c r="G65" s="69"/>
      <c r="H65" s="69"/>
      <c r="I65" s="69"/>
      <c r="J65" s="69"/>
      <c r="K65" s="69"/>
      <c r="L65" s="69"/>
      <c r="M65" s="69"/>
      <c r="N65" s="69"/>
      <c r="O65" s="69"/>
    </row>
    <row r="66" spans="1:15">
      <c r="A66" s="69"/>
      <c r="B66" s="70"/>
      <c r="C66" s="70"/>
      <c r="D66" s="70"/>
      <c r="E66" s="70"/>
      <c r="F66" s="70"/>
      <c r="G66" s="70"/>
      <c r="H66" s="70"/>
      <c r="I66" s="70"/>
      <c r="J66" s="70"/>
      <c r="K66" s="70"/>
      <c r="L66" s="70"/>
      <c r="M66" s="70"/>
      <c r="N66" s="70"/>
      <c r="O66" s="69"/>
    </row>
    <row r="67" spans="1:15">
      <c r="A67" s="69"/>
      <c r="B67" s="70" t="s">
        <v>70</v>
      </c>
      <c r="C67" s="70" t="s">
        <v>71</v>
      </c>
      <c r="D67" s="70" t="s">
        <v>72</v>
      </c>
      <c r="E67" s="70" t="s">
        <v>73</v>
      </c>
      <c r="F67" s="70" t="s">
        <v>74</v>
      </c>
      <c r="G67" s="70" t="s">
        <v>75</v>
      </c>
      <c r="H67" s="70" t="s">
        <v>76</v>
      </c>
      <c r="I67" s="70" t="s">
        <v>77</v>
      </c>
      <c r="J67" s="70" t="s">
        <v>78</v>
      </c>
      <c r="K67" s="70" t="s">
        <v>79</v>
      </c>
      <c r="L67" s="70" t="s">
        <v>80</v>
      </c>
      <c r="M67" s="70" t="s">
        <v>81</v>
      </c>
      <c r="N67" s="70"/>
      <c r="O67" s="70" t="s">
        <v>93</v>
      </c>
    </row>
    <row r="68" spans="1:15">
      <c r="A68" s="69"/>
      <c r="B68" s="70"/>
      <c r="C68" s="70"/>
      <c r="D68" s="70"/>
      <c r="E68" s="70"/>
      <c r="F68" s="70"/>
      <c r="G68" s="70"/>
      <c r="H68" s="70"/>
      <c r="I68" s="70"/>
      <c r="J68" s="70"/>
      <c r="K68" s="70"/>
      <c r="L68" s="70"/>
      <c r="M68" s="70"/>
      <c r="N68" s="69"/>
      <c r="O68" s="69"/>
    </row>
    <row r="69" spans="1:15">
      <c r="A69" s="71" t="s">
        <v>94</v>
      </c>
      <c r="B69" s="69"/>
      <c r="C69" s="69"/>
      <c r="D69" s="69"/>
      <c r="E69" s="69"/>
      <c r="F69" s="69"/>
      <c r="G69" s="69"/>
      <c r="H69" s="69"/>
      <c r="I69" s="69"/>
      <c r="J69" s="69"/>
      <c r="K69" s="69"/>
      <c r="L69" s="69"/>
      <c r="M69" s="69"/>
      <c r="N69" s="69"/>
      <c r="O69" s="69"/>
    </row>
    <row r="70" spans="1:15">
      <c r="A70" s="72" t="s">
        <v>48</v>
      </c>
      <c r="B70" s="73"/>
      <c r="C70" s="73"/>
      <c r="D70" s="73"/>
      <c r="E70" s="73"/>
      <c r="F70" s="73"/>
      <c r="G70" s="73"/>
      <c r="H70" s="73"/>
      <c r="I70" s="73"/>
      <c r="J70" s="73"/>
      <c r="K70" s="73"/>
      <c r="L70" s="73"/>
      <c r="M70" s="73"/>
      <c r="N70" s="69"/>
      <c r="O70" s="74">
        <f t="shared" ref="O70:O75" si="9">SUM(B70:M70)</f>
        <v>0</v>
      </c>
    </row>
    <row r="71" spans="1:15">
      <c r="A71" s="72" t="s">
        <v>49</v>
      </c>
      <c r="B71" s="73"/>
      <c r="C71" s="73"/>
      <c r="D71" s="73"/>
      <c r="E71" s="73"/>
      <c r="F71" s="73"/>
      <c r="G71" s="73"/>
      <c r="H71" s="73"/>
      <c r="I71" s="73"/>
      <c r="J71" s="73"/>
      <c r="K71" s="73"/>
      <c r="L71" s="73"/>
      <c r="M71" s="73"/>
      <c r="N71" s="69"/>
      <c r="O71" s="74">
        <f t="shared" si="9"/>
        <v>0</v>
      </c>
    </row>
    <row r="72" spans="1:15">
      <c r="A72" s="72" t="s">
        <v>98</v>
      </c>
      <c r="B72" s="73"/>
      <c r="C72" s="73"/>
      <c r="D72" s="73"/>
      <c r="E72" s="73"/>
      <c r="F72" s="73"/>
      <c r="G72" s="73"/>
      <c r="H72" s="73"/>
      <c r="I72" s="73"/>
      <c r="J72" s="73"/>
      <c r="K72" s="73"/>
      <c r="L72" s="73"/>
      <c r="M72" s="73"/>
      <c r="N72" s="69"/>
      <c r="O72" s="74">
        <f t="shared" si="9"/>
        <v>0</v>
      </c>
    </row>
    <row r="73" spans="1:15">
      <c r="A73" s="72" t="s">
        <v>99</v>
      </c>
      <c r="B73" s="73"/>
      <c r="C73" s="73"/>
      <c r="D73" s="73"/>
      <c r="E73" s="73"/>
      <c r="F73" s="73"/>
      <c r="G73" s="73"/>
      <c r="H73" s="73"/>
      <c r="I73" s="73"/>
      <c r="J73" s="73"/>
      <c r="K73" s="73"/>
      <c r="L73" s="73"/>
      <c r="M73" s="73"/>
      <c r="N73" s="69"/>
      <c r="O73" s="74">
        <f t="shared" si="9"/>
        <v>0</v>
      </c>
    </row>
    <row r="74" spans="1:15">
      <c r="A74" s="72" t="s">
        <v>50</v>
      </c>
      <c r="B74" s="73"/>
      <c r="C74" s="73"/>
      <c r="D74" s="73"/>
      <c r="E74" s="73"/>
      <c r="F74" s="73"/>
      <c r="G74" s="73"/>
      <c r="H74" s="73"/>
      <c r="I74" s="73"/>
      <c r="J74" s="73"/>
      <c r="K74" s="73"/>
      <c r="L74" s="73"/>
      <c r="M74" s="73"/>
      <c r="N74" s="69"/>
      <c r="O74" s="74">
        <f t="shared" si="9"/>
        <v>0</v>
      </c>
    </row>
    <row r="75" spans="1:15">
      <c r="A75" s="72" t="s">
        <v>95</v>
      </c>
      <c r="B75" s="73"/>
      <c r="C75" s="73"/>
      <c r="D75" s="73"/>
      <c r="E75" s="73"/>
      <c r="F75" s="73"/>
      <c r="G75" s="73"/>
      <c r="H75" s="73"/>
      <c r="I75" s="73"/>
      <c r="J75" s="73"/>
      <c r="K75" s="73"/>
      <c r="L75" s="73"/>
      <c r="M75" s="73"/>
      <c r="N75" s="69"/>
      <c r="O75" s="74">
        <f t="shared" si="9"/>
        <v>0</v>
      </c>
    </row>
    <row r="76" spans="1:15">
      <c r="A76" s="72"/>
      <c r="B76" s="73"/>
      <c r="C76" s="73"/>
      <c r="D76" s="73"/>
      <c r="E76" s="73"/>
      <c r="F76" s="73"/>
      <c r="G76" s="73"/>
      <c r="H76" s="73"/>
      <c r="I76" s="73"/>
      <c r="J76" s="73"/>
      <c r="K76" s="73"/>
      <c r="L76" s="73"/>
      <c r="M76" s="73"/>
      <c r="N76" s="69"/>
      <c r="O76" s="69"/>
    </row>
    <row r="77" spans="1:15" ht="13.8" thickBot="1">
      <c r="A77" s="75" t="s">
        <v>93</v>
      </c>
      <c r="B77" s="76">
        <f>SUM(B70:B75)</f>
        <v>0</v>
      </c>
      <c r="C77" s="76">
        <f t="shared" ref="C77:O77" si="10">SUM(C70:C75)</f>
        <v>0</v>
      </c>
      <c r="D77" s="76">
        <f t="shared" si="10"/>
        <v>0</v>
      </c>
      <c r="E77" s="76">
        <f t="shared" si="10"/>
        <v>0</v>
      </c>
      <c r="F77" s="76">
        <f t="shared" si="10"/>
        <v>0</v>
      </c>
      <c r="G77" s="76">
        <f t="shared" si="10"/>
        <v>0</v>
      </c>
      <c r="H77" s="76">
        <f t="shared" si="10"/>
        <v>0</v>
      </c>
      <c r="I77" s="76">
        <f t="shared" si="10"/>
        <v>0</v>
      </c>
      <c r="J77" s="76">
        <f t="shared" si="10"/>
        <v>0</v>
      </c>
      <c r="K77" s="76">
        <f t="shared" si="10"/>
        <v>0</v>
      </c>
      <c r="L77" s="76">
        <f t="shared" si="10"/>
        <v>0</v>
      </c>
      <c r="M77" s="76">
        <f t="shared" si="10"/>
        <v>0</v>
      </c>
      <c r="N77" s="69"/>
      <c r="O77" s="76">
        <f t="shared" si="10"/>
        <v>0</v>
      </c>
    </row>
    <row r="78" spans="1:15" ht="13.8" thickTop="1">
      <c r="A78" s="69"/>
      <c r="B78" s="73"/>
      <c r="C78" s="73"/>
      <c r="D78" s="73"/>
      <c r="E78" s="73"/>
      <c r="F78" s="73"/>
      <c r="G78" s="73"/>
      <c r="H78" s="73"/>
      <c r="I78" s="73"/>
      <c r="J78" s="73"/>
      <c r="K78" s="73"/>
      <c r="L78" s="73"/>
      <c r="M78" s="73"/>
      <c r="N78" s="69"/>
      <c r="O78" s="69"/>
    </row>
    <row r="79" spans="1:15">
      <c r="A79" s="71" t="s">
        <v>96</v>
      </c>
      <c r="B79" s="73"/>
      <c r="C79" s="73"/>
      <c r="D79" s="73"/>
      <c r="E79" s="73"/>
      <c r="F79" s="73"/>
      <c r="G79" s="73"/>
      <c r="H79" s="73"/>
      <c r="I79" s="73"/>
      <c r="J79" s="73"/>
      <c r="K79" s="73"/>
      <c r="L79" s="73"/>
      <c r="M79" s="73"/>
      <c r="N79" s="69"/>
      <c r="O79" s="69"/>
    </row>
    <row r="80" spans="1:15">
      <c r="A80" s="72" t="s">
        <v>48</v>
      </c>
      <c r="B80" s="73"/>
      <c r="C80" s="73"/>
      <c r="D80" s="73"/>
      <c r="E80" s="73"/>
      <c r="F80" s="73"/>
      <c r="G80" s="73"/>
      <c r="H80" s="73"/>
      <c r="I80" s="73"/>
      <c r="J80" s="73"/>
      <c r="K80" s="73"/>
      <c r="L80" s="73"/>
      <c r="M80" s="73"/>
      <c r="N80" s="69"/>
      <c r="O80" s="74">
        <f t="shared" ref="O80:O85" si="11">SUM(B80:M80)</f>
        <v>0</v>
      </c>
    </row>
    <row r="81" spans="1:15">
      <c r="A81" s="72" t="s">
        <v>49</v>
      </c>
      <c r="B81" s="73"/>
      <c r="C81" s="73"/>
      <c r="D81" s="73"/>
      <c r="E81" s="73"/>
      <c r="F81" s="73"/>
      <c r="G81" s="73"/>
      <c r="H81" s="73"/>
      <c r="I81" s="73"/>
      <c r="J81" s="73"/>
      <c r="K81" s="73"/>
      <c r="L81" s="73"/>
      <c r="M81" s="73"/>
      <c r="N81" s="69"/>
      <c r="O81" s="74">
        <f t="shared" si="11"/>
        <v>0</v>
      </c>
    </row>
    <row r="82" spans="1:15">
      <c r="A82" s="72" t="s">
        <v>98</v>
      </c>
      <c r="B82" s="73"/>
      <c r="C82" s="73"/>
      <c r="D82" s="73"/>
      <c r="E82" s="73"/>
      <c r="F82" s="73"/>
      <c r="G82" s="73"/>
      <c r="H82" s="73"/>
      <c r="I82" s="73"/>
      <c r="J82" s="73"/>
      <c r="K82" s="73"/>
      <c r="L82" s="73"/>
      <c r="M82" s="73"/>
      <c r="N82" s="69"/>
      <c r="O82" s="74">
        <f t="shared" si="11"/>
        <v>0</v>
      </c>
    </row>
    <row r="83" spans="1:15">
      <c r="A83" s="72" t="s">
        <v>99</v>
      </c>
      <c r="B83" s="73"/>
      <c r="C83" s="73"/>
      <c r="D83" s="73"/>
      <c r="E83" s="73"/>
      <c r="F83" s="73"/>
      <c r="G83" s="73"/>
      <c r="H83" s="73"/>
      <c r="I83" s="73"/>
      <c r="J83" s="73"/>
      <c r="K83" s="73"/>
      <c r="L83" s="73"/>
      <c r="M83" s="73"/>
      <c r="N83" s="69"/>
      <c r="O83" s="74">
        <f t="shared" si="11"/>
        <v>0</v>
      </c>
    </row>
    <row r="84" spans="1:15">
      <c r="A84" s="72" t="s">
        <v>50</v>
      </c>
      <c r="B84" s="73"/>
      <c r="C84" s="73"/>
      <c r="D84" s="73"/>
      <c r="E84" s="73"/>
      <c r="F84" s="73"/>
      <c r="G84" s="73"/>
      <c r="H84" s="73"/>
      <c r="I84" s="73"/>
      <c r="J84" s="73"/>
      <c r="K84" s="73"/>
      <c r="L84" s="73"/>
      <c r="M84" s="73"/>
      <c r="N84" s="69"/>
      <c r="O84" s="74">
        <f t="shared" si="11"/>
        <v>0</v>
      </c>
    </row>
    <row r="85" spans="1:15">
      <c r="A85" s="72" t="s">
        <v>95</v>
      </c>
      <c r="B85" s="73"/>
      <c r="C85" s="73"/>
      <c r="D85" s="73"/>
      <c r="E85" s="73"/>
      <c r="F85" s="73"/>
      <c r="G85" s="73"/>
      <c r="H85" s="73"/>
      <c r="I85" s="73"/>
      <c r="J85" s="73"/>
      <c r="K85" s="73"/>
      <c r="L85" s="73"/>
      <c r="M85" s="73"/>
      <c r="N85" s="69"/>
      <c r="O85" s="74">
        <f t="shared" si="11"/>
        <v>0</v>
      </c>
    </row>
    <row r="86" spans="1:15">
      <c r="A86" s="72"/>
      <c r="B86" s="73"/>
      <c r="C86" s="73"/>
      <c r="D86" s="73"/>
      <c r="E86" s="73"/>
      <c r="F86" s="73"/>
      <c r="G86" s="73"/>
      <c r="H86" s="73"/>
      <c r="I86" s="73"/>
      <c r="J86" s="73"/>
      <c r="K86" s="73"/>
      <c r="L86" s="73"/>
      <c r="M86" s="73"/>
      <c r="N86" s="69"/>
      <c r="O86" s="69"/>
    </row>
    <row r="87" spans="1:15" ht="13.8" thickBot="1">
      <c r="A87" s="75" t="s">
        <v>93</v>
      </c>
      <c r="B87" s="76">
        <f t="shared" ref="B87:M87" si="12">SUM(B80:B85)</f>
        <v>0</v>
      </c>
      <c r="C87" s="76">
        <f t="shared" si="12"/>
        <v>0</v>
      </c>
      <c r="D87" s="76">
        <f t="shared" si="12"/>
        <v>0</v>
      </c>
      <c r="E87" s="76">
        <f t="shared" si="12"/>
        <v>0</v>
      </c>
      <c r="F87" s="76">
        <f t="shared" si="12"/>
        <v>0</v>
      </c>
      <c r="G87" s="76">
        <f t="shared" si="12"/>
        <v>0</v>
      </c>
      <c r="H87" s="76">
        <f t="shared" si="12"/>
        <v>0</v>
      </c>
      <c r="I87" s="76">
        <f t="shared" si="12"/>
        <v>0</v>
      </c>
      <c r="J87" s="76">
        <f t="shared" si="12"/>
        <v>0</v>
      </c>
      <c r="K87" s="76">
        <f t="shared" si="12"/>
        <v>0</v>
      </c>
      <c r="L87" s="76">
        <f t="shared" si="12"/>
        <v>0</v>
      </c>
      <c r="M87" s="76">
        <f t="shared" si="12"/>
        <v>0</v>
      </c>
      <c r="N87" s="69"/>
      <c r="O87" s="76">
        <f>SUM(O80:O85)</f>
        <v>0</v>
      </c>
    </row>
    <row r="88" spans="1:15" ht="13.8" thickTop="1">
      <c r="A88" s="69"/>
      <c r="B88" s="69"/>
      <c r="C88" s="69"/>
      <c r="D88" s="69"/>
      <c r="E88" s="69"/>
      <c r="F88" s="69"/>
      <c r="G88" s="69"/>
      <c r="H88" s="69"/>
      <c r="I88" s="69"/>
      <c r="J88" s="69"/>
      <c r="K88" s="69"/>
      <c r="L88" s="69"/>
      <c r="M88" s="69"/>
      <c r="N88" s="69"/>
      <c r="O88" s="69"/>
    </row>
    <row r="89" spans="1:15">
      <c r="A89" s="69"/>
      <c r="B89" s="69"/>
      <c r="C89" s="69"/>
      <c r="D89" s="69"/>
      <c r="E89" s="69"/>
      <c r="F89" s="69"/>
      <c r="G89" s="69"/>
      <c r="H89" s="69"/>
      <c r="I89" s="69"/>
      <c r="J89" s="69"/>
      <c r="K89" s="69"/>
      <c r="L89" s="69"/>
      <c r="M89" s="69"/>
      <c r="N89" s="69"/>
      <c r="O89" s="69"/>
    </row>
    <row r="90" spans="1:15">
      <c r="A90" s="69" t="s">
        <v>337</v>
      </c>
      <c r="B90" s="69"/>
      <c r="C90" s="69"/>
      <c r="D90" s="69"/>
      <c r="E90" s="69"/>
      <c r="F90" s="69"/>
      <c r="G90" s="69"/>
      <c r="H90" s="69"/>
      <c r="I90" s="69"/>
      <c r="J90" s="69"/>
      <c r="K90" s="69"/>
      <c r="L90" s="69"/>
      <c r="M90" s="69"/>
      <c r="N90" s="69"/>
      <c r="O90" s="69"/>
    </row>
    <row r="91" spans="1:15">
      <c r="A91" s="69"/>
      <c r="B91" s="69"/>
      <c r="C91" s="69"/>
      <c r="D91" s="69"/>
      <c r="E91" s="69"/>
      <c r="F91" s="69"/>
      <c r="G91" s="69"/>
      <c r="H91" s="69"/>
      <c r="I91" s="69"/>
      <c r="J91" s="69"/>
      <c r="K91" s="69"/>
      <c r="L91" s="69"/>
      <c r="M91" s="69"/>
      <c r="N91" s="69"/>
      <c r="O91" s="69"/>
    </row>
  </sheetData>
  <phoneticPr fontId="9" type="noConversion"/>
  <pageMargins left="0.75" right="0.75" top="1" bottom="1" header="0.5" footer="0.5"/>
  <pageSetup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0000"/>
    <pageSetUpPr fitToPage="1"/>
  </sheetPr>
  <dimension ref="A1:Y176"/>
  <sheetViews>
    <sheetView showGridLines="0" zoomScale="75" zoomScaleNormal="75" workbookViewId="0">
      <selection activeCell="A2" sqref="A1:A2"/>
    </sheetView>
  </sheetViews>
  <sheetFormatPr defaultRowHeight="13.2"/>
  <cols>
    <col min="1" max="1" width="14.88671875" customWidth="1"/>
    <col min="2" max="2" width="24.5546875" customWidth="1"/>
    <col min="3" max="16" width="10.6640625" customWidth="1"/>
    <col min="18" max="18" width="13.109375" bestFit="1" customWidth="1"/>
  </cols>
  <sheetData>
    <row r="1" spans="1:16" s="8" customFormat="1">
      <c r="A1" s="8" t="s">
        <v>1314</v>
      </c>
    </row>
    <row r="2" spans="1:16" s="8" customFormat="1">
      <c r="A2" s="8" t="s">
        <v>1267</v>
      </c>
    </row>
    <row r="3" spans="1:16" s="8" customFormat="1"/>
    <row r="4" spans="1:16" ht="21">
      <c r="B4" s="611" t="s">
        <v>158</v>
      </c>
      <c r="C4" s="611"/>
      <c r="D4" s="611"/>
      <c r="E4" s="611"/>
      <c r="F4" s="611"/>
      <c r="G4" s="611"/>
      <c r="H4" s="611"/>
      <c r="I4" s="611"/>
      <c r="J4" s="611"/>
      <c r="K4" s="611"/>
      <c r="L4" s="611"/>
      <c r="M4" s="611"/>
      <c r="N4" s="611"/>
      <c r="O4" s="611"/>
      <c r="P4" s="611"/>
    </row>
    <row r="5" spans="1:16">
      <c r="B5" s="612" t="s">
        <v>89</v>
      </c>
      <c r="C5" s="612"/>
      <c r="D5" s="612"/>
      <c r="E5" s="612"/>
      <c r="F5" s="612"/>
      <c r="G5" s="612"/>
      <c r="H5" s="612"/>
      <c r="I5" s="612"/>
      <c r="J5" s="612"/>
      <c r="K5" s="612"/>
      <c r="L5" s="612"/>
      <c r="M5" s="612"/>
      <c r="N5" s="612"/>
      <c r="O5" s="612"/>
      <c r="P5" s="612"/>
    </row>
    <row r="6" spans="1:16" ht="13.8" thickBot="1">
      <c r="B6" s="300"/>
      <c r="C6" s="300"/>
      <c r="D6" s="300"/>
      <c r="E6" s="300"/>
      <c r="F6" s="300"/>
      <c r="G6" s="300"/>
      <c r="H6" s="300"/>
      <c r="I6" s="300"/>
      <c r="J6" s="300"/>
      <c r="K6" s="300"/>
      <c r="L6" s="300"/>
      <c r="M6" s="300"/>
      <c r="N6" s="300"/>
      <c r="O6" s="300"/>
      <c r="P6" s="300"/>
    </row>
    <row r="7" spans="1:16">
      <c r="C7" s="14"/>
      <c r="D7" s="15"/>
      <c r="E7" s="16"/>
      <c r="F7" s="17"/>
      <c r="G7" s="18"/>
      <c r="H7" s="19"/>
      <c r="I7" s="20"/>
      <c r="J7" s="21"/>
      <c r="K7" s="22"/>
      <c r="L7" s="23"/>
      <c r="M7" s="24"/>
      <c r="N7" s="317"/>
      <c r="O7" s="110"/>
      <c r="P7" s="305"/>
    </row>
    <row r="8" spans="1:16" ht="13.8" thickBot="1">
      <c r="C8" s="28" t="s">
        <v>70</v>
      </c>
      <c r="D8" s="29" t="s">
        <v>71</v>
      </c>
      <c r="E8" s="30" t="s">
        <v>72</v>
      </c>
      <c r="F8" s="31" t="s">
        <v>73</v>
      </c>
      <c r="G8" s="32" t="s">
        <v>74</v>
      </c>
      <c r="H8" s="33" t="s">
        <v>75</v>
      </c>
      <c r="I8" s="34" t="s">
        <v>76</v>
      </c>
      <c r="J8" s="35" t="s">
        <v>77</v>
      </c>
      <c r="K8" s="36" t="s">
        <v>78</v>
      </c>
      <c r="L8" s="37" t="s">
        <v>79</v>
      </c>
      <c r="M8" s="38" t="s">
        <v>80</v>
      </c>
      <c r="N8" s="318" t="s">
        <v>81</v>
      </c>
      <c r="O8" s="305"/>
      <c r="P8" s="305"/>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c r="A12" s="43" t="s">
        <v>98</v>
      </c>
      <c r="B12" s="43" t="s">
        <v>84</v>
      </c>
      <c r="C12" s="312">
        <f>IF(VLOOKUP($B12,'Avg CP'!$B$12:$P$38,2,FALSE)&gt;0,AVERAGE(VLOOKUP($B12,$B$54:$P$79,C$9,FALSE),VLOOKUP($B12,$B$96:$N$121,C$9,FALSE),VLOOKUP($B12,$B$138:$N$164,C$9,FALSE)),"")</f>
        <v>0.96663333333333334</v>
      </c>
      <c r="D12" s="312">
        <f>IF(VLOOKUP($B12,'Avg CP'!$B$12:$P$38,2,FALSE)&gt;0,AVERAGE(VLOOKUP($B12,$B$54:$P$79,D$9,FALSE),VLOOKUP($B12,$B$96:$N$121,D$9,FALSE),VLOOKUP($B12,$B$138:$N$164,D$9,FALSE)),"")</f>
        <v>0.88569999999999993</v>
      </c>
      <c r="E12" s="312">
        <f>IF(VLOOKUP($B12,'Avg CP'!$B$12:$P$38,2,FALSE)&gt;0,AVERAGE(VLOOKUP($B12,$B$54:$P$79,E$9,FALSE),VLOOKUP($B12,$B$96:$N$121,E$9,FALSE),VLOOKUP($B12,$B$138:$N$164,E$9,FALSE)),"")</f>
        <v>0.97643333333333338</v>
      </c>
      <c r="F12" s="312">
        <f>IF(VLOOKUP($B12,'Avg CP'!$B$12:$P$38,2,FALSE)&gt;0,AVERAGE(VLOOKUP($B12,$B$54:$P$79,F$9,FALSE),VLOOKUP($B12,$B$96:$N$121,F$9,FALSE),VLOOKUP($B12,$B$138:$N$164,F$9,FALSE)),"")</f>
        <v>0.90370000000000006</v>
      </c>
      <c r="G12" s="312">
        <f>IF(VLOOKUP($B12,'Avg CP'!$B$12:$P$38,2,FALSE)&gt;0,AVERAGE(VLOOKUP($B12,$B$54:$P$79,G$9,FALSE),VLOOKUP($B12,$B$96:$N$121,G$9,FALSE),VLOOKUP($B12,$B$138:$N$164,G$9,FALSE)),"")</f>
        <v>0.92360000000000009</v>
      </c>
      <c r="H12" s="312">
        <f>IF(VLOOKUP($B12,'Avg CP'!$B$12:$P$38,2,FALSE)&gt;0,AVERAGE(VLOOKUP($B12,$B$54:$P$79,H$9,FALSE),VLOOKUP($B12,$B$96:$N$121,H$9,FALSE),VLOOKUP($B12,$B$138:$N$164,H$9,FALSE)),"")</f>
        <v>0.90413333333333334</v>
      </c>
      <c r="I12" s="312">
        <f>IF(VLOOKUP($B12,'Avg CP'!$B$12:$P$38,2,FALSE)&gt;0,AVERAGE(VLOOKUP($B12,$B$54:$P$79,I$9,FALSE),VLOOKUP($B12,$B$96:$N$121,I$9,FALSE),VLOOKUP($B12,$B$138:$N$164,I$9,FALSE)),"")</f>
        <v>0.92716666666666681</v>
      </c>
      <c r="J12" s="312">
        <f>IF(VLOOKUP($B12,'Avg CP'!$B$12:$P$38,2,FALSE)&gt;0,AVERAGE(VLOOKUP($B12,$B$54:$P$79,J$9,FALSE),VLOOKUP($B12,$B$96:$N$121,J$9,FALSE),VLOOKUP($B12,$B$138:$N$164,J$9,FALSE)),"")</f>
        <v>0.92220000000000013</v>
      </c>
      <c r="K12" s="312">
        <f>IF(VLOOKUP($B12,'Avg CP'!$B$12:$P$38,2,FALSE)&gt;0,AVERAGE(VLOOKUP($B12,$B$54:$P$79,K$9,FALSE),VLOOKUP($B12,$B$96:$N$121,K$9,FALSE),VLOOKUP($B12,$B$138:$N$164,K$9,FALSE)),"")</f>
        <v>0.93479999999999996</v>
      </c>
      <c r="L12" s="312">
        <f>IF(VLOOKUP($B12,'Avg CP'!$B$12:$P$38,2,FALSE)&gt;0,AVERAGE(VLOOKUP($B12,$B$54:$P$79,L$9,FALSE),VLOOKUP($B12,$B$96:$N$121,L$9,FALSE),VLOOKUP($B12,$B$138:$N$164,L$9,FALSE)),"")</f>
        <v>0.90446666666666664</v>
      </c>
      <c r="M12" s="312">
        <f>IF(VLOOKUP($B12,'Avg CP'!$B$12:$P$38,2,FALSE)&gt;0,AVERAGE(VLOOKUP($B12,$B$54:$P$79,M$9,FALSE),VLOOKUP($B12,$B$96:$N$121,M$9,FALSE),VLOOKUP($B12,$B$138:$N$164,M$9,FALSE)),"")</f>
        <v>0.86943333333333328</v>
      </c>
      <c r="N12" s="312">
        <f>IF(VLOOKUP($B12,'Avg CP'!$B$12:$P$38,2,FALSE)&gt;0,AVERAGE(VLOOKUP($B12,$B$54:$P$79,N$9,FALSE),VLOOKUP($B12,$B$96:$N$121,N$9,FALSE),VLOOKUP($B12,$B$138:$N$164,N$9,FALSE)),"")</f>
        <v>0.9046333333333334</v>
      </c>
      <c r="O12" s="117"/>
      <c r="P12" s="314"/>
    </row>
    <row r="13" spans="1:16">
      <c r="A13" s="43" t="s">
        <v>99</v>
      </c>
      <c r="B13" s="43" t="s">
        <v>85</v>
      </c>
      <c r="C13" s="312">
        <f>IF(VLOOKUP($B13,'Avg CP'!$B$12:$P$38,2,FALSE)&gt;0,AVERAGE(VLOOKUP($B13,$B$54:$P$79,C$9,FALSE),VLOOKUP($B13,$B$96:$N$121,C$9,FALSE),VLOOKUP($B13,$B$138:$N$164,C$9,FALSE)),"")</f>
        <v>0.94566666666666654</v>
      </c>
      <c r="D13" s="312">
        <f>IF(VLOOKUP($B13,'Avg CP'!$B$12:$P$38,2,FALSE)&gt;0,AVERAGE(VLOOKUP($B13,$B$54:$P$79,D$9,FALSE),VLOOKUP($B13,$B$96:$N$121,D$9,FALSE),VLOOKUP($B13,$B$138:$N$164,D$9,FALSE)),"")</f>
        <v>0.86976666666666669</v>
      </c>
      <c r="E13" s="312">
        <f>IF(VLOOKUP($B13,'Avg CP'!$B$12:$P$38,2,FALSE)&gt;0,AVERAGE(VLOOKUP($B13,$B$54:$P$79,E$9,FALSE),VLOOKUP($B13,$B$96:$N$121,E$9,FALSE),VLOOKUP($B13,$B$138:$N$164,E$9,FALSE)),"")</f>
        <v>0.94036666666666668</v>
      </c>
      <c r="F13" s="312">
        <f>IF(VLOOKUP($B13,'Avg CP'!$B$12:$P$38,2,FALSE)&gt;0,AVERAGE(VLOOKUP($B13,$B$54:$P$79,F$9,FALSE),VLOOKUP($B13,$B$96:$N$121,F$9,FALSE),VLOOKUP($B13,$B$138:$N$164,F$9,FALSE)),"")</f>
        <v>0.88663333333333327</v>
      </c>
      <c r="G13" s="312">
        <f>IF(VLOOKUP($B13,'Avg CP'!$B$12:$P$38,2,FALSE)&gt;0,AVERAGE(VLOOKUP($B13,$B$54:$P$79,G$9,FALSE),VLOOKUP($B13,$B$96:$N$121,G$9,FALSE),VLOOKUP($B13,$B$138:$N$164,G$9,FALSE)),"")</f>
        <v>0.8864333333333333</v>
      </c>
      <c r="H13" s="312">
        <f>IF(VLOOKUP($B13,'Avg CP'!$B$12:$P$38,2,FALSE)&gt;0,AVERAGE(VLOOKUP($B13,$B$54:$P$79,H$9,FALSE),VLOOKUP($B13,$B$96:$N$121,H$9,FALSE),VLOOKUP($B13,$B$138:$N$164,H$9,FALSE)),"")</f>
        <v>0.87679999999999991</v>
      </c>
      <c r="I13" s="312">
        <f>IF(VLOOKUP($B13,'Avg CP'!$B$12:$P$38,2,FALSE)&gt;0,AVERAGE(VLOOKUP($B13,$B$54:$P$79,I$9,FALSE),VLOOKUP($B13,$B$96:$N$121,I$9,FALSE),VLOOKUP($B13,$B$138:$N$164,I$9,FALSE)),"")</f>
        <v>0.89346666666666674</v>
      </c>
      <c r="J13" s="312">
        <f>IF(VLOOKUP($B13,'Avg CP'!$B$12:$P$38,2,FALSE)&gt;0,AVERAGE(VLOOKUP($B13,$B$54:$P$79,J$9,FALSE),VLOOKUP($B13,$B$96:$N$121,J$9,FALSE),VLOOKUP($B13,$B$138:$N$164,J$9,FALSE)),"")</f>
        <v>0.89359999999999984</v>
      </c>
      <c r="K13" s="312">
        <f>IF(VLOOKUP($B13,'Avg CP'!$B$12:$P$38,2,FALSE)&gt;0,AVERAGE(VLOOKUP($B13,$B$54:$P$79,K$9,FALSE),VLOOKUP($B13,$B$96:$N$121,K$9,FALSE),VLOOKUP($B13,$B$138:$N$164,K$9,FALSE)),"")</f>
        <v>0.90686666666666671</v>
      </c>
      <c r="L13" s="312">
        <f>IF(VLOOKUP($B13,'Avg CP'!$B$12:$P$38,2,FALSE)&gt;0,AVERAGE(VLOOKUP($B13,$B$54:$P$79,L$9,FALSE),VLOOKUP($B13,$B$96:$N$121,L$9,FALSE),VLOOKUP($B13,$B$138:$N$164,L$9,FALSE)),"")</f>
        <v>0.87356666666666671</v>
      </c>
      <c r="M13" s="312">
        <f>IF(VLOOKUP($B13,'Avg CP'!$B$12:$P$38,2,FALSE)&gt;0,AVERAGE(VLOOKUP($B13,$B$54:$P$79,M$9,FALSE),VLOOKUP($B13,$B$96:$N$121,M$9,FALSE),VLOOKUP($B13,$B$138:$N$164,M$9,FALSE)),"")</f>
        <v>0.8722333333333333</v>
      </c>
      <c r="N13" s="312">
        <f>IF(VLOOKUP($B13,'Avg CP'!$B$12:$P$38,2,FALSE)&gt;0,AVERAGE(VLOOKUP($B13,$B$54:$P$79,N$9,FALSE),VLOOKUP($B13,$B$96:$N$121,N$9,FALSE),VLOOKUP($B13,$B$138:$N$164,N$9,FALSE)),"")</f>
        <v>0.91536666666666677</v>
      </c>
      <c r="O13" s="117"/>
      <c r="P13" s="314"/>
    </row>
    <row r="14" spans="1:16">
      <c r="A14" s="43" t="s">
        <v>50</v>
      </c>
      <c r="B14" s="43" t="s">
        <v>50</v>
      </c>
      <c r="C14" s="312">
        <f>IF(VLOOKUP($B14,'Avg CP'!$B$12:$P$38,2,FALSE)&gt;0,AVERAGE(VLOOKUP($B14,$B$54:$P$79,C$9,FALSE),VLOOKUP($B14,$B$96:$N$121,C$9,FALSE),VLOOKUP($B14,$B$138:$N$164,C$9,FALSE)),"")</f>
        <v>1.0381333333333334</v>
      </c>
      <c r="D14" s="312">
        <f>IF(VLOOKUP($B14,'Avg CP'!$B$12:$P$38,2,FALSE)&gt;0,AVERAGE(VLOOKUP($B14,$B$54:$P$79,D$9,FALSE),VLOOKUP($B14,$B$96:$N$121,D$9,FALSE),VLOOKUP($B14,$B$138:$N$164,D$9,FALSE)),"")</f>
        <v>0.93210000000000004</v>
      </c>
      <c r="E14" s="312">
        <f>IF(VLOOKUP($B14,'Avg CP'!$B$12:$P$38,2,FALSE)&gt;0,AVERAGE(VLOOKUP($B14,$B$54:$P$79,E$9,FALSE),VLOOKUP($B14,$B$96:$N$121,E$9,FALSE),VLOOKUP($B14,$B$138:$N$164,E$9,FALSE)),"")</f>
        <v>0.92213333333333336</v>
      </c>
      <c r="F14" s="312">
        <f>IF(VLOOKUP($B14,'Avg CP'!$B$12:$P$38,2,FALSE)&gt;0,AVERAGE(VLOOKUP($B14,$B$54:$P$79,F$9,FALSE),VLOOKUP($B14,$B$96:$N$121,F$9,FALSE),VLOOKUP($B14,$B$138:$N$164,F$9,FALSE)),"")</f>
        <v>1.0067333333333333</v>
      </c>
      <c r="G14" s="312">
        <f>IF(VLOOKUP($B14,'Avg CP'!$B$12:$P$38,2,FALSE)&gt;0,AVERAGE(VLOOKUP($B14,$B$54:$P$79,G$9,FALSE),VLOOKUP($B14,$B$96:$N$121,G$9,FALSE),VLOOKUP($B14,$B$138:$N$164,G$9,FALSE)),"")</f>
        <v>0.92626666666666668</v>
      </c>
      <c r="H14" s="312">
        <f>IF(VLOOKUP($B14,'Avg CP'!$B$12:$P$38,2,FALSE)&gt;0,AVERAGE(VLOOKUP($B14,$B$54:$P$79,H$9,FALSE),VLOOKUP($B14,$B$96:$N$121,H$9,FALSE),VLOOKUP($B14,$B$138:$N$164,H$9,FALSE)),"")</f>
        <v>0.97076666666666667</v>
      </c>
      <c r="I14" s="312">
        <f>IF(VLOOKUP($B14,'Avg CP'!$B$12:$P$38,2,FALSE)&gt;0,AVERAGE(VLOOKUP($B14,$B$54:$P$79,I$9,FALSE),VLOOKUP($B14,$B$96:$N$121,I$9,FALSE),VLOOKUP($B14,$B$138:$N$164,I$9,FALSE)),"")</f>
        <v>0.96696666666666664</v>
      </c>
      <c r="J14" s="312">
        <f>IF(VLOOKUP($B14,'Avg CP'!$B$12:$P$38,2,FALSE)&gt;0,AVERAGE(VLOOKUP($B14,$B$54:$P$79,J$9,FALSE),VLOOKUP($B14,$B$96:$N$121,J$9,FALSE),VLOOKUP($B14,$B$138:$N$164,J$9,FALSE)),"")</f>
        <v>0.97246666666666659</v>
      </c>
      <c r="K14" s="312">
        <f>IF(VLOOKUP($B14,'Avg CP'!$B$12:$P$38,2,FALSE)&gt;0,AVERAGE(VLOOKUP($B14,$B$54:$P$79,K$9,FALSE),VLOOKUP($B14,$B$96:$N$121,K$9,FALSE),VLOOKUP($B14,$B$138:$N$164,K$9,FALSE)),"")</f>
        <v>0.99743333333333328</v>
      </c>
      <c r="L14" s="312">
        <f>IF(VLOOKUP($B14,'Avg CP'!$B$12:$P$38,2,FALSE)&gt;0,AVERAGE(VLOOKUP($B14,$B$54:$P$79,L$9,FALSE),VLOOKUP($B14,$B$96:$N$121,L$9,FALSE),VLOOKUP($B14,$B$138:$N$164,L$9,FALSE)),"")</f>
        <v>0.96526666666666661</v>
      </c>
      <c r="M14" s="312">
        <f>IF(VLOOKUP($B14,'Avg CP'!$B$12:$P$38,2,FALSE)&gt;0,AVERAGE(VLOOKUP($B14,$B$54:$P$79,M$9,FALSE),VLOOKUP($B14,$B$96:$N$121,M$9,FALSE),VLOOKUP($B14,$B$138:$N$164,M$9,FALSE)),"")</f>
        <v>0.92136666666666667</v>
      </c>
      <c r="N14" s="312">
        <f>IF(VLOOKUP($B14,'Avg CP'!$B$12:$P$38,2,FALSE)&gt;0,AVERAGE(VLOOKUP($B14,$B$54:$P$79,N$9,FALSE),VLOOKUP($B14,$B$96:$N$121,N$9,FALSE),VLOOKUP($B14,$B$138:$N$164,N$9,FALSE)),"")</f>
        <v>0.93163333333333342</v>
      </c>
      <c r="O14" s="117"/>
      <c r="P14" s="314"/>
    </row>
    <row r="15" spans="1:16" ht="11.25" customHeight="1">
      <c r="A15" s="43" t="s">
        <v>49</v>
      </c>
      <c r="B15" s="43" t="s">
        <v>49</v>
      </c>
      <c r="C15" s="312">
        <f>IF(VLOOKUP($B15,'Avg CP'!$B$12:$P$38,2,FALSE)&gt;0,AVERAGE(VLOOKUP($B15,$B$54:$P$79,C$9,FALSE),VLOOKUP($B15,$B$96:$N$121,C$9,FALSE),VLOOKUP($B15,$B$138:$N$164,C$9,FALSE)),"")</f>
        <v>1.0274333333333334</v>
      </c>
      <c r="D15" s="312">
        <f>IF(VLOOKUP($B15,'Avg CP'!$B$12:$P$38,2,FALSE)&gt;0,AVERAGE(VLOOKUP($B15,$B$54:$P$79,D$9,FALSE),VLOOKUP($B15,$B$96:$N$121,D$9,FALSE),VLOOKUP($B15,$B$138:$N$164,D$9,FALSE)),"")</f>
        <v>0.61353333333333326</v>
      </c>
      <c r="E15" s="312">
        <f>IF(VLOOKUP($B15,'Avg CP'!$B$12:$P$38,2,FALSE)&gt;0,AVERAGE(VLOOKUP($B15,$B$54:$P$79,E$9,FALSE),VLOOKUP($B15,$B$96:$N$121,E$9,FALSE),VLOOKUP($B15,$B$138:$N$164,E$9,FALSE)),"")</f>
        <v>1.0434333333333334</v>
      </c>
      <c r="F15" s="312">
        <f>IF(VLOOKUP($B15,'Avg CP'!$B$12:$P$38,2,FALSE)&gt;0,AVERAGE(VLOOKUP($B15,$B$54:$P$79,F$9,FALSE),VLOOKUP($B15,$B$96:$N$121,F$9,FALSE),VLOOKUP($B15,$B$138:$N$164,F$9,FALSE)),"")</f>
        <v>0.65516666666666667</v>
      </c>
      <c r="G15" s="312">
        <f>IF(VLOOKUP($B15,'Avg CP'!$B$12:$P$38,2,FALSE)&gt;0,AVERAGE(VLOOKUP($B15,$B$54:$P$79,G$9,FALSE),VLOOKUP($B15,$B$96:$N$121,G$9,FALSE),VLOOKUP($B15,$B$138:$N$164,G$9,FALSE)),"")</f>
        <v>0.64910000000000001</v>
      </c>
      <c r="H15" s="312">
        <f>IF(VLOOKUP($B15,'Avg CP'!$B$12:$P$38,2,FALSE)&gt;0,AVERAGE(VLOOKUP($B15,$B$54:$P$79,H$9,FALSE),VLOOKUP($B15,$B$96:$N$121,H$9,FALSE),VLOOKUP($B15,$B$138:$N$164,H$9,FALSE)),"")</f>
        <v>0.62086666666666668</v>
      </c>
      <c r="I15" s="312">
        <f>IF(VLOOKUP($B15,'Avg CP'!$B$12:$P$38,2,FALSE)&gt;0,AVERAGE(VLOOKUP($B15,$B$54:$P$79,I$9,FALSE),VLOOKUP($B15,$B$96:$N$121,I$9,FALSE),VLOOKUP($B15,$B$138:$N$164,I$9,FALSE)),"")</f>
        <v>0.6407666666666666</v>
      </c>
      <c r="J15" s="312">
        <f>IF(VLOOKUP($B15,'Avg CP'!$B$12:$P$38,2,FALSE)&gt;0,AVERAGE(VLOOKUP($B15,$B$54:$P$79,J$9,FALSE),VLOOKUP($B15,$B$96:$N$121,J$9,FALSE),VLOOKUP($B15,$B$138:$N$164,J$9,FALSE)),"")</f>
        <v>0.64696666666666669</v>
      </c>
      <c r="K15" s="312">
        <f>IF(VLOOKUP($B15,'Avg CP'!$B$12:$P$38,2,FALSE)&gt;0,AVERAGE(VLOOKUP($B15,$B$54:$P$79,K$9,FALSE),VLOOKUP($B15,$B$96:$N$121,K$9,FALSE),VLOOKUP($B15,$B$138:$N$164,K$9,FALSE)),"")</f>
        <v>0.70266666666666666</v>
      </c>
      <c r="L15" s="312">
        <f>IF(VLOOKUP($B15,'Avg CP'!$B$12:$P$38,2,FALSE)&gt;0,AVERAGE(VLOOKUP($B15,$B$54:$P$79,L$9,FALSE),VLOOKUP($B15,$B$96:$N$121,L$9,FALSE),VLOOKUP($B15,$B$138:$N$164,L$9,FALSE)),"")</f>
        <v>0.63966666666666672</v>
      </c>
      <c r="M15" s="312">
        <f>IF(VLOOKUP($B15,'Avg CP'!$B$12:$P$38,2,FALSE)&gt;0,AVERAGE(VLOOKUP($B15,$B$54:$P$79,M$9,FALSE),VLOOKUP($B15,$B$96:$N$121,M$9,FALSE),VLOOKUP($B15,$B$138:$N$164,M$9,FALSE)),"")</f>
        <v>0.6452</v>
      </c>
      <c r="N15" s="312">
        <f>IF(VLOOKUP($B15,'Avg CP'!$B$12:$P$38,2,FALSE)&gt;0,AVERAGE(VLOOKUP($B15,$B$54:$P$79,N$9,FALSE),VLOOKUP($B15,$B$96:$N$121,N$9,FALSE),VLOOKUP($B15,$B$138:$N$164,N$9,FALSE)),"")</f>
        <v>0.7261333333333333</v>
      </c>
      <c r="O15" s="117"/>
      <c r="P15" s="314"/>
    </row>
    <row r="16" spans="1:16">
      <c r="A16" s="46" t="s">
        <v>325</v>
      </c>
      <c r="B16" s="46" t="s">
        <v>325</v>
      </c>
      <c r="C16" s="312">
        <f>IF(VLOOKUP($B16,'Avg CP'!$B$12:$P$38,2,FALSE)&gt;0,AVERAGE(VLOOKUP($B16,$B$54:$P$79,C$9,FALSE),VLOOKUP($B16,$B$96:$N$121,C$9,FALSE),VLOOKUP($B16,$B$138:$N$164,C$9,FALSE)),"")</f>
        <v>1.0165666666666668</v>
      </c>
      <c r="D16" s="312">
        <f>IF(VLOOKUP($B16,'Avg CP'!$B$12:$P$38,2,FALSE)&gt;0,AVERAGE(VLOOKUP($B16,$B$54:$P$79,D$9,FALSE),VLOOKUP($B16,$B$96:$N$121,D$9,FALSE),VLOOKUP($B16,$B$138:$N$164,D$9,FALSE)),"")</f>
        <v>0.98853333333333337</v>
      </c>
      <c r="E16" s="312">
        <f>IF(VLOOKUP($B16,'Avg CP'!$B$12:$P$38,2,FALSE)&gt;0,AVERAGE(VLOOKUP($B16,$B$54:$P$79,E$9,FALSE),VLOOKUP($B16,$B$96:$N$121,E$9,FALSE),VLOOKUP($B16,$B$138:$N$164,E$9,FALSE)),"")</f>
        <v>1.0056</v>
      </c>
      <c r="F16" s="312">
        <f>IF(VLOOKUP($B16,'Avg CP'!$B$12:$P$38,2,FALSE)&gt;0,AVERAGE(VLOOKUP($B16,$B$54:$P$79,F$9,FALSE),VLOOKUP($B16,$B$96:$N$121,F$9,FALSE),VLOOKUP($B16,$B$138:$N$164,F$9,FALSE)),"")</f>
        <v>1.0123666666666666</v>
      </c>
      <c r="G16" s="312">
        <f>IF(VLOOKUP($B16,'Avg CP'!$B$12:$P$38,2,FALSE)&gt;0,AVERAGE(VLOOKUP($B16,$B$54:$P$79,G$9,FALSE),VLOOKUP($B16,$B$96:$N$121,G$9,FALSE),VLOOKUP($B16,$B$138:$N$164,G$9,FALSE)),"")</f>
        <v>0.99546666666666672</v>
      </c>
      <c r="H16" s="312">
        <f>IF(VLOOKUP($B16,'Avg CP'!$B$12:$P$38,2,FALSE)&gt;0,AVERAGE(VLOOKUP($B16,$B$54:$P$79,H$9,FALSE),VLOOKUP($B16,$B$96:$N$121,H$9,FALSE),VLOOKUP($B16,$B$138:$N$164,H$9,FALSE)),"")</f>
        <v>0.99646666666666661</v>
      </c>
      <c r="I16" s="312">
        <f>IF(VLOOKUP($B16,'Avg CP'!$B$12:$P$38,2,FALSE)&gt;0,AVERAGE(VLOOKUP($B16,$B$54:$P$79,I$9,FALSE),VLOOKUP($B16,$B$96:$N$121,I$9,FALSE),VLOOKUP($B16,$B$138:$N$164,I$9,FALSE)),"")</f>
        <v>0.99633333333333329</v>
      </c>
      <c r="J16" s="312">
        <f>IF(VLOOKUP($B16,'Avg CP'!$B$12:$P$38,2,FALSE)&gt;0,AVERAGE(VLOOKUP($B16,$B$54:$P$79,J$9,FALSE),VLOOKUP($B16,$B$96:$N$121,J$9,FALSE),VLOOKUP($B16,$B$138:$N$164,J$9,FALSE)),"")</f>
        <v>0.9961000000000001</v>
      </c>
      <c r="K16" s="312">
        <f>IF(VLOOKUP($B16,'Avg CP'!$B$12:$P$38,2,FALSE)&gt;0,AVERAGE(VLOOKUP($B16,$B$54:$P$79,K$9,FALSE),VLOOKUP($B16,$B$96:$N$121,K$9,FALSE),VLOOKUP($B16,$B$138:$N$164,K$9,FALSE)),"")</f>
        <v>0.99519999999999997</v>
      </c>
      <c r="L16" s="312">
        <f>IF(VLOOKUP($B16,'Avg CP'!$B$12:$P$38,2,FALSE)&gt;0,AVERAGE(VLOOKUP($B16,$B$54:$P$79,L$9,FALSE),VLOOKUP($B16,$B$96:$N$121,L$9,FALSE),VLOOKUP($B16,$B$138:$N$164,L$9,FALSE)),"")</f>
        <v>0.99590000000000012</v>
      </c>
      <c r="M16" s="312">
        <f>IF(VLOOKUP($B16,'Avg CP'!$B$12:$P$38,2,FALSE)&gt;0,AVERAGE(VLOOKUP($B16,$B$54:$P$79,M$9,FALSE),VLOOKUP($B16,$B$96:$N$121,M$9,FALSE),VLOOKUP($B16,$B$138:$N$164,M$9,FALSE)),"")</f>
        <v>0.98996666666666666</v>
      </c>
      <c r="N16" s="312">
        <f>IF(VLOOKUP($B16,'Avg CP'!$B$12:$P$38,2,FALSE)&gt;0,AVERAGE(VLOOKUP($B16,$B$54:$P$79,N$9,FALSE),VLOOKUP($B16,$B$96:$N$121,N$9,FALSE),VLOOKUP($B16,$B$138:$N$164,N$9,FALSE)),"")</f>
        <v>0.9943333333333334</v>
      </c>
      <c r="O16" s="117"/>
      <c r="P16" s="314"/>
    </row>
    <row r="17" spans="1:16">
      <c r="A17" s="43" t="s">
        <v>67</v>
      </c>
      <c r="B17" s="43" t="s">
        <v>67</v>
      </c>
      <c r="C17" s="312">
        <f>IF(VLOOKUP($B17,'Avg CP'!$B$12:$P$38,2,FALSE)&gt;0,AVERAGE(VLOOKUP($B17,$B$54:$P$79,C$9,FALSE),VLOOKUP($B17,$B$96:$N$121,C$9,FALSE),VLOOKUP($B17,$B$138:$N$164,C$9,FALSE)),"")</f>
        <v>0.94836666666666669</v>
      </c>
      <c r="D17" s="312">
        <f>IF(VLOOKUP($B17,'Avg CP'!$B$12:$P$38,2,FALSE)&gt;0,AVERAGE(VLOOKUP($B17,$B$54:$P$79,D$9,FALSE),VLOOKUP($B17,$B$96:$N$121,D$9,FALSE),VLOOKUP($B17,$B$138:$N$164,D$9,FALSE)),"")</f>
        <v>0.70706666666666662</v>
      </c>
      <c r="E17" s="312">
        <f>IF(VLOOKUP($B17,'Avg CP'!$B$12:$P$38,2,FALSE)&gt;0,AVERAGE(VLOOKUP($B17,$B$54:$P$79,E$9,FALSE),VLOOKUP($B17,$B$96:$N$121,E$9,FALSE),VLOOKUP($B17,$B$138:$N$164,E$9,FALSE)),"")</f>
        <v>0.91786666666666672</v>
      </c>
      <c r="F17" s="312">
        <f>IF(VLOOKUP($B17,'Avg CP'!$B$12:$P$38,2,FALSE)&gt;0,AVERAGE(VLOOKUP($B17,$B$54:$P$79,F$9,FALSE),VLOOKUP($B17,$B$96:$N$121,F$9,FALSE),VLOOKUP($B17,$B$138:$N$164,F$9,FALSE)),"")</f>
        <v>0.74460000000000004</v>
      </c>
      <c r="G17" s="312">
        <f>IF(VLOOKUP($B17,'Avg CP'!$B$12:$P$38,2,FALSE)&gt;0,AVERAGE(VLOOKUP($B17,$B$54:$P$79,G$9,FALSE),VLOOKUP($B17,$B$96:$N$121,G$9,FALSE),VLOOKUP($B17,$B$138:$N$164,G$9,FALSE)),"")</f>
        <v>0.74513333333333343</v>
      </c>
      <c r="H17" s="312">
        <f>IF(VLOOKUP($B17,'Avg CP'!$B$12:$P$38,2,FALSE)&gt;0,AVERAGE(VLOOKUP($B17,$B$54:$P$79,H$9,FALSE),VLOOKUP($B17,$B$96:$N$121,H$9,FALSE),VLOOKUP($B17,$B$138:$N$164,H$9,FALSE)),"")</f>
        <v>0.73919999999999997</v>
      </c>
      <c r="I17" s="312">
        <f>IF(VLOOKUP($B17,'Avg CP'!$B$12:$P$38,2,FALSE)&gt;0,AVERAGE(VLOOKUP($B17,$B$54:$P$79,I$9,FALSE),VLOOKUP($B17,$B$96:$N$121,I$9,FALSE),VLOOKUP($B17,$B$138:$N$164,I$9,FALSE)),"")</f>
        <v>0.74380000000000013</v>
      </c>
      <c r="J17" s="312">
        <f>IF(VLOOKUP($B17,'Avg CP'!$B$12:$P$38,2,FALSE)&gt;0,AVERAGE(VLOOKUP($B17,$B$54:$P$79,J$9,FALSE),VLOOKUP($B17,$B$96:$N$121,J$9,FALSE),VLOOKUP($B17,$B$138:$N$164,J$9,FALSE)),"")</f>
        <v>0.76476666666666659</v>
      </c>
      <c r="K17" s="312">
        <f>IF(VLOOKUP($B17,'Avg CP'!$B$12:$P$38,2,FALSE)&gt;0,AVERAGE(VLOOKUP($B17,$B$54:$P$79,K$9,FALSE),VLOOKUP($B17,$B$96:$N$121,K$9,FALSE),VLOOKUP($B17,$B$138:$N$164,K$9,FALSE)),"")</f>
        <v>0.77356666666666685</v>
      </c>
      <c r="L17" s="312">
        <f>IF(VLOOKUP($B17,'Avg CP'!$B$12:$P$38,2,FALSE)&gt;0,AVERAGE(VLOOKUP($B17,$B$54:$P$79,L$9,FALSE),VLOOKUP($B17,$B$96:$N$121,L$9,FALSE),VLOOKUP($B17,$B$138:$N$164,L$9,FALSE)),"")</f>
        <v>0.72539999999999993</v>
      </c>
      <c r="M17" s="312">
        <f>IF(VLOOKUP($B17,'Avg CP'!$B$12:$P$38,2,FALSE)&gt;0,AVERAGE(VLOOKUP($B17,$B$54:$P$79,M$9,FALSE),VLOOKUP($B17,$B$96:$N$121,M$9,FALSE),VLOOKUP($B17,$B$138:$N$164,M$9,FALSE)),"")</f>
        <v>0.71120000000000017</v>
      </c>
      <c r="N17" s="312">
        <f>IF(VLOOKUP($B17,'Avg CP'!$B$12:$P$38,2,FALSE)&gt;0,AVERAGE(VLOOKUP($B17,$B$54:$P$79,N$9,FALSE),VLOOKUP($B17,$B$96:$N$121,N$9,FALSE),VLOOKUP($B17,$B$138:$N$164,N$9,FALSE)),"")</f>
        <v>0.7682000000000001</v>
      </c>
      <c r="O17" s="117"/>
      <c r="P17" s="314"/>
    </row>
    <row r="18" spans="1:16">
      <c r="A18" s="43" t="s">
        <v>68</v>
      </c>
      <c r="B18" s="43" t="s">
        <v>68</v>
      </c>
      <c r="C18" s="312">
        <f>IF(VLOOKUP($B18,'Avg CP'!$B$12:$P$38,2,FALSE)&gt;0,AVERAGE(VLOOKUP($B18,$B$54:$P$79,C$9,FALSE),VLOOKUP($B18,$B$96:$N$121,C$9,FALSE),VLOOKUP($B18,$B$138:$N$164,C$9,FALSE)),"")</f>
        <v>0.88706666666666667</v>
      </c>
      <c r="D18" s="312">
        <f>IF(VLOOKUP($B18,'Avg CP'!$B$12:$P$38,2,FALSE)&gt;0,AVERAGE(VLOOKUP($B18,$B$54:$P$79,D$9,FALSE),VLOOKUP($B18,$B$96:$N$121,D$9,FALSE),VLOOKUP($B18,$B$138:$N$164,D$9,FALSE)),"")</f>
        <v>0.69663333333333333</v>
      </c>
      <c r="E18" s="312">
        <f>IF(VLOOKUP($B18,'Avg CP'!$B$12:$P$38,2,FALSE)&gt;0,AVERAGE(VLOOKUP($B18,$B$54:$P$79,E$9,FALSE),VLOOKUP($B18,$B$96:$N$121,E$9,FALSE),VLOOKUP($B18,$B$138:$N$164,E$9,FALSE)),"")</f>
        <v>0.86680000000000001</v>
      </c>
      <c r="F18" s="312">
        <f>IF(VLOOKUP($B18,'Avg CP'!$B$12:$P$38,2,FALSE)&gt;0,AVERAGE(VLOOKUP($B18,$B$54:$P$79,F$9,FALSE),VLOOKUP($B18,$B$96:$N$121,F$9,FALSE),VLOOKUP($B18,$B$138:$N$164,F$9,FALSE)),"")</f>
        <v>0.74886666666666668</v>
      </c>
      <c r="G18" s="312">
        <f>IF(VLOOKUP($B18,'Avg CP'!$B$12:$P$38,2,FALSE)&gt;0,AVERAGE(VLOOKUP($B18,$B$54:$P$79,G$9,FALSE),VLOOKUP($B18,$B$96:$N$121,G$9,FALSE),VLOOKUP($B18,$B$138:$N$164,G$9,FALSE)),"")</f>
        <v>0.76623333333333343</v>
      </c>
      <c r="H18" s="312">
        <f>IF(VLOOKUP($B18,'Avg CP'!$B$12:$P$38,2,FALSE)&gt;0,AVERAGE(VLOOKUP($B18,$B$54:$P$79,H$9,FALSE),VLOOKUP($B18,$B$96:$N$121,H$9,FALSE),VLOOKUP($B18,$B$138:$N$164,H$9,FALSE)),"")</f>
        <v>0.74073333333333335</v>
      </c>
      <c r="I18" s="312">
        <f>IF(VLOOKUP($B18,'Avg CP'!$B$12:$P$38,2,FALSE)&gt;0,AVERAGE(VLOOKUP($B18,$B$54:$P$79,I$9,FALSE),VLOOKUP($B18,$B$96:$N$121,I$9,FALSE),VLOOKUP($B18,$B$138:$N$164,I$9,FALSE)),"")</f>
        <v>0.76813333333333345</v>
      </c>
      <c r="J18" s="312">
        <f>IF(VLOOKUP($B18,'Avg CP'!$B$12:$P$38,2,FALSE)&gt;0,AVERAGE(VLOOKUP($B18,$B$54:$P$79,J$9,FALSE),VLOOKUP($B18,$B$96:$N$121,J$9,FALSE),VLOOKUP($B18,$B$138:$N$164,J$9,FALSE)),"")</f>
        <v>0.77226666666666677</v>
      </c>
      <c r="K18" s="312">
        <f>IF(VLOOKUP($B18,'Avg CP'!$B$12:$P$38,2,FALSE)&gt;0,AVERAGE(VLOOKUP($B18,$B$54:$P$79,K$9,FALSE),VLOOKUP($B18,$B$96:$N$121,K$9,FALSE),VLOOKUP($B18,$B$138:$N$164,K$9,FALSE)),"")</f>
        <v>0.83209999999999995</v>
      </c>
      <c r="L18" s="312">
        <f>IF(VLOOKUP($B18,'Avg CP'!$B$12:$P$38,2,FALSE)&gt;0,AVERAGE(VLOOKUP($B18,$B$54:$P$79,L$9,FALSE),VLOOKUP($B18,$B$96:$N$121,L$9,FALSE),VLOOKUP($B18,$B$138:$N$164,L$9,FALSE)),"")</f>
        <v>0.72083333333333333</v>
      </c>
      <c r="M18" s="312">
        <f>IF(VLOOKUP($B18,'Avg CP'!$B$12:$P$38,2,FALSE)&gt;0,AVERAGE(VLOOKUP($B18,$B$54:$P$79,M$9,FALSE),VLOOKUP($B18,$B$96:$N$121,M$9,FALSE),VLOOKUP($B18,$B$138:$N$164,M$9,FALSE)),"")</f>
        <v>0.72586666666666666</v>
      </c>
      <c r="N18" s="312">
        <f>IF(VLOOKUP($B18,'Avg CP'!$B$12:$P$38,2,FALSE)&gt;0,AVERAGE(VLOOKUP($B18,$B$54:$P$79,N$9,FALSE),VLOOKUP($B18,$B$96:$N$121,N$9,FALSE),VLOOKUP($B18,$B$138:$N$164,N$9,FALSE)),"")</f>
        <v>0.79016666666666657</v>
      </c>
      <c r="O18" s="117"/>
      <c r="P18" s="314"/>
    </row>
    <row r="19" spans="1:16">
      <c r="A19" s="43" t="s">
        <v>69</v>
      </c>
      <c r="B19" s="43" t="s">
        <v>69</v>
      </c>
      <c r="C19" s="312">
        <f>IF(VLOOKUP($B19,'Avg CP'!$B$12:$P$38,2,FALSE)&gt;0,AVERAGE(VLOOKUP($B19,$B$54:$P$79,C$9,FALSE),VLOOKUP($B19,$B$96:$N$121,C$9,FALSE),VLOOKUP($B19,$B$138:$N$164,C$9,FALSE)),"")</f>
        <v>1.0427333333333333</v>
      </c>
      <c r="D19" s="312">
        <f>IF(VLOOKUP($B19,'Avg CP'!$B$12:$P$38,2,FALSE)&gt;0,AVERAGE(VLOOKUP($B19,$B$54:$P$79,D$9,FALSE),VLOOKUP($B19,$B$96:$N$121,D$9,FALSE),VLOOKUP($B19,$B$138:$N$164,D$9,FALSE)),"")</f>
        <v>0.8267000000000001</v>
      </c>
      <c r="E19" s="312">
        <f>IF(VLOOKUP($B19,'Avg CP'!$B$12:$P$38,2,FALSE)&gt;0,AVERAGE(VLOOKUP($B19,$B$54:$P$79,E$9,FALSE),VLOOKUP($B19,$B$96:$N$121,E$9,FALSE),VLOOKUP($B19,$B$138:$N$164,E$9,FALSE)),"")</f>
        <v>0.95756666666666668</v>
      </c>
      <c r="F19" s="312">
        <f>IF(VLOOKUP($B19,'Avg CP'!$B$12:$P$38,2,FALSE)&gt;0,AVERAGE(VLOOKUP($B19,$B$54:$P$79,F$9,FALSE),VLOOKUP($B19,$B$96:$N$121,F$9,FALSE),VLOOKUP($B19,$B$138:$N$164,F$9,FALSE)),"")</f>
        <v>0.91360000000000008</v>
      </c>
      <c r="G19" s="312">
        <f>IF(VLOOKUP($B19,'Avg CP'!$B$12:$P$38,2,FALSE)&gt;0,AVERAGE(VLOOKUP($B19,$B$54:$P$79,G$9,FALSE),VLOOKUP($B19,$B$96:$N$121,G$9,FALSE),VLOOKUP($B19,$B$138:$N$164,G$9,FALSE)),"")</f>
        <v>0.9235000000000001</v>
      </c>
      <c r="H19" s="312">
        <f>IF(VLOOKUP($B19,'Avg CP'!$B$12:$P$38,2,FALSE)&gt;0,AVERAGE(VLOOKUP($B19,$B$54:$P$79,H$9,FALSE),VLOOKUP($B19,$B$96:$N$121,H$9,FALSE),VLOOKUP($B19,$B$138:$N$164,H$9,FALSE)),"")</f>
        <v>0.9572666666666666</v>
      </c>
      <c r="I19" s="312">
        <f>IF(VLOOKUP($B19,'Avg CP'!$B$12:$P$38,2,FALSE)&gt;0,AVERAGE(VLOOKUP($B19,$B$54:$P$79,I$9,FALSE),VLOOKUP($B19,$B$96:$N$121,I$9,FALSE),VLOOKUP($B19,$B$138:$N$164,I$9,FALSE)),"")</f>
        <v>0.93979999999999997</v>
      </c>
      <c r="J19" s="312">
        <f>IF(VLOOKUP($B19,'Avg CP'!$B$12:$P$38,2,FALSE)&gt;0,AVERAGE(VLOOKUP($B19,$B$54:$P$79,J$9,FALSE),VLOOKUP($B19,$B$96:$N$121,J$9,FALSE),VLOOKUP($B19,$B$138:$N$164,J$9,FALSE)),"")</f>
        <v>0.96853333333333325</v>
      </c>
      <c r="K19" s="312">
        <f>IF(VLOOKUP($B19,'Avg CP'!$B$12:$P$38,2,FALSE)&gt;0,AVERAGE(VLOOKUP($B19,$B$54:$P$79,K$9,FALSE),VLOOKUP($B19,$B$96:$N$121,K$9,FALSE),VLOOKUP($B19,$B$138:$N$164,K$9,FALSE)),"")</f>
        <v>0.95240000000000002</v>
      </c>
      <c r="L19" s="312">
        <f>IF(VLOOKUP($B19,'Avg CP'!$B$12:$P$38,2,FALSE)&gt;0,AVERAGE(VLOOKUP($B19,$B$54:$P$79,L$9,FALSE),VLOOKUP($B19,$B$96:$N$121,L$9,FALSE),VLOOKUP($B19,$B$138:$N$164,L$9,FALSE)),"")</f>
        <v>0.89836666666666665</v>
      </c>
      <c r="M19" s="312">
        <f>IF(VLOOKUP($B19,'Avg CP'!$B$12:$P$38,2,FALSE)&gt;0,AVERAGE(VLOOKUP($B19,$B$54:$P$79,M$9,FALSE),VLOOKUP($B19,$B$96:$N$121,M$9,FALSE),VLOOKUP($B19,$B$138:$N$164,M$9,FALSE)),"")</f>
        <v>0.83389999999999997</v>
      </c>
      <c r="N19" s="312">
        <f>IF(VLOOKUP($B19,'Avg CP'!$B$12:$P$38,2,FALSE)&gt;0,AVERAGE(VLOOKUP($B19,$B$54:$P$79,N$9,FALSE),VLOOKUP($B19,$B$96:$N$121,N$9,FALSE),VLOOKUP($B19,$B$138:$N$164,N$9,FALSE)),"")</f>
        <v>0.86909999999999998</v>
      </c>
      <c r="O19" s="117"/>
      <c r="P19" s="314"/>
    </row>
    <row r="20" spans="1:16">
      <c r="A20" s="43" t="s">
        <v>52</v>
      </c>
      <c r="B20" s="43" t="s">
        <v>52</v>
      </c>
      <c r="C20" s="312">
        <f>IF(VLOOKUP($B20,'Avg CP'!$B$12:$P$38,2,FALSE)&gt;0,AVERAGE(VLOOKUP($B20,$B$54:$P$79,C$9,FALSE),VLOOKUP($B20,$B$96:$N$121,C$9,FALSE),VLOOKUP($B20,$B$138:$N$164,C$9,FALSE)),"")</f>
        <v>0.98803333333333343</v>
      </c>
      <c r="D20" s="312">
        <f>IF(VLOOKUP($B20,'Avg CP'!$B$12:$P$38,2,FALSE)&gt;0,AVERAGE(VLOOKUP($B20,$B$54:$P$79,D$9,FALSE),VLOOKUP($B20,$B$96:$N$121,D$9,FALSE),VLOOKUP($B20,$B$138:$N$164,D$9,FALSE)),"")</f>
        <v>0.96240000000000003</v>
      </c>
      <c r="E20" s="312">
        <f>IF(VLOOKUP($B20,'Avg CP'!$B$12:$P$38,2,FALSE)&gt;0,AVERAGE(VLOOKUP($B20,$B$54:$P$79,E$9,FALSE),VLOOKUP($B20,$B$96:$N$121,E$9,FALSE),VLOOKUP($B20,$B$138:$N$164,E$9,FALSE)),"")</f>
        <v>0.90633333333333332</v>
      </c>
      <c r="F20" s="312">
        <f>IF(VLOOKUP($B20,'Avg CP'!$B$12:$P$38,2,FALSE)&gt;0,AVERAGE(VLOOKUP($B20,$B$54:$P$79,F$9,FALSE),VLOOKUP($B20,$B$96:$N$121,F$9,FALSE),VLOOKUP($B20,$B$138:$N$164,F$9,FALSE)),"")</f>
        <v>0.85440000000000005</v>
      </c>
      <c r="G20" s="312">
        <f>IF(VLOOKUP($B20,'Avg CP'!$B$12:$P$38,2,FALSE)&gt;0,AVERAGE(VLOOKUP($B20,$B$54:$P$79,G$9,FALSE),VLOOKUP($B20,$B$96:$N$121,G$9,FALSE),VLOOKUP($B20,$B$138:$N$164,G$9,FALSE)),"")</f>
        <v>0.95933333333333337</v>
      </c>
      <c r="H20" s="312">
        <f>IF(VLOOKUP($B20,'Avg CP'!$B$12:$P$38,2,FALSE)&gt;0,AVERAGE(VLOOKUP($B20,$B$54:$P$79,H$9,FALSE),VLOOKUP($B20,$B$96:$N$121,H$9,FALSE),VLOOKUP($B20,$B$138:$N$164,H$9,FALSE)),"")</f>
        <v>0.88623333333333332</v>
      </c>
      <c r="I20" s="312">
        <f>IF(VLOOKUP($B20,'Avg CP'!$B$12:$P$38,2,FALSE)&gt;0,AVERAGE(VLOOKUP($B20,$B$54:$P$79,I$9,FALSE),VLOOKUP($B20,$B$96:$N$121,I$9,FALSE),VLOOKUP($B20,$B$138:$N$164,I$9,FALSE)),"")</f>
        <v>0.86596666666666666</v>
      </c>
      <c r="J20" s="312">
        <f>IF(VLOOKUP($B20,'Avg CP'!$B$12:$P$38,2,FALSE)&gt;0,AVERAGE(VLOOKUP($B20,$B$54:$P$79,J$9,FALSE),VLOOKUP($B20,$B$96:$N$121,J$9,FALSE),VLOOKUP($B20,$B$138:$N$164,J$9,FALSE)),"")</f>
        <v>0.82679999999999998</v>
      </c>
      <c r="K20" s="312">
        <f>IF(VLOOKUP($B20,'Avg CP'!$B$12:$P$38,2,FALSE)&gt;0,AVERAGE(VLOOKUP($B20,$B$54:$P$79,K$9,FALSE),VLOOKUP($B20,$B$96:$N$121,K$9,FALSE),VLOOKUP($B20,$B$138:$N$164,K$9,FALSE)),"")</f>
        <v>0.94906666666666661</v>
      </c>
      <c r="L20" s="312">
        <f>IF(VLOOKUP($B20,'Avg CP'!$B$12:$P$38,2,FALSE)&gt;0,AVERAGE(VLOOKUP($B20,$B$54:$P$79,L$9,FALSE),VLOOKUP($B20,$B$96:$N$121,L$9,FALSE),VLOOKUP($B20,$B$138:$N$164,L$9,FALSE)),"")</f>
        <v>0.85703333333333331</v>
      </c>
      <c r="M20" s="312">
        <f>IF(VLOOKUP($B20,'Avg CP'!$B$12:$P$38,2,FALSE)&gt;0,AVERAGE(VLOOKUP($B20,$B$54:$P$79,M$9,FALSE),VLOOKUP($B20,$B$96:$N$121,M$9,FALSE),VLOOKUP($B20,$B$138:$N$164,M$9,FALSE)),"")</f>
        <v>0.92446666666666655</v>
      </c>
      <c r="N20" s="312">
        <f>IF(VLOOKUP($B20,'Avg CP'!$B$12:$P$38,2,FALSE)&gt;0,AVERAGE(VLOOKUP($B20,$B$54:$P$79,N$9,FALSE),VLOOKUP($B20,$B$96:$N$121,N$9,FALSE),VLOOKUP($B20,$B$138:$N$164,N$9,FALSE)),"")</f>
        <v>1.0877999999999999</v>
      </c>
      <c r="O20" s="117"/>
      <c r="P20" s="314"/>
    </row>
    <row r="21" spans="1:16">
      <c r="A21" s="206" t="s">
        <v>15</v>
      </c>
      <c r="B21" s="206" t="s">
        <v>15</v>
      </c>
      <c r="C21" s="312">
        <f>IF(VLOOKUP($B21,'Avg CP'!$B$12:$P$38,2,FALSE)&gt;0,AVERAGE(VLOOKUP($B21,$B$54:$P$79,C$9,FALSE),VLOOKUP($B21,$B$96:$N$121,C$9,FALSE),VLOOKUP($B21,$B$138:$N$164,C$9,FALSE)),"")</f>
        <v>0.7243666666666666</v>
      </c>
      <c r="D21" s="312">
        <f>IF(VLOOKUP($B21,'Avg CP'!$B$12:$P$38,2,FALSE)&gt;0,AVERAGE(VLOOKUP($B21,$B$54:$P$79,D$9,FALSE),VLOOKUP($B21,$B$96:$N$121,D$9,FALSE),VLOOKUP($B21,$B$138:$N$164,D$9,FALSE)),"")</f>
        <v>0.7658666666666667</v>
      </c>
      <c r="E21" s="312">
        <f>IF(VLOOKUP($B21,'Avg CP'!$B$12:$P$38,2,FALSE)&gt;0,AVERAGE(VLOOKUP($B21,$B$54:$P$79,E$9,FALSE),VLOOKUP($B21,$B$96:$N$121,E$9,FALSE),VLOOKUP($B21,$B$138:$N$164,E$9,FALSE)),"")</f>
        <v>0.84980000000000011</v>
      </c>
      <c r="F21" s="312">
        <f>IF(VLOOKUP($B21,'Avg CP'!$B$12:$P$38,2,FALSE)&gt;0,AVERAGE(VLOOKUP($B21,$B$54:$P$79,F$9,FALSE),VLOOKUP($B21,$B$96:$N$121,F$9,FALSE),VLOOKUP($B21,$B$138:$N$164,F$9,FALSE)),"")</f>
        <v>0.73859999999999992</v>
      </c>
      <c r="G21" s="312">
        <f>IF(VLOOKUP($B21,'Avg CP'!$B$12:$P$38,2,FALSE)&gt;0,AVERAGE(VLOOKUP($B21,$B$54:$P$79,G$9,FALSE),VLOOKUP($B21,$B$96:$N$121,G$9,FALSE),VLOOKUP($B21,$B$138:$N$164,G$9,FALSE)),"")</f>
        <v>0.71743333333333348</v>
      </c>
      <c r="H21" s="312">
        <f>IF(VLOOKUP($B21,'Avg CP'!$B$12:$P$38,2,FALSE)&gt;0,AVERAGE(VLOOKUP($B21,$B$54:$P$79,H$9,FALSE),VLOOKUP($B21,$B$96:$N$121,H$9,FALSE),VLOOKUP($B21,$B$138:$N$164,H$9,FALSE)),"")</f>
        <v>0.7403333333333334</v>
      </c>
      <c r="I21" s="312">
        <f>IF(VLOOKUP($B21,'Avg CP'!$B$12:$P$38,2,FALSE)&gt;0,AVERAGE(VLOOKUP($B21,$B$54:$P$79,I$9,FALSE),VLOOKUP($B21,$B$96:$N$121,I$9,FALSE),VLOOKUP($B21,$B$138:$N$164,I$9,FALSE)),"")</f>
        <v>0.73870000000000002</v>
      </c>
      <c r="J21" s="312">
        <f>IF(VLOOKUP($B21,'Avg CP'!$B$12:$P$38,2,FALSE)&gt;0,AVERAGE(VLOOKUP($B21,$B$54:$P$79,J$9,FALSE),VLOOKUP($B21,$B$96:$N$121,J$9,FALSE),VLOOKUP($B21,$B$138:$N$164,J$9,FALSE)),"")</f>
        <v>0.73369999999999991</v>
      </c>
      <c r="K21" s="312">
        <f>IF(VLOOKUP($B21,'Avg CP'!$B$12:$P$38,2,FALSE)&gt;0,AVERAGE(VLOOKUP($B21,$B$54:$P$79,K$9,FALSE),VLOOKUP($B21,$B$96:$N$121,K$9,FALSE),VLOOKUP($B21,$B$138:$N$164,K$9,FALSE)),"")</f>
        <v>0.8604666666666666</v>
      </c>
      <c r="L21" s="312">
        <f>IF(VLOOKUP($B21,'Avg CP'!$B$12:$P$38,2,FALSE)&gt;0,AVERAGE(VLOOKUP($B21,$B$54:$P$79,L$9,FALSE),VLOOKUP($B21,$B$96:$N$121,L$9,FALSE),VLOOKUP($B21,$B$138:$N$164,L$9,FALSE)),"")</f>
        <v>0.79020000000000001</v>
      </c>
      <c r="M21" s="312">
        <f>IF(VLOOKUP($B21,'Avg CP'!$B$12:$P$38,2,FALSE)&gt;0,AVERAGE(VLOOKUP($B21,$B$54:$P$79,M$9,FALSE),VLOOKUP($B21,$B$96:$N$121,M$9,FALSE),VLOOKUP($B21,$B$138:$N$164,M$9,FALSE)),"")</f>
        <v>0.71826666666666661</v>
      </c>
      <c r="N21" s="312">
        <f>IF(VLOOKUP($B21,'Avg CP'!$B$12:$P$38,2,FALSE)&gt;0,AVERAGE(VLOOKUP($B21,$B$54:$P$79,N$9,FALSE),VLOOKUP($B21,$B$96:$N$121,N$9,FALSE),VLOOKUP($B21,$B$138:$N$164,N$9,FALSE)),"")</f>
        <v>0.78176666666666661</v>
      </c>
      <c r="O21" s="117"/>
      <c r="P21" s="314"/>
    </row>
    <row r="22" spans="1:16">
      <c r="A22" s="43" t="s">
        <v>56</v>
      </c>
      <c r="B22" s="43" t="s">
        <v>56</v>
      </c>
      <c r="C22" s="312">
        <f>IF(VLOOKUP($B22,'Avg CP'!$B$12:$P$38,2,FALSE)&gt;0,AVERAGE(VLOOKUP($B22,$B$54:$P$79,C$9,FALSE),VLOOKUP($B22,$B$96:$N$121,C$9,FALSE),VLOOKUP($B22,$B$138:$N$164,C$9,FALSE)),"")</f>
        <v>3.3322000000000003</v>
      </c>
      <c r="D22" s="312">
        <f>IF(VLOOKUP($B22,'Avg CP'!$B$12:$P$38,2,FALSE)&gt;0,AVERAGE(VLOOKUP($B22,$B$54:$P$79,D$9,FALSE),VLOOKUP($B22,$B$96:$N$121,D$9,FALSE),VLOOKUP($B22,$B$138:$N$164,D$9,FALSE)),"")</f>
        <v>0</v>
      </c>
      <c r="E22" s="312">
        <f>IF(VLOOKUP($B22,'Avg CP'!$B$12:$P$38,2,FALSE)&gt;0,AVERAGE(VLOOKUP($B22,$B$54:$P$79,E$9,FALSE),VLOOKUP($B22,$B$96:$N$121,E$9,FALSE),VLOOKUP($B22,$B$138:$N$164,E$9,FALSE)),"")</f>
        <v>0</v>
      </c>
      <c r="F22" s="312">
        <f>IF(VLOOKUP($B22,'Avg CP'!$B$12:$P$38,2,FALSE)&gt;0,AVERAGE(VLOOKUP($B22,$B$54:$P$79,F$9,FALSE),VLOOKUP($B22,$B$96:$N$121,F$9,FALSE),VLOOKUP($B22,$B$138:$N$164,F$9,FALSE)),"")</f>
        <v>0</v>
      </c>
      <c r="G22" s="312">
        <f>IF(VLOOKUP($B22,'Avg CP'!$B$12:$P$38,2,FALSE)&gt;0,AVERAGE(VLOOKUP($B22,$B$54:$P$79,G$9,FALSE),VLOOKUP($B22,$B$96:$N$121,G$9,FALSE),VLOOKUP($B22,$B$138:$N$164,G$9,FALSE)),"")</f>
        <v>0</v>
      </c>
      <c r="H22" s="312">
        <f>IF(VLOOKUP($B22,'Avg CP'!$B$12:$P$38,2,FALSE)&gt;0,AVERAGE(VLOOKUP($B22,$B$54:$P$79,H$9,FALSE),VLOOKUP($B22,$B$96:$N$121,H$9,FALSE),VLOOKUP($B22,$B$138:$N$164,H$9,FALSE)),"")</f>
        <v>0</v>
      </c>
      <c r="I22" s="312">
        <f>IF(VLOOKUP($B22,'Avg CP'!$B$12:$P$38,2,FALSE)&gt;0,AVERAGE(VLOOKUP($B22,$B$54:$P$79,I$9,FALSE),VLOOKUP($B22,$B$96:$N$121,I$9,FALSE),VLOOKUP($B22,$B$138:$N$164,I$9,FALSE)),"")</f>
        <v>0</v>
      </c>
      <c r="J22" s="312">
        <f>IF(VLOOKUP($B22,'Avg CP'!$B$12:$P$38,2,FALSE)&gt;0,AVERAGE(VLOOKUP($B22,$B$54:$P$79,J$9,FALSE),VLOOKUP($B22,$B$96:$N$121,J$9,FALSE),VLOOKUP($B22,$B$138:$N$164,J$9,FALSE)),"")</f>
        <v>0</v>
      </c>
      <c r="K22" s="312">
        <f>IF(VLOOKUP($B22,'Avg CP'!$B$12:$P$38,2,FALSE)&gt;0,AVERAGE(VLOOKUP($B22,$B$54:$P$79,K$9,FALSE),VLOOKUP($B22,$B$96:$N$121,K$9,FALSE),VLOOKUP($B22,$B$138:$N$164,K$9,FALSE)),"")</f>
        <v>0</v>
      </c>
      <c r="L22" s="312">
        <f>IF(VLOOKUP($B22,'Avg CP'!$B$12:$P$38,2,FALSE)&gt;0,AVERAGE(VLOOKUP($B22,$B$54:$P$79,L$9,FALSE),VLOOKUP($B22,$B$96:$N$121,L$9,FALSE),VLOOKUP($B22,$B$138:$N$164,L$9,FALSE)),"")</f>
        <v>0</v>
      </c>
      <c r="M22" s="312">
        <f>IF(VLOOKUP($B22,'Avg CP'!$B$12:$P$38,2,FALSE)&gt;0,AVERAGE(VLOOKUP($B22,$B$54:$P$79,M$9,FALSE),VLOOKUP($B22,$B$96:$N$121,M$9,FALSE),VLOOKUP($B22,$B$138:$N$164,M$9,FALSE)),"")</f>
        <v>0.18189999999999998</v>
      </c>
      <c r="N22" s="312">
        <f>IF(VLOOKUP($B22,'Avg CP'!$B$12:$P$38,2,FALSE)&gt;0,AVERAGE(VLOOKUP($B22,$B$54:$P$79,N$9,FALSE),VLOOKUP($B22,$B$96:$N$121,N$9,FALSE),VLOOKUP($B22,$B$138:$N$164,N$9,FALSE)),"")</f>
        <v>0.18623333333333333</v>
      </c>
      <c r="O22" s="117"/>
      <c r="P22" s="314"/>
    </row>
    <row r="23" spans="1:16">
      <c r="A23" s="43" t="s">
        <v>57</v>
      </c>
      <c r="B23" s="43" t="s">
        <v>57</v>
      </c>
      <c r="C23" s="312">
        <f>IF(VLOOKUP($B23,'Avg CP'!$B$12:$P$38,2,FALSE)&gt;0,AVERAGE(VLOOKUP($B23,$B$54:$P$79,C$9,FALSE),VLOOKUP($B23,$B$96:$N$121,C$9,FALSE),VLOOKUP($B23,$B$138:$N$164,C$9,FALSE)),"")</f>
        <v>1.5241999999999998</v>
      </c>
      <c r="D23" s="312">
        <f>IF(VLOOKUP($B23,'Avg CP'!$B$12:$P$38,2,FALSE)&gt;0,AVERAGE(VLOOKUP($B23,$B$54:$P$79,D$9,FALSE),VLOOKUP($B23,$B$96:$N$121,D$9,FALSE),VLOOKUP($B23,$B$138:$N$164,D$9,FALSE)),"")</f>
        <v>2.4674333333333336</v>
      </c>
      <c r="E23" s="312">
        <f>IF(VLOOKUP($B23,'Avg CP'!$B$12:$P$38,2,FALSE)&gt;0,AVERAGE(VLOOKUP($B23,$B$54:$P$79,E$9,FALSE),VLOOKUP($B23,$B$96:$N$121,E$9,FALSE),VLOOKUP($B23,$B$138:$N$164,E$9,FALSE)),"")</f>
        <v>1.7638</v>
      </c>
      <c r="F23" s="312">
        <f>IF(VLOOKUP($B23,'Avg CP'!$B$12:$P$38,2,FALSE)&gt;0,AVERAGE(VLOOKUP($B23,$B$54:$P$79,F$9,FALSE),VLOOKUP($B23,$B$96:$N$121,F$9,FALSE),VLOOKUP($B23,$B$138:$N$164,F$9,FALSE)),"")</f>
        <v>1.4143333333333334</v>
      </c>
      <c r="G23" s="312">
        <f>IF(VLOOKUP($B23,'Avg CP'!$B$12:$P$38,2,FALSE)&gt;0,AVERAGE(VLOOKUP($B23,$B$54:$P$79,G$9,FALSE),VLOOKUP($B23,$B$96:$N$121,G$9,FALSE),VLOOKUP($B23,$B$138:$N$164,G$9,FALSE)),"")</f>
        <v>1.3592000000000002</v>
      </c>
      <c r="H23" s="312">
        <f>IF(VLOOKUP($B23,'Avg CP'!$B$12:$P$38,2,FALSE)&gt;0,AVERAGE(VLOOKUP($B23,$B$54:$P$79,H$9,FALSE),VLOOKUP($B23,$B$96:$N$121,H$9,FALSE),VLOOKUP($B23,$B$138:$N$164,H$9,FALSE)),"")</f>
        <v>1.2830666666666666</v>
      </c>
      <c r="I23" s="312">
        <f>IF(VLOOKUP($B23,'Avg CP'!$B$12:$P$38,2,FALSE)&gt;0,AVERAGE(VLOOKUP($B23,$B$54:$P$79,I$9,FALSE),VLOOKUP($B23,$B$96:$N$121,I$9,FALSE),VLOOKUP($B23,$B$138:$N$164,I$9,FALSE)),"")</f>
        <v>1.2684</v>
      </c>
      <c r="J23" s="312">
        <f>IF(VLOOKUP($B23,'Avg CP'!$B$12:$P$38,2,FALSE)&gt;0,AVERAGE(VLOOKUP($B23,$B$54:$P$79,J$9,FALSE),VLOOKUP($B23,$B$96:$N$121,J$9,FALSE),VLOOKUP($B23,$B$138:$N$164,J$9,FALSE)),"")</f>
        <v>1.1481000000000001</v>
      </c>
      <c r="K23" s="312">
        <f>IF(VLOOKUP($B23,'Avg CP'!$B$12:$P$38,2,FALSE)&gt;0,AVERAGE(VLOOKUP($B23,$B$54:$P$79,K$9,FALSE),VLOOKUP($B23,$B$96:$N$121,K$9,FALSE),VLOOKUP($B23,$B$138:$N$164,K$9,FALSE)),"")</f>
        <v>1.3667666666666667</v>
      </c>
      <c r="L23" s="312">
        <f>IF(VLOOKUP($B23,'Avg CP'!$B$12:$P$38,2,FALSE)&gt;0,AVERAGE(VLOOKUP($B23,$B$54:$P$79,L$9,FALSE),VLOOKUP($B23,$B$96:$N$121,L$9,FALSE),VLOOKUP($B23,$B$138:$N$164,L$9,FALSE)),"")</f>
        <v>1.6246333333333334</v>
      </c>
      <c r="M23" s="312">
        <f>IF(VLOOKUP($B23,'Avg CP'!$B$12:$P$38,2,FALSE)&gt;0,AVERAGE(VLOOKUP($B23,$B$54:$P$79,M$9,FALSE),VLOOKUP($B23,$B$96:$N$121,M$9,FALSE),VLOOKUP($B23,$B$138:$N$164,M$9,FALSE)),"")</f>
        <v>1.5703333333333334</v>
      </c>
      <c r="N23" s="312">
        <f>IF(VLOOKUP($B23,'Avg CP'!$B$12:$P$38,2,FALSE)&gt;0,AVERAGE(VLOOKUP($B23,$B$54:$P$79,N$9,FALSE),VLOOKUP($B23,$B$96:$N$121,N$9,FALSE),VLOOKUP($B23,$B$138:$N$164,N$9,FALSE)),"")</f>
        <v>1.6978000000000002</v>
      </c>
      <c r="O23" s="117"/>
      <c r="P23" s="314"/>
    </row>
    <row r="24" spans="1:16">
      <c r="A24" s="43" t="s">
        <v>48</v>
      </c>
      <c r="B24" s="43" t="s">
        <v>48</v>
      </c>
      <c r="C24" s="312">
        <f>IF(VLOOKUP($B24,'Avg CP'!$B$12:$P$38,2,FALSE)&gt;0,AVERAGE(VLOOKUP($B24,$B$54:$P$79,C$9,FALSE),VLOOKUP($B24,$B$96:$N$121,C$9,FALSE),VLOOKUP($B24,$B$138:$N$164,C$9,FALSE)),"")</f>
        <v>0.55253333333333332</v>
      </c>
      <c r="D24" s="312">
        <f>IF(VLOOKUP($B24,'Avg CP'!$B$12:$P$38,2,FALSE)&gt;0,AVERAGE(VLOOKUP($B24,$B$54:$P$79,D$9,FALSE),VLOOKUP($B24,$B$96:$N$121,D$9,FALSE),VLOOKUP($B24,$B$138:$N$164,D$9,FALSE)),"")</f>
        <v>0.68210000000000004</v>
      </c>
      <c r="E24" s="312">
        <f>IF(VLOOKUP($B24,'Avg CP'!$B$12:$P$38,2,FALSE)&gt;0,AVERAGE(VLOOKUP($B24,$B$54:$P$79,E$9,FALSE),VLOOKUP($B24,$B$96:$N$121,E$9,FALSE),VLOOKUP($B24,$B$138:$N$164,E$9,FALSE)),"")</f>
        <v>0.58299999999999996</v>
      </c>
      <c r="F24" s="312">
        <f>IF(VLOOKUP($B24,'Avg CP'!$B$12:$P$38,2,FALSE)&gt;0,AVERAGE(VLOOKUP($B24,$B$54:$P$79,F$9,FALSE),VLOOKUP($B24,$B$96:$N$121,F$9,FALSE),VLOOKUP($B24,$B$138:$N$164,F$9,FALSE)),"")</f>
        <v>0.58540000000000003</v>
      </c>
      <c r="G24" s="312">
        <f>IF(VLOOKUP($B24,'Avg CP'!$B$12:$P$38,2,FALSE)&gt;0,AVERAGE(VLOOKUP($B24,$B$54:$P$79,G$9,FALSE),VLOOKUP($B24,$B$96:$N$121,G$9,FALSE),VLOOKUP($B24,$B$138:$N$164,G$9,FALSE)),"")</f>
        <v>0.60610000000000008</v>
      </c>
      <c r="H24" s="312">
        <f>IF(VLOOKUP($B24,'Avg CP'!$B$12:$P$38,2,FALSE)&gt;0,AVERAGE(VLOOKUP($B24,$B$54:$P$79,H$9,FALSE),VLOOKUP($B24,$B$96:$N$121,H$9,FALSE),VLOOKUP($B24,$B$138:$N$164,H$9,FALSE)),"")</f>
        <v>0.63563333333333327</v>
      </c>
      <c r="I24" s="312">
        <f>IF(VLOOKUP($B24,'Avg CP'!$B$12:$P$38,2,FALSE)&gt;0,AVERAGE(VLOOKUP($B24,$B$54:$P$79,I$9,FALSE),VLOOKUP($B24,$B$96:$N$121,I$9,FALSE),VLOOKUP($B24,$B$138:$N$164,I$9,FALSE)),"")</f>
        <v>0.65573333333333339</v>
      </c>
      <c r="J24" s="312">
        <f>IF(VLOOKUP($B24,'Avg CP'!$B$12:$P$38,2,FALSE)&gt;0,AVERAGE(VLOOKUP($B24,$B$54:$P$79,J$9,FALSE),VLOOKUP($B24,$B$96:$N$121,J$9,FALSE),VLOOKUP($B24,$B$138:$N$164,J$9,FALSE)),"")</f>
        <v>0.66873333333333329</v>
      </c>
      <c r="K24" s="312">
        <f>IF(VLOOKUP($B24,'Avg CP'!$B$12:$P$38,2,FALSE)&gt;0,AVERAGE(VLOOKUP($B24,$B$54:$P$79,K$9,FALSE),VLOOKUP($B24,$B$96:$N$121,K$9,FALSE),VLOOKUP($B24,$B$138:$N$164,K$9,FALSE)),"")</f>
        <v>0.64133333333333331</v>
      </c>
      <c r="L24" s="312">
        <f>IF(VLOOKUP($B24,'Avg CP'!$B$12:$P$38,2,FALSE)&gt;0,AVERAGE(VLOOKUP($B24,$B$54:$P$79,L$9,FALSE),VLOOKUP($B24,$B$96:$N$121,L$9,FALSE),VLOOKUP($B24,$B$138:$N$164,L$9,FALSE)),"")</f>
        <v>0.62850000000000006</v>
      </c>
      <c r="M24" s="312">
        <f>IF(VLOOKUP($B24,'Avg CP'!$B$12:$P$38,2,FALSE)&gt;0,AVERAGE(VLOOKUP($B24,$B$54:$P$79,M$9,FALSE),VLOOKUP($B24,$B$96:$N$121,M$9,FALSE),VLOOKUP($B24,$B$138:$N$164,M$9,FALSE)),"")</f>
        <v>0.61883333333333335</v>
      </c>
      <c r="N24" s="312">
        <f>IF(VLOOKUP($B24,'Avg CP'!$B$12:$P$38,2,FALSE)&gt;0,AVERAGE(VLOOKUP($B24,$B$54:$P$79,N$9,FALSE),VLOOKUP($B24,$B$96:$N$121,N$9,FALSE),VLOOKUP($B24,$B$138:$N$164,N$9,FALSE)),"")</f>
        <v>0.61933333333333329</v>
      </c>
      <c r="O24" s="117"/>
      <c r="P24" s="314"/>
    </row>
    <row r="25" spans="1:16">
      <c r="A25" s="43" t="s">
        <v>53</v>
      </c>
      <c r="B25" s="43" t="s">
        <v>53</v>
      </c>
      <c r="C25" s="312">
        <f>IF(VLOOKUP($B25,'Avg CP'!$B$12:$P$38,2,FALSE)&gt;0,AVERAGE(VLOOKUP($B25,$B$54:$P$79,C$9,FALSE),VLOOKUP($B25,$B$96:$N$121,C$9,FALSE),VLOOKUP($B25,$B$138:$N$164,C$9,FALSE)),"")</f>
        <v>3.3322000000000003</v>
      </c>
      <c r="D25" s="312">
        <f>IF(VLOOKUP($B25,'Avg CP'!$B$12:$P$38,2,FALSE)&gt;0,AVERAGE(VLOOKUP($B25,$B$54:$P$79,D$9,FALSE),VLOOKUP($B25,$B$96:$N$121,D$9,FALSE),VLOOKUP($B25,$B$138:$N$164,D$9,FALSE)),"")</f>
        <v>0</v>
      </c>
      <c r="E25" s="312">
        <f>IF(VLOOKUP($B25,'Avg CP'!$B$12:$P$38,2,FALSE)&gt;0,AVERAGE(VLOOKUP($B25,$B$54:$P$79,E$9,FALSE),VLOOKUP($B25,$B$96:$N$121,E$9,FALSE),VLOOKUP($B25,$B$138:$N$164,E$9,FALSE)),"")</f>
        <v>0</v>
      </c>
      <c r="F25" s="312">
        <f>IF(VLOOKUP($B25,'Avg CP'!$B$12:$P$38,2,FALSE)&gt;0,AVERAGE(VLOOKUP($B25,$B$54:$P$79,F$9,FALSE),VLOOKUP($B25,$B$96:$N$121,F$9,FALSE),VLOOKUP($B25,$B$138:$N$164,F$9,FALSE)),"")</f>
        <v>0</v>
      </c>
      <c r="G25" s="312">
        <f>IF(VLOOKUP($B25,'Avg CP'!$B$12:$P$38,2,FALSE)&gt;0,AVERAGE(VLOOKUP($B25,$B$54:$P$79,G$9,FALSE),VLOOKUP($B25,$B$96:$N$121,G$9,FALSE),VLOOKUP($B25,$B$138:$N$164,G$9,FALSE)),"")</f>
        <v>0</v>
      </c>
      <c r="H25" s="312">
        <f>IF(VLOOKUP($B25,'Avg CP'!$B$12:$P$38,2,FALSE)&gt;0,AVERAGE(VLOOKUP($B25,$B$54:$P$79,H$9,FALSE),VLOOKUP($B25,$B$96:$N$121,H$9,FALSE),VLOOKUP($B25,$B$138:$N$164,H$9,FALSE)),"")</f>
        <v>0</v>
      </c>
      <c r="I25" s="312">
        <f>IF(VLOOKUP($B25,'Avg CP'!$B$12:$P$38,2,FALSE)&gt;0,AVERAGE(VLOOKUP($B25,$B$54:$P$79,I$9,FALSE),VLOOKUP($B25,$B$96:$N$121,I$9,FALSE),VLOOKUP($B25,$B$138:$N$164,I$9,FALSE)),"")</f>
        <v>0</v>
      </c>
      <c r="J25" s="312">
        <f>IF(VLOOKUP($B25,'Avg CP'!$B$12:$P$38,2,FALSE)&gt;0,AVERAGE(VLOOKUP($B25,$B$54:$P$79,J$9,FALSE),VLOOKUP($B25,$B$96:$N$121,J$9,FALSE),VLOOKUP($B25,$B$138:$N$164,J$9,FALSE)),"")</f>
        <v>0</v>
      </c>
      <c r="K25" s="312">
        <f>IF(VLOOKUP($B25,'Avg CP'!$B$12:$P$38,2,FALSE)&gt;0,AVERAGE(VLOOKUP($B25,$B$54:$P$79,K$9,FALSE),VLOOKUP($B25,$B$96:$N$121,K$9,FALSE),VLOOKUP($B25,$B$138:$N$164,K$9,FALSE)),"")</f>
        <v>0</v>
      </c>
      <c r="L25" s="312">
        <f>IF(VLOOKUP($B25,'Avg CP'!$B$12:$P$38,2,FALSE)&gt;0,AVERAGE(VLOOKUP($B25,$B$54:$P$79,L$9,FALSE),VLOOKUP($B25,$B$96:$N$121,L$9,FALSE),VLOOKUP($B25,$B$138:$N$164,L$9,FALSE)),"")</f>
        <v>0</v>
      </c>
      <c r="M25" s="312">
        <f>IF(VLOOKUP($B25,'Avg CP'!$B$12:$P$38,2,FALSE)&gt;0,AVERAGE(VLOOKUP($B25,$B$54:$P$79,M$9,FALSE),VLOOKUP($B25,$B$96:$N$121,M$9,FALSE),VLOOKUP($B25,$B$138:$N$164,M$9,FALSE)),"")</f>
        <v>0.18189999999999998</v>
      </c>
      <c r="N25" s="312">
        <f>IF(VLOOKUP($B25,'Avg CP'!$B$12:$P$38,2,FALSE)&gt;0,AVERAGE(VLOOKUP($B25,$B$54:$P$79,N$9,FALSE),VLOOKUP($B25,$B$96:$N$121,N$9,FALSE),VLOOKUP($B25,$B$138:$N$164,N$9,FALSE)),"")</f>
        <v>0.18623333333333333</v>
      </c>
      <c r="O25" s="117"/>
      <c r="P25" s="314"/>
    </row>
    <row r="26" spans="1:16">
      <c r="A26" s="43" t="s">
        <v>55</v>
      </c>
      <c r="B26" s="43" t="s">
        <v>55</v>
      </c>
      <c r="C26" s="312">
        <f>IF(VLOOKUP($B26,'Avg CP'!$B$12:$P$38,2,FALSE)&gt;0,AVERAGE(VLOOKUP($B26,$B$54:$P$79,C$9,FALSE),VLOOKUP($B26,$B$96:$N$121,C$9,FALSE),VLOOKUP($B26,$B$138:$N$164,C$9,FALSE)),"")</f>
        <v>1</v>
      </c>
      <c r="D26" s="312">
        <f>IF(VLOOKUP($B26,'Avg CP'!$B$12:$P$38,2,FALSE)&gt;0,AVERAGE(VLOOKUP($B26,$B$54:$P$79,D$9,FALSE),VLOOKUP($B26,$B$96:$N$121,D$9,FALSE),VLOOKUP($B26,$B$138:$N$164,D$9,FALSE)),"")</f>
        <v>1</v>
      </c>
      <c r="E26" s="312">
        <f>IF(VLOOKUP($B26,'Avg CP'!$B$12:$P$38,2,FALSE)&gt;0,AVERAGE(VLOOKUP($B26,$B$54:$P$79,E$9,FALSE),VLOOKUP($B26,$B$96:$N$121,E$9,FALSE),VLOOKUP($B26,$B$138:$N$164,E$9,FALSE)),"")</f>
        <v>1</v>
      </c>
      <c r="F26" s="312">
        <f>IF(VLOOKUP($B26,'Avg CP'!$B$12:$P$38,2,FALSE)&gt;0,AVERAGE(VLOOKUP($B26,$B$54:$P$79,F$9,FALSE),VLOOKUP($B26,$B$96:$N$121,F$9,FALSE),VLOOKUP($B26,$B$138:$N$164,F$9,FALSE)),"")</f>
        <v>1</v>
      </c>
      <c r="G26" s="312">
        <f>IF(VLOOKUP($B26,'Avg CP'!$B$12:$P$38,2,FALSE)&gt;0,AVERAGE(VLOOKUP($B26,$B$54:$P$79,G$9,FALSE),VLOOKUP($B26,$B$96:$N$121,G$9,FALSE),VLOOKUP($B26,$B$138:$N$164,G$9,FALSE)),"")</f>
        <v>1</v>
      </c>
      <c r="H26" s="312">
        <f>IF(VLOOKUP($B26,'Avg CP'!$B$12:$P$38,2,FALSE)&gt;0,AVERAGE(VLOOKUP($B26,$B$54:$P$79,H$9,FALSE),VLOOKUP($B26,$B$96:$N$121,H$9,FALSE),VLOOKUP($B26,$B$138:$N$164,H$9,FALSE)),"")</f>
        <v>1</v>
      </c>
      <c r="I26" s="312">
        <f>IF(VLOOKUP($B26,'Avg CP'!$B$12:$P$38,2,FALSE)&gt;0,AVERAGE(VLOOKUP($B26,$B$54:$P$79,I$9,FALSE),VLOOKUP($B26,$B$96:$N$121,I$9,FALSE),VLOOKUP($B26,$B$138:$N$164,I$9,FALSE)),"")</f>
        <v>1</v>
      </c>
      <c r="J26" s="312">
        <f>IF(VLOOKUP($B26,'Avg CP'!$B$12:$P$38,2,FALSE)&gt;0,AVERAGE(VLOOKUP($B26,$B$54:$P$79,J$9,FALSE),VLOOKUP($B26,$B$96:$N$121,J$9,FALSE),VLOOKUP($B26,$B$138:$N$164,J$9,FALSE)),"")</f>
        <v>1</v>
      </c>
      <c r="K26" s="312">
        <f>IF(VLOOKUP($B26,'Avg CP'!$B$12:$P$38,2,FALSE)&gt;0,AVERAGE(VLOOKUP($B26,$B$54:$P$79,K$9,FALSE),VLOOKUP($B26,$B$96:$N$121,K$9,FALSE),VLOOKUP($B26,$B$138:$N$164,K$9,FALSE)),"")</f>
        <v>1</v>
      </c>
      <c r="L26" s="312">
        <f>IF(VLOOKUP($B26,'Avg CP'!$B$12:$P$38,2,FALSE)&gt;0,AVERAGE(VLOOKUP($B26,$B$54:$P$79,L$9,FALSE),VLOOKUP($B26,$B$96:$N$121,L$9,FALSE),VLOOKUP($B26,$B$138:$N$164,L$9,FALSE)),"")</f>
        <v>1</v>
      </c>
      <c r="M26" s="312">
        <f>IF(VLOOKUP($B26,'Avg CP'!$B$12:$P$38,2,FALSE)&gt;0,AVERAGE(VLOOKUP($B26,$B$54:$P$79,M$9,FALSE),VLOOKUP($B26,$B$96:$N$121,M$9,FALSE),VLOOKUP($B26,$B$138:$N$164,M$9,FALSE)),"")</f>
        <v>0.99860000000000004</v>
      </c>
      <c r="N26" s="312">
        <f>IF(VLOOKUP($B26,'Avg CP'!$B$12:$P$38,2,FALSE)&gt;0,AVERAGE(VLOOKUP($B26,$B$54:$P$79,N$9,FALSE),VLOOKUP($B26,$B$96:$N$121,N$9,FALSE),VLOOKUP($B26,$B$138:$N$164,N$9,FALSE)),"")</f>
        <v>1</v>
      </c>
      <c r="O26" s="117"/>
      <c r="P26" s="314"/>
    </row>
    <row r="27" spans="1:16">
      <c r="A27" s="43" t="s">
        <v>87</v>
      </c>
      <c r="B27" s="43" t="s">
        <v>87</v>
      </c>
      <c r="C27" s="312">
        <f>IF(VLOOKUP($B27,'Avg CP'!$B$12:$P$38,2,FALSE)&gt;0,AVERAGE(VLOOKUP($B27,$B$54:$P$79,C$9,FALSE),VLOOKUP($B27,$B$96:$N$121,C$9,FALSE),VLOOKUP($B27,$B$138:$N$164,C$9,FALSE)),"")</f>
        <v>0.66336666666666666</v>
      </c>
      <c r="D27" s="312">
        <f>IF(VLOOKUP($B27,'Avg CP'!$B$12:$P$38,2,FALSE)&gt;0,AVERAGE(VLOOKUP($B27,$B$54:$P$79,D$9,FALSE),VLOOKUP($B27,$B$96:$N$121,D$9,FALSE),VLOOKUP($B27,$B$138:$N$164,D$9,FALSE)),"")</f>
        <v>0.18626666666666666</v>
      </c>
      <c r="E27" s="312">
        <f>IF(VLOOKUP($B27,'Avg CP'!$B$12:$P$38,2,FALSE)&gt;0,AVERAGE(VLOOKUP($B27,$B$54:$P$79,E$9,FALSE),VLOOKUP($B27,$B$96:$N$121,E$9,FALSE),VLOOKUP($B27,$B$138:$N$164,E$9,FALSE)),"")</f>
        <v>1.2365666666666666</v>
      </c>
      <c r="F27" s="312">
        <f>IF(VLOOKUP($B27,'Avg CP'!$B$12:$P$38,2,FALSE)&gt;0,AVERAGE(VLOOKUP($B27,$B$54:$P$79,F$9,FALSE),VLOOKUP($B27,$B$96:$N$121,F$9,FALSE),VLOOKUP($B27,$B$138:$N$164,F$9,FALSE)),"")</f>
        <v>0.92643333333333333</v>
      </c>
      <c r="G27" s="312">
        <f>IF(VLOOKUP($B27,'Avg CP'!$B$12:$P$38,2,FALSE)&gt;0,AVERAGE(VLOOKUP($B27,$B$54:$P$79,G$9,FALSE),VLOOKUP($B27,$B$96:$N$121,G$9,FALSE),VLOOKUP($B27,$B$138:$N$164,G$9,FALSE)),"")</f>
        <v>1.1191333333333333</v>
      </c>
      <c r="H27" s="312">
        <f>IF(VLOOKUP($B27,'Avg CP'!$B$12:$P$38,2,FALSE)&gt;0,AVERAGE(VLOOKUP($B27,$B$54:$P$79,H$9,FALSE),VLOOKUP($B27,$B$96:$N$121,H$9,FALSE),VLOOKUP($B27,$B$138:$N$164,H$9,FALSE)),"")</f>
        <v>0.77970000000000006</v>
      </c>
      <c r="I27" s="312">
        <f>IF(VLOOKUP($B27,'Avg CP'!$B$12:$P$38,2,FALSE)&gt;0,AVERAGE(VLOOKUP($B27,$B$54:$P$79,I$9,FALSE),VLOOKUP($B27,$B$96:$N$121,I$9,FALSE),VLOOKUP($B27,$B$138:$N$164,I$9,FALSE)),"")</f>
        <v>0.73946666666666661</v>
      </c>
      <c r="J27" s="312">
        <f>IF(VLOOKUP($B27,'Avg CP'!$B$12:$P$38,2,FALSE)&gt;0,AVERAGE(VLOOKUP($B27,$B$54:$P$79,J$9,FALSE),VLOOKUP($B27,$B$96:$N$121,J$9,FALSE),VLOOKUP($B27,$B$138:$N$164,J$9,FALSE)),"")</f>
        <v>1.1040666666666665</v>
      </c>
      <c r="K27" s="312">
        <f>IF(VLOOKUP($B27,'Avg CP'!$B$12:$P$38,2,FALSE)&gt;0,AVERAGE(VLOOKUP($B27,$B$54:$P$79,K$9,FALSE),VLOOKUP($B27,$B$96:$N$121,K$9,FALSE),VLOOKUP($B27,$B$138:$N$164,K$9,FALSE)),"")</f>
        <v>1.6512</v>
      </c>
      <c r="L27" s="312">
        <f>IF(VLOOKUP($B27,'Avg CP'!$B$12:$P$38,2,FALSE)&gt;0,AVERAGE(VLOOKUP($B27,$B$54:$P$79,L$9,FALSE),VLOOKUP($B27,$B$96:$N$121,L$9,FALSE),VLOOKUP($B27,$B$138:$N$164,L$9,FALSE)),"")</f>
        <v>0.69779999999999998</v>
      </c>
      <c r="M27" s="312">
        <f>IF(VLOOKUP($B27,'Avg CP'!$B$12:$P$38,2,FALSE)&gt;0,AVERAGE(VLOOKUP($B27,$B$54:$P$79,M$9,FALSE),VLOOKUP($B27,$B$96:$N$121,M$9,FALSE),VLOOKUP($B27,$B$138:$N$164,M$9,FALSE)),"")</f>
        <v>4.7683333333333335</v>
      </c>
      <c r="N27" s="312">
        <f>IF(VLOOKUP($B27,'Avg CP'!$B$12:$P$38,2,FALSE)&gt;0,AVERAGE(VLOOKUP($B27,$B$54:$P$79,N$9,FALSE),VLOOKUP($B27,$B$96:$N$121,N$9,FALSE),VLOOKUP($B27,$B$138:$N$164,N$9,FALSE)),"")</f>
        <v>1.1989666666666667</v>
      </c>
      <c r="O27" s="117"/>
      <c r="P27" s="314"/>
    </row>
    <row r="28" spans="1:16">
      <c r="A28" s="43" t="s">
        <v>88</v>
      </c>
      <c r="B28" s="43" t="s">
        <v>88</v>
      </c>
      <c r="C28" s="312">
        <f>IF(VLOOKUP($B28,'Avg CP'!$B$12:$P$38,2,FALSE)&gt;0,AVERAGE(VLOOKUP($B28,$B$54:$P$79,C$9,FALSE),VLOOKUP($B28,$B$96:$N$121,C$9,FALSE),VLOOKUP($B28,$B$138:$N$164,C$9,FALSE)),"")</f>
        <v>0.96176666666666666</v>
      </c>
      <c r="D28" s="312">
        <f>IF(VLOOKUP($B28,'Avg CP'!$B$12:$P$38,2,FALSE)&gt;0,AVERAGE(VLOOKUP($B28,$B$54:$P$79,D$9,FALSE),VLOOKUP($B28,$B$96:$N$121,D$9,FALSE),VLOOKUP($B28,$B$138:$N$164,D$9,FALSE)),"")</f>
        <v>1.1913666666666667</v>
      </c>
      <c r="E28" s="312">
        <f>IF(VLOOKUP($B28,'Avg CP'!$B$12:$P$38,2,FALSE)&gt;0,AVERAGE(VLOOKUP($B28,$B$54:$P$79,E$9,FALSE),VLOOKUP($B28,$B$96:$N$121,E$9,FALSE),VLOOKUP($B28,$B$138:$N$164,E$9,FALSE)),"")</f>
        <v>3.1396666666666668</v>
      </c>
      <c r="F28" s="312">
        <f>IF(VLOOKUP($B28,'Avg CP'!$B$12:$P$38,2,FALSE)&gt;0,AVERAGE(VLOOKUP($B28,$B$54:$P$79,F$9,FALSE),VLOOKUP($B28,$B$96:$N$121,F$9,FALSE),VLOOKUP($B28,$B$138:$N$164,F$9,FALSE)),"")</f>
        <v>11.523966666666666</v>
      </c>
      <c r="G28" s="312">
        <f>IF(VLOOKUP($B28,'Avg CP'!$B$12:$P$38,2,FALSE)&gt;0,AVERAGE(VLOOKUP($B28,$B$54:$P$79,G$9,FALSE),VLOOKUP($B28,$B$96:$N$121,G$9,FALSE),VLOOKUP($B28,$B$138:$N$164,G$9,FALSE)),"")</f>
        <v>1.7512000000000001</v>
      </c>
      <c r="H28" s="312">
        <f>IF(VLOOKUP($B28,'Avg CP'!$B$12:$P$38,2,FALSE)&gt;0,AVERAGE(VLOOKUP($B28,$B$54:$P$79,H$9,FALSE),VLOOKUP($B28,$B$96:$N$121,H$9,FALSE),VLOOKUP($B28,$B$138:$N$164,H$9,FALSE)),"")</f>
        <v>1.6958666666666666</v>
      </c>
      <c r="I28" s="312">
        <f>IF(VLOOKUP($B28,'Avg CP'!$B$12:$P$38,2,FALSE)&gt;0,AVERAGE(VLOOKUP($B28,$B$54:$P$79,I$9,FALSE),VLOOKUP($B28,$B$96:$N$121,I$9,FALSE),VLOOKUP($B28,$B$138:$N$164,I$9,FALSE)),"")</f>
        <v>2.0928333333333335</v>
      </c>
      <c r="J28" s="312">
        <f>IF(VLOOKUP($B28,'Avg CP'!$B$12:$P$38,2,FALSE)&gt;0,AVERAGE(VLOOKUP($B28,$B$54:$P$79,J$9,FALSE),VLOOKUP($B28,$B$96:$N$121,J$9,FALSE),VLOOKUP($B28,$B$138:$N$164,J$9,FALSE)),"")</f>
        <v>2.074033333333333</v>
      </c>
      <c r="K28" s="312">
        <f>IF(VLOOKUP($B28,'Avg CP'!$B$12:$P$38,2,FALSE)&gt;0,AVERAGE(VLOOKUP($B28,$B$54:$P$79,K$9,FALSE),VLOOKUP($B28,$B$96:$N$121,K$9,FALSE),VLOOKUP($B28,$B$138:$N$164,K$9,FALSE)),"")</f>
        <v>2.0472999999999999</v>
      </c>
      <c r="L28" s="312">
        <f>IF(VLOOKUP($B28,'Avg CP'!$B$12:$P$38,2,FALSE)&gt;0,AVERAGE(VLOOKUP($B28,$B$54:$P$79,L$9,FALSE),VLOOKUP($B28,$B$96:$N$121,L$9,FALSE),VLOOKUP($B28,$B$138:$N$164,L$9,FALSE)),"")</f>
        <v>2.6978666666666662</v>
      </c>
      <c r="M28" s="312">
        <f>IF(VLOOKUP($B28,'Avg CP'!$B$12:$P$38,2,FALSE)&gt;0,AVERAGE(VLOOKUP($B28,$B$54:$P$79,M$9,FALSE),VLOOKUP($B28,$B$96:$N$121,M$9,FALSE),VLOOKUP($B28,$B$138:$N$164,M$9,FALSE)),"")</f>
        <v>0.98103333333333342</v>
      </c>
      <c r="N28" s="312">
        <f>IF(VLOOKUP($B28,'Avg CP'!$B$12:$P$38,2,FALSE)&gt;0,AVERAGE(VLOOKUP($B28,$B$54:$P$79,N$9,FALSE),VLOOKUP($B28,$B$96:$N$121,N$9,FALSE),VLOOKUP($B28,$B$138:$N$164,N$9,FALSE)),"")</f>
        <v>1.0702</v>
      </c>
      <c r="O28" s="117"/>
      <c r="P28" s="314"/>
    </row>
    <row r="29" spans="1:16">
      <c r="C29" s="312"/>
      <c r="D29" s="312"/>
      <c r="E29" s="312"/>
      <c r="F29" s="312"/>
      <c r="G29" s="312"/>
      <c r="H29" s="312"/>
      <c r="I29" s="312"/>
      <c r="J29" s="312"/>
      <c r="K29" s="312"/>
      <c r="L29" s="312"/>
      <c r="M29" s="312"/>
      <c r="N29" s="312"/>
      <c r="O29" s="117"/>
      <c r="P29" s="314"/>
    </row>
    <row r="30" spans="1:16">
      <c r="C30" s="312"/>
      <c r="D30" s="312"/>
      <c r="E30" s="312"/>
      <c r="F30" s="312"/>
      <c r="G30" s="312"/>
      <c r="H30" s="312"/>
      <c r="I30" s="312"/>
      <c r="J30" s="312"/>
      <c r="K30" s="312"/>
      <c r="L30" s="312"/>
      <c r="M30" s="312"/>
      <c r="N30" s="312"/>
      <c r="O30" s="117"/>
      <c r="P30" s="314"/>
    </row>
    <row r="31" spans="1:16">
      <c r="B31" s="42" t="s">
        <v>86</v>
      </c>
      <c r="C31" s="115"/>
      <c r="D31" s="115"/>
      <c r="E31" s="115"/>
      <c r="F31" s="115"/>
      <c r="G31" s="115"/>
      <c r="H31" s="115"/>
      <c r="I31" s="115"/>
      <c r="J31" s="115"/>
      <c r="K31" s="115"/>
      <c r="L31" s="115"/>
      <c r="M31" s="115"/>
      <c r="N31" s="115"/>
      <c r="O31" s="117"/>
      <c r="P31" s="117"/>
    </row>
    <row r="32" spans="1:16">
      <c r="A32" t="s">
        <v>603</v>
      </c>
      <c r="B32" t="s">
        <v>603</v>
      </c>
      <c r="C32" s="312">
        <f>AVERAGE(VLOOKUP($B32,$B$96:$N$121,C$9,FALSE),VLOOKUP($B32,$B$138:$N$164,C$9,FALSE))</f>
        <v>0.80964999999999998</v>
      </c>
      <c r="D32" s="312">
        <f>AVERAGE(VLOOKUP($B32,$B$96:$N$121,D$9,FALSE),VLOOKUP($B32,$B$138:$N$164,D$9,FALSE))</f>
        <v>0.90619999999999989</v>
      </c>
      <c r="E32" s="312">
        <f>AVERAGE(VLOOKUP($B32,$B$96:$N$121,E$9,FALSE),VLOOKUP($B32,$B$138:$N$164,E$9,FALSE))</f>
        <v>0.88239999999999996</v>
      </c>
      <c r="F32" s="312">
        <f>AVERAGE(VLOOKUP($B32,$B$96:$N$121,F$9,FALSE),VLOOKUP($B32,$B$138:$N$164,F$9,FALSE))</f>
        <v>0.72829999999999995</v>
      </c>
      <c r="G32" s="312">
        <f t="shared" ref="G32:N34" si="0">AVERAGE(VLOOKUP($B32,$B$54:$P$79,G$9,FALSE),VLOOKUP($B32,$B$96:$N$121,G$9,FALSE),VLOOKUP($B32,$B$138:$N$164,G$9,FALSE))</f>
        <v>0.61216666666666664</v>
      </c>
      <c r="H32" s="312">
        <f t="shared" si="0"/>
        <v>0.68293333333333328</v>
      </c>
      <c r="I32" s="312">
        <f t="shared" si="0"/>
        <v>0.67533333333333323</v>
      </c>
      <c r="J32" s="312">
        <f t="shared" si="0"/>
        <v>0.77670000000000006</v>
      </c>
      <c r="K32" s="312">
        <f t="shared" si="0"/>
        <v>0.6493000000000001</v>
      </c>
      <c r="L32" s="312">
        <f t="shared" si="0"/>
        <v>0.76429999999999998</v>
      </c>
      <c r="M32" s="312">
        <f t="shared" si="0"/>
        <v>0.86476666666666668</v>
      </c>
      <c r="N32" s="312">
        <f t="shared" si="0"/>
        <v>0.92960000000000009</v>
      </c>
      <c r="O32" s="117"/>
      <c r="P32" s="314"/>
    </row>
    <row r="33" spans="1:16">
      <c r="A33" t="s">
        <v>983</v>
      </c>
      <c r="B33" t="s">
        <v>983</v>
      </c>
      <c r="C33" s="312">
        <f t="shared" ref="C33:F34" si="1">AVERAGE(VLOOKUP($B33,$B$54:$P$79,C$9,FALSE),VLOOKUP($B33,$B$96:$N$121,C$9,FALSE),VLOOKUP($B33,$B$138:$N$164,C$9,FALSE))</f>
        <v>0.75109999999999999</v>
      </c>
      <c r="D33" s="312">
        <f t="shared" si="1"/>
        <v>0.69830000000000003</v>
      </c>
      <c r="E33" s="312">
        <f t="shared" si="1"/>
        <v>0.74330000000000007</v>
      </c>
      <c r="F33" s="312">
        <f t="shared" si="1"/>
        <v>0.69206666666666672</v>
      </c>
      <c r="G33" s="312">
        <f t="shared" si="0"/>
        <v>0.69883333333333331</v>
      </c>
      <c r="H33" s="312">
        <f t="shared" si="0"/>
        <v>0.74759999999999993</v>
      </c>
      <c r="I33" s="312">
        <f t="shared" si="0"/>
        <v>0.7213666666666666</v>
      </c>
      <c r="J33" s="312">
        <f t="shared" si="0"/>
        <v>0.7546666666666666</v>
      </c>
      <c r="K33" s="312">
        <f t="shared" si="0"/>
        <v>0.71583333333333332</v>
      </c>
      <c r="L33" s="312">
        <f t="shared" si="0"/>
        <v>0.66129999999999989</v>
      </c>
      <c r="M33" s="312">
        <f t="shared" si="0"/>
        <v>0.67733333333333334</v>
      </c>
      <c r="N33" s="312">
        <f t="shared" si="0"/>
        <v>0.70406666666666673</v>
      </c>
      <c r="O33" s="117"/>
      <c r="P33" s="314"/>
    </row>
    <row r="34" spans="1:16">
      <c r="A34" t="s">
        <v>984</v>
      </c>
      <c r="B34" t="s">
        <v>984</v>
      </c>
      <c r="C34" s="312">
        <f t="shared" si="1"/>
        <v>0.59073333333333333</v>
      </c>
      <c r="D34" s="312">
        <f t="shared" si="1"/>
        <v>0.69786666666666664</v>
      </c>
      <c r="E34" s="312">
        <f t="shared" si="1"/>
        <v>0.65689999999999993</v>
      </c>
      <c r="F34" s="312">
        <f t="shared" si="1"/>
        <v>0.63766666666666671</v>
      </c>
      <c r="G34" s="312">
        <f t="shared" si="0"/>
        <v>0.64459999999999995</v>
      </c>
      <c r="H34" s="312">
        <f t="shared" si="0"/>
        <v>0.67113333333333325</v>
      </c>
      <c r="I34" s="312">
        <f t="shared" si="0"/>
        <v>0.68576666666666675</v>
      </c>
      <c r="J34" s="312">
        <f t="shared" si="0"/>
        <v>0.67106666666666681</v>
      </c>
      <c r="K34" s="312">
        <f t="shared" si="0"/>
        <v>0.66579999999999995</v>
      </c>
      <c r="L34" s="312">
        <f t="shared" si="0"/>
        <v>0.61753333333333327</v>
      </c>
      <c r="M34" s="312">
        <f t="shared" si="0"/>
        <v>0.6666333333333333</v>
      </c>
      <c r="N34" s="312">
        <f t="shared" si="0"/>
        <v>0.67613333333333336</v>
      </c>
      <c r="O34" s="117"/>
      <c r="P34" s="314"/>
    </row>
    <row r="35" spans="1:16">
      <c r="A35" t="s">
        <v>985</v>
      </c>
      <c r="B35" t="s">
        <v>985</v>
      </c>
      <c r="C35" s="394">
        <f>AVERAGE(M35,N35,D35,E35)</f>
        <v>0.97237499999999999</v>
      </c>
      <c r="D35" s="312">
        <f>AVERAGE(VLOOKUP($B35,$B$138:$N$164,D$9,FALSE))</f>
        <v>0.92479999999999996</v>
      </c>
      <c r="E35" s="312">
        <f t="shared" ref="E35:N35" si="2">AVERAGE(VLOOKUP($B35,$B$138:$N$164,E$9,FALSE))</f>
        <v>1</v>
      </c>
      <c r="F35" s="312">
        <f t="shared" si="2"/>
        <v>1</v>
      </c>
      <c r="G35" s="312">
        <f t="shared" si="2"/>
        <v>0.9929</v>
      </c>
      <c r="H35" s="312">
        <f t="shared" si="2"/>
        <v>0.9163</v>
      </c>
      <c r="I35" s="312">
        <f t="shared" si="2"/>
        <v>0.94589999999999996</v>
      </c>
      <c r="J35" s="312">
        <f t="shared" si="2"/>
        <v>0.95889999999999997</v>
      </c>
      <c r="K35" s="312">
        <f t="shared" si="2"/>
        <v>0.99439999999999995</v>
      </c>
      <c r="L35" s="312">
        <f t="shared" si="2"/>
        <v>0.98019999999999996</v>
      </c>
      <c r="M35" s="312">
        <f t="shared" si="2"/>
        <v>0.99860000000000004</v>
      </c>
      <c r="N35" s="312">
        <f t="shared" si="2"/>
        <v>0.96609999999999996</v>
      </c>
      <c r="O35" s="117"/>
      <c r="P35" s="314"/>
    </row>
    <row r="36" spans="1:16">
      <c r="A36" t="s">
        <v>691</v>
      </c>
      <c r="B36" t="s">
        <v>691</v>
      </c>
      <c r="C36" s="394"/>
      <c r="D36" s="394"/>
      <c r="E36" s="394"/>
      <c r="F36" s="394"/>
      <c r="G36" s="394"/>
      <c r="H36" s="312">
        <f t="shared" ref="H36:N36" si="3">AVERAGE(VLOOKUP($B36,$B$138:$N$164,H$9,FALSE))</f>
        <v>0.56879999999999997</v>
      </c>
      <c r="I36" s="312">
        <f t="shared" si="3"/>
        <v>0.61060000000000003</v>
      </c>
      <c r="J36" s="312">
        <f t="shared" si="3"/>
        <v>0.64549999999999996</v>
      </c>
      <c r="K36" s="312">
        <f t="shared" si="3"/>
        <v>0.64839999999999998</v>
      </c>
      <c r="L36" s="312">
        <f t="shared" si="3"/>
        <v>0.58520000000000005</v>
      </c>
      <c r="M36" s="312">
        <f t="shared" si="3"/>
        <v>0</v>
      </c>
      <c r="N36" s="312">
        <f t="shared" si="3"/>
        <v>0</v>
      </c>
      <c r="O36" s="117"/>
      <c r="P36" s="314"/>
    </row>
    <row r="37" spans="1:16">
      <c r="A37" t="s">
        <v>724</v>
      </c>
      <c r="B37" t="s">
        <v>724</v>
      </c>
      <c r="C37" s="312">
        <f t="shared" ref="C37:N37" si="4">AVERAGE(VLOOKUP($B37,$B$54:$P$79,C$9,FALSE),VLOOKUP($B37,$B$96:$N$121,C$9,FALSE),VLOOKUP($B37,$B$138:$N$164,C$9,FALSE))</f>
        <v>0.57169999999999999</v>
      </c>
      <c r="D37" s="312">
        <f t="shared" si="4"/>
        <v>0.6646333333333333</v>
      </c>
      <c r="E37" s="312">
        <f t="shared" si="4"/>
        <v>0.65216666666666667</v>
      </c>
      <c r="F37" s="312">
        <f t="shared" si="4"/>
        <v>0.62170000000000003</v>
      </c>
      <c r="G37" s="312">
        <f>AVERAGE(VLOOKUP($B37,$B$54:$P$79,G$9,FALSE),VLOOKUP($B37,$B$96:$N$121,G$9,FALSE),VLOOKUP($B37,$B$138:$N$164,G$9,FALSE))</f>
        <v>0.62026666666666663</v>
      </c>
      <c r="H37" s="312">
        <f>AVERAGE(VLOOKUP($B37,$B$54:$P$79,H$9,FALSE),VLOOKUP($B37,$B$96:$N$121,H$9,FALSE),VLOOKUP($B37,$B$138:$N$164,H$9,FALSE))</f>
        <v>0.65986666666666671</v>
      </c>
      <c r="I37" s="312">
        <f t="shared" si="4"/>
        <v>0.68</v>
      </c>
      <c r="J37" s="312">
        <f t="shared" si="4"/>
        <v>0.6526333333333334</v>
      </c>
      <c r="K37" s="312">
        <f t="shared" si="4"/>
        <v>0.65553333333333341</v>
      </c>
      <c r="L37" s="312">
        <f t="shared" si="4"/>
        <v>0.63103333333333333</v>
      </c>
      <c r="M37" s="312">
        <f t="shared" si="4"/>
        <v>0.66673333333333329</v>
      </c>
      <c r="N37" s="312">
        <f t="shared" si="4"/>
        <v>0.68336666666666668</v>
      </c>
      <c r="O37" s="117"/>
      <c r="P37" s="314"/>
    </row>
    <row r="38" spans="1:16">
      <c r="A38" t="s">
        <v>986</v>
      </c>
      <c r="B38" t="s">
        <v>986</v>
      </c>
      <c r="C38" s="312">
        <f t="shared" ref="C38:N38" si="5">AVERAGE(VLOOKUP($B38,$B$138:$N$164,C$9,FALSE))</f>
        <v>0.96640000000000004</v>
      </c>
      <c r="D38" s="312">
        <f t="shared" si="5"/>
        <v>1</v>
      </c>
      <c r="E38" s="312">
        <f t="shared" si="5"/>
        <v>0.99329999999999996</v>
      </c>
      <c r="F38" s="312">
        <f t="shared" si="5"/>
        <v>0.92920000000000003</v>
      </c>
      <c r="G38" s="312">
        <f t="shared" si="5"/>
        <v>0.98119999999999996</v>
      </c>
      <c r="H38" s="312">
        <f t="shared" si="5"/>
        <v>1</v>
      </c>
      <c r="I38" s="312">
        <f t="shared" si="5"/>
        <v>1</v>
      </c>
      <c r="J38" s="312">
        <f t="shared" si="5"/>
        <v>1</v>
      </c>
      <c r="K38" s="312">
        <f t="shared" si="5"/>
        <v>1</v>
      </c>
      <c r="L38" s="312">
        <f t="shared" si="5"/>
        <v>0.96909999999999996</v>
      </c>
      <c r="M38" s="312">
        <f t="shared" si="5"/>
        <v>0.96809999999999996</v>
      </c>
      <c r="N38" s="312">
        <f t="shared" si="5"/>
        <v>0.92610000000000003</v>
      </c>
      <c r="O38" s="117"/>
      <c r="P38" s="314"/>
    </row>
    <row r="39" spans="1:16">
      <c r="B39" s="43"/>
      <c r="C39" t="str">
        <f>VLOOKUP($B32,$B$54:$P$79,C$9,FALSE)</f>
        <v xml:space="preserve"> </v>
      </c>
    </row>
    <row r="40" spans="1:16">
      <c r="B40" t="s">
        <v>1191</v>
      </c>
      <c r="C40" s="395">
        <v>0</v>
      </c>
      <c r="D40" s="395">
        <v>0.63839999999999997</v>
      </c>
      <c r="E40" s="395">
        <v>0.75280000000000002</v>
      </c>
      <c r="F40" s="395">
        <v>0.87380000000000002</v>
      </c>
      <c r="G40" s="395">
        <v>0.76290000000000002</v>
      </c>
      <c r="H40" s="395">
        <v>0.8054</v>
      </c>
      <c r="I40" s="395">
        <v>0.96940000000000004</v>
      </c>
      <c r="J40" s="395">
        <v>0.67320000000000002</v>
      </c>
      <c r="K40" s="395">
        <v>0.55300000000000005</v>
      </c>
    </row>
    <row r="46" spans="1:16" ht="21">
      <c r="B46" s="611" t="s">
        <v>158</v>
      </c>
      <c r="C46" s="611"/>
      <c r="D46" s="611"/>
      <c r="E46" s="611"/>
      <c r="F46" s="611"/>
      <c r="G46" s="611"/>
      <c r="H46" s="611"/>
      <c r="I46" s="611"/>
      <c r="J46" s="611"/>
      <c r="K46" s="611"/>
      <c r="L46" s="611"/>
      <c r="M46" s="611"/>
      <c r="N46" s="611"/>
      <c r="O46" s="611"/>
      <c r="P46" s="611"/>
    </row>
    <row r="47" spans="1:16" ht="17.399999999999999">
      <c r="B47" s="610" t="str">
        <f>+MANUAL!$B$5 &amp;" as Calculated by LodeStar Except as Noted"</f>
        <v>2012 as Calculated by LodeStar Except as Noted</v>
      </c>
      <c r="C47" s="610"/>
      <c r="D47" s="610"/>
      <c r="E47" s="610"/>
      <c r="F47" s="610"/>
      <c r="G47" s="610"/>
      <c r="H47" s="610"/>
      <c r="I47" s="610"/>
      <c r="J47" s="610"/>
      <c r="K47" s="610"/>
      <c r="L47" s="610"/>
      <c r="M47" s="610"/>
      <c r="N47" s="610"/>
      <c r="O47" s="610"/>
      <c r="P47" s="610"/>
    </row>
    <row r="48" spans="1:16" ht="13.8" thickBot="1">
      <c r="B48" s="300"/>
      <c r="C48" s="300"/>
      <c r="D48" s="300"/>
      <c r="E48" s="300"/>
      <c r="F48" s="300"/>
      <c r="G48" s="300"/>
      <c r="H48" s="300"/>
      <c r="I48" s="300"/>
      <c r="J48" s="300"/>
      <c r="K48" s="300"/>
      <c r="L48" s="300"/>
      <c r="M48" s="300"/>
      <c r="N48" s="300"/>
      <c r="O48" s="300"/>
      <c r="P48" s="300"/>
    </row>
    <row r="49" spans="1:16">
      <c r="C49" s="14"/>
      <c r="D49" s="15"/>
      <c r="E49" s="16"/>
      <c r="F49" s="17"/>
      <c r="G49" s="18"/>
      <c r="H49" s="19"/>
      <c r="I49" s="20"/>
      <c r="J49" s="21"/>
      <c r="K49" s="22"/>
      <c r="L49" s="23"/>
      <c r="M49" s="24"/>
      <c r="N49" s="317"/>
      <c r="O49" s="110"/>
      <c r="P49" s="305"/>
    </row>
    <row r="50" spans="1:16" ht="13.8" thickBot="1">
      <c r="C50" s="28" t="s">
        <v>70</v>
      </c>
      <c r="D50" s="29" t="s">
        <v>71</v>
      </c>
      <c r="E50" s="30" t="s">
        <v>72</v>
      </c>
      <c r="F50" s="31" t="s">
        <v>73</v>
      </c>
      <c r="G50" s="32" t="s">
        <v>74</v>
      </c>
      <c r="H50" s="33" t="s">
        <v>75</v>
      </c>
      <c r="I50" s="34" t="s">
        <v>76</v>
      </c>
      <c r="J50" s="35" t="s">
        <v>77</v>
      </c>
      <c r="K50" s="36" t="s">
        <v>78</v>
      </c>
      <c r="L50" s="37" t="s">
        <v>79</v>
      </c>
      <c r="M50" s="38" t="s">
        <v>80</v>
      </c>
      <c r="N50" s="318" t="s">
        <v>81</v>
      </c>
      <c r="O50" s="305"/>
      <c r="P50" s="305"/>
    </row>
    <row r="51" spans="1:16" hidden="1">
      <c r="C51">
        <v>4</v>
      </c>
      <c r="D51">
        <f>C51+1</f>
        <v>5</v>
      </c>
      <c r="E51">
        <f t="shared" ref="E51:N51" si="6">D51+1</f>
        <v>6</v>
      </c>
      <c r="F51">
        <f t="shared" si="6"/>
        <v>7</v>
      </c>
      <c r="G51">
        <f t="shared" si="6"/>
        <v>8</v>
      </c>
      <c r="H51">
        <f t="shared" si="6"/>
        <v>9</v>
      </c>
      <c r="I51">
        <f t="shared" si="6"/>
        <v>10</v>
      </c>
      <c r="J51">
        <f t="shared" si="6"/>
        <v>11</v>
      </c>
      <c r="K51">
        <f t="shared" si="6"/>
        <v>12</v>
      </c>
      <c r="L51">
        <f t="shared" si="6"/>
        <v>13</v>
      </c>
      <c r="M51">
        <f t="shared" si="6"/>
        <v>14</v>
      </c>
      <c r="N51">
        <f t="shared" si="6"/>
        <v>15</v>
      </c>
      <c r="O51" s="110"/>
      <c r="P51" s="110"/>
    </row>
    <row r="52" spans="1:16">
      <c r="O52" s="110"/>
      <c r="P52" s="110"/>
    </row>
    <row r="53" spans="1:16">
      <c r="B53" s="42" t="s">
        <v>83</v>
      </c>
      <c r="O53" s="110"/>
      <c r="P53" s="110"/>
    </row>
    <row r="54" spans="1:16">
      <c r="A54" t="s">
        <v>122</v>
      </c>
      <c r="B54" s="43" t="s">
        <v>84</v>
      </c>
      <c r="C54" s="313">
        <f>VLOOKUP($A54&amp;"CP LF",'E11 - 2012 09 Final'!$A$46:$P$2419,$C$51,FALSE)</f>
        <v>1.0051000000000001</v>
      </c>
      <c r="D54" s="313">
        <f>VLOOKUP($A54&amp;"CP LF",'E11 - 2012 09 Final'!$A$46:$P$2419,$D$51,FALSE)</f>
        <v>0.90559999999999996</v>
      </c>
      <c r="E54" s="313">
        <f>VLOOKUP($A54&amp;"CP LF",'E11 - 2012 09 Final'!$A$46:$P$2419,$E$51,FALSE)</f>
        <v>0.92190000000000005</v>
      </c>
      <c r="F54" s="313">
        <f>VLOOKUP($A54&amp;"CP LF",'E11 - 2012 09 Final'!$A$46:$P$2419,$F$51,FALSE)</f>
        <v>0.89370000000000005</v>
      </c>
      <c r="G54" s="313">
        <f>VLOOKUP($A54&amp;"CP LF",'E11 - 2012 09 Final'!$A$46:$P$2419,$G$51,FALSE)</f>
        <v>0.89319999999999999</v>
      </c>
      <c r="H54" s="313">
        <f>VLOOKUP($A54&amp;"CP LF",'E11 - 2012 09 Final'!$A$46:$P$2419,$H$51,FALSE)</f>
        <v>0.93189999999999995</v>
      </c>
      <c r="I54" s="313">
        <f>VLOOKUP($A54&amp;"CP LF",'E11 - 2012 09 Final'!$A$46:$P$2419,$I$51,FALSE)</f>
        <v>0.92869999999999997</v>
      </c>
      <c r="J54" s="313">
        <f>VLOOKUP($A54&amp;"CP LF",'E11 - 2012 09 Final'!$A$46:$P$2419,$J$51,FALSE)</f>
        <v>0.92190000000000005</v>
      </c>
      <c r="K54" s="313">
        <f>VLOOKUP($A54&amp;"CP LF",'E11 - 2012 09 Final'!$A$46:$P$2419,$K$51,FALSE)</f>
        <v>0.99160000000000004</v>
      </c>
      <c r="L54" s="313">
        <f>VLOOKUP($A54&amp;"CP LF",'E11 - 2012 09 Final'!$A$46:$P$2419,$L$51,FALSE)</f>
        <v>0.92290000000000005</v>
      </c>
      <c r="M54" s="313">
        <f>VLOOKUP($A54&amp;"CP LF",'E11 - 2012 09 Final'!$A$46:$P$2419,$M$51,FALSE)</f>
        <v>0.91790000000000005</v>
      </c>
      <c r="N54" s="313">
        <f>VLOOKUP($A54&amp;"CP LF",'E11 - 2012 09 Final'!$A$46:$P$2419,$N$51,FALSE)</f>
        <v>0.87739999999999996</v>
      </c>
      <c r="O54" s="117"/>
      <c r="P54" s="314"/>
    </row>
    <row r="55" spans="1:16">
      <c r="A55" t="s">
        <v>177</v>
      </c>
      <c r="B55" s="43" t="s">
        <v>85</v>
      </c>
      <c r="C55" s="313">
        <f>VLOOKUP($A55&amp;"CP LF",'E11 - 2012 09 Final'!$A$46:$P$2419,$C$51,FALSE)</f>
        <v>0.98029999999999995</v>
      </c>
      <c r="D55" s="313">
        <f>VLOOKUP($A55&amp;"CP LF",'E11 - 2012 09 Final'!$A$46:$P$2419,$D$51,FALSE)</f>
        <v>0.87129999999999996</v>
      </c>
      <c r="E55" s="313">
        <f>VLOOKUP($A55&amp;"CP LF",'E11 - 2012 09 Final'!$A$46:$P$2419,$E$51,FALSE)</f>
        <v>0.87460000000000004</v>
      </c>
      <c r="F55" s="313">
        <f>VLOOKUP($A55&amp;"CP LF",'E11 - 2012 09 Final'!$A$46:$P$2419,$F$51,FALSE)</f>
        <v>0.89170000000000005</v>
      </c>
      <c r="G55" s="313">
        <f>VLOOKUP($A55&amp;"CP LF",'E11 - 2012 09 Final'!$A$46:$P$2419,$G$51,FALSE)</f>
        <v>0.86819999999999997</v>
      </c>
      <c r="H55" s="313">
        <f>VLOOKUP($A55&amp;"CP LF",'E11 - 2012 09 Final'!$A$46:$P$2419,$H$51,FALSE)</f>
        <v>0.88519999999999999</v>
      </c>
      <c r="I55" s="313">
        <f>VLOOKUP($A55&amp;"CP LF",'E11 - 2012 09 Final'!$A$46:$P$2419,$I$51,FALSE)</f>
        <v>0.88480000000000003</v>
      </c>
      <c r="J55" s="313">
        <f>VLOOKUP($A55&amp;"CP LF",'E11 - 2012 09 Final'!$A$46:$P$2419,$J$51,FALSE)</f>
        <v>0.88200000000000001</v>
      </c>
      <c r="K55" s="313">
        <f>VLOOKUP($A55&amp;"CP LF",'E11 - 2012 09 Final'!$A$46:$P$2419,$K$51,FALSE)</f>
        <v>0.95820000000000005</v>
      </c>
      <c r="L55" s="313">
        <f>VLOOKUP($A55&amp;"CP LF",'E11 - 2012 09 Final'!$A$46:$P$2419,$L$51,FALSE)</f>
        <v>0.87519999999999998</v>
      </c>
      <c r="M55" s="313">
        <f>VLOOKUP($A55&amp;"CP LF",'E11 - 2012 09 Final'!$A$46:$P$2419,$M$51,FALSE)</f>
        <v>0.91579999999999995</v>
      </c>
      <c r="N55" s="313">
        <f>VLOOKUP($A55&amp;"CP LF",'E11 - 2012 09 Final'!$A$46:$P$2419,$N$51,FALSE)</f>
        <v>0.90180000000000005</v>
      </c>
      <c r="O55" s="117"/>
      <c r="P55" s="314"/>
    </row>
    <row r="56" spans="1:16">
      <c r="A56" t="s">
        <v>185</v>
      </c>
      <c r="B56" s="43" t="s">
        <v>50</v>
      </c>
      <c r="C56" s="313">
        <f>VLOOKUP($A56&amp;"CP LF",'E11 - 2012 09 Final'!$A$46:$P$2419,$C$51,FALSE)</f>
        <v>1.1617999999999999</v>
      </c>
      <c r="D56" s="313">
        <f>VLOOKUP($A56&amp;"CP LF",'E11 - 2012 09 Final'!$A$46:$P$2419,$D$51,FALSE)</f>
        <v>0.83599999999999997</v>
      </c>
      <c r="E56" s="313">
        <f>VLOOKUP($A56&amp;"CP LF",'E11 - 2012 09 Final'!$A$46:$P$2419,$E$51,FALSE)</f>
        <v>0.88049999999999995</v>
      </c>
      <c r="F56" s="313">
        <f>VLOOKUP($A56&amp;"CP LF",'E11 - 2012 09 Final'!$A$46:$P$2419,$F$51,FALSE)</f>
        <v>1.1387</v>
      </c>
      <c r="G56" s="313">
        <f>VLOOKUP($A56&amp;"CP LF",'E11 - 2012 09 Final'!$A$46:$P$2419,$G$51,FALSE)</f>
        <v>0.87909999999999999</v>
      </c>
      <c r="H56" s="313">
        <f>VLOOKUP($A56&amp;"CP LF",'E11 - 2012 09 Final'!$A$46:$P$2419,$H$51,FALSE)</f>
        <v>0.98340000000000005</v>
      </c>
      <c r="I56" s="313">
        <f>VLOOKUP($A56&amp;"CP LF",'E11 - 2012 09 Final'!$A$46:$P$2419,$I$51,FALSE)</f>
        <v>0.92969999999999997</v>
      </c>
      <c r="J56" s="313">
        <f>VLOOKUP($A56&amp;"CP LF",'E11 - 2012 09 Final'!$A$46:$P$2419,$J$51,FALSE)</f>
        <v>1.0271999999999999</v>
      </c>
      <c r="K56" s="313">
        <f>VLOOKUP($A56&amp;"CP LF",'E11 - 2012 09 Final'!$A$46:$P$2419,$K$51,FALSE)</f>
        <v>1.0815999999999999</v>
      </c>
      <c r="L56" s="313">
        <f>VLOOKUP($A56&amp;"CP LF",'E11 - 2012 09 Final'!$A$46:$P$2419,$L$51,FALSE)</f>
        <v>0.89949999999999997</v>
      </c>
      <c r="M56" s="313">
        <f>VLOOKUP($A56&amp;"CP LF",'E11 - 2012 09 Final'!$A$46:$P$2419,$M$51,FALSE)</f>
        <v>0.94910000000000005</v>
      </c>
      <c r="N56" s="313">
        <f>VLOOKUP($A56&amp;"CP LF",'E11 - 2012 09 Final'!$A$46:$P$2419,$N$51,FALSE)</f>
        <v>0.90369999999999995</v>
      </c>
      <c r="O56" s="117"/>
      <c r="P56" s="314"/>
    </row>
    <row r="57" spans="1:16">
      <c r="A57" t="s">
        <v>941</v>
      </c>
      <c r="B57" s="43" t="s">
        <v>49</v>
      </c>
      <c r="C57" s="313">
        <f>VLOOKUP($A57&amp;"CP LF",'E11 - 2012 09 Final'!$A$46:$P$2419,$C$51,FALSE)</f>
        <v>1.1249</v>
      </c>
      <c r="D57" s="313">
        <f>VLOOKUP($A57&amp;"CP LF",'E11 - 2012 09 Final'!$A$46:$P$2419,$D$51,FALSE)</f>
        <v>0.63470000000000004</v>
      </c>
      <c r="E57" s="313">
        <f>VLOOKUP($A57&amp;"CP LF",'E11 - 2012 09 Final'!$A$46:$P$2419,$E$51,FALSE)</f>
        <v>0.71560000000000001</v>
      </c>
      <c r="F57" s="313">
        <f>VLOOKUP($A57&amp;"CP LF",'E11 - 2012 09 Final'!$A$46:$P$2419,$F$51,FALSE)</f>
        <v>0.73360000000000003</v>
      </c>
      <c r="G57" s="313">
        <f>VLOOKUP($A57&amp;"CP LF",'E11 - 2012 09 Final'!$A$46:$P$2419,$G$51,FALSE)</f>
        <v>0.64</v>
      </c>
      <c r="H57" s="313">
        <f>VLOOKUP($A57&amp;"CP LF",'E11 - 2012 09 Final'!$A$46:$P$2419,$H$51,FALSE)</f>
        <v>0.67169999999999996</v>
      </c>
      <c r="I57" s="313">
        <f>VLOOKUP($A57&amp;"CP LF",'E11 - 2012 09 Final'!$A$46:$P$2419,$I$51,FALSE)</f>
        <v>0.67449999999999999</v>
      </c>
      <c r="J57" s="313">
        <f>VLOOKUP($A57&amp;"CP LF",'E11 - 2012 09 Final'!$A$46:$P$2419,$J$51,FALSE)</f>
        <v>0.66100000000000003</v>
      </c>
      <c r="K57" s="313">
        <f>VLOOKUP($A57&amp;"CP LF",'E11 - 2012 09 Final'!$A$46:$P$2419,$K$51,FALSE)</f>
        <v>0.89300000000000002</v>
      </c>
      <c r="L57" s="313">
        <f>VLOOKUP($A57&amp;"CP LF",'E11 - 2012 09 Final'!$A$46:$P$2419,$L$51,FALSE)</f>
        <v>0.6593</v>
      </c>
      <c r="M57" s="313">
        <f>VLOOKUP($A57&amp;"CP LF",'E11 - 2012 09 Final'!$A$46:$P$2419,$M$51,FALSE)</f>
        <v>0.78390000000000004</v>
      </c>
      <c r="N57" s="313">
        <f>VLOOKUP($A57&amp;"CP LF",'E11 - 2012 09 Final'!$A$46:$P$2419,$N$51,FALSE)</f>
        <v>0.73050000000000004</v>
      </c>
      <c r="O57" s="117"/>
      <c r="P57" s="314"/>
    </row>
    <row r="58" spans="1:16">
      <c r="A58" t="s">
        <v>944</v>
      </c>
      <c r="B58" s="46" t="s">
        <v>325</v>
      </c>
      <c r="C58" s="313">
        <f>VLOOKUP($A58&amp;"CP LF",'E11 - 2012 09 Final'!$A$46:$P$2419,$C$51,FALSE)</f>
        <v>1.0245</v>
      </c>
      <c r="D58" s="313">
        <f>VLOOKUP($A58&amp;"CP LF",'E11 - 2012 09 Final'!$A$46:$P$2419,$D$51,FALSE)</f>
        <v>0.99160000000000004</v>
      </c>
      <c r="E58" s="313">
        <f>VLOOKUP($A58&amp;"CP LF",'E11 - 2012 09 Final'!$A$46:$P$2419,$E$51,FALSE)</f>
        <v>0.99319999999999997</v>
      </c>
      <c r="F58" s="313">
        <f>VLOOKUP($A58&amp;"CP LF",'E11 - 2012 09 Final'!$A$46:$P$2419,$F$51,FALSE)</f>
        <v>0.99550000000000005</v>
      </c>
      <c r="G58" s="313">
        <f>VLOOKUP($A58&amp;"CP LF",'E11 - 2012 09 Final'!$A$46:$P$2419,$G$51,FALSE)</f>
        <v>0.99650000000000005</v>
      </c>
      <c r="H58" s="313">
        <f>VLOOKUP($A58&amp;"CP LF",'E11 - 2012 09 Final'!$A$46:$P$2419,$H$51,FALSE)</f>
        <v>0.99719999999999998</v>
      </c>
      <c r="I58" s="313">
        <f>VLOOKUP($A58&amp;"CP LF",'E11 - 2012 09 Final'!$A$46:$P$2419,$I$51,FALSE)</f>
        <v>0.99709999999999999</v>
      </c>
      <c r="J58" s="313">
        <f>VLOOKUP($A58&amp;"CP LF",'E11 - 2012 09 Final'!$A$46:$P$2419,$J$51,FALSE)</f>
        <v>0.99770000000000003</v>
      </c>
      <c r="K58" s="313">
        <f>VLOOKUP($A58&amp;"CP LF",'E11 - 2012 09 Final'!$A$46:$P$2419,$K$51,FALSE)</f>
        <v>0.99829999999999997</v>
      </c>
      <c r="L58" s="313">
        <f>VLOOKUP($A58&amp;"CP LF",'E11 - 2012 09 Final'!$A$46:$P$2419,$L$51,FALSE)</f>
        <v>1.0001</v>
      </c>
      <c r="M58" s="313">
        <f>VLOOKUP($A58&amp;"CP LF",'E11 - 2012 09 Final'!$A$46:$P$2419,$M$51,FALSE)</f>
        <v>0.99199999999999999</v>
      </c>
      <c r="N58" s="313">
        <f>VLOOKUP($A58&amp;"CP LF",'E11 - 2012 09 Final'!$A$46:$P$2419,$N$51,FALSE)</f>
        <v>0.99339999999999995</v>
      </c>
      <c r="O58" s="117"/>
      <c r="P58" s="314"/>
    </row>
    <row r="59" spans="1:16">
      <c r="A59" t="s">
        <v>994</v>
      </c>
      <c r="B59" s="43" t="s">
        <v>67</v>
      </c>
      <c r="C59" s="313">
        <f>VLOOKUP($A59&amp;"CP LF",'E11 - 2012 09 Final'!$A$46:$P$2419,$C$51,FALSE)</f>
        <v>1.1101000000000001</v>
      </c>
      <c r="D59" s="313">
        <f>VLOOKUP($A59&amp;"CP LF",'E11 - 2012 09 Final'!$A$46:$P$2419,$D$51,FALSE)</f>
        <v>0.69750000000000001</v>
      </c>
      <c r="E59" s="313">
        <f>VLOOKUP($A59&amp;"CP LF",'E11 - 2012 09 Final'!$A$46:$P$2419,$E$51,FALSE)</f>
        <v>0.74029999999999996</v>
      </c>
      <c r="F59" s="313">
        <f>VLOOKUP($A59&amp;"CP LF",'E11 - 2012 09 Final'!$A$46:$P$2419,$F$51,FALSE)</f>
        <v>0.74439999999999995</v>
      </c>
      <c r="G59" s="313">
        <f>VLOOKUP($A59&amp;"CP LF",'E11 - 2012 09 Final'!$A$46:$P$2419,$G$51,FALSE)</f>
        <v>0.72189999999999999</v>
      </c>
      <c r="H59" s="313">
        <f>VLOOKUP($A59&amp;"CP LF",'E11 - 2012 09 Final'!$A$46:$P$2419,$H$51,FALSE)</f>
        <v>0.75380000000000003</v>
      </c>
      <c r="I59" s="313">
        <f>VLOOKUP($A59&amp;"CP LF",'E11 - 2012 09 Final'!$A$46:$P$2419,$I$51,FALSE)</f>
        <v>0.74960000000000004</v>
      </c>
      <c r="J59" s="313">
        <f>VLOOKUP($A59&amp;"CP LF",'E11 - 2012 09 Final'!$A$46:$P$2419,$J$51,FALSE)</f>
        <v>0.7621</v>
      </c>
      <c r="K59" s="313">
        <f>VLOOKUP($A59&amp;"CP LF",'E11 - 2012 09 Final'!$A$46:$P$2419,$K$51,FALSE)</f>
        <v>0.84560000000000002</v>
      </c>
      <c r="L59" s="313">
        <f>VLOOKUP($A59&amp;"CP LF",'E11 - 2012 09 Final'!$A$46:$P$2419,$L$51,FALSE)</f>
        <v>0.70930000000000004</v>
      </c>
      <c r="M59" s="313">
        <f>VLOOKUP($A59&amp;"CP LF",'E11 - 2012 09 Final'!$A$46:$P$2419,$M$51,FALSE)</f>
        <v>0.77729999999999999</v>
      </c>
      <c r="N59" s="313">
        <f>VLOOKUP($A59&amp;"CP LF",'E11 - 2012 09 Final'!$A$46:$P$2419,$N$51,FALSE)</f>
        <v>0.75700000000000001</v>
      </c>
      <c r="O59" s="117"/>
      <c r="P59" s="314"/>
    </row>
    <row r="60" spans="1:16">
      <c r="A60" t="s">
        <v>997</v>
      </c>
      <c r="B60" s="43" t="s">
        <v>68</v>
      </c>
      <c r="C60" s="313">
        <f>VLOOKUP($A60&amp;"CP LF",'E11 - 2012 09 Final'!$A$46:$P$2419,$C$51,FALSE)</f>
        <v>0.94210000000000005</v>
      </c>
      <c r="D60" s="313">
        <f>VLOOKUP($A60&amp;"CP LF",'E11 - 2012 09 Final'!$A$46:$P$2419,$D$51,FALSE)</f>
        <v>0.67979999999999996</v>
      </c>
      <c r="E60" s="313">
        <f>VLOOKUP($A60&amp;"CP LF",'E11 - 2012 09 Final'!$A$46:$P$2419,$E$51,FALSE)</f>
        <v>0.73199999999999998</v>
      </c>
      <c r="F60" s="313">
        <f>VLOOKUP($A60&amp;"CP LF",'E11 - 2012 09 Final'!$A$46:$P$2419,$F$51,FALSE)</f>
        <v>0.73240000000000005</v>
      </c>
      <c r="G60" s="313">
        <f>VLOOKUP($A60&amp;"CP LF",'E11 - 2012 09 Final'!$A$46:$P$2419,$G$51,FALSE)</f>
        <v>0.72699999999999998</v>
      </c>
      <c r="H60" s="313">
        <f>VLOOKUP($A60&amp;"CP LF",'E11 - 2012 09 Final'!$A$46:$P$2419,$H$51,FALSE)</f>
        <v>0.7248</v>
      </c>
      <c r="I60" s="313">
        <f>VLOOKUP($A60&amp;"CP LF",'E11 - 2012 09 Final'!$A$46:$P$2419,$I$51,FALSE)</f>
        <v>0.7379</v>
      </c>
      <c r="J60" s="313">
        <f>VLOOKUP($A60&amp;"CP LF",'E11 - 2012 09 Final'!$A$46:$P$2419,$J$51,FALSE)</f>
        <v>0.76590000000000003</v>
      </c>
      <c r="K60" s="313">
        <f>VLOOKUP($A60&amp;"CP LF",'E11 - 2012 09 Final'!$A$46:$P$2419,$K$51,FALSE)</f>
        <v>0.99809999999999999</v>
      </c>
      <c r="L60" s="313">
        <f>VLOOKUP($A60&amp;"CP LF",'E11 - 2012 09 Final'!$A$46:$P$2419,$L$51,FALSE)</f>
        <v>0.69879999999999998</v>
      </c>
      <c r="M60" s="313">
        <f>VLOOKUP($A60&amp;"CP LF",'E11 - 2012 09 Final'!$A$46:$P$2419,$M$51,FALSE)</f>
        <v>0.82630000000000003</v>
      </c>
      <c r="N60" s="313">
        <f>VLOOKUP($A60&amp;"CP LF",'E11 - 2012 09 Final'!$A$46:$P$2419,$N$51,FALSE)</f>
        <v>0.72309999999999997</v>
      </c>
      <c r="O60" s="117"/>
      <c r="P60" s="314"/>
    </row>
    <row r="61" spans="1:16">
      <c r="A61" t="s">
        <v>713</v>
      </c>
      <c r="B61" s="43" t="s">
        <v>69</v>
      </c>
      <c r="C61" s="313">
        <f>VLOOKUP($A61&amp;"CP LF",'E11 - 2012 09 Final'!$A$46:$P$2419,$C$51,FALSE)</f>
        <v>1.111</v>
      </c>
      <c r="D61" s="313">
        <f>VLOOKUP($A61&amp;"CP LF",'E11 - 2012 09 Final'!$A$46:$P$2419,$D$51,FALSE)</f>
        <v>0.83699999999999997</v>
      </c>
      <c r="E61" s="313">
        <f>VLOOKUP($A61&amp;"CP LF",'E11 - 2012 09 Final'!$A$46:$P$2419,$E$51,FALSE)</f>
        <v>0.83450000000000002</v>
      </c>
      <c r="F61" s="313">
        <f>VLOOKUP($A61&amp;"CP LF",'E11 - 2012 09 Final'!$A$46:$P$2419,$F$51,FALSE)</f>
        <v>0.91639999999999999</v>
      </c>
      <c r="G61" s="313">
        <f>VLOOKUP($A61&amp;"CP LF",'E11 - 2012 09 Final'!$A$46:$P$2419,$G$51,FALSE)</f>
        <v>0.90880000000000005</v>
      </c>
      <c r="H61" s="313">
        <f>VLOOKUP($A61&amp;"CP LF",'E11 - 2012 09 Final'!$A$46:$P$2419,$H$51,FALSE)</f>
        <v>0.9425</v>
      </c>
      <c r="I61" s="313">
        <f>VLOOKUP($A61&amp;"CP LF",'E11 - 2012 09 Final'!$A$46:$P$2419,$I$51,FALSE)</f>
        <v>0.92090000000000005</v>
      </c>
      <c r="J61" s="313">
        <f>VLOOKUP($A61&amp;"CP LF",'E11 - 2012 09 Final'!$A$46:$P$2419,$J$51,FALSE)</f>
        <v>0.93069999999999997</v>
      </c>
      <c r="K61" s="313">
        <f>VLOOKUP($A61&amp;"CP LF",'E11 - 2012 09 Final'!$A$46:$P$2419,$K$51,FALSE)</f>
        <v>0.9819</v>
      </c>
      <c r="L61" s="313">
        <f>VLOOKUP($A61&amp;"CP LF",'E11 - 2012 09 Final'!$A$46:$P$2419,$L$51,FALSE)</f>
        <v>0.90700000000000003</v>
      </c>
      <c r="M61" s="313">
        <f>VLOOKUP($A61&amp;"CP LF",'E11 - 2012 09 Final'!$A$46:$P$2419,$M$51,FALSE)</f>
        <v>0.91210000000000002</v>
      </c>
      <c r="N61" s="313">
        <f>VLOOKUP($A61&amp;"CP LF",'E11 - 2012 09 Final'!$A$46:$P$2419,$N$51,FALSE)</f>
        <v>0.85319999999999996</v>
      </c>
      <c r="O61" s="117"/>
      <c r="P61" s="314"/>
    </row>
    <row r="62" spans="1:16">
      <c r="A62" t="s">
        <v>717</v>
      </c>
      <c r="B62" s="43" t="s">
        <v>52</v>
      </c>
      <c r="C62" s="313">
        <f>VLOOKUP($A62&amp;"CP LF",'E11 - 2012 09 Final'!$A$46:$P$2419,$C$51,FALSE)</f>
        <v>0.91420000000000001</v>
      </c>
      <c r="D62" s="313">
        <f>VLOOKUP($A62&amp;"CP LF",'E11 - 2012 09 Final'!$A$46:$P$2419,$D$51,FALSE)</f>
        <v>0.87209999999999999</v>
      </c>
      <c r="E62" s="313">
        <f>VLOOKUP($A62&amp;"CP LF",'E11 - 2012 09 Final'!$A$46:$P$2419,$E$51,FALSE)</f>
        <v>0.89710000000000001</v>
      </c>
      <c r="F62" s="313">
        <f>VLOOKUP($A62&amp;"CP LF",'E11 - 2012 09 Final'!$A$46:$P$2419,$F$51,FALSE)</f>
        <v>0.85319999999999996</v>
      </c>
      <c r="G62" s="313">
        <f>VLOOKUP($A62&amp;"CP LF",'E11 - 2012 09 Final'!$A$46:$P$2419,$G$51,FALSE)</f>
        <v>0.96779999999999999</v>
      </c>
      <c r="H62" s="313">
        <f>VLOOKUP($A62&amp;"CP LF",'E11 - 2012 09 Final'!$A$46:$P$2419,$H$51,FALSE)</f>
        <v>0.91549999999999998</v>
      </c>
      <c r="I62" s="313">
        <f>VLOOKUP($A62&amp;"CP LF",'E11 - 2012 09 Final'!$A$46:$P$2419,$I$51,FALSE)</f>
        <v>0.87890000000000001</v>
      </c>
      <c r="J62" s="313">
        <f>VLOOKUP($A62&amp;"CP LF",'E11 - 2012 09 Final'!$A$46:$P$2419,$J$51,FALSE)</f>
        <v>0.89500000000000002</v>
      </c>
      <c r="K62" s="313">
        <f>VLOOKUP($A62&amp;"CP LF",'E11 - 2012 09 Final'!$A$46:$P$2419,$K$51,FALSE)</f>
        <v>0.95640000000000003</v>
      </c>
      <c r="L62" s="313">
        <f>VLOOKUP($A62&amp;"CP LF",'E11 - 2012 09 Final'!$A$46:$P$2419,$L$51,FALSE)</f>
        <v>0.94750000000000001</v>
      </c>
      <c r="M62" s="313">
        <f>VLOOKUP($A62&amp;"CP LF",'E11 - 2012 09 Final'!$A$46:$P$2419,$M$51,FALSE)</f>
        <v>0.98929999999999996</v>
      </c>
      <c r="N62" s="313">
        <f>VLOOKUP($A62&amp;"CP LF",'E11 - 2012 09 Final'!$A$46:$P$2419,$N$51,FALSE)</f>
        <v>0.85209999999999997</v>
      </c>
      <c r="O62" s="117"/>
      <c r="P62" s="314"/>
    </row>
    <row r="63" spans="1:16">
      <c r="A63" t="s">
        <v>15</v>
      </c>
      <c r="B63" s="206" t="s">
        <v>15</v>
      </c>
      <c r="C63" s="313">
        <f>VLOOKUP($A63&amp;"CP LF",'E11 - 2012 09 Final'!$A$46:$P$2419,$C$51,FALSE)</f>
        <v>0.71540000000000004</v>
      </c>
      <c r="D63" s="313">
        <f>VLOOKUP($A63&amp;"CP LF",'E11 - 2012 09 Final'!$A$46:$P$2419,$D$51,FALSE)</f>
        <v>0.76690000000000003</v>
      </c>
      <c r="E63" s="313">
        <f>VLOOKUP($A63&amp;"CP LF",'E11 - 2012 09 Final'!$A$46:$P$2419,$E$51,FALSE)</f>
        <v>0.72030000000000005</v>
      </c>
      <c r="F63" s="313">
        <f>VLOOKUP($A63&amp;"CP LF",'E11 - 2012 09 Final'!$A$46:$P$2419,$F$51,FALSE)</f>
        <v>0.67179999999999995</v>
      </c>
      <c r="G63" s="313">
        <f>VLOOKUP($A63&amp;"CP LF",'E11 - 2012 09 Final'!$A$46:$P$2419,$G$51,FALSE)</f>
        <v>0.73070000000000002</v>
      </c>
      <c r="H63" s="313">
        <f>VLOOKUP($A63&amp;"CP LF",'E11 - 2012 09 Final'!$A$46:$P$2419,$H$51,FALSE)</f>
        <v>0.71750000000000003</v>
      </c>
      <c r="I63" s="313">
        <f>VLOOKUP($A63&amp;"CP LF",'E11 - 2012 09 Final'!$A$46:$P$2419,$I$51,FALSE)</f>
        <v>0.74970000000000003</v>
      </c>
      <c r="J63" s="313">
        <f>VLOOKUP($A63&amp;"CP LF",'E11 - 2012 09 Final'!$A$46:$P$2419,$J$51,FALSE)</f>
        <v>0.73309999999999997</v>
      </c>
      <c r="K63" s="313">
        <f>VLOOKUP($A63&amp;"CP LF",'E11 - 2012 09 Final'!$A$46:$P$2419,$K$51,FALSE)</f>
        <v>1.1366000000000001</v>
      </c>
      <c r="L63" s="313">
        <f>VLOOKUP($A63&amp;"CP LF",'E11 - 2012 09 Final'!$A$46:$P$2419,$L$51,FALSE)</f>
        <v>0.84230000000000005</v>
      </c>
      <c r="M63" s="313">
        <f>VLOOKUP($A63&amp;"CP LF",'E11 - 2012 09 Final'!$A$46:$P$2419,$M$51,FALSE)</f>
        <v>0.70009999999999994</v>
      </c>
      <c r="N63" s="313">
        <f>VLOOKUP($A63&amp;"CP LF",'E11 - 2012 09 Final'!$A$46:$P$2419,$N$51,FALSE)</f>
        <v>0.69199999999999995</v>
      </c>
      <c r="O63" s="117"/>
      <c r="P63" s="314"/>
    </row>
    <row r="64" spans="1:16">
      <c r="A64" t="s">
        <v>19</v>
      </c>
      <c r="B64" s="43" t="s">
        <v>56</v>
      </c>
      <c r="C64" s="313">
        <f>VLOOKUP($A64&amp;"CP LF",'E11 - 2012 09 Final'!$A$46:$P$2419,$C$51,FALSE)</f>
        <v>4.7222</v>
      </c>
      <c r="D64" s="313">
        <f>VLOOKUP($A64&amp;"CP LF",'E11 - 2012 09 Final'!$A$46:$P$2419,$D$51,FALSE)</f>
        <v>0</v>
      </c>
      <c r="E64" s="313">
        <f>VLOOKUP($A64&amp;"CP LF",'E11 - 2012 09 Final'!$A$46:$P$2419,$E$51,FALSE)</f>
        <v>0</v>
      </c>
      <c r="F64" s="313">
        <f>VLOOKUP($A64&amp;"CP LF",'E11 - 2012 09 Final'!$A$46:$P$2419,$F$51,FALSE)</f>
        <v>0</v>
      </c>
      <c r="G64" s="313">
        <f>VLOOKUP($A64&amp;"CP LF",'E11 - 2012 09 Final'!$A$46:$P$2419,$G$51,FALSE)</f>
        <v>0</v>
      </c>
      <c r="H64" s="313">
        <f>VLOOKUP($A64&amp;"CP LF",'E11 - 2012 09 Final'!$A$46:$P$2419,$H$51,FALSE)</f>
        <v>0</v>
      </c>
      <c r="I64" s="313">
        <f>VLOOKUP($A64&amp;"CP LF",'E11 - 2012 09 Final'!$A$46:$P$2419,$I$51,FALSE)</f>
        <v>0</v>
      </c>
      <c r="J64" s="313">
        <f>VLOOKUP($A64&amp;"CP LF",'E11 - 2012 09 Final'!$A$46:$P$2419,$J$51,FALSE)</f>
        <v>0</v>
      </c>
      <c r="K64" s="313">
        <f>VLOOKUP($A64&amp;"CP LF",'E11 - 2012 09 Final'!$A$46:$P$2419,$K$51,FALSE)</f>
        <v>0</v>
      </c>
      <c r="L64" s="313">
        <f>VLOOKUP($A64&amp;"CP LF",'E11 - 2012 09 Final'!$A$46:$P$2419,$L$51,FALSE)</f>
        <v>0</v>
      </c>
      <c r="M64" s="313">
        <f>VLOOKUP($A64&amp;"CP LF",'E11 - 2012 09 Final'!$A$46:$P$2419,$M$51,FALSE)</f>
        <v>0.54569999999999996</v>
      </c>
      <c r="N64" s="313">
        <f>VLOOKUP($A64&amp;"CP LF",'E11 - 2012 09 Final'!$A$46:$P$2419,$N$51,FALSE)</f>
        <v>0.55869999999999997</v>
      </c>
      <c r="O64" s="117"/>
      <c r="P64" s="314"/>
    </row>
    <row r="65" spans="1:16">
      <c r="A65" t="s">
        <v>22</v>
      </c>
      <c r="B65" s="43" t="s">
        <v>57</v>
      </c>
      <c r="C65" s="313">
        <f>VLOOKUP($A65&amp;"CP LF",'E11 - 2012 09 Final'!$A$46:$P$2419,$C$51,FALSE)</f>
        <v>2.2843</v>
      </c>
      <c r="D65" s="313">
        <f>VLOOKUP($A65&amp;"CP LF",'E11 - 2012 09 Final'!$A$46:$P$2419,$D$51,FALSE)</f>
        <v>2.2865000000000002</v>
      </c>
      <c r="E65" s="313">
        <f>VLOOKUP($A65&amp;"CP LF",'E11 - 2012 09 Final'!$A$46:$P$2419,$E$51,FALSE)</f>
        <v>1.5029999999999999</v>
      </c>
      <c r="F65" s="313">
        <f>VLOOKUP($A65&amp;"CP LF",'E11 - 2012 09 Final'!$A$46:$P$2419,$F$51,FALSE)</f>
        <v>1.1936</v>
      </c>
      <c r="G65" s="313">
        <f>VLOOKUP($A65&amp;"CP LF",'E11 - 2012 09 Final'!$A$46:$P$2419,$G$51,FALSE)</f>
        <v>1.2886</v>
      </c>
      <c r="H65" s="313">
        <f>VLOOKUP($A65&amp;"CP LF",'E11 - 2012 09 Final'!$A$46:$P$2419,$H$51,FALSE)</f>
        <v>1.3239000000000001</v>
      </c>
      <c r="I65" s="313">
        <f>VLOOKUP($A65&amp;"CP LF",'E11 - 2012 09 Final'!$A$46:$P$2419,$I$51,FALSE)</f>
        <v>1.2437</v>
      </c>
      <c r="J65" s="313">
        <f>VLOOKUP($A65&amp;"CP LF",'E11 - 2012 09 Final'!$A$46:$P$2419,$J$51,FALSE)</f>
        <v>1.2279</v>
      </c>
      <c r="K65" s="313">
        <f>VLOOKUP($A65&amp;"CP LF",'E11 - 2012 09 Final'!$A$46:$P$2419,$K$51,FALSE)</f>
        <v>1.4471000000000001</v>
      </c>
      <c r="L65" s="313">
        <f>VLOOKUP($A65&amp;"CP LF",'E11 - 2012 09 Final'!$A$46:$P$2419,$L$51,FALSE)</f>
        <v>1.5346</v>
      </c>
      <c r="M65" s="313">
        <f>VLOOKUP($A65&amp;"CP LF",'E11 - 2012 09 Final'!$A$46:$P$2419,$M$51,FALSE)</f>
        <v>0.21759999999999999</v>
      </c>
      <c r="N65" s="313">
        <f>VLOOKUP($A65&amp;"CP LF",'E11 - 2012 09 Final'!$A$46:$P$2419,$N$51,FALSE)</f>
        <v>0.17430000000000001</v>
      </c>
      <c r="O65" s="117"/>
      <c r="P65" s="314"/>
    </row>
    <row r="66" spans="1:16">
      <c r="A66" t="s">
        <v>687</v>
      </c>
      <c r="B66" s="43" t="s">
        <v>48</v>
      </c>
      <c r="C66" s="313">
        <f>VLOOKUP($A66&amp;"CP LF",'E11 - 2012 09 Final'!$A$46:$P$2419,$C$51,FALSE)</f>
        <v>0.45140000000000002</v>
      </c>
      <c r="D66" s="313">
        <f>VLOOKUP($A66&amp;"CP LF",'E11 - 2012 09 Final'!$A$46:$P$2419,$D$51,FALSE)</f>
        <v>0.68440000000000001</v>
      </c>
      <c r="E66" s="313">
        <f>VLOOKUP($A66&amp;"CP LF",'E11 - 2012 09 Final'!$A$46:$P$2419,$E$51,FALSE)</f>
        <v>0.66930000000000001</v>
      </c>
      <c r="F66" s="313">
        <f>VLOOKUP($A66&amp;"CP LF",'E11 - 2012 09 Final'!$A$46:$P$2419,$F$51,FALSE)</f>
        <v>0.57020000000000004</v>
      </c>
      <c r="G66" s="313">
        <f>VLOOKUP($A66&amp;"CP LF",'E11 - 2012 09 Final'!$A$46:$P$2419,$G$51,FALSE)</f>
        <v>0.61990000000000001</v>
      </c>
      <c r="H66" s="313">
        <f>VLOOKUP($A66&amp;"CP LF",'E11 - 2012 09 Final'!$A$46:$P$2419,$H$51,FALSE)</f>
        <v>0.65529999999999999</v>
      </c>
      <c r="I66" s="313">
        <f>VLOOKUP($A66&amp;"CP LF",'E11 - 2012 09 Final'!$A$46:$P$2419,$I$51,FALSE)</f>
        <v>0.66500000000000004</v>
      </c>
      <c r="J66" s="313">
        <f>VLOOKUP($A66&amp;"CP LF",'E11 - 2012 09 Final'!$A$46:$P$2419,$J$51,FALSE)</f>
        <v>0.65659999999999996</v>
      </c>
      <c r="K66" s="313">
        <f>VLOOKUP($A66&amp;"CP LF",'E11 - 2012 09 Final'!$A$46:$P$2419,$K$51,FALSE)</f>
        <v>0.63139999999999996</v>
      </c>
      <c r="L66" s="313">
        <f>VLOOKUP($A66&amp;"CP LF",'E11 - 2012 09 Final'!$A$46:$P$2419,$L$51,FALSE)</f>
        <v>0.64570000000000005</v>
      </c>
      <c r="M66" s="313">
        <f>VLOOKUP($A66&amp;"CP LF",'E11 - 2012 09 Final'!$A$46:$P$2419,$M$51,FALSE)</f>
        <v>0.64900000000000002</v>
      </c>
      <c r="N66" s="313">
        <f>VLOOKUP($A66&amp;"CP LF",'E11 - 2012 09 Final'!$A$46:$P$2419,$N$51,FALSE)</f>
        <v>0.63939999999999997</v>
      </c>
      <c r="O66" s="117"/>
      <c r="P66" s="314"/>
    </row>
    <row r="67" spans="1:16">
      <c r="A67" s="307" t="s">
        <v>35</v>
      </c>
      <c r="B67" s="43" t="s">
        <v>53</v>
      </c>
      <c r="C67" s="313">
        <f>VLOOKUP($A67&amp;"CP LF",'E11 - 2012 09 Final'!$A$46:$P$2419,$C$51,FALSE)</f>
        <v>4.7222</v>
      </c>
      <c r="D67" s="313">
        <f>VLOOKUP($A67&amp;"CP LF",'E11 - 2012 09 Final'!$A$46:$P$2419,$D$51,FALSE)</f>
        <v>0</v>
      </c>
      <c r="E67" s="313">
        <f>VLOOKUP($A67&amp;"CP LF",'E11 - 2012 09 Final'!$A$46:$P$2419,$E$51,FALSE)</f>
        <v>0</v>
      </c>
      <c r="F67" s="313">
        <f>VLOOKUP($A67&amp;"CP LF",'E11 - 2012 09 Final'!$A$46:$P$2419,$F$51,FALSE)</f>
        <v>0</v>
      </c>
      <c r="G67" s="313">
        <f>VLOOKUP($A67&amp;"CP LF",'E11 - 2012 09 Final'!$A$46:$P$2419,$G$51,FALSE)</f>
        <v>0</v>
      </c>
      <c r="H67" s="313">
        <f>VLOOKUP($A67&amp;"CP LF",'E11 - 2012 09 Final'!$A$46:$P$2419,$H$51,FALSE)</f>
        <v>0</v>
      </c>
      <c r="I67" s="313">
        <f>VLOOKUP($A67&amp;"CP LF",'E11 - 2012 09 Final'!$A$46:$P$2419,$I$51,FALSE)</f>
        <v>0</v>
      </c>
      <c r="J67" s="313">
        <f>VLOOKUP($A67&amp;"CP LF",'E11 - 2012 09 Final'!$A$46:$P$2419,$J$51,FALSE)</f>
        <v>0</v>
      </c>
      <c r="K67" s="313">
        <f>VLOOKUP($A67&amp;"CP LF",'E11 - 2012 09 Final'!$A$46:$P$2419,$K$51,FALSE)</f>
        <v>0</v>
      </c>
      <c r="L67" s="313">
        <f>VLOOKUP($A67&amp;"CP LF",'E11 - 2012 09 Final'!$A$46:$P$2419,$L$51,FALSE)</f>
        <v>0</v>
      </c>
      <c r="M67" s="313">
        <f>VLOOKUP($A67&amp;"CP LF",'E11 - 2012 09 Final'!$A$46:$P$2419,$M$51,FALSE)</f>
        <v>0.54569999999999996</v>
      </c>
      <c r="N67" s="313">
        <f>VLOOKUP($A67&amp;"CP LF",'E11 - 2012 09 Final'!$A$46:$P$2419,$N$51,FALSE)</f>
        <v>0.55869999999999997</v>
      </c>
      <c r="O67" s="117"/>
      <c r="P67" s="314"/>
    </row>
    <row r="68" spans="1:16">
      <c r="A68" s="307" t="s">
        <v>38</v>
      </c>
      <c r="B68" s="43" t="s">
        <v>55</v>
      </c>
      <c r="C68" s="313">
        <f>VLOOKUP($A68&amp;"CP LF",'E11 - 2012 09 Final'!$A$46:$P$2419,$C$51,FALSE)</f>
        <v>1</v>
      </c>
      <c r="D68" s="313">
        <f>VLOOKUP($A68&amp;"CP LF",'E11 - 2012 09 Final'!$A$46:$P$2419,$D$51,FALSE)</f>
        <v>1</v>
      </c>
      <c r="E68" s="313">
        <f>VLOOKUP($A68&amp;"CP LF",'E11 - 2012 09 Final'!$A$46:$P$2419,$E$51,FALSE)</f>
        <v>1</v>
      </c>
      <c r="F68" s="313">
        <f>VLOOKUP($A68&amp;"CP LF",'E11 - 2012 09 Final'!$A$46:$P$2419,$F$51,FALSE)</f>
        <v>1</v>
      </c>
      <c r="G68" s="313">
        <f>VLOOKUP($A68&amp;"CP LF",'E11 - 2012 09 Final'!$A$46:$P$2419,$G$51,FALSE)</f>
        <v>1</v>
      </c>
      <c r="H68" s="313">
        <f>VLOOKUP($A68&amp;"CP LF",'E11 - 2012 09 Final'!$A$46:$P$2419,$H$51,FALSE)</f>
        <v>1</v>
      </c>
      <c r="I68" s="313">
        <f>VLOOKUP($A68&amp;"CP LF",'E11 - 2012 09 Final'!$A$46:$P$2419,$I$51,FALSE)</f>
        <v>1</v>
      </c>
      <c r="J68" s="313">
        <f>VLOOKUP($A68&amp;"CP LF",'E11 - 2012 09 Final'!$A$46:$P$2419,$J$51,FALSE)</f>
        <v>1</v>
      </c>
      <c r="K68" s="313">
        <f>VLOOKUP($A68&amp;"CP LF",'E11 - 2012 09 Final'!$A$46:$P$2419,$K$51,FALSE)</f>
        <v>1</v>
      </c>
      <c r="L68" s="313">
        <f>VLOOKUP($A68&amp;"CP LF",'E11 - 2012 09 Final'!$A$46:$P$2419,$L$51,FALSE)</f>
        <v>1</v>
      </c>
      <c r="M68" s="313">
        <f>VLOOKUP($A68&amp;"CP LF",'E11 - 2012 09 Final'!$A$46:$P$2419,$M$51,FALSE)</f>
        <v>0.99860000000000004</v>
      </c>
      <c r="N68" s="313">
        <f>VLOOKUP($A68&amp;"CP LF",'E11 - 2012 09 Final'!$A$46:$P$2419,$N$51,FALSE)</f>
        <v>1</v>
      </c>
      <c r="O68" s="117"/>
      <c r="P68" s="314"/>
    </row>
    <row r="69" spans="1:16">
      <c r="A69" t="s">
        <v>40</v>
      </c>
      <c r="B69" s="43" t="s">
        <v>87</v>
      </c>
      <c r="C69" s="313">
        <f>VLOOKUP($A69&amp;"CP LF",'E11 - 2012 09 Final'!$A$46:$P$2419,$C$51,FALSE)</f>
        <v>0</v>
      </c>
      <c r="D69" s="313">
        <f>VLOOKUP($A69&amp;"CP LF",'E11 - 2012 09 Final'!$A$46:$P$2419,$D$51,FALSE)</f>
        <v>0</v>
      </c>
      <c r="E69" s="313">
        <f>VLOOKUP($A69&amp;"CP LF",'E11 - 2012 09 Final'!$A$46:$P$2419,$E$51,FALSE)</f>
        <v>0.84030000000000005</v>
      </c>
      <c r="F69" s="313">
        <f>VLOOKUP($A69&amp;"CP LF",'E11 - 2012 09 Final'!$A$46:$P$2419,$F$51,FALSE)</f>
        <v>0.92110000000000003</v>
      </c>
      <c r="G69" s="313">
        <f>VLOOKUP($A69&amp;"CP LF",'E11 - 2012 09 Final'!$A$46:$P$2419,$G$51,FALSE)</f>
        <v>0.7379</v>
      </c>
      <c r="H69" s="313">
        <f>VLOOKUP($A69&amp;"CP LF",'E11 - 2012 09 Final'!$A$46:$P$2419,$H$51,FALSE)</f>
        <v>0.69640000000000002</v>
      </c>
      <c r="I69" s="313">
        <f>VLOOKUP($A69&amp;"CP LF",'E11 - 2012 09 Final'!$A$46:$P$2419,$I$51,FALSE)</f>
        <v>0.78359999999999996</v>
      </c>
      <c r="J69" s="313">
        <f>VLOOKUP($A69&amp;"CP LF",'E11 - 2012 09 Final'!$A$46:$P$2419,$J$51,FALSE)</f>
        <v>0.77639999999999998</v>
      </c>
      <c r="K69" s="313">
        <f>VLOOKUP($A69&amp;"CP LF",'E11 - 2012 09 Final'!$A$46:$P$2419,$K$51,FALSE)</f>
        <v>2.9742000000000002</v>
      </c>
      <c r="L69" s="313">
        <f>VLOOKUP($A69&amp;"CP LF",'E11 - 2012 09 Final'!$A$46:$P$2419,$L$51,FALSE)</f>
        <v>0.3669</v>
      </c>
      <c r="M69" s="313">
        <f>VLOOKUP($A69&amp;"CP LF",'E11 - 2012 09 Final'!$A$46:$P$2419,$M$51,FALSE)</f>
        <v>0.16450000000000001</v>
      </c>
      <c r="N69" s="313">
        <f>VLOOKUP($A69&amp;"CP LF",'E11 - 2012 09 Final'!$A$46:$P$2419,$N$51,FALSE)</f>
        <v>1.3023</v>
      </c>
      <c r="O69" s="117"/>
      <c r="P69" s="314"/>
    </row>
    <row r="70" spans="1:16">
      <c r="A70" t="s">
        <v>45</v>
      </c>
      <c r="B70" s="43" t="s">
        <v>88</v>
      </c>
      <c r="C70" s="313">
        <f>VLOOKUP($A70&amp;"CP LF",'E11 - 2012 09 Final'!$A$46:$P$2419,$C$51,FALSE)</f>
        <v>0.58299999999999996</v>
      </c>
      <c r="D70" s="313">
        <f>VLOOKUP($A70&amp;"CP LF",'E11 - 2012 09 Final'!$A$46:$P$2419,$D$51,FALSE)</f>
        <v>1.0995999999999999</v>
      </c>
      <c r="E70" s="313">
        <f>VLOOKUP($A70&amp;"CP LF",'E11 - 2012 09 Final'!$A$46:$P$2419,$E$51,FALSE)</f>
        <v>0.63060000000000005</v>
      </c>
      <c r="F70" s="313">
        <f>VLOOKUP($A70&amp;"CP LF",'E11 - 2012 09 Final'!$A$46:$P$2419,$F$51,FALSE)</f>
        <v>32.7498</v>
      </c>
      <c r="G70" s="313">
        <f>VLOOKUP($A70&amp;"CP LF",'E11 - 2012 09 Final'!$A$46:$P$2419,$G$51,FALSE)</f>
        <v>1.1923999999999999</v>
      </c>
      <c r="H70" s="313">
        <f>VLOOKUP($A70&amp;"CP LF",'E11 - 2012 09 Final'!$A$46:$P$2419,$H$51,FALSE)</f>
        <v>1.7798</v>
      </c>
      <c r="I70" s="313">
        <f>VLOOKUP($A70&amp;"CP LF",'E11 - 2012 09 Final'!$A$46:$P$2419,$I$51,FALSE)</f>
        <v>0.6099</v>
      </c>
      <c r="J70" s="313">
        <f>VLOOKUP($A70&amp;"CP LF",'E11 - 2012 09 Final'!$A$46:$P$2419,$J$51,FALSE)</f>
        <v>2.0154999999999998</v>
      </c>
      <c r="K70" s="313">
        <f>VLOOKUP($A70&amp;"CP LF",'E11 - 2012 09 Final'!$A$46:$P$2419,$K$51,FALSE)</f>
        <v>0.74619999999999997</v>
      </c>
      <c r="L70" s="313">
        <f>VLOOKUP($A70&amp;"CP LF",'E11 - 2012 09 Final'!$A$46:$P$2419,$L$51,FALSE)</f>
        <v>5.5229999999999997</v>
      </c>
      <c r="M70" s="313">
        <f>VLOOKUP($A70&amp;"CP LF",'E11 - 2012 09 Final'!$A$46:$P$2419,$M$51,FALSE)</f>
        <v>1.8842000000000001</v>
      </c>
      <c r="N70" s="313">
        <f>VLOOKUP($A70&amp;"CP LF",'E11 - 2012 09 Final'!$A$46:$P$2419,$N$51,FALSE)</f>
        <v>1.5677000000000001</v>
      </c>
      <c r="O70" s="117"/>
      <c r="P70" s="314"/>
    </row>
    <row r="71" spans="1:16">
      <c r="C71" s="48"/>
      <c r="D71" s="48"/>
      <c r="E71" s="48"/>
      <c r="F71" s="48"/>
      <c r="G71" s="48"/>
      <c r="H71" s="48"/>
      <c r="I71" s="48"/>
      <c r="J71" s="48"/>
      <c r="K71" s="48"/>
      <c r="L71" s="48"/>
      <c r="M71" s="48"/>
      <c r="N71" s="48"/>
      <c r="O71" s="315"/>
      <c r="P71" s="316"/>
    </row>
    <row r="72" spans="1:16">
      <c r="C72" s="48"/>
      <c r="D72" s="48"/>
      <c r="E72" s="48"/>
      <c r="F72" s="48"/>
      <c r="G72" s="48"/>
      <c r="H72" s="48"/>
      <c r="I72" s="48"/>
      <c r="J72" s="48"/>
      <c r="K72" s="48"/>
      <c r="L72" s="48"/>
      <c r="M72" s="48"/>
      <c r="N72" s="48"/>
      <c r="O72" s="315"/>
      <c r="P72" s="316"/>
    </row>
    <row r="73" spans="1:16">
      <c r="B73" s="42" t="s">
        <v>86</v>
      </c>
      <c r="C73" s="10"/>
      <c r="D73" s="10"/>
      <c r="E73" s="10"/>
      <c r="F73" s="10"/>
      <c r="G73" s="10"/>
      <c r="H73" s="10"/>
      <c r="I73" s="10"/>
      <c r="J73" s="10"/>
      <c r="K73" s="10"/>
      <c r="L73" s="10"/>
      <c r="M73" s="10"/>
      <c r="N73" s="10"/>
      <c r="O73" s="110"/>
      <c r="P73" s="110"/>
    </row>
    <row r="74" spans="1:16">
      <c r="A74" t="s">
        <v>603</v>
      </c>
      <c r="B74" s="43" t="s">
        <v>603</v>
      </c>
      <c r="C74" s="313" t="str">
        <f>VLOOKUP($A74&amp;"CP LF",'E11 - 2012 09 Final'!$A$46:$P$2419,$C$51,FALSE)</f>
        <v xml:space="preserve"> </v>
      </c>
      <c r="D74" s="313" t="str">
        <f>VLOOKUP($A74&amp;"CP LF",'E11 - 2012 09 Final'!$A$46:$P$2419,$D$51,FALSE)</f>
        <v xml:space="preserve"> </v>
      </c>
      <c r="E74" s="313" t="str">
        <f>VLOOKUP($A74&amp;"CP LF",'E11 - 2012 09 Final'!$A$46:$P$2419,$E$51,FALSE)</f>
        <v xml:space="preserve"> </v>
      </c>
      <c r="F74" s="313" t="str">
        <f>VLOOKUP($A74&amp;"CP LF",'E11 - 2012 09 Final'!$A$46:$P$2419,$F$51,FALSE)</f>
        <v xml:space="preserve"> </v>
      </c>
      <c r="G74" s="313">
        <f>VLOOKUP($A74&amp;"CP LF",'E11 - 2012 09 Final'!$A$46:$P$2419,$G$51,FALSE)</f>
        <v>0.58040000000000003</v>
      </c>
      <c r="H74" s="313">
        <f>VLOOKUP($A74&amp;"CP LF",'E11 - 2012 09 Final'!$A$46:$P$2419,$H$51,FALSE)</f>
        <v>0.6613</v>
      </c>
      <c r="I74" s="313">
        <f>VLOOKUP($A74&amp;"CP LF",'E11 - 2012 09 Final'!$A$46:$P$2419,$I$51,FALSE)</f>
        <v>0.73370000000000002</v>
      </c>
      <c r="J74" s="313">
        <f>VLOOKUP($A74&amp;"CP LF",'E11 - 2012 09 Final'!$A$46:$P$2419,$J$51,FALSE)</f>
        <v>0.83950000000000002</v>
      </c>
      <c r="K74" s="313">
        <f>VLOOKUP($A74&amp;"CP LF",'E11 - 2012 09 Final'!$A$46:$P$2419,$K$51,FALSE)</f>
        <v>0.72470000000000001</v>
      </c>
      <c r="L74" s="313">
        <f>VLOOKUP($A74&amp;"CP LF",'E11 - 2012 09 Final'!$A$46:$P$2419,$L$51,FALSE)</f>
        <v>0.68589999999999995</v>
      </c>
      <c r="M74" s="313">
        <f>VLOOKUP($A74&amp;"CP LF",'E11 - 2012 09 Final'!$A$46:$P$2419,$M$51,FALSE)</f>
        <v>0.86309999999999998</v>
      </c>
      <c r="N74" s="313">
        <f>VLOOKUP($A74&amp;"CP LF",'E11 - 2012 09 Final'!$A$46:$P$2419,$N$51,FALSE)</f>
        <v>0.87039999999999995</v>
      </c>
      <c r="O74" s="117"/>
      <c r="P74" s="314"/>
    </row>
    <row r="75" spans="1:16">
      <c r="A75" t="s">
        <v>245</v>
      </c>
      <c r="B75" s="43" t="s">
        <v>983</v>
      </c>
      <c r="C75" s="313">
        <f>VLOOKUP($A75&amp;"CP LF",'E11 - 2012 09 Final'!$A$46:$P$2419,$C$51,FALSE)</f>
        <v>0.69840000000000002</v>
      </c>
      <c r="D75" s="313">
        <f>VLOOKUP($A75&amp;"CP LF",'E11 - 2012 09 Final'!$A$46:$P$2419,$D$51,FALSE)</f>
        <v>0.67789999999999995</v>
      </c>
      <c r="E75" s="313">
        <f>VLOOKUP($A75&amp;"CP LF",'E11 - 2012 09 Final'!$A$46:$P$2419,$E$51,FALSE)</f>
        <v>0.77429999999999999</v>
      </c>
      <c r="F75" s="313">
        <f>VLOOKUP($A75&amp;"CP LF",'E11 - 2012 09 Final'!$A$46:$P$2419,$F$51,FALSE)</f>
        <v>0.67190000000000005</v>
      </c>
      <c r="G75" s="313">
        <f>VLOOKUP($A75&amp;"CP LF",'E11 - 2012 09 Final'!$A$46:$P$2419,$G$51,FALSE)</f>
        <v>0.71579999999999999</v>
      </c>
      <c r="H75" s="313">
        <f>VLOOKUP($A75&amp;"CP LF",'E11 - 2012 09 Final'!$A$46:$P$2419,$H$51,FALSE)</f>
        <v>0.79339999999999999</v>
      </c>
      <c r="I75" s="313">
        <f>VLOOKUP($A75&amp;"CP LF",'E11 - 2012 09 Final'!$A$46:$P$2419,$I$51,FALSE)</f>
        <v>0.71289999999999998</v>
      </c>
      <c r="J75" s="313">
        <f>VLOOKUP($A75&amp;"CP LF",'E11 - 2012 09 Final'!$A$46:$P$2419,$J$51,FALSE)</f>
        <v>0.7278</v>
      </c>
      <c r="K75" s="313">
        <f>VLOOKUP($A75&amp;"CP LF",'E11 - 2012 09 Final'!$A$46:$P$2419,$K$51,FALSE)</f>
        <v>0.69399999999999995</v>
      </c>
      <c r="L75" s="313">
        <f>VLOOKUP($A75&amp;"CP LF",'E11 - 2012 09 Final'!$A$46:$P$2419,$L$51,FALSE)</f>
        <v>0.66749999999999998</v>
      </c>
      <c r="M75" s="313">
        <f>VLOOKUP($A75&amp;"CP LF",'E11 - 2012 09 Final'!$A$46:$P$2419,$M$51,FALSE)</f>
        <v>0.74409999999999998</v>
      </c>
      <c r="N75" s="313">
        <f>VLOOKUP($A75&amp;"CP LF",'E11 - 2012 09 Final'!$A$46:$P$2419,$N$51,FALSE)</f>
        <v>0.71819999999999995</v>
      </c>
      <c r="O75" s="117"/>
      <c r="P75" s="314"/>
    </row>
    <row r="76" spans="1:16">
      <c r="A76" t="s">
        <v>242</v>
      </c>
      <c r="B76" s="43" t="s">
        <v>491</v>
      </c>
      <c r="C76" s="313">
        <f>VLOOKUP($A76&amp;"CP LF",'E11 - 2012 09 Final'!$A$46:$P$2419,$C$51,FALSE)</f>
        <v>0.48120000000000002</v>
      </c>
      <c r="D76" s="313">
        <f>VLOOKUP($A76&amp;"CP LF",'E11 - 2012 09 Final'!$A$46:$P$2419,$D$51,FALSE)</f>
        <v>0.5101</v>
      </c>
      <c r="E76" s="313">
        <f>VLOOKUP($A76&amp;"CP LF",'E11 - 2012 09 Final'!$A$46:$P$2419,$E$51,FALSE)</f>
        <v>0.51139999999999997</v>
      </c>
      <c r="F76" s="313">
        <f>VLOOKUP($A76&amp;"CP LF",'E11 - 2012 09 Final'!$A$46:$P$2419,$F$51,FALSE)</f>
        <v>0.53190000000000004</v>
      </c>
      <c r="G76" s="313">
        <f>VLOOKUP($A76&amp;"CP LF",'E11 - 2012 09 Final'!$A$46:$P$2419,$G$51,FALSE)</f>
        <v>0.6008</v>
      </c>
      <c r="H76" s="313">
        <f>VLOOKUP($A76&amp;"CP LF",'E11 - 2012 09 Final'!$A$46:$P$2419,$H$51,FALSE)</f>
        <v>0.65</v>
      </c>
      <c r="I76" s="313">
        <f>VLOOKUP($A76&amp;"CP LF",'E11 - 2012 09 Final'!$A$46:$P$2419,$I$51,FALSE)</f>
        <v>0.6613</v>
      </c>
      <c r="J76" s="313">
        <f>VLOOKUP($A76&amp;"CP LF",'E11 - 2012 09 Final'!$A$46:$P$2419,$J$51,FALSE)</f>
        <v>0.68149999999999999</v>
      </c>
      <c r="K76" s="313">
        <f>VLOOKUP($A76&amp;"CP LF",'E11 - 2012 09 Final'!$A$46:$P$2419,$K$51,FALSE)</f>
        <v>0.65</v>
      </c>
      <c r="L76" s="313">
        <f>VLOOKUP($A76&amp;"CP LF",'E11 - 2012 09 Final'!$A$46:$P$2419,$L$51,FALSE)</f>
        <v>0.57930000000000004</v>
      </c>
      <c r="M76" s="313">
        <f>VLOOKUP($A76&amp;"CP LF",'E11 - 2012 09 Final'!$A$46:$P$2419,$M$51,FALSE)</f>
        <v>0.5111</v>
      </c>
      <c r="N76" s="313">
        <f>VLOOKUP($A76&amp;"CP LF",'E11 - 2012 09 Final'!$A$46:$P$2419,$N$51,FALSE)</f>
        <v>0.48120000000000002</v>
      </c>
      <c r="O76" s="117"/>
      <c r="P76" s="314"/>
    </row>
    <row r="77" spans="1:16">
      <c r="A77" t="s">
        <v>661</v>
      </c>
      <c r="B77" s="43" t="s">
        <v>984</v>
      </c>
      <c r="C77" s="313">
        <f>VLOOKUP($A77&amp;"CP LF",'E11 - 2012 09 Final'!$A$46:$P$2419,$C$51,FALSE)</f>
        <v>0.53769999999999996</v>
      </c>
      <c r="D77" s="313">
        <f>VLOOKUP($A77&amp;"CP LF",'E11 - 2012 09 Final'!$A$46:$P$2419,$D$51,FALSE)</f>
        <v>0.69879999999999998</v>
      </c>
      <c r="E77" s="313">
        <f>VLOOKUP($A77&amp;"CP LF",'E11 - 2012 09 Final'!$A$46:$P$2419,$E$51,FALSE)</f>
        <v>0.69440000000000002</v>
      </c>
      <c r="F77" s="313">
        <f>VLOOKUP($A77&amp;"CP LF",'E11 - 2012 09 Final'!$A$46:$P$2419,$F$51,FALSE)</f>
        <v>0.64270000000000005</v>
      </c>
      <c r="G77" s="313">
        <f>VLOOKUP($A77&amp;"CP LF",'E11 - 2012 09 Final'!$A$46:$P$2419,$G$51,FALSE)</f>
        <v>0.6804</v>
      </c>
      <c r="H77" s="313">
        <f>VLOOKUP($A77&amp;"CP LF",'E11 - 2012 09 Final'!$A$46:$P$2419,$H$51,FALSE)</f>
        <v>0.70920000000000005</v>
      </c>
      <c r="I77" s="313">
        <f>VLOOKUP($A77&amp;"CP LF",'E11 - 2012 09 Final'!$A$46:$P$2419,$I$51,FALSE)</f>
        <v>0.67069999999999996</v>
      </c>
      <c r="J77" s="313">
        <f>VLOOKUP($A77&amp;"CP LF",'E11 - 2012 09 Final'!$A$46:$P$2419,$J$51,FALSE)</f>
        <v>0.69399999999999995</v>
      </c>
      <c r="K77" s="313">
        <f>VLOOKUP($A77&amp;"CP LF",'E11 - 2012 09 Final'!$A$46:$P$2419,$K$51,FALSE)</f>
        <v>0.67559999999999998</v>
      </c>
      <c r="L77" s="313">
        <f>VLOOKUP($A77&amp;"CP LF",'E11 - 2012 09 Final'!$A$46:$P$2419,$L$51,FALSE)</f>
        <v>0.63429999999999997</v>
      </c>
      <c r="M77" s="313">
        <f>VLOOKUP($A77&amp;"CP LF",'E11 - 2012 09 Final'!$A$46:$P$2419,$M$51,FALSE)</f>
        <v>0.74619999999999997</v>
      </c>
      <c r="N77" s="313">
        <f>VLOOKUP($A77&amp;"CP LF",'E11 - 2012 09 Final'!$A$46:$P$2419,$N$51,FALSE)</f>
        <v>0.67400000000000004</v>
      </c>
      <c r="O77" s="117"/>
      <c r="P77" s="314"/>
    </row>
    <row r="78" spans="1:16">
      <c r="A78" t="s">
        <v>7</v>
      </c>
      <c r="B78" s="43" t="s">
        <v>987</v>
      </c>
      <c r="C78" s="313">
        <f>VLOOKUP($A78&amp;"CP LF",'E11 - 2012 09 Final'!$A$46:$P$2419,$C$51,FALSE)</f>
        <v>0.78759999999999997</v>
      </c>
      <c r="D78" s="313">
        <f>VLOOKUP($A78&amp;"CP LF",'E11 - 2012 09 Final'!$A$46:$P$2419,$D$51,FALSE)</f>
        <v>0.57050000000000001</v>
      </c>
      <c r="E78" s="313">
        <f>VLOOKUP($A78&amp;"CP LF",'E11 - 2012 09 Final'!$A$46:$P$2419,$E$51,FALSE)</f>
        <v>2.1840000000000002</v>
      </c>
      <c r="F78" s="313">
        <f>VLOOKUP($A78&amp;"CP LF",'E11 - 2012 09 Final'!$A$46:$P$2419,$F$51,FALSE)</f>
        <v>1.2199</v>
      </c>
      <c r="G78" s="313">
        <f>VLOOKUP($A78&amp;"CP LF",'E11 - 2012 09 Final'!$A$46:$P$2419,$G$51,FALSE)</f>
        <v>0.78069999999999995</v>
      </c>
      <c r="H78" s="313">
        <f>VLOOKUP($A78&amp;"CP LF",'E11 - 2012 09 Final'!$A$46:$P$2419,$H$51,FALSE)</f>
        <v>0.82430000000000003</v>
      </c>
      <c r="I78" s="313">
        <f>VLOOKUP($A78&amp;"CP LF",'E11 - 2012 09 Final'!$A$46:$P$2419,$I$51,FALSE)</f>
        <v>1.2324999999999999</v>
      </c>
      <c r="J78" s="313">
        <f>VLOOKUP($A78&amp;"CP LF",'E11 - 2012 09 Final'!$A$46:$P$2419,$J$51,FALSE)</f>
        <v>1.8427</v>
      </c>
      <c r="K78" s="313">
        <f>VLOOKUP($A78&amp;"CP LF",'E11 - 2012 09 Final'!$A$46:$P$2419,$K$51,FALSE)</f>
        <v>0.97650000000000003</v>
      </c>
      <c r="L78" s="313">
        <f>VLOOKUP($A78&amp;"CP LF",'E11 - 2012 09 Final'!$A$46:$P$2419,$L$51,FALSE)</f>
        <v>1.9484999999999999</v>
      </c>
      <c r="M78" s="313">
        <f>VLOOKUP($A78&amp;"CP LF",'E11 - 2012 09 Final'!$A$46:$P$2419,$M$51,FALSE)</f>
        <v>1.1818</v>
      </c>
      <c r="N78" s="313">
        <f>VLOOKUP($A78&amp;"CP LF",'E11 - 2012 09 Final'!$A$46:$P$2419,$N$51,FALSE)</f>
        <v>1.2114</v>
      </c>
      <c r="O78" s="117"/>
      <c r="P78" s="314"/>
    </row>
    <row r="79" spans="1:16">
      <c r="A79" t="s">
        <v>724</v>
      </c>
      <c r="B79" s="43" t="s">
        <v>724</v>
      </c>
      <c r="C79" s="313">
        <f>VLOOKUP($A79&amp;"CP LF",'E11 - 2012 09 Final'!$A$46:$P$2419,$C$51,FALSE)</f>
        <v>0.48080000000000001</v>
      </c>
      <c r="D79" s="313">
        <f>VLOOKUP($A79&amp;"CP LF",'E11 - 2012 09 Final'!$A$46:$P$2419,$D$51,FALSE)</f>
        <v>0.64449999999999996</v>
      </c>
      <c r="E79" s="313">
        <f>VLOOKUP($A79&amp;"CP LF",'E11 - 2012 09 Final'!$A$46:$P$2419,$E$51,FALSE)</f>
        <v>0.62290000000000001</v>
      </c>
      <c r="F79" s="313">
        <f>VLOOKUP($A79&amp;"CP LF",'E11 - 2012 09 Final'!$A$46:$P$2419,$F$51,FALSE)</f>
        <v>0.62770000000000004</v>
      </c>
      <c r="G79" s="313">
        <f>VLOOKUP($A79&amp;"CP LF",'E11 - 2012 09 Final'!$A$46:$P$2419,$G$51,FALSE)</f>
        <v>0.62649999999999995</v>
      </c>
      <c r="H79" s="313">
        <f>VLOOKUP($A79&amp;"CP LF",'E11 - 2012 09 Final'!$A$46:$P$2419,$H$51,FALSE)</f>
        <v>0.64949999999999997</v>
      </c>
      <c r="I79" s="313">
        <f>VLOOKUP($A79&amp;"CP LF",'E11 - 2012 09 Final'!$A$46:$P$2419,$I$51,FALSE)</f>
        <v>0.66210000000000002</v>
      </c>
      <c r="J79" s="313">
        <f>VLOOKUP($A79&amp;"CP LF",'E11 - 2012 09 Final'!$A$46:$P$2419,$J$51,FALSE)</f>
        <v>0.65280000000000005</v>
      </c>
      <c r="K79" s="313">
        <f>VLOOKUP($A79&amp;"CP LF",'E11 - 2012 09 Final'!$A$46:$P$2419,$K$51,FALSE)</f>
        <v>0.73750000000000004</v>
      </c>
      <c r="L79" s="313">
        <f>VLOOKUP($A79&amp;"CP LF",'E11 - 2012 09 Final'!$A$46:$P$2419,$L$51,FALSE)</f>
        <v>0.624</v>
      </c>
      <c r="M79" s="313">
        <f>VLOOKUP($A79&amp;"CP LF",'E11 - 2012 09 Final'!$A$46:$P$2419,$M$51,FALSE)</f>
        <v>0.74450000000000005</v>
      </c>
      <c r="N79" s="313">
        <f>VLOOKUP($A79&amp;"CP LF",'E11 - 2012 09 Final'!$A$46:$P$2419,$N$51,FALSE)</f>
        <v>0.6734</v>
      </c>
      <c r="O79" s="117"/>
      <c r="P79" s="314"/>
    </row>
    <row r="88" spans="1:16" ht="21">
      <c r="B88" s="611" t="s">
        <v>158</v>
      </c>
      <c r="C88" s="611"/>
      <c r="D88" s="611"/>
      <c r="E88" s="611"/>
      <c r="F88" s="611"/>
      <c r="G88" s="611"/>
      <c r="H88" s="611"/>
      <c r="I88" s="611"/>
      <c r="J88" s="611"/>
      <c r="K88" s="611"/>
      <c r="L88" s="611"/>
      <c r="M88" s="611"/>
      <c r="N88" s="611"/>
      <c r="O88" s="611"/>
      <c r="P88" s="611"/>
    </row>
    <row r="89" spans="1:16" ht="17.399999999999999">
      <c r="B89" s="610" t="str">
        <f>+MANUAL!$B$6 &amp;" as Calculated by LodeStar Except as Noted"</f>
        <v>2013 as Calculated by LodeStar Except as Noted</v>
      </c>
      <c r="C89" s="610"/>
      <c r="D89" s="610"/>
      <c r="E89" s="610"/>
      <c r="F89" s="610"/>
      <c r="G89" s="610"/>
      <c r="H89" s="610"/>
      <c r="I89" s="610"/>
      <c r="J89" s="610"/>
      <c r="K89" s="610"/>
      <c r="L89" s="610"/>
      <c r="M89" s="610"/>
      <c r="N89" s="610"/>
      <c r="O89" s="610"/>
      <c r="P89" s="610"/>
    </row>
    <row r="90" spans="1:16" ht="13.8" thickBot="1">
      <c r="B90" s="300"/>
      <c r="C90" s="300"/>
      <c r="D90" s="300"/>
      <c r="E90" s="300"/>
      <c r="F90" s="300"/>
      <c r="G90" s="300"/>
      <c r="H90" s="300"/>
      <c r="I90" s="300"/>
      <c r="J90" s="300"/>
      <c r="K90" s="300"/>
      <c r="L90" s="300"/>
      <c r="M90" s="300"/>
      <c r="N90" s="300"/>
      <c r="O90" s="300"/>
      <c r="P90" s="300"/>
    </row>
    <row r="91" spans="1:16">
      <c r="C91" s="14"/>
      <c r="D91" s="15"/>
      <c r="E91" s="16"/>
      <c r="F91" s="17"/>
      <c r="G91" s="18"/>
      <c r="H91" s="19"/>
      <c r="I91" s="20"/>
      <c r="J91" s="21"/>
      <c r="K91" s="22"/>
      <c r="L91" s="23"/>
      <c r="M91" s="24"/>
      <c r="N91" s="317"/>
      <c r="O91" s="110"/>
      <c r="P91" s="305"/>
    </row>
    <row r="92" spans="1:16" ht="13.8" thickBot="1">
      <c r="C92" s="28" t="s">
        <v>70</v>
      </c>
      <c r="D92" s="29" t="s">
        <v>71</v>
      </c>
      <c r="E92" s="30" t="s">
        <v>72</v>
      </c>
      <c r="F92" s="31" t="s">
        <v>73</v>
      </c>
      <c r="G92" s="32" t="s">
        <v>74</v>
      </c>
      <c r="H92" s="33" t="s">
        <v>75</v>
      </c>
      <c r="I92" s="34" t="s">
        <v>76</v>
      </c>
      <c r="J92" s="35" t="s">
        <v>77</v>
      </c>
      <c r="K92" s="36" t="s">
        <v>78</v>
      </c>
      <c r="L92" s="37" t="s">
        <v>79</v>
      </c>
      <c r="M92" s="38" t="s">
        <v>80</v>
      </c>
      <c r="N92" s="318" t="s">
        <v>81</v>
      </c>
      <c r="O92" s="305"/>
      <c r="P92" s="305"/>
    </row>
    <row r="93" spans="1:16" hidden="1">
      <c r="C93">
        <v>4</v>
      </c>
      <c r="D93">
        <f>C93+1</f>
        <v>5</v>
      </c>
      <c r="E93">
        <f t="shared" ref="E93:N93" si="7">D93+1</f>
        <v>6</v>
      </c>
      <c r="F93">
        <f t="shared" si="7"/>
        <v>7</v>
      </c>
      <c r="G93">
        <f t="shared" si="7"/>
        <v>8</v>
      </c>
      <c r="H93">
        <f t="shared" si="7"/>
        <v>9</v>
      </c>
      <c r="I93">
        <f t="shared" si="7"/>
        <v>10</v>
      </c>
      <c r="J93">
        <f t="shared" si="7"/>
        <v>11</v>
      </c>
      <c r="K93">
        <f t="shared" si="7"/>
        <v>12</v>
      </c>
      <c r="L93">
        <f t="shared" si="7"/>
        <v>13</v>
      </c>
      <c r="M93">
        <f t="shared" si="7"/>
        <v>14</v>
      </c>
      <c r="N93">
        <f t="shared" si="7"/>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13">
        <f>VLOOKUP($A96&amp;"CP LF",'E11 - 2013 09 Final'!$A$46:$P$1775,$C$93,FALSE)</f>
        <v>0.9052</v>
      </c>
      <c r="D96" s="313">
        <f>VLOOKUP($A96&amp;"CP LF",'E11 - 2013 09 Final'!$A$46:$P$1775,$D$93,FALSE)</f>
        <v>0.85229999999999995</v>
      </c>
      <c r="E96" s="313">
        <f>VLOOKUP($A96&amp;"CP LF",'E11 - 2013 09 Final'!$A$46:$P$1775,$E$93,FALSE)</f>
        <v>1.0053000000000001</v>
      </c>
      <c r="F96" s="313">
        <f>VLOOKUP($A96&amp;"CP LF",'E11 - 2013 09 Final'!$A$46:$P$1775,$F$93,FALSE)</f>
        <v>0.92100000000000004</v>
      </c>
      <c r="G96" s="313">
        <f>VLOOKUP($A96&amp;"CP LF",'E11 - 2013 09 Final'!$A$46:$P$1775,$G$93,FALSE)</f>
        <v>0.92630000000000001</v>
      </c>
      <c r="H96" s="313">
        <f>VLOOKUP($A96&amp;"CP LF",'E11 - 2013 09 Final'!$A$46:$P$1775,$H$93,FALSE)</f>
        <v>0.88670000000000004</v>
      </c>
      <c r="I96" s="313">
        <f>VLOOKUP($A96&amp;"CP LF",'E11 - 2013 09 Final'!$A$46:$P$1775,$I$93,FALSE)</f>
        <v>0.93500000000000005</v>
      </c>
      <c r="J96" s="313">
        <f>VLOOKUP($A96&amp;"CP LF",'E11 - 2013 09 Final'!$A$46:$P$1775,$J$93,FALSE)</f>
        <v>0.91490000000000005</v>
      </c>
      <c r="K96" s="313">
        <f>VLOOKUP($A96&amp;"CP LF",'E11 - 2013 09 Final'!$A$46:$P$1775,$K$93,FALSE)</f>
        <v>0.8962</v>
      </c>
      <c r="L96" s="313">
        <f>VLOOKUP($A96&amp;"CP LF",'E11 - 2013 09 Final'!$A$46:$P$1775,$L$93,FALSE)</f>
        <v>0.88790000000000002</v>
      </c>
      <c r="M96" s="313">
        <f>VLOOKUP($A96&amp;"CP LF",'E11 - 2013 09 Final'!$A$46:$P$1775,$M$93,FALSE)</f>
        <v>0.87919999999999998</v>
      </c>
      <c r="N96" s="313">
        <f>VLOOKUP($A96&amp;"CP LF",'E11 - 2013 09 Final'!$A$46:$P$1775,$N$93,FALSE)</f>
        <v>0.90839999999999999</v>
      </c>
      <c r="O96" s="117"/>
      <c r="P96" s="314"/>
    </row>
    <row r="97" spans="1:16">
      <c r="A97" t="s">
        <v>177</v>
      </c>
      <c r="B97" s="43" t="s">
        <v>85</v>
      </c>
      <c r="C97" s="313">
        <f>VLOOKUP($A97&amp;"CP LF",'E11 - 2013 09 Final'!$A$46:$P$1775,$C$93,FALSE)</f>
        <v>0.91139999999999999</v>
      </c>
      <c r="D97" s="313">
        <f>VLOOKUP($A97&amp;"CP LF",'E11 - 2013 09 Final'!$A$46:$P$1775,$D$93,FALSE)</f>
        <v>0.84919999999999995</v>
      </c>
      <c r="E97" s="313">
        <f>VLOOKUP($A97&amp;"CP LF",'E11 - 2013 09 Final'!$A$46:$P$1775,$E$93,FALSE)</f>
        <v>0.96150000000000002</v>
      </c>
      <c r="F97" s="313">
        <f>VLOOKUP($A97&amp;"CP LF",'E11 - 2013 09 Final'!$A$46:$P$1775,$F$93,FALSE)</f>
        <v>0.88629999999999998</v>
      </c>
      <c r="G97" s="313">
        <f>VLOOKUP($A97&amp;"CP LF",'E11 - 2013 09 Final'!$A$46:$P$1775,$G$93,FALSE)</f>
        <v>0.88890000000000002</v>
      </c>
      <c r="H97" s="313">
        <f>VLOOKUP($A97&amp;"CP LF",'E11 - 2013 09 Final'!$A$46:$P$1775,$H$93,FALSE)</f>
        <v>0.87980000000000003</v>
      </c>
      <c r="I97" s="313">
        <f>VLOOKUP($A97&amp;"CP LF",'E11 - 2013 09 Final'!$A$46:$P$1775,$I$93,FALSE)</f>
        <v>0.89390000000000003</v>
      </c>
      <c r="J97" s="313">
        <f>VLOOKUP($A97&amp;"CP LF",'E11 - 2013 09 Final'!$A$46:$P$1775,$J$93,FALSE)</f>
        <v>0.90920000000000001</v>
      </c>
      <c r="K97" s="313">
        <f>VLOOKUP($A97&amp;"CP LF",'E11 - 2013 09 Final'!$A$46:$P$1775,$K$93,FALSE)</f>
        <v>0.88260000000000005</v>
      </c>
      <c r="L97" s="313">
        <f>VLOOKUP($A97&amp;"CP LF",'E11 - 2013 09 Final'!$A$46:$P$1775,$L$93,FALSE)</f>
        <v>0.88390000000000002</v>
      </c>
      <c r="M97" s="313">
        <f>VLOOKUP($A97&amp;"CP LF",'E11 - 2013 09 Final'!$A$46:$P$1775,$M$93,FALSE)</f>
        <v>0.88890000000000002</v>
      </c>
      <c r="N97" s="313">
        <f>VLOOKUP($A97&amp;"CP LF",'E11 - 2013 09 Final'!$A$46:$P$1775,$N$93,FALSE)</f>
        <v>0.9264</v>
      </c>
      <c r="O97" s="117"/>
      <c r="P97" s="314"/>
    </row>
    <row r="98" spans="1:16">
      <c r="A98" t="s">
        <v>185</v>
      </c>
      <c r="B98" s="43" t="s">
        <v>50</v>
      </c>
      <c r="C98" s="313">
        <f>VLOOKUP($A98&amp;"CP LF",'E11 - 2013 09 Final'!$A$46:$P$1775,$C$93,FALSE)</f>
        <v>1.0362</v>
      </c>
      <c r="D98" s="313">
        <f>VLOOKUP($A98&amp;"CP LF",'E11 - 2013 09 Final'!$A$46:$P$1775,$D$93,FALSE)</f>
        <v>0.91869999999999996</v>
      </c>
      <c r="E98" s="313">
        <f>VLOOKUP($A98&amp;"CP LF",'E11 - 2013 09 Final'!$A$46:$P$1775,$E$93,FALSE)</f>
        <v>0.89729999999999999</v>
      </c>
      <c r="F98" s="313">
        <f>VLOOKUP($A98&amp;"CP LF",'E11 - 2013 09 Final'!$A$46:$P$1775,$F$93,FALSE)</f>
        <v>0.94240000000000002</v>
      </c>
      <c r="G98" s="313">
        <f>VLOOKUP($A98&amp;"CP LF",'E11 - 2013 09 Final'!$A$46:$P$1775,$G$93,FALSE)</f>
        <v>1.0003</v>
      </c>
      <c r="H98" s="313">
        <f>VLOOKUP($A98&amp;"CP LF",'E11 - 2013 09 Final'!$A$46:$P$1775,$H$93,FALSE)</f>
        <v>1.0016</v>
      </c>
      <c r="I98" s="313">
        <f>VLOOKUP($A98&amp;"CP LF",'E11 - 2013 09 Final'!$A$46:$P$1775,$I$93,FALSE)</f>
        <v>1.0609</v>
      </c>
      <c r="J98" s="313">
        <f>VLOOKUP($A98&amp;"CP LF",'E11 - 2013 09 Final'!$A$46:$P$1775,$J$93,FALSE)</f>
        <v>0.89629999999999999</v>
      </c>
      <c r="K98" s="313">
        <f>VLOOKUP($A98&amp;"CP LF",'E11 - 2013 09 Final'!$A$46:$P$1775,$K$93,FALSE)</f>
        <v>0.94820000000000004</v>
      </c>
      <c r="L98" s="313">
        <f>VLOOKUP($A98&amp;"CP LF",'E11 - 2013 09 Final'!$A$46:$P$1775,$L$93,FALSE)</f>
        <v>1.0004</v>
      </c>
      <c r="M98" s="313">
        <f>VLOOKUP($A98&amp;"CP LF",'E11 - 2013 09 Final'!$A$46:$P$1775,$M$93,FALSE)</f>
        <v>0.88670000000000004</v>
      </c>
      <c r="N98" s="313">
        <f>VLOOKUP($A98&amp;"CP LF",'E11 - 2013 09 Final'!$A$46:$P$1775,$N$93,FALSE)</f>
        <v>0.87760000000000005</v>
      </c>
      <c r="O98" s="117"/>
      <c r="P98" s="314"/>
    </row>
    <row r="99" spans="1:16">
      <c r="A99" t="s">
        <v>632</v>
      </c>
      <c r="B99" s="43" t="s">
        <v>49</v>
      </c>
      <c r="C99" s="313">
        <f>VLOOKUP($A99&amp;"CP LF",'E11 - 2013 09 Final'!$A$46:$P$1775,$C$93,FALSE)</f>
        <v>0.78120000000000001</v>
      </c>
      <c r="D99" s="313">
        <f>VLOOKUP($A99&amp;"CP LF",'E11 - 2013 09 Final'!$A$46:$P$1775,$D$93,FALSE)</f>
        <v>0.59399999999999997</v>
      </c>
      <c r="E99" s="313">
        <f>VLOOKUP($A99&amp;"CP LF",'E11 - 2013 09 Final'!$A$46:$P$1775,$E$93,FALSE)</f>
        <v>1.3512999999999999</v>
      </c>
      <c r="F99" s="313">
        <f>VLOOKUP($A99&amp;"CP LF",'E11 - 2013 09 Final'!$A$46:$P$1775,$F$93,FALSE)</f>
        <v>0.62739999999999996</v>
      </c>
      <c r="G99" s="313">
        <f>VLOOKUP($A99&amp;"CP LF",'E11 - 2013 09 Final'!$A$46:$P$1775,$G$93,FALSE)</f>
        <v>0.63819999999999999</v>
      </c>
      <c r="H99" s="313">
        <f>VLOOKUP($A99&amp;"CP LF",'E11 - 2013 09 Final'!$A$46:$P$1775,$H$93,FALSE)</f>
        <v>0.62139999999999995</v>
      </c>
      <c r="I99" s="313">
        <f>VLOOKUP($A99&amp;"CP LF",'E11 - 2013 09 Final'!$A$46:$P$1775,$I$93,FALSE)</f>
        <v>0.62209999999999999</v>
      </c>
      <c r="J99" s="313">
        <f>VLOOKUP($A99&amp;"CP LF",'E11 - 2013 09 Final'!$A$46:$P$1775,$J$93,FALSE)</f>
        <v>0.6411</v>
      </c>
      <c r="K99" s="313">
        <f>VLOOKUP($A99&amp;"CP LF",'E11 - 2013 09 Final'!$A$46:$P$1775,$K$93,FALSE)</f>
        <v>0.59209999999999996</v>
      </c>
      <c r="L99" s="313">
        <f>VLOOKUP($A99&amp;"CP LF",'E11 - 2013 09 Final'!$A$46:$P$1775,$L$93,FALSE)</f>
        <v>0.66059999999999997</v>
      </c>
      <c r="M99" s="313">
        <f>VLOOKUP($A99&amp;"CP LF",'E11 - 2013 09 Final'!$A$46:$P$1775,$M$93,FALSE)</f>
        <v>0.61780000000000002</v>
      </c>
      <c r="N99" s="313">
        <f>VLOOKUP($A99&amp;"CP LF",'E11 - 2013 09 Final'!$A$46:$P$1775,$N$93,FALSE)</f>
        <v>0.61140000000000005</v>
      </c>
      <c r="O99" s="117"/>
      <c r="P99" s="314"/>
    </row>
    <row r="100" spans="1:16">
      <c r="A100" t="s">
        <v>640</v>
      </c>
      <c r="B100" s="46" t="s">
        <v>325</v>
      </c>
      <c r="C100" s="313">
        <f>VLOOKUP($A100&amp;"CP LF",'E11 - 2013 09 Final'!$A$46:$P$1775,$C$93,FALSE)</f>
        <v>0.99560000000000004</v>
      </c>
      <c r="D100" s="313">
        <f>VLOOKUP($A100&amp;"CP LF",'E11 - 2013 09 Final'!$A$46:$P$1775,$D$93,FALSE)</f>
        <v>0.98760000000000003</v>
      </c>
      <c r="E100" s="313">
        <f>VLOOKUP($A100&amp;"CP LF",'E11 - 2013 09 Final'!$A$46:$P$1775,$E$93,FALSE)</f>
        <v>1.0327</v>
      </c>
      <c r="F100" s="313">
        <f>VLOOKUP($A100&amp;"CP LF",'E11 - 2013 09 Final'!$A$46:$P$1775,$F$93,FALSE)</f>
        <v>0.99480000000000002</v>
      </c>
      <c r="G100" s="313">
        <f>VLOOKUP($A100&amp;"CP LF",'E11 - 2013 09 Final'!$A$46:$P$1775,$G$93,FALSE)</f>
        <v>0.99470000000000003</v>
      </c>
      <c r="H100" s="313">
        <f>VLOOKUP($A100&amp;"CP LF",'E11 - 2013 09 Final'!$A$46:$P$1775,$H$93,FALSE)</f>
        <v>0.99650000000000005</v>
      </c>
      <c r="I100" s="313">
        <f>VLOOKUP($A100&amp;"CP LF",'E11 - 2013 09 Final'!$A$46:$P$1775,$I$93,FALSE)</f>
        <v>0.99370000000000003</v>
      </c>
      <c r="J100" s="313">
        <f>VLOOKUP($A100&amp;"CP LF",'E11 - 2013 09 Final'!$A$46:$P$1775,$J$93,FALSE)</f>
        <v>0.99380000000000002</v>
      </c>
      <c r="K100" s="313">
        <f>VLOOKUP($A100&amp;"CP LF",'E11 - 2013 09 Final'!$A$46:$P$1775,$K$93,FALSE)</f>
        <v>0.99119999999999997</v>
      </c>
      <c r="L100" s="313">
        <f>VLOOKUP($A100&amp;"CP LF",'E11 - 2013 09 Final'!$A$46:$P$1775,$L$93,FALSE)</f>
        <v>0.99360000000000004</v>
      </c>
      <c r="M100" s="313">
        <f>VLOOKUP($A100&amp;"CP LF",'E11 - 2013 09 Final'!$A$46:$P$1775,$M$93,FALSE)</f>
        <v>0.98760000000000003</v>
      </c>
      <c r="N100" s="313">
        <f>VLOOKUP($A100&amp;"CP LF",'E11 - 2013 09 Final'!$A$46:$P$1775,$N$93,FALSE)</f>
        <v>0.99470000000000003</v>
      </c>
      <c r="O100" s="117"/>
      <c r="P100" s="314"/>
    </row>
    <row r="101" spans="1:16">
      <c r="A101" t="s">
        <v>994</v>
      </c>
      <c r="B101" s="43" t="s">
        <v>67</v>
      </c>
      <c r="C101" s="313">
        <f>VLOOKUP($A101&amp;"CP LF",'E11 - 2013 09 Final'!$A$46:$P$1775,$C$93,FALSE)</f>
        <v>0.77239999999999998</v>
      </c>
      <c r="D101" s="313">
        <f>VLOOKUP($A101&amp;"CP LF",'E11 - 2013 09 Final'!$A$46:$P$1775,$D$93,FALSE)</f>
        <v>0.71789999999999998</v>
      </c>
      <c r="E101" s="313">
        <f>VLOOKUP($A101&amp;"CP LF",'E11 - 2013 09 Final'!$A$46:$P$1775,$E$93,FALSE)</f>
        <v>1.1533</v>
      </c>
      <c r="F101" s="313">
        <f>VLOOKUP($A101&amp;"CP LF",'E11 - 2013 09 Final'!$A$46:$P$1775,$F$93,FALSE)</f>
        <v>0.74760000000000004</v>
      </c>
      <c r="G101" s="313">
        <f>VLOOKUP($A101&amp;"CP LF",'E11 - 2013 09 Final'!$A$46:$P$1775,$G$93,FALSE)</f>
        <v>0.74960000000000004</v>
      </c>
      <c r="H101" s="313">
        <f>VLOOKUP($A101&amp;"CP LF",'E11 - 2013 09 Final'!$A$46:$P$1775,$H$93,FALSE)</f>
        <v>0.75549999999999995</v>
      </c>
      <c r="I101" s="313">
        <f>VLOOKUP($A101&amp;"CP LF",'E11 - 2013 09 Final'!$A$46:$P$1775,$I$93,FALSE)</f>
        <v>0.74099999999999999</v>
      </c>
      <c r="J101" s="313">
        <f>VLOOKUP($A101&amp;"CP LF",'E11 - 2013 09 Final'!$A$46:$P$1775,$J$93,FALSE)</f>
        <v>0.76759999999999995</v>
      </c>
      <c r="K101" s="313">
        <f>VLOOKUP($A101&amp;"CP LF",'E11 - 2013 09 Final'!$A$46:$P$1775,$K$93,FALSE)</f>
        <v>0.72140000000000004</v>
      </c>
      <c r="L101" s="313">
        <f>VLOOKUP($A101&amp;"CP LF",'E11 - 2013 09 Final'!$A$46:$P$1775,$L$93,FALSE)</f>
        <v>0.76480000000000004</v>
      </c>
      <c r="M101" s="313">
        <f>VLOOKUP($A101&amp;"CP LF",'E11 - 2013 09 Final'!$A$46:$P$1775,$M$93,FALSE)</f>
        <v>0.72970000000000002</v>
      </c>
      <c r="N101" s="313">
        <f>VLOOKUP($A101&amp;"CP LF",'E11 - 2013 09 Final'!$A$46:$P$1775,$N$93,FALSE)</f>
        <v>0.75570000000000004</v>
      </c>
      <c r="O101" s="117"/>
      <c r="P101" s="314"/>
    </row>
    <row r="102" spans="1:16">
      <c r="A102" t="s">
        <v>997</v>
      </c>
      <c r="B102" s="43" t="s">
        <v>68</v>
      </c>
      <c r="C102" s="313">
        <f>VLOOKUP($A102&amp;"CP LF",'E11 - 2013 09 Final'!$A$46:$P$1775,$C$93,FALSE)</f>
        <v>0.77729999999999999</v>
      </c>
      <c r="D102" s="313">
        <f>VLOOKUP($A102&amp;"CP LF",'E11 - 2013 09 Final'!$A$46:$P$1775,$D$93,FALSE)</f>
        <v>0.6593</v>
      </c>
      <c r="E102" s="313">
        <f>VLOOKUP($A102&amp;"CP LF",'E11 - 2013 09 Final'!$A$46:$P$1775,$E$93,FALSE)</f>
        <v>0.90880000000000005</v>
      </c>
      <c r="F102" s="313">
        <f>VLOOKUP($A102&amp;"CP LF",'E11 - 2013 09 Final'!$A$46:$P$1775,$F$93,FALSE)</f>
        <v>0.74139999999999995</v>
      </c>
      <c r="G102" s="313">
        <f>VLOOKUP($A102&amp;"CP LF",'E11 - 2013 09 Final'!$A$46:$P$1775,$G$93,FALSE)</f>
        <v>0.75509999999999999</v>
      </c>
      <c r="H102" s="313">
        <f>VLOOKUP($A102&amp;"CP LF",'E11 - 2013 09 Final'!$A$46:$P$1775,$H$93,FALSE)</f>
        <v>0.73219999999999996</v>
      </c>
      <c r="I102" s="313">
        <f>VLOOKUP($A102&amp;"CP LF",'E11 - 2013 09 Final'!$A$46:$P$1775,$I$93,FALSE)</f>
        <v>0.79259999999999997</v>
      </c>
      <c r="J102" s="313">
        <f>VLOOKUP($A102&amp;"CP LF",'E11 - 2013 09 Final'!$A$46:$P$1775,$J$93,FALSE)</f>
        <v>0.77190000000000003</v>
      </c>
      <c r="K102" s="313">
        <f>VLOOKUP($A102&amp;"CP LF",'E11 - 2013 09 Final'!$A$46:$P$1775,$K$93,FALSE)</f>
        <v>0.71919999999999995</v>
      </c>
      <c r="L102" s="313">
        <f>VLOOKUP($A102&amp;"CP LF",'E11 - 2013 09 Final'!$A$46:$P$1775,$L$93,FALSE)</f>
        <v>0.73240000000000005</v>
      </c>
      <c r="M102" s="313">
        <f>VLOOKUP($A102&amp;"CP LF",'E11 - 2013 09 Final'!$A$46:$P$1775,$M$93,FALSE)</f>
        <v>0.70230000000000004</v>
      </c>
      <c r="N102" s="313">
        <f>VLOOKUP($A102&amp;"CP LF",'E11 - 2013 09 Final'!$A$46:$P$1775,$N$93,FALSE)</f>
        <v>0.79910000000000003</v>
      </c>
      <c r="O102" s="117"/>
      <c r="P102" s="314"/>
    </row>
    <row r="103" spans="1:16">
      <c r="A103" t="s">
        <v>713</v>
      </c>
      <c r="B103" s="43" t="s">
        <v>69</v>
      </c>
      <c r="C103" s="313">
        <f>VLOOKUP($A103&amp;"CP LF",'E11 - 2013 09 Final'!$A$46:$P$1775,$C$93,FALSE)</f>
        <v>0.89370000000000005</v>
      </c>
      <c r="D103" s="313">
        <f>VLOOKUP($A103&amp;"CP LF",'E11 - 2013 09 Final'!$A$46:$P$1775,$D$93,FALSE)</f>
        <v>0.8004</v>
      </c>
      <c r="E103" s="313">
        <f>VLOOKUP($A103&amp;"CP LF",'E11 - 2013 09 Final'!$A$46:$P$1775,$E$93,FALSE)</f>
        <v>1.0938000000000001</v>
      </c>
      <c r="F103" s="313">
        <f>VLOOKUP($A103&amp;"CP LF",'E11 - 2013 09 Final'!$A$46:$P$1775,$F$93,FALSE)</f>
        <v>0.91739999999999999</v>
      </c>
      <c r="G103" s="313">
        <f>VLOOKUP($A103&amp;"CP LF",'E11 - 2013 09 Final'!$A$46:$P$1775,$G$93,FALSE)</f>
        <v>0.91120000000000001</v>
      </c>
      <c r="H103" s="313">
        <f>VLOOKUP($A103&amp;"CP LF",'E11 - 2013 09 Final'!$A$46:$P$1775,$H$93,FALSE)</f>
        <v>1.0086999999999999</v>
      </c>
      <c r="I103" s="313">
        <f>VLOOKUP($A103&amp;"CP LF",'E11 - 2013 09 Final'!$A$46:$P$1775,$I$93,FALSE)</f>
        <v>0.9506</v>
      </c>
      <c r="J103" s="313">
        <f>VLOOKUP($A103&amp;"CP LF",'E11 - 2013 09 Final'!$A$46:$P$1775,$J$93,FALSE)</f>
        <v>1.0227999999999999</v>
      </c>
      <c r="K103" s="313">
        <f>VLOOKUP($A103&amp;"CP LF",'E11 - 2013 09 Final'!$A$46:$P$1775,$K$93,FALSE)</f>
        <v>0.92810000000000004</v>
      </c>
      <c r="L103" s="313">
        <f>VLOOKUP($A103&amp;"CP LF",'E11 - 2013 09 Final'!$A$46:$P$1775,$L$93,FALSE)</f>
        <v>0.89749999999999996</v>
      </c>
      <c r="M103" s="313">
        <f>VLOOKUP($A103&amp;"CP LF",'E11 - 2013 09 Final'!$A$46:$P$1775,$M$93,FALSE)</f>
        <v>0.82379999999999998</v>
      </c>
      <c r="N103" s="313">
        <f>VLOOKUP($A103&amp;"CP LF",'E11 - 2013 09 Final'!$A$46:$P$1775,$N$93,FALSE)</f>
        <v>0.85709999999999997</v>
      </c>
      <c r="O103" s="117"/>
      <c r="P103" s="314"/>
    </row>
    <row r="104" spans="1:16">
      <c r="A104" t="s">
        <v>717</v>
      </c>
      <c r="B104" s="43" t="s">
        <v>52</v>
      </c>
      <c r="C104" s="313">
        <f>VLOOKUP($A104&amp;"CP LF",'E11 - 2013 09 Final'!$A$46:$P$1775,$C$93,FALSE)</f>
        <v>1.0645</v>
      </c>
      <c r="D104" s="313">
        <f>VLOOKUP($A104&amp;"CP LF",'E11 - 2013 09 Final'!$A$46:$P$1775,$D$93,FALSE)</f>
        <v>0.82809999999999995</v>
      </c>
      <c r="E104" s="313">
        <f>VLOOKUP($A104&amp;"CP LF",'E11 - 2013 09 Final'!$A$46:$P$1775,$E$93,FALSE)</f>
        <v>1.0956999999999999</v>
      </c>
      <c r="F104" s="313">
        <f>VLOOKUP($A104&amp;"CP LF",'E11 - 2013 09 Final'!$A$46:$P$1775,$F$93,FALSE)</f>
        <v>0.97430000000000005</v>
      </c>
      <c r="G104" s="313">
        <f>VLOOKUP($A104&amp;"CP LF",'E11 - 2013 09 Final'!$A$46:$P$1775,$G$93,FALSE)</f>
        <v>0.93940000000000001</v>
      </c>
      <c r="H104" s="313">
        <f>VLOOKUP($A104&amp;"CP LF",'E11 - 2013 09 Final'!$A$46:$P$1775,$H$93,FALSE)</f>
        <v>0.92349999999999999</v>
      </c>
      <c r="I104" s="313">
        <f>VLOOKUP($A104&amp;"CP LF",'E11 - 2013 09 Final'!$A$46:$P$1775,$I$93,FALSE)</f>
        <v>0.86909999999999998</v>
      </c>
      <c r="J104" s="313">
        <f>VLOOKUP($A104&amp;"CP LF",'E11 - 2013 09 Final'!$A$46:$P$1775,$J$93,FALSE)</f>
        <v>0.86550000000000005</v>
      </c>
      <c r="K104" s="313">
        <f>VLOOKUP($A104&amp;"CP LF",'E11 - 2013 09 Final'!$A$46:$P$1775,$K$93,FALSE)</f>
        <v>0.97650000000000003</v>
      </c>
      <c r="L104" s="313">
        <f>VLOOKUP($A104&amp;"CP LF",'E11 - 2013 09 Final'!$A$46:$P$1775,$L$93,FALSE)</f>
        <v>0.83089999999999997</v>
      </c>
      <c r="M104" s="313">
        <f>VLOOKUP($A104&amp;"CP LF",'E11 - 2013 09 Final'!$A$46:$P$1775,$M$93,FALSE)</f>
        <v>0.91269999999999996</v>
      </c>
      <c r="N104" s="313">
        <f>VLOOKUP($A104&amp;"CP LF",'E11 - 2013 09 Final'!$A$46:$P$1775,$N$93,FALSE)</f>
        <v>1.0513999999999999</v>
      </c>
      <c r="O104" s="117"/>
      <c r="P104" s="314"/>
    </row>
    <row r="105" spans="1:16">
      <c r="A105" t="s">
        <v>15</v>
      </c>
      <c r="B105" s="206" t="s">
        <v>15</v>
      </c>
      <c r="C105" s="313">
        <f>VLOOKUP($A105&amp;"CP LF",'E11 - 2013 09 Final'!$A$46:$P$1775,$C$93,FALSE)</f>
        <v>0.70099999999999996</v>
      </c>
      <c r="D105" s="313">
        <f>VLOOKUP($A105&amp;"CP LF",'E11 - 2013 09 Final'!$A$46:$P$1775,$D$93,FALSE)</f>
        <v>0.74919999999999998</v>
      </c>
      <c r="E105" s="313">
        <f>VLOOKUP($A105&amp;"CP LF",'E11 - 2013 09 Final'!$A$46:$P$1775,$E$93,FALSE)</f>
        <v>0.7097</v>
      </c>
      <c r="F105" s="313">
        <f>VLOOKUP($A105&amp;"CP LF",'E11 - 2013 09 Final'!$A$46:$P$1775,$F$93,FALSE)</f>
        <v>0.75119999999999998</v>
      </c>
      <c r="G105" s="313">
        <f>VLOOKUP($A105&amp;"CP LF",'E11 - 2013 09 Final'!$A$46:$P$1775,$G$93,FALSE)</f>
        <v>0.70940000000000003</v>
      </c>
      <c r="H105" s="313">
        <f>VLOOKUP($A105&amp;"CP LF",'E11 - 2013 09 Final'!$A$46:$P$1775,$H$93,FALSE)</f>
        <v>0.69569999999999999</v>
      </c>
      <c r="I105" s="313">
        <f>VLOOKUP($A105&amp;"CP LF",'E11 - 2013 09 Final'!$A$46:$P$1775,$I$93,FALSE)</f>
        <v>0.76259999999999994</v>
      </c>
      <c r="J105" s="313">
        <f>VLOOKUP($A105&amp;"CP LF",'E11 - 2013 09 Final'!$A$46:$P$1775,$J$93,FALSE)</f>
        <v>0.73950000000000005</v>
      </c>
      <c r="K105" s="313">
        <f>VLOOKUP($A105&amp;"CP LF",'E11 - 2013 09 Final'!$A$46:$P$1775,$K$93,FALSE)</f>
        <v>0.7571</v>
      </c>
      <c r="L105" s="313">
        <f>VLOOKUP($A105&amp;"CP LF",'E11 - 2013 09 Final'!$A$46:$P$1775,$L$93,FALSE)</f>
        <v>0.78100000000000003</v>
      </c>
      <c r="M105" s="313">
        <f>VLOOKUP($A105&amp;"CP LF",'E11 - 2013 09 Final'!$A$46:$P$1775,$M$93,FALSE)</f>
        <v>0.67290000000000005</v>
      </c>
      <c r="N105" s="313">
        <f>VLOOKUP($A105&amp;"CP LF",'E11 - 2013 09 Final'!$A$46:$P$1775,$N$93,FALSE)</f>
        <v>0.8286</v>
      </c>
      <c r="O105" s="117"/>
      <c r="P105" s="314"/>
    </row>
    <row r="106" spans="1:16">
      <c r="A106" t="s">
        <v>19</v>
      </c>
      <c r="B106" s="43" t="s">
        <v>56</v>
      </c>
      <c r="C106" s="313">
        <f>VLOOKUP($A106&amp;"CP LF",'E11 - 2013 09 Final'!$A$46:$P$1775,$C$93,FALSE)</f>
        <v>0.55220000000000002</v>
      </c>
      <c r="D106" s="313">
        <f>VLOOKUP($A106&amp;"CP LF",'E11 - 2013 09 Final'!$A$46:$P$1775,$D$93,FALSE)</f>
        <v>0</v>
      </c>
      <c r="E106" s="313">
        <f>VLOOKUP($A106&amp;"CP LF",'E11 - 2013 09 Final'!$A$46:$P$1775,$E$93,FALSE)</f>
        <v>0</v>
      </c>
      <c r="F106" s="313">
        <f>VLOOKUP($A106&amp;"CP LF",'E11 - 2013 09 Final'!$A$46:$P$1775,$F$93,FALSE)</f>
        <v>0</v>
      </c>
      <c r="G106" s="313">
        <f>VLOOKUP($A106&amp;"CP LF",'E11 - 2013 09 Final'!$A$46:$P$1775,$G$93,FALSE)</f>
        <v>0</v>
      </c>
      <c r="H106" s="313">
        <f>VLOOKUP($A106&amp;"CP LF",'E11 - 2013 09 Final'!$A$46:$P$1775,$H$93,FALSE)</f>
        <v>0</v>
      </c>
      <c r="I106" s="313">
        <f>VLOOKUP($A106&amp;"CP LF",'E11 - 2013 09 Final'!$A$46:$P$1775,$I$93,FALSE)</f>
        <v>0</v>
      </c>
      <c r="J106" s="313">
        <f>VLOOKUP($A106&amp;"CP LF",'E11 - 2013 09 Final'!$A$46:$P$1775,$J$93,FALSE)</f>
        <v>0</v>
      </c>
      <c r="K106" s="313">
        <f>VLOOKUP($A106&amp;"CP LF",'E11 - 2013 09 Final'!$A$46:$P$1775,$K$93,FALSE)</f>
        <v>0</v>
      </c>
      <c r="L106" s="313">
        <f>VLOOKUP($A106&amp;"CP LF",'E11 - 2013 09 Final'!$A$46:$P$1775,$L$93,FALSE)</f>
        <v>0</v>
      </c>
      <c r="M106" s="313">
        <f>VLOOKUP($A106&amp;"CP LF",'E11 - 2013 09 Final'!$A$46:$P$1775,$M$93,FALSE)</f>
        <v>0</v>
      </c>
      <c r="N106" s="313">
        <f>VLOOKUP($A106&amp;"CP LF",'E11 - 2013 09 Final'!$A$46:$P$1775,$N$93,FALSE)</f>
        <v>0</v>
      </c>
      <c r="O106" s="117"/>
      <c r="P106" s="314"/>
    </row>
    <row r="107" spans="1:16">
      <c r="A107" t="s">
        <v>22</v>
      </c>
      <c r="B107" s="43" t="s">
        <v>57</v>
      </c>
      <c r="C107" s="313">
        <f>VLOOKUP($A107&amp;"CP LF",'E11 - 2013 09 Final'!$A$46:$P$1775,$C$93,FALSE)</f>
        <v>0.20019999999999999</v>
      </c>
      <c r="D107" s="313">
        <f>VLOOKUP($A107&amp;"CP LF",'E11 - 2013 09 Final'!$A$46:$P$1775,$D$93,FALSE)</f>
        <v>2.6360999999999999</v>
      </c>
      <c r="E107" s="313">
        <f>VLOOKUP($A107&amp;"CP LF",'E11 - 2013 09 Final'!$A$46:$P$1775,$E$93,FALSE)</f>
        <v>2.3071000000000002</v>
      </c>
      <c r="F107" s="313">
        <f>VLOOKUP($A107&amp;"CP LF",'E11 - 2013 09 Final'!$A$46:$P$1775,$F$93,FALSE)</f>
        <v>1.4404999999999999</v>
      </c>
      <c r="G107" s="313">
        <f>VLOOKUP($A107&amp;"CP LF",'E11 - 2013 09 Final'!$A$46:$P$1775,$G$93,FALSE)</f>
        <v>1.1761999999999999</v>
      </c>
      <c r="H107" s="313">
        <f>VLOOKUP($A107&amp;"CP LF",'E11 - 2013 09 Final'!$A$46:$P$1775,$H$93,FALSE)</f>
        <v>1.2784</v>
      </c>
      <c r="I107" s="313">
        <f>VLOOKUP($A107&amp;"CP LF",'E11 - 2013 09 Final'!$A$46:$P$1775,$I$93,FALSE)</f>
        <v>1.3</v>
      </c>
      <c r="J107" s="313">
        <f>VLOOKUP($A107&amp;"CP LF",'E11 - 2013 09 Final'!$A$46:$P$1775,$J$93,FALSE)</f>
        <v>1.3666</v>
      </c>
      <c r="K107" s="313">
        <f>VLOOKUP($A107&amp;"CP LF",'E11 - 2013 09 Final'!$A$46:$P$1775,$K$93,FALSE)</f>
        <v>1.45</v>
      </c>
      <c r="L107" s="313">
        <f>VLOOKUP($A107&amp;"CP LF",'E11 - 2013 09 Final'!$A$46:$P$1775,$L$93,FALSE)</f>
        <v>2.0190999999999999</v>
      </c>
      <c r="M107" s="313">
        <f>VLOOKUP($A107&amp;"CP LF",'E11 - 2013 09 Final'!$A$46:$P$1775,$M$93,FALSE)</f>
        <v>1.9357</v>
      </c>
      <c r="N107" s="313">
        <f>VLOOKUP($A107&amp;"CP LF",'E11 - 2013 09 Final'!$A$46:$P$1775,$N$93,FALSE)</f>
        <v>2.0792000000000002</v>
      </c>
      <c r="O107" s="117"/>
      <c r="P107" s="314"/>
    </row>
    <row r="108" spans="1:16">
      <c r="A108" t="s">
        <v>687</v>
      </c>
      <c r="B108" s="43" t="s">
        <v>48</v>
      </c>
      <c r="C108" s="313">
        <f>VLOOKUP($A108&amp;"CP LF",'E11 - 2013 09 Final'!$A$46:$P$1775,$C$93,FALSE)</f>
        <v>0.69059999999999999</v>
      </c>
      <c r="D108" s="313">
        <f>VLOOKUP($A108&amp;"CP LF",'E11 - 2013 09 Final'!$A$46:$P$1775,$D$93,FALSE)</f>
        <v>0.6764</v>
      </c>
      <c r="E108" s="313">
        <f>VLOOKUP($A108&amp;"CP LF",'E11 - 2013 09 Final'!$A$46:$P$1775,$E$93,FALSE)</f>
        <v>0.54759999999999998</v>
      </c>
      <c r="F108" s="313">
        <f>VLOOKUP($A108&amp;"CP LF",'E11 - 2013 09 Final'!$A$46:$P$1775,$F$93,FALSE)</f>
        <v>0.63660000000000005</v>
      </c>
      <c r="G108" s="313">
        <f>VLOOKUP($A108&amp;"CP LF",'E11 - 2013 09 Final'!$A$46:$P$1775,$G$93,FALSE)</f>
        <v>0.57820000000000005</v>
      </c>
      <c r="H108" s="313">
        <f>VLOOKUP($A108&amp;"CP LF",'E11 - 2013 09 Final'!$A$46:$P$1775,$H$93,FALSE)</f>
        <v>0.63129999999999997</v>
      </c>
      <c r="I108" s="313">
        <f>VLOOKUP($A108&amp;"CP LF",'E11 - 2013 09 Final'!$A$46:$P$1775,$I$93,FALSE)</f>
        <v>0.68559999999999999</v>
      </c>
      <c r="J108" s="313">
        <f>VLOOKUP($A108&amp;"CP LF",'E11 - 2013 09 Final'!$A$46:$P$1775,$J$93,FALSE)</f>
        <v>0.67630000000000001</v>
      </c>
      <c r="K108" s="313">
        <f>VLOOKUP($A108&amp;"CP LF",'E11 - 2013 09 Final'!$A$46:$P$1775,$K$93,FALSE)</f>
        <v>0.65059999999999996</v>
      </c>
      <c r="L108" s="313">
        <f>VLOOKUP($A108&amp;"CP LF",'E11 - 2013 09 Final'!$A$46:$P$1775,$L$93,FALSE)</f>
        <v>0.64329999999999998</v>
      </c>
      <c r="M108" s="313">
        <f>VLOOKUP($A108&amp;"CP LF",'E11 - 2013 09 Final'!$A$46:$P$1775,$M$93,FALSE)</f>
        <v>0.60780000000000001</v>
      </c>
      <c r="N108" s="313">
        <f>VLOOKUP($A108&amp;"CP LF",'E11 - 2013 09 Final'!$A$46:$P$1775,$N$93,FALSE)</f>
        <v>0.65849999999999997</v>
      </c>
      <c r="O108" s="117"/>
      <c r="P108" s="314"/>
    </row>
    <row r="109" spans="1:16">
      <c r="A109" t="s">
        <v>35</v>
      </c>
      <c r="B109" s="43" t="s">
        <v>53</v>
      </c>
      <c r="C109" s="313">
        <f>VLOOKUP($A109&amp;"CP LF",'E11 - 2013 09 Final'!$A$46:$P$1775,$C$93,FALSE)</f>
        <v>0.55220000000000002</v>
      </c>
      <c r="D109" s="313">
        <f>VLOOKUP($A109&amp;"CP LF",'E11 - 2013 09 Final'!$A$46:$P$1775,$D$93,FALSE)</f>
        <v>0</v>
      </c>
      <c r="E109" s="313">
        <f>VLOOKUP($A109&amp;"CP LF",'E11 - 2013 09 Final'!$A$46:$P$1775,$E$93,FALSE)</f>
        <v>0</v>
      </c>
      <c r="F109" s="313">
        <f>VLOOKUP($A109&amp;"CP LF",'E11 - 2013 09 Final'!$A$46:$P$1775,$F$93,FALSE)</f>
        <v>0</v>
      </c>
      <c r="G109" s="313">
        <f>VLOOKUP($A109&amp;"CP LF",'E11 - 2013 09 Final'!$A$46:$P$1775,$G$93,FALSE)</f>
        <v>0</v>
      </c>
      <c r="H109" s="313">
        <f>VLOOKUP($A109&amp;"CP LF",'E11 - 2013 09 Final'!$A$46:$P$1775,$H$93,FALSE)</f>
        <v>0</v>
      </c>
      <c r="I109" s="313">
        <f>VLOOKUP($A109&amp;"CP LF",'E11 - 2013 09 Final'!$A$46:$P$1775,$I$93,FALSE)</f>
        <v>0</v>
      </c>
      <c r="J109" s="313">
        <f>VLOOKUP($A109&amp;"CP LF",'E11 - 2013 09 Final'!$A$46:$P$1775,$J$93,FALSE)</f>
        <v>0</v>
      </c>
      <c r="K109" s="313">
        <f>VLOOKUP($A109&amp;"CP LF",'E11 - 2013 09 Final'!$A$46:$P$1775,$K$93,FALSE)</f>
        <v>0</v>
      </c>
      <c r="L109" s="313">
        <f>VLOOKUP($A109&amp;"CP LF",'E11 - 2013 09 Final'!$A$46:$P$1775,$L$93,FALSE)</f>
        <v>0</v>
      </c>
      <c r="M109" s="313">
        <f>VLOOKUP($A109&amp;"CP LF",'E11 - 2013 09 Final'!$A$46:$P$1775,$M$93,FALSE)</f>
        <v>0</v>
      </c>
      <c r="N109" s="313">
        <f>VLOOKUP($A109&amp;"CP LF",'E11 - 2013 09 Final'!$A$46:$P$1775,$N$93,FALSE)</f>
        <v>0</v>
      </c>
      <c r="O109" s="117"/>
      <c r="P109" s="314"/>
    </row>
    <row r="110" spans="1:16">
      <c r="A110" t="s">
        <v>38</v>
      </c>
      <c r="B110" s="43" t="s">
        <v>55</v>
      </c>
      <c r="C110" s="313">
        <f>VLOOKUP($A110&amp;"CP LF",'E11 - 2013 09 Final'!$A$46:$P$1775,$C$93,FALSE)</f>
        <v>1</v>
      </c>
      <c r="D110" s="313">
        <f>VLOOKUP($A110&amp;"CP LF",'E11 - 2013 09 Final'!$A$46:$P$1775,$D$93,FALSE)</f>
        <v>1</v>
      </c>
      <c r="E110" s="313">
        <f>VLOOKUP($A110&amp;"CP LF",'E11 - 2013 09 Final'!$A$46:$P$1775,$E$93,FALSE)</f>
        <v>1</v>
      </c>
      <c r="F110" s="313">
        <f>VLOOKUP($A110&amp;"CP LF",'E11 - 2013 09 Final'!$A$46:$P$1775,$F$93,FALSE)</f>
        <v>1</v>
      </c>
      <c r="G110" s="313">
        <f>VLOOKUP($A110&amp;"CP LF",'E11 - 2013 09 Final'!$A$46:$P$1775,$G$93,FALSE)</f>
        <v>1</v>
      </c>
      <c r="H110" s="313">
        <f>VLOOKUP($A110&amp;"CP LF",'E11 - 2013 09 Final'!$A$46:$P$1775,$H$93,FALSE)</f>
        <v>1</v>
      </c>
      <c r="I110" s="313">
        <f>VLOOKUP($A110&amp;"CP LF",'E11 - 2013 09 Final'!$A$46:$P$1775,$I$93,FALSE)</f>
        <v>1</v>
      </c>
      <c r="J110" s="313">
        <f>VLOOKUP($A110&amp;"CP LF",'E11 - 2013 09 Final'!$A$46:$P$1775,$J$93,FALSE)</f>
        <v>1</v>
      </c>
      <c r="K110" s="313">
        <f>VLOOKUP($A110&amp;"CP LF",'E11 - 2013 09 Final'!$A$46:$P$1775,$K$93,FALSE)</f>
        <v>1</v>
      </c>
      <c r="L110" s="313">
        <f>VLOOKUP($A110&amp;"CP LF",'E11 - 2013 09 Final'!$A$46:$P$1775,$L$93,FALSE)</f>
        <v>1</v>
      </c>
      <c r="M110" s="313">
        <f>VLOOKUP($A110&amp;"CP LF",'E11 - 2013 09 Final'!$A$46:$P$1775,$M$93,FALSE)</f>
        <v>0.99860000000000004</v>
      </c>
      <c r="N110" s="313">
        <f>VLOOKUP($A110&amp;"CP LF",'E11 - 2013 09 Final'!$A$46:$P$1775,$N$93,FALSE)</f>
        <v>1</v>
      </c>
      <c r="O110" s="117"/>
      <c r="P110" s="314"/>
    </row>
    <row r="111" spans="1:16">
      <c r="A111" t="s">
        <v>40</v>
      </c>
      <c r="B111" s="43" t="s">
        <v>87</v>
      </c>
      <c r="C111" s="313">
        <f>VLOOKUP($A111&amp;"CP LF",'E11 - 2013 09 Final'!$A$46:$P$1775,$C$93,FALSE)</f>
        <v>1.2315</v>
      </c>
      <c r="D111" s="313">
        <f>VLOOKUP($A111&amp;"CP LF",'E11 - 2013 09 Final'!$A$46:$P$1775,$D$93,FALSE)</f>
        <v>0</v>
      </c>
      <c r="E111" s="313">
        <f>VLOOKUP($A111&amp;"CP LF",'E11 - 2013 09 Final'!$A$46:$P$1775,$E$93,FALSE)</f>
        <v>2.1194999999999999</v>
      </c>
      <c r="F111" s="313">
        <f>VLOOKUP($A111&amp;"CP LF",'E11 - 2013 09 Final'!$A$46:$P$1775,$F$93,FALSE)</f>
        <v>1.131</v>
      </c>
      <c r="G111" s="313">
        <f>VLOOKUP($A111&amp;"CP LF",'E11 - 2013 09 Final'!$A$46:$P$1775,$G$93,FALSE)</f>
        <v>0.68759999999999999</v>
      </c>
      <c r="H111" s="313">
        <f>VLOOKUP($A111&amp;"CP LF",'E11 - 2013 09 Final'!$A$46:$P$1775,$H$93,FALSE)</f>
        <v>0.86719999999999997</v>
      </c>
      <c r="I111" s="313">
        <f>VLOOKUP($A111&amp;"CP LF",'E11 - 2013 09 Final'!$A$46:$P$1775,$I$93,FALSE)</f>
        <v>0.51170000000000004</v>
      </c>
      <c r="J111" s="313">
        <f>VLOOKUP($A111&amp;"CP LF",'E11 - 2013 09 Final'!$A$46:$P$1775,$J$93,FALSE)</f>
        <v>0.8821</v>
      </c>
      <c r="K111" s="313">
        <f>VLOOKUP($A111&amp;"CP LF",'E11 - 2013 09 Final'!$A$46:$P$1775,$K$93,FALSE)</f>
        <v>1.2011000000000001</v>
      </c>
      <c r="L111" s="313">
        <f>VLOOKUP($A111&amp;"CP LF",'E11 - 2013 09 Final'!$A$46:$P$1775,$L$93,FALSE)</f>
        <v>0.91259999999999997</v>
      </c>
      <c r="M111" s="313">
        <f>VLOOKUP($A111&amp;"CP LF",'E11 - 2013 09 Final'!$A$46:$P$1775,$M$93,FALSE)</f>
        <v>0.4718</v>
      </c>
      <c r="N111" s="313">
        <f>VLOOKUP($A111&amp;"CP LF",'E11 - 2013 09 Final'!$A$46:$P$1775,$N$93,FALSE)</f>
        <v>1.4224000000000001</v>
      </c>
      <c r="O111" s="117"/>
      <c r="P111" s="314"/>
    </row>
    <row r="112" spans="1:16">
      <c r="A112" t="s">
        <v>45</v>
      </c>
      <c r="B112" s="43" t="s">
        <v>88</v>
      </c>
      <c r="C112" s="313">
        <f>VLOOKUP($A112&amp;"CP LF",'E11 - 2013 09 Final'!$A$46:$P$1775,$C$93,FALSE)</f>
        <v>0.79930000000000001</v>
      </c>
      <c r="D112" s="313">
        <f>VLOOKUP($A112&amp;"CP LF",'E11 - 2013 09 Final'!$A$46:$P$1775,$D$93,FALSE)</f>
        <v>0.73340000000000005</v>
      </c>
      <c r="E112" s="313">
        <f>VLOOKUP($A112&amp;"CP LF",'E11 - 2013 09 Final'!$A$46:$P$1775,$E$93,FALSE)</f>
        <v>7.5635000000000003</v>
      </c>
      <c r="F112" s="313">
        <f>VLOOKUP($A112&amp;"CP LF",'E11 - 2013 09 Final'!$A$46:$P$1775,$F$93,FALSE)</f>
        <v>1.4202999999999999</v>
      </c>
      <c r="G112" s="313">
        <f>VLOOKUP($A112&amp;"CP LF",'E11 - 2013 09 Final'!$A$46:$P$1775,$G$93,FALSE)</f>
        <v>1.4231</v>
      </c>
      <c r="H112" s="313">
        <f>VLOOKUP($A112&amp;"CP LF",'E11 - 2013 09 Final'!$A$46:$P$1775,$H$93,FALSE)</f>
        <v>1.0448999999999999</v>
      </c>
      <c r="I112" s="313">
        <f>VLOOKUP($A112&amp;"CP LF",'E11 - 2013 09 Final'!$A$46:$P$1775,$I$93,FALSE)</f>
        <v>3.35</v>
      </c>
      <c r="J112" s="313">
        <f>VLOOKUP($A112&amp;"CP LF",'E11 - 2013 09 Final'!$A$46:$P$1775,$J$93,FALSE)</f>
        <v>3.5358999999999998</v>
      </c>
      <c r="K112" s="313">
        <f>VLOOKUP($A112&amp;"CP LF",'E11 - 2013 09 Final'!$A$46:$P$1775,$K$93,FALSE)</f>
        <v>5.1403999999999996</v>
      </c>
      <c r="L112" s="313">
        <f>VLOOKUP($A112&amp;"CP LF",'E11 - 2013 09 Final'!$A$46:$P$1775,$L$93,FALSE)</f>
        <v>1.2456</v>
      </c>
      <c r="M112" s="313">
        <f>VLOOKUP($A112&amp;"CP LF",'E11 - 2013 09 Final'!$A$46:$P$1775,$M$93,FALSE)</f>
        <v>0.4703</v>
      </c>
      <c r="N112" s="313">
        <f>VLOOKUP($A112&amp;"CP LF",'E11 - 2013 09 Final'!$A$46:$P$1775,$N$93,FALSE)</f>
        <v>0.61450000000000005</v>
      </c>
      <c r="O112" s="117"/>
      <c r="P112" s="314"/>
    </row>
    <row r="113" spans="1:16">
      <c r="C113" s="48"/>
      <c r="D113" s="48"/>
      <c r="E113" s="48"/>
      <c r="F113" s="48"/>
      <c r="G113" s="48"/>
      <c r="H113" s="48"/>
      <c r="I113" s="48"/>
      <c r="J113" s="48"/>
      <c r="K113" s="48"/>
      <c r="L113" s="48"/>
      <c r="M113" s="48"/>
      <c r="N113" s="48"/>
      <c r="O113" s="315"/>
      <c r="P113" s="316"/>
    </row>
    <row r="114" spans="1:16">
      <c r="C114" s="48"/>
      <c r="D114" s="48"/>
      <c r="E114" s="48"/>
      <c r="F114" s="48"/>
      <c r="G114" s="48"/>
      <c r="H114" s="48"/>
      <c r="I114" s="48"/>
      <c r="J114" s="48"/>
      <c r="K114" s="48"/>
      <c r="L114" s="48"/>
      <c r="M114" s="48"/>
      <c r="N114" s="48"/>
      <c r="O114" s="315"/>
      <c r="P114" s="316"/>
    </row>
    <row r="115" spans="1:16">
      <c r="B115" s="42" t="s">
        <v>86</v>
      </c>
      <c r="C115" s="10"/>
      <c r="D115" s="10"/>
      <c r="E115" s="10"/>
      <c r="F115" s="10"/>
      <c r="G115" s="10"/>
      <c r="H115" s="10"/>
      <c r="I115" s="10"/>
      <c r="J115" s="10"/>
      <c r="K115" s="10"/>
      <c r="L115" s="10"/>
      <c r="M115" s="10"/>
      <c r="N115" s="10"/>
      <c r="O115" s="110"/>
      <c r="P115" s="110"/>
    </row>
    <row r="116" spans="1:16">
      <c r="A116" t="s">
        <v>603</v>
      </c>
      <c r="B116" t="s">
        <v>603</v>
      </c>
      <c r="C116" s="313">
        <f>VLOOKUP($A116&amp;"CP LF",'E11 - 2013 09 Final'!$A$46:$P$1775,$C$93,FALSE)</f>
        <v>0.92010000000000003</v>
      </c>
      <c r="D116" s="313">
        <f>VLOOKUP($A116&amp;"CP LF",'E11 - 2013 09 Final'!$A$46:$P$1775,$D$93,FALSE)</f>
        <v>0.93389999999999995</v>
      </c>
      <c r="E116" s="313">
        <f>VLOOKUP($A116&amp;"CP LF",'E11 - 2013 09 Final'!$A$46:$P$1775,$E$93,FALSE)</f>
        <v>0.5887</v>
      </c>
      <c r="F116" s="313">
        <f>VLOOKUP($A116&amp;"CP LF",'E11 - 2013 09 Final'!$A$46:$P$1775,$F$93,FALSE)</f>
        <v>0.89170000000000005</v>
      </c>
      <c r="G116" s="313">
        <f>VLOOKUP($A116&amp;"CP LF",'E11 - 2013 09 Final'!$A$46:$P$1775,$G$93,FALSE)</f>
        <v>0.63570000000000004</v>
      </c>
      <c r="H116" s="313">
        <f>VLOOKUP($A116&amp;"CP LF",'E11 - 2013 09 Final'!$A$46:$P$1775,$H$93,FALSE)</f>
        <v>0.66720000000000002</v>
      </c>
      <c r="I116" s="313">
        <f>VLOOKUP($A116&amp;"CP LF",'E11 - 2013 09 Final'!$A$46:$P$1775,$I$93,FALSE)</f>
        <v>0.67149999999999999</v>
      </c>
      <c r="J116" s="313">
        <f>VLOOKUP($A116&amp;"CP LF",'E11 - 2013 09 Final'!$A$46:$P$1775,$J$93,FALSE)</f>
        <v>0.84279999999999999</v>
      </c>
      <c r="K116" s="313">
        <f>VLOOKUP($A116&amp;"CP LF",'E11 - 2013 09 Final'!$A$46:$P$1775,$K$93,FALSE)</f>
        <v>0.63060000000000005</v>
      </c>
      <c r="L116" s="313">
        <f>VLOOKUP($A116&amp;"CP LF",'E11 - 2013 09 Final'!$A$46:$P$1775,$L$93,FALSE)</f>
        <v>0.87870000000000004</v>
      </c>
      <c r="M116" s="313">
        <f>VLOOKUP($A116&amp;"CP LF",'E11 - 2013 09 Final'!$A$46:$P$1775,$M$93,FALSE)</f>
        <v>0.79869999999999997</v>
      </c>
      <c r="N116" s="313">
        <f>VLOOKUP($A116&amp;"CP LF",'E11 - 2013 09 Final'!$A$46:$P$1775,$N$93,FALSE)</f>
        <v>0.91749999999999998</v>
      </c>
      <c r="O116" s="117"/>
      <c r="P116" s="314"/>
    </row>
    <row r="117" spans="1:16">
      <c r="A117" t="s">
        <v>245</v>
      </c>
      <c r="B117" t="s">
        <v>983</v>
      </c>
      <c r="C117" s="313">
        <f>VLOOKUP($A117&amp;"CP LF",'E11 - 2013 09 Final'!$A$46:$P$1775,$C$93,FALSE)</f>
        <v>0.72919999999999996</v>
      </c>
      <c r="D117" s="313">
        <f>VLOOKUP($A117&amp;"CP LF",'E11 - 2013 09 Final'!$A$46:$P$1775,$D$93,FALSE)</f>
        <v>0.67979999999999996</v>
      </c>
      <c r="E117" s="313">
        <f>VLOOKUP($A117&amp;"CP LF",'E11 - 2013 09 Final'!$A$46:$P$1775,$E$93,FALSE)</f>
        <v>0.80910000000000004</v>
      </c>
      <c r="F117" s="313">
        <f>VLOOKUP($A117&amp;"CP LF",'E11 - 2013 09 Final'!$A$46:$P$1775,$F$93,FALSE)</f>
        <v>0.71750000000000003</v>
      </c>
      <c r="G117" s="313">
        <f>VLOOKUP($A117&amp;"CP LF",'E11 - 2013 09 Final'!$A$46:$P$1775,$G$93,FALSE)</f>
        <v>0.62029999999999996</v>
      </c>
      <c r="H117" s="313">
        <f>VLOOKUP($A117&amp;"CP LF",'E11 - 2013 09 Final'!$A$46:$P$1775,$H$93,FALSE)</f>
        <v>0.72829999999999995</v>
      </c>
      <c r="I117" s="313">
        <f>VLOOKUP($A117&amp;"CP LF",'E11 - 2013 09 Final'!$A$46:$P$1775,$I$93,FALSE)</f>
        <v>0.69569999999999999</v>
      </c>
      <c r="J117" s="313">
        <f>VLOOKUP($A117&amp;"CP LF",'E11 - 2013 09 Final'!$A$46:$P$1775,$J$93,FALSE)</f>
        <v>0.74939999999999996</v>
      </c>
      <c r="K117" s="313">
        <f>VLOOKUP($A117&amp;"CP LF",'E11 - 2013 09 Final'!$A$46:$P$1775,$K$93,FALSE)</f>
        <v>0.7147</v>
      </c>
      <c r="L117" s="313">
        <f>VLOOKUP($A117&amp;"CP LF",'E11 - 2013 09 Final'!$A$46:$P$1775,$L$93,FALSE)</f>
        <v>0.68679999999999997</v>
      </c>
      <c r="M117" s="313">
        <f>VLOOKUP($A117&amp;"CP LF",'E11 - 2013 09 Final'!$A$46:$P$1775,$M$93,FALSE)</f>
        <v>0.68269999999999997</v>
      </c>
      <c r="N117" s="313">
        <f>VLOOKUP($A117&amp;"CP LF",'E11 - 2013 09 Final'!$A$46:$P$1775,$N$93,FALSE)</f>
        <v>0.70730000000000004</v>
      </c>
      <c r="O117" s="117"/>
      <c r="P117" s="314"/>
    </row>
    <row r="118" spans="1:16">
      <c r="A118" t="s">
        <v>242</v>
      </c>
      <c r="B118" t="s">
        <v>491</v>
      </c>
      <c r="C118" s="313">
        <f>VLOOKUP($A118&amp;"CP LF",'E11 - 2013 09 Final'!$A$46:$P$1775,$C$93,FALSE)</f>
        <v>0.48120000000000002</v>
      </c>
      <c r="D118" s="313">
        <f>VLOOKUP($A118&amp;"CP LF",'E11 - 2013 09 Final'!$A$46:$P$1775,$D$93,FALSE)</f>
        <v>0.51639999999999997</v>
      </c>
      <c r="E118" s="313">
        <f>VLOOKUP($A118&amp;"CP LF",'E11 - 2013 09 Final'!$A$46:$P$1775,$E$93,FALSE)</f>
        <v>0.51139999999999997</v>
      </c>
      <c r="F118" s="313">
        <f>VLOOKUP($A118&amp;"CP LF",'E11 - 2013 09 Final'!$A$46:$P$1775,$F$93,FALSE)</f>
        <v>0.53190000000000004</v>
      </c>
      <c r="G118" s="313">
        <f>VLOOKUP($A118&amp;"CP LF",'E11 - 2013 09 Final'!$A$46:$P$1775,$G$93,FALSE)</f>
        <v>0.6008</v>
      </c>
      <c r="H118" s="313" t="str">
        <f>VLOOKUP($A118&amp;"CP LF",'E11 - 2013 09 Final'!$A$46:$P$1775,$H$93,FALSE)</f>
        <v xml:space="preserve"> </v>
      </c>
      <c r="I118" s="313" t="str">
        <f>VLOOKUP($A118&amp;"CP LF",'E11 - 2013 09 Final'!$A$46:$P$1775,$I$93,FALSE)</f>
        <v xml:space="preserve"> </v>
      </c>
      <c r="J118" s="313" t="str">
        <f>VLOOKUP($A118&amp;"CP LF",'E11 - 2013 09 Final'!$A$46:$P$1775,$J$93,FALSE)</f>
        <v xml:space="preserve"> </v>
      </c>
      <c r="K118" s="313" t="str">
        <f>VLOOKUP($A118&amp;"CP LF",'E11 - 2013 09 Final'!$A$46:$P$1775,$K$93,FALSE)</f>
        <v xml:space="preserve"> </v>
      </c>
      <c r="L118" s="313" t="str">
        <f>VLOOKUP($A118&amp;"CP LF",'E11 - 2013 09 Final'!$A$46:$P$1775,$L$93,FALSE)</f>
        <v xml:space="preserve"> </v>
      </c>
      <c r="M118" s="313" t="str">
        <f>VLOOKUP($A118&amp;"CP LF",'E11 - 2013 09 Final'!$A$46:$P$1775,$M$93,FALSE)</f>
        <v xml:space="preserve"> </v>
      </c>
      <c r="N118" s="313" t="str">
        <f>VLOOKUP($A118&amp;"CP LF",'E11 - 2013 09 Final'!$A$46:$P$1775,$N$93,FALSE)</f>
        <v xml:space="preserve"> </v>
      </c>
      <c r="O118" s="117"/>
      <c r="P118" s="314"/>
    </row>
    <row r="119" spans="1:16" ht="409.6">
      <c r="A119" t="s">
        <v>661</v>
      </c>
      <c r="B119" t="s">
        <v>984</v>
      </c>
      <c r="C119" s="313">
        <f>VLOOKUP($A119&amp;"CP LF",'E11 - 2013 09 Final'!$A$46:$P$1775,$C$93,FALSE)</f>
        <v>0.69810000000000005</v>
      </c>
      <c r="D119" s="313">
        <f>VLOOKUP($A119&amp;"CP LF",'E11 - 2013 09 Final'!$A$46:$P$1775,$D$93,FALSE)</f>
        <v>0.70079999999999998</v>
      </c>
      <c r="E119" s="313">
        <f>VLOOKUP($A119&amp;"CP LF",'E11 - 2013 09 Final'!$A$46:$P$1775,$E$93,FALSE)</f>
        <v>0.6361</v>
      </c>
      <c r="F119" s="313">
        <f>VLOOKUP($A119&amp;"CP LF",'E11 - 2013 09 Final'!$A$46:$P$1775,$F$93,FALSE)</f>
        <v>0.68120000000000003</v>
      </c>
      <c r="G119" s="313">
        <f>VLOOKUP($A119&amp;"CP LF",'E11 - 2013 09 Final'!$A$46:$P$1775,$G$93,FALSE)</f>
        <v>0.61709999999999998</v>
      </c>
      <c r="H119" s="313">
        <f>VLOOKUP($A119&amp;"CP LF",'E11 - 2013 09 Final'!$A$46:$P$1775,$H$93,FALSE)</f>
        <v>0.67479999999999996</v>
      </c>
      <c r="I119" s="313">
        <f>VLOOKUP($A119&amp;"CP LF",'E11 - 2013 09 Final'!$A$46:$P$1775,$I$93,FALSE)</f>
        <v>0.67720000000000002</v>
      </c>
      <c r="J119" s="313">
        <f>VLOOKUP($A119&amp;"CP LF",'E11 - 2013 09 Final'!$A$46:$P$1775,$J$93,FALSE)</f>
        <v>0.66</v>
      </c>
      <c r="K119" s="313">
        <f>VLOOKUP($A119&amp;"CP LF",'E11 - 2013 09 Final'!$A$46:$P$1775,$K$93,FALSE)</f>
        <v>0.65200000000000002</v>
      </c>
      <c r="L119" s="313">
        <f>VLOOKUP($A119&amp;"CP LF",'E11 - 2013 09 Final'!$A$46:$P$1775,$L$93,FALSE)</f>
        <v>0.64659999999999995</v>
      </c>
      <c r="M119" s="313">
        <f>VLOOKUP($A119&amp;"CP LF",'E11 - 2013 09 Final'!$A$46:$P$1775,$M$93,FALSE)</f>
        <v>0.64890000000000003</v>
      </c>
      <c r="N119" s="313">
        <f>VLOOKUP($A119&amp;"CP LF",'E11 - 2013 09 Final'!$A$46:$P$1775,$N$93,FALSE)</f>
        <v>0.6774</v>
      </c>
      <c r="O119" s="117"/>
      <c r="P119" s="314"/>
    </row>
    <row r="120" spans="1:16" ht="409.6">
      <c r="A120" t="s">
        <v>7</v>
      </c>
      <c r="B120" t="s">
        <v>987</v>
      </c>
      <c r="C120" s="313">
        <f>VLOOKUP($A120&amp;"CP LF",'E11 - 2013 09 Final'!$A$46:$P$1775,$C$93,FALSE)</f>
        <v>1.0663</v>
      </c>
      <c r="D120" s="313">
        <f>VLOOKUP($A120&amp;"CP LF",'E11 - 2013 09 Final'!$A$46:$P$1775,$D$93,FALSE)</f>
        <v>0.72519999999999996</v>
      </c>
      <c r="E120" s="313">
        <f>VLOOKUP($A120&amp;"CP LF",'E11 - 2013 09 Final'!$A$46:$P$1775,$E$93,FALSE)</f>
        <v>0.97650000000000003</v>
      </c>
      <c r="F120" s="313">
        <f>VLOOKUP($A120&amp;"CP LF",'E11 - 2013 09 Final'!$A$46:$P$1775,$F$93,FALSE)</f>
        <v>0.97650000000000003</v>
      </c>
      <c r="G120" s="313">
        <f>VLOOKUP($A120&amp;"CP LF",'E11 - 2013 09 Final'!$A$46:$P$1775,$G$93,FALSE)</f>
        <v>1.4562999999999999</v>
      </c>
      <c r="H120" s="313">
        <f>VLOOKUP($A120&amp;"CP LF",'E11 - 2013 09 Final'!$A$46:$P$1775,$H$93,FALSE)</f>
        <v>1.0278</v>
      </c>
      <c r="I120" s="313">
        <f>VLOOKUP($A120&amp;"CP LF",'E11 - 2013 09 Final'!$A$46:$P$1775,$I$93,FALSE)</f>
        <v>0.9173</v>
      </c>
      <c r="J120" s="313">
        <f>VLOOKUP($A120&amp;"CP LF",'E11 - 2013 09 Final'!$A$46:$P$1775,$J$93,FALSE)</f>
        <v>0.86040000000000005</v>
      </c>
      <c r="K120" s="313">
        <f>VLOOKUP($A120&amp;"CP LF",'E11 - 2013 09 Final'!$A$46:$P$1775,$K$93,FALSE)</f>
        <v>1.3138000000000001</v>
      </c>
      <c r="L120" s="313">
        <f>VLOOKUP($A120&amp;"CP LF",'E11 - 2013 09 Final'!$A$46:$P$1775,$L$93,FALSE)</f>
        <v>1.9979</v>
      </c>
      <c r="M120" s="313">
        <f>VLOOKUP($A120&amp;"CP LF",'E11 - 2013 09 Final'!$A$46:$P$1775,$M$93,FALSE)</f>
        <v>4.3224999999999998</v>
      </c>
      <c r="N120" s="313" t="str">
        <f>VLOOKUP($A120&amp;"CP LF",'E11 - 2013 09 Final'!$A$46:$P$1775,$N$93,FALSE)</f>
        <v xml:space="preserve"> </v>
      </c>
      <c r="O120" s="117"/>
      <c r="P120" s="314"/>
    </row>
    <row r="121" spans="1:16" ht="409.6">
      <c r="A121" t="s">
        <v>724</v>
      </c>
      <c r="B121" t="s">
        <v>724</v>
      </c>
      <c r="C121" s="313">
        <f>VLOOKUP($A121&amp;"CP LF",'E11 - 2013 09 Final'!$A$46:$P$1775,$C$93,FALSE)</f>
        <v>0.68389999999999995</v>
      </c>
      <c r="D121" s="313">
        <f>VLOOKUP($A121&amp;"CP LF",'E11 - 2013 09 Final'!$A$46:$P$1775,$D$93,FALSE)</f>
        <v>0.65790000000000004</v>
      </c>
      <c r="E121" s="313">
        <f>VLOOKUP($A121&amp;"CP LF",'E11 - 2013 09 Final'!$A$46:$P$1775,$E$93,FALSE)</f>
        <v>0.53439999999999999</v>
      </c>
      <c r="F121" s="313">
        <f>VLOOKUP($A121&amp;"CP LF",'E11 - 2013 09 Final'!$A$46:$P$1775,$F$93,FALSE)</f>
        <v>0.68330000000000002</v>
      </c>
      <c r="G121" s="313">
        <f>VLOOKUP($A121&amp;"CP LF",'E11 - 2013 09 Final'!$A$46:$P$1775,$G$93,FALSE)</f>
        <v>0.61080000000000001</v>
      </c>
      <c r="H121" s="313">
        <f>VLOOKUP($A121&amp;"CP LF",'E11 - 2013 09 Final'!$A$46:$P$1775,$H$93,FALSE)</f>
        <v>0.67510000000000003</v>
      </c>
      <c r="I121" s="313">
        <f>VLOOKUP($A121&amp;"CP LF",'E11 - 2013 09 Final'!$A$46:$P$1775,$I$93,FALSE)</f>
        <v>0.71730000000000005</v>
      </c>
      <c r="J121" s="313">
        <f>VLOOKUP($A121&amp;"CP LF",'E11 - 2013 09 Final'!$A$46:$P$1775,$J$93,FALSE)</f>
        <v>0.65980000000000005</v>
      </c>
      <c r="K121" s="313">
        <f>VLOOKUP($A121&amp;"CP LF",'E11 - 2013 09 Final'!$A$46:$P$1775,$K$93,FALSE)</f>
        <v>0.61160000000000003</v>
      </c>
      <c r="L121" s="313">
        <f>VLOOKUP($A121&amp;"CP LF",'E11 - 2013 09 Final'!$A$46:$P$1775,$L$93,FALSE)</f>
        <v>0.65110000000000001</v>
      </c>
      <c r="M121" s="313">
        <f>VLOOKUP($A121&amp;"CP LF",'E11 - 2013 09 Final'!$A$46:$P$1775,$M$93,FALSE)</f>
        <v>0.60919999999999996</v>
      </c>
      <c r="N121" s="313">
        <f>VLOOKUP($A121&amp;"CP LF",'E11 - 2013 09 Final'!$A$46:$P$1775,$N$93,FALSE)</f>
        <v>0.67</v>
      </c>
      <c r="O121" s="117"/>
      <c r="P121" s="314"/>
    </row>
    <row r="130" spans="1:18" ht="21">
      <c r="B130" s="611" t="s">
        <v>158</v>
      </c>
      <c r="C130" s="611"/>
      <c r="D130" s="611"/>
      <c r="E130" s="611"/>
      <c r="F130" s="611"/>
      <c r="G130" s="611"/>
      <c r="H130" s="611"/>
      <c r="I130" s="611"/>
      <c r="J130" s="611"/>
      <c r="K130" s="611"/>
      <c r="L130" s="611"/>
      <c r="M130" s="611"/>
      <c r="N130" s="611"/>
      <c r="O130" s="611"/>
      <c r="P130" s="611"/>
    </row>
    <row r="131" spans="1:18" ht="17.399999999999999">
      <c r="B131" s="610" t="str">
        <f>+MANUAL!$B$7 &amp;" as Calculated by LodeStar Except as Noted"</f>
        <v>2014 as Calculated by LodeStar Except as Noted</v>
      </c>
      <c r="C131" s="610"/>
      <c r="D131" s="610"/>
      <c r="E131" s="610"/>
      <c r="F131" s="610"/>
      <c r="G131" s="610"/>
      <c r="H131" s="610"/>
      <c r="I131" s="610"/>
      <c r="J131" s="610"/>
      <c r="K131" s="610"/>
      <c r="L131" s="610"/>
      <c r="M131" s="610"/>
      <c r="N131" s="610"/>
      <c r="O131" s="610"/>
      <c r="P131" s="610"/>
    </row>
    <row r="132" spans="1:18" ht="13.8" thickBot="1">
      <c r="B132" s="300"/>
      <c r="C132" s="300"/>
      <c r="D132" s="300"/>
      <c r="E132" s="300"/>
      <c r="F132" s="300"/>
      <c r="G132" s="300"/>
      <c r="H132" s="300"/>
      <c r="I132" s="300"/>
      <c r="J132" s="300"/>
      <c r="K132" s="300"/>
      <c r="L132" s="300"/>
      <c r="M132" s="300"/>
      <c r="N132" s="300"/>
      <c r="O132" s="300"/>
      <c r="P132" s="300"/>
    </row>
    <row r="133" spans="1:18">
      <c r="C133" s="14"/>
      <c r="D133" s="15"/>
      <c r="E133" s="16"/>
      <c r="F133" s="17"/>
      <c r="G133" s="18"/>
      <c r="H133" s="19"/>
      <c r="I133" s="20"/>
      <c r="J133" s="21"/>
      <c r="K133" s="22"/>
      <c r="L133" s="23"/>
      <c r="M133" s="24"/>
      <c r="N133" s="317"/>
      <c r="O133" s="110"/>
      <c r="P133" s="305"/>
    </row>
    <row r="134" spans="1:18" ht="13.8" thickBot="1">
      <c r="C134" s="28" t="s">
        <v>70</v>
      </c>
      <c r="D134" s="29" t="s">
        <v>71</v>
      </c>
      <c r="E134" s="30" t="s">
        <v>72</v>
      </c>
      <c r="F134" s="31" t="s">
        <v>73</v>
      </c>
      <c r="G134" s="32" t="s">
        <v>74</v>
      </c>
      <c r="H134" s="33" t="s">
        <v>75</v>
      </c>
      <c r="I134" s="34" t="s">
        <v>76</v>
      </c>
      <c r="J134" s="35" t="s">
        <v>77</v>
      </c>
      <c r="K134" s="36" t="s">
        <v>78</v>
      </c>
      <c r="L134" s="37" t="s">
        <v>79</v>
      </c>
      <c r="M134" s="38" t="s">
        <v>80</v>
      </c>
      <c r="N134" s="318" t="s">
        <v>81</v>
      </c>
      <c r="O134" s="305"/>
      <c r="P134" s="305"/>
    </row>
    <row r="135" spans="1:18" hidden="1">
      <c r="C135">
        <v>4</v>
      </c>
      <c r="D135">
        <f>C135+1</f>
        <v>5</v>
      </c>
      <c r="E135">
        <f t="shared" ref="E135:N135" si="8">D135+1</f>
        <v>6</v>
      </c>
      <c r="F135">
        <f t="shared" si="8"/>
        <v>7</v>
      </c>
      <c r="G135">
        <f t="shared" si="8"/>
        <v>8</v>
      </c>
      <c r="H135">
        <f t="shared" si="8"/>
        <v>9</v>
      </c>
      <c r="I135">
        <f t="shared" si="8"/>
        <v>10</v>
      </c>
      <c r="J135">
        <f t="shared" si="8"/>
        <v>11</v>
      </c>
      <c r="K135">
        <f t="shared" si="8"/>
        <v>12</v>
      </c>
      <c r="L135">
        <f t="shared" si="8"/>
        <v>13</v>
      </c>
      <c r="M135">
        <f t="shared" si="8"/>
        <v>14</v>
      </c>
      <c r="N135">
        <f t="shared" si="8"/>
        <v>15</v>
      </c>
      <c r="O135" s="305"/>
      <c r="P135" s="305"/>
    </row>
    <row r="136" spans="1:18">
      <c r="O136" s="110"/>
      <c r="P136" s="110"/>
    </row>
    <row r="137" spans="1:18">
      <c r="B137" s="42" t="s">
        <v>83</v>
      </c>
      <c r="O137" s="110"/>
      <c r="P137" s="110"/>
    </row>
    <row r="138" spans="1:18">
      <c r="A138" t="s">
        <v>122</v>
      </c>
      <c r="B138" s="43" t="s">
        <v>84</v>
      </c>
      <c r="C138" s="313">
        <f>VLOOKUP($A138&amp;"CP LF",'E11 - 2014 09 Final'!$A$46:$Q$1704,$C$135,FALSE)</f>
        <v>0.98960000000000004</v>
      </c>
      <c r="D138" s="313">
        <f>VLOOKUP($A138&amp;"CP LF",'E11 - 2014 09 Final'!$A$46:$Q$1704,$D$135,FALSE)</f>
        <v>0.8992</v>
      </c>
      <c r="E138" s="313">
        <f>VLOOKUP($A138&amp;"CP LF",'E11 - 2014 09 Final'!$A$46:$Q$1704,$E$135,FALSE)</f>
        <v>1.0021</v>
      </c>
      <c r="F138" s="313">
        <f>VLOOKUP($A138&amp;"CP LF",'E11 - 2014 09 Final'!$A$46:$Q$1704,$F$135,FALSE)</f>
        <v>0.89639999999999997</v>
      </c>
      <c r="G138" s="313">
        <f>VLOOKUP($A138&amp;"CP LF",'E11 - 2014 09 Final'!$A$46:$Q$1704,$G$135,FALSE)</f>
        <v>0.95130000000000003</v>
      </c>
      <c r="H138" s="313">
        <f>VLOOKUP($A138&amp;"CP LF",'E11 - 2014 09 Final'!$A$46:$Q$1704,$H$135,FALSE)</f>
        <v>0.89380000000000004</v>
      </c>
      <c r="I138" s="313">
        <f>VLOOKUP($A138&amp;"CP LF",'E11 - 2014 09 Final'!$A$46:$Q$1704,$I$135,FALSE)</f>
        <v>0.91779999999999995</v>
      </c>
      <c r="J138" s="313">
        <f>VLOOKUP($A138&amp;"CP LF",'E11 - 2014 09 Final'!$A$46:$Q$1704,$J$135,FALSE)</f>
        <v>0.92979999999999996</v>
      </c>
      <c r="K138" s="313">
        <f>VLOOKUP($A138&amp;"CP LF",'E11 - 2014 09 Final'!$A$46:$Q$1704,$K$135,FALSE)</f>
        <v>0.91659999999999997</v>
      </c>
      <c r="L138" s="313">
        <f>VLOOKUP($A138&amp;"CP LF",'E11 - 2014 09 Final'!$A$46:$Q$1704,$L$135,FALSE)</f>
        <v>0.90259999999999996</v>
      </c>
      <c r="M138" s="313">
        <f>VLOOKUP($A138&amp;"CP LF",'E11 - 2014 09 Final'!$A$46:$Q$1704,$M$135,FALSE)</f>
        <v>0.81120000000000003</v>
      </c>
      <c r="N138" s="313">
        <f>VLOOKUP($A138&amp;"CP LF",'E11 - 2014 09 Final'!$A$46:$Q$1704,$N$135,FALSE)</f>
        <v>0.92810000000000004</v>
      </c>
      <c r="O138" s="117"/>
      <c r="P138" s="314"/>
      <c r="R138" s="163"/>
    </row>
    <row r="139" spans="1:18">
      <c r="A139" t="s">
        <v>177</v>
      </c>
      <c r="B139" s="43" t="s">
        <v>85</v>
      </c>
      <c r="C139" s="313">
        <f>VLOOKUP($A139&amp;"CP LF",'E11 - 2014 09 Final'!$A$46:$Q$1704,$C$135,FALSE)</f>
        <v>0.94530000000000003</v>
      </c>
      <c r="D139" s="313">
        <f>VLOOKUP($A139&amp;"CP LF",'E11 - 2014 09 Final'!$A$46:$Q$1704,$D$135,FALSE)</f>
        <v>0.88880000000000003</v>
      </c>
      <c r="E139" s="313">
        <f>VLOOKUP($A139&amp;"CP LF",'E11 - 2014 09 Final'!$A$46:$Q$1704,$E$135,FALSE)</f>
        <v>0.98499999999999999</v>
      </c>
      <c r="F139" s="313">
        <f>VLOOKUP($A139&amp;"CP LF",'E11 - 2014 09 Final'!$A$46:$Q$1704,$F$135,FALSE)</f>
        <v>0.88190000000000002</v>
      </c>
      <c r="G139" s="313">
        <f>VLOOKUP($A139&amp;"CP LF",'E11 - 2014 09 Final'!$A$46:$Q$1704,$G$135,FALSE)</f>
        <v>0.9022</v>
      </c>
      <c r="H139" s="313">
        <f>VLOOKUP($A139&amp;"CP LF",'E11 - 2014 09 Final'!$A$46:$Q$1704,$H$135,FALSE)</f>
        <v>0.86539999999999995</v>
      </c>
      <c r="I139" s="313">
        <f>VLOOKUP($A139&amp;"CP LF",'E11 - 2014 09 Final'!$A$46:$Q$1704,$I$135,FALSE)</f>
        <v>0.90169999999999995</v>
      </c>
      <c r="J139" s="313">
        <f>VLOOKUP($A139&amp;"CP LF",'E11 - 2014 09 Final'!$A$46:$Q$1704,$J$135,FALSE)</f>
        <v>0.88959999999999995</v>
      </c>
      <c r="K139" s="313">
        <f>VLOOKUP($A139&amp;"CP LF",'E11 - 2014 09 Final'!$A$46:$Q$1704,$K$135,FALSE)</f>
        <v>0.87980000000000003</v>
      </c>
      <c r="L139" s="313">
        <f>VLOOKUP($A139&amp;"CP LF",'E11 - 2014 09 Final'!$A$46:$Q$1704,$L$135,FALSE)</f>
        <v>0.86160000000000003</v>
      </c>
      <c r="M139" s="313">
        <f>VLOOKUP($A139&amp;"CP LF",'E11 - 2014 09 Final'!$A$46:$Q$1704,$M$135,FALSE)</f>
        <v>0.81200000000000006</v>
      </c>
      <c r="N139" s="313">
        <f>VLOOKUP($A139&amp;"CP LF",'E11 - 2014 09 Final'!$A$46:$Q$1704,$N$135,FALSE)</f>
        <v>0.91790000000000005</v>
      </c>
      <c r="O139" s="117"/>
      <c r="P139" s="314"/>
      <c r="R139" s="163"/>
    </row>
    <row r="140" spans="1:18">
      <c r="A140" t="s">
        <v>185</v>
      </c>
      <c r="B140" s="43" t="s">
        <v>50</v>
      </c>
      <c r="C140" s="313">
        <f>VLOOKUP($A140&amp;"CP LF",'E11 - 2014 09 Final'!$A$46:$Q$1704,$C$135,FALSE)</f>
        <v>0.91639999999999999</v>
      </c>
      <c r="D140" s="313">
        <f>VLOOKUP($A140&amp;"CP LF",'E11 - 2014 09 Final'!$A$46:$Q$1704,$D$135,FALSE)</f>
        <v>1.0416000000000001</v>
      </c>
      <c r="E140" s="313">
        <f>VLOOKUP($A140&amp;"CP LF",'E11 - 2014 09 Final'!$A$46:$Q$1704,$E$135,FALSE)</f>
        <v>0.98860000000000003</v>
      </c>
      <c r="F140" s="313">
        <f>VLOOKUP($A140&amp;"CP LF",'E11 - 2014 09 Final'!$A$46:$Q$1704,$F$135,FALSE)</f>
        <v>0.93910000000000005</v>
      </c>
      <c r="G140" s="313">
        <f>VLOOKUP($A140&amp;"CP LF",'E11 - 2014 09 Final'!$A$46:$Q$1704,$G$135,FALSE)</f>
        <v>0.89939999999999998</v>
      </c>
      <c r="H140" s="313">
        <f>VLOOKUP($A140&amp;"CP LF",'E11 - 2014 09 Final'!$A$46:$Q$1704,$H$135,FALSE)</f>
        <v>0.92730000000000001</v>
      </c>
      <c r="I140" s="313">
        <f>VLOOKUP($A140&amp;"CP LF",'E11 - 2014 09 Final'!$A$46:$Q$1704,$I$135,FALSE)</f>
        <v>0.9103</v>
      </c>
      <c r="J140" s="313">
        <f>VLOOKUP($A140&amp;"CP LF",'E11 - 2014 09 Final'!$A$46:$Q$1704,$J$135,FALSE)</f>
        <v>0.99390000000000001</v>
      </c>
      <c r="K140" s="313">
        <f>VLOOKUP($A140&amp;"CP LF",'E11 - 2014 09 Final'!$A$46:$Q$1704,$K$135,FALSE)</f>
        <v>0.96250000000000002</v>
      </c>
      <c r="L140" s="313">
        <f>VLOOKUP($A140&amp;"CP LF",'E11 - 2014 09 Final'!$A$46:$Q$1704,$L$135,FALSE)</f>
        <v>0.99590000000000001</v>
      </c>
      <c r="M140" s="313">
        <f>VLOOKUP($A140&amp;"CP LF",'E11 - 2014 09 Final'!$A$46:$Q$1704,$M$135,FALSE)</f>
        <v>0.92830000000000001</v>
      </c>
      <c r="N140" s="313">
        <f>VLOOKUP($A140&amp;"CP LF",'E11 - 2014 09 Final'!$A$46:$Q$1704,$N$135,FALSE)</f>
        <v>1.0136000000000001</v>
      </c>
      <c r="O140" s="117"/>
      <c r="P140" s="314"/>
      <c r="R140" s="163"/>
    </row>
    <row r="141" spans="1:18">
      <c r="A141" t="s">
        <v>632</v>
      </c>
      <c r="B141" s="43" t="s">
        <v>49</v>
      </c>
      <c r="C141" s="313">
        <f>VLOOKUP($A141&amp;"CP LF",'E11 - 2014 09 Final'!$A$46:$Q$1704,$C$135,FALSE)</f>
        <v>1.1761999999999999</v>
      </c>
      <c r="D141" s="313">
        <f>VLOOKUP($A141&amp;"CP LF",'E11 - 2014 09 Final'!$A$46:$Q$1704,$D$135,FALSE)</f>
        <v>0.6119</v>
      </c>
      <c r="E141" s="313">
        <f>VLOOKUP($A141&amp;"CP LF",'E11 - 2014 09 Final'!$A$46:$Q$1704,$E$135,FALSE)</f>
        <v>1.0633999999999999</v>
      </c>
      <c r="F141" s="313">
        <f>VLOOKUP($A141&amp;"CP LF",'E11 - 2014 09 Final'!$A$46:$Q$1704,$F$135,FALSE)</f>
        <v>0.60450000000000004</v>
      </c>
      <c r="G141" s="313">
        <f>VLOOKUP($A141&amp;"CP LF",'E11 - 2014 09 Final'!$A$46:$Q$1704,$G$135,FALSE)</f>
        <v>0.66910000000000003</v>
      </c>
      <c r="H141" s="313">
        <f>VLOOKUP($A141&amp;"CP LF",'E11 - 2014 09 Final'!$A$46:$Q$1704,$H$135,FALSE)</f>
        <v>0.56950000000000001</v>
      </c>
      <c r="I141" s="313">
        <f>VLOOKUP($A141&amp;"CP LF",'E11 - 2014 09 Final'!$A$46:$Q$1704,$I$135,FALSE)</f>
        <v>0.62570000000000003</v>
      </c>
      <c r="J141" s="313">
        <f>VLOOKUP($A141&amp;"CP LF",'E11 - 2014 09 Final'!$A$46:$Q$1704,$J$135,FALSE)</f>
        <v>0.63880000000000003</v>
      </c>
      <c r="K141" s="313">
        <f>VLOOKUP($A141&amp;"CP LF",'E11 - 2014 09 Final'!$A$46:$Q$1704,$K$135,FALSE)</f>
        <v>0.62290000000000001</v>
      </c>
      <c r="L141" s="313">
        <f>VLOOKUP($A141&amp;"CP LF",'E11 - 2014 09 Final'!$A$46:$Q$1704,$L$135,FALSE)</f>
        <v>0.59909999999999997</v>
      </c>
      <c r="M141" s="313">
        <f>VLOOKUP($A141&amp;"CP LF",'E11 - 2014 09 Final'!$A$46:$Q$1704,$M$135,FALSE)</f>
        <v>0.53390000000000004</v>
      </c>
      <c r="N141" s="313">
        <f>VLOOKUP($A141&amp;"CP LF",'E11 - 2014 09 Final'!$A$46:$Q$1704,$N$135,FALSE)</f>
        <v>0.83650000000000002</v>
      </c>
      <c r="O141" s="117"/>
      <c r="P141" s="314"/>
      <c r="R141" s="163"/>
    </row>
    <row r="142" spans="1:18">
      <c r="A142" t="s">
        <v>640</v>
      </c>
      <c r="B142" s="46" t="s">
        <v>325</v>
      </c>
      <c r="C142" s="313">
        <f>VLOOKUP($A142&amp;"CP LF",'E11 - 2014 09 Final'!$A$46:$Q$1704,$C$135,FALSE)</f>
        <v>1.0296000000000001</v>
      </c>
      <c r="D142" s="313">
        <f>VLOOKUP($A142&amp;"CP LF",'E11 - 2014 09 Final'!$A$46:$Q$1704,$D$135,FALSE)</f>
        <v>0.98640000000000005</v>
      </c>
      <c r="E142" s="313">
        <f>VLOOKUP($A142&amp;"CP LF",'E11 - 2014 09 Final'!$A$46:$Q$1704,$E$135,FALSE)</f>
        <v>0.9909</v>
      </c>
      <c r="F142" s="313">
        <f>VLOOKUP($A142&amp;"CP LF",'E11 - 2014 09 Final'!$A$46:$Q$1704,$F$135,FALSE)</f>
        <v>1.0468</v>
      </c>
      <c r="G142" s="313">
        <f>VLOOKUP($A142&amp;"CP LF",'E11 - 2014 09 Final'!$A$46:$Q$1704,$G$135,FALSE)</f>
        <v>0.99519999999999997</v>
      </c>
      <c r="H142" s="313">
        <f>VLOOKUP($A142&amp;"CP LF",'E11 - 2014 09 Final'!$A$46:$Q$1704,$H$135,FALSE)</f>
        <v>0.99570000000000003</v>
      </c>
      <c r="I142" s="313">
        <f>VLOOKUP($A142&amp;"CP LF",'E11 - 2014 09 Final'!$A$46:$Q$1704,$I$135,FALSE)</f>
        <v>0.99819999999999998</v>
      </c>
      <c r="J142" s="313">
        <f>VLOOKUP($A142&amp;"CP LF",'E11 - 2014 09 Final'!$A$46:$Q$1704,$J$135,FALSE)</f>
        <v>0.99680000000000002</v>
      </c>
      <c r="K142" s="313">
        <f>VLOOKUP($A142&amp;"CP LF",'E11 - 2014 09 Final'!$A$46:$Q$1704,$K$135,FALSE)</f>
        <v>0.99609999999999999</v>
      </c>
      <c r="L142" s="313">
        <f>VLOOKUP($A142&amp;"CP LF",'E11 - 2014 09 Final'!$A$46:$Q$1704,$L$135,FALSE)</f>
        <v>0.99399999999999999</v>
      </c>
      <c r="M142" s="313">
        <f>VLOOKUP($A142&amp;"CP LF",'E11 - 2014 09 Final'!$A$46:$Q$1704,$M$135,FALSE)</f>
        <v>0.99029999999999996</v>
      </c>
      <c r="N142" s="313">
        <f>VLOOKUP($A142&amp;"CP LF",'E11 - 2014 09 Final'!$A$46:$Q$1704,$N$135,FALSE)</f>
        <v>0.99490000000000001</v>
      </c>
      <c r="O142" s="117"/>
      <c r="P142" s="314"/>
      <c r="R142" s="163"/>
    </row>
    <row r="143" spans="1:18">
      <c r="A143" t="s">
        <v>651</v>
      </c>
      <c r="B143" s="43" t="s">
        <v>67</v>
      </c>
      <c r="C143" s="313">
        <f>VLOOKUP($A143&amp;"CP LF",'E11 - 2014 09 Final'!$A$46:$Q$1704,$C$135,FALSE)</f>
        <v>0.96260000000000001</v>
      </c>
      <c r="D143" s="313">
        <f>VLOOKUP($A143&amp;"CP LF",'E11 - 2014 09 Final'!$A$46:$Q$1704,$D$135,FALSE)</f>
        <v>0.70579999999999998</v>
      </c>
      <c r="E143" s="313">
        <f>VLOOKUP($A143&amp;"CP LF",'E11 - 2014 09 Final'!$A$46:$Q$1704,$E$135,FALSE)</f>
        <v>0.86</v>
      </c>
      <c r="F143" s="313">
        <f>VLOOKUP($A143&amp;"CP LF",'E11 - 2014 09 Final'!$A$46:$Q$1704,$F$135,FALSE)</f>
        <v>0.74180000000000001</v>
      </c>
      <c r="G143" s="313">
        <f>VLOOKUP($A143&amp;"CP LF",'E11 - 2014 09 Final'!$A$46:$Q$1704,$G$135,FALSE)</f>
        <v>0.76390000000000002</v>
      </c>
      <c r="H143" s="313">
        <f>VLOOKUP($A143&amp;"CP LF",'E11 - 2014 09 Final'!$A$46:$Q$1704,$H$135,FALSE)</f>
        <v>0.70830000000000004</v>
      </c>
      <c r="I143" s="313">
        <f>VLOOKUP($A143&amp;"CP LF",'E11 - 2014 09 Final'!$A$46:$Q$1704,$I$135,FALSE)</f>
        <v>0.74080000000000001</v>
      </c>
      <c r="J143" s="313">
        <f>VLOOKUP($A143&amp;"CP LF",'E11 - 2014 09 Final'!$A$46:$Q$1704,$J$135,FALSE)</f>
        <v>0.76459999999999995</v>
      </c>
      <c r="K143" s="313">
        <f>VLOOKUP($A143&amp;"CP LF",'E11 - 2014 09 Final'!$A$46:$Q$1704,$K$135,FALSE)</f>
        <v>0.75370000000000004</v>
      </c>
      <c r="L143" s="313">
        <f>VLOOKUP($A143&amp;"CP LF",'E11 - 2014 09 Final'!$A$46:$Q$1704,$L$135,FALSE)</f>
        <v>0.70209999999999995</v>
      </c>
      <c r="M143" s="313">
        <f>VLOOKUP($A143&amp;"CP LF",'E11 - 2014 09 Final'!$A$46:$Q$1704,$M$135,FALSE)</f>
        <v>0.62660000000000005</v>
      </c>
      <c r="N143" s="313">
        <f>VLOOKUP($A143&amp;"CP LF",'E11 - 2014 09 Final'!$A$46:$Q$1704,$N$135,FALSE)</f>
        <v>0.79190000000000005</v>
      </c>
      <c r="O143" s="117"/>
      <c r="P143" s="314"/>
      <c r="R143" s="163"/>
    </row>
    <row r="144" spans="1:18">
      <c r="A144" t="s">
        <v>656</v>
      </c>
      <c r="B144" s="43" t="s">
        <v>68</v>
      </c>
      <c r="C144" s="313">
        <f>VLOOKUP($A144&amp;"CP LF",'E11 - 2014 09 Final'!$A$46:$Q$1704,$C$135,FALSE)</f>
        <v>0.94179999999999997</v>
      </c>
      <c r="D144" s="313">
        <f>VLOOKUP($A144&amp;"CP LF",'E11 - 2014 09 Final'!$A$46:$Q$1704,$D$135,FALSE)</f>
        <v>0.75080000000000002</v>
      </c>
      <c r="E144" s="313">
        <f>VLOOKUP($A144&amp;"CP LF",'E11 - 2014 09 Final'!$A$46:$Q$1704,$E$135,FALSE)</f>
        <v>0.95960000000000001</v>
      </c>
      <c r="F144" s="313">
        <f>VLOOKUP($A144&amp;"CP LF",'E11 - 2014 09 Final'!$A$46:$Q$1704,$F$135,FALSE)</f>
        <v>0.77280000000000004</v>
      </c>
      <c r="G144" s="313">
        <f>VLOOKUP($A144&amp;"CP LF",'E11 - 2014 09 Final'!$A$46:$Q$1704,$G$135,FALSE)</f>
        <v>0.81659999999999999</v>
      </c>
      <c r="H144" s="313">
        <f>VLOOKUP($A144&amp;"CP LF",'E11 - 2014 09 Final'!$A$46:$Q$1704,$H$135,FALSE)</f>
        <v>0.76519999999999999</v>
      </c>
      <c r="I144" s="313">
        <f>VLOOKUP($A144&amp;"CP LF",'E11 - 2014 09 Final'!$A$46:$Q$1704,$I$135,FALSE)</f>
        <v>0.77390000000000003</v>
      </c>
      <c r="J144" s="313">
        <f>VLOOKUP($A144&amp;"CP LF",'E11 - 2014 09 Final'!$A$46:$Q$1704,$J$135,FALSE)</f>
        <v>0.77900000000000003</v>
      </c>
      <c r="K144" s="313">
        <f>VLOOKUP($A144&amp;"CP LF",'E11 - 2014 09 Final'!$A$46:$Q$1704,$K$135,FALSE)</f>
        <v>0.77900000000000003</v>
      </c>
      <c r="L144" s="313">
        <f>VLOOKUP($A144&amp;"CP LF",'E11 - 2014 09 Final'!$A$46:$Q$1704,$L$135,FALSE)</f>
        <v>0.73129999999999995</v>
      </c>
      <c r="M144" s="313">
        <f>VLOOKUP($A144&amp;"CP LF",'E11 - 2014 09 Final'!$A$46:$Q$1704,$M$135,FALSE)</f>
        <v>0.64900000000000002</v>
      </c>
      <c r="N144" s="313">
        <f>VLOOKUP($A144&amp;"CP LF",'E11 - 2014 09 Final'!$A$46:$Q$1704,$N$135,FALSE)</f>
        <v>0.84830000000000005</v>
      </c>
      <c r="O144" s="117"/>
      <c r="P144" s="314"/>
      <c r="R144" s="163"/>
    </row>
    <row r="145" spans="1:25">
      <c r="A145" t="s">
        <v>713</v>
      </c>
      <c r="B145" s="43" t="s">
        <v>69</v>
      </c>
      <c r="C145" s="313">
        <f>VLOOKUP($A145&amp;"CP LF",'E11 - 2014 09 Final'!$A$46:$Q$1704,$C$135,FALSE)</f>
        <v>1.1234999999999999</v>
      </c>
      <c r="D145" s="313">
        <f>VLOOKUP($A145&amp;"CP LF",'E11 - 2014 09 Final'!$A$46:$Q$1704,$D$135,FALSE)</f>
        <v>0.8427</v>
      </c>
      <c r="E145" s="313">
        <f>VLOOKUP($A145&amp;"CP LF",'E11 - 2014 09 Final'!$A$46:$Q$1704,$E$135,FALSE)</f>
        <v>0.94440000000000002</v>
      </c>
      <c r="F145" s="313">
        <f>VLOOKUP($A145&amp;"CP LF",'E11 - 2014 09 Final'!$A$46:$Q$1704,$F$135,FALSE)</f>
        <v>0.90700000000000003</v>
      </c>
      <c r="G145" s="313">
        <f>VLOOKUP($A145&amp;"CP LF",'E11 - 2014 09 Final'!$A$46:$Q$1704,$G$135,FALSE)</f>
        <v>0.95050000000000001</v>
      </c>
      <c r="H145" s="313">
        <f>VLOOKUP($A145&amp;"CP LF",'E11 - 2014 09 Final'!$A$46:$Q$1704,$H$135,FALSE)</f>
        <v>0.92059999999999997</v>
      </c>
      <c r="I145" s="313">
        <f>VLOOKUP($A145&amp;"CP LF",'E11 - 2014 09 Final'!$A$46:$Q$1704,$I$135,FALSE)</f>
        <v>0.94789999999999996</v>
      </c>
      <c r="J145" s="313">
        <f>VLOOKUP($A145&amp;"CP LF",'E11 - 2014 09 Final'!$A$46:$Q$1704,$J$135,FALSE)</f>
        <v>0.95209999999999995</v>
      </c>
      <c r="K145" s="313">
        <f>VLOOKUP($A145&amp;"CP LF",'E11 - 2014 09 Final'!$A$46:$Q$1704,$K$135,FALSE)</f>
        <v>0.94720000000000004</v>
      </c>
      <c r="L145" s="313">
        <f>VLOOKUP($A145&amp;"CP LF",'E11 - 2014 09 Final'!$A$46:$Q$1704,$L$135,FALSE)</f>
        <v>0.89059999999999995</v>
      </c>
      <c r="M145" s="313">
        <f>VLOOKUP($A145&amp;"CP LF",'E11 - 2014 09 Final'!$A$46:$Q$1704,$M$135,FALSE)</f>
        <v>0.76580000000000004</v>
      </c>
      <c r="N145" s="313">
        <f>VLOOKUP($A145&amp;"CP LF",'E11 - 2014 09 Final'!$A$46:$Q$1704,$N$135,FALSE)</f>
        <v>0.89700000000000002</v>
      </c>
      <c r="O145" s="117"/>
      <c r="P145" s="314"/>
      <c r="R145" s="163"/>
    </row>
    <row r="146" spans="1:25">
      <c r="A146" t="s">
        <v>717</v>
      </c>
      <c r="B146" s="43" t="s">
        <v>52</v>
      </c>
      <c r="C146" s="313">
        <f>VLOOKUP($A146&amp;"CP LF",'E11 - 2014 09 Final'!$A$46:$Q$1704,$C$135,FALSE)</f>
        <v>0.98540000000000005</v>
      </c>
      <c r="D146" s="313">
        <f>VLOOKUP($A146&amp;"CP LF",'E11 - 2014 09 Final'!$A$46:$Q$1704,$D$135,FALSE)</f>
        <v>1.1870000000000001</v>
      </c>
      <c r="E146" s="313">
        <f>VLOOKUP($A146&amp;"CP LF",'E11 - 2014 09 Final'!$A$46:$Q$1704,$E$135,FALSE)</f>
        <v>0.72619999999999996</v>
      </c>
      <c r="F146" s="313">
        <f>VLOOKUP($A146&amp;"CP LF",'E11 - 2014 09 Final'!$A$46:$Q$1704,$F$135,FALSE)</f>
        <v>0.73570000000000002</v>
      </c>
      <c r="G146" s="313">
        <f>VLOOKUP($A146&amp;"CP LF",'E11 - 2014 09 Final'!$A$46:$Q$1704,$G$135,FALSE)</f>
        <v>0.9708</v>
      </c>
      <c r="H146" s="313">
        <f>VLOOKUP($A146&amp;"CP LF",'E11 - 2014 09 Final'!$A$46:$Q$1704,$H$135,FALSE)</f>
        <v>0.81969999999999998</v>
      </c>
      <c r="I146" s="313">
        <f>VLOOKUP($A146&amp;"CP LF",'E11 - 2014 09 Final'!$A$46:$Q$1704,$I$135,FALSE)</f>
        <v>0.84989999999999999</v>
      </c>
      <c r="J146" s="313">
        <f>VLOOKUP($A146&amp;"CP LF",'E11 - 2014 09 Final'!$A$46:$Q$1704,$J$135,FALSE)</f>
        <v>0.71989999999999998</v>
      </c>
      <c r="K146" s="313">
        <f>VLOOKUP($A146&amp;"CP LF",'E11 - 2014 09 Final'!$A$46:$Q$1704,$K$135,FALSE)</f>
        <v>0.9143</v>
      </c>
      <c r="L146" s="313">
        <f>VLOOKUP($A146&amp;"CP LF",'E11 - 2014 09 Final'!$A$46:$Q$1704,$L$135,FALSE)</f>
        <v>0.79269999999999996</v>
      </c>
      <c r="M146" s="313">
        <f>VLOOKUP($A146&amp;"CP LF",'E11 - 2014 09 Final'!$A$46:$Q$1704,$M$135,FALSE)</f>
        <v>0.87139999999999995</v>
      </c>
      <c r="N146" s="313">
        <f>VLOOKUP($A146&amp;"CP LF",'E11 - 2014 09 Final'!$A$46:$Q$1704,$N$135,FALSE)</f>
        <v>1.3599000000000001</v>
      </c>
      <c r="O146" s="117"/>
      <c r="P146" s="314"/>
      <c r="R146" s="163"/>
    </row>
    <row r="147" spans="1:25">
      <c r="A147" t="s">
        <v>15</v>
      </c>
      <c r="B147" s="206" t="s">
        <v>15</v>
      </c>
      <c r="C147" s="313">
        <f>VLOOKUP($A147&amp;"CP LF",'E11 - 2014 09 Final'!$A$46:$Q$1704,$C$135,FALSE)</f>
        <v>0.75670000000000004</v>
      </c>
      <c r="D147" s="313">
        <f>VLOOKUP($A147&amp;"CP LF",'E11 - 2014 09 Final'!$A$46:$Q$1704,$D$135,FALSE)</f>
        <v>0.78149999999999997</v>
      </c>
      <c r="E147" s="313">
        <f>VLOOKUP($A147&amp;"CP LF",'E11 - 2014 09 Final'!$A$46:$Q$1704,$E$135,FALSE)</f>
        <v>1.1194</v>
      </c>
      <c r="F147" s="313">
        <f>VLOOKUP($A147&amp;"CP LF",'E11 - 2014 09 Final'!$A$46:$Q$1704,$F$135,FALSE)</f>
        <v>0.79279999999999995</v>
      </c>
      <c r="G147" s="313">
        <f>VLOOKUP($A147&amp;"CP LF",'E11 - 2014 09 Final'!$A$46:$Q$1704,$G$135,FALSE)</f>
        <v>0.71220000000000006</v>
      </c>
      <c r="H147" s="313">
        <f>VLOOKUP($A147&amp;"CP LF",'E11 - 2014 09 Final'!$A$46:$Q$1704,$H$135,FALSE)</f>
        <v>0.80779999999999996</v>
      </c>
      <c r="I147" s="313">
        <f>VLOOKUP($A147&amp;"CP LF",'E11 - 2014 09 Final'!$A$46:$Q$1704,$I$135,FALSE)</f>
        <v>0.70379999999999998</v>
      </c>
      <c r="J147" s="313">
        <f>VLOOKUP($A147&amp;"CP LF",'E11 - 2014 09 Final'!$A$46:$Q$1704,$J$135,FALSE)</f>
        <v>0.72850000000000004</v>
      </c>
      <c r="K147" s="313">
        <f>VLOOKUP($A147&amp;"CP LF",'E11 - 2014 09 Final'!$A$46:$Q$1704,$K$135,FALSE)</f>
        <v>0.68769999999999998</v>
      </c>
      <c r="L147" s="313">
        <f>VLOOKUP($A147&amp;"CP LF",'E11 - 2014 09 Final'!$A$46:$Q$1704,$L$135,FALSE)</f>
        <v>0.74729999999999996</v>
      </c>
      <c r="M147" s="313">
        <f>VLOOKUP($A147&amp;"CP LF",'E11 - 2014 09 Final'!$A$46:$Q$1704,$M$135,FALSE)</f>
        <v>0.78180000000000005</v>
      </c>
      <c r="N147" s="313">
        <f>VLOOKUP($A147&amp;"CP LF",'E11 - 2014 09 Final'!$A$46:$Q$1704,$N$135,FALSE)</f>
        <v>0.82469999999999999</v>
      </c>
      <c r="O147" s="117"/>
      <c r="P147" s="314"/>
      <c r="R147" s="163"/>
    </row>
    <row r="148" spans="1:25">
      <c r="A148" t="s">
        <v>19</v>
      </c>
      <c r="B148" s="43" t="s">
        <v>56</v>
      </c>
      <c r="C148" s="313">
        <f>VLOOKUP($A148&amp;"CP LF",'E11 - 2014 09 Final'!$A$46:$Q$1704,$C$135,FALSE)</f>
        <v>4.7222</v>
      </c>
      <c r="D148" s="313">
        <f>VLOOKUP($A148&amp;"CP LF",'E11 - 2014 09 Final'!$A$46:$Q$1704,$D$135,FALSE)</f>
        <v>0</v>
      </c>
      <c r="E148" s="313">
        <f>VLOOKUP($A148&amp;"CP LF",'E11 - 2014 09 Final'!$A$46:$Q$1704,$E$135,FALSE)</f>
        <v>0</v>
      </c>
      <c r="F148" s="313">
        <f>VLOOKUP($A148&amp;"CP LF",'E11 - 2014 09 Final'!$A$46:$Q$1704,$F$135,FALSE)</f>
        <v>0</v>
      </c>
      <c r="G148" s="313">
        <f>VLOOKUP($A148&amp;"CP LF",'E11 - 2014 09 Final'!$A$46:$Q$1704,$G$135,FALSE)</f>
        <v>0</v>
      </c>
      <c r="H148" s="313">
        <f>VLOOKUP($A148&amp;"CP LF",'E11 - 2014 09 Final'!$A$46:$Q$1704,$H$135,FALSE)</f>
        <v>0</v>
      </c>
      <c r="I148" s="313">
        <f>VLOOKUP($A148&amp;"CP LF",'E11 - 2014 09 Final'!$A$46:$Q$1704,$I$135,FALSE)</f>
        <v>0</v>
      </c>
      <c r="J148" s="313">
        <f>VLOOKUP($A148&amp;"CP LF",'E11 - 2014 09 Final'!$A$46:$Q$1704,$J$135,FALSE)</f>
        <v>0</v>
      </c>
      <c r="K148" s="313">
        <f>VLOOKUP($A148&amp;"CP LF",'E11 - 2014 09 Final'!$A$46:$Q$1704,$K$135,FALSE)</f>
        <v>0</v>
      </c>
      <c r="L148" s="313">
        <f>VLOOKUP($A148&amp;"CP LF",'E11 - 2014 09 Final'!$A$46:$Q$1704,$L$135,FALSE)</f>
        <v>0</v>
      </c>
      <c r="M148" s="313">
        <f>VLOOKUP($A148&amp;"CP LF",'E11 - 2014 09 Final'!$A$46:$Q$1704,$M$135,FALSE)</f>
        <v>0</v>
      </c>
      <c r="N148" s="313">
        <f>VLOOKUP($A148&amp;"CP LF",'E11 - 2014 09 Final'!$A$46:$Q$1704,$N$135,FALSE)</f>
        <v>0</v>
      </c>
      <c r="O148" s="117"/>
      <c r="P148" s="314"/>
      <c r="R148" s="163"/>
    </row>
    <row r="149" spans="1:25">
      <c r="A149" t="s">
        <v>22</v>
      </c>
      <c r="B149" s="43" t="s">
        <v>57</v>
      </c>
      <c r="C149" s="313">
        <f>VLOOKUP($A149&amp;"CP LF",'E11 - 2014 09 Final'!$A$46:$Q$1704,$C$135,FALSE)</f>
        <v>2.0880999999999998</v>
      </c>
      <c r="D149" s="313">
        <f>VLOOKUP($A149&amp;"CP LF",'E11 - 2014 09 Final'!$A$46:$Q$1704,$D$135,FALSE)</f>
        <v>2.4796999999999998</v>
      </c>
      <c r="E149" s="313">
        <f>VLOOKUP($A149&amp;"CP LF",'E11 - 2014 09 Final'!$A$46:$Q$1704,$E$135,FALSE)</f>
        <v>1.4813000000000001</v>
      </c>
      <c r="F149" s="313">
        <f>VLOOKUP($A149&amp;"CP LF",'E11 - 2014 09 Final'!$A$46:$Q$1704,$F$135,FALSE)</f>
        <v>1.6089</v>
      </c>
      <c r="G149" s="313">
        <f>VLOOKUP($A149&amp;"CP LF",'E11 - 2014 09 Final'!$A$46:$Q$1704,$G$135,FALSE)</f>
        <v>1.6128</v>
      </c>
      <c r="H149" s="313">
        <f>VLOOKUP($A149&amp;"CP LF",'E11 - 2014 09 Final'!$A$46:$Q$1704,$H$135,FALSE)</f>
        <v>1.2468999999999999</v>
      </c>
      <c r="I149" s="313">
        <f>VLOOKUP($A149&amp;"CP LF",'E11 - 2014 09 Final'!$A$46:$Q$1704,$I$135,FALSE)</f>
        <v>1.2615000000000001</v>
      </c>
      <c r="J149" s="313">
        <f>VLOOKUP($A149&amp;"CP LF",'E11 - 2014 09 Final'!$A$46:$Q$1704,$J$135,FALSE)</f>
        <v>0.8498</v>
      </c>
      <c r="K149" s="313">
        <f>VLOOKUP($A149&amp;"CP LF",'E11 - 2014 09 Final'!$A$46:$Q$1704,$K$135,FALSE)</f>
        <v>1.2032</v>
      </c>
      <c r="L149" s="313">
        <f>VLOOKUP($A149&amp;"CP LF",'E11 - 2014 09 Final'!$A$46:$Q$1704,$L$135,FALSE)</f>
        <v>1.3202</v>
      </c>
      <c r="M149" s="313">
        <f>VLOOKUP($A149&amp;"CP LF",'E11 - 2014 09 Final'!$A$46:$Q$1704,$M$135,FALSE)</f>
        <v>2.5577000000000001</v>
      </c>
      <c r="N149" s="313">
        <f>VLOOKUP($A149&amp;"CP LF",'E11 - 2014 09 Final'!$A$46:$Q$1704,$N$135,FALSE)</f>
        <v>2.8399000000000001</v>
      </c>
      <c r="O149" s="117"/>
      <c r="P149" s="314"/>
      <c r="R149" s="163"/>
    </row>
    <row r="150" spans="1:25">
      <c r="A150" t="s">
        <v>687</v>
      </c>
      <c r="B150" s="43" t="s">
        <v>48</v>
      </c>
      <c r="C150" s="313">
        <f>VLOOKUP($A150&amp;"CP LF",'E11 - 2014 09 Final'!$A$46:$Q$1704,$C$135,FALSE)</f>
        <v>0.51559999999999995</v>
      </c>
      <c r="D150" s="313">
        <f>VLOOKUP($A150&amp;"CP LF",'E11 - 2014 09 Final'!$A$46:$Q$1704,$D$135,FALSE)</f>
        <v>0.6855</v>
      </c>
      <c r="E150" s="313">
        <f>VLOOKUP($A150&amp;"CP LF",'E11 - 2014 09 Final'!$A$46:$Q$1704,$E$135,FALSE)</f>
        <v>0.53210000000000002</v>
      </c>
      <c r="F150" s="313">
        <f>VLOOKUP($A150&amp;"CP LF",'E11 - 2014 09 Final'!$A$46:$Q$1704,$F$135,FALSE)</f>
        <v>0.5494</v>
      </c>
      <c r="G150" s="313">
        <f>VLOOKUP($A150&amp;"CP LF",'E11 - 2014 09 Final'!$A$46:$Q$1704,$G$135,FALSE)</f>
        <v>0.62019999999999997</v>
      </c>
      <c r="H150" s="313">
        <f>VLOOKUP($A150&amp;"CP LF",'E11 - 2014 09 Final'!$A$46:$Q$1704,$H$135,FALSE)</f>
        <v>0.62029999999999996</v>
      </c>
      <c r="I150" s="313">
        <f>VLOOKUP($A150&amp;"CP LF",'E11 - 2014 09 Final'!$A$46:$Q$1704,$I$135,FALSE)</f>
        <v>0.61660000000000004</v>
      </c>
      <c r="J150" s="313">
        <f>VLOOKUP($A150&amp;"CP LF",'E11 - 2014 09 Final'!$A$46:$Q$1704,$J$135,FALSE)</f>
        <v>0.67330000000000001</v>
      </c>
      <c r="K150" s="313">
        <f>VLOOKUP($A150&amp;"CP LF",'E11 - 2014 09 Final'!$A$46:$Q$1704,$K$135,FALSE)</f>
        <v>0.64200000000000002</v>
      </c>
      <c r="L150" s="313">
        <f>VLOOKUP($A150&amp;"CP LF",'E11 - 2014 09 Final'!$A$46:$Q$1704,$L$135,FALSE)</f>
        <v>0.59650000000000003</v>
      </c>
      <c r="M150" s="313">
        <f>VLOOKUP($A150&amp;"CP LF",'E11 - 2014 09 Final'!$A$46:$Q$1704,$M$135,FALSE)</f>
        <v>0.59970000000000001</v>
      </c>
      <c r="N150" s="313">
        <f>VLOOKUP($A150&amp;"CP LF",'E11 - 2014 09 Final'!$A$46:$Q$1704,$N$135,FALSE)</f>
        <v>0.56010000000000004</v>
      </c>
      <c r="O150" s="117"/>
      <c r="P150" s="314"/>
      <c r="R150" s="163"/>
    </row>
    <row r="151" spans="1:25">
      <c r="A151" t="s">
        <v>35</v>
      </c>
      <c r="B151" s="43" t="s">
        <v>53</v>
      </c>
      <c r="C151" s="313">
        <f>VLOOKUP($A151&amp;"CP LF",'E11 - 2014 09 Final'!$A$46:$Q$1704,$C$135,FALSE)</f>
        <v>4.7222</v>
      </c>
      <c r="D151" s="313">
        <f>VLOOKUP($A151&amp;"CP LF",'E11 - 2014 09 Final'!$A$46:$Q$1704,$D$135,FALSE)</f>
        <v>0</v>
      </c>
      <c r="E151" s="313">
        <f>VLOOKUP($A151&amp;"CP LF",'E11 - 2014 09 Final'!$A$46:$Q$1704,$E$135,FALSE)</f>
        <v>0</v>
      </c>
      <c r="F151" s="313">
        <f>VLOOKUP($A151&amp;"CP LF",'E11 - 2014 09 Final'!$A$46:$Q$1704,$F$135,FALSE)</f>
        <v>0</v>
      </c>
      <c r="G151" s="313">
        <f>VLOOKUP($A151&amp;"CP LF",'E11 - 2014 09 Final'!$A$46:$Q$1704,$G$135,FALSE)</f>
        <v>0</v>
      </c>
      <c r="H151" s="313">
        <f>VLOOKUP($A151&amp;"CP LF",'E11 - 2014 09 Final'!$A$46:$Q$1704,$H$135,FALSE)</f>
        <v>0</v>
      </c>
      <c r="I151" s="313">
        <f>VLOOKUP($A151&amp;"CP LF",'E11 - 2014 09 Final'!$A$46:$Q$1704,$I$135,FALSE)</f>
        <v>0</v>
      </c>
      <c r="J151" s="313">
        <f>VLOOKUP($A151&amp;"CP LF",'E11 - 2014 09 Final'!$A$46:$Q$1704,$J$135,FALSE)</f>
        <v>0</v>
      </c>
      <c r="K151" s="313">
        <f>VLOOKUP($A151&amp;"CP LF",'E11 - 2014 09 Final'!$A$46:$Q$1704,$K$135,FALSE)</f>
        <v>0</v>
      </c>
      <c r="L151" s="313">
        <f>VLOOKUP($A151&amp;"CP LF",'E11 - 2014 09 Final'!$A$46:$Q$1704,$L$135,FALSE)</f>
        <v>0</v>
      </c>
      <c r="M151" s="313">
        <f>VLOOKUP($A151&amp;"CP LF",'E11 - 2014 09 Final'!$A$46:$Q$1704,$M$135,FALSE)</f>
        <v>0</v>
      </c>
      <c r="N151" s="313">
        <f>VLOOKUP($A151&amp;"CP LF",'E11 - 2014 09 Final'!$A$46:$Q$1704,$N$135,FALSE)</f>
        <v>0</v>
      </c>
      <c r="O151" s="117"/>
      <c r="P151" s="314"/>
      <c r="R151" s="163"/>
    </row>
    <row r="152" spans="1:25">
      <c r="A152" t="s">
        <v>38</v>
      </c>
      <c r="B152" s="43" t="s">
        <v>55</v>
      </c>
      <c r="C152" s="313">
        <f>VLOOKUP($A152&amp;"CP LF",'E11 - 2014 09 Final'!$A$46:$Q$1704,$C$135,FALSE)</f>
        <v>1</v>
      </c>
      <c r="D152" s="313">
        <f>VLOOKUP($A152&amp;"CP LF",'E11 - 2014 09 Final'!$A$46:$Q$1704,$D$135,FALSE)</f>
        <v>1</v>
      </c>
      <c r="E152" s="313">
        <f>VLOOKUP($A152&amp;"CP LF",'E11 - 2014 09 Final'!$A$46:$Q$1704,$E$135,FALSE)</f>
        <v>1</v>
      </c>
      <c r="F152" s="313">
        <f>VLOOKUP($A152&amp;"CP LF",'E11 - 2014 09 Final'!$A$46:$Q$1704,$F$135,FALSE)</f>
        <v>1</v>
      </c>
      <c r="G152" s="313">
        <f>VLOOKUP($A152&amp;"CP LF",'E11 - 2014 09 Final'!$A$46:$Q$1704,$G$135,FALSE)</f>
        <v>1</v>
      </c>
      <c r="H152" s="313">
        <f>VLOOKUP($A152&amp;"CP LF",'E11 - 2014 09 Final'!$A$46:$Q$1704,$H$135,FALSE)</f>
        <v>1</v>
      </c>
      <c r="I152" s="313">
        <f>VLOOKUP($A152&amp;"CP LF",'E11 - 2014 09 Final'!$A$46:$Q$1704,$I$135,FALSE)</f>
        <v>1</v>
      </c>
      <c r="J152" s="313">
        <f>VLOOKUP($A152&amp;"CP LF",'E11 - 2014 09 Final'!$A$46:$Q$1704,$J$135,FALSE)</f>
        <v>1</v>
      </c>
      <c r="K152" s="313">
        <f>VLOOKUP($A152&amp;"CP LF",'E11 - 2014 09 Final'!$A$46:$Q$1704,$K$135,FALSE)</f>
        <v>1</v>
      </c>
      <c r="L152" s="313">
        <f>VLOOKUP($A152&amp;"CP LF",'E11 - 2014 09 Final'!$A$46:$Q$1704,$L$135,FALSE)</f>
        <v>1</v>
      </c>
      <c r="M152" s="313">
        <f>VLOOKUP($A152&amp;"CP LF",'E11 - 2014 09 Final'!$A$46:$Q$1704,$M$135,FALSE)</f>
        <v>0.99860000000000004</v>
      </c>
      <c r="N152" s="313">
        <f>VLOOKUP($A152&amp;"CP LF",'E11 - 2014 09 Final'!$A$46:$Q$1704,$N$135,FALSE)</f>
        <v>1</v>
      </c>
      <c r="O152" s="117"/>
      <c r="P152" s="314"/>
      <c r="R152" s="163"/>
    </row>
    <row r="153" spans="1:25">
      <c r="A153" t="s">
        <v>40</v>
      </c>
      <c r="B153" s="43" t="s">
        <v>87</v>
      </c>
      <c r="C153" s="313">
        <f>VLOOKUP($A153&amp;"CP LF",'E11 - 2014 09 Final'!$A$46:$Q$1704,$C$135,FALSE)</f>
        <v>0.75860000000000005</v>
      </c>
      <c r="D153" s="313">
        <f>VLOOKUP($A153&amp;"CP LF",'E11 - 2014 09 Final'!$A$46:$Q$1704,$D$135,FALSE)</f>
        <v>0.55879999999999996</v>
      </c>
      <c r="E153" s="313">
        <f>VLOOKUP($A153&amp;"CP LF",'E11 - 2014 09 Final'!$A$46:$Q$1704,$E$135,FALSE)</f>
        <v>0.74990000000000001</v>
      </c>
      <c r="F153" s="313">
        <f>VLOOKUP($A153&amp;"CP LF",'E11 - 2014 09 Final'!$A$46:$Q$1704,$F$135,FALSE)</f>
        <v>0.72719999999999996</v>
      </c>
      <c r="G153" s="313">
        <f>VLOOKUP($A153&amp;"CP LF",'E11 - 2014 09 Final'!$A$46:$Q$1704,$G$135,FALSE)</f>
        <v>1.9319</v>
      </c>
      <c r="H153" s="313">
        <f>VLOOKUP($A153&amp;"CP LF",'E11 - 2014 09 Final'!$A$46:$Q$1704,$H$135,FALSE)</f>
        <v>0.77549999999999997</v>
      </c>
      <c r="I153" s="313">
        <f>VLOOKUP($A153&amp;"CP LF",'E11 - 2014 09 Final'!$A$46:$Q$1704,$I$135,FALSE)</f>
        <v>0.92310000000000003</v>
      </c>
      <c r="J153" s="313">
        <f>VLOOKUP($A153&amp;"CP LF",'E11 - 2014 09 Final'!$A$46:$Q$1704,$J$135,FALSE)</f>
        <v>1.6536999999999999</v>
      </c>
      <c r="K153" s="313">
        <f>VLOOKUP($A153&amp;"CP LF",'E11 - 2014 09 Final'!$A$46:$Q$1704,$K$135,FALSE)</f>
        <v>0.77829999999999999</v>
      </c>
      <c r="L153" s="313">
        <f>VLOOKUP($A153&amp;"CP LF",'E11 - 2014 09 Final'!$A$46:$Q$1704,$L$135,FALSE)</f>
        <v>0.81389999999999996</v>
      </c>
      <c r="M153" s="313">
        <f>VLOOKUP($A153&amp;"CP LF",'E11 - 2014 09 Final'!$A$46:$Q$1704,$M$135,FALSE)</f>
        <v>13.668699999999999</v>
      </c>
      <c r="N153" s="313">
        <f>VLOOKUP($A153&amp;"CP LF",'E11 - 2014 09 Final'!$A$46:$Q$1704,$N$135,FALSE)</f>
        <v>0.87219999999999998</v>
      </c>
      <c r="O153" s="117"/>
      <c r="P153" s="314"/>
      <c r="R153" s="163"/>
    </row>
    <row r="154" spans="1:25">
      <c r="A154" t="s">
        <v>45</v>
      </c>
      <c r="B154" s="43" t="s">
        <v>88</v>
      </c>
      <c r="C154" s="313">
        <f>VLOOKUP($A154&amp;"CP LF",'E11 - 2014 09 Final'!$A$46:$Q$1704,$C$135,FALSE)</f>
        <v>1.5029999999999999</v>
      </c>
      <c r="D154" s="313">
        <f>VLOOKUP($A154&amp;"CP LF",'E11 - 2014 09 Final'!$A$46:$Q$1704,$D$135,FALSE)</f>
        <v>1.7411000000000001</v>
      </c>
      <c r="E154" s="313">
        <f>VLOOKUP($A154&amp;"CP LF",'E11 - 2014 09 Final'!$A$46:$Q$1704,$E$135,FALSE)</f>
        <v>1.2249000000000001</v>
      </c>
      <c r="F154" s="313">
        <f>VLOOKUP($A154&amp;"CP LF",'E11 - 2014 09 Final'!$A$46:$Q$1704,$F$135,FALSE)</f>
        <v>0.40179999999999999</v>
      </c>
      <c r="G154" s="313">
        <f>VLOOKUP($A154&amp;"CP LF",'E11 - 2014 09 Final'!$A$46:$Q$1704,$G$135,FALSE)</f>
        <v>2.6381000000000001</v>
      </c>
      <c r="H154" s="313">
        <f>VLOOKUP($A154&amp;"CP LF",'E11 - 2014 09 Final'!$A$46:$Q$1704,$H$135,FALSE)</f>
        <v>2.2629000000000001</v>
      </c>
      <c r="I154" s="313">
        <f>VLOOKUP($A154&amp;"CP LF",'E11 - 2014 09 Final'!$A$46:$Q$1704,$I$135,FALSE)</f>
        <v>2.3186</v>
      </c>
      <c r="J154" s="313">
        <f>VLOOKUP($A154&amp;"CP LF",'E11 - 2014 09 Final'!$A$46:$Q$1704,$J$135,FALSE)</f>
        <v>0.67069999999999996</v>
      </c>
      <c r="K154" s="313">
        <f>VLOOKUP($A154&amp;"CP LF",'E11 - 2014 09 Final'!$A$46:$Q$1704,$K$135,FALSE)</f>
        <v>0.25530000000000003</v>
      </c>
      <c r="L154" s="313">
        <f>VLOOKUP($A154&amp;"CP LF",'E11 - 2014 09 Final'!$A$46:$Q$1704,$L$135,FALSE)</f>
        <v>1.325</v>
      </c>
      <c r="M154" s="313">
        <f>VLOOKUP($A154&amp;"CP LF",'E11 - 2014 09 Final'!$A$46:$Q$1704,$M$135,FALSE)</f>
        <v>0.58860000000000001</v>
      </c>
      <c r="N154" s="313">
        <f>VLOOKUP($A154&amp;"CP LF",'E11 - 2014 09 Final'!$A$46:$Q$1704,$N$135,FALSE)</f>
        <v>1.0284</v>
      </c>
      <c r="O154" s="117"/>
      <c r="P154" s="314"/>
      <c r="R154" s="163"/>
    </row>
    <row r="155" spans="1:25">
      <c r="C155" s="48"/>
      <c r="D155" s="48"/>
      <c r="E155" s="48"/>
      <c r="F155" s="48"/>
      <c r="G155" s="48"/>
      <c r="H155" s="48"/>
      <c r="I155" s="48"/>
      <c r="J155" s="48"/>
      <c r="K155" s="48"/>
      <c r="L155" s="48"/>
      <c r="M155" s="48"/>
      <c r="N155" s="48"/>
      <c r="O155" s="315"/>
      <c r="P155" s="316"/>
    </row>
    <row r="156" spans="1:25">
      <c r="C156" s="48"/>
      <c r="D156" s="48"/>
      <c r="E156" s="48"/>
      <c r="F156" s="48"/>
      <c r="G156" s="48"/>
      <c r="H156" s="48"/>
      <c r="I156" s="48"/>
      <c r="J156" s="48"/>
      <c r="K156" s="48"/>
      <c r="L156" s="48"/>
      <c r="M156" s="48"/>
      <c r="N156" s="48"/>
      <c r="O156" s="315"/>
      <c r="P156" s="316"/>
      <c r="Y156" s="307"/>
    </row>
    <row r="157" spans="1:25">
      <c r="B157" s="42" t="s">
        <v>86</v>
      </c>
      <c r="C157" s="10"/>
      <c r="D157" s="10"/>
      <c r="E157" s="10"/>
      <c r="F157" s="10"/>
      <c r="G157" s="10"/>
      <c r="H157" s="10"/>
      <c r="I157" s="10"/>
      <c r="J157" s="10"/>
      <c r="K157" s="10"/>
      <c r="L157" s="10"/>
      <c r="M157" s="10"/>
      <c r="N157" s="10"/>
      <c r="O157" s="110"/>
      <c r="P157" s="110"/>
      <c r="Y157" s="307"/>
    </row>
    <row r="158" spans="1:25">
      <c r="A158" t="s">
        <v>603</v>
      </c>
      <c r="B158" t="s">
        <v>603</v>
      </c>
      <c r="C158" s="313">
        <f>VLOOKUP($A158&amp;"CP LF",'E11 - 2014 09 Final'!$A$46:$Q$1704,$C$135,FALSE)</f>
        <v>0.69920000000000004</v>
      </c>
      <c r="D158" s="313">
        <f>VLOOKUP($A158&amp;"CP LF",'E11 - 2014 09 Final'!$A$46:$Q$1704,$D$135,FALSE)</f>
        <v>0.87849999999999995</v>
      </c>
      <c r="E158" s="313">
        <f>VLOOKUP($A158&amp;"CP LF",'E11 - 2014 09 Final'!$A$46:$Q$1704,$E$135,FALSE)</f>
        <v>1.1760999999999999</v>
      </c>
      <c r="F158" s="313">
        <f>VLOOKUP($A158&amp;"CP LF",'E11 - 2014 09 Final'!$A$46:$Q$1704,$F$135,FALSE)</f>
        <v>0.56489999999999996</v>
      </c>
      <c r="G158" s="313">
        <f>VLOOKUP($A158&amp;"CP LF",'E11 - 2014 09 Final'!$A$46:$Q$1704,$G$135,FALSE)</f>
        <v>0.62039999999999995</v>
      </c>
      <c r="H158" s="313">
        <f>VLOOKUP($A158&amp;"CP LF",'E11 - 2014 09 Final'!$A$46:$Q$1704,$H$135,FALSE)</f>
        <v>0.72030000000000005</v>
      </c>
      <c r="I158" s="313">
        <f>VLOOKUP($A158&amp;"CP LF",'E11 - 2014 09 Final'!$A$46:$Q$1704,$I$135,FALSE)</f>
        <v>0.62080000000000002</v>
      </c>
      <c r="J158" s="313">
        <f>VLOOKUP($A158&amp;"CP LF",'E11 - 2014 09 Final'!$A$46:$Q$1704,$J$135,FALSE)</f>
        <v>0.64780000000000004</v>
      </c>
      <c r="K158" s="313">
        <f>VLOOKUP($A158&amp;"CP LF",'E11 - 2014 09 Final'!$A$46:$Q$1704,$K$135,FALSE)</f>
        <v>0.59260000000000002</v>
      </c>
      <c r="L158" s="313">
        <f>VLOOKUP($A158&amp;"CP LF",'E11 - 2014 09 Final'!$A$46:$Q$1704,$L$135,FALSE)</f>
        <v>0.72829999999999995</v>
      </c>
      <c r="M158" s="313">
        <f>VLOOKUP($A158&amp;"CP LF",'E11 - 2014 09 Final'!$A$46:$Q$1704,$M$135,FALSE)</f>
        <v>0.9325</v>
      </c>
      <c r="N158" s="313">
        <f>VLOOKUP($A158&amp;"CP LF",'E11 - 2014 09 Final'!$A$46:$Q$1704,$N$135,FALSE)</f>
        <v>1.0008999999999999</v>
      </c>
      <c r="O158" s="117"/>
      <c r="P158" s="117"/>
    </row>
    <row r="159" spans="1:25">
      <c r="A159" t="s">
        <v>245</v>
      </c>
      <c r="B159" t="s">
        <v>983</v>
      </c>
      <c r="C159" s="313">
        <f>VLOOKUP($A159&amp;"CP LF",'E11 - 2014 09 Final'!$A$46:$Q$1704,$C$135,FALSE)</f>
        <v>0.82569999999999999</v>
      </c>
      <c r="D159" s="313">
        <f>VLOOKUP($A159&amp;"CP LF",'E11 - 2014 09 Final'!$A$46:$Q$1704,$D$135,FALSE)</f>
        <v>0.73719999999999997</v>
      </c>
      <c r="E159" s="313">
        <f>VLOOKUP($A159&amp;"CP LF",'E11 - 2014 09 Final'!$A$46:$Q$1704,$E$135,FALSE)</f>
        <v>0.64649999999999996</v>
      </c>
      <c r="F159" s="313">
        <f>VLOOKUP($A159&amp;"CP LF",'E11 - 2014 09 Final'!$A$46:$Q$1704,$F$135,FALSE)</f>
        <v>0.68679999999999997</v>
      </c>
      <c r="G159" s="313">
        <f>VLOOKUP($A159&amp;"CP LF",'E11 - 2014 09 Final'!$A$46:$Q$1704,$G$135,FALSE)</f>
        <v>0.76039999999999996</v>
      </c>
      <c r="H159" s="313">
        <f>VLOOKUP($A159&amp;"CP LF",'E11 - 2014 09 Final'!$A$46:$Q$1704,$H$135,FALSE)</f>
        <v>0.72109999999999996</v>
      </c>
      <c r="I159" s="313">
        <f>VLOOKUP($A159&amp;"CP LF",'E11 - 2014 09 Final'!$A$46:$Q$1704,$I$135,FALSE)</f>
        <v>0.75549999999999995</v>
      </c>
      <c r="J159" s="313">
        <f>VLOOKUP($A159&amp;"CP LF",'E11 - 2014 09 Final'!$A$46:$Q$1704,$J$135,FALSE)</f>
        <v>0.78680000000000005</v>
      </c>
      <c r="K159" s="313">
        <f>VLOOKUP($A159&amp;"CP LF",'E11 - 2014 09 Final'!$A$46:$Q$1704,$K$135,FALSE)</f>
        <v>0.73880000000000001</v>
      </c>
      <c r="L159" s="313">
        <f>VLOOKUP($A159&amp;"CP LF",'E11 - 2014 09 Final'!$A$46:$Q$1704,$L$135,FALSE)</f>
        <v>0.62960000000000005</v>
      </c>
      <c r="M159" s="313">
        <f>VLOOKUP($A159&amp;"CP LF",'E11 - 2014 09 Final'!$A$46:$Q$1704,$M$135,FALSE)</f>
        <v>0.60519999999999996</v>
      </c>
      <c r="N159" s="313">
        <f>VLOOKUP($A159&amp;"CP LF",'E11 - 2014 09 Final'!$A$46:$Q$1704,$N$135,FALSE)</f>
        <v>0.68669999999999998</v>
      </c>
      <c r="O159" s="117"/>
      <c r="P159" s="314"/>
    </row>
    <row r="160" spans="1:25">
      <c r="A160" t="s">
        <v>661</v>
      </c>
      <c r="B160" t="s">
        <v>984</v>
      </c>
      <c r="C160" s="313">
        <f>VLOOKUP($A160&amp;"CP LF",'E11 - 2014 09 Final'!$A$46:$Q$1704,$C$135,FALSE)</f>
        <v>0.53639999999999999</v>
      </c>
      <c r="D160" s="313">
        <f>VLOOKUP($A160&amp;"CP LF",'E11 - 2014 09 Final'!$A$46:$Q$1704,$D$135,FALSE)</f>
        <v>0.69399999999999995</v>
      </c>
      <c r="E160" s="313">
        <f>VLOOKUP($A160&amp;"CP LF",'E11 - 2014 09 Final'!$A$46:$Q$1704,$E$135,FALSE)</f>
        <v>0.64019999999999999</v>
      </c>
      <c r="F160" s="313">
        <f>VLOOKUP($A160&amp;"CP LF",'E11 - 2014 09 Final'!$A$46:$Q$1704,$F$135,FALSE)</f>
        <v>0.58909999999999996</v>
      </c>
      <c r="G160" s="313">
        <f>VLOOKUP($A160&amp;"CP LF",'E11 - 2014 09 Final'!$A$46:$Q$1704,$G$135,FALSE)</f>
        <v>0.63629999999999998</v>
      </c>
      <c r="H160" s="313">
        <f>VLOOKUP($A160&amp;"CP LF",'E11 - 2014 09 Final'!$A$46:$Q$1704,$H$135,FALSE)</f>
        <v>0.62939999999999996</v>
      </c>
      <c r="I160" s="313">
        <f>VLOOKUP($A160&amp;"CP LF",'E11 - 2014 09 Final'!$A$46:$Q$1704,$I$135,FALSE)</f>
        <v>0.70940000000000003</v>
      </c>
      <c r="J160" s="313">
        <f>VLOOKUP($A160&amp;"CP LF",'E11 - 2014 09 Final'!$A$46:$Q$1704,$J$135,FALSE)</f>
        <v>0.65920000000000001</v>
      </c>
      <c r="K160" s="313">
        <f>VLOOKUP($A160&amp;"CP LF",'E11 - 2014 09 Final'!$A$46:$Q$1704,$K$135,FALSE)</f>
        <v>0.66979999999999995</v>
      </c>
      <c r="L160" s="313">
        <f>VLOOKUP($A160&amp;"CP LF",'E11 - 2014 09 Final'!$A$46:$Q$1704,$L$135,FALSE)</f>
        <v>0.57169999999999999</v>
      </c>
      <c r="M160" s="313">
        <f>VLOOKUP($A160&amp;"CP LF",'E11 - 2014 09 Final'!$A$46:$Q$1704,$M$135,FALSE)</f>
        <v>0.6048</v>
      </c>
      <c r="N160" s="313">
        <f>VLOOKUP($A160&amp;"CP LF",'E11 - 2014 09 Final'!$A$46:$Q$1704,$N$135,FALSE)</f>
        <v>0.67700000000000005</v>
      </c>
      <c r="O160" s="117"/>
      <c r="P160" s="314"/>
    </row>
    <row r="161" spans="1:16">
      <c r="A161" t="s">
        <v>673</v>
      </c>
      <c r="B161" t="s">
        <v>985</v>
      </c>
      <c r="C161" s="313" t="str">
        <f>VLOOKUP($A161&amp;"CP LF",'E11 - 2014 09 Final'!$A$46:$Q$1704,$C$135,FALSE)</f>
        <v xml:space="preserve"> </v>
      </c>
      <c r="D161" s="313">
        <f>VLOOKUP($A161&amp;"CP LF",'E11 - 2014 09 Final'!$A$46:$Q$1704,$D$135,FALSE)</f>
        <v>0.92479999999999996</v>
      </c>
      <c r="E161" s="313">
        <f>VLOOKUP($A161&amp;"CP LF",'E11 - 2014 09 Final'!$A$46:$Q$1704,$E$135,FALSE)</f>
        <v>1</v>
      </c>
      <c r="F161" s="313">
        <f>VLOOKUP($A161&amp;"CP LF",'E11 - 2014 09 Final'!$A$46:$Q$1704,$F$135,FALSE)</f>
        <v>1</v>
      </c>
      <c r="G161" s="313">
        <f>VLOOKUP($A161&amp;"CP LF",'E11 - 2014 09 Final'!$A$46:$Q$1704,$G$135,FALSE)</f>
        <v>0.9929</v>
      </c>
      <c r="H161" s="313">
        <f>VLOOKUP($A161&amp;"CP LF",'E11 - 2014 09 Final'!$A$46:$Q$1704,$H$135,FALSE)</f>
        <v>0.9163</v>
      </c>
      <c r="I161" s="313">
        <f>VLOOKUP($A161&amp;"CP LF",'E11 - 2014 09 Final'!$A$46:$Q$1704,$I$135,FALSE)</f>
        <v>0.94589999999999996</v>
      </c>
      <c r="J161" s="313">
        <f>VLOOKUP($A161&amp;"CP LF",'E11 - 2014 09 Final'!$A$46:$Q$1704,$J$135,FALSE)</f>
        <v>0.95889999999999997</v>
      </c>
      <c r="K161" s="313">
        <f>VLOOKUP($A161&amp;"CP LF",'E11 - 2014 09 Final'!$A$46:$Q$1704,$K$135,FALSE)</f>
        <v>0.99439999999999995</v>
      </c>
      <c r="L161" s="313">
        <f>VLOOKUP($A161&amp;"CP LF",'E11 - 2014 09 Final'!$A$46:$Q$1704,$L$135,FALSE)</f>
        <v>0.98019999999999996</v>
      </c>
      <c r="M161" s="313">
        <f>VLOOKUP($A161&amp;"CP LF",'E11 - 2014 09 Final'!$A$46:$Q$1704,$M$135,FALSE)</f>
        <v>0.99860000000000004</v>
      </c>
      <c r="N161" s="313">
        <f>VLOOKUP($A161&amp;"CP LF",'E11 - 2014 09 Final'!$A$46:$Q$1704,$N$135,FALSE)</f>
        <v>0.96609999999999996</v>
      </c>
      <c r="O161" s="117"/>
      <c r="P161" s="314"/>
    </row>
    <row r="162" spans="1:16">
      <c r="A162" t="s">
        <v>691</v>
      </c>
      <c r="B162" t="s">
        <v>691</v>
      </c>
      <c r="C162" s="313" t="str">
        <f>VLOOKUP($A162&amp;"CP LF",'E11 - 2014 09 Final'!$A$46:$Q$1704,$C$135,FALSE)</f>
        <v xml:space="preserve"> </v>
      </c>
      <c r="D162" s="313" t="str">
        <f>VLOOKUP($A162&amp;"CP LF",'E11 - 2014 09 Final'!$A$46:$Q$1704,$D$135,FALSE)</f>
        <v xml:space="preserve"> </v>
      </c>
      <c r="E162" s="313" t="str">
        <f>VLOOKUP($A162&amp;"CP LF",'E11 - 2014 09 Final'!$A$46:$Q$1704,$E$135,FALSE)</f>
        <v xml:space="preserve"> </v>
      </c>
      <c r="F162" s="313" t="str">
        <f>VLOOKUP($A162&amp;"CP LF",'E11 - 2014 09 Final'!$A$46:$Q$1704,$F$135,FALSE)</f>
        <v xml:space="preserve"> </v>
      </c>
      <c r="G162" s="313" t="str">
        <f>VLOOKUP($A162&amp;"CP LF",'E11 - 2014 09 Final'!$A$46:$Q$1704,$G$135,FALSE)</f>
        <v xml:space="preserve"> </v>
      </c>
      <c r="H162" s="313">
        <f>VLOOKUP($A162&amp;"CP LF",'E11 - 2014 09 Final'!$A$46:$Q$1704,$H$135,FALSE)</f>
        <v>0.56879999999999997</v>
      </c>
      <c r="I162" s="313">
        <f>VLOOKUP($A162&amp;"CP LF",'E11 - 2014 09 Final'!$A$46:$Q$1704,$I$135,FALSE)</f>
        <v>0.61060000000000003</v>
      </c>
      <c r="J162" s="313">
        <f>VLOOKUP($A162&amp;"CP LF",'E11 - 2014 09 Final'!$A$46:$Q$1704,$J$135,FALSE)</f>
        <v>0.64549999999999996</v>
      </c>
      <c r="K162" s="313">
        <f>VLOOKUP($A162&amp;"CP LF",'E11 - 2014 09 Final'!$A$46:$Q$1704,$K$135,FALSE)</f>
        <v>0.64839999999999998</v>
      </c>
      <c r="L162" s="313">
        <f>VLOOKUP($A162&amp;"CP LF",'E11 - 2014 09 Final'!$A$46:$Q$1704,$L$135,FALSE)</f>
        <v>0.58520000000000005</v>
      </c>
      <c r="M162" s="313">
        <f>VLOOKUP($A162&amp;"CP LF",'E11 - 2014 09 Final'!$A$46:$Q$1704,$M$135,FALSE)</f>
        <v>0</v>
      </c>
      <c r="N162" s="313">
        <f>VLOOKUP($A162&amp;"CP LF",'E11 - 2014 09 Final'!$A$46:$Q$1704,$N$135,FALSE)</f>
        <v>0</v>
      </c>
      <c r="O162" s="117"/>
      <c r="P162" s="314"/>
    </row>
    <row r="163" spans="1:16">
      <c r="A163" t="s">
        <v>724</v>
      </c>
      <c r="B163" t="s">
        <v>724</v>
      </c>
      <c r="C163" s="313">
        <f>VLOOKUP($A163&amp;"CP LF",'E11 - 2014 09 Final'!$A$46:$Q$1704,$C$135,FALSE)</f>
        <v>0.5504</v>
      </c>
      <c r="D163" s="313">
        <f>VLOOKUP($A163&amp;"CP LF",'E11 - 2014 09 Final'!$A$46:$Q$1704,$D$135,FALSE)</f>
        <v>0.6915</v>
      </c>
      <c r="E163" s="313">
        <f>VLOOKUP($A163&amp;"CP LF",'E11 - 2014 09 Final'!$A$46:$Q$1704,$E$135,FALSE)</f>
        <v>0.79920000000000002</v>
      </c>
      <c r="F163" s="313">
        <f>VLOOKUP($A163&amp;"CP LF",'E11 - 2014 09 Final'!$A$46:$Q$1704,$F$135,FALSE)</f>
        <v>0.55410000000000004</v>
      </c>
      <c r="G163" s="313">
        <f>VLOOKUP($A163&amp;"CP LF",'E11 - 2014 09 Final'!$A$46:$Q$1704,$G$135,FALSE)</f>
        <v>0.62350000000000005</v>
      </c>
      <c r="H163" s="313">
        <f>VLOOKUP($A163&amp;"CP LF",'E11 - 2014 09 Final'!$A$46:$Q$1704,$H$135,FALSE)</f>
        <v>0.65500000000000003</v>
      </c>
      <c r="I163" s="313">
        <f>VLOOKUP($A163&amp;"CP LF",'E11 - 2014 09 Final'!$A$46:$Q$1704,$I$135,FALSE)</f>
        <v>0.66059999999999997</v>
      </c>
      <c r="J163" s="313">
        <f>VLOOKUP($A163&amp;"CP LF",'E11 - 2014 09 Final'!$A$46:$Q$1704,$J$135,FALSE)</f>
        <v>0.64529999999999998</v>
      </c>
      <c r="K163" s="313">
        <f>VLOOKUP($A163&amp;"CP LF",'E11 - 2014 09 Final'!$A$46:$Q$1704,$K$135,FALSE)</f>
        <v>0.61750000000000005</v>
      </c>
      <c r="L163" s="313">
        <f>VLOOKUP($A163&amp;"CP LF",'E11 - 2014 09 Final'!$A$46:$Q$1704,$L$135,FALSE)</f>
        <v>0.61799999999999999</v>
      </c>
      <c r="M163" s="313">
        <f>VLOOKUP($A163&amp;"CP LF",'E11 - 2014 09 Final'!$A$46:$Q$1704,$M$135,FALSE)</f>
        <v>0.64649999999999996</v>
      </c>
      <c r="N163" s="313">
        <f>VLOOKUP($A163&amp;"CP LF",'E11 - 2014 09 Final'!$A$46:$Q$1704,$N$135,FALSE)</f>
        <v>0.70669999999999999</v>
      </c>
      <c r="O163" s="117"/>
      <c r="P163" s="314"/>
    </row>
    <row r="164" spans="1:16">
      <c r="A164" t="s">
        <v>727</v>
      </c>
      <c r="B164" t="s">
        <v>986</v>
      </c>
      <c r="C164" s="313">
        <f>VLOOKUP($A164&amp;"CP LF",'E11 - 2014 09 Final'!$A$46:$Q$1704,$C$135,FALSE)</f>
        <v>0.96640000000000004</v>
      </c>
      <c r="D164" s="313">
        <f>VLOOKUP($A164&amp;"CP LF",'E11 - 2014 09 Final'!$A$46:$Q$1704,$D$135,FALSE)</f>
        <v>1</v>
      </c>
      <c r="E164" s="313">
        <f>VLOOKUP($A164&amp;"CP LF",'E11 - 2014 09 Final'!$A$46:$Q$1704,$E$135,FALSE)</f>
        <v>0.99329999999999996</v>
      </c>
      <c r="F164" s="313">
        <f>VLOOKUP($A164&amp;"CP LF",'E11 - 2014 09 Final'!$A$46:$Q$1704,$F$135,FALSE)</f>
        <v>0.92920000000000003</v>
      </c>
      <c r="G164" s="313">
        <f>VLOOKUP($A164&amp;"CP LF",'E11 - 2014 09 Final'!$A$46:$Q$1704,$G$135,FALSE)</f>
        <v>0.98119999999999996</v>
      </c>
      <c r="H164" s="313">
        <f>VLOOKUP($A164&amp;"CP LF",'E11 - 2014 09 Final'!$A$46:$Q$1704,$H$135,FALSE)</f>
        <v>1</v>
      </c>
      <c r="I164" s="313">
        <f>VLOOKUP($A164&amp;"CP LF",'E11 - 2014 09 Final'!$A$46:$Q$1704,$I$135,FALSE)</f>
        <v>1</v>
      </c>
      <c r="J164" s="313">
        <f>VLOOKUP($A164&amp;"CP LF",'E11 - 2014 09 Final'!$A$46:$Q$1704,$J$135,FALSE)</f>
        <v>1</v>
      </c>
      <c r="K164" s="313">
        <f>VLOOKUP($A164&amp;"CP LF",'E11 - 2014 09 Final'!$A$46:$Q$1704,$K$135,FALSE)</f>
        <v>1</v>
      </c>
      <c r="L164" s="313">
        <f>VLOOKUP($A164&amp;"CP LF",'E11 - 2014 09 Final'!$A$46:$Q$1704,$L$135,FALSE)</f>
        <v>0.96909999999999996</v>
      </c>
      <c r="M164" s="313">
        <f>VLOOKUP($A164&amp;"CP LF",'E11 - 2014 09 Final'!$A$46:$Q$1704,$M$135,FALSE)</f>
        <v>0.96809999999999996</v>
      </c>
      <c r="N164" s="313">
        <f>VLOOKUP($A164&amp;"CP LF",'E11 - 2014 09 Final'!$A$46:$Q$1704,$N$135,FALSE)</f>
        <v>0.92610000000000003</v>
      </c>
      <c r="O164" s="117"/>
      <c r="P164" s="314"/>
    </row>
    <row r="165" spans="1:16">
      <c r="A165" s="43"/>
      <c r="B165" s="49" t="str">
        <f>IF('Avg NCP'!C145&gt;0,+'Avg KWH'!C145/HOURS!B$13/'Avg NCP'!C145,"")</f>
        <v/>
      </c>
      <c r="C165" s="49" t="str">
        <f>IF('Avg NCP'!D145&gt;0,+'Avg KWH'!D145/HOURS!C$13/'Avg NCP'!D145,"")</f>
        <v/>
      </c>
      <c r="D165" s="49" t="str">
        <f>IF('Avg NCP'!E145&gt;0,+'Avg KWH'!E145/HOURS!D$13/'Avg NCP'!E145,"")</f>
        <v/>
      </c>
      <c r="E165" s="49" t="str">
        <f>IF('Avg NCP'!F145&gt;0,+'Avg KWH'!F145/HOURS!E$13/'Avg NCP'!F145,"")</f>
        <v/>
      </c>
      <c r="F165" s="49" t="str">
        <f>IF('Avg NCP'!G145&gt;0,+'Avg KWH'!G145/HOURS!F$13/'Avg NCP'!G145,"")</f>
        <v/>
      </c>
      <c r="G165" s="49" t="str">
        <f>IF('Avg NCP'!H145&gt;0,+'Avg KWH'!H145/HOURS!G$13/'Avg NCP'!H145,"")</f>
        <v/>
      </c>
      <c r="H165" s="49" t="str">
        <f>IF('Avg NCP'!I145&gt;0,+'Avg KWH'!I145/HOURS!H$13/'Avg NCP'!I145,"")</f>
        <v/>
      </c>
      <c r="I165" s="49" t="str">
        <f>IF('Avg NCP'!J145&gt;0,+'Avg KWH'!J145/HOURS!I$13/'Avg NCP'!J145,"")</f>
        <v/>
      </c>
      <c r="J165" s="49" t="str">
        <f>IF('Avg NCP'!K145&gt;0,+'Avg KWH'!K145/HOURS!J$13/'Avg NCP'!K145,"")</f>
        <v/>
      </c>
      <c r="K165" s="49" t="str">
        <f>IF('Avg NCP'!L145&gt;0,+'Avg KWH'!L145/HOURS!K$13/'Avg NCP'!L145,"")</f>
        <v/>
      </c>
      <c r="L165" s="49" t="str">
        <f>IF('Avg NCP'!M145&gt;0,+'Avg KWH'!M145/HOURS!L$13/'Avg NCP'!M145,"")</f>
        <v/>
      </c>
      <c r="M165" s="49" t="str">
        <f>IF('Avg NCP'!N145&gt;0,+'Avg KWH'!N145/HOURS!M$13/'Avg NCP'!N145,"")</f>
        <v/>
      </c>
    </row>
    <row r="166" spans="1:16">
      <c r="A166" s="43"/>
      <c r="B166" s="49" t="str">
        <f>IF('Avg NCP'!C146&gt;0,+'Avg KWH'!C146/HOURS!B$13/'Avg NCP'!C146,"")</f>
        <v/>
      </c>
      <c r="C166" s="49" t="str">
        <f>IF('Avg NCP'!D146&gt;0,+'Avg KWH'!D146/HOURS!C$13/'Avg NCP'!D146,"")</f>
        <v/>
      </c>
      <c r="D166" s="49" t="str">
        <f>IF('Avg NCP'!E146&gt;0,+'Avg KWH'!E146/HOURS!D$13/'Avg NCP'!E146,"")</f>
        <v/>
      </c>
      <c r="E166" s="49" t="str">
        <f>IF('Avg NCP'!F146&gt;0,+'Avg KWH'!F146/HOURS!E$13/'Avg NCP'!F146,"")</f>
        <v/>
      </c>
      <c r="F166" s="49" t="str">
        <f>IF('Avg NCP'!G146&gt;0,+'Avg KWH'!G146/HOURS!F$13/'Avg NCP'!G146,"")</f>
        <v/>
      </c>
      <c r="G166" s="49" t="str">
        <f>IF('Avg NCP'!H146&gt;0,+'Avg KWH'!H146/HOURS!G$13/'Avg NCP'!H146,"")</f>
        <v/>
      </c>
      <c r="H166" s="49" t="str">
        <f>IF('Avg NCP'!I146&gt;0,+'Avg KWH'!I146/HOURS!H$13/'Avg NCP'!I146,"")</f>
        <v/>
      </c>
      <c r="I166" s="49" t="str">
        <f>IF('Avg NCP'!J146&gt;0,+'Avg KWH'!J146/HOURS!I$13/'Avg NCP'!J146,"")</f>
        <v/>
      </c>
      <c r="J166" s="49" t="str">
        <f>IF('Avg NCP'!K146&gt;0,+'Avg KWH'!K146/HOURS!J$13/'Avg NCP'!K146,"")</f>
        <v/>
      </c>
      <c r="K166" s="49" t="str">
        <f>IF('Avg NCP'!L146&gt;0,+'Avg KWH'!L146/HOURS!K$13/'Avg NCP'!L146,"")</f>
        <v/>
      </c>
      <c r="L166" s="49" t="str">
        <f>IF('Avg NCP'!M146&gt;0,+'Avg KWH'!M146/HOURS!L$13/'Avg NCP'!M146,"")</f>
        <v/>
      </c>
      <c r="M166" s="49" t="str">
        <f>IF('Avg NCP'!N146&gt;0,+'Avg KWH'!N146/HOURS!M$13/'Avg NCP'!N146,"")</f>
        <v/>
      </c>
    </row>
    <row r="167" spans="1:16">
      <c r="A167" s="43"/>
      <c r="B167" s="49" t="str">
        <f>IF('Avg NCP'!C147&gt;0,+'Avg KWH'!C147/HOURS!B$13/'Avg NCP'!C147,"")</f>
        <v/>
      </c>
      <c r="C167" s="49" t="str">
        <f>IF('Avg NCP'!D147&gt;0,+'Avg KWH'!D147/HOURS!C$13/'Avg NCP'!D147,"")</f>
        <v/>
      </c>
      <c r="D167" s="49" t="str">
        <f>IF('Avg NCP'!E147&gt;0,+'Avg KWH'!E147/HOURS!D$13/'Avg NCP'!E147,"")</f>
        <v/>
      </c>
      <c r="E167" s="49" t="str">
        <f>IF('Avg NCP'!F147&gt;0,+'Avg KWH'!F147/HOURS!E$13/'Avg NCP'!F147,"")</f>
        <v/>
      </c>
      <c r="F167" s="49" t="str">
        <f>IF('Avg NCP'!G147&gt;0,+'Avg KWH'!G147/HOURS!F$13/'Avg NCP'!G147,"")</f>
        <v/>
      </c>
      <c r="G167" s="49" t="str">
        <f>IF('Avg NCP'!H147&gt;0,+'Avg KWH'!H147/HOURS!G$13/'Avg NCP'!H147,"")</f>
        <v/>
      </c>
      <c r="H167" s="49" t="str">
        <f>IF('Avg NCP'!I147&gt;0,+'Avg KWH'!I147/HOURS!H$13/'Avg NCP'!I147,"")</f>
        <v/>
      </c>
      <c r="I167" s="49" t="str">
        <f>IF('Avg NCP'!J147&gt;0,+'Avg KWH'!J147/HOURS!I$13/'Avg NCP'!J147,"")</f>
        <v/>
      </c>
      <c r="J167" s="49" t="str">
        <f>IF('Avg NCP'!K147&gt;0,+'Avg KWH'!K147/HOURS!J$13/'Avg NCP'!K147,"")</f>
        <v/>
      </c>
      <c r="K167" s="49" t="str">
        <f>IF('Avg NCP'!L147&gt;0,+'Avg KWH'!L147/HOURS!K$13/'Avg NCP'!L147,"")</f>
        <v/>
      </c>
      <c r="L167" s="49" t="str">
        <f>IF('Avg NCP'!M147&gt;0,+'Avg KWH'!M147/HOURS!L$13/'Avg NCP'!M147,"")</f>
        <v/>
      </c>
      <c r="M167" s="49" t="str">
        <f>IF('Avg NCP'!N147&gt;0,+'Avg KWH'!N147/HOURS!M$13/'Avg NCP'!N147,"")</f>
        <v/>
      </c>
    </row>
    <row r="168" spans="1:16">
      <c r="A168" s="43"/>
      <c r="B168" s="49" t="str">
        <f>IF('Avg NCP'!C148&gt;0,+'Avg KWH'!C148/HOURS!B$13/'Avg NCP'!C148,"")</f>
        <v/>
      </c>
      <c r="C168" s="49" t="str">
        <f>IF('Avg NCP'!D148&gt;0,+'Avg KWH'!D148/HOURS!C$13/'Avg NCP'!D148,"")</f>
        <v/>
      </c>
      <c r="D168" s="49" t="str">
        <f>IF('Avg NCP'!E148&gt;0,+'Avg KWH'!E148/HOURS!D$13/'Avg NCP'!E148,"")</f>
        <v/>
      </c>
      <c r="E168" s="49" t="str">
        <f>IF('Avg NCP'!F148&gt;0,+'Avg KWH'!F148/HOURS!E$13/'Avg NCP'!F148,"")</f>
        <v/>
      </c>
      <c r="F168" s="49" t="str">
        <f>IF('Avg NCP'!G148&gt;0,+'Avg KWH'!G148/HOURS!F$13/'Avg NCP'!G148,"")</f>
        <v/>
      </c>
      <c r="G168" s="49" t="str">
        <f>IF('Avg NCP'!H148&gt;0,+'Avg KWH'!H148/HOURS!G$13/'Avg NCP'!H148,"")</f>
        <v/>
      </c>
      <c r="H168" s="49" t="str">
        <f>IF('Avg NCP'!I148&gt;0,+'Avg KWH'!I148/HOURS!H$13/'Avg NCP'!I148,"")</f>
        <v/>
      </c>
      <c r="I168" s="49" t="str">
        <f>IF('Avg NCP'!J148&gt;0,+'Avg KWH'!J148/HOURS!I$13/'Avg NCP'!J148,"")</f>
        <v/>
      </c>
      <c r="J168" s="49" t="str">
        <f>IF('Avg NCP'!K148&gt;0,+'Avg KWH'!K148/HOURS!J$13/'Avg NCP'!K148,"")</f>
        <v/>
      </c>
      <c r="K168" s="49" t="str">
        <f>IF('Avg NCP'!L148&gt;0,+'Avg KWH'!L148/HOURS!K$13/'Avg NCP'!L148,"")</f>
        <v/>
      </c>
      <c r="L168" s="49" t="str">
        <f>IF('Avg NCP'!M148&gt;0,+'Avg KWH'!M148/HOURS!L$13/'Avg NCP'!M148,"")</f>
        <v/>
      </c>
      <c r="M168" s="49" t="str">
        <f>IF('Avg NCP'!N148&gt;0,+'Avg KWH'!N148/HOURS!M$13/'Avg NCP'!N148,"")</f>
        <v/>
      </c>
    </row>
    <row r="169" spans="1:16">
      <c r="A169" s="43"/>
      <c r="B169" s="49" t="str">
        <f>IF('Avg NCP'!C149&gt;0,+'Avg KWH'!C149/HOURS!B$13/'Avg NCP'!C149,"")</f>
        <v/>
      </c>
      <c r="C169" s="49" t="str">
        <f>IF('Avg NCP'!D149&gt;0,+'Avg KWH'!D149/HOURS!C$13/'Avg NCP'!D149,"")</f>
        <v/>
      </c>
      <c r="D169" s="49" t="str">
        <f>IF('Avg NCP'!E149&gt;0,+'Avg KWH'!E149/HOURS!D$13/'Avg NCP'!E149,"")</f>
        <v/>
      </c>
      <c r="E169" s="49" t="str">
        <f>IF('Avg NCP'!F149&gt;0,+'Avg KWH'!F149/HOURS!E$13/'Avg NCP'!F149,"")</f>
        <v/>
      </c>
      <c r="F169" s="49" t="str">
        <f>IF('Avg NCP'!G149&gt;0,+'Avg KWH'!G149/HOURS!F$13/'Avg NCP'!G149,"")</f>
        <v/>
      </c>
      <c r="G169" s="49" t="str">
        <f>IF('Avg NCP'!H149&gt;0,+'Avg KWH'!H149/HOURS!G$13/'Avg NCP'!H149,"")</f>
        <v/>
      </c>
      <c r="H169" s="49" t="str">
        <f>IF('Avg NCP'!I149&gt;0,+'Avg KWH'!I149/HOURS!H$13/'Avg NCP'!I149,"")</f>
        <v/>
      </c>
      <c r="I169" s="49" t="str">
        <f>IF('Avg NCP'!J149&gt;0,+'Avg KWH'!J149/HOURS!I$13/'Avg NCP'!J149,"")</f>
        <v/>
      </c>
      <c r="J169" s="49" t="str">
        <f>IF('Avg NCP'!K149&gt;0,+'Avg KWH'!K149/HOURS!J$13/'Avg NCP'!K149,"")</f>
        <v/>
      </c>
      <c r="K169" s="49" t="str">
        <f>IF('Avg NCP'!L149&gt;0,+'Avg KWH'!L149/HOURS!K$13/'Avg NCP'!L149,"")</f>
        <v/>
      </c>
      <c r="L169" s="49" t="str">
        <f>IF('Avg NCP'!M149&gt;0,+'Avg KWH'!M149/HOURS!L$13/'Avg NCP'!M149,"")</f>
        <v/>
      </c>
      <c r="M169" s="49" t="str">
        <f>IF('Avg NCP'!N149&gt;0,+'Avg KWH'!N149/HOURS!M$13/'Avg NCP'!N149,"")</f>
        <v/>
      </c>
    </row>
    <row r="170" spans="1:16">
      <c r="A170" s="43"/>
      <c r="B170" s="49" t="str">
        <f>IF('Avg NCP'!C150&gt;0,+'Avg KWH'!C150/HOURS!B$13/'Avg NCP'!C150,"")</f>
        <v/>
      </c>
      <c r="C170" s="49" t="str">
        <f>IF('Avg NCP'!D150&gt;0,+'Avg KWH'!D150/HOURS!C$13/'Avg NCP'!D150,"")</f>
        <v/>
      </c>
      <c r="D170" s="49" t="str">
        <f>IF('Avg NCP'!E150&gt;0,+'Avg KWH'!E150/HOURS!D$13/'Avg NCP'!E150,"")</f>
        <v/>
      </c>
      <c r="E170" s="49" t="str">
        <f>IF('Avg NCP'!F150&gt;0,+'Avg KWH'!F150/HOURS!E$13/'Avg NCP'!F150,"")</f>
        <v/>
      </c>
      <c r="F170" s="49" t="str">
        <f>IF('Avg NCP'!G150&gt;0,+'Avg KWH'!G150/HOURS!F$13/'Avg NCP'!G150,"")</f>
        <v/>
      </c>
      <c r="G170" s="49" t="str">
        <f>IF('Avg NCP'!H150&gt;0,+'Avg KWH'!H150/HOURS!G$13/'Avg NCP'!H150,"")</f>
        <v/>
      </c>
      <c r="H170" s="49" t="str">
        <f>IF('Avg NCP'!I150&gt;0,+'Avg KWH'!I150/HOURS!H$13/'Avg NCP'!I150,"")</f>
        <v/>
      </c>
      <c r="I170" s="49" t="str">
        <f>IF('Avg NCP'!J150&gt;0,+'Avg KWH'!J150/HOURS!I$13/'Avg NCP'!J150,"")</f>
        <v/>
      </c>
      <c r="J170" s="49" t="str">
        <f>IF('Avg NCP'!K150&gt;0,+'Avg KWH'!K150/HOURS!J$13/'Avg NCP'!K150,"")</f>
        <v/>
      </c>
      <c r="K170" s="49" t="str">
        <f>IF('Avg NCP'!L150&gt;0,+'Avg KWH'!L150/HOURS!K$13/'Avg NCP'!L150,"")</f>
        <v/>
      </c>
      <c r="L170" s="49" t="str">
        <f>IF('Avg NCP'!M150&gt;0,+'Avg KWH'!M150/HOURS!L$13/'Avg NCP'!M150,"")</f>
        <v/>
      </c>
      <c r="M170" s="49" t="str">
        <f>IF('Avg NCP'!N150&gt;0,+'Avg KWH'!N150/HOURS!M$13/'Avg NCP'!N150,"")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ht="409.6">
      <c r="A174" s="43"/>
      <c r="B174" s="49" t="str">
        <f>IF('Avg NCP'!C154&gt;0,+'Avg KWH'!C154/HOURS!B$13/'Avg NCP'!C154,"")</f>
        <v/>
      </c>
      <c r="C174" s="49" t="str">
        <f>IF('Avg NCP'!D154&gt;0,+'Avg KWH'!D154/HOURS!C$13/'Avg NCP'!D154,"")</f>
        <v/>
      </c>
      <c r="D174" s="49" t="str">
        <f>IF('Avg NCP'!E154&gt;0,+'Avg KWH'!E154/HOURS!D$13/'Avg NCP'!E154,"")</f>
        <v/>
      </c>
      <c r="E174" s="49" t="str">
        <f>IF('Avg NCP'!F154&gt;0,+'Avg KWH'!F154/HOURS!E$13/'Avg NCP'!F154,"")</f>
        <v/>
      </c>
      <c r="F174" s="49" t="str">
        <f>IF('Avg NCP'!G154&gt;0,+'Avg KWH'!G154/HOURS!F$13/'Avg NCP'!G154,"")</f>
        <v/>
      </c>
      <c r="G174" s="49" t="str">
        <f>IF('Avg NCP'!H154&gt;0,+'Avg KWH'!H154/HOURS!G$13/'Avg NCP'!H154,"")</f>
        <v/>
      </c>
      <c r="H174" s="49" t="str">
        <f>IF('Avg NCP'!I154&gt;0,+'Avg KWH'!I154/HOURS!H$13/'Avg NCP'!I154,"")</f>
        <v/>
      </c>
      <c r="I174" s="49" t="str">
        <f>IF('Avg NCP'!J154&gt;0,+'Avg KWH'!J154/HOURS!I$13/'Avg NCP'!J154,"")</f>
        <v/>
      </c>
      <c r="J174" s="49" t="str">
        <f>IF('Avg NCP'!K154&gt;0,+'Avg KWH'!K154/HOURS!J$13/'Avg NCP'!K154,"")</f>
        <v/>
      </c>
      <c r="K174" s="49" t="str">
        <f>IF('Avg NCP'!L154&gt;0,+'Avg KWH'!L154/HOURS!K$13/'Avg NCP'!L154,"")</f>
        <v/>
      </c>
      <c r="L174" s="49" t="str">
        <f>IF('Avg NCP'!M154&gt;0,+'Avg KWH'!M154/HOURS!L$13/'Avg NCP'!M154,"")</f>
        <v/>
      </c>
      <c r="M174" s="49" t="str">
        <f>IF('Avg NCP'!N154&gt;0,+'Avg KWH'!N154/HOURS!M$13/'Avg NCP'!N154,"")</f>
        <v/>
      </c>
    </row>
    <row r="175" spans="1:16" ht="409.6">
      <c r="A175" s="43"/>
      <c r="B175" s="49" t="str">
        <f>IF('Avg NCP'!C155&gt;0,+'Avg KWH'!C155/HOURS!B$13/'Avg NCP'!C155,"")</f>
        <v/>
      </c>
      <c r="C175" s="49" t="str">
        <f>IF('Avg NCP'!D155&gt;0,+'Avg KWH'!D155/HOURS!C$13/'Avg NCP'!D155,"")</f>
        <v/>
      </c>
      <c r="D175" s="49" t="str">
        <f>IF('Avg NCP'!E155&gt;0,+'Avg KWH'!E155/HOURS!D$13/'Avg NCP'!E155,"")</f>
        <v/>
      </c>
      <c r="E175" s="49" t="str">
        <f>IF('Avg NCP'!F155&gt;0,+'Avg KWH'!F155/HOURS!E$13/'Avg NCP'!F155,"")</f>
        <v/>
      </c>
      <c r="F175" s="49" t="str">
        <f>IF('Avg NCP'!G155&gt;0,+'Avg KWH'!G155/HOURS!F$13/'Avg NCP'!G155,"")</f>
        <v/>
      </c>
      <c r="G175" s="49" t="str">
        <f>IF('Avg NCP'!H155&gt;0,+'Avg KWH'!H155/HOURS!G$13/'Avg NCP'!H155,"")</f>
        <v/>
      </c>
      <c r="H175" s="49" t="str">
        <f>IF('Avg NCP'!I155&gt;0,+'Avg KWH'!I155/HOURS!H$13/'Avg NCP'!I155,"")</f>
        <v/>
      </c>
      <c r="I175" s="49" t="str">
        <f>IF('Avg NCP'!J155&gt;0,+'Avg KWH'!J155/HOURS!I$13/'Avg NCP'!J155,"")</f>
        <v/>
      </c>
      <c r="J175" s="49" t="str">
        <f>IF('Avg NCP'!K155&gt;0,+'Avg KWH'!K155/HOURS!J$13/'Avg NCP'!K155,"")</f>
        <v/>
      </c>
      <c r="K175" s="49" t="str">
        <f>IF('Avg NCP'!L155&gt;0,+'Avg KWH'!L155/HOURS!K$13/'Avg NCP'!L155,"")</f>
        <v/>
      </c>
      <c r="L175" s="49" t="str">
        <f>IF('Avg NCP'!M155&gt;0,+'Avg KWH'!M155/HOURS!L$13/'Avg NCP'!M155,"")</f>
        <v/>
      </c>
      <c r="M175" s="49" t="str">
        <f>IF('Avg NCP'!N155&gt;0,+'Avg KWH'!N155/HOURS!M$13/'Avg NCP'!N155,"")</f>
        <v/>
      </c>
    </row>
    <row r="176" spans="1:16">
      <c r="A176" s="43"/>
      <c r="B176" s="49" t="str">
        <f>IF('Avg NCP'!C156&gt;0,+'Avg KWH'!C156/HOURS!B$13/'Avg NCP'!C156,"")</f>
        <v/>
      </c>
      <c r="C176" s="49" t="str">
        <f>IF('Avg NCP'!D156&gt;0,+'Avg KWH'!D156/HOURS!C$13/'Avg NCP'!D156,"")</f>
        <v/>
      </c>
      <c r="D176" s="49" t="str">
        <f>IF('Avg NCP'!E156&gt;0,+'Avg KWH'!E156/HOURS!D$13/'Avg NCP'!E156,"")</f>
        <v/>
      </c>
      <c r="E176" s="49" t="str">
        <f>IF('Avg NCP'!F156&gt;0,+'Avg KWH'!F156/HOURS!E$13/'Avg NCP'!F156,"")</f>
        <v/>
      </c>
      <c r="F176" s="49" t="str">
        <f>IF('Avg NCP'!G156&gt;0,+'Avg KWH'!G156/HOURS!F$13/'Avg NCP'!G156,"")</f>
        <v/>
      </c>
      <c r="G176" s="49" t="str">
        <f>IF('Avg NCP'!H156&gt;0,+'Avg KWH'!H156/HOURS!G$13/'Avg NCP'!H156,"")</f>
        <v/>
      </c>
      <c r="H176" s="49" t="str">
        <f>IF('Avg NCP'!I156&gt;0,+'Avg KWH'!I156/HOURS!H$13/'Avg NCP'!I156,"")</f>
        <v/>
      </c>
      <c r="I176" s="49" t="str">
        <f>IF('Avg NCP'!J156&gt;0,+'Avg KWH'!J156/HOURS!I$13/'Avg NCP'!J156,"")</f>
        <v/>
      </c>
      <c r="J176" s="49" t="str">
        <f>IF('Avg NCP'!K156&gt;0,+'Avg KWH'!K156/HOURS!J$13/'Avg NCP'!K156,"")</f>
        <v/>
      </c>
      <c r="K176" s="49" t="str">
        <f>IF('Avg NCP'!L156&gt;0,+'Avg KWH'!L156/HOURS!K$13/'Avg NCP'!L156,"")</f>
        <v/>
      </c>
      <c r="L176" s="49" t="str">
        <f>IF('Avg NCP'!M156&gt;0,+'Avg KWH'!M156/HOURS!L$13/'Avg NCP'!M156,"")</f>
        <v/>
      </c>
      <c r="M176" s="49" t="str">
        <f>IF('Avg NCP'!N156&gt;0,+'Avg KWH'!N156/HOURS!M$13/'Avg NCP'!N156,"")</f>
        <v/>
      </c>
    </row>
  </sheetData>
  <mergeCells count="8">
    <mergeCell ref="B89:P89"/>
    <mergeCell ref="B130:P130"/>
    <mergeCell ref="B131:P131"/>
    <mergeCell ref="B4:P4"/>
    <mergeCell ref="B5:P5"/>
    <mergeCell ref="B46:P46"/>
    <mergeCell ref="B47:P47"/>
    <mergeCell ref="B88:P88"/>
  </mergeCells>
  <phoneticPr fontId="9" type="noConversion"/>
  <printOptions horizontalCentered="1"/>
  <pageMargins left="0" right="0" top="0.5" bottom="0.5" header="0.5" footer="0.5"/>
  <pageSetup scale="1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F0000"/>
    <pageSetUpPr fitToPage="1"/>
  </sheetPr>
  <dimension ref="A1:P176"/>
  <sheetViews>
    <sheetView showGridLines="0" zoomScale="75" zoomScaleNormal="75" workbookViewId="0">
      <selection activeCell="A2" sqref="A1:A2"/>
    </sheetView>
  </sheetViews>
  <sheetFormatPr defaultRowHeight="13.2"/>
  <cols>
    <col min="1" max="1" width="14.88671875" customWidth="1"/>
    <col min="2" max="2" width="23.88671875" customWidth="1"/>
    <col min="3" max="16" width="10.6640625" customWidth="1"/>
  </cols>
  <sheetData>
    <row r="1" spans="1:16" s="8" customFormat="1">
      <c r="A1" s="8" t="s">
        <v>1315</v>
      </c>
    </row>
    <row r="2" spans="1:16" s="8" customFormat="1">
      <c r="A2" s="8" t="s">
        <v>1267</v>
      </c>
    </row>
    <row r="3" spans="1:16" s="8" customFormat="1"/>
    <row r="4" spans="1:16" ht="21">
      <c r="B4" s="611" t="s">
        <v>988</v>
      </c>
      <c r="C4" s="611"/>
      <c r="D4" s="611"/>
      <c r="E4" s="611"/>
      <c r="F4" s="611"/>
      <c r="G4" s="611"/>
      <c r="H4" s="611"/>
      <c r="I4" s="611"/>
      <c r="J4" s="611"/>
      <c r="K4" s="611"/>
      <c r="L4" s="611"/>
      <c r="M4" s="611"/>
      <c r="N4" s="611"/>
      <c r="O4" s="611"/>
      <c r="P4" s="611"/>
    </row>
    <row r="5" spans="1:16">
      <c r="B5" s="612" t="s">
        <v>89</v>
      </c>
      <c r="C5" s="612"/>
      <c r="D5" s="612"/>
      <c r="E5" s="612"/>
      <c r="F5" s="612"/>
      <c r="G5" s="612"/>
      <c r="H5" s="612"/>
      <c r="I5" s="612"/>
      <c r="J5" s="612"/>
      <c r="K5" s="612"/>
      <c r="L5" s="612"/>
      <c r="M5" s="612"/>
      <c r="N5" s="612"/>
      <c r="O5" s="612"/>
      <c r="P5" s="612"/>
    </row>
    <row r="6" spans="1:16" ht="13.8" thickBot="1">
      <c r="B6" s="300"/>
      <c r="C6" s="300"/>
      <c r="D6" s="300"/>
      <c r="E6" s="300"/>
      <c r="F6" s="300"/>
      <c r="G6" s="300"/>
      <c r="H6" s="300"/>
      <c r="I6" s="300"/>
      <c r="J6" s="300"/>
      <c r="K6" s="300"/>
      <c r="L6" s="300"/>
      <c r="M6" s="300"/>
      <c r="N6" s="300"/>
      <c r="O6" s="165"/>
      <c r="P6" s="165"/>
    </row>
    <row r="7" spans="1:16">
      <c r="C7" s="14"/>
      <c r="D7" s="15"/>
      <c r="E7" s="16"/>
      <c r="F7" s="17"/>
      <c r="G7" s="18"/>
      <c r="H7" s="19"/>
      <c r="I7" s="20"/>
      <c r="J7" s="21"/>
      <c r="K7" s="22"/>
      <c r="L7" s="23"/>
      <c r="M7" s="24"/>
      <c r="N7" s="317"/>
      <c r="O7" s="110"/>
      <c r="P7" s="305"/>
    </row>
    <row r="8" spans="1:16" ht="13.8" thickBot="1">
      <c r="C8" s="28" t="s">
        <v>70</v>
      </c>
      <c r="D8" s="29" t="s">
        <v>71</v>
      </c>
      <c r="E8" s="30" t="s">
        <v>72</v>
      </c>
      <c r="F8" s="31" t="s">
        <v>73</v>
      </c>
      <c r="G8" s="32" t="s">
        <v>74</v>
      </c>
      <c r="H8" s="33" t="s">
        <v>75</v>
      </c>
      <c r="I8" s="34" t="s">
        <v>76</v>
      </c>
      <c r="J8" s="35" t="s">
        <v>77</v>
      </c>
      <c r="K8" s="36" t="s">
        <v>78</v>
      </c>
      <c r="L8" s="37" t="s">
        <v>79</v>
      </c>
      <c r="M8" s="38" t="s">
        <v>80</v>
      </c>
      <c r="N8" s="318" t="s">
        <v>81</v>
      </c>
      <c r="O8" s="305"/>
      <c r="P8" s="305"/>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c r="A12" s="43" t="s">
        <v>98</v>
      </c>
      <c r="B12" s="43" t="s">
        <v>84</v>
      </c>
      <c r="C12" s="312">
        <f>AVERAGE(VLOOKUP($B12,$B$54:$P$79,C$9,FALSE),VLOOKUP($B12,$B$96:$N$121,C$9,FALSE),VLOOKUP($B12,$B$138:$N$164,C$9,FALSE))</f>
        <v>0.84786666666666666</v>
      </c>
      <c r="D12" s="312">
        <f t="shared" ref="C12:N21" si="0">AVERAGE(VLOOKUP($B12,$B$54:$P$79,D$9,FALSE),VLOOKUP($B12,$B$96:$N$121,D$9,FALSE),VLOOKUP($B12,$B$138:$N$164,D$9,FALSE))</f>
        <v>0.84823333333333339</v>
      </c>
      <c r="E12" s="312">
        <f t="shared" si="0"/>
        <v>0.84716666666666673</v>
      </c>
      <c r="F12" s="312">
        <f t="shared" si="0"/>
        <v>0.85203333333333331</v>
      </c>
      <c r="G12" s="312">
        <f t="shared" si="0"/>
        <v>0.86249999999999993</v>
      </c>
      <c r="H12" s="312">
        <f t="shared" si="0"/>
        <v>0.86869999999999992</v>
      </c>
      <c r="I12" s="312">
        <f t="shared" si="0"/>
        <v>0.87259999999999993</v>
      </c>
      <c r="J12" s="312">
        <f t="shared" si="0"/>
        <v>0.86716666666666653</v>
      </c>
      <c r="K12" s="312">
        <f t="shared" si="0"/>
        <v>0.86919999999999986</v>
      </c>
      <c r="L12" s="312">
        <f t="shared" si="0"/>
        <v>0.85563333333333336</v>
      </c>
      <c r="M12" s="312">
        <f t="shared" si="0"/>
        <v>0.83189999999999997</v>
      </c>
      <c r="N12" s="312">
        <f t="shared" si="0"/>
        <v>0.83753333333333335</v>
      </c>
      <c r="O12" s="117"/>
      <c r="P12" s="314"/>
    </row>
    <row r="13" spans="1:16">
      <c r="A13" s="43" t="s">
        <v>99</v>
      </c>
      <c r="B13" s="43" t="s">
        <v>85</v>
      </c>
      <c r="C13" s="312">
        <f t="shared" si="0"/>
        <v>0.85060000000000002</v>
      </c>
      <c r="D13" s="312">
        <f t="shared" si="0"/>
        <v>0.8353666666666667</v>
      </c>
      <c r="E13" s="312">
        <f t="shared" si="0"/>
        <v>0.84806666666666664</v>
      </c>
      <c r="F13" s="312">
        <f t="shared" si="0"/>
        <v>0.83936666666666671</v>
      </c>
      <c r="G13" s="312">
        <f t="shared" si="0"/>
        <v>0.84826666666666684</v>
      </c>
      <c r="H13" s="312">
        <f t="shared" si="0"/>
        <v>0.84859999999999991</v>
      </c>
      <c r="I13" s="312">
        <f t="shared" si="0"/>
        <v>0.8453666666666666</v>
      </c>
      <c r="J13" s="312">
        <f t="shared" si="0"/>
        <v>0.85243333333333338</v>
      </c>
      <c r="K13" s="312">
        <f t="shared" si="0"/>
        <v>0.8434666666666667</v>
      </c>
      <c r="L13" s="312">
        <f t="shared" si="0"/>
        <v>0.83350000000000002</v>
      </c>
      <c r="M13" s="312">
        <f t="shared" si="0"/>
        <v>0.83213333333333328</v>
      </c>
      <c r="N13" s="312">
        <f t="shared" si="0"/>
        <v>0.83723333333333327</v>
      </c>
      <c r="O13" s="117"/>
      <c r="P13" s="314"/>
    </row>
    <row r="14" spans="1:16">
      <c r="A14" s="43" t="s">
        <v>50</v>
      </c>
      <c r="B14" s="43" t="s">
        <v>50</v>
      </c>
      <c r="C14" s="312">
        <f t="shared" si="0"/>
        <v>0.85533333333333339</v>
      </c>
      <c r="D14" s="312">
        <f t="shared" si="0"/>
        <v>0.83756666666666657</v>
      </c>
      <c r="E14" s="312">
        <f t="shared" si="0"/>
        <v>0.84200000000000008</v>
      </c>
      <c r="F14" s="312">
        <f t="shared" si="0"/>
        <v>0.8642333333333333</v>
      </c>
      <c r="G14" s="312">
        <f t="shared" si="0"/>
        <v>0.86636666666666662</v>
      </c>
      <c r="H14" s="312">
        <f t="shared" si="0"/>
        <v>0.86213333333333342</v>
      </c>
      <c r="I14" s="312">
        <f t="shared" si="0"/>
        <v>0.86136666666666661</v>
      </c>
      <c r="J14" s="312">
        <f t="shared" si="0"/>
        <v>0.86770000000000003</v>
      </c>
      <c r="K14" s="312">
        <f t="shared" si="0"/>
        <v>0.83950000000000002</v>
      </c>
      <c r="L14" s="312">
        <f t="shared" si="0"/>
        <v>0.85210000000000008</v>
      </c>
      <c r="M14" s="312">
        <f t="shared" si="0"/>
        <v>0.8461333333333334</v>
      </c>
      <c r="N14" s="312">
        <f t="shared" si="0"/>
        <v>0.83936666666666671</v>
      </c>
      <c r="O14" s="117"/>
      <c r="P14" s="314"/>
    </row>
    <row r="15" spans="1:16" ht="11.25" customHeight="1">
      <c r="A15" s="43" t="s">
        <v>49</v>
      </c>
      <c r="B15" s="43" t="s">
        <v>49</v>
      </c>
      <c r="C15" s="312">
        <f t="shared" si="0"/>
        <v>0.61603333333333332</v>
      </c>
      <c r="D15" s="312">
        <f t="shared" si="0"/>
        <v>0.60396666666666665</v>
      </c>
      <c r="E15" s="312">
        <f t="shared" si="0"/>
        <v>0.62333333333333329</v>
      </c>
      <c r="F15" s="312">
        <f t="shared" si="0"/>
        <v>0.57816666666666661</v>
      </c>
      <c r="G15" s="312">
        <f t="shared" si="0"/>
        <v>0.59640000000000004</v>
      </c>
      <c r="H15" s="312">
        <f t="shared" si="0"/>
        <v>0.59543333333333326</v>
      </c>
      <c r="I15" s="312">
        <f t="shared" si="0"/>
        <v>0.60693333333333332</v>
      </c>
      <c r="J15" s="312">
        <f t="shared" si="0"/>
        <v>0.61303333333333321</v>
      </c>
      <c r="K15" s="312">
        <f t="shared" si="0"/>
        <v>0.59483333333333333</v>
      </c>
      <c r="L15" s="312">
        <f t="shared" si="0"/>
        <v>0.58456666666666657</v>
      </c>
      <c r="M15" s="312">
        <f t="shared" si="0"/>
        <v>0.59013333333333329</v>
      </c>
      <c r="N15" s="312">
        <f t="shared" si="0"/>
        <v>0.59263333333333346</v>
      </c>
      <c r="O15" s="117"/>
      <c r="P15" s="314"/>
    </row>
    <row r="16" spans="1:16">
      <c r="A16" s="46" t="s">
        <v>325</v>
      </c>
      <c r="B16" s="46" t="s">
        <v>325</v>
      </c>
      <c r="C16" s="312">
        <f t="shared" si="0"/>
        <v>0.98119999999999996</v>
      </c>
      <c r="D16" s="312">
        <f t="shared" si="0"/>
        <v>0.98406666666666665</v>
      </c>
      <c r="E16" s="312">
        <f t="shared" si="0"/>
        <v>0.97813333333333341</v>
      </c>
      <c r="F16" s="312">
        <f t="shared" si="0"/>
        <v>0.98299999999999998</v>
      </c>
      <c r="G16" s="312">
        <f t="shared" si="0"/>
        <v>0.98506666666666653</v>
      </c>
      <c r="H16" s="312">
        <f t="shared" si="0"/>
        <v>0.97676666666666667</v>
      </c>
      <c r="I16" s="312">
        <f t="shared" si="0"/>
        <v>0.98576666666666668</v>
      </c>
      <c r="J16" s="312">
        <f t="shared" si="0"/>
        <v>0.97719999999999996</v>
      </c>
      <c r="K16" s="312">
        <f t="shared" si="0"/>
        <v>0.98760000000000003</v>
      </c>
      <c r="L16" s="312">
        <f t="shared" si="0"/>
        <v>0.98526666666666662</v>
      </c>
      <c r="M16" s="312">
        <f t="shared" si="0"/>
        <v>0.98119999999999996</v>
      </c>
      <c r="N16" s="312">
        <f t="shared" si="0"/>
        <v>0.9710333333333333</v>
      </c>
      <c r="O16" s="117"/>
      <c r="P16" s="314"/>
    </row>
    <row r="17" spans="1:16">
      <c r="A17" s="43" t="s">
        <v>67</v>
      </c>
      <c r="B17" s="43" t="s">
        <v>67</v>
      </c>
      <c r="C17" s="312">
        <f t="shared" si="0"/>
        <v>0.68640000000000001</v>
      </c>
      <c r="D17" s="312">
        <f t="shared" si="0"/>
        <v>0.68630000000000002</v>
      </c>
      <c r="E17" s="312">
        <f t="shared" si="0"/>
        <v>0.69180000000000008</v>
      </c>
      <c r="F17" s="312">
        <f t="shared" si="0"/>
        <v>0.67696666666666661</v>
      </c>
      <c r="G17" s="312">
        <f t="shared" si="0"/>
        <v>0.69186666666666674</v>
      </c>
      <c r="H17" s="312">
        <f t="shared" si="0"/>
        <v>0.7004999999999999</v>
      </c>
      <c r="I17" s="312">
        <f t="shared" si="0"/>
        <v>0.70803333333333329</v>
      </c>
      <c r="J17" s="312">
        <f t="shared" si="0"/>
        <v>0.70983333333333343</v>
      </c>
      <c r="K17" s="312">
        <f t="shared" si="0"/>
        <v>0.69906666666666661</v>
      </c>
      <c r="L17" s="312">
        <f t="shared" si="0"/>
        <v>0.68353333333333344</v>
      </c>
      <c r="M17" s="312">
        <f t="shared" si="0"/>
        <v>0.67300000000000004</v>
      </c>
      <c r="N17" s="312">
        <f t="shared" si="0"/>
        <v>0.67893333333333328</v>
      </c>
      <c r="O17" s="117"/>
      <c r="P17" s="314"/>
    </row>
    <row r="18" spans="1:16">
      <c r="A18" s="43" t="s">
        <v>68</v>
      </c>
      <c r="B18" s="43" t="s">
        <v>68</v>
      </c>
      <c r="C18" s="312">
        <f t="shared" si="0"/>
        <v>0.66303333333333336</v>
      </c>
      <c r="D18" s="312">
        <f t="shared" si="0"/>
        <v>0.66276666666666662</v>
      </c>
      <c r="E18" s="312">
        <f t="shared" si="0"/>
        <v>0.65859999999999996</v>
      </c>
      <c r="F18" s="312">
        <f t="shared" si="0"/>
        <v>0.67330000000000012</v>
      </c>
      <c r="G18" s="312">
        <f t="shared" si="0"/>
        <v>0.68266666666666664</v>
      </c>
      <c r="H18" s="312">
        <f t="shared" si="0"/>
        <v>0.70136666666666658</v>
      </c>
      <c r="I18" s="312">
        <f t="shared" si="0"/>
        <v>0.71983333333333333</v>
      </c>
      <c r="J18" s="312">
        <f t="shared" si="0"/>
        <v>0.69153333333333344</v>
      </c>
      <c r="K18" s="312">
        <f t="shared" si="0"/>
        <v>0.68203333333333338</v>
      </c>
      <c r="L18" s="312">
        <f t="shared" si="0"/>
        <v>0.67049999999999998</v>
      </c>
      <c r="M18" s="312">
        <f t="shared" si="0"/>
        <v>0.63819999999999999</v>
      </c>
      <c r="N18" s="312">
        <f t="shared" si="0"/>
        <v>0.62869999999999993</v>
      </c>
      <c r="O18" s="117"/>
      <c r="P18" s="314"/>
    </row>
    <row r="19" spans="1:16">
      <c r="A19" s="43" t="s">
        <v>69</v>
      </c>
      <c r="B19" s="43" t="s">
        <v>69</v>
      </c>
      <c r="C19" s="312">
        <f t="shared" si="0"/>
        <v>0.78853333333333342</v>
      </c>
      <c r="D19" s="312">
        <f t="shared" si="0"/>
        <v>0.79636666666666667</v>
      </c>
      <c r="E19" s="312">
        <f t="shared" si="0"/>
        <v>0.79293333333333338</v>
      </c>
      <c r="F19" s="312">
        <f t="shared" si="0"/>
        <v>0.80696666666666672</v>
      </c>
      <c r="G19" s="312">
        <f t="shared" si="0"/>
        <v>0.82666666666666666</v>
      </c>
      <c r="H19" s="312">
        <f t="shared" si="0"/>
        <v>0.86666666666666659</v>
      </c>
      <c r="I19" s="312">
        <f t="shared" si="0"/>
        <v>0.84923333333333328</v>
      </c>
      <c r="J19" s="312">
        <f t="shared" si="0"/>
        <v>0.87003333333333333</v>
      </c>
      <c r="K19" s="312">
        <f t="shared" si="0"/>
        <v>0.83723333333333327</v>
      </c>
      <c r="L19" s="312">
        <f t="shared" si="0"/>
        <v>0.82456666666666667</v>
      </c>
      <c r="M19" s="312">
        <f t="shared" si="0"/>
        <v>0.77596666666666669</v>
      </c>
      <c r="N19" s="312">
        <f t="shared" si="0"/>
        <v>0.77616666666666667</v>
      </c>
      <c r="O19" s="117"/>
      <c r="P19" s="314"/>
    </row>
    <row r="20" spans="1:16">
      <c r="A20" s="43" t="s">
        <v>52</v>
      </c>
      <c r="B20" s="43" t="s">
        <v>52</v>
      </c>
      <c r="C20" s="312">
        <f t="shared" si="0"/>
        <v>0.74553333333333327</v>
      </c>
      <c r="D20" s="312">
        <f t="shared" si="0"/>
        <v>0.67610000000000003</v>
      </c>
      <c r="E20" s="312">
        <f t="shared" si="0"/>
        <v>0.69736666666666658</v>
      </c>
      <c r="F20" s="312">
        <f t="shared" si="0"/>
        <v>0.66093333333333337</v>
      </c>
      <c r="G20" s="312">
        <f t="shared" si="0"/>
        <v>0.70163333333333322</v>
      </c>
      <c r="H20" s="312">
        <f t="shared" si="0"/>
        <v>0.66423333333333334</v>
      </c>
      <c r="I20" s="312">
        <f t="shared" si="0"/>
        <v>0.71530000000000005</v>
      </c>
      <c r="J20" s="312">
        <f t="shared" si="0"/>
        <v>0.66056666666666664</v>
      </c>
      <c r="K20" s="312">
        <f t="shared" si="0"/>
        <v>0.65103333333333335</v>
      </c>
      <c r="L20" s="312">
        <f t="shared" si="0"/>
        <v>0.65726666666666678</v>
      </c>
      <c r="M20" s="312">
        <f t="shared" si="0"/>
        <v>0.66063333333333329</v>
      </c>
      <c r="N20" s="312">
        <f t="shared" si="0"/>
        <v>0.69003333333333339</v>
      </c>
      <c r="O20" s="117"/>
      <c r="P20" s="314"/>
    </row>
    <row r="21" spans="1:16">
      <c r="A21" s="206" t="s">
        <v>15</v>
      </c>
      <c r="B21" s="206" t="s">
        <v>15</v>
      </c>
      <c r="C21" s="312">
        <f t="shared" si="0"/>
        <v>0.43033333333333329</v>
      </c>
      <c r="D21" s="312">
        <f t="shared" si="0"/>
        <v>0.42643333333333339</v>
      </c>
      <c r="E21" s="312">
        <f t="shared" si="0"/>
        <v>0.43149999999999999</v>
      </c>
      <c r="F21" s="312">
        <f t="shared" si="0"/>
        <v>0.4413333333333333</v>
      </c>
      <c r="G21" s="312">
        <f t="shared" si="0"/>
        <v>0.44720000000000004</v>
      </c>
      <c r="H21" s="312">
        <f t="shared" si="0"/>
        <v>0.42706666666666671</v>
      </c>
      <c r="I21" s="312">
        <f t="shared" si="0"/>
        <v>0.43249999999999994</v>
      </c>
      <c r="J21" s="312">
        <f t="shared" si="0"/>
        <v>0.44556666666666667</v>
      </c>
      <c r="K21" s="312">
        <f t="shared" si="0"/>
        <v>0.43386666666666668</v>
      </c>
      <c r="L21" s="312">
        <f t="shared" si="0"/>
        <v>0.44396666666666668</v>
      </c>
      <c r="M21" s="312">
        <f t="shared" si="0"/>
        <v>0.42560000000000003</v>
      </c>
      <c r="N21" s="312">
        <f t="shared" si="0"/>
        <v>0.42463333333333336</v>
      </c>
      <c r="O21" s="117"/>
      <c r="P21" s="314"/>
    </row>
    <row r="22" spans="1:16">
      <c r="A22" s="43" t="s">
        <v>56</v>
      </c>
      <c r="B22" s="43" t="s">
        <v>56</v>
      </c>
      <c r="C22" s="312">
        <f t="shared" ref="C22:N28" si="1">AVERAGE(VLOOKUP($B22,$B$54:$P$79,C$9,FALSE),VLOOKUP($B22,$B$96:$N$121,C$9,FALSE),VLOOKUP($B22,$B$138:$N$164,C$9,FALSE))</f>
        <v>0.55220000000000002</v>
      </c>
      <c r="D22" s="312">
        <f t="shared" si="1"/>
        <v>0.5300999999999999</v>
      </c>
      <c r="E22" s="312">
        <f t="shared" si="1"/>
        <v>0.4991666666666667</v>
      </c>
      <c r="F22" s="312">
        <f t="shared" si="1"/>
        <v>0.46799999999999997</v>
      </c>
      <c r="G22" s="312">
        <f t="shared" si="1"/>
        <v>0.44206666666666666</v>
      </c>
      <c r="H22" s="312">
        <f t="shared" si="1"/>
        <v>0.42943333333333333</v>
      </c>
      <c r="I22" s="312">
        <f t="shared" si="1"/>
        <v>0.43520000000000003</v>
      </c>
      <c r="J22" s="312">
        <f t="shared" si="1"/>
        <v>0.45700000000000002</v>
      </c>
      <c r="K22" s="312">
        <f t="shared" si="1"/>
        <v>0.48703333333333337</v>
      </c>
      <c r="L22" s="312">
        <f t="shared" si="1"/>
        <v>0.51869999999999994</v>
      </c>
      <c r="M22" s="312">
        <f t="shared" si="1"/>
        <v>0.54549999999999998</v>
      </c>
      <c r="N22" s="312">
        <f t="shared" si="1"/>
        <v>0.55863333333333332</v>
      </c>
      <c r="O22" s="117"/>
      <c r="P22" s="314"/>
    </row>
    <row r="23" spans="1:16">
      <c r="A23" s="43" t="s">
        <v>57</v>
      </c>
      <c r="B23" s="43" t="s">
        <v>57</v>
      </c>
      <c r="C23" s="312">
        <f t="shared" si="1"/>
        <v>0.14226666666666668</v>
      </c>
      <c r="D23" s="312">
        <f t="shared" si="1"/>
        <v>0.13676666666666668</v>
      </c>
      <c r="E23" s="312">
        <f t="shared" si="1"/>
        <v>0.12026666666666667</v>
      </c>
      <c r="F23" s="312">
        <f t="shared" si="1"/>
        <v>0.13903333333333334</v>
      </c>
      <c r="G23" s="312">
        <f t="shared" si="1"/>
        <v>0.14560000000000001</v>
      </c>
      <c r="H23" s="312">
        <f t="shared" si="1"/>
        <v>0.17316666666666666</v>
      </c>
      <c r="I23" s="312">
        <f t="shared" si="1"/>
        <v>0.19066666666666665</v>
      </c>
      <c r="J23" s="312">
        <f t="shared" si="1"/>
        <v>0.17076666666666665</v>
      </c>
      <c r="K23" s="312">
        <f t="shared" si="1"/>
        <v>0.14626666666666666</v>
      </c>
      <c r="L23" s="312">
        <f t="shared" si="1"/>
        <v>0.13739999999999999</v>
      </c>
      <c r="M23" s="312">
        <f t="shared" si="1"/>
        <v>0.13636666666666666</v>
      </c>
      <c r="N23" s="312">
        <f t="shared" si="1"/>
        <v>0.13746666666666665</v>
      </c>
      <c r="O23" s="117"/>
      <c r="P23" s="314"/>
    </row>
    <row r="24" spans="1:16">
      <c r="A24" s="43" t="s">
        <v>48</v>
      </c>
      <c r="B24" s="43" t="s">
        <v>48</v>
      </c>
      <c r="C24" s="312">
        <f t="shared" si="1"/>
        <v>0.53063333333333329</v>
      </c>
      <c r="D24" s="312">
        <f t="shared" si="1"/>
        <v>0.55163333333333331</v>
      </c>
      <c r="E24" s="312">
        <f t="shared" si="1"/>
        <v>0.55943333333333334</v>
      </c>
      <c r="F24" s="312">
        <f t="shared" si="1"/>
        <v>0.5712666666666667</v>
      </c>
      <c r="G24" s="312">
        <f t="shared" si="1"/>
        <v>0.59283333333333332</v>
      </c>
      <c r="H24" s="312">
        <f t="shared" si="1"/>
        <v>0.61513333333333331</v>
      </c>
      <c r="I24" s="312">
        <f t="shared" si="1"/>
        <v>0.62596666666666667</v>
      </c>
      <c r="J24" s="312">
        <f t="shared" si="1"/>
        <v>0.64126666666666665</v>
      </c>
      <c r="K24" s="312">
        <f t="shared" si="1"/>
        <v>0.60176666666666667</v>
      </c>
      <c r="L24" s="312">
        <f t="shared" si="1"/>
        <v>0.58950000000000002</v>
      </c>
      <c r="M24" s="312">
        <f t="shared" si="1"/>
        <v>0.59506666666666663</v>
      </c>
      <c r="N24" s="312">
        <f t="shared" si="1"/>
        <v>0.60223333333333329</v>
      </c>
      <c r="O24" s="117"/>
      <c r="P24" s="314"/>
    </row>
    <row r="25" spans="1:16">
      <c r="A25" s="43" t="s">
        <v>53</v>
      </c>
      <c r="B25" s="43" t="s">
        <v>53</v>
      </c>
      <c r="C25" s="312">
        <f t="shared" si="1"/>
        <v>0.55220000000000002</v>
      </c>
      <c r="D25" s="312">
        <f t="shared" si="1"/>
        <v>0.5300999999999999</v>
      </c>
      <c r="E25" s="312">
        <f t="shared" si="1"/>
        <v>0.4991666666666667</v>
      </c>
      <c r="F25" s="312">
        <f t="shared" si="1"/>
        <v>0.46799999999999997</v>
      </c>
      <c r="G25" s="312">
        <f t="shared" si="1"/>
        <v>0.44206666666666666</v>
      </c>
      <c r="H25" s="312">
        <f t="shared" si="1"/>
        <v>0.42943333333333333</v>
      </c>
      <c r="I25" s="312">
        <f t="shared" si="1"/>
        <v>0.43520000000000003</v>
      </c>
      <c r="J25" s="312">
        <f t="shared" si="1"/>
        <v>0.45700000000000002</v>
      </c>
      <c r="K25" s="312">
        <f t="shared" si="1"/>
        <v>0.48703333333333337</v>
      </c>
      <c r="L25" s="312">
        <f t="shared" si="1"/>
        <v>0.51869999999999994</v>
      </c>
      <c r="M25" s="312">
        <f t="shared" si="1"/>
        <v>0.54549999999999998</v>
      </c>
      <c r="N25" s="312">
        <f t="shared" si="1"/>
        <v>0.55893333333333339</v>
      </c>
      <c r="O25" s="117"/>
      <c r="P25" s="314"/>
    </row>
    <row r="26" spans="1:16">
      <c r="A26" s="43" t="s">
        <v>55</v>
      </c>
      <c r="B26" s="43" t="s">
        <v>55</v>
      </c>
      <c r="C26" s="312">
        <f t="shared" si="1"/>
        <v>1</v>
      </c>
      <c r="D26" s="312">
        <f t="shared" si="1"/>
        <v>1</v>
      </c>
      <c r="E26" s="312">
        <f t="shared" si="1"/>
        <v>1</v>
      </c>
      <c r="F26" s="312">
        <f t="shared" si="1"/>
        <v>1</v>
      </c>
      <c r="G26" s="312">
        <f t="shared" si="1"/>
        <v>1</v>
      </c>
      <c r="H26" s="312">
        <f t="shared" si="1"/>
        <v>1</v>
      </c>
      <c r="I26" s="312">
        <f t="shared" si="1"/>
        <v>1</v>
      </c>
      <c r="J26" s="312">
        <f t="shared" si="1"/>
        <v>1</v>
      </c>
      <c r="K26" s="312">
        <f t="shared" si="1"/>
        <v>1</v>
      </c>
      <c r="L26" s="312">
        <f t="shared" si="1"/>
        <v>1</v>
      </c>
      <c r="M26" s="312">
        <f t="shared" si="1"/>
        <v>0.99860000000000004</v>
      </c>
      <c r="N26" s="312">
        <f t="shared" si="1"/>
        <v>1</v>
      </c>
      <c r="O26" s="117"/>
      <c r="P26" s="314"/>
    </row>
    <row r="27" spans="1:16">
      <c r="A27" s="43" t="s">
        <v>87</v>
      </c>
      <c r="B27" s="43" t="s">
        <v>87</v>
      </c>
      <c r="C27" s="312">
        <f t="shared" si="1"/>
        <v>0.26223333333333332</v>
      </c>
      <c r="D27" s="312">
        <f t="shared" si="1"/>
        <v>0.21733333333333335</v>
      </c>
      <c r="E27" s="312">
        <f t="shared" si="1"/>
        <v>0.56643333333333334</v>
      </c>
      <c r="F27" s="312">
        <f t="shared" si="1"/>
        <v>0.50056666666666672</v>
      </c>
      <c r="G27" s="312">
        <f t="shared" si="1"/>
        <v>0.53513333333333335</v>
      </c>
      <c r="H27" s="312">
        <f t="shared" si="1"/>
        <v>0.53413333333333335</v>
      </c>
      <c r="I27" s="312">
        <f t="shared" si="1"/>
        <v>0.49449999999999994</v>
      </c>
      <c r="J27" s="312">
        <f t="shared" si="1"/>
        <v>0.50003333333333344</v>
      </c>
      <c r="K27" s="312">
        <f t="shared" si="1"/>
        <v>0.47400000000000003</v>
      </c>
      <c r="L27" s="312">
        <f t="shared" si="1"/>
        <v>0.32629999999999998</v>
      </c>
      <c r="M27" s="312">
        <f t="shared" si="1"/>
        <v>0.13663333333333333</v>
      </c>
      <c r="N27" s="312">
        <f t="shared" si="1"/>
        <v>0.34523333333333328</v>
      </c>
      <c r="O27" s="117"/>
      <c r="P27" s="314"/>
    </row>
    <row r="28" spans="1:16">
      <c r="A28" s="43" t="s">
        <v>88</v>
      </c>
      <c r="B28" s="43" t="s">
        <v>88</v>
      </c>
      <c r="C28" s="312">
        <f t="shared" si="1"/>
        <v>0.28420000000000001</v>
      </c>
      <c r="D28" s="312">
        <f t="shared" si="1"/>
        <v>0.28260000000000002</v>
      </c>
      <c r="E28" s="312">
        <f t="shared" si="1"/>
        <v>0.21623333333333336</v>
      </c>
      <c r="F28" s="312">
        <f t="shared" si="1"/>
        <v>0.27426666666666666</v>
      </c>
      <c r="G28" s="312">
        <f t="shared" si="1"/>
        <v>0.27540000000000003</v>
      </c>
      <c r="H28" s="312">
        <f t="shared" si="1"/>
        <v>0.25316666666666671</v>
      </c>
      <c r="I28" s="312">
        <f t="shared" si="1"/>
        <v>0.33446666666666669</v>
      </c>
      <c r="J28" s="312">
        <f t="shared" si="1"/>
        <v>0.2658666666666667</v>
      </c>
      <c r="K28" s="312">
        <f t="shared" si="1"/>
        <v>0.25819999999999999</v>
      </c>
      <c r="L28" s="312">
        <f t="shared" si="1"/>
        <v>0.36126666666666668</v>
      </c>
      <c r="M28" s="312">
        <f t="shared" si="1"/>
        <v>0.23656666666666668</v>
      </c>
      <c r="N28" s="312">
        <f t="shared" si="1"/>
        <v>0.22630000000000003</v>
      </c>
      <c r="O28" s="117"/>
      <c r="P28" s="314"/>
    </row>
    <row r="29" spans="1:16">
      <c r="C29" s="312"/>
      <c r="D29" s="312"/>
      <c r="E29" s="312"/>
      <c r="F29" s="312"/>
      <c r="G29" s="312"/>
      <c r="H29" s="312"/>
      <c r="I29" s="312"/>
      <c r="J29" s="312"/>
      <c r="K29" s="312"/>
      <c r="L29" s="312"/>
      <c r="M29" s="312"/>
      <c r="N29" s="312"/>
      <c r="O29" s="117"/>
      <c r="P29" s="314"/>
    </row>
    <row r="30" spans="1:16" hidden="1">
      <c r="C30" s="312"/>
      <c r="D30" s="312"/>
      <c r="E30" s="312"/>
      <c r="F30" s="312"/>
      <c r="G30" s="312"/>
      <c r="H30" s="312"/>
      <c r="I30" s="312"/>
      <c r="J30" s="312"/>
      <c r="K30" s="312"/>
      <c r="L30" s="312"/>
      <c r="M30" s="312"/>
      <c r="N30" s="312"/>
      <c r="O30" s="117"/>
      <c r="P30" s="314"/>
    </row>
    <row r="31" spans="1:16" hidden="1">
      <c r="B31" s="42" t="s">
        <v>86</v>
      </c>
      <c r="C31" s="115"/>
      <c r="D31" s="115"/>
      <c r="E31" s="115"/>
      <c r="F31" s="115"/>
      <c r="G31" s="115"/>
      <c r="H31" s="115"/>
      <c r="I31" s="115"/>
      <c r="J31" s="115"/>
      <c r="K31" s="115"/>
      <c r="L31" s="115"/>
      <c r="M31" s="115"/>
      <c r="N31" s="115"/>
      <c r="O31" s="117"/>
      <c r="P31" s="117"/>
    </row>
    <row r="32" spans="1:16" hidden="1">
      <c r="A32" t="s">
        <v>603</v>
      </c>
      <c r="B32" t="s">
        <v>603</v>
      </c>
      <c r="C32" s="312">
        <f>AVERAGE(VLOOKUP($B32,$B$96:$N$121,C$9,FALSE),VLOOKUP($B32,$B$138:$N$164,C$9,FALSE))</f>
        <v>0.59109999999999996</v>
      </c>
      <c r="D32" s="312">
        <f>AVERAGE(VLOOKUP($B32,$B$96:$N$121,D$9,FALSE),VLOOKUP($B32,$B$138:$N$164,D$9,FALSE))</f>
        <v>0.58160000000000001</v>
      </c>
      <c r="E32" s="312">
        <f>AVERAGE(VLOOKUP($B32,$B$96:$N$121,E$9,FALSE),VLOOKUP($B32,$B$138:$N$164,E$9,FALSE))</f>
        <v>0.60155000000000003</v>
      </c>
      <c r="F32" s="312">
        <f>AVERAGE(VLOOKUP($B32,$B$96:$N$121,F$9,FALSE),VLOOKUP($B32,$B$138:$N$164,F$9,FALSE))</f>
        <v>0.58689999999999998</v>
      </c>
      <c r="G32" s="312">
        <f t="shared" ref="G32:N34" si="2">AVERAGE(VLOOKUP($B32,$B$54:$P$79,G$9,FALSE),VLOOKUP($B32,$B$96:$N$121,G$9,FALSE),VLOOKUP($B32,$B$138:$N$164,G$9,FALSE))</f>
        <v>0.57616666666666672</v>
      </c>
      <c r="H32" s="312">
        <f t="shared" si="2"/>
        <v>0.63143333333333329</v>
      </c>
      <c r="I32" s="312">
        <f t="shared" si="2"/>
        <v>0.62653333333333328</v>
      </c>
      <c r="J32" s="312">
        <f t="shared" si="2"/>
        <v>0.62580000000000002</v>
      </c>
      <c r="K32" s="312">
        <f t="shared" si="2"/>
        <v>0.61273333333333324</v>
      </c>
      <c r="L32" s="312">
        <f t="shared" si="2"/>
        <v>0.58309999999999995</v>
      </c>
      <c r="M32" s="312">
        <f t="shared" si="2"/>
        <v>0.6022333333333334</v>
      </c>
      <c r="N32" s="312">
        <f t="shared" si="2"/>
        <v>0.61893333333333334</v>
      </c>
      <c r="O32" s="117"/>
      <c r="P32" s="314"/>
    </row>
    <row r="33" spans="1:16" hidden="1">
      <c r="A33" t="s">
        <v>983</v>
      </c>
      <c r="B33" t="s">
        <v>983</v>
      </c>
      <c r="C33" s="312">
        <f t="shared" ref="C33:F34" si="3">AVERAGE(VLOOKUP($B33,$B$54:$P$79,C$9,FALSE),VLOOKUP($B33,$B$96:$N$121,C$9,FALSE),VLOOKUP($B33,$B$138:$N$164,C$9,FALSE))</f>
        <v>0.66199999999999992</v>
      </c>
      <c r="D33" s="312">
        <f t="shared" si="3"/>
        <v>0.6747333333333333</v>
      </c>
      <c r="E33" s="312">
        <f t="shared" si="3"/>
        <v>0.63780000000000003</v>
      </c>
      <c r="F33" s="312">
        <f t="shared" si="3"/>
        <v>0.66</v>
      </c>
      <c r="G33" s="312">
        <f t="shared" si="2"/>
        <v>0.65356666666666663</v>
      </c>
      <c r="H33" s="312">
        <f t="shared" si="2"/>
        <v>0.70210000000000006</v>
      </c>
      <c r="I33" s="312">
        <f t="shared" si="2"/>
        <v>0.70033333333333336</v>
      </c>
      <c r="J33" s="312">
        <f t="shared" si="2"/>
        <v>0.72826666666666673</v>
      </c>
      <c r="K33" s="312">
        <f t="shared" si="2"/>
        <v>0.67546666666666655</v>
      </c>
      <c r="L33" s="312">
        <f t="shared" si="2"/>
        <v>0.66059999999999997</v>
      </c>
      <c r="M33" s="312">
        <f t="shared" si="2"/>
        <v>0.67023333333333335</v>
      </c>
      <c r="N33" s="312">
        <f t="shared" si="2"/>
        <v>0.64080000000000004</v>
      </c>
      <c r="O33" s="117"/>
      <c r="P33" s="314"/>
    </row>
    <row r="34" spans="1:16" hidden="1">
      <c r="A34" t="s">
        <v>984</v>
      </c>
      <c r="B34" t="s">
        <v>984</v>
      </c>
      <c r="C34" s="312">
        <f t="shared" si="3"/>
        <v>0.59073333333333333</v>
      </c>
      <c r="D34" s="312">
        <f t="shared" si="3"/>
        <v>0.62863333333333327</v>
      </c>
      <c r="E34" s="312">
        <f t="shared" si="3"/>
        <v>0.65580000000000005</v>
      </c>
      <c r="F34" s="312">
        <f t="shared" si="3"/>
        <v>0.61573333333333335</v>
      </c>
      <c r="G34" s="312">
        <f t="shared" si="2"/>
        <v>0.63516666666666666</v>
      </c>
      <c r="H34" s="312">
        <f t="shared" si="2"/>
        <v>0.63976666666666659</v>
      </c>
      <c r="I34" s="312">
        <f t="shared" si="2"/>
        <v>0.64933333333333332</v>
      </c>
      <c r="J34" s="312">
        <f t="shared" si="2"/>
        <v>0.65466666666666662</v>
      </c>
      <c r="K34" s="312">
        <f t="shared" si="2"/>
        <v>0.63663333333333338</v>
      </c>
      <c r="L34" s="312">
        <f t="shared" si="2"/>
        <v>0.61450000000000005</v>
      </c>
      <c r="M34" s="312">
        <f t="shared" si="2"/>
        <v>0.66016666666666668</v>
      </c>
      <c r="N34" s="312">
        <f t="shared" si="2"/>
        <v>0.67266666666666663</v>
      </c>
      <c r="O34" s="117"/>
      <c r="P34" s="314"/>
    </row>
    <row r="35" spans="1:16" hidden="1">
      <c r="A35" t="s">
        <v>985</v>
      </c>
      <c r="B35" t="s">
        <v>985</v>
      </c>
      <c r="C35" s="394">
        <f>AVERAGE(M35,N35,D35,E35)</f>
        <v>0.93932499999999997</v>
      </c>
      <c r="D35" s="312">
        <f t="shared" ref="D35:N35" si="4">AVERAGE(VLOOKUP($B35,$B$138:$N$164,D$9,FALSE))</f>
        <v>0.79259999999999997</v>
      </c>
      <c r="E35" s="312">
        <f t="shared" si="4"/>
        <v>1</v>
      </c>
      <c r="F35" s="312">
        <f t="shared" si="4"/>
        <v>1</v>
      </c>
      <c r="G35" s="312">
        <f t="shared" si="4"/>
        <v>0.9929</v>
      </c>
      <c r="H35" s="312">
        <f t="shared" si="4"/>
        <v>0.9163</v>
      </c>
      <c r="I35" s="312">
        <f t="shared" si="4"/>
        <v>0.94589999999999996</v>
      </c>
      <c r="J35" s="312">
        <f t="shared" si="4"/>
        <v>0.95889999999999997</v>
      </c>
      <c r="K35" s="312">
        <f t="shared" si="4"/>
        <v>0.99439999999999995</v>
      </c>
      <c r="L35" s="312">
        <f t="shared" si="4"/>
        <v>0.98019999999999996</v>
      </c>
      <c r="M35" s="312">
        <f t="shared" si="4"/>
        <v>0.99860000000000004</v>
      </c>
      <c r="N35" s="312">
        <f t="shared" si="4"/>
        <v>0.96609999999999996</v>
      </c>
      <c r="O35" s="117"/>
      <c r="P35" s="314"/>
    </row>
    <row r="36" spans="1:16" hidden="1">
      <c r="A36" t="s">
        <v>691</v>
      </c>
      <c r="B36" t="s">
        <v>691</v>
      </c>
      <c r="C36" s="394">
        <f>AVERAGE($H$36:$N$36)</f>
        <v>0.4885714285714286</v>
      </c>
      <c r="D36" s="394">
        <f t="shared" ref="D36:G36" si="5">AVERAGE($H$36:$N$36)</f>
        <v>0.4885714285714286</v>
      </c>
      <c r="E36" s="394">
        <f t="shared" si="5"/>
        <v>0.4885714285714286</v>
      </c>
      <c r="F36" s="394">
        <f t="shared" si="5"/>
        <v>0.4885714285714286</v>
      </c>
      <c r="G36" s="394">
        <f t="shared" si="5"/>
        <v>0.4885714285714286</v>
      </c>
      <c r="H36" s="312">
        <f t="shared" ref="H36:N36" si="6">AVERAGE(VLOOKUP($B36,$B$138:$N$164,H$9,FALSE))</f>
        <v>0.56879999999999997</v>
      </c>
      <c r="I36" s="312">
        <f t="shared" si="6"/>
        <v>0.61060000000000003</v>
      </c>
      <c r="J36" s="312">
        <f t="shared" si="6"/>
        <v>0.64549999999999996</v>
      </c>
      <c r="K36" s="312">
        <f t="shared" si="6"/>
        <v>0.64839999999999998</v>
      </c>
      <c r="L36" s="312">
        <f t="shared" si="6"/>
        <v>0.58520000000000005</v>
      </c>
      <c r="M36" s="312">
        <f t="shared" si="6"/>
        <v>0.27029999999999998</v>
      </c>
      <c r="N36" s="312">
        <f t="shared" si="6"/>
        <v>9.1200000000000003E-2</v>
      </c>
      <c r="O36" s="117"/>
      <c r="P36" s="314"/>
    </row>
    <row r="37" spans="1:16" hidden="1">
      <c r="A37" t="s">
        <v>724</v>
      </c>
      <c r="B37" t="s">
        <v>724</v>
      </c>
      <c r="C37" s="312">
        <f t="shared" ref="C37:N37" si="7">AVERAGE(VLOOKUP($B37,$B$54:$P$79,C$9,FALSE),VLOOKUP($B37,$B$96:$N$121,C$9,FALSE),VLOOKUP($B37,$B$138:$N$164,C$9,FALSE))</f>
        <v>0.56523333333333337</v>
      </c>
      <c r="D37" s="312">
        <f t="shared" si="7"/>
        <v>0.58933333333333338</v>
      </c>
      <c r="E37" s="312">
        <f t="shared" si="7"/>
        <v>0.60853333333333337</v>
      </c>
      <c r="F37" s="312">
        <f t="shared" si="7"/>
        <v>0.58330000000000004</v>
      </c>
      <c r="G37" s="312">
        <f t="shared" si="7"/>
        <v>0.61186666666666667</v>
      </c>
      <c r="H37" s="312">
        <f t="shared" si="7"/>
        <v>0.61399999999999999</v>
      </c>
      <c r="I37" s="312">
        <f t="shared" si="7"/>
        <v>0.62653333333333328</v>
      </c>
      <c r="J37" s="312">
        <f t="shared" si="7"/>
        <v>0.6377666666666667</v>
      </c>
      <c r="K37" s="312">
        <f t="shared" si="7"/>
        <v>0.61646666666666672</v>
      </c>
      <c r="L37" s="312">
        <f t="shared" si="7"/>
        <v>0.59760000000000002</v>
      </c>
      <c r="M37" s="312">
        <f t="shared" si="7"/>
        <v>0.64483333333333326</v>
      </c>
      <c r="N37" s="312">
        <f t="shared" si="7"/>
        <v>0.64040000000000008</v>
      </c>
      <c r="O37" s="117"/>
      <c r="P37" s="314"/>
    </row>
    <row r="38" spans="1:16" hidden="1">
      <c r="A38" t="s">
        <v>986</v>
      </c>
      <c r="B38" t="s">
        <v>986</v>
      </c>
      <c r="C38" s="312">
        <f t="shared" ref="C38:N38" si="8">AVERAGE(VLOOKUP($B38,$B$138:$N$164,C$9,FALSE))</f>
        <v>0.96640000000000004</v>
      </c>
      <c r="D38" s="312">
        <f t="shared" si="8"/>
        <v>1</v>
      </c>
      <c r="E38" s="312">
        <f t="shared" si="8"/>
        <v>0.99329999999999996</v>
      </c>
      <c r="F38" s="312">
        <f t="shared" si="8"/>
        <v>0.92920000000000003</v>
      </c>
      <c r="G38" s="312">
        <f t="shared" si="8"/>
        <v>0.98119999999999996</v>
      </c>
      <c r="H38" s="312">
        <f t="shared" si="8"/>
        <v>1</v>
      </c>
      <c r="I38" s="312">
        <f t="shared" si="8"/>
        <v>1</v>
      </c>
      <c r="J38" s="312">
        <f t="shared" si="8"/>
        <v>1</v>
      </c>
      <c r="K38" s="312">
        <f t="shared" si="8"/>
        <v>1</v>
      </c>
      <c r="L38" s="312">
        <f t="shared" si="8"/>
        <v>0.96909999999999996</v>
      </c>
      <c r="M38" s="312">
        <f t="shared" si="8"/>
        <v>0.96809999999999996</v>
      </c>
      <c r="N38" s="312">
        <f t="shared" si="8"/>
        <v>0.92610000000000003</v>
      </c>
      <c r="O38" s="117"/>
      <c r="P38" s="314"/>
    </row>
    <row r="39" spans="1:16" hidden="1">
      <c r="B39" s="43"/>
      <c r="O39" s="110"/>
      <c r="P39" s="110"/>
    </row>
    <row r="40" spans="1:16" hidden="1">
      <c r="C40" s="394">
        <v>0.49230000000000002</v>
      </c>
      <c r="D40" s="394">
        <v>0.63839999999999997</v>
      </c>
      <c r="E40" s="394">
        <v>0.75280000000000002</v>
      </c>
      <c r="F40" s="394">
        <v>0.87380000000000002</v>
      </c>
      <c r="G40" s="394">
        <v>0.76290000000000002</v>
      </c>
      <c r="H40" s="394">
        <v>0.8054</v>
      </c>
      <c r="I40" s="394">
        <v>0.96940000000000004</v>
      </c>
      <c r="J40" s="394">
        <v>0.67320000000000002</v>
      </c>
      <c r="K40" s="394">
        <v>0.55300000000000005</v>
      </c>
      <c r="O40" s="110"/>
      <c r="P40" s="110"/>
    </row>
    <row r="41" spans="1:16" hidden="1">
      <c r="O41" s="110"/>
      <c r="P41" s="110"/>
    </row>
    <row r="42" spans="1:16" hidden="1">
      <c r="O42" s="110"/>
      <c r="P42" s="110"/>
    </row>
    <row r="43" spans="1:16" hidden="1"/>
    <row r="44" spans="1:16" hidden="1"/>
    <row r="45" spans="1:16" hidden="1"/>
    <row r="46" spans="1:16" ht="21">
      <c r="B46" s="611" t="s">
        <v>988</v>
      </c>
      <c r="C46" s="611"/>
      <c r="D46" s="611"/>
      <c r="E46" s="611"/>
      <c r="F46" s="611"/>
      <c r="G46" s="611"/>
      <c r="H46" s="611"/>
      <c r="I46" s="611"/>
      <c r="J46" s="611"/>
      <c r="K46" s="611"/>
      <c r="L46" s="611"/>
      <c r="M46" s="611"/>
      <c r="N46" s="611"/>
      <c r="O46" s="611"/>
      <c r="P46" s="611"/>
    </row>
    <row r="47" spans="1:16" ht="17.399999999999999">
      <c r="B47" s="610" t="str">
        <f>+MANUAL!$B$5 &amp;" as Calculated by LodeStar Except as Noted"</f>
        <v>2012 as Calculated by LodeStar Except as Noted</v>
      </c>
      <c r="C47" s="610"/>
      <c r="D47" s="610"/>
      <c r="E47" s="610"/>
      <c r="F47" s="610"/>
      <c r="G47" s="610"/>
      <c r="H47" s="610"/>
      <c r="I47" s="610"/>
      <c r="J47" s="610"/>
      <c r="K47" s="610"/>
      <c r="L47" s="610"/>
      <c r="M47" s="610"/>
      <c r="N47" s="610"/>
      <c r="O47" s="610"/>
      <c r="P47" s="610"/>
    </row>
    <row r="48" spans="1:16" ht="13.8" thickBot="1">
      <c r="B48" s="300"/>
      <c r="C48" s="300"/>
      <c r="D48" s="300"/>
      <c r="E48" s="300"/>
      <c r="F48" s="300"/>
      <c r="G48" s="300"/>
      <c r="H48" s="300"/>
      <c r="I48" s="300"/>
      <c r="J48" s="300"/>
      <c r="K48" s="300"/>
      <c r="L48" s="300"/>
      <c r="M48" s="300"/>
      <c r="N48" s="300"/>
      <c r="O48" s="300"/>
      <c r="P48" s="300"/>
    </row>
    <row r="49" spans="1:16">
      <c r="C49" s="14"/>
      <c r="D49" s="15"/>
      <c r="E49" s="16"/>
      <c r="F49" s="17"/>
      <c r="G49" s="18"/>
      <c r="H49" s="19"/>
      <c r="I49" s="20"/>
      <c r="J49" s="21"/>
      <c r="K49" s="22"/>
      <c r="L49" s="23"/>
      <c r="M49" s="24"/>
      <c r="N49" s="317"/>
      <c r="O49" s="110"/>
      <c r="P49" s="305"/>
    </row>
    <row r="50" spans="1:16" ht="13.8" thickBot="1">
      <c r="C50" s="28" t="s">
        <v>70</v>
      </c>
      <c r="D50" s="29" t="s">
        <v>71</v>
      </c>
      <c r="E50" s="30" t="s">
        <v>72</v>
      </c>
      <c r="F50" s="31" t="s">
        <v>73</v>
      </c>
      <c r="G50" s="32" t="s">
        <v>74</v>
      </c>
      <c r="H50" s="33" t="s">
        <v>75</v>
      </c>
      <c r="I50" s="34" t="s">
        <v>76</v>
      </c>
      <c r="J50" s="35" t="s">
        <v>77</v>
      </c>
      <c r="K50" s="36" t="s">
        <v>78</v>
      </c>
      <c r="L50" s="37" t="s">
        <v>79</v>
      </c>
      <c r="M50" s="38" t="s">
        <v>80</v>
      </c>
      <c r="N50" s="318" t="s">
        <v>81</v>
      </c>
      <c r="O50" s="305"/>
      <c r="P50" s="305"/>
    </row>
    <row r="51" spans="1:16" hidden="1">
      <c r="C51">
        <v>4</v>
      </c>
      <c r="D51">
        <f>C51+1</f>
        <v>5</v>
      </c>
      <c r="E51">
        <f t="shared" ref="E51:N51" si="9">D51+1</f>
        <v>6</v>
      </c>
      <c r="F51">
        <f t="shared" si="9"/>
        <v>7</v>
      </c>
      <c r="G51">
        <f t="shared" si="9"/>
        <v>8</v>
      </c>
      <c r="H51">
        <f t="shared" si="9"/>
        <v>9</v>
      </c>
      <c r="I51">
        <f t="shared" si="9"/>
        <v>10</v>
      </c>
      <c r="J51">
        <f t="shared" si="9"/>
        <v>11</v>
      </c>
      <c r="K51">
        <f t="shared" si="9"/>
        <v>12</v>
      </c>
      <c r="L51">
        <f t="shared" si="9"/>
        <v>13</v>
      </c>
      <c r="M51">
        <f t="shared" si="9"/>
        <v>14</v>
      </c>
      <c r="N51">
        <f t="shared" si="9"/>
        <v>15</v>
      </c>
      <c r="O51" s="110"/>
      <c r="P51" s="110"/>
    </row>
    <row r="52" spans="1:16">
      <c r="O52" s="110"/>
      <c r="P52" s="110"/>
    </row>
    <row r="53" spans="1:16">
      <c r="B53" s="42" t="s">
        <v>83</v>
      </c>
      <c r="O53" s="110"/>
      <c r="P53" s="110"/>
    </row>
    <row r="54" spans="1:16">
      <c r="A54" t="s">
        <v>122</v>
      </c>
      <c r="B54" s="43" t="s">
        <v>84</v>
      </c>
      <c r="C54" s="313">
        <f>VLOOKUP($A54&amp;"GCP LF",'E11 - 2012 09 Final'!$A$46:$P$2419,$C$51,FALSE)</f>
        <v>0.84850000000000003</v>
      </c>
      <c r="D54" s="313">
        <f>VLOOKUP($A54&amp;"GCP LF",'E11 - 2012 09 Final'!$A$46:$P$2419,$D$51,FALSE)</f>
        <v>0.84960000000000002</v>
      </c>
      <c r="E54" s="313">
        <f>VLOOKUP($A54&amp;"GCP LF",'E11 - 2012 09 Final'!$A$46:$P$2419,$E$51,FALSE)</f>
        <v>0.84909999999999997</v>
      </c>
      <c r="F54" s="313">
        <f>VLOOKUP($A54&amp;"GCP LF",'E11 - 2012 09 Final'!$A$46:$P$2419,$F$51,FALSE)</f>
        <v>0.85599999999999998</v>
      </c>
      <c r="G54" s="313">
        <f>VLOOKUP($A54&amp;"GCP LF",'E11 - 2012 09 Final'!$A$46:$P$2419,$G$51,FALSE)</f>
        <v>0.874</v>
      </c>
      <c r="H54" s="313">
        <f>VLOOKUP($A54&amp;"GCP LF",'E11 - 2012 09 Final'!$A$46:$P$2419,$H$51,FALSE)</f>
        <v>0.86750000000000005</v>
      </c>
      <c r="I54" s="313">
        <f>VLOOKUP($A54&amp;"GCP LF",'E11 - 2012 09 Final'!$A$46:$P$2419,$I$51,FALSE)</f>
        <v>0.88090000000000002</v>
      </c>
      <c r="J54" s="313">
        <f>VLOOKUP($A54&amp;"GCP LF",'E11 - 2012 09 Final'!$A$46:$P$2419,$J$51,FALSE)</f>
        <v>0.86929999999999996</v>
      </c>
      <c r="K54" s="313">
        <f>VLOOKUP($A54&amp;"GCP LF",'E11 - 2012 09 Final'!$A$46:$P$2419,$K$51,FALSE)</f>
        <v>0.86799999999999999</v>
      </c>
      <c r="L54" s="313">
        <f>VLOOKUP($A54&amp;"GCP LF",'E11 - 2012 09 Final'!$A$46:$P$2419,$L$51,FALSE)</f>
        <v>0.85860000000000003</v>
      </c>
      <c r="M54" s="313">
        <f>VLOOKUP($A54&amp;"GCP LF",'E11 - 2012 09 Final'!$A$46:$P$2419,$M$51,FALSE)</f>
        <v>0.84260000000000002</v>
      </c>
      <c r="N54" s="313">
        <f>VLOOKUP($A54&amp;"GCP LF",'E11 - 2012 09 Final'!$A$46:$P$2419,$N$51,FALSE)</f>
        <v>0.82879999999999998</v>
      </c>
      <c r="O54" s="117"/>
      <c r="P54" s="314"/>
    </row>
    <row r="55" spans="1:16">
      <c r="A55" t="s">
        <v>177</v>
      </c>
      <c r="B55" s="43" t="s">
        <v>85</v>
      </c>
      <c r="C55" s="313">
        <f>VLOOKUP($A55&amp;"GCP LF",'E11 - 2012 09 Final'!$A$46:$P$2419,$C$51,FALSE)</f>
        <v>0.84670000000000001</v>
      </c>
      <c r="D55" s="313">
        <f>VLOOKUP($A55&amp;"GCP LF",'E11 - 2012 09 Final'!$A$46:$P$2419,$D$51,FALSE)</f>
        <v>0.82950000000000002</v>
      </c>
      <c r="E55" s="313">
        <f>VLOOKUP($A55&amp;"GCP LF",'E11 - 2012 09 Final'!$A$46:$P$2419,$E$51,FALSE)</f>
        <v>0.85780000000000001</v>
      </c>
      <c r="F55" s="313">
        <f>VLOOKUP($A55&amp;"GCP LF",'E11 - 2012 09 Final'!$A$46:$P$2419,$F$51,FALSE)</f>
        <v>0.82769999999999999</v>
      </c>
      <c r="G55" s="313">
        <f>VLOOKUP($A55&amp;"GCP LF",'E11 - 2012 09 Final'!$A$46:$P$2419,$G$51,FALSE)</f>
        <v>0.8528</v>
      </c>
      <c r="H55" s="313">
        <f>VLOOKUP($A55&amp;"GCP LF",'E11 - 2012 09 Final'!$A$46:$P$2419,$H$51,FALSE)</f>
        <v>0.86009999999999998</v>
      </c>
      <c r="I55" s="313">
        <f>VLOOKUP($A55&amp;"GCP LF",'E11 - 2012 09 Final'!$A$46:$P$2419,$I$51,FALSE)</f>
        <v>0.85809999999999997</v>
      </c>
      <c r="J55" s="313">
        <f>VLOOKUP($A55&amp;"GCP LF",'E11 - 2012 09 Final'!$A$46:$P$2419,$J$51,FALSE)</f>
        <v>0.85160000000000002</v>
      </c>
      <c r="K55" s="313">
        <f>VLOOKUP($A55&amp;"GCP LF",'E11 - 2012 09 Final'!$A$46:$P$2419,$K$51,FALSE)</f>
        <v>0.8458</v>
      </c>
      <c r="L55" s="313">
        <f>VLOOKUP($A55&amp;"GCP LF",'E11 - 2012 09 Final'!$A$46:$P$2419,$L$51,FALSE)</f>
        <v>0.83850000000000002</v>
      </c>
      <c r="M55" s="313">
        <f>VLOOKUP($A55&amp;"GCP LF",'E11 - 2012 09 Final'!$A$46:$P$2419,$M$51,FALSE)</f>
        <v>0.85109999999999997</v>
      </c>
      <c r="N55" s="313">
        <f>VLOOKUP($A55&amp;"GCP LF",'E11 - 2012 09 Final'!$A$46:$P$2419,$N$51,FALSE)</f>
        <v>0.83660000000000001</v>
      </c>
      <c r="O55" s="117"/>
      <c r="P55" s="314"/>
    </row>
    <row r="56" spans="1:16">
      <c r="A56" t="s">
        <v>185</v>
      </c>
      <c r="B56" s="43" t="s">
        <v>50</v>
      </c>
      <c r="C56" s="313">
        <f>VLOOKUP($A56&amp;"GCP LF",'E11 - 2012 09 Final'!$A$46:$P$2419,$C$51,FALSE)</f>
        <v>0.86970000000000003</v>
      </c>
      <c r="D56" s="313">
        <f>VLOOKUP($A56&amp;"GCP LF",'E11 - 2012 09 Final'!$A$46:$P$2419,$D$51,FALSE)</f>
        <v>0.8337</v>
      </c>
      <c r="E56" s="313">
        <f>VLOOKUP($A56&amp;"GCP LF",'E11 - 2012 09 Final'!$A$46:$P$2419,$E$51,FALSE)</f>
        <v>0.83109999999999995</v>
      </c>
      <c r="F56" s="313">
        <f>VLOOKUP($A56&amp;"GCP LF",'E11 - 2012 09 Final'!$A$46:$P$2419,$F$51,FALSE)</f>
        <v>0.84819999999999995</v>
      </c>
      <c r="G56" s="313">
        <f>VLOOKUP($A56&amp;"GCP LF",'E11 - 2012 09 Final'!$A$46:$P$2419,$G$51,FALSE)</f>
        <v>0.86839999999999995</v>
      </c>
      <c r="H56" s="313">
        <f>VLOOKUP($A56&amp;"GCP LF",'E11 - 2012 09 Final'!$A$46:$P$2419,$H$51,FALSE)</f>
        <v>0.88500000000000001</v>
      </c>
      <c r="I56" s="313">
        <f>VLOOKUP($A56&amp;"GCP LF",'E11 - 2012 09 Final'!$A$46:$P$2419,$I$51,FALSE)</f>
        <v>0.87060000000000004</v>
      </c>
      <c r="J56" s="313">
        <f>VLOOKUP($A56&amp;"GCP LF",'E11 - 2012 09 Final'!$A$46:$P$2419,$J$51,FALSE)</f>
        <v>0.84289999999999998</v>
      </c>
      <c r="K56" s="313">
        <f>VLOOKUP($A56&amp;"GCP LF",'E11 - 2012 09 Final'!$A$46:$P$2419,$K$51,FALSE)</f>
        <v>0.85899999999999999</v>
      </c>
      <c r="L56" s="313">
        <f>VLOOKUP($A56&amp;"GCP LF",'E11 - 2012 09 Final'!$A$46:$P$2419,$L$51,FALSE)</f>
        <v>0.84960000000000002</v>
      </c>
      <c r="M56" s="313">
        <f>VLOOKUP($A56&amp;"GCP LF",'E11 - 2012 09 Final'!$A$46:$P$2419,$M$51,FALSE)</f>
        <v>0.82399999999999995</v>
      </c>
      <c r="N56" s="313">
        <f>VLOOKUP($A56&amp;"GCP LF",'E11 - 2012 09 Final'!$A$46:$P$2419,$N$51,FALSE)</f>
        <v>0.82120000000000004</v>
      </c>
      <c r="O56" s="117"/>
      <c r="P56" s="314"/>
    </row>
    <row r="57" spans="1:16">
      <c r="A57" t="s">
        <v>941</v>
      </c>
      <c r="B57" s="43" t="s">
        <v>49</v>
      </c>
      <c r="C57" s="313">
        <f>VLOOKUP($A57&amp;"GCP LF",'E11 - 2012 09 Final'!$A$46:$P$2419,$C$51,FALSE)</f>
        <v>0.63480000000000003</v>
      </c>
      <c r="D57" s="313">
        <f>VLOOKUP($A57&amp;"GCP LF",'E11 - 2012 09 Final'!$A$46:$P$2419,$D$51,FALSE)</f>
        <v>0.62890000000000001</v>
      </c>
      <c r="E57" s="313">
        <f>VLOOKUP($A57&amp;"GCP LF",'E11 - 2012 09 Final'!$A$46:$P$2419,$E$51,FALSE)</f>
        <v>0.66569999999999996</v>
      </c>
      <c r="F57" s="313">
        <f>VLOOKUP($A57&amp;"GCP LF",'E11 - 2012 09 Final'!$A$46:$P$2419,$F$51,FALSE)</f>
        <v>0.61070000000000002</v>
      </c>
      <c r="G57" s="313">
        <f>VLOOKUP($A57&amp;"GCP LF",'E11 - 2012 09 Final'!$A$46:$P$2419,$G$51,FALSE)</f>
        <v>0.61</v>
      </c>
      <c r="H57" s="313">
        <f>VLOOKUP($A57&amp;"GCP LF",'E11 - 2012 09 Final'!$A$46:$P$2419,$H$51,FALSE)</f>
        <v>0.62519999999999998</v>
      </c>
      <c r="I57" s="313">
        <f>VLOOKUP($A57&amp;"GCP LF",'E11 - 2012 09 Final'!$A$46:$P$2419,$I$51,FALSE)</f>
        <v>0.63780000000000003</v>
      </c>
      <c r="J57" s="313">
        <f>VLOOKUP($A57&amp;"GCP LF",'E11 - 2012 09 Final'!$A$46:$P$2419,$J$51,FALSE)</f>
        <v>0.62790000000000001</v>
      </c>
      <c r="K57" s="313">
        <f>VLOOKUP($A57&amp;"GCP LF",'E11 - 2012 09 Final'!$A$46:$P$2419,$K$51,FALSE)</f>
        <v>0.62829999999999997</v>
      </c>
      <c r="L57" s="313">
        <f>VLOOKUP($A57&amp;"GCP LF",'E11 - 2012 09 Final'!$A$46:$P$2419,$L$51,FALSE)</f>
        <v>0.60570000000000002</v>
      </c>
      <c r="M57" s="313">
        <f>VLOOKUP($A57&amp;"GCP LF",'E11 - 2012 09 Final'!$A$46:$P$2419,$M$51,FALSE)</f>
        <v>0.65300000000000002</v>
      </c>
      <c r="N57" s="313">
        <f>VLOOKUP($A57&amp;"GCP LF",'E11 - 2012 09 Final'!$A$46:$P$2419,$N$51,FALSE)</f>
        <v>0.60840000000000005</v>
      </c>
      <c r="O57" s="117"/>
      <c r="P57" s="314"/>
    </row>
    <row r="58" spans="1:16">
      <c r="A58" t="s">
        <v>944</v>
      </c>
      <c r="B58" s="46" t="s">
        <v>325</v>
      </c>
      <c r="C58" s="313">
        <f>VLOOKUP($A58&amp;"GCP LF",'E11 - 2012 09 Final'!$A$46:$P$2419,$C$51,FALSE)</f>
        <v>0.98340000000000005</v>
      </c>
      <c r="D58" s="313">
        <f>VLOOKUP($A58&amp;"GCP LF",'E11 - 2012 09 Final'!$A$46:$P$2419,$D$51,FALSE)</f>
        <v>0.99160000000000004</v>
      </c>
      <c r="E58" s="313">
        <f>VLOOKUP($A58&amp;"GCP LF",'E11 - 2012 09 Final'!$A$46:$P$2419,$E$51,FALSE)</f>
        <v>0.98650000000000004</v>
      </c>
      <c r="F58" s="313">
        <f>VLOOKUP($A58&amp;"GCP LF",'E11 - 2012 09 Final'!$A$46:$P$2419,$F$51,FALSE)</f>
        <v>0.98219999999999996</v>
      </c>
      <c r="G58" s="313">
        <f>VLOOKUP($A58&amp;"GCP LF",'E11 - 2012 09 Final'!$A$46:$P$2419,$G$51,FALSE)</f>
        <v>0.99109999999999998</v>
      </c>
      <c r="H58" s="313">
        <f>VLOOKUP($A58&amp;"GCP LF",'E11 - 2012 09 Final'!$A$46:$P$2419,$H$51,FALSE)</f>
        <v>0.97640000000000005</v>
      </c>
      <c r="I58" s="313">
        <f>VLOOKUP($A58&amp;"GCP LF",'E11 - 2012 09 Final'!$A$46:$P$2419,$I$51,FALSE)</f>
        <v>0.98939999999999995</v>
      </c>
      <c r="J58" s="313">
        <f>VLOOKUP($A58&amp;"GCP LF",'E11 - 2012 09 Final'!$A$46:$P$2419,$J$51,FALSE)</f>
        <v>0.97430000000000005</v>
      </c>
      <c r="K58" s="313">
        <f>VLOOKUP($A58&amp;"GCP LF",'E11 - 2012 09 Final'!$A$46:$P$2419,$K$51,FALSE)</f>
        <v>0.99299999999999999</v>
      </c>
      <c r="L58" s="313">
        <f>VLOOKUP($A58&amp;"GCP LF",'E11 - 2012 09 Final'!$A$46:$P$2419,$L$51,FALSE)</f>
        <v>0.99229999999999996</v>
      </c>
      <c r="M58" s="313">
        <f>VLOOKUP($A58&amp;"GCP LF",'E11 - 2012 09 Final'!$A$46:$P$2419,$M$51,FALSE)</f>
        <v>0.97529999999999994</v>
      </c>
      <c r="N58" s="313">
        <f>VLOOKUP($A58&amp;"GCP LF",'E11 - 2012 09 Final'!$A$46:$P$2419,$N$51,FALSE)</f>
        <v>0.98070000000000002</v>
      </c>
      <c r="O58" s="117"/>
      <c r="P58" s="314"/>
    </row>
    <row r="59" spans="1:16">
      <c r="A59" t="s">
        <v>994</v>
      </c>
      <c r="B59" s="43" t="s">
        <v>67</v>
      </c>
      <c r="C59" s="313">
        <f>VLOOKUP($A59&amp;"GCP LF",'E11 - 2012 09 Final'!$A$46:$P$2419,$C$51,FALSE)</f>
        <v>0.66120000000000001</v>
      </c>
      <c r="D59" s="313">
        <f>VLOOKUP($A59&amp;"GCP LF",'E11 - 2012 09 Final'!$A$46:$P$2419,$D$51,FALSE)</f>
        <v>0.68579999999999997</v>
      </c>
      <c r="E59" s="313">
        <f>VLOOKUP($A59&amp;"GCP LF",'E11 - 2012 09 Final'!$A$46:$P$2419,$E$51,FALSE)</f>
        <v>0.70489999999999997</v>
      </c>
      <c r="F59" s="313">
        <f>VLOOKUP($A59&amp;"GCP LF",'E11 - 2012 09 Final'!$A$46:$P$2419,$F$51,FALSE)</f>
        <v>0.68059999999999998</v>
      </c>
      <c r="G59" s="313">
        <f>VLOOKUP($A59&amp;"GCP LF",'E11 - 2012 09 Final'!$A$46:$P$2419,$G$51,FALSE)</f>
        <v>0.67930000000000001</v>
      </c>
      <c r="H59" s="313">
        <f>VLOOKUP($A59&amp;"GCP LF",'E11 - 2012 09 Final'!$A$46:$P$2419,$H$51,FALSE)</f>
        <v>0.69979999999999998</v>
      </c>
      <c r="I59" s="313">
        <f>VLOOKUP($A59&amp;"GCP LF",'E11 - 2012 09 Final'!$A$46:$P$2419,$I$51,FALSE)</f>
        <v>0.70430000000000004</v>
      </c>
      <c r="J59" s="313">
        <f>VLOOKUP($A59&amp;"GCP LF",'E11 - 2012 09 Final'!$A$46:$P$2419,$J$51,FALSE)</f>
        <v>0.70379999999999998</v>
      </c>
      <c r="K59" s="313">
        <f>VLOOKUP($A59&amp;"GCP LF",'E11 - 2012 09 Final'!$A$46:$P$2419,$K$51,FALSE)</f>
        <v>0.69830000000000003</v>
      </c>
      <c r="L59" s="313">
        <f>VLOOKUP($A59&amp;"GCP LF",'E11 - 2012 09 Final'!$A$46:$P$2419,$L$51,FALSE)</f>
        <v>0.67179999999999995</v>
      </c>
      <c r="M59" s="313">
        <f>VLOOKUP($A59&amp;"GCP LF",'E11 - 2012 09 Final'!$A$46:$P$2419,$M$51,FALSE)</f>
        <v>0.70699999999999996</v>
      </c>
      <c r="N59" s="313">
        <f>VLOOKUP($A59&amp;"GCP LF",'E11 - 2012 09 Final'!$A$46:$P$2419,$N$51,FALSE)</f>
        <v>0.65610000000000002</v>
      </c>
      <c r="O59" s="117"/>
      <c r="P59" s="314"/>
    </row>
    <row r="60" spans="1:16">
      <c r="A60" t="s">
        <v>997</v>
      </c>
      <c r="B60" s="43" t="s">
        <v>68</v>
      </c>
      <c r="C60" s="313">
        <f>VLOOKUP($A60&amp;"GCP LF",'E11 - 2012 09 Final'!$A$46:$P$2419,$C$51,FALSE)</f>
        <v>0.64570000000000005</v>
      </c>
      <c r="D60" s="313">
        <f>VLOOKUP($A60&amp;"GCP LF",'E11 - 2012 09 Final'!$A$46:$P$2419,$D$51,FALSE)</f>
        <v>0.65259999999999996</v>
      </c>
      <c r="E60" s="313">
        <f>VLOOKUP($A60&amp;"GCP LF",'E11 - 2012 09 Final'!$A$46:$P$2419,$E$51,FALSE)</f>
        <v>0.64880000000000004</v>
      </c>
      <c r="F60" s="313">
        <f>VLOOKUP($A60&amp;"GCP LF",'E11 - 2012 09 Final'!$A$46:$P$2419,$F$51,FALSE)</f>
        <v>0.66059999999999997</v>
      </c>
      <c r="G60" s="313">
        <f>VLOOKUP($A60&amp;"GCP LF",'E11 - 2012 09 Final'!$A$46:$P$2419,$G$51,FALSE)</f>
        <v>0.66459999999999997</v>
      </c>
      <c r="H60" s="313">
        <f>VLOOKUP($A60&amp;"GCP LF",'E11 - 2012 09 Final'!$A$46:$P$2419,$H$51,FALSE)</f>
        <v>0.67390000000000005</v>
      </c>
      <c r="I60" s="313">
        <f>VLOOKUP($A60&amp;"GCP LF",'E11 - 2012 09 Final'!$A$46:$P$2419,$I$51,FALSE)</f>
        <v>0.70689999999999997</v>
      </c>
      <c r="J60" s="313">
        <f>VLOOKUP($A60&amp;"GCP LF",'E11 - 2012 09 Final'!$A$46:$P$2419,$J$51,FALSE)</f>
        <v>0.67979999999999996</v>
      </c>
      <c r="K60" s="313">
        <f>VLOOKUP($A60&amp;"GCP LF",'E11 - 2012 09 Final'!$A$46:$P$2419,$K$51,FALSE)</f>
        <v>0.66100000000000003</v>
      </c>
      <c r="L60" s="313">
        <f>VLOOKUP($A60&amp;"GCP LF",'E11 - 2012 09 Final'!$A$46:$P$2419,$L$51,FALSE)</f>
        <v>0.64910000000000001</v>
      </c>
      <c r="M60" s="313">
        <f>VLOOKUP($A60&amp;"GCP LF",'E11 - 2012 09 Final'!$A$46:$P$2419,$M$51,FALSE)</f>
        <v>0.64049999999999996</v>
      </c>
      <c r="N60" s="313">
        <f>VLOOKUP($A60&amp;"GCP LF",'E11 - 2012 09 Final'!$A$46:$P$2419,$N$51,FALSE)</f>
        <v>0.58919999999999995</v>
      </c>
      <c r="O60" s="117"/>
      <c r="P60" s="314"/>
    </row>
    <row r="61" spans="1:16">
      <c r="A61" t="s">
        <v>713</v>
      </c>
      <c r="B61" s="43" t="s">
        <v>69</v>
      </c>
      <c r="C61" s="313">
        <f>VLOOKUP($A61&amp;"GCP LF",'E11 - 2012 09 Final'!$A$46:$P$2419,$C$51,FALSE)</f>
        <v>0.78310000000000002</v>
      </c>
      <c r="D61" s="313">
        <f>VLOOKUP($A61&amp;"GCP LF",'E11 - 2012 09 Final'!$A$46:$P$2419,$D$51,FALSE)</f>
        <v>0.8135</v>
      </c>
      <c r="E61" s="313">
        <f>VLOOKUP($A61&amp;"GCP LF",'E11 - 2012 09 Final'!$A$46:$P$2419,$E$51,FALSE)</f>
        <v>0.80269999999999997</v>
      </c>
      <c r="F61" s="313">
        <f>VLOOKUP($A61&amp;"GCP LF",'E11 - 2012 09 Final'!$A$46:$P$2419,$F$51,FALSE)</f>
        <v>0.81979999999999997</v>
      </c>
      <c r="G61" s="313">
        <f>VLOOKUP($A61&amp;"GCP LF",'E11 - 2012 09 Final'!$A$46:$P$2419,$G$51,FALSE)</f>
        <v>0.83</v>
      </c>
      <c r="H61" s="313">
        <f>VLOOKUP($A61&amp;"GCP LF",'E11 - 2012 09 Final'!$A$46:$P$2419,$H$51,FALSE)</f>
        <v>0.85429999999999995</v>
      </c>
      <c r="I61" s="313">
        <f>VLOOKUP($A61&amp;"GCP LF",'E11 - 2012 09 Final'!$A$46:$P$2419,$I$51,FALSE)</f>
        <v>0.83479999999999999</v>
      </c>
      <c r="J61" s="313">
        <f>VLOOKUP($A61&amp;"GCP LF",'E11 - 2012 09 Final'!$A$46:$P$2419,$J$51,FALSE)</f>
        <v>0.84719999999999995</v>
      </c>
      <c r="K61" s="313">
        <f>VLOOKUP($A61&amp;"GCP LF",'E11 - 2012 09 Final'!$A$46:$P$2419,$K$51,FALSE)</f>
        <v>0.83609999999999995</v>
      </c>
      <c r="L61" s="313">
        <f>VLOOKUP($A61&amp;"GCP LF",'E11 - 2012 09 Final'!$A$46:$P$2419,$L$51,FALSE)</f>
        <v>0.82069999999999999</v>
      </c>
      <c r="M61" s="313">
        <f>VLOOKUP($A61&amp;"GCP LF",'E11 - 2012 09 Final'!$A$46:$P$2419,$M$51,FALSE)</f>
        <v>0.7722</v>
      </c>
      <c r="N61" s="313">
        <f>VLOOKUP($A61&amp;"GCP LF",'E11 - 2012 09 Final'!$A$46:$P$2419,$N$51,FALSE)</f>
        <v>0.76359999999999995</v>
      </c>
      <c r="O61" s="117"/>
      <c r="P61" s="314"/>
    </row>
    <row r="62" spans="1:16">
      <c r="A62" t="s">
        <v>717</v>
      </c>
      <c r="B62" s="43" t="s">
        <v>52</v>
      </c>
      <c r="C62" s="313">
        <f>VLOOKUP($A62&amp;"GCP LF",'E11 - 2012 09 Final'!$A$46:$P$2419,$C$51,FALSE)</f>
        <v>0.75919999999999999</v>
      </c>
      <c r="D62" s="313">
        <f>VLOOKUP($A62&amp;"GCP LF",'E11 - 2012 09 Final'!$A$46:$P$2419,$D$51,FALSE)</f>
        <v>0.69540000000000002</v>
      </c>
      <c r="E62" s="313">
        <f>VLOOKUP($A62&amp;"GCP LF",'E11 - 2012 09 Final'!$A$46:$P$2419,$E$51,FALSE)</f>
        <v>0.78169999999999995</v>
      </c>
      <c r="F62" s="313">
        <f>VLOOKUP($A62&amp;"GCP LF",'E11 - 2012 09 Final'!$A$46:$P$2419,$F$51,FALSE)</f>
        <v>0.68620000000000003</v>
      </c>
      <c r="G62" s="313">
        <f>VLOOKUP($A62&amp;"GCP LF",'E11 - 2012 09 Final'!$A$46:$P$2419,$G$51,FALSE)</f>
        <v>0.6966</v>
      </c>
      <c r="H62" s="313">
        <f>VLOOKUP($A62&amp;"GCP LF",'E11 - 2012 09 Final'!$A$46:$P$2419,$H$51,FALSE)</f>
        <v>0.74339999999999995</v>
      </c>
      <c r="I62" s="313">
        <f>VLOOKUP($A62&amp;"GCP LF",'E11 - 2012 09 Final'!$A$46:$P$2419,$I$51,FALSE)</f>
        <v>0.72640000000000005</v>
      </c>
      <c r="J62" s="313">
        <f>VLOOKUP($A62&amp;"GCP LF",'E11 - 2012 09 Final'!$A$46:$P$2419,$J$51,FALSE)</f>
        <v>0.66149999999999998</v>
      </c>
      <c r="K62" s="313">
        <f>VLOOKUP($A62&amp;"GCP LF",'E11 - 2012 09 Final'!$A$46:$P$2419,$K$51,FALSE)</f>
        <v>0.59740000000000004</v>
      </c>
      <c r="L62" s="313">
        <f>VLOOKUP($A62&amp;"GCP LF",'E11 - 2012 09 Final'!$A$46:$P$2419,$L$51,FALSE)</f>
        <v>0.58830000000000005</v>
      </c>
      <c r="M62" s="313">
        <f>VLOOKUP($A62&amp;"GCP LF",'E11 - 2012 09 Final'!$A$46:$P$2419,$M$51,FALSE)</f>
        <v>0.68869999999999998</v>
      </c>
      <c r="N62" s="313">
        <f>VLOOKUP($A62&amp;"GCP LF",'E11 - 2012 09 Final'!$A$46:$P$2419,$N$51,FALSE)</f>
        <v>0.70669999999999999</v>
      </c>
      <c r="O62" s="117"/>
      <c r="P62" s="314"/>
    </row>
    <row r="63" spans="1:16">
      <c r="A63" t="s">
        <v>15</v>
      </c>
      <c r="B63" s="206" t="s">
        <v>15</v>
      </c>
      <c r="C63" s="313">
        <f>VLOOKUP($A63&amp;"GCP LF",'E11 - 2012 09 Final'!$A$46:$P$2419,$C$51,FALSE)</f>
        <v>0.64370000000000005</v>
      </c>
      <c r="D63" s="313">
        <f>VLOOKUP($A63&amp;"GCP LF",'E11 - 2012 09 Final'!$A$46:$P$2419,$D$51,FALSE)</f>
        <v>0.64900000000000002</v>
      </c>
      <c r="E63" s="313">
        <f>VLOOKUP($A63&amp;"GCP LF",'E11 - 2012 09 Final'!$A$46:$P$2419,$E$51,FALSE)</f>
        <v>0.65600000000000003</v>
      </c>
      <c r="F63" s="313">
        <f>VLOOKUP($A63&amp;"GCP LF",'E11 - 2012 09 Final'!$A$46:$P$2419,$F$51,FALSE)</f>
        <v>0.66379999999999995</v>
      </c>
      <c r="G63" s="313">
        <f>VLOOKUP($A63&amp;"GCP LF",'E11 - 2012 09 Final'!$A$46:$P$2419,$G$51,FALSE)</f>
        <v>0.68230000000000002</v>
      </c>
      <c r="H63" s="313">
        <f>VLOOKUP($A63&amp;"GCP LF",'E11 - 2012 09 Final'!$A$46:$P$2419,$H$51,FALSE)</f>
        <v>0.65280000000000005</v>
      </c>
      <c r="I63" s="313">
        <f>VLOOKUP($A63&amp;"GCP LF",'E11 - 2012 09 Final'!$A$46:$P$2419,$I$51,FALSE)</f>
        <v>0.65449999999999997</v>
      </c>
      <c r="J63" s="313">
        <f>VLOOKUP($A63&amp;"GCP LF",'E11 - 2012 09 Final'!$A$46:$P$2419,$J$51,FALSE)</f>
        <v>0.66790000000000005</v>
      </c>
      <c r="K63" s="313">
        <f>VLOOKUP($A63&amp;"GCP LF",'E11 - 2012 09 Final'!$A$46:$P$2419,$K$51,FALSE)</f>
        <v>0.65639999999999998</v>
      </c>
      <c r="L63" s="313">
        <f>VLOOKUP($A63&amp;"GCP LF",'E11 - 2012 09 Final'!$A$46:$P$2419,$L$51,FALSE)</f>
        <v>0.66990000000000005</v>
      </c>
      <c r="M63" s="313">
        <f>VLOOKUP($A63&amp;"GCP LF",'E11 - 2012 09 Final'!$A$46:$P$2419,$M$51,FALSE)</f>
        <v>0.64300000000000002</v>
      </c>
      <c r="N63" s="313">
        <f>VLOOKUP($A63&amp;"GCP LF",'E11 - 2012 09 Final'!$A$46:$P$2419,$N$51,FALSE)</f>
        <v>0.64290000000000003</v>
      </c>
      <c r="O63" s="117"/>
      <c r="P63" s="314"/>
    </row>
    <row r="64" spans="1:16">
      <c r="A64" t="s">
        <v>19</v>
      </c>
      <c r="B64" s="43" t="s">
        <v>56</v>
      </c>
      <c r="C64" s="313">
        <f>VLOOKUP($A64&amp;"GCP LF",'E11 - 2012 09 Final'!$A$46:$P$2419,$C$51,FALSE)</f>
        <v>0.55220000000000002</v>
      </c>
      <c r="D64" s="313">
        <f>VLOOKUP($A64&amp;"GCP LF",'E11 - 2012 09 Final'!$A$46:$P$2419,$D$51,FALSE)</f>
        <v>0.52959999999999996</v>
      </c>
      <c r="E64" s="313">
        <f>VLOOKUP($A64&amp;"GCP LF",'E11 - 2012 09 Final'!$A$46:$P$2419,$E$51,FALSE)</f>
        <v>0.49840000000000001</v>
      </c>
      <c r="F64" s="313">
        <f>VLOOKUP($A64&amp;"GCP LF",'E11 - 2012 09 Final'!$A$46:$P$2419,$F$51,FALSE)</f>
        <v>0.46750000000000003</v>
      </c>
      <c r="G64" s="313">
        <f>VLOOKUP($A64&amp;"GCP LF",'E11 - 2012 09 Final'!$A$46:$P$2419,$G$51,FALSE)</f>
        <v>0.44190000000000002</v>
      </c>
      <c r="H64" s="313">
        <f>VLOOKUP($A64&amp;"GCP LF",'E11 - 2012 09 Final'!$A$46:$P$2419,$H$51,FALSE)</f>
        <v>0.42970000000000003</v>
      </c>
      <c r="I64" s="313">
        <f>VLOOKUP($A64&amp;"GCP LF",'E11 - 2012 09 Final'!$A$46:$P$2419,$I$51,FALSE)</f>
        <v>0.43580000000000002</v>
      </c>
      <c r="J64" s="313">
        <f>VLOOKUP($A64&amp;"GCP LF",'E11 - 2012 09 Final'!$A$46:$P$2419,$J$51,FALSE)</f>
        <v>0.45779999999999998</v>
      </c>
      <c r="K64" s="313">
        <f>VLOOKUP($A64&amp;"GCP LF",'E11 - 2012 09 Final'!$A$46:$P$2419,$K$51,FALSE)</f>
        <v>0.48780000000000001</v>
      </c>
      <c r="L64" s="313">
        <f>VLOOKUP($A64&amp;"GCP LF",'E11 - 2012 09 Final'!$A$46:$P$2419,$L$51,FALSE)</f>
        <v>0.51929999999999998</v>
      </c>
      <c r="M64" s="313">
        <f>VLOOKUP($A64&amp;"GCP LF",'E11 - 2012 09 Final'!$A$46:$P$2419,$M$51,FALSE)</f>
        <v>0.54569999999999996</v>
      </c>
      <c r="N64" s="313">
        <f>VLOOKUP($A64&amp;"GCP LF",'E11 - 2012 09 Final'!$A$46:$P$2419,$N$51,FALSE)</f>
        <v>0.55869999999999997</v>
      </c>
      <c r="O64" s="117"/>
      <c r="P64" s="314"/>
    </row>
    <row r="65" spans="1:16">
      <c r="A65" t="s">
        <v>22</v>
      </c>
      <c r="B65" s="43" t="s">
        <v>57</v>
      </c>
      <c r="C65" s="313">
        <f>VLOOKUP($A65&amp;"GCP LF",'E11 - 2012 09 Final'!$A$46:$P$2419,$C$51,FALSE)</f>
        <v>0.14499999999999999</v>
      </c>
      <c r="D65" s="313">
        <f>VLOOKUP($A65&amp;"GCP LF",'E11 - 2012 09 Final'!$A$46:$P$2419,$D$51,FALSE)</f>
        <v>0.13400000000000001</v>
      </c>
      <c r="E65" s="313">
        <f>VLOOKUP($A65&amp;"GCP LF",'E11 - 2012 09 Final'!$A$46:$P$2419,$E$51,FALSE)</f>
        <v>0.1293</v>
      </c>
      <c r="F65" s="313">
        <f>VLOOKUP($A65&amp;"GCP LF",'E11 - 2012 09 Final'!$A$46:$P$2419,$F$51,FALSE)</f>
        <v>0.13420000000000001</v>
      </c>
      <c r="G65" s="313">
        <f>VLOOKUP($A65&amp;"GCP LF",'E11 - 2012 09 Final'!$A$46:$P$2419,$G$51,FALSE)</f>
        <v>0.14549999999999999</v>
      </c>
      <c r="H65" s="313">
        <f>VLOOKUP($A65&amp;"GCP LF",'E11 - 2012 09 Final'!$A$46:$P$2419,$H$51,FALSE)</f>
        <v>0.1769</v>
      </c>
      <c r="I65" s="313">
        <f>VLOOKUP($A65&amp;"GCP LF",'E11 - 2012 09 Final'!$A$46:$P$2419,$I$51,FALSE)</f>
        <v>0.19309999999999999</v>
      </c>
      <c r="J65" s="313">
        <f>VLOOKUP($A65&amp;"GCP LF",'E11 - 2012 09 Final'!$A$46:$P$2419,$J$51,FALSE)</f>
        <v>0.16930000000000001</v>
      </c>
      <c r="K65" s="313">
        <f>VLOOKUP($A65&amp;"GCP LF",'E11 - 2012 09 Final'!$A$46:$P$2419,$K$51,FALSE)</f>
        <v>0.13189999999999999</v>
      </c>
      <c r="L65" s="313">
        <f>VLOOKUP($A65&amp;"GCP LF",'E11 - 2012 09 Final'!$A$46:$P$2419,$L$51,FALSE)</f>
        <v>0.13370000000000001</v>
      </c>
      <c r="M65" s="313">
        <f>VLOOKUP($A65&amp;"GCP LF",'E11 - 2012 09 Final'!$A$46:$P$2419,$M$51,FALSE)</f>
        <v>0.14119999999999999</v>
      </c>
      <c r="N65" s="313">
        <f>VLOOKUP($A65&amp;"GCP LF",'E11 - 2012 09 Final'!$A$46:$P$2419,$N$51,FALSE)</f>
        <v>0.14430000000000001</v>
      </c>
      <c r="O65" s="117"/>
      <c r="P65" s="314"/>
    </row>
    <row r="66" spans="1:16">
      <c r="A66" t="s">
        <v>687</v>
      </c>
      <c r="B66" s="43" t="s">
        <v>48</v>
      </c>
      <c r="C66" s="313">
        <f>VLOOKUP($A66&amp;"GCP LF",'E11 - 2012 09 Final'!$A$46:$P$2419,$C$51,FALSE)</f>
        <v>0.45140000000000002</v>
      </c>
      <c r="D66" s="313">
        <f>VLOOKUP($A66&amp;"GCP LF",'E11 - 2012 09 Final'!$A$46:$P$2419,$D$51,FALSE)</f>
        <v>0.50870000000000004</v>
      </c>
      <c r="E66" s="313">
        <f>VLOOKUP($A66&amp;"GCP LF",'E11 - 2012 09 Final'!$A$46:$P$2419,$E$51,FALSE)</f>
        <v>0.61250000000000004</v>
      </c>
      <c r="F66" s="313">
        <f>VLOOKUP($A66&amp;"GCP LF",'E11 - 2012 09 Final'!$A$46:$P$2419,$F$51,FALSE)</f>
        <v>0.56920000000000004</v>
      </c>
      <c r="G66" s="313">
        <f>VLOOKUP($A66&amp;"GCP LF",'E11 - 2012 09 Final'!$A$46:$P$2419,$G$51,FALSE)</f>
        <v>0.60589999999999999</v>
      </c>
      <c r="H66" s="313">
        <f>VLOOKUP($A66&amp;"GCP LF",'E11 - 2012 09 Final'!$A$46:$P$2419,$H$51,FALSE)</f>
        <v>0.63219999999999998</v>
      </c>
      <c r="I66" s="313">
        <f>VLOOKUP($A66&amp;"GCP LF",'E11 - 2012 09 Final'!$A$46:$P$2419,$I$51,FALSE)</f>
        <v>0.64180000000000004</v>
      </c>
      <c r="J66" s="313">
        <f>VLOOKUP($A66&amp;"GCP LF",'E11 - 2012 09 Final'!$A$46:$P$2419,$J$51,FALSE)</f>
        <v>0.64039999999999997</v>
      </c>
      <c r="K66" s="313">
        <f>VLOOKUP($A66&amp;"GCP LF",'E11 - 2012 09 Final'!$A$46:$P$2419,$K$51,FALSE)</f>
        <v>0.61209999999999998</v>
      </c>
      <c r="L66" s="313">
        <f>VLOOKUP($A66&amp;"GCP LF",'E11 - 2012 09 Final'!$A$46:$P$2419,$L$51,FALSE)</f>
        <v>0.60029999999999994</v>
      </c>
      <c r="M66" s="313">
        <f>VLOOKUP($A66&amp;"GCP LF",'E11 - 2012 09 Final'!$A$46:$P$2419,$M$51,FALSE)</f>
        <v>0.61929999999999996</v>
      </c>
      <c r="N66" s="313">
        <f>VLOOKUP($A66&amp;"GCP LF",'E11 - 2012 09 Final'!$A$46:$P$2419,$N$51,FALSE)</f>
        <v>0.63</v>
      </c>
      <c r="O66" s="117"/>
      <c r="P66" s="314"/>
    </row>
    <row r="67" spans="1:16">
      <c r="A67" s="307" t="s">
        <v>35</v>
      </c>
      <c r="B67" s="43" t="s">
        <v>53</v>
      </c>
      <c r="C67" s="313">
        <f>VLOOKUP($A67&amp;"GCP LF",'E11 - 2012 09 Final'!$A$46:$P$2419,$C$51,FALSE)</f>
        <v>0.55220000000000002</v>
      </c>
      <c r="D67" s="313">
        <f>VLOOKUP($A67&amp;"GCP LF",'E11 - 2012 09 Final'!$A$46:$P$2419,$D$51,FALSE)</f>
        <v>0.52959999999999996</v>
      </c>
      <c r="E67" s="313">
        <f>VLOOKUP($A67&amp;"GCP LF",'E11 - 2012 09 Final'!$A$46:$P$2419,$E$51,FALSE)</f>
        <v>0.49840000000000001</v>
      </c>
      <c r="F67" s="313">
        <f>VLOOKUP($A67&amp;"GCP LF",'E11 - 2012 09 Final'!$A$46:$P$2419,$F$51,FALSE)</f>
        <v>0.46750000000000003</v>
      </c>
      <c r="G67" s="313">
        <f>VLOOKUP($A67&amp;"GCP LF",'E11 - 2012 09 Final'!$A$46:$P$2419,$G$51,FALSE)</f>
        <v>0.44190000000000002</v>
      </c>
      <c r="H67" s="313">
        <f>VLOOKUP($A67&amp;"GCP LF",'E11 - 2012 09 Final'!$A$46:$P$2419,$H$51,FALSE)</f>
        <v>0.42970000000000003</v>
      </c>
      <c r="I67" s="313">
        <f>VLOOKUP($A67&amp;"GCP LF",'E11 - 2012 09 Final'!$A$46:$P$2419,$I$51,FALSE)</f>
        <v>0.43580000000000002</v>
      </c>
      <c r="J67" s="313">
        <f>VLOOKUP($A67&amp;"GCP LF",'E11 - 2012 09 Final'!$A$46:$P$2419,$J$51,FALSE)</f>
        <v>0.45779999999999998</v>
      </c>
      <c r="K67" s="313">
        <f>VLOOKUP($A67&amp;"GCP LF",'E11 - 2012 09 Final'!$A$46:$P$2419,$K$51,FALSE)</f>
        <v>0.48780000000000001</v>
      </c>
      <c r="L67" s="313">
        <f>VLOOKUP($A67&amp;"GCP LF",'E11 - 2012 09 Final'!$A$46:$P$2419,$L$51,FALSE)</f>
        <v>0.51929999999999998</v>
      </c>
      <c r="M67" s="313">
        <f>VLOOKUP($A67&amp;"GCP LF",'E11 - 2012 09 Final'!$A$46:$P$2419,$M$51,FALSE)</f>
        <v>0.54569999999999996</v>
      </c>
      <c r="N67" s="313">
        <f>VLOOKUP($A67&amp;"GCP LF",'E11 - 2012 09 Final'!$A$46:$P$2419,$N$51,FALSE)</f>
        <v>0.55869999999999997</v>
      </c>
      <c r="O67" s="117"/>
      <c r="P67" s="314"/>
    </row>
    <row r="68" spans="1:16">
      <c r="A68" s="307" t="s">
        <v>38</v>
      </c>
      <c r="B68" s="43" t="s">
        <v>55</v>
      </c>
      <c r="C68" s="313">
        <f>VLOOKUP($A68&amp;"GCP LF",'E11 - 2012 09 Final'!$A$46:$P$2419,$C$51,FALSE)</f>
        <v>1</v>
      </c>
      <c r="D68" s="313">
        <f>VLOOKUP($A68&amp;"GCP LF",'E11 - 2012 09 Final'!$A$46:$P$2419,$D$51,FALSE)</f>
        <v>1</v>
      </c>
      <c r="E68" s="313">
        <f>VLOOKUP($A68&amp;"GCP LF",'E11 - 2012 09 Final'!$A$46:$P$2419,$E$51,FALSE)</f>
        <v>1</v>
      </c>
      <c r="F68" s="313">
        <f>VLOOKUP($A68&amp;"GCP LF",'E11 - 2012 09 Final'!$A$46:$P$2419,$F$51,FALSE)</f>
        <v>1</v>
      </c>
      <c r="G68" s="313">
        <f>VLOOKUP($A68&amp;"GCP LF",'E11 - 2012 09 Final'!$A$46:$P$2419,$G$51,FALSE)</f>
        <v>1</v>
      </c>
      <c r="H68" s="313">
        <f>VLOOKUP($A68&amp;"GCP LF",'E11 - 2012 09 Final'!$A$46:$P$2419,$H$51,FALSE)</f>
        <v>1</v>
      </c>
      <c r="I68" s="313">
        <f>VLOOKUP($A68&amp;"GCP LF",'E11 - 2012 09 Final'!$A$46:$P$2419,$I$51,FALSE)</f>
        <v>1</v>
      </c>
      <c r="J68" s="313">
        <f>VLOOKUP($A68&amp;"GCP LF",'E11 - 2012 09 Final'!$A$46:$P$2419,$J$51,FALSE)</f>
        <v>1</v>
      </c>
      <c r="K68" s="313">
        <f>VLOOKUP($A68&amp;"GCP LF",'E11 - 2012 09 Final'!$A$46:$P$2419,$K$51,FALSE)</f>
        <v>1</v>
      </c>
      <c r="L68" s="313">
        <f>VLOOKUP($A68&amp;"GCP LF",'E11 - 2012 09 Final'!$A$46:$P$2419,$L$51,FALSE)</f>
        <v>1</v>
      </c>
      <c r="M68" s="313">
        <f>VLOOKUP($A68&amp;"GCP LF",'E11 - 2012 09 Final'!$A$46:$P$2419,$M$51,FALSE)</f>
        <v>0.99860000000000004</v>
      </c>
      <c r="N68" s="313">
        <f>VLOOKUP($A68&amp;"GCP LF",'E11 - 2012 09 Final'!$A$46:$P$2419,$N$51,FALSE)</f>
        <v>1</v>
      </c>
      <c r="O68" s="117"/>
      <c r="P68" s="314"/>
    </row>
    <row r="69" spans="1:16">
      <c r="A69" t="s">
        <v>40</v>
      </c>
      <c r="B69" s="43" t="s">
        <v>87</v>
      </c>
      <c r="C69" s="313">
        <f>VLOOKUP($A69&amp;"GCP LF",'E11 - 2012 09 Final'!$A$46:$P$2419,$C$51,FALSE)</f>
        <v>2.8400000000000002E-2</v>
      </c>
      <c r="D69" s="313">
        <f>VLOOKUP($A69&amp;"GCP LF",'E11 - 2012 09 Final'!$A$46:$P$2419,$D$51,FALSE)</f>
        <v>0.1113</v>
      </c>
      <c r="E69" s="313">
        <f>VLOOKUP($A69&amp;"GCP LF",'E11 - 2012 09 Final'!$A$46:$P$2419,$E$51,FALSE)</f>
        <v>0.78869999999999996</v>
      </c>
      <c r="F69" s="313">
        <f>VLOOKUP($A69&amp;"GCP LF",'E11 - 2012 09 Final'!$A$46:$P$2419,$F$51,FALSE)</f>
        <v>0.67720000000000002</v>
      </c>
      <c r="G69" s="313">
        <f>VLOOKUP($A69&amp;"GCP LF",'E11 - 2012 09 Final'!$A$46:$P$2419,$G$51,FALSE)</f>
        <v>0.66790000000000005</v>
      </c>
      <c r="H69" s="313">
        <f>VLOOKUP($A69&amp;"GCP LF",'E11 - 2012 09 Final'!$A$46:$P$2419,$H$51,FALSE)</f>
        <v>0.67330000000000001</v>
      </c>
      <c r="I69" s="313">
        <f>VLOOKUP($A69&amp;"GCP LF",'E11 - 2012 09 Final'!$A$46:$P$2419,$I$51,FALSE)</f>
        <v>0.64129999999999998</v>
      </c>
      <c r="J69" s="313">
        <f>VLOOKUP($A69&amp;"GCP LF",'E11 - 2012 09 Final'!$A$46:$P$2419,$J$51,FALSE)</f>
        <v>0.71030000000000004</v>
      </c>
      <c r="K69" s="313">
        <f>VLOOKUP($A69&amp;"GCP LF",'E11 - 2012 09 Final'!$A$46:$P$2419,$K$51,FALSE)</f>
        <v>0.67559999999999998</v>
      </c>
      <c r="L69" s="313">
        <f>VLOOKUP($A69&amp;"GCP LF",'E11 - 2012 09 Final'!$A$46:$P$2419,$L$51,FALSE)</f>
        <v>0.24079999999999999</v>
      </c>
      <c r="M69" s="313">
        <f>VLOOKUP($A69&amp;"GCP LF",'E11 - 2012 09 Final'!$A$46:$P$2419,$M$51,FALSE)</f>
        <v>8.1299999999999997E-2</v>
      </c>
      <c r="N69" s="313">
        <f>VLOOKUP($A69&amp;"GCP LF",'E11 - 2012 09 Final'!$A$46:$P$2419,$N$51,FALSE)</f>
        <v>0.10979999999999999</v>
      </c>
      <c r="O69" s="117"/>
      <c r="P69" s="314"/>
    </row>
    <row r="70" spans="1:16">
      <c r="A70" t="s">
        <v>45</v>
      </c>
      <c r="B70" s="43" t="s">
        <v>88</v>
      </c>
      <c r="C70" s="313">
        <f>VLOOKUP($A70&amp;"GCP LF",'E11 - 2012 09 Final'!$A$46:$P$2419,$C$51,FALSE)</f>
        <v>0.30719999999999997</v>
      </c>
      <c r="D70" s="313">
        <f>VLOOKUP($A70&amp;"GCP LF",'E11 - 2012 09 Final'!$A$46:$P$2419,$D$51,FALSE)</f>
        <v>0.29070000000000001</v>
      </c>
      <c r="E70" s="313">
        <f>VLOOKUP($A70&amp;"GCP LF",'E11 - 2012 09 Final'!$A$46:$P$2419,$E$51,FALSE)</f>
        <v>0.17050000000000001</v>
      </c>
      <c r="F70" s="313">
        <f>VLOOKUP($A70&amp;"GCP LF",'E11 - 2012 09 Final'!$A$46:$P$2419,$F$51,FALSE)</f>
        <v>0.26850000000000002</v>
      </c>
      <c r="G70" s="313">
        <f>VLOOKUP($A70&amp;"GCP LF",'E11 - 2012 09 Final'!$A$46:$P$2419,$G$51,FALSE)</f>
        <v>0.25850000000000001</v>
      </c>
      <c r="H70" s="313">
        <f>VLOOKUP($A70&amp;"GCP LF",'E11 - 2012 09 Final'!$A$46:$P$2419,$H$51,FALSE)</f>
        <v>0.221</v>
      </c>
      <c r="I70" s="313">
        <f>VLOOKUP($A70&amp;"GCP LF",'E11 - 2012 09 Final'!$A$46:$P$2419,$I$51,FALSE)</f>
        <v>0.31890000000000002</v>
      </c>
      <c r="J70" s="313">
        <f>VLOOKUP($A70&amp;"GCP LF",'E11 - 2012 09 Final'!$A$46:$P$2419,$J$51,FALSE)</f>
        <v>0.2036</v>
      </c>
      <c r="K70" s="313">
        <f>VLOOKUP($A70&amp;"GCP LF",'E11 - 2012 09 Final'!$A$46:$P$2419,$K$51,FALSE)</f>
        <v>0.36099999999999999</v>
      </c>
      <c r="L70" s="313">
        <f>VLOOKUP($A70&amp;"GCP LF",'E11 - 2012 09 Final'!$A$46:$P$2419,$L$51,FALSE)</f>
        <v>0.39329999999999998</v>
      </c>
      <c r="M70" s="313">
        <f>VLOOKUP($A70&amp;"GCP LF",'E11 - 2012 09 Final'!$A$46:$P$2419,$M$51,FALSE)</f>
        <v>0.27160000000000001</v>
      </c>
      <c r="N70" s="313">
        <f>VLOOKUP($A70&amp;"GCP LF",'E11 - 2012 09 Final'!$A$46:$P$2419,$N$51,FALSE)</f>
        <v>0.18540000000000001</v>
      </c>
      <c r="O70" s="117"/>
      <c r="P70" s="314"/>
    </row>
    <row r="71" spans="1:16">
      <c r="C71" s="48"/>
      <c r="D71" s="48"/>
      <c r="E71" s="48"/>
      <c r="F71" s="48"/>
      <c r="G71" s="48"/>
      <c r="H71" s="48"/>
      <c r="I71" s="48"/>
      <c r="J71" s="48"/>
      <c r="K71" s="48"/>
      <c r="L71" s="48"/>
      <c r="M71" s="48"/>
      <c r="N71" s="48"/>
      <c r="O71" s="315"/>
      <c r="P71" s="316"/>
    </row>
    <row r="72" spans="1:16" hidden="1">
      <c r="C72" s="48"/>
      <c r="D72" s="48"/>
      <c r="E72" s="48"/>
      <c r="F72" s="48"/>
      <c r="G72" s="48"/>
      <c r="H72" s="48"/>
      <c r="I72" s="48"/>
      <c r="J72" s="48"/>
      <c r="K72" s="48"/>
      <c r="L72" s="48"/>
      <c r="M72" s="48"/>
      <c r="N72" s="48"/>
      <c r="O72" s="315"/>
      <c r="P72" s="316"/>
    </row>
    <row r="73" spans="1:16" hidden="1">
      <c r="B73" s="42" t="s">
        <v>86</v>
      </c>
      <c r="C73" s="10"/>
      <c r="D73" s="10"/>
      <c r="E73" s="10"/>
      <c r="F73" s="10"/>
      <c r="G73" s="10"/>
      <c r="H73" s="10"/>
      <c r="I73" s="10"/>
      <c r="J73" s="10"/>
      <c r="K73" s="10"/>
      <c r="L73" s="10"/>
      <c r="M73" s="10"/>
      <c r="N73" s="10"/>
      <c r="O73" s="110"/>
      <c r="P73" s="110"/>
    </row>
    <row r="74" spans="1:16" hidden="1">
      <c r="A74" t="s">
        <v>603</v>
      </c>
      <c r="B74" s="43" t="s">
        <v>603</v>
      </c>
      <c r="C74" s="313" t="str">
        <f>VLOOKUP($A74&amp;"GCP LF",'E11 - 2012 09 Final'!$A$46:$P$2419,$C$51,FALSE)</f>
        <v xml:space="preserve"> </v>
      </c>
      <c r="D74" s="313" t="str">
        <f>VLOOKUP($A74&amp;"GCP LF",'E11 - 2012 09 Final'!$A$46:$P$2419,$D$51,FALSE)</f>
        <v xml:space="preserve"> </v>
      </c>
      <c r="E74" s="313" t="str">
        <f>VLOOKUP($A74&amp;"GCP LF",'E11 - 2012 09 Final'!$A$46:$P$2419,$E$51,FALSE)</f>
        <v xml:space="preserve"> </v>
      </c>
      <c r="F74" s="313" t="str">
        <f>VLOOKUP($A74&amp;"GCP LF",'E11 - 2012 09 Final'!$A$46:$P$2419,$F$51,FALSE)</f>
        <v xml:space="preserve"> </v>
      </c>
      <c r="G74" s="313">
        <f>VLOOKUP($A74&amp;"GCP LF",'E11 - 2012 09 Final'!$A$46:$P$2419,$G$51,FALSE)</f>
        <v>0.58040000000000003</v>
      </c>
      <c r="H74" s="313">
        <f>VLOOKUP($A74&amp;"GCP LF",'E11 - 2012 09 Final'!$A$46:$P$2419,$H$51,FALSE)</f>
        <v>0.62970000000000004</v>
      </c>
      <c r="I74" s="313">
        <f>VLOOKUP($A74&amp;"GCP LF",'E11 - 2012 09 Final'!$A$46:$P$2419,$I$51,FALSE)</f>
        <v>0.64549999999999996</v>
      </c>
      <c r="J74" s="313">
        <f>VLOOKUP($A74&amp;"GCP LF",'E11 - 2012 09 Final'!$A$46:$P$2419,$J$51,FALSE)</f>
        <v>0.61950000000000005</v>
      </c>
      <c r="K74" s="313">
        <f>VLOOKUP($A74&amp;"GCP LF",'E11 - 2012 09 Final'!$A$46:$P$2419,$K$51,FALSE)</f>
        <v>0.63119999999999998</v>
      </c>
      <c r="L74" s="313">
        <f>VLOOKUP($A74&amp;"GCP LF",'E11 - 2012 09 Final'!$A$46:$P$2419,$L$51,FALSE)</f>
        <v>0.63419999999999999</v>
      </c>
      <c r="M74" s="313">
        <f>VLOOKUP($A74&amp;"GCP LF",'E11 - 2012 09 Final'!$A$46:$P$2419,$M$51,FALSE)</f>
        <v>0.63629999999999998</v>
      </c>
      <c r="N74" s="313">
        <f>VLOOKUP($A74&amp;"GCP LF",'E11 - 2012 09 Final'!$A$46:$P$2419,$N$51,FALSE)</f>
        <v>0.63290000000000002</v>
      </c>
      <c r="O74" s="117"/>
      <c r="P74" s="314"/>
    </row>
    <row r="75" spans="1:16" hidden="1">
      <c r="A75" t="s">
        <v>245</v>
      </c>
      <c r="B75" s="43" t="s">
        <v>983</v>
      </c>
      <c r="C75" s="313">
        <f>VLOOKUP($A75&amp;"GCP LF",'E11 - 2012 09 Final'!$A$46:$P$2419,$C$51,FALSE)</f>
        <v>0.66749999999999998</v>
      </c>
      <c r="D75" s="313">
        <f>VLOOKUP($A75&amp;"GCP LF",'E11 - 2012 09 Final'!$A$46:$P$2419,$D$51,FALSE)</f>
        <v>0.67020000000000002</v>
      </c>
      <c r="E75" s="313">
        <f>VLOOKUP($A75&amp;"GCP LF",'E11 - 2012 09 Final'!$A$46:$P$2419,$E$51,FALSE)</f>
        <v>0.71030000000000004</v>
      </c>
      <c r="F75" s="313">
        <f>VLOOKUP($A75&amp;"GCP LF",'E11 - 2012 09 Final'!$A$46:$P$2419,$F$51,FALSE)</f>
        <v>0.626</v>
      </c>
      <c r="G75" s="313">
        <f>VLOOKUP($A75&amp;"GCP LF",'E11 - 2012 09 Final'!$A$46:$P$2419,$G$51,FALSE)</f>
        <v>0.65300000000000002</v>
      </c>
      <c r="H75" s="313">
        <f>VLOOKUP($A75&amp;"GCP LF",'E11 - 2012 09 Final'!$A$46:$P$2419,$H$51,FALSE)</f>
        <v>0.70179999999999998</v>
      </c>
      <c r="I75" s="313">
        <f>VLOOKUP($A75&amp;"GCP LF",'E11 - 2012 09 Final'!$A$46:$P$2419,$I$51,FALSE)</f>
        <v>0.69769999999999999</v>
      </c>
      <c r="J75" s="313">
        <f>VLOOKUP($A75&amp;"GCP LF",'E11 - 2012 09 Final'!$A$46:$P$2419,$J$51,FALSE)</f>
        <v>0.72089999999999999</v>
      </c>
      <c r="K75" s="313">
        <f>VLOOKUP($A75&amp;"GCP LF",'E11 - 2012 09 Final'!$A$46:$P$2419,$K$51,FALSE)</f>
        <v>0.69130000000000003</v>
      </c>
      <c r="L75" s="313">
        <f>VLOOKUP($A75&amp;"GCP LF",'E11 - 2012 09 Final'!$A$46:$P$2419,$L$51,FALSE)</f>
        <v>0.66749999999999998</v>
      </c>
      <c r="M75" s="313">
        <f>VLOOKUP($A75&amp;"GCP LF",'E11 - 2012 09 Final'!$A$46:$P$2419,$M$51,FALSE)</f>
        <v>0.73080000000000001</v>
      </c>
      <c r="N75" s="313">
        <f>VLOOKUP($A75&amp;"GCP LF",'E11 - 2012 09 Final'!$A$46:$P$2419,$N$51,FALSE)</f>
        <v>0.63619999999999999</v>
      </c>
      <c r="O75" s="117"/>
      <c r="P75" s="314"/>
    </row>
    <row r="76" spans="1:16" hidden="1">
      <c r="A76" t="s">
        <v>242</v>
      </c>
      <c r="B76" s="43" t="s">
        <v>491</v>
      </c>
      <c r="C76" s="313">
        <f>VLOOKUP($A76&amp;"GCP LF",'E11 - 2012 09 Final'!$A$46:$P$2419,$C$51,FALSE)</f>
        <v>0.48120000000000002</v>
      </c>
      <c r="D76" s="313">
        <f>VLOOKUP($A76&amp;"GCP LF",'E11 - 2012 09 Final'!$A$46:$P$2419,$D$51,FALSE)</f>
        <v>0.5101</v>
      </c>
      <c r="E76" s="313">
        <f>VLOOKUP($A76&amp;"GCP LF",'E11 - 2012 09 Final'!$A$46:$P$2419,$E$51,FALSE)</f>
        <v>0.51139999999999997</v>
      </c>
      <c r="F76" s="313">
        <f>VLOOKUP($A76&amp;"GCP LF",'E11 - 2012 09 Final'!$A$46:$P$2419,$F$51,FALSE)</f>
        <v>0.53190000000000004</v>
      </c>
      <c r="G76" s="313">
        <f>VLOOKUP($A76&amp;"GCP LF",'E11 - 2012 09 Final'!$A$46:$P$2419,$G$51,FALSE)</f>
        <v>0.6008</v>
      </c>
      <c r="H76" s="313">
        <f>VLOOKUP($A76&amp;"GCP LF",'E11 - 2012 09 Final'!$A$46:$P$2419,$H$51,FALSE)</f>
        <v>0.65</v>
      </c>
      <c r="I76" s="313">
        <f>VLOOKUP($A76&amp;"GCP LF",'E11 - 2012 09 Final'!$A$46:$P$2419,$I$51,FALSE)</f>
        <v>0.6613</v>
      </c>
      <c r="J76" s="313">
        <f>VLOOKUP($A76&amp;"GCP LF",'E11 - 2012 09 Final'!$A$46:$P$2419,$J$51,FALSE)</f>
        <v>0.68149999999999999</v>
      </c>
      <c r="K76" s="313">
        <f>VLOOKUP($A76&amp;"GCP LF",'E11 - 2012 09 Final'!$A$46:$P$2419,$K$51,FALSE)</f>
        <v>0.65</v>
      </c>
      <c r="L76" s="313">
        <f>VLOOKUP($A76&amp;"GCP LF",'E11 - 2012 09 Final'!$A$46:$P$2419,$L$51,FALSE)</f>
        <v>0.57930000000000004</v>
      </c>
      <c r="M76" s="313">
        <f>VLOOKUP($A76&amp;"GCP LF",'E11 - 2012 09 Final'!$A$46:$P$2419,$M$51,FALSE)</f>
        <v>0.5111</v>
      </c>
      <c r="N76" s="313">
        <f>VLOOKUP($A76&amp;"GCP LF",'E11 - 2012 09 Final'!$A$46:$P$2419,$N$51,FALSE)</f>
        <v>0.48120000000000002</v>
      </c>
      <c r="O76" s="117"/>
      <c r="P76" s="314"/>
    </row>
    <row r="77" spans="1:16" hidden="1">
      <c r="A77" t="s">
        <v>661</v>
      </c>
      <c r="B77" s="43" t="s">
        <v>984</v>
      </c>
      <c r="C77" s="313">
        <f>VLOOKUP($A77&amp;"GCP LF",'E11 - 2012 09 Final'!$A$46:$P$2419,$C$51,FALSE)</f>
        <v>0.53769999999999996</v>
      </c>
      <c r="D77" s="313">
        <f>VLOOKUP($A77&amp;"GCP LF",'E11 - 2012 09 Final'!$A$46:$P$2419,$D$51,FALSE)</f>
        <v>0.60240000000000005</v>
      </c>
      <c r="E77" s="313">
        <f>VLOOKUP($A77&amp;"GCP LF",'E11 - 2012 09 Final'!$A$46:$P$2419,$E$51,FALSE)</f>
        <v>0.69310000000000005</v>
      </c>
      <c r="F77" s="313">
        <f>VLOOKUP($A77&amp;"GCP LF",'E11 - 2012 09 Final'!$A$46:$P$2419,$F$51,FALSE)</f>
        <v>0.63700000000000001</v>
      </c>
      <c r="G77" s="313">
        <f>VLOOKUP($A77&amp;"GCP LF",'E11 - 2012 09 Final'!$A$46:$P$2419,$G$51,FALSE)</f>
        <v>0.67479999999999996</v>
      </c>
      <c r="H77" s="313">
        <f>VLOOKUP($A77&amp;"GCP LF",'E11 - 2012 09 Final'!$A$46:$P$2419,$H$51,FALSE)</f>
        <v>0.67030000000000001</v>
      </c>
      <c r="I77" s="313">
        <f>VLOOKUP($A77&amp;"GCP LF",'E11 - 2012 09 Final'!$A$46:$P$2419,$I$51,FALSE)</f>
        <v>0.66220000000000001</v>
      </c>
      <c r="J77" s="313">
        <f>VLOOKUP($A77&amp;"GCP LF",'E11 - 2012 09 Final'!$A$46:$P$2419,$J$51,FALSE)</f>
        <v>0.65129999999999999</v>
      </c>
      <c r="K77" s="313">
        <f>VLOOKUP($A77&amp;"GCP LF",'E11 - 2012 09 Final'!$A$46:$P$2419,$K$51,FALSE)</f>
        <v>0.67249999999999999</v>
      </c>
      <c r="L77" s="313">
        <f>VLOOKUP($A77&amp;"GCP LF",'E11 - 2012 09 Final'!$A$46:$P$2419,$L$51,FALSE)</f>
        <v>0.62570000000000003</v>
      </c>
      <c r="M77" s="313">
        <f>VLOOKUP($A77&amp;"GCP LF",'E11 - 2012 09 Final'!$A$46:$P$2419,$M$51,FALSE)</f>
        <v>0.7278</v>
      </c>
      <c r="N77" s="313">
        <f>VLOOKUP($A77&amp;"GCP LF",'E11 - 2012 09 Final'!$A$46:$P$2419,$N$51,FALSE)</f>
        <v>0.67400000000000004</v>
      </c>
      <c r="O77" s="117"/>
      <c r="P77" s="314"/>
    </row>
    <row r="78" spans="1:16" hidden="1">
      <c r="A78" t="s">
        <v>7</v>
      </c>
      <c r="B78" s="43" t="s">
        <v>987</v>
      </c>
      <c r="C78" s="313">
        <f>VLOOKUP($A78&amp;"GCP LF",'E11 - 2012 09 Final'!$A$46:$P$2419,$C$51,FALSE)</f>
        <v>0.72789999999999999</v>
      </c>
      <c r="D78" s="313">
        <f>VLOOKUP($A78&amp;"GCP LF",'E11 - 2012 09 Final'!$A$46:$P$2419,$D$51,FALSE)</f>
        <v>0.5212</v>
      </c>
      <c r="E78" s="313">
        <f>VLOOKUP($A78&amp;"GCP LF",'E11 - 2012 09 Final'!$A$46:$P$2419,$E$51,FALSE)</f>
        <v>0.7732</v>
      </c>
      <c r="F78" s="313">
        <f>VLOOKUP($A78&amp;"GCP LF",'E11 - 2012 09 Final'!$A$46:$P$2419,$F$51,FALSE)</f>
        <v>0.71430000000000005</v>
      </c>
      <c r="G78" s="313">
        <f>VLOOKUP($A78&amp;"GCP LF",'E11 - 2012 09 Final'!$A$46:$P$2419,$G$51,FALSE)</f>
        <v>0.71730000000000005</v>
      </c>
      <c r="H78" s="313">
        <f>VLOOKUP($A78&amp;"GCP LF",'E11 - 2012 09 Final'!$A$46:$P$2419,$H$51,FALSE)</f>
        <v>0.76100000000000001</v>
      </c>
      <c r="I78" s="313">
        <f>VLOOKUP($A78&amp;"GCP LF",'E11 - 2012 09 Final'!$A$46:$P$2419,$I$51,FALSE)</f>
        <v>0.75109999999999999</v>
      </c>
      <c r="J78" s="313">
        <f>VLOOKUP($A78&amp;"GCP LF",'E11 - 2012 09 Final'!$A$46:$P$2419,$J$51,FALSE)</f>
        <v>0.70469999999999999</v>
      </c>
      <c r="K78" s="313">
        <f>VLOOKUP($A78&amp;"GCP LF",'E11 - 2012 09 Final'!$A$46:$P$2419,$K$51,FALSE)</f>
        <v>0.70150000000000001</v>
      </c>
      <c r="L78" s="313">
        <f>VLOOKUP($A78&amp;"GCP LF",'E11 - 2012 09 Final'!$A$46:$P$2419,$L$51,FALSE)</f>
        <v>0.66869999999999996</v>
      </c>
      <c r="M78" s="313">
        <f>VLOOKUP($A78&amp;"GCP LF",'E11 - 2012 09 Final'!$A$46:$P$2419,$M$51,FALSE)</f>
        <v>0.67030000000000001</v>
      </c>
      <c r="N78" s="313">
        <f>VLOOKUP($A78&amp;"GCP LF",'E11 - 2012 09 Final'!$A$46:$P$2419,$N$51,FALSE)</f>
        <v>0.78759999999999997</v>
      </c>
      <c r="O78" s="117"/>
      <c r="P78" s="314"/>
    </row>
    <row r="79" spans="1:16" hidden="1">
      <c r="A79" t="s">
        <v>724</v>
      </c>
      <c r="B79" s="43" t="s">
        <v>724</v>
      </c>
      <c r="C79" s="313">
        <f>VLOOKUP($A79&amp;"GCP LF",'E11 - 2012 09 Final'!$A$46:$P$2419,$C$51,FALSE)</f>
        <v>0.48080000000000001</v>
      </c>
      <c r="D79" s="313">
        <f>VLOOKUP($A79&amp;"GCP LF",'E11 - 2012 09 Final'!$A$46:$P$2419,$D$51,FALSE)</f>
        <v>0.53049999999999997</v>
      </c>
      <c r="E79" s="313">
        <f>VLOOKUP($A79&amp;"GCP LF",'E11 - 2012 09 Final'!$A$46:$P$2419,$E$51,FALSE)</f>
        <v>0.62290000000000001</v>
      </c>
      <c r="F79" s="313">
        <f>VLOOKUP($A79&amp;"GCP LF",'E11 - 2012 09 Final'!$A$46:$P$2419,$F$51,FALSE)</f>
        <v>0.59409999999999996</v>
      </c>
      <c r="G79" s="313">
        <f>VLOOKUP($A79&amp;"GCP LF",'E11 - 2012 09 Final'!$A$46:$P$2419,$G$51,FALSE)</f>
        <v>0.62649999999999995</v>
      </c>
      <c r="H79" s="313">
        <f>VLOOKUP($A79&amp;"GCP LF",'E11 - 2012 09 Final'!$A$46:$P$2419,$H$51,FALSE)</f>
        <v>0.60950000000000004</v>
      </c>
      <c r="I79" s="313">
        <f>VLOOKUP($A79&amp;"GCP LF",'E11 - 2012 09 Final'!$A$46:$P$2419,$I$51,FALSE)</f>
        <v>0.625</v>
      </c>
      <c r="J79" s="313">
        <f>VLOOKUP($A79&amp;"GCP LF",'E11 - 2012 09 Final'!$A$46:$P$2419,$J$51,FALSE)</f>
        <v>0.63180000000000003</v>
      </c>
      <c r="K79" s="313">
        <f>VLOOKUP($A79&amp;"GCP LF",'E11 - 2012 09 Final'!$A$46:$P$2419,$K$51,FALSE)</f>
        <v>0.62029999999999996</v>
      </c>
      <c r="L79" s="313">
        <f>VLOOKUP($A79&amp;"GCP LF",'E11 - 2012 09 Final'!$A$46:$P$2419,$L$51,FALSE)</f>
        <v>0.59240000000000004</v>
      </c>
      <c r="M79" s="313">
        <f>VLOOKUP($A79&amp;"GCP LF",'E11 - 2012 09 Final'!$A$46:$P$2419,$M$51,FALSE)</f>
        <v>0.70109999999999995</v>
      </c>
      <c r="N79" s="313">
        <f>VLOOKUP($A79&amp;"GCP LF",'E11 - 2012 09 Final'!$A$46:$P$2419,$N$51,FALSE)</f>
        <v>0.61350000000000005</v>
      </c>
      <c r="O79" s="117"/>
      <c r="P79" s="314"/>
    </row>
    <row r="80" spans="1:16" hidden="1"/>
    <row r="81" spans="1:16" hidden="1"/>
    <row r="82" spans="1:16" hidden="1"/>
    <row r="83" spans="1:16" hidden="1"/>
    <row r="84" spans="1:16" hidden="1"/>
    <row r="85" spans="1:16" hidden="1"/>
    <row r="86" spans="1:16" hidden="1"/>
    <row r="87" spans="1:16" hidden="1"/>
    <row r="88" spans="1:16" ht="21">
      <c r="B88" s="611" t="s">
        <v>988</v>
      </c>
      <c r="C88" s="611"/>
      <c r="D88" s="611"/>
      <c r="E88" s="611"/>
      <c r="F88" s="611"/>
      <c r="G88" s="611"/>
      <c r="H88" s="611"/>
      <c r="I88" s="611"/>
      <c r="J88" s="611"/>
      <c r="K88" s="611"/>
      <c r="L88" s="611"/>
      <c r="M88" s="611"/>
      <c r="N88" s="611"/>
      <c r="O88" s="611"/>
      <c r="P88" s="611"/>
    </row>
    <row r="89" spans="1:16" ht="17.399999999999999">
      <c r="B89" s="610" t="str">
        <f>+MANUAL!$B$6 &amp;" as Calculated by LodeStar Except as Noted"</f>
        <v>2013 as Calculated by LodeStar Except as Noted</v>
      </c>
      <c r="C89" s="610"/>
      <c r="D89" s="610"/>
      <c r="E89" s="610"/>
      <c r="F89" s="610"/>
      <c r="G89" s="610"/>
      <c r="H89" s="610"/>
      <c r="I89" s="610"/>
      <c r="J89" s="610"/>
      <c r="K89" s="610"/>
      <c r="L89" s="610"/>
      <c r="M89" s="610"/>
      <c r="N89" s="610"/>
      <c r="O89" s="610"/>
      <c r="P89" s="610"/>
    </row>
    <row r="90" spans="1:16" ht="13.8" thickBot="1">
      <c r="B90" s="300"/>
      <c r="C90" s="300"/>
      <c r="D90" s="300"/>
      <c r="E90" s="300"/>
      <c r="F90" s="300"/>
      <c r="G90" s="300"/>
      <c r="H90" s="300"/>
      <c r="I90" s="300"/>
      <c r="J90" s="300"/>
      <c r="K90" s="300"/>
      <c r="L90" s="300"/>
      <c r="M90" s="300"/>
      <c r="N90" s="300"/>
      <c r="O90" s="300"/>
      <c r="P90" s="300"/>
    </row>
    <row r="91" spans="1:16">
      <c r="C91" s="14"/>
      <c r="D91" s="15"/>
      <c r="E91" s="16"/>
      <c r="F91" s="17"/>
      <c r="G91" s="18"/>
      <c r="H91" s="19"/>
      <c r="I91" s="20"/>
      <c r="J91" s="21"/>
      <c r="K91" s="22"/>
      <c r="L91" s="23"/>
      <c r="M91" s="24"/>
      <c r="N91" s="317"/>
      <c r="O91" s="110"/>
      <c r="P91" s="305"/>
    </row>
    <row r="92" spans="1:16" ht="13.8" thickBot="1">
      <c r="C92" s="28" t="s">
        <v>70</v>
      </c>
      <c r="D92" s="29" t="s">
        <v>71</v>
      </c>
      <c r="E92" s="30" t="s">
        <v>72</v>
      </c>
      <c r="F92" s="31" t="s">
        <v>73</v>
      </c>
      <c r="G92" s="32" t="s">
        <v>74</v>
      </c>
      <c r="H92" s="33" t="s">
        <v>75</v>
      </c>
      <c r="I92" s="34" t="s">
        <v>76</v>
      </c>
      <c r="J92" s="35" t="s">
        <v>77</v>
      </c>
      <c r="K92" s="36" t="s">
        <v>78</v>
      </c>
      <c r="L92" s="37" t="s">
        <v>79</v>
      </c>
      <c r="M92" s="38" t="s">
        <v>80</v>
      </c>
      <c r="N92" s="318" t="s">
        <v>81</v>
      </c>
      <c r="O92" s="305"/>
      <c r="P92" s="305"/>
    </row>
    <row r="93" spans="1:16" hidden="1">
      <c r="C93">
        <v>4</v>
      </c>
      <c r="D93">
        <f>C93+1</f>
        <v>5</v>
      </c>
      <c r="E93">
        <f t="shared" ref="E93:N93" si="10">D93+1</f>
        <v>6</v>
      </c>
      <c r="F93">
        <f t="shared" si="10"/>
        <v>7</v>
      </c>
      <c r="G93">
        <f t="shared" si="10"/>
        <v>8</v>
      </c>
      <c r="H93">
        <f t="shared" si="10"/>
        <v>9</v>
      </c>
      <c r="I93">
        <f t="shared" si="10"/>
        <v>10</v>
      </c>
      <c r="J93">
        <f t="shared" si="10"/>
        <v>11</v>
      </c>
      <c r="K93">
        <f t="shared" si="10"/>
        <v>12</v>
      </c>
      <c r="L93">
        <f t="shared" si="10"/>
        <v>13</v>
      </c>
      <c r="M93">
        <f t="shared" si="10"/>
        <v>14</v>
      </c>
      <c r="N93">
        <f t="shared" si="10"/>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13">
        <f>VLOOKUP($A96&amp;"GCP LF",'E11 - 2013 09 Final'!$A$46:$P$1775,$C$93,FALSE)</f>
        <v>0.85140000000000005</v>
      </c>
      <c r="D96" s="313">
        <f>VLOOKUP($A96&amp;"GCP LF",'E11 - 2013 09 Final'!$A$46:$P$1775,$D$93,FALSE)</f>
        <v>0.83760000000000001</v>
      </c>
      <c r="E96" s="313">
        <f>VLOOKUP($A96&amp;"GCP LF",'E11 - 2013 09 Final'!$A$46:$P$1775,$E$93,FALSE)</f>
        <v>0.84740000000000004</v>
      </c>
      <c r="F96" s="313">
        <f>VLOOKUP($A96&amp;"GCP LF",'E11 - 2013 09 Final'!$A$46:$P$1775,$F$93,FALSE)</f>
        <v>0.86119999999999997</v>
      </c>
      <c r="G96" s="313">
        <f>VLOOKUP($A96&amp;"GCP LF",'E11 - 2013 09 Final'!$A$46:$P$1775,$G$93,FALSE)</f>
        <v>0.8619</v>
      </c>
      <c r="H96" s="313">
        <f>VLOOKUP($A96&amp;"GCP LF",'E11 - 2013 09 Final'!$A$46:$P$1775,$H$93,FALSE)</f>
        <v>0.86939999999999995</v>
      </c>
      <c r="I96" s="313">
        <f>VLOOKUP($A96&amp;"GCP LF",'E11 - 2013 09 Final'!$A$46:$P$1775,$I$93,FALSE)</f>
        <v>0.86499999999999999</v>
      </c>
      <c r="J96" s="313">
        <f>VLOOKUP($A96&amp;"GCP LF",'E11 - 2013 09 Final'!$A$46:$P$1775,$J$93,FALSE)</f>
        <v>0.86280000000000001</v>
      </c>
      <c r="K96" s="313">
        <f>VLOOKUP($A96&amp;"GCP LF",'E11 - 2013 09 Final'!$A$46:$P$1775,$K$93,FALSE)</f>
        <v>0.86639999999999995</v>
      </c>
      <c r="L96" s="313">
        <f>VLOOKUP($A96&amp;"GCP LF",'E11 - 2013 09 Final'!$A$46:$P$1775,$L$93,FALSE)</f>
        <v>0.8589</v>
      </c>
      <c r="M96" s="313">
        <f>VLOOKUP($A96&amp;"GCP LF",'E11 - 2013 09 Final'!$A$46:$P$1775,$M$93,FALSE)</f>
        <v>0.84950000000000003</v>
      </c>
      <c r="N96" s="313">
        <f>VLOOKUP($A96&amp;"GCP LF",'E11 - 2013 09 Final'!$A$46:$P$1775,$N$93,FALSE)</f>
        <v>0.83989999999999998</v>
      </c>
      <c r="O96" s="117"/>
      <c r="P96" s="314"/>
    </row>
    <row r="97" spans="1:16">
      <c r="A97" t="s">
        <v>177</v>
      </c>
      <c r="B97" s="43" t="s">
        <v>85</v>
      </c>
      <c r="C97" s="313">
        <f>VLOOKUP($A97&amp;"GCP LF",'E11 - 2013 09 Final'!$A$46:$P$1775,$C$93,FALSE)</f>
        <v>0.83799999999999997</v>
      </c>
      <c r="D97" s="313">
        <f>VLOOKUP($A97&amp;"GCP LF",'E11 - 2013 09 Final'!$A$46:$P$1775,$D$93,FALSE)</f>
        <v>0.82169999999999999</v>
      </c>
      <c r="E97" s="313">
        <f>VLOOKUP($A97&amp;"GCP LF",'E11 - 2013 09 Final'!$A$46:$P$1775,$E$93,FALSE)</f>
        <v>0.83919999999999995</v>
      </c>
      <c r="F97" s="313">
        <f>VLOOKUP($A97&amp;"GCP LF",'E11 - 2013 09 Final'!$A$46:$P$1775,$F$93,FALSE)</f>
        <v>0.84350000000000003</v>
      </c>
      <c r="G97" s="313">
        <f>VLOOKUP($A97&amp;"GCP LF",'E11 - 2013 09 Final'!$A$46:$P$1775,$G$93,FALSE)</f>
        <v>0.86170000000000002</v>
      </c>
      <c r="H97" s="313">
        <f>VLOOKUP($A97&amp;"GCP LF",'E11 - 2013 09 Final'!$A$46:$P$1775,$H$93,FALSE)</f>
        <v>0.85229999999999995</v>
      </c>
      <c r="I97" s="313">
        <f>VLOOKUP($A97&amp;"GCP LF",'E11 - 2013 09 Final'!$A$46:$P$1775,$I$93,FALSE)</f>
        <v>0.8569</v>
      </c>
      <c r="J97" s="313">
        <f>VLOOKUP($A97&amp;"GCP LF",'E11 - 2013 09 Final'!$A$46:$P$1775,$J$93,FALSE)</f>
        <v>0.8629</v>
      </c>
      <c r="K97" s="313">
        <f>VLOOKUP($A97&amp;"GCP LF",'E11 - 2013 09 Final'!$A$46:$P$1775,$K$93,FALSE)</f>
        <v>0.85960000000000003</v>
      </c>
      <c r="L97" s="313">
        <f>VLOOKUP($A97&amp;"GCP LF",'E11 - 2013 09 Final'!$A$46:$P$1775,$L$93,FALSE)</f>
        <v>0.85470000000000002</v>
      </c>
      <c r="M97" s="313">
        <f>VLOOKUP($A97&amp;"GCP LF",'E11 - 2013 09 Final'!$A$46:$P$1775,$M$93,FALSE)</f>
        <v>0.85629999999999995</v>
      </c>
      <c r="N97" s="313">
        <f>VLOOKUP($A97&amp;"GCP LF",'E11 - 2013 09 Final'!$A$46:$P$1775,$N$93,FALSE)</f>
        <v>0.86319999999999997</v>
      </c>
      <c r="O97" s="117"/>
      <c r="P97" s="314"/>
    </row>
    <row r="98" spans="1:16">
      <c r="A98" t="s">
        <v>185</v>
      </c>
      <c r="B98" s="43" t="s">
        <v>50</v>
      </c>
      <c r="C98" s="313">
        <f>VLOOKUP($A98&amp;"GCP LF",'E11 - 2013 09 Final'!$A$46:$P$1775,$C$93,FALSE)</f>
        <v>0.83069999999999999</v>
      </c>
      <c r="D98" s="313">
        <f>VLOOKUP($A98&amp;"GCP LF",'E11 - 2013 09 Final'!$A$46:$P$1775,$D$93,FALSE)</f>
        <v>0.85499999999999998</v>
      </c>
      <c r="E98" s="313">
        <f>VLOOKUP($A98&amp;"GCP LF",'E11 - 2013 09 Final'!$A$46:$P$1775,$E$93,FALSE)</f>
        <v>0.86150000000000004</v>
      </c>
      <c r="F98" s="313">
        <f>VLOOKUP($A98&amp;"GCP LF",'E11 - 2013 09 Final'!$A$46:$P$1775,$F$93,FALSE)</f>
        <v>0.9032</v>
      </c>
      <c r="G98" s="313">
        <f>VLOOKUP($A98&amp;"GCP LF",'E11 - 2013 09 Final'!$A$46:$P$1775,$G$93,FALSE)</f>
        <v>0.86339999999999995</v>
      </c>
      <c r="H98" s="313">
        <f>VLOOKUP($A98&amp;"GCP LF",'E11 - 2013 09 Final'!$A$46:$P$1775,$H$93,FALSE)</f>
        <v>0.84860000000000002</v>
      </c>
      <c r="I98" s="313">
        <f>VLOOKUP($A98&amp;"GCP LF",'E11 - 2013 09 Final'!$A$46:$P$1775,$I$93,FALSE)</f>
        <v>0.84930000000000005</v>
      </c>
      <c r="J98" s="313">
        <f>VLOOKUP($A98&amp;"GCP LF",'E11 - 2013 09 Final'!$A$46:$P$1775,$J$93,FALSE)</f>
        <v>0.86350000000000005</v>
      </c>
      <c r="K98" s="313">
        <f>VLOOKUP($A98&amp;"GCP LF",'E11 - 2013 09 Final'!$A$46:$P$1775,$K$93,FALSE)</f>
        <v>0.81010000000000004</v>
      </c>
      <c r="L98" s="313">
        <f>VLOOKUP($A98&amp;"GCP LF",'E11 - 2013 09 Final'!$A$46:$P$1775,$L$93,FALSE)</f>
        <v>0.879</v>
      </c>
      <c r="M98" s="313">
        <f>VLOOKUP($A98&amp;"GCP LF",'E11 - 2013 09 Final'!$A$46:$P$1775,$M$93,FALSE)</f>
        <v>0.86329999999999996</v>
      </c>
      <c r="N98" s="313">
        <f>VLOOKUP($A98&amp;"GCP LF",'E11 - 2013 09 Final'!$A$46:$P$1775,$N$93,FALSE)</f>
        <v>0.84619999999999995</v>
      </c>
      <c r="O98" s="117"/>
      <c r="P98" s="314"/>
    </row>
    <row r="99" spans="1:16">
      <c r="A99" t="s">
        <v>632</v>
      </c>
      <c r="B99" s="43" t="s">
        <v>49</v>
      </c>
      <c r="C99" s="313">
        <f>VLOOKUP($A99&amp;"GCP LF",'E11 - 2013 09 Final'!$A$46:$P$1775,$C$93,FALSE)</f>
        <v>0.60189999999999999</v>
      </c>
      <c r="D99" s="313">
        <f>VLOOKUP($A99&amp;"GCP LF",'E11 - 2013 09 Final'!$A$46:$P$1775,$D$93,FALSE)</f>
        <v>0.59130000000000005</v>
      </c>
      <c r="E99" s="313">
        <f>VLOOKUP($A99&amp;"GCP LF",'E11 - 2013 09 Final'!$A$46:$P$1775,$E$93,FALSE)</f>
        <v>0.60760000000000003</v>
      </c>
      <c r="F99" s="313">
        <f>VLOOKUP($A99&amp;"GCP LF",'E11 - 2013 09 Final'!$A$46:$P$1775,$F$93,FALSE)</f>
        <v>0.56769999999999998</v>
      </c>
      <c r="G99" s="313">
        <f>VLOOKUP($A99&amp;"GCP LF",'E11 - 2013 09 Final'!$A$46:$P$1775,$G$93,FALSE)</f>
        <v>0.58489999999999998</v>
      </c>
      <c r="H99" s="313">
        <f>VLOOKUP($A99&amp;"GCP LF",'E11 - 2013 09 Final'!$A$46:$P$1775,$H$93,FALSE)</f>
        <v>0.59519999999999995</v>
      </c>
      <c r="I99" s="313">
        <f>VLOOKUP($A99&amp;"GCP LF",'E11 - 2013 09 Final'!$A$46:$P$1775,$I$93,FALSE)</f>
        <v>0.59019999999999995</v>
      </c>
      <c r="J99" s="313">
        <f>VLOOKUP($A99&amp;"GCP LF",'E11 - 2013 09 Final'!$A$46:$P$1775,$J$93,FALSE)</f>
        <v>0.61319999999999997</v>
      </c>
      <c r="K99" s="313">
        <f>VLOOKUP($A99&amp;"GCP LF",'E11 - 2013 09 Final'!$A$46:$P$1775,$K$93,FALSE)</f>
        <v>0.58309999999999995</v>
      </c>
      <c r="L99" s="313">
        <f>VLOOKUP($A99&amp;"GCP LF",'E11 - 2013 09 Final'!$A$46:$P$1775,$L$93,FALSE)</f>
        <v>0.59099999999999997</v>
      </c>
      <c r="M99" s="313">
        <f>VLOOKUP($A99&amp;"GCP LF",'E11 - 2013 09 Final'!$A$46:$P$1775,$M$93,FALSE)</f>
        <v>0.58779999999999999</v>
      </c>
      <c r="N99" s="313">
        <f>VLOOKUP($A99&amp;"GCP LF",'E11 - 2013 09 Final'!$A$46:$P$1775,$N$93,FALSE)</f>
        <v>0.5655</v>
      </c>
      <c r="O99" s="117"/>
      <c r="P99" s="314"/>
    </row>
    <row r="100" spans="1:16">
      <c r="A100" t="s">
        <v>640</v>
      </c>
      <c r="B100" s="46" t="s">
        <v>325</v>
      </c>
      <c r="C100" s="313">
        <f>VLOOKUP($A100&amp;"GCP LF",'E11 - 2013 09 Final'!$A$46:$P$1775,$C$93,FALSE)</f>
        <v>0.9879</v>
      </c>
      <c r="D100" s="313">
        <f>VLOOKUP($A100&amp;"GCP LF",'E11 - 2013 09 Final'!$A$46:$P$1775,$D$93,FALSE)</f>
        <v>0.98080000000000001</v>
      </c>
      <c r="E100" s="313">
        <f>VLOOKUP($A100&amp;"GCP LF",'E11 - 2013 09 Final'!$A$46:$P$1775,$E$93,FALSE)</f>
        <v>0.96250000000000002</v>
      </c>
      <c r="F100" s="313">
        <f>VLOOKUP($A100&amp;"GCP LF",'E11 - 2013 09 Final'!$A$46:$P$1775,$F$93,FALSE)</f>
        <v>0.97919999999999996</v>
      </c>
      <c r="G100" s="313">
        <f>VLOOKUP($A100&amp;"GCP LF",'E11 - 2013 09 Final'!$A$46:$P$1775,$G$93,FALSE)</f>
        <v>0.97370000000000001</v>
      </c>
      <c r="H100" s="313">
        <f>VLOOKUP($A100&amp;"GCP LF",'E11 - 2013 09 Final'!$A$46:$P$1775,$H$93,FALSE)</f>
        <v>0.98450000000000004</v>
      </c>
      <c r="I100" s="313">
        <f>VLOOKUP($A100&amp;"GCP LF",'E11 - 2013 09 Final'!$A$46:$P$1775,$I$93,FALSE)</f>
        <v>0.98499999999999999</v>
      </c>
      <c r="J100" s="313">
        <f>VLOOKUP($A100&amp;"GCP LF",'E11 - 2013 09 Final'!$A$46:$P$1775,$J$93,FALSE)</f>
        <v>0.97509999999999997</v>
      </c>
      <c r="K100" s="313">
        <f>VLOOKUP($A100&amp;"GCP LF",'E11 - 2013 09 Final'!$A$46:$P$1775,$K$93,FALSE)</f>
        <v>0.9849</v>
      </c>
      <c r="L100" s="313">
        <f>VLOOKUP($A100&amp;"GCP LF",'E11 - 2013 09 Final'!$A$46:$P$1775,$L$93,FALSE)</f>
        <v>0.98980000000000001</v>
      </c>
      <c r="M100" s="313">
        <f>VLOOKUP($A100&amp;"GCP LF",'E11 - 2013 09 Final'!$A$46:$P$1775,$M$93,FALSE)</f>
        <v>0.9839</v>
      </c>
      <c r="N100" s="313">
        <f>VLOOKUP($A100&amp;"GCP LF",'E11 - 2013 09 Final'!$A$46:$P$1775,$N$93,FALSE)</f>
        <v>0.98399999999999999</v>
      </c>
      <c r="O100" s="117"/>
      <c r="P100" s="314"/>
    </row>
    <row r="101" spans="1:16">
      <c r="A101" t="s">
        <v>994</v>
      </c>
      <c r="B101" s="43" t="s">
        <v>67</v>
      </c>
      <c r="C101" s="313">
        <f>VLOOKUP($A101&amp;"GCP LF",'E11 - 2013 09 Final'!$A$46:$P$1775,$C$93,FALSE)</f>
        <v>0.70630000000000004</v>
      </c>
      <c r="D101" s="313">
        <f>VLOOKUP($A101&amp;"GCP LF",'E11 - 2013 09 Final'!$A$46:$P$1775,$D$93,FALSE)</f>
        <v>0.68330000000000002</v>
      </c>
      <c r="E101" s="313">
        <f>VLOOKUP($A101&amp;"GCP LF",'E11 - 2013 09 Final'!$A$46:$P$1775,$E$93,FALSE)</f>
        <v>0.68210000000000004</v>
      </c>
      <c r="F101" s="313">
        <f>VLOOKUP($A101&amp;"GCP LF",'E11 - 2013 09 Final'!$A$46:$P$1775,$F$93,FALSE)</f>
        <v>0.69910000000000005</v>
      </c>
      <c r="G101" s="313">
        <f>VLOOKUP($A101&amp;"GCP LF",'E11 - 2013 09 Final'!$A$46:$P$1775,$G$93,FALSE)</f>
        <v>0.70609999999999995</v>
      </c>
      <c r="H101" s="313">
        <f>VLOOKUP($A101&amp;"GCP LF",'E11 - 2013 09 Final'!$A$46:$P$1775,$H$93,FALSE)</f>
        <v>0.71030000000000004</v>
      </c>
      <c r="I101" s="313">
        <f>VLOOKUP($A101&amp;"GCP LF",'E11 - 2013 09 Final'!$A$46:$P$1775,$I$93,FALSE)</f>
        <v>0.71519999999999995</v>
      </c>
      <c r="J101" s="313">
        <f>VLOOKUP($A101&amp;"GCP LF",'E11 - 2013 09 Final'!$A$46:$P$1775,$J$93,FALSE)</f>
        <v>0.71850000000000003</v>
      </c>
      <c r="K101" s="313">
        <f>VLOOKUP($A101&amp;"GCP LF",'E11 - 2013 09 Final'!$A$46:$P$1775,$K$93,FALSE)</f>
        <v>0.69940000000000002</v>
      </c>
      <c r="L101" s="313">
        <f>VLOOKUP($A101&amp;"GCP LF",'E11 - 2013 09 Final'!$A$46:$P$1775,$L$93,FALSE)</f>
        <v>0.69930000000000003</v>
      </c>
      <c r="M101" s="313">
        <f>VLOOKUP($A101&amp;"GCP LF",'E11 - 2013 09 Final'!$A$46:$P$1775,$M$93,FALSE)</f>
        <v>0.68540000000000001</v>
      </c>
      <c r="N101" s="313">
        <f>VLOOKUP($A101&amp;"GCP LF",'E11 - 2013 09 Final'!$A$46:$P$1775,$N$93,FALSE)</f>
        <v>0.68959999999999999</v>
      </c>
      <c r="O101" s="117"/>
      <c r="P101" s="314"/>
    </row>
    <row r="102" spans="1:16">
      <c r="A102" t="s">
        <v>997</v>
      </c>
      <c r="B102" s="43" t="s">
        <v>68</v>
      </c>
      <c r="C102" s="313">
        <f>VLOOKUP($A102&amp;"GCP LF",'E11 - 2013 09 Final'!$A$46:$P$1775,$C$93,FALSE)</f>
        <v>0.64449999999999996</v>
      </c>
      <c r="D102" s="313">
        <f>VLOOKUP($A102&amp;"GCP LF",'E11 - 2013 09 Final'!$A$46:$P$1775,$D$93,FALSE)</f>
        <v>0.62819999999999998</v>
      </c>
      <c r="E102" s="313">
        <f>VLOOKUP($A102&amp;"GCP LF",'E11 - 2013 09 Final'!$A$46:$P$1775,$E$93,FALSE)</f>
        <v>0.62309999999999999</v>
      </c>
      <c r="F102" s="313">
        <f>VLOOKUP($A102&amp;"GCP LF",'E11 - 2013 09 Final'!$A$46:$P$1775,$F$93,FALSE)</f>
        <v>0.67090000000000005</v>
      </c>
      <c r="G102" s="313">
        <f>VLOOKUP($A102&amp;"GCP LF",'E11 - 2013 09 Final'!$A$46:$P$1775,$G$93,FALSE)</f>
        <v>0.67169999999999996</v>
      </c>
      <c r="H102" s="313">
        <f>VLOOKUP($A102&amp;"GCP LF",'E11 - 2013 09 Final'!$A$46:$P$1775,$H$93,FALSE)</f>
        <v>0.69089999999999996</v>
      </c>
      <c r="I102" s="313">
        <f>VLOOKUP($A102&amp;"GCP LF",'E11 - 2013 09 Final'!$A$46:$P$1775,$I$93,FALSE)</f>
        <v>0.71899999999999997</v>
      </c>
      <c r="J102" s="313">
        <f>VLOOKUP($A102&amp;"GCP LF",'E11 - 2013 09 Final'!$A$46:$P$1775,$J$93,FALSE)</f>
        <v>0.68149999999999999</v>
      </c>
      <c r="K102" s="313">
        <f>VLOOKUP($A102&amp;"GCP LF",'E11 - 2013 09 Final'!$A$46:$P$1775,$K$93,FALSE)</f>
        <v>0.66669999999999996</v>
      </c>
      <c r="L102" s="313">
        <f>VLOOKUP($A102&amp;"GCP LF",'E11 - 2013 09 Final'!$A$46:$P$1775,$L$93,FALSE)</f>
        <v>0.66749999999999998</v>
      </c>
      <c r="M102" s="313">
        <f>VLOOKUP($A102&amp;"GCP LF",'E11 - 2013 09 Final'!$A$46:$P$1775,$M$93,FALSE)</f>
        <v>0.63519999999999999</v>
      </c>
      <c r="N102" s="313">
        <f>VLOOKUP($A102&amp;"GCP LF",'E11 - 2013 09 Final'!$A$46:$P$1775,$N$93,FALSE)</f>
        <v>0.62129999999999996</v>
      </c>
      <c r="O102" s="117"/>
      <c r="P102" s="314"/>
    </row>
    <row r="103" spans="1:16">
      <c r="A103" t="s">
        <v>713</v>
      </c>
      <c r="B103" s="43" t="s">
        <v>69</v>
      </c>
      <c r="C103" s="313">
        <f>VLOOKUP($A103&amp;"GCP LF",'E11 - 2013 09 Final'!$A$46:$P$1775,$C$93,FALSE)</f>
        <v>0.79859999999999998</v>
      </c>
      <c r="D103" s="313">
        <f>VLOOKUP($A103&amp;"GCP LF",'E11 - 2013 09 Final'!$A$46:$P$1775,$D$93,FALSE)</f>
        <v>0.7802</v>
      </c>
      <c r="E103" s="313">
        <f>VLOOKUP($A103&amp;"GCP LF",'E11 - 2013 09 Final'!$A$46:$P$1775,$E$93,FALSE)</f>
        <v>0.78549999999999998</v>
      </c>
      <c r="F103" s="313">
        <f>VLOOKUP($A103&amp;"GCP LF",'E11 - 2013 09 Final'!$A$46:$P$1775,$F$93,FALSE)</f>
        <v>0.81640000000000001</v>
      </c>
      <c r="G103" s="313">
        <f>VLOOKUP($A103&amp;"GCP LF",'E11 - 2013 09 Final'!$A$46:$P$1775,$G$93,FALSE)</f>
        <v>0.82699999999999996</v>
      </c>
      <c r="H103" s="313">
        <f>VLOOKUP($A103&amp;"GCP LF",'E11 - 2013 09 Final'!$A$46:$P$1775,$H$93,FALSE)</f>
        <v>0.91520000000000001</v>
      </c>
      <c r="I103" s="313">
        <f>VLOOKUP($A103&amp;"GCP LF",'E11 - 2013 09 Final'!$A$46:$P$1775,$I$93,FALSE)</f>
        <v>0.86319999999999997</v>
      </c>
      <c r="J103" s="313">
        <f>VLOOKUP($A103&amp;"GCP LF",'E11 - 2013 09 Final'!$A$46:$P$1775,$J$93,FALSE)</f>
        <v>0.9163</v>
      </c>
      <c r="K103" s="313">
        <f>VLOOKUP($A103&amp;"GCP LF",'E11 - 2013 09 Final'!$A$46:$P$1775,$K$93,FALSE)</f>
        <v>0.83409999999999995</v>
      </c>
      <c r="L103" s="313">
        <f>VLOOKUP($A103&amp;"GCP LF",'E11 - 2013 09 Final'!$A$46:$P$1775,$L$93,FALSE)</f>
        <v>0.83399999999999996</v>
      </c>
      <c r="M103" s="313">
        <f>VLOOKUP($A103&amp;"GCP LF",'E11 - 2013 09 Final'!$A$46:$P$1775,$M$93,FALSE)</f>
        <v>0.80779999999999996</v>
      </c>
      <c r="N103" s="313">
        <f>VLOOKUP($A103&amp;"GCP LF",'E11 - 2013 09 Final'!$A$46:$P$1775,$N$93,FALSE)</f>
        <v>0.78949999999999998</v>
      </c>
      <c r="O103" s="117"/>
      <c r="P103" s="314"/>
    </row>
    <row r="104" spans="1:16">
      <c r="A104" t="s">
        <v>717</v>
      </c>
      <c r="B104" s="43" t="s">
        <v>52</v>
      </c>
      <c r="C104" s="313">
        <f>VLOOKUP($A104&amp;"GCP LF",'E11 - 2013 09 Final'!$A$46:$P$1775,$C$93,FALSE)</f>
        <v>0.71609999999999996</v>
      </c>
      <c r="D104" s="313">
        <f>VLOOKUP($A104&amp;"GCP LF",'E11 - 2013 09 Final'!$A$46:$P$1775,$D$93,FALSE)</f>
        <v>0.63780000000000003</v>
      </c>
      <c r="E104" s="313">
        <f>VLOOKUP($A104&amp;"GCP LF",'E11 - 2013 09 Final'!$A$46:$P$1775,$E$93,FALSE)</f>
        <v>0.64229999999999998</v>
      </c>
      <c r="F104" s="313">
        <f>VLOOKUP($A104&amp;"GCP LF",'E11 - 2013 09 Final'!$A$46:$P$1775,$F$93,FALSE)</f>
        <v>0.65239999999999998</v>
      </c>
      <c r="G104" s="313">
        <f>VLOOKUP($A104&amp;"GCP LF",'E11 - 2013 09 Final'!$A$46:$P$1775,$G$93,FALSE)</f>
        <v>0.74990000000000001</v>
      </c>
      <c r="H104" s="313">
        <f>VLOOKUP($A104&amp;"GCP LF",'E11 - 2013 09 Final'!$A$46:$P$1775,$H$93,FALSE)</f>
        <v>0.56179999999999997</v>
      </c>
      <c r="I104" s="313">
        <f>VLOOKUP($A104&amp;"GCP LF",'E11 - 2013 09 Final'!$A$46:$P$1775,$I$93,FALSE)</f>
        <v>0.6925</v>
      </c>
      <c r="J104" s="313">
        <f>VLOOKUP($A104&amp;"GCP LF",'E11 - 2013 09 Final'!$A$46:$P$1775,$J$93,FALSE)</f>
        <v>0.65610000000000002</v>
      </c>
      <c r="K104" s="313">
        <f>VLOOKUP($A104&amp;"GCP LF",'E11 - 2013 09 Final'!$A$46:$P$1775,$K$93,FALSE)</f>
        <v>0.64739999999999998</v>
      </c>
      <c r="L104" s="313">
        <f>VLOOKUP($A104&amp;"GCP LF",'E11 - 2013 09 Final'!$A$46:$P$1775,$L$93,FALSE)</f>
        <v>0.69650000000000001</v>
      </c>
      <c r="M104" s="313">
        <f>VLOOKUP($A104&amp;"GCP LF",'E11 - 2013 09 Final'!$A$46:$P$1775,$M$93,FALSE)</f>
        <v>0.67930000000000001</v>
      </c>
      <c r="N104" s="313">
        <f>VLOOKUP($A104&amp;"GCP LF",'E11 - 2013 09 Final'!$A$46:$P$1775,$N$93,FALSE)</f>
        <v>0.68620000000000003</v>
      </c>
      <c r="O104" s="117"/>
      <c r="P104" s="314"/>
    </row>
    <row r="105" spans="1:16">
      <c r="A105" t="s">
        <v>15</v>
      </c>
      <c r="B105" s="206" t="s">
        <v>15</v>
      </c>
      <c r="C105" s="313">
        <f>VLOOKUP($A105&amp;"GCP LF",'E11 - 2013 09 Final'!$A$46:$P$1775,$C$93,FALSE)</f>
        <v>0.64729999999999999</v>
      </c>
      <c r="D105" s="313">
        <f>VLOOKUP($A105&amp;"GCP LF",'E11 - 2013 09 Final'!$A$46:$P$1775,$D$93,FALSE)</f>
        <v>0.63029999999999997</v>
      </c>
      <c r="E105" s="313">
        <f>VLOOKUP($A105&amp;"GCP LF",'E11 - 2013 09 Final'!$A$46:$P$1775,$E$93,FALSE)</f>
        <v>0.63849999999999996</v>
      </c>
      <c r="F105" s="313">
        <f>VLOOKUP($A105&amp;"GCP LF",'E11 - 2013 09 Final'!$A$46:$P$1775,$F$93,FALSE)</f>
        <v>0.66020000000000001</v>
      </c>
      <c r="G105" s="313">
        <f>VLOOKUP($A105&amp;"GCP LF",'E11 - 2013 09 Final'!$A$46:$P$1775,$G$93,FALSE)</f>
        <v>0.6593</v>
      </c>
      <c r="H105" s="313">
        <f>VLOOKUP($A105&amp;"GCP LF",'E11 - 2013 09 Final'!$A$46:$P$1775,$H$93,FALSE)</f>
        <v>0.62839999999999996</v>
      </c>
      <c r="I105" s="313">
        <f>VLOOKUP($A105&amp;"GCP LF",'E11 - 2013 09 Final'!$A$46:$P$1775,$I$93,FALSE)</f>
        <v>0.64300000000000002</v>
      </c>
      <c r="J105" s="313">
        <f>VLOOKUP($A105&amp;"GCP LF",'E11 - 2013 09 Final'!$A$46:$P$1775,$J$93,FALSE)</f>
        <v>0.66879999999999995</v>
      </c>
      <c r="K105" s="313">
        <f>VLOOKUP($A105&amp;"GCP LF",'E11 - 2013 09 Final'!$A$46:$P$1775,$K$93,FALSE)</f>
        <v>0.6452</v>
      </c>
      <c r="L105" s="313">
        <f>VLOOKUP($A105&amp;"GCP LF",'E11 - 2013 09 Final'!$A$46:$P$1775,$L$93,FALSE)</f>
        <v>0.66200000000000003</v>
      </c>
      <c r="M105" s="313">
        <f>VLOOKUP($A105&amp;"GCP LF",'E11 - 2013 09 Final'!$A$46:$P$1775,$M$93,FALSE)</f>
        <v>0.63380000000000003</v>
      </c>
      <c r="N105" s="313">
        <f>VLOOKUP($A105&amp;"GCP LF",'E11 - 2013 09 Final'!$A$46:$P$1775,$N$93,FALSE)</f>
        <v>0.63100000000000001</v>
      </c>
      <c r="O105" s="117"/>
      <c r="P105" s="314"/>
    </row>
    <row r="106" spans="1:16">
      <c r="A106" t="s">
        <v>19</v>
      </c>
      <c r="B106" s="43" t="s">
        <v>56</v>
      </c>
      <c r="C106" s="313">
        <f>VLOOKUP($A106&amp;"GCP LF",'E11 - 2013 09 Final'!$A$46:$P$1775,$C$93,FALSE)</f>
        <v>0.55220000000000002</v>
      </c>
      <c r="D106" s="313">
        <f>VLOOKUP($A106&amp;"GCP LF",'E11 - 2013 09 Final'!$A$46:$P$1775,$D$93,FALSE)</f>
        <v>0.53010000000000002</v>
      </c>
      <c r="E106" s="313">
        <f>VLOOKUP($A106&amp;"GCP LF",'E11 - 2013 09 Final'!$A$46:$P$1775,$E$93,FALSE)</f>
        <v>0.4995</v>
      </c>
      <c r="F106" s="313">
        <f>VLOOKUP($A106&amp;"GCP LF",'E11 - 2013 09 Final'!$A$46:$P$1775,$F$93,FALSE)</f>
        <v>0.46839999999999998</v>
      </c>
      <c r="G106" s="313">
        <f>VLOOKUP($A106&amp;"GCP LF",'E11 - 2013 09 Final'!$A$46:$P$1775,$G$93,FALSE)</f>
        <v>0.4425</v>
      </c>
      <c r="H106" s="313">
        <f>VLOOKUP($A106&amp;"GCP LF",'E11 - 2013 09 Final'!$A$46:$P$1775,$H$93,FALSE)</f>
        <v>0.42980000000000002</v>
      </c>
      <c r="I106" s="313">
        <f>VLOOKUP($A106&amp;"GCP LF",'E11 - 2013 09 Final'!$A$46:$P$1775,$I$93,FALSE)</f>
        <v>0.43530000000000002</v>
      </c>
      <c r="J106" s="313">
        <f>VLOOKUP($A106&amp;"GCP LF",'E11 - 2013 09 Final'!$A$46:$P$1775,$J$93,FALSE)</f>
        <v>0.45689999999999997</v>
      </c>
      <c r="K106" s="313">
        <f>VLOOKUP($A106&amp;"GCP LF",'E11 - 2013 09 Final'!$A$46:$P$1775,$K$93,FALSE)</f>
        <v>0.48670000000000002</v>
      </c>
      <c r="L106" s="313">
        <f>VLOOKUP($A106&amp;"GCP LF",'E11 - 2013 09 Final'!$A$46:$P$1775,$L$93,FALSE)</f>
        <v>0.51829999999999998</v>
      </c>
      <c r="M106" s="313">
        <f>VLOOKUP($A106&amp;"GCP LF",'E11 - 2013 09 Final'!$A$46:$P$1775,$M$93,FALSE)</f>
        <v>0.54500000000000004</v>
      </c>
      <c r="N106" s="313">
        <f>VLOOKUP($A106&amp;"GCP LF",'E11 - 2013 09 Final'!$A$46:$P$1775,$N$93,FALSE)</f>
        <v>0.55859999999999999</v>
      </c>
      <c r="O106" s="117"/>
      <c r="P106" s="314"/>
    </row>
    <row r="107" spans="1:16">
      <c r="A107" t="s">
        <v>22</v>
      </c>
      <c r="B107" s="43" t="s">
        <v>57</v>
      </c>
      <c r="C107" s="313">
        <f>VLOOKUP($A107&amp;"GCP LF",'E11 - 2013 09 Final'!$A$46:$P$1775,$C$93,FALSE)</f>
        <v>0.1502</v>
      </c>
      <c r="D107" s="313">
        <f>VLOOKUP($A107&amp;"GCP LF",'E11 - 2013 09 Final'!$A$46:$P$1775,$D$93,FALSE)</f>
        <v>0.13950000000000001</v>
      </c>
      <c r="E107" s="313">
        <f>VLOOKUP($A107&amp;"GCP LF",'E11 - 2013 09 Final'!$A$46:$P$1775,$E$93,FALSE)</f>
        <v>0.1173</v>
      </c>
      <c r="F107" s="313">
        <f>VLOOKUP($A107&amp;"GCP LF",'E11 - 2013 09 Final'!$A$46:$P$1775,$F$93,FALSE)</f>
        <v>0.13650000000000001</v>
      </c>
      <c r="G107" s="313">
        <f>VLOOKUP($A107&amp;"GCP LF",'E11 - 2013 09 Final'!$A$46:$P$1775,$G$93,FALSE)</f>
        <v>0.13869999999999999</v>
      </c>
      <c r="H107" s="313">
        <f>VLOOKUP($A107&amp;"GCP LF",'E11 - 2013 09 Final'!$A$46:$P$1775,$H$93,FALSE)</f>
        <v>0.18509999999999999</v>
      </c>
      <c r="I107" s="313">
        <f>VLOOKUP($A107&amp;"GCP LF",'E11 - 2013 09 Final'!$A$46:$P$1775,$I$93,FALSE)</f>
        <v>0.18429999999999999</v>
      </c>
      <c r="J107" s="313">
        <f>VLOOKUP($A107&amp;"GCP LF",'E11 - 2013 09 Final'!$A$46:$P$1775,$J$93,FALSE)</f>
        <v>0.16489999999999999</v>
      </c>
      <c r="K107" s="313">
        <f>VLOOKUP($A107&amp;"GCP LF",'E11 - 2013 09 Final'!$A$46:$P$1775,$K$93,FALSE)</f>
        <v>0.14269999999999999</v>
      </c>
      <c r="L107" s="313">
        <f>VLOOKUP($A107&amp;"GCP LF",'E11 - 2013 09 Final'!$A$46:$P$1775,$L$93,FALSE)</f>
        <v>0.14149999999999999</v>
      </c>
      <c r="M107" s="313">
        <f>VLOOKUP($A107&amp;"GCP LF",'E11 - 2013 09 Final'!$A$46:$P$1775,$M$93,FALSE)</f>
        <v>0.13009999999999999</v>
      </c>
      <c r="N107" s="313">
        <f>VLOOKUP($A107&amp;"GCP LF",'E11 - 2013 09 Final'!$A$46:$P$1775,$N$93,FALSE)</f>
        <v>0.13739999999999999</v>
      </c>
      <c r="O107" s="117"/>
      <c r="P107" s="314"/>
    </row>
    <row r="108" spans="1:16">
      <c r="A108" t="s">
        <v>687</v>
      </c>
      <c r="B108" s="43" t="s">
        <v>48</v>
      </c>
      <c r="C108" s="313">
        <f>VLOOKUP($A108&amp;"GCP LF",'E11 - 2013 09 Final'!$A$46:$P$1775,$C$93,FALSE)</f>
        <v>0.62490000000000001</v>
      </c>
      <c r="D108" s="313">
        <f>VLOOKUP($A108&amp;"GCP LF",'E11 - 2013 09 Final'!$A$46:$P$1775,$D$93,FALSE)</f>
        <v>0.55979999999999996</v>
      </c>
      <c r="E108" s="313">
        <f>VLOOKUP($A108&amp;"GCP LF",'E11 - 2013 09 Final'!$A$46:$P$1775,$E$93,FALSE)</f>
        <v>0.53979999999999995</v>
      </c>
      <c r="F108" s="313">
        <f>VLOOKUP($A108&amp;"GCP LF",'E11 - 2013 09 Final'!$A$46:$P$1775,$F$93,FALSE)</f>
        <v>0.59519999999999995</v>
      </c>
      <c r="G108" s="313">
        <f>VLOOKUP($A108&amp;"GCP LF",'E11 - 2013 09 Final'!$A$46:$P$1775,$G$93,FALSE)</f>
        <v>0.57379999999999998</v>
      </c>
      <c r="H108" s="313">
        <f>VLOOKUP($A108&amp;"GCP LF",'E11 - 2013 09 Final'!$A$46:$P$1775,$H$93,FALSE)</f>
        <v>0.62070000000000003</v>
      </c>
      <c r="I108" s="313">
        <f>VLOOKUP($A108&amp;"GCP LF",'E11 - 2013 09 Final'!$A$46:$P$1775,$I$93,FALSE)</f>
        <v>0.64249999999999996</v>
      </c>
      <c r="J108" s="313">
        <f>VLOOKUP($A108&amp;"GCP LF",'E11 - 2013 09 Final'!$A$46:$P$1775,$J$93,FALSE)</f>
        <v>0.63690000000000002</v>
      </c>
      <c r="K108" s="313">
        <f>VLOOKUP($A108&amp;"GCP LF",'E11 - 2013 09 Final'!$A$46:$P$1775,$K$93,FALSE)</f>
        <v>0.61680000000000001</v>
      </c>
      <c r="L108" s="313">
        <f>VLOOKUP($A108&amp;"GCP LF",'E11 - 2013 09 Final'!$A$46:$P$1775,$L$93,FALSE)</f>
        <v>0.59909999999999997</v>
      </c>
      <c r="M108" s="313">
        <f>VLOOKUP($A108&amp;"GCP LF",'E11 - 2013 09 Final'!$A$46:$P$1775,$M$93,FALSE)</f>
        <v>0.60329999999999995</v>
      </c>
      <c r="N108" s="313">
        <f>VLOOKUP($A108&amp;"GCP LF",'E11 - 2013 09 Final'!$A$46:$P$1775,$N$93,FALSE)</f>
        <v>0.61660000000000004</v>
      </c>
      <c r="O108" s="117"/>
      <c r="P108" s="314"/>
    </row>
    <row r="109" spans="1:16">
      <c r="A109" t="s">
        <v>35</v>
      </c>
      <c r="B109" s="43" t="s">
        <v>53</v>
      </c>
      <c r="C109" s="313">
        <f>VLOOKUP($A109&amp;"GCP LF",'E11 - 2013 09 Final'!$A$46:$P$1775,$C$93,FALSE)</f>
        <v>0.55220000000000002</v>
      </c>
      <c r="D109" s="313">
        <f>VLOOKUP($A109&amp;"GCP LF",'E11 - 2013 09 Final'!$A$46:$P$1775,$D$93,FALSE)</f>
        <v>0.53010000000000002</v>
      </c>
      <c r="E109" s="313">
        <f>VLOOKUP($A109&amp;"GCP LF",'E11 - 2013 09 Final'!$A$46:$P$1775,$E$93,FALSE)</f>
        <v>0.4995</v>
      </c>
      <c r="F109" s="313">
        <f>VLOOKUP($A109&amp;"GCP LF",'E11 - 2013 09 Final'!$A$46:$P$1775,$F$93,FALSE)</f>
        <v>0.46839999999999998</v>
      </c>
      <c r="G109" s="313">
        <f>VLOOKUP($A109&amp;"GCP LF",'E11 - 2013 09 Final'!$A$46:$P$1775,$G$93,FALSE)</f>
        <v>0.4425</v>
      </c>
      <c r="H109" s="313">
        <f>VLOOKUP($A109&amp;"GCP LF",'E11 - 2013 09 Final'!$A$46:$P$1775,$H$93,FALSE)</f>
        <v>0.42980000000000002</v>
      </c>
      <c r="I109" s="313">
        <f>VLOOKUP($A109&amp;"GCP LF",'E11 - 2013 09 Final'!$A$46:$P$1775,$I$93,FALSE)</f>
        <v>0.43530000000000002</v>
      </c>
      <c r="J109" s="313">
        <f>VLOOKUP($A109&amp;"GCP LF",'E11 - 2013 09 Final'!$A$46:$P$1775,$J$93,FALSE)</f>
        <v>0.45689999999999997</v>
      </c>
      <c r="K109" s="313">
        <f>VLOOKUP($A109&amp;"GCP LF",'E11 - 2013 09 Final'!$A$46:$P$1775,$K$93,FALSE)</f>
        <v>0.48670000000000002</v>
      </c>
      <c r="L109" s="313">
        <f>VLOOKUP($A109&amp;"GCP LF",'E11 - 2013 09 Final'!$A$46:$P$1775,$L$93,FALSE)</f>
        <v>0.51829999999999998</v>
      </c>
      <c r="M109" s="313">
        <f>VLOOKUP($A109&amp;"GCP LF",'E11 - 2013 09 Final'!$A$46:$P$1775,$M$93,FALSE)</f>
        <v>0.54500000000000004</v>
      </c>
      <c r="N109" s="313">
        <f>VLOOKUP($A109&amp;"GCP LF",'E11 - 2013 09 Final'!$A$46:$P$1775,$N$93,FALSE)</f>
        <v>0.55859999999999999</v>
      </c>
      <c r="O109" s="117"/>
      <c r="P109" s="314"/>
    </row>
    <row r="110" spans="1:16">
      <c r="A110" t="s">
        <v>38</v>
      </c>
      <c r="B110" s="43" t="s">
        <v>55</v>
      </c>
      <c r="C110" s="313">
        <f>VLOOKUP($A110&amp;"GCP LF",'E11 - 2013 09 Final'!$A$46:$P$1775,$C$93,FALSE)</f>
        <v>1</v>
      </c>
      <c r="D110" s="313">
        <f>VLOOKUP($A110&amp;"GCP LF",'E11 - 2013 09 Final'!$A$46:$P$1775,$D$93,FALSE)</f>
        <v>1</v>
      </c>
      <c r="E110" s="313">
        <f>VLOOKUP($A110&amp;"GCP LF",'E11 - 2013 09 Final'!$A$46:$P$1775,$E$93,FALSE)</f>
        <v>1</v>
      </c>
      <c r="F110" s="313">
        <f>VLOOKUP($A110&amp;"GCP LF",'E11 - 2013 09 Final'!$A$46:$P$1775,$F$93,FALSE)</f>
        <v>1</v>
      </c>
      <c r="G110" s="313">
        <f>VLOOKUP($A110&amp;"GCP LF",'E11 - 2013 09 Final'!$A$46:$P$1775,$G$93,FALSE)</f>
        <v>1</v>
      </c>
      <c r="H110" s="313">
        <f>VLOOKUP($A110&amp;"GCP LF",'E11 - 2013 09 Final'!$A$46:$P$1775,$H$93,FALSE)</f>
        <v>1</v>
      </c>
      <c r="I110" s="313">
        <f>VLOOKUP($A110&amp;"GCP LF",'E11 - 2013 09 Final'!$A$46:$P$1775,$I$93,FALSE)</f>
        <v>1</v>
      </c>
      <c r="J110" s="313">
        <f>VLOOKUP($A110&amp;"GCP LF",'E11 - 2013 09 Final'!$A$46:$P$1775,$J$93,FALSE)</f>
        <v>1</v>
      </c>
      <c r="K110" s="313">
        <f>VLOOKUP($A110&amp;"GCP LF",'E11 - 2013 09 Final'!$A$46:$P$1775,$K$93,FALSE)</f>
        <v>1</v>
      </c>
      <c r="L110" s="313">
        <f>VLOOKUP($A110&amp;"GCP LF",'E11 - 2013 09 Final'!$A$46:$P$1775,$L$93,FALSE)</f>
        <v>1</v>
      </c>
      <c r="M110" s="313">
        <f>VLOOKUP($A110&amp;"GCP LF",'E11 - 2013 09 Final'!$A$46:$P$1775,$M$93,FALSE)</f>
        <v>0.99860000000000004</v>
      </c>
      <c r="N110" s="313">
        <f>VLOOKUP($A110&amp;"GCP LF",'E11 - 2013 09 Final'!$A$46:$P$1775,$N$93,FALSE)</f>
        <v>1</v>
      </c>
      <c r="O110" s="117"/>
      <c r="P110" s="314"/>
    </row>
    <row r="111" spans="1:16">
      <c r="A111" t="s">
        <v>40</v>
      </c>
      <c r="B111" s="43" t="s">
        <v>87</v>
      </c>
      <c r="C111" s="313">
        <f>VLOOKUP($A111&amp;"GCP LF",'E11 - 2013 09 Final'!$A$46:$P$1775,$C$93,FALSE)</f>
        <v>0.33600000000000002</v>
      </c>
      <c r="D111" s="313">
        <f>VLOOKUP($A111&amp;"GCP LF",'E11 - 2013 09 Final'!$A$46:$P$1775,$D$93,FALSE)</f>
        <v>0.1038</v>
      </c>
      <c r="E111" s="313">
        <f>VLOOKUP($A111&amp;"GCP LF",'E11 - 2013 09 Final'!$A$46:$P$1775,$E$93,FALSE)</f>
        <v>0.28520000000000001</v>
      </c>
      <c r="F111" s="313">
        <f>VLOOKUP($A111&amp;"GCP LF",'E11 - 2013 09 Final'!$A$46:$P$1775,$F$93,FALSE)</f>
        <v>0.32279999999999998</v>
      </c>
      <c r="G111" s="313">
        <f>VLOOKUP($A111&amp;"GCP LF",'E11 - 2013 09 Final'!$A$46:$P$1775,$G$93,FALSE)</f>
        <v>0.3201</v>
      </c>
      <c r="H111" s="313">
        <f>VLOOKUP($A111&amp;"GCP LF",'E11 - 2013 09 Final'!$A$46:$P$1775,$H$93,FALSE)</f>
        <v>0.3745</v>
      </c>
      <c r="I111" s="313">
        <f>VLOOKUP($A111&amp;"GCP LF",'E11 - 2013 09 Final'!$A$46:$P$1775,$I$93,FALSE)</f>
        <v>0.27489999999999998</v>
      </c>
      <c r="J111" s="313">
        <f>VLOOKUP($A111&amp;"GCP LF",'E11 - 2013 09 Final'!$A$46:$P$1775,$J$93,FALSE)</f>
        <v>0.307</v>
      </c>
      <c r="K111" s="313">
        <f>VLOOKUP($A111&amp;"GCP LF",'E11 - 2013 09 Final'!$A$46:$P$1775,$K$93,FALSE)</f>
        <v>0.4385</v>
      </c>
      <c r="L111" s="313">
        <f>VLOOKUP($A111&amp;"GCP LF",'E11 - 2013 09 Final'!$A$46:$P$1775,$L$93,FALSE)</f>
        <v>0.40670000000000001</v>
      </c>
      <c r="M111" s="313">
        <f>VLOOKUP($A111&amp;"GCP LF",'E11 - 2013 09 Final'!$A$46:$P$1775,$M$93,FALSE)</f>
        <v>0.25619999999999998</v>
      </c>
      <c r="N111" s="313">
        <f>VLOOKUP($A111&amp;"GCP LF",'E11 - 2013 09 Final'!$A$46:$P$1775,$N$93,FALSE)</f>
        <v>0.4299</v>
      </c>
      <c r="O111" s="117"/>
      <c r="P111" s="314"/>
    </row>
    <row r="112" spans="1:16">
      <c r="A112" t="s">
        <v>45</v>
      </c>
      <c r="B112" s="43" t="s">
        <v>88</v>
      </c>
      <c r="C112" s="313">
        <f>VLOOKUP($A112&amp;"GCP LF",'E11 - 2013 09 Final'!$A$46:$P$1775,$C$93,FALSE)</f>
        <v>0.2656</v>
      </c>
      <c r="D112" s="313">
        <f>VLOOKUP($A112&amp;"GCP LF",'E11 - 2013 09 Final'!$A$46:$P$1775,$D$93,FALSE)</f>
        <v>0.28520000000000001</v>
      </c>
      <c r="E112" s="313">
        <f>VLOOKUP($A112&amp;"GCP LF",'E11 - 2013 09 Final'!$A$46:$P$1775,$E$93,FALSE)</f>
        <v>0.22670000000000001</v>
      </c>
      <c r="F112" s="313">
        <f>VLOOKUP($A112&amp;"GCP LF",'E11 - 2013 09 Final'!$A$46:$P$1775,$F$93,FALSE)</f>
        <v>0.2969</v>
      </c>
      <c r="G112" s="313">
        <f>VLOOKUP($A112&amp;"GCP LF",'E11 - 2013 09 Final'!$A$46:$P$1775,$G$93,FALSE)</f>
        <v>0.29870000000000002</v>
      </c>
      <c r="H112" s="313">
        <f>VLOOKUP($A112&amp;"GCP LF",'E11 - 2013 09 Final'!$A$46:$P$1775,$H$93,FALSE)</f>
        <v>0.41360000000000002</v>
      </c>
      <c r="I112" s="313">
        <f>VLOOKUP($A112&amp;"GCP LF",'E11 - 2013 09 Final'!$A$46:$P$1775,$I$93,FALSE)</f>
        <v>0.4854</v>
      </c>
      <c r="J112" s="313">
        <f>VLOOKUP($A112&amp;"GCP LF",'E11 - 2013 09 Final'!$A$46:$P$1775,$J$93,FALSE)</f>
        <v>0.3301</v>
      </c>
      <c r="K112" s="313">
        <f>VLOOKUP($A112&amp;"GCP LF",'E11 - 2013 09 Final'!$A$46:$P$1775,$K$93,FALSE)</f>
        <v>0.2074</v>
      </c>
      <c r="L112" s="313">
        <f>VLOOKUP($A112&amp;"GCP LF",'E11 - 2013 09 Final'!$A$46:$P$1775,$L$93,FALSE)</f>
        <v>0.41270000000000001</v>
      </c>
      <c r="M112" s="313">
        <f>VLOOKUP($A112&amp;"GCP LF",'E11 - 2013 09 Final'!$A$46:$P$1775,$M$93,FALSE)</f>
        <v>0.23449999999999999</v>
      </c>
      <c r="N112" s="313">
        <f>VLOOKUP($A112&amp;"GCP LF",'E11 - 2013 09 Final'!$A$46:$P$1775,$N$93,FALSE)</f>
        <v>0.31590000000000001</v>
      </c>
      <c r="O112" s="117"/>
      <c r="P112" s="314"/>
    </row>
    <row r="113" spans="1:16">
      <c r="C113" s="48"/>
      <c r="D113" s="48"/>
      <c r="E113" s="48"/>
      <c r="F113" s="48"/>
      <c r="G113" s="48"/>
      <c r="H113" s="48"/>
      <c r="I113" s="48"/>
      <c r="J113" s="48"/>
      <c r="K113" s="48"/>
      <c r="L113" s="48"/>
      <c r="M113" s="48"/>
      <c r="N113" s="48"/>
      <c r="O113" s="315"/>
      <c r="P113" s="316"/>
    </row>
    <row r="114" spans="1:16" hidden="1">
      <c r="C114" s="48"/>
      <c r="D114" s="48"/>
      <c r="E114" s="48"/>
      <c r="F114" s="48"/>
      <c r="G114" s="48"/>
      <c r="H114" s="48"/>
      <c r="I114" s="48"/>
      <c r="J114" s="48"/>
      <c r="K114" s="48"/>
      <c r="L114" s="48"/>
      <c r="M114" s="48"/>
      <c r="N114" s="48"/>
      <c r="O114" s="315"/>
      <c r="P114" s="316"/>
    </row>
    <row r="115" spans="1:16" hidden="1">
      <c r="B115" s="42" t="s">
        <v>86</v>
      </c>
      <c r="C115" s="10"/>
      <c r="D115" s="10"/>
      <c r="E115" s="10"/>
      <c r="F115" s="10"/>
      <c r="G115" s="10"/>
      <c r="H115" s="10"/>
      <c r="I115" s="10"/>
      <c r="J115" s="10"/>
      <c r="K115" s="10"/>
      <c r="L115" s="10"/>
      <c r="M115" s="10"/>
      <c r="N115" s="10"/>
      <c r="O115" s="110"/>
      <c r="P115" s="110"/>
    </row>
    <row r="116" spans="1:16" hidden="1">
      <c r="A116" t="s">
        <v>603</v>
      </c>
      <c r="B116" t="s">
        <v>603</v>
      </c>
      <c r="C116" s="313">
        <f>VLOOKUP($A116&amp;"GCP LF",'E11 - 2013 09 Final'!$A$46:$P$1775,$C$93,FALSE)</f>
        <v>0.60629999999999995</v>
      </c>
      <c r="D116" s="313">
        <f>VLOOKUP($A116&amp;"GCP LF",'E11 - 2013 09 Final'!$A$46:$P$1775,$D$93,FALSE)</f>
        <v>0.59789999999999999</v>
      </c>
      <c r="E116" s="313">
        <f>VLOOKUP($A116&amp;"GCP LF",'E11 - 2013 09 Final'!$A$46:$P$1775,$E$93,FALSE)</f>
        <v>0.5887</v>
      </c>
      <c r="F116" s="313">
        <f>VLOOKUP($A116&amp;"GCP LF",'E11 - 2013 09 Final'!$A$46:$P$1775,$F$93,FALSE)</f>
        <v>0.6089</v>
      </c>
      <c r="G116" s="313">
        <f>VLOOKUP($A116&amp;"GCP LF",'E11 - 2013 09 Final'!$A$46:$P$1775,$G$93,FALSE)</f>
        <v>0.5615</v>
      </c>
      <c r="H116" s="313">
        <f>VLOOKUP($A116&amp;"GCP LF",'E11 - 2013 09 Final'!$A$46:$P$1775,$H$93,FALSE)</f>
        <v>0.65139999999999998</v>
      </c>
      <c r="I116" s="313">
        <f>VLOOKUP($A116&amp;"GCP LF",'E11 - 2013 09 Final'!$A$46:$P$1775,$I$93,FALSE)</f>
        <v>0.61329999999999996</v>
      </c>
      <c r="J116" s="313">
        <f>VLOOKUP($A116&amp;"GCP LF",'E11 - 2013 09 Final'!$A$46:$P$1775,$J$93,FALSE)</f>
        <v>0.62849999999999995</v>
      </c>
      <c r="K116" s="313">
        <f>VLOOKUP($A116&amp;"GCP LF",'E11 - 2013 09 Final'!$A$46:$P$1775,$K$93,FALSE)</f>
        <v>0.61599999999999999</v>
      </c>
      <c r="L116" s="313">
        <f>VLOOKUP($A116&amp;"GCP LF",'E11 - 2013 09 Final'!$A$46:$P$1775,$L$93,FALSE)</f>
        <v>0.55179999999999996</v>
      </c>
      <c r="M116" s="313">
        <f>VLOOKUP($A116&amp;"GCP LF",'E11 - 2013 09 Final'!$A$46:$P$1775,$M$93,FALSE)</f>
        <v>0.6472</v>
      </c>
      <c r="N116" s="313">
        <f>VLOOKUP($A116&amp;"GCP LF",'E11 - 2013 09 Final'!$A$46:$P$1775,$N$93,FALSE)</f>
        <v>0.61660000000000004</v>
      </c>
      <c r="O116" s="117"/>
      <c r="P116" s="314"/>
    </row>
    <row r="117" spans="1:16" hidden="1">
      <c r="A117" t="s">
        <v>245</v>
      </c>
      <c r="B117" t="s">
        <v>983</v>
      </c>
      <c r="C117" s="313">
        <f>VLOOKUP($A117&amp;"GCP LF",'E11 - 2013 09 Final'!$A$46:$P$1775,$C$93,FALSE)</f>
        <v>0.71289999999999998</v>
      </c>
      <c r="D117" s="313">
        <f>VLOOKUP($A117&amp;"GCP LF",'E11 - 2013 09 Final'!$A$46:$P$1775,$D$93,FALSE)</f>
        <v>0.66279999999999994</v>
      </c>
      <c r="E117" s="313">
        <f>VLOOKUP($A117&amp;"GCP LF",'E11 - 2013 09 Final'!$A$46:$P$1775,$E$93,FALSE)</f>
        <v>0.56669999999999998</v>
      </c>
      <c r="F117" s="313">
        <f>VLOOKUP($A117&amp;"GCP LF",'E11 - 2013 09 Final'!$A$46:$P$1775,$F$93,FALSE)</f>
        <v>0.67820000000000003</v>
      </c>
      <c r="G117" s="313">
        <f>VLOOKUP($A117&amp;"GCP LF",'E11 - 2013 09 Final'!$A$46:$P$1775,$G$93,FALSE)</f>
        <v>0.62029999999999996</v>
      </c>
      <c r="H117" s="313">
        <f>VLOOKUP($A117&amp;"GCP LF",'E11 - 2013 09 Final'!$A$46:$P$1775,$H$93,FALSE)</f>
        <v>0.70389999999999997</v>
      </c>
      <c r="I117" s="313">
        <f>VLOOKUP($A117&amp;"GCP LF",'E11 - 2013 09 Final'!$A$46:$P$1775,$I$93,FALSE)</f>
        <v>0.68620000000000003</v>
      </c>
      <c r="J117" s="313">
        <f>VLOOKUP($A117&amp;"GCP LF",'E11 - 2013 09 Final'!$A$46:$P$1775,$J$93,FALSE)</f>
        <v>0.7298</v>
      </c>
      <c r="K117" s="313">
        <f>VLOOKUP($A117&amp;"GCP LF",'E11 - 2013 09 Final'!$A$46:$P$1775,$K$93,FALSE)</f>
        <v>0.67459999999999998</v>
      </c>
      <c r="L117" s="313">
        <f>VLOOKUP($A117&amp;"GCP LF",'E11 - 2013 09 Final'!$A$46:$P$1775,$L$93,FALSE)</f>
        <v>0.68469999999999998</v>
      </c>
      <c r="M117" s="313">
        <f>VLOOKUP($A117&amp;"GCP LF",'E11 - 2013 09 Final'!$A$46:$P$1775,$M$93,FALSE)</f>
        <v>0.67469999999999997</v>
      </c>
      <c r="N117" s="313">
        <f>VLOOKUP($A117&amp;"GCP LF",'E11 - 2013 09 Final'!$A$46:$P$1775,$N$93,FALSE)</f>
        <v>0.67430000000000001</v>
      </c>
      <c r="O117" s="117"/>
      <c r="P117" s="314"/>
    </row>
    <row r="118" spans="1:16" hidden="1">
      <c r="A118" t="s">
        <v>242</v>
      </c>
      <c r="B118" t="s">
        <v>491</v>
      </c>
      <c r="C118" s="313">
        <f>VLOOKUP($A118&amp;"GCP LF",'E11 - 2013 09 Final'!$A$46:$P$1775,$C$93,FALSE)</f>
        <v>0.48120000000000002</v>
      </c>
      <c r="D118" s="313">
        <f>VLOOKUP($A118&amp;"GCP LF",'E11 - 2013 09 Final'!$A$46:$P$1775,$D$93,FALSE)</f>
        <v>0.51639999999999997</v>
      </c>
      <c r="E118" s="313">
        <f>VLOOKUP($A118&amp;"GCP LF",'E11 - 2013 09 Final'!$A$46:$P$1775,$E$93,FALSE)</f>
        <v>0.51139999999999997</v>
      </c>
      <c r="F118" s="313">
        <f>VLOOKUP($A118&amp;"GCP LF",'E11 - 2013 09 Final'!$A$46:$P$1775,$F$93,FALSE)</f>
        <v>0.53190000000000004</v>
      </c>
      <c r="G118" s="313">
        <f>VLOOKUP($A118&amp;"GCP LF",'E11 - 2013 09 Final'!$A$46:$P$1775,$G$93,FALSE)</f>
        <v>0.6008</v>
      </c>
      <c r="H118" s="313" t="str">
        <f>VLOOKUP($A118&amp;"GCP LF",'E11 - 2013 09 Final'!$A$46:$P$1775,$H$93,FALSE)</f>
        <v xml:space="preserve"> </v>
      </c>
      <c r="I118" s="313" t="str">
        <f>VLOOKUP($A118&amp;"GCP LF",'E11 - 2013 09 Final'!$A$46:$P$1775,$I$93,FALSE)</f>
        <v xml:space="preserve"> </v>
      </c>
      <c r="J118" s="313" t="str">
        <f>VLOOKUP($A118&amp;"GCP LF",'E11 - 2013 09 Final'!$A$46:$P$1775,$J$93,FALSE)</f>
        <v xml:space="preserve"> </v>
      </c>
      <c r="K118" s="313" t="str">
        <f>VLOOKUP($A118&amp;"GCP LF",'E11 - 2013 09 Final'!$A$46:$P$1775,$K$93,FALSE)</f>
        <v xml:space="preserve"> </v>
      </c>
      <c r="L118" s="313" t="str">
        <f>VLOOKUP($A118&amp;"GCP LF",'E11 - 2013 09 Final'!$A$46:$P$1775,$L$93,FALSE)</f>
        <v xml:space="preserve"> </v>
      </c>
      <c r="M118" s="313" t="str">
        <f>VLOOKUP($A118&amp;"GCP LF",'E11 - 2013 09 Final'!$A$46:$P$1775,$M$93,FALSE)</f>
        <v xml:space="preserve"> </v>
      </c>
      <c r="N118" s="313" t="str">
        <f>VLOOKUP($A118&amp;"GCP LF",'E11 - 2013 09 Final'!$A$46:$P$1775,$N$93,FALSE)</f>
        <v xml:space="preserve"> </v>
      </c>
      <c r="O118" s="117"/>
      <c r="P118" s="314"/>
    </row>
    <row r="119" spans="1:16" hidden="1">
      <c r="A119" t="s">
        <v>661</v>
      </c>
      <c r="B119" t="s">
        <v>984</v>
      </c>
      <c r="C119" s="313">
        <f>VLOOKUP($A119&amp;"GCP LF",'E11 - 2013 09 Final'!$A$46:$P$1775,$C$93,FALSE)</f>
        <v>0.69810000000000005</v>
      </c>
      <c r="D119" s="313">
        <f>VLOOKUP($A119&amp;"GCP LF",'E11 - 2013 09 Final'!$A$46:$P$1775,$D$93,FALSE)</f>
        <v>0.64949999999999997</v>
      </c>
      <c r="E119" s="313">
        <f>VLOOKUP($A119&amp;"GCP LF",'E11 - 2013 09 Final'!$A$46:$P$1775,$E$93,FALSE)</f>
        <v>0.6361</v>
      </c>
      <c r="F119" s="313">
        <f>VLOOKUP($A119&amp;"GCP LF",'E11 - 2013 09 Final'!$A$46:$P$1775,$F$93,FALSE)</f>
        <v>0.62980000000000003</v>
      </c>
      <c r="G119" s="313">
        <f>VLOOKUP($A119&amp;"GCP LF",'E11 - 2013 09 Final'!$A$46:$P$1775,$G$93,FALSE)</f>
        <v>0.61709999999999998</v>
      </c>
      <c r="H119" s="313">
        <f>VLOOKUP($A119&amp;"GCP LF",'E11 - 2013 09 Final'!$A$46:$P$1775,$H$93,FALSE)</f>
        <v>0.64339999999999997</v>
      </c>
      <c r="I119" s="313">
        <f>VLOOKUP($A119&amp;"GCP LF",'E11 - 2013 09 Final'!$A$46:$P$1775,$I$93,FALSE)</f>
        <v>0.6472</v>
      </c>
      <c r="J119" s="313">
        <f>VLOOKUP($A119&amp;"GCP LF",'E11 - 2013 09 Final'!$A$46:$P$1775,$J$93,FALSE)</f>
        <v>0.66</v>
      </c>
      <c r="K119" s="313">
        <f>VLOOKUP($A119&amp;"GCP LF",'E11 - 2013 09 Final'!$A$46:$P$1775,$K$93,FALSE)</f>
        <v>0.6411</v>
      </c>
      <c r="L119" s="313">
        <f>VLOOKUP($A119&amp;"GCP LF",'E11 - 2013 09 Final'!$A$46:$P$1775,$L$93,FALSE)</f>
        <v>0.64659999999999995</v>
      </c>
      <c r="M119" s="313">
        <f>VLOOKUP($A119&amp;"GCP LF",'E11 - 2013 09 Final'!$A$46:$P$1775,$M$93,FALSE)</f>
        <v>0.64890000000000003</v>
      </c>
      <c r="N119" s="313">
        <f>VLOOKUP($A119&amp;"GCP LF",'E11 - 2013 09 Final'!$A$46:$P$1775,$N$93,FALSE)</f>
        <v>0.67249999999999999</v>
      </c>
      <c r="O119" s="117"/>
      <c r="P119" s="314"/>
    </row>
    <row r="120" spans="1:16" hidden="1">
      <c r="A120" t="s">
        <v>7</v>
      </c>
      <c r="B120" t="s">
        <v>987</v>
      </c>
      <c r="C120" s="313">
        <f>VLOOKUP($A120&amp;"GCP LF",'E11 - 2013 09 Final'!$A$46:$P$1775,$C$93,FALSE)</f>
        <v>0.67549999999999999</v>
      </c>
      <c r="D120" s="313">
        <f>VLOOKUP($A120&amp;"GCP LF",'E11 - 2013 09 Final'!$A$46:$P$1775,$D$93,FALSE)</f>
        <v>0.64790000000000003</v>
      </c>
      <c r="E120" s="313">
        <f>VLOOKUP($A120&amp;"GCP LF",'E11 - 2013 09 Final'!$A$46:$P$1775,$E$93,FALSE)</f>
        <v>0.54790000000000005</v>
      </c>
      <c r="F120" s="313">
        <f>VLOOKUP($A120&amp;"GCP LF",'E11 - 2013 09 Final'!$A$46:$P$1775,$F$93,FALSE)</f>
        <v>0.80030000000000001</v>
      </c>
      <c r="G120" s="313">
        <f>VLOOKUP($A120&amp;"GCP LF",'E11 - 2013 09 Final'!$A$46:$P$1775,$G$93,FALSE)</f>
        <v>0.73540000000000005</v>
      </c>
      <c r="H120" s="313">
        <f>VLOOKUP($A120&amp;"GCP LF",'E11 - 2013 09 Final'!$A$46:$P$1775,$H$93,FALSE)</f>
        <v>0.75849999999999995</v>
      </c>
      <c r="I120" s="313">
        <f>VLOOKUP($A120&amp;"GCP LF",'E11 - 2013 09 Final'!$A$46:$P$1775,$I$93,FALSE)</f>
        <v>0.68859999999999999</v>
      </c>
      <c r="J120" s="313">
        <f>VLOOKUP($A120&amp;"GCP LF",'E11 - 2013 09 Final'!$A$46:$P$1775,$J$93,FALSE)</f>
        <v>0.74180000000000001</v>
      </c>
      <c r="K120" s="313">
        <f>VLOOKUP($A120&amp;"GCP LF",'E11 - 2013 09 Final'!$A$46:$P$1775,$K$93,FALSE)</f>
        <v>0.77590000000000003</v>
      </c>
      <c r="L120" s="313">
        <f>VLOOKUP($A120&amp;"GCP LF",'E11 - 2013 09 Final'!$A$46:$P$1775,$L$93,FALSE)</f>
        <v>0.67720000000000002</v>
      </c>
      <c r="M120" s="313">
        <f>VLOOKUP($A120&amp;"GCP LF",'E11 - 2013 09 Final'!$A$46:$P$1775,$M$93,FALSE)</f>
        <v>0.60740000000000005</v>
      </c>
      <c r="N120" s="313" t="str">
        <f>VLOOKUP($A120&amp;"GCP LF",'E11 - 2013 09 Final'!$A$46:$P$1775,$N$93,FALSE)</f>
        <v xml:space="preserve"> </v>
      </c>
      <c r="O120" s="117"/>
      <c r="P120" s="314"/>
    </row>
    <row r="121" spans="1:16" hidden="1">
      <c r="A121" t="s">
        <v>724</v>
      </c>
      <c r="B121" t="s">
        <v>724</v>
      </c>
      <c r="C121" s="313">
        <f>VLOOKUP($A121&amp;"GCP LF",'E11 - 2013 09 Final'!$A$46:$P$1775,$C$93,FALSE)</f>
        <v>0.66449999999999998</v>
      </c>
      <c r="D121" s="313">
        <f>VLOOKUP($A121&amp;"GCP LF",'E11 - 2013 09 Final'!$A$46:$P$1775,$D$93,FALSE)</f>
        <v>0.57809999999999995</v>
      </c>
      <c r="E121" s="313">
        <f>VLOOKUP($A121&amp;"GCP LF",'E11 - 2013 09 Final'!$A$46:$P$1775,$E$93,FALSE)</f>
        <v>0.53439999999999999</v>
      </c>
      <c r="F121" s="313">
        <f>VLOOKUP($A121&amp;"GCP LF",'E11 - 2013 09 Final'!$A$46:$P$1775,$F$93,FALSE)</f>
        <v>0.60170000000000001</v>
      </c>
      <c r="G121" s="313">
        <f>VLOOKUP($A121&amp;"GCP LF",'E11 - 2013 09 Final'!$A$46:$P$1775,$G$93,FALSE)</f>
        <v>0.58879999999999999</v>
      </c>
      <c r="H121" s="313">
        <f>VLOOKUP($A121&amp;"GCP LF",'E11 - 2013 09 Final'!$A$46:$P$1775,$H$93,FALSE)</f>
        <v>0.60289999999999999</v>
      </c>
      <c r="I121" s="313">
        <f>VLOOKUP($A121&amp;"GCP LF",'E11 - 2013 09 Final'!$A$46:$P$1775,$I$93,FALSE)</f>
        <v>0.61029999999999995</v>
      </c>
      <c r="J121" s="313">
        <f>VLOOKUP($A121&amp;"GCP LF",'E11 - 2013 09 Final'!$A$46:$P$1775,$J$93,FALSE)</f>
        <v>0.63619999999999999</v>
      </c>
      <c r="K121" s="313">
        <f>VLOOKUP($A121&amp;"GCP LF",'E11 - 2013 09 Final'!$A$46:$P$1775,$K$93,FALSE)</f>
        <v>0.61160000000000003</v>
      </c>
      <c r="L121" s="313">
        <f>VLOOKUP($A121&amp;"GCP LF",'E11 - 2013 09 Final'!$A$46:$P$1775,$L$93,FALSE)</f>
        <v>0.62090000000000001</v>
      </c>
      <c r="M121" s="313">
        <f>VLOOKUP($A121&amp;"GCP LF",'E11 - 2013 09 Final'!$A$46:$P$1775,$M$93,FALSE)</f>
        <v>0.6048</v>
      </c>
      <c r="N121" s="313">
        <f>VLOOKUP($A121&amp;"GCP LF",'E11 - 2013 09 Final'!$A$46:$P$1775,$N$93,FALSE)</f>
        <v>0.65169999999999995</v>
      </c>
      <c r="O121" s="117"/>
      <c r="P121" s="314"/>
    </row>
    <row r="122" spans="1:16" hidden="1">
      <c r="O122" s="110"/>
      <c r="P122" s="110"/>
    </row>
    <row r="123" spans="1:16" hidden="1"/>
    <row r="124" spans="1:16" hidden="1"/>
    <row r="125" spans="1:16" hidden="1"/>
    <row r="126" spans="1:16" hidden="1"/>
    <row r="127" spans="1:16" hidden="1"/>
    <row r="128" spans="1:16" hidden="1"/>
    <row r="129" spans="1:16" hidden="1"/>
    <row r="130" spans="1:16" ht="21">
      <c r="B130" s="611" t="s">
        <v>988</v>
      </c>
      <c r="C130" s="611"/>
      <c r="D130" s="611"/>
      <c r="E130" s="611"/>
      <c r="F130" s="611"/>
      <c r="G130" s="611"/>
      <c r="H130" s="611"/>
      <c r="I130" s="611"/>
      <c r="J130" s="611"/>
      <c r="K130" s="611"/>
      <c r="L130" s="611"/>
      <c r="M130" s="611"/>
      <c r="N130" s="611"/>
      <c r="O130" s="611"/>
      <c r="P130" s="611"/>
    </row>
    <row r="131" spans="1:16" ht="17.399999999999999">
      <c r="B131" s="610" t="str">
        <f>+MANUAL!$B$7 &amp;" as Calculated by LodeStar Except as Noted"</f>
        <v>2014 as Calculated by LodeStar Except as Noted</v>
      </c>
      <c r="C131" s="610"/>
      <c r="D131" s="610"/>
      <c r="E131" s="610"/>
      <c r="F131" s="610"/>
      <c r="G131" s="610"/>
      <c r="H131" s="610"/>
      <c r="I131" s="610"/>
      <c r="J131" s="610"/>
      <c r="K131" s="610"/>
      <c r="L131" s="610"/>
      <c r="M131" s="610"/>
      <c r="N131" s="610"/>
      <c r="O131" s="610"/>
      <c r="P131" s="610"/>
    </row>
    <row r="132" spans="1:16" ht="13.8" thickBot="1">
      <c r="B132" s="300"/>
      <c r="C132" s="300"/>
      <c r="D132" s="300"/>
      <c r="E132" s="300"/>
      <c r="F132" s="300"/>
      <c r="G132" s="300"/>
      <c r="H132" s="300"/>
      <c r="I132" s="300"/>
      <c r="J132" s="300"/>
      <c r="K132" s="300"/>
      <c r="L132" s="300"/>
      <c r="M132" s="300"/>
      <c r="N132" s="300"/>
      <c r="O132" s="300"/>
      <c r="P132" s="300"/>
    </row>
    <row r="133" spans="1:16">
      <c r="C133" s="14"/>
      <c r="D133" s="15"/>
      <c r="E133" s="16"/>
      <c r="F133" s="17"/>
      <c r="G133" s="18"/>
      <c r="H133" s="19"/>
      <c r="I133" s="20"/>
      <c r="J133" s="21"/>
      <c r="K133" s="22"/>
      <c r="L133" s="23"/>
      <c r="M133" s="24"/>
      <c r="N133" s="317"/>
      <c r="O133" s="110"/>
      <c r="P133" s="305"/>
    </row>
    <row r="134" spans="1:16" ht="13.8" thickBot="1">
      <c r="C134" s="28" t="s">
        <v>79</v>
      </c>
      <c r="D134" s="29" t="s">
        <v>80</v>
      </c>
      <c r="E134" s="30" t="s">
        <v>81</v>
      </c>
      <c r="F134" s="31" t="s">
        <v>70</v>
      </c>
      <c r="G134" s="32" t="s">
        <v>71</v>
      </c>
      <c r="H134" s="33" t="s">
        <v>72</v>
      </c>
      <c r="I134" s="34" t="s">
        <v>73</v>
      </c>
      <c r="J134" s="35" t="s">
        <v>74</v>
      </c>
      <c r="K134" s="36" t="s">
        <v>75</v>
      </c>
      <c r="L134" s="37" t="s">
        <v>76</v>
      </c>
      <c r="M134" s="38" t="s">
        <v>77</v>
      </c>
      <c r="N134" s="318" t="s">
        <v>78</v>
      </c>
      <c r="O134" s="305"/>
      <c r="P134" s="305"/>
    </row>
    <row r="135" spans="1:16" hidden="1">
      <c r="C135">
        <v>4</v>
      </c>
      <c r="D135">
        <f>C135+1</f>
        <v>5</v>
      </c>
      <c r="E135">
        <f t="shared" ref="E135:N135" si="11">D135+1</f>
        <v>6</v>
      </c>
      <c r="F135">
        <f t="shared" si="11"/>
        <v>7</v>
      </c>
      <c r="G135">
        <f t="shared" si="11"/>
        <v>8</v>
      </c>
      <c r="H135">
        <f t="shared" si="11"/>
        <v>9</v>
      </c>
      <c r="I135">
        <f t="shared" si="11"/>
        <v>10</v>
      </c>
      <c r="J135">
        <f t="shared" si="11"/>
        <v>11</v>
      </c>
      <c r="K135">
        <f t="shared" si="11"/>
        <v>12</v>
      </c>
      <c r="L135">
        <f t="shared" si="11"/>
        <v>13</v>
      </c>
      <c r="M135">
        <f t="shared" si="11"/>
        <v>14</v>
      </c>
      <c r="N135">
        <f t="shared" si="11"/>
        <v>15</v>
      </c>
      <c r="O135" s="305"/>
      <c r="P135" s="305"/>
    </row>
    <row r="136" spans="1:16">
      <c r="O136" s="110"/>
      <c r="P136" s="110"/>
    </row>
    <row r="137" spans="1:16">
      <c r="B137" s="42" t="s">
        <v>83</v>
      </c>
      <c r="O137" s="110"/>
      <c r="P137" s="110"/>
    </row>
    <row r="138" spans="1:16">
      <c r="A138" t="s">
        <v>122</v>
      </c>
      <c r="B138" s="43" t="s">
        <v>84</v>
      </c>
      <c r="C138" s="313">
        <f>VLOOKUP($A138&amp;"GCP LF",'E11 - 2014 09 Final'!$A$46:$Q$1704,$C$135,FALSE)</f>
        <v>0.84370000000000001</v>
      </c>
      <c r="D138" s="313">
        <f>VLOOKUP($A138&amp;"GCP LF",'E11 - 2014 09 Final'!$A$46:$Q$1704,$D$135,FALSE)</f>
        <v>0.85750000000000004</v>
      </c>
      <c r="E138" s="313">
        <f>VLOOKUP($A138&amp;"GCP LF",'E11 - 2014 09 Final'!$A$46:$Q$1704,$E$135,FALSE)</f>
        <v>0.84499999999999997</v>
      </c>
      <c r="F138" s="313">
        <f>VLOOKUP($A138&amp;"GCP LF",'E11 - 2014 09 Final'!$A$46:$Q$1704,$F$135,FALSE)</f>
        <v>0.83889999999999998</v>
      </c>
      <c r="G138" s="313">
        <f>VLOOKUP($A138&amp;"GCP LF",'E11 - 2014 09 Final'!$A$46:$Q$1704,$G$135,FALSE)</f>
        <v>0.85160000000000002</v>
      </c>
      <c r="H138" s="313">
        <f>VLOOKUP($A138&amp;"GCP LF",'E11 - 2014 09 Final'!$A$46:$Q$1704,$H$135,FALSE)</f>
        <v>0.86919999999999997</v>
      </c>
      <c r="I138" s="313">
        <f>VLOOKUP($A138&amp;"GCP LF",'E11 - 2014 09 Final'!$A$46:$Q$1704,$I$135,FALSE)</f>
        <v>0.87190000000000001</v>
      </c>
      <c r="J138" s="313">
        <f>VLOOKUP($A138&amp;"GCP LF",'E11 - 2014 09 Final'!$A$46:$Q$1704,$J$135,FALSE)</f>
        <v>0.86939999999999995</v>
      </c>
      <c r="K138" s="313">
        <f>VLOOKUP($A138&amp;"GCP LF",'E11 - 2014 09 Final'!$A$46:$Q$1704,$K$135,FALSE)</f>
        <v>0.87319999999999998</v>
      </c>
      <c r="L138" s="313">
        <f>VLOOKUP($A138&amp;"GCP LF",'E11 - 2014 09 Final'!$A$46:$Q$1704,$L$135,FALSE)</f>
        <v>0.84940000000000004</v>
      </c>
      <c r="M138" s="313">
        <f>VLOOKUP($A138&amp;"GCP LF",'E11 - 2014 09 Final'!$A$46:$Q$1704,$M$135,FALSE)</f>
        <v>0.80359999999999998</v>
      </c>
      <c r="N138" s="313">
        <f>VLOOKUP($A138&amp;"GCP LF",'E11 - 2014 09 Final'!$A$46:$Q$1704,$N$135,FALSE)</f>
        <v>0.84389999999999998</v>
      </c>
      <c r="O138" s="117"/>
      <c r="P138" s="314"/>
    </row>
    <row r="139" spans="1:16">
      <c r="A139" t="s">
        <v>177</v>
      </c>
      <c r="B139" s="43" t="s">
        <v>85</v>
      </c>
      <c r="C139" s="313">
        <f>VLOOKUP($A139&amp;"GCP LF",'E11 - 2014 09 Final'!$A$46:$Q$1704,$C$135,FALSE)</f>
        <v>0.86709999999999998</v>
      </c>
      <c r="D139" s="313">
        <f>VLOOKUP($A139&amp;"GCP LF",'E11 - 2014 09 Final'!$A$46:$Q$1704,$D$135,FALSE)</f>
        <v>0.85489999999999999</v>
      </c>
      <c r="E139" s="313">
        <f>VLOOKUP($A139&amp;"GCP LF",'E11 - 2014 09 Final'!$A$46:$Q$1704,$E$135,FALSE)</f>
        <v>0.84719999999999995</v>
      </c>
      <c r="F139" s="313">
        <f>VLOOKUP($A139&amp;"GCP LF",'E11 - 2014 09 Final'!$A$46:$Q$1704,$F$135,FALSE)</f>
        <v>0.84689999999999999</v>
      </c>
      <c r="G139" s="313">
        <f>VLOOKUP($A139&amp;"GCP LF",'E11 - 2014 09 Final'!$A$46:$Q$1704,$G$135,FALSE)</f>
        <v>0.83030000000000004</v>
      </c>
      <c r="H139" s="313">
        <f>VLOOKUP($A139&amp;"GCP LF",'E11 - 2014 09 Final'!$A$46:$Q$1704,$H$135,FALSE)</f>
        <v>0.83340000000000003</v>
      </c>
      <c r="I139" s="313">
        <f>VLOOKUP($A139&amp;"GCP LF",'E11 - 2014 09 Final'!$A$46:$Q$1704,$I$135,FALSE)</f>
        <v>0.82110000000000005</v>
      </c>
      <c r="J139" s="313">
        <f>VLOOKUP($A139&amp;"GCP LF",'E11 - 2014 09 Final'!$A$46:$Q$1704,$J$135,FALSE)</f>
        <v>0.84279999999999999</v>
      </c>
      <c r="K139" s="313">
        <f>VLOOKUP($A139&amp;"GCP LF",'E11 - 2014 09 Final'!$A$46:$Q$1704,$K$135,FALSE)</f>
        <v>0.82499999999999996</v>
      </c>
      <c r="L139" s="313">
        <f>VLOOKUP($A139&amp;"GCP LF",'E11 - 2014 09 Final'!$A$46:$Q$1704,$L$135,FALSE)</f>
        <v>0.80730000000000002</v>
      </c>
      <c r="M139" s="313">
        <f>VLOOKUP($A139&amp;"GCP LF",'E11 - 2014 09 Final'!$A$46:$Q$1704,$M$135,FALSE)</f>
        <v>0.78900000000000003</v>
      </c>
      <c r="N139" s="313">
        <f>VLOOKUP($A139&amp;"GCP LF",'E11 - 2014 09 Final'!$A$46:$Q$1704,$N$135,FALSE)</f>
        <v>0.81189999999999996</v>
      </c>
      <c r="O139" s="117"/>
      <c r="P139" s="314"/>
    </row>
    <row r="140" spans="1:16">
      <c r="A140" t="s">
        <v>185</v>
      </c>
      <c r="B140" s="43" t="s">
        <v>50</v>
      </c>
      <c r="C140" s="313">
        <f>VLOOKUP($A140&amp;"GCP LF",'E11 - 2014 09 Final'!$A$46:$Q$1704,$C$135,FALSE)</f>
        <v>0.86560000000000004</v>
      </c>
      <c r="D140" s="313">
        <f>VLOOKUP($A140&amp;"GCP LF",'E11 - 2014 09 Final'!$A$46:$Q$1704,$D$135,FALSE)</f>
        <v>0.82399999999999995</v>
      </c>
      <c r="E140" s="313">
        <f>VLOOKUP($A140&amp;"GCP LF",'E11 - 2014 09 Final'!$A$46:$Q$1704,$E$135,FALSE)</f>
        <v>0.83340000000000003</v>
      </c>
      <c r="F140" s="313">
        <f>VLOOKUP($A140&amp;"GCP LF",'E11 - 2014 09 Final'!$A$46:$Q$1704,$F$135,FALSE)</f>
        <v>0.84130000000000005</v>
      </c>
      <c r="G140" s="313">
        <f>VLOOKUP($A140&amp;"GCP LF",'E11 - 2014 09 Final'!$A$46:$Q$1704,$G$135,FALSE)</f>
        <v>0.86729999999999996</v>
      </c>
      <c r="H140" s="313">
        <f>VLOOKUP($A140&amp;"GCP LF",'E11 - 2014 09 Final'!$A$46:$Q$1704,$H$135,FALSE)</f>
        <v>0.8528</v>
      </c>
      <c r="I140" s="313">
        <f>VLOOKUP($A140&amp;"GCP LF",'E11 - 2014 09 Final'!$A$46:$Q$1704,$I$135,FALSE)</f>
        <v>0.86419999999999997</v>
      </c>
      <c r="J140" s="313">
        <f>VLOOKUP($A140&amp;"GCP LF",'E11 - 2014 09 Final'!$A$46:$Q$1704,$J$135,FALSE)</f>
        <v>0.89670000000000005</v>
      </c>
      <c r="K140" s="313">
        <f>VLOOKUP($A140&amp;"GCP LF",'E11 - 2014 09 Final'!$A$46:$Q$1704,$K$135,FALSE)</f>
        <v>0.84940000000000004</v>
      </c>
      <c r="L140" s="313">
        <f>VLOOKUP($A140&amp;"GCP LF",'E11 - 2014 09 Final'!$A$46:$Q$1704,$L$135,FALSE)</f>
        <v>0.82769999999999999</v>
      </c>
      <c r="M140" s="313">
        <f>VLOOKUP($A140&amp;"GCP LF",'E11 - 2014 09 Final'!$A$46:$Q$1704,$M$135,FALSE)</f>
        <v>0.85109999999999997</v>
      </c>
      <c r="N140" s="313">
        <f>VLOOKUP($A140&amp;"GCP LF",'E11 - 2014 09 Final'!$A$46:$Q$1704,$N$135,FALSE)</f>
        <v>0.85070000000000001</v>
      </c>
      <c r="O140" s="117"/>
      <c r="P140" s="314"/>
    </row>
    <row r="141" spans="1:16">
      <c r="A141" t="s">
        <v>632</v>
      </c>
      <c r="B141" s="43" t="s">
        <v>49</v>
      </c>
      <c r="C141" s="313">
        <f>VLOOKUP($A141&amp;"GCP LF",'E11 - 2014 09 Final'!$A$46:$Q$1704,$C$135,FALSE)</f>
        <v>0.61140000000000005</v>
      </c>
      <c r="D141" s="313">
        <f>VLOOKUP($A141&amp;"GCP LF",'E11 - 2014 09 Final'!$A$46:$Q$1704,$D$135,FALSE)</f>
        <v>0.5917</v>
      </c>
      <c r="E141" s="313">
        <f>VLOOKUP($A141&amp;"GCP LF",'E11 - 2014 09 Final'!$A$46:$Q$1704,$E$135,FALSE)</f>
        <v>0.59670000000000001</v>
      </c>
      <c r="F141" s="313">
        <f>VLOOKUP($A141&amp;"GCP LF",'E11 - 2014 09 Final'!$A$46:$Q$1704,$F$135,FALSE)</f>
        <v>0.55610000000000004</v>
      </c>
      <c r="G141" s="313">
        <f>VLOOKUP($A141&amp;"GCP LF",'E11 - 2014 09 Final'!$A$46:$Q$1704,$G$135,FALSE)</f>
        <v>0.59430000000000005</v>
      </c>
      <c r="H141" s="313">
        <f>VLOOKUP($A141&amp;"GCP LF",'E11 - 2014 09 Final'!$A$46:$Q$1704,$H$135,FALSE)</f>
        <v>0.56589999999999996</v>
      </c>
      <c r="I141" s="313">
        <f>VLOOKUP($A141&amp;"GCP LF",'E11 - 2014 09 Final'!$A$46:$Q$1704,$I$135,FALSE)</f>
        <v>0.59279999999999999</v>
      </c>
      <c r="J141" s="313">
        <f>VLOOKUP($A141&amp;"GCP LF",'E11 - 2014 09 Final'!$A$46:$Q$1704,$J$135,FALSE)</f>
        <v>0.59799999999999998</v>
      </c>
      <c r="K141" s="313">
        <f>VLOOKUP($A141&amp;"GCP LF",'E11 - 2014 09 Final'!$A$46:$Q$1704,$K$135,FALSE)</f>
        <v>0.57310000000000005</v>
      </c>
      <c r="L141" s="313">
        <f>VLOOKUP($A141&amp;"GCP LF",'E11 - 2014 09 Final'!$A$46:$Q$1704,$L$135,FALSE)</f>
        <v>0.55700000000000005</v>
      </c>
      <c r="M141" s="313">
        <f>VLOOKUP($A141&amp;"GCP LF",'E11 - 2014 09 Final'!$A$46:$Q$1704,$M$135,FALSE)</f>
        <v>0.52959999999999996</v>
      </c>
      <c r="N141" s="313">
        <f>VLOOKUP($A141&amp;"GCP LF",'E11 - 2014 09 Final'!$A$46:$Q$1704,$N$135,FALSE)</f>
        <v>0.60399999999999998</v>
      </c>
      <c r="O141" s="117"/>
      <c r="P141" s="314"/>
    </row>
    <row r="142" spans="1:16">
      <c r="A142" t="s">
        <v>640</v>
      </c>
      <c r="B142" s="46" t="s">
        <v>325</v>
      </c>
      <c r="C142" s="313">
        <f>VLOOKUP($A142&amp;"GCP LF",'E11 - 2014 09 Final'!$A$46:$Q$1704,$C$135,FALSE)</f>
        <v>0.97230000000000005</v>
      </c>
      <c r="D142" s="313">
        <f>VLOOKUP($A142&amp;"GCP LF",'E11 - 2014 09 Final'!$A$46:$Q$1704,$D$135,FALSE)</f>
        <v>0.9798</v>
      </c>
      <c r="E142" s="313">
        <f>VLOOKUP($A142&amp;"GCP LF",'E11 - 2014 09 Final'!$A$46:$Q$1704,$E$135,FALSE)</f>
        <v>0.98540000000000005</v>
      </c>
      <c r="F142" s="313">
        <f>VLOOKUP($A142&amp;"GCP LF",'E11 - 2014 09 Final'!$A$46:$Q$1704,$F$135,FALSE)</f>
        <v>0.98760000000000003</v>
      </c>
      <c r="G142" s="313">
        <f>VLOOKUP($A142&amp;"GCP LF",'E11 - 2014 09 Final'!$A$46:$Q$1704,$G$135,FALSE)</f>
        <v>0.99039999999999995</v>
      </c>
      <c r="H142" s="313">
        <f>VLOOKUP($A142&amp;"GCP LF",'E11 - 2014 09 Final'!$A$46:$Q$1704,$H$135,FALSE)</f>
        <v>0.96940000000000004</v>
      </c>
      <c r="I142" s="313">
        <f>VLOOKUP($A142&amp;"GCP LF",'E11 - 2014 09 Final'!$A$46:$Q$1704,$I$135,FALSE)</f>
        <v>0.9829</v>
      </c>
      <c r="J142" s="313">
        <f>VLOOKUP($A142&amp;"GCP LF",'E11 - 2014 09 Final'!$A$46:$Q$1704,$J$135,FALSE)</f>
        <v>0.98219999999999996</v>
      </c>
      <c r="K142" s="313">
        <f>VLOOKUP($A142&amp;"GCP LF",'E11 - 2014 09 Final'!$A$46:$Q$1704,$K$135,FALSE)</f>
        <v>0.9849</v>
      </c>
      <c r="L142" s="313">
        <f>VLOOKUP($A142&amp;"GCP LF",'E11 - 2014 09 Final'!$A$46:$Q$1704,$L$135,FALSE)</f>
        <v>0.97370000000000001</v>
      </c>
      <c r="M142" s="313">
        <f>VLOOKUP($A142&amp;"GCP LF",'E11 - 2014 09 Final'!$A$46:$Q$1704,$M$135,FALSE)</f>
        <v>0.98440000000000005</v>
      </c>
      <c r="N142" s="313">
        <f>VLOOKUP($A142&amp;"GCP LF",'E11 - 2014 09 Final'!$A$46:$Q$1704,$N$135,FALSE)</f>
        <v>0.94840000000000002</v>
      </c>
      <c r="O142" s="117"/>
      <c r="P142" s="314"/>
    </row>
    <row r="143" spans="1:16">
      <c r="A143" t="s">
        <v>651</v>
      </c>
      <c r="B143" s="43" t="s">
        <v>67</v>
      </c>
      <c r="C143" s="313">
        <f>VLOOKUP($A143&amp;"GCP LF",'E11 - 2014 09 Final'!$A$46:$Q$1704,$C$135,FALSE)</f>
        <v>0.69169999999999998</v>
      </c>
      <c r="D143" s="313">
        <f>VLOOKUP($A143&amp;"GCP LF",'E11 - 2014 09 Final'!$A$46:$Q$1704,$D$135,FALSE)</f>
        <v>0.68979999999999997</v>
      </c>
      <c r="E143" s="313">
        <f>VLOOKUP($A143&amp;"GCP LF",'E11 - 2014 09 Final'!$A$46:$Q$1704,$E$135,FALSE)</f>
        <v>0.68840000000000001</v>
      </c>
      <c r="F143" s="313">
        <f>VLOOKUP($A143&amp;"GCP LF",'E11 - 2014 09 Final'!$A$46:$Q$1704,$F$135,FALSE)</f>
        <v>0.6512</v>
      </c>
      <c r="G143" s="313">
        <f>VLOOKUP($A143&amp;"GCP LF",'E11 - 2014 09 Final'!$A$46:$Q$1704,$G$135,FALSE)</f>
        <v>0.69020000000000004</v>
      </c>
      <c r="H143" s="313">
        <f>VLOOKUP($A143&amp;"GCP LF",'E11 - 2014 09 Final'!$A$46:$Q$1704,$H$135,FALSE)</f>
        <v>0.69140000000000001</v>
      </c>
      <c r="I143" s="313">
        <f>VLOOKUP($A143&amp;"GCP LF",'E11 - 2014 09 Final'!$A$46:$Q$1704,$I$135,FALSE)</f>
        <v>0.7046</v>
      </c>
      <c r="J143" s="313">
        <f>VLOOKUP($A143&amp;"GCP LF",'E11 - 2014 09 Final'!$A$46:$Q$1704,$J$135,FALSE)</f>
        <v>0.70720000000000005</v>
      </c>
      <c r="K143" s="313">
        <f>VLOOKUP($A143&amp;"GCP LF",'E11 - 2014 09 Final'!$A$46:$Q$1704,$K$135,FALSE)</f>
        <v>0.69950000000000001</v>
      </c>
      <c r="L143" s="313">
        <f>VLOOKUP($A143&amp;"GCP LF",'E11 - 2014 09 Final'!$A$46:$Q$1704,$L$135,FALSE)</f>
        <v>0.67949999999999999</v>
      </c>
      <c r="M143" s="313">
        <f>VLOOKUP($A143&amp;"GCP LF",'E11 - 2014 09 Final'!$A$46:$Q$1704,$M$135,FALSE)</f>
        <v>0.62660000000000005</v>
      </c>
      <c r="N143" s="313">
        <f>VLOOKUP($A143&amp;"GCP LF",'E11 - 2014 09 Final'!$A$46:$Q$1704,$N$135,FALSE)</f>
        <v>0.69110000000000005</v>
      </c>
      <c r="O143" s="117"/>
      <c r="P143" s="314"/>
    </row>
    <row r="144" spans="1:16">
      <c r="A144" t="s">
        <v>656</v>
      </c>
      <c r="B144" s="43" t="s">
        <v>68</v>
      </c>
      <c r="C144" s="313">
        <f>VLOOKUP($A144&amp;"GCP LF",'E11 - 2014 09 Final'!$A$46:$Q$1704,$C$135,FALSE)</f>
        <v>0.69889999999999997</v>
      </c>
      <c r="D144" s="313">
        <f>VLOOKUP($A144&amp;"GCP LF",'E11 - 2014 09 Final'!$A$46:$Q$1704,$D$135,FALSE)</f>
        <v>0.70750000000000002</v>
      </c>
      <c r="E144" s="313">
        <f>VLOOKUP($A144&amp;"GCP LF",'E11 - 2014 09 Final'!$A$46:$Q$1704,$E$135,FALSE)</f>
        <v>0.70389999999999997</v>
      </c>
      <c r="F144" s="313">
        <f>VLOOKUP($A144&amp;"GCP LF",'E11 - 2014 09 Final'!$A$46:$Q$1704,$F$135,FALSE)</f>
        <v>0.68840000000000001</v>
      </c>
      <c r="G144" s="313">
        <f>VLOOKUP($A144&amp;"GCP LF",'E11 - 2014 09 Final'!$A$46:$Q$1704,$G$135,FALSE)</f>
        <v>0.7117</v>
      </c>
      <c r="H144" s="313">
        <f>VLOOKUP($A144&amp;"GCP LF",'E11 - 2014 09 Final'!$A$46:$Q$1704,$H$135,FALSE)</f>
        <v>0.73929999999999996</v>
      </c>
      <c r="I144" s="313">
        <f>VLOOKUP($A144&amp;"GCP LF",'E11 - 2014 09 Final'!$A$46:$Q$1704,$I$135,FALSE)</f>
        <v>0.73360000000000003</v>
      </c>
      <c r="J144" s="313">
        <f>VLOOKUP($A144&amp;"GCP LF",'E11 - 2014 09 Final'!$A$46:$Q$1704,$J$135,FALSE)</f>
        <v>0.71330000000000005</v>
      </c>
      <c r="K144" s="313">
        <f>VLOOKUP($A144&amp;"GCP LF",'E11 - 2014 09 Final'!$A$46:$Q$1704,$K$135,FALSE)</f>
        <v>0.71840000000000004</v>
      </c>
      <c r="L144" s="313">
        <f>VLOOKUP($A144&amp;"GCP LF",'E11 - 2014 09 Final'!$A$46:$Q$1704,$L$135,FALSE)</f>
        <v>0.69489999999999996</v>
      </c>
      <c r="M144" s="313">
        <f>VLOOKUP($A144&amp;"GCP LF",'E11 - 2014 09 Final'!$A$46:$Q$1704,$M$135,FALSE)</f>
        <v>0.63890000000000002</v>
      </c>
      <c r="N144" s="313">
        <f>VLOOKUP($A144&amp;"GCP LF",'E11 - 2014 09 Final'!$A$46:$Q$1704,$N$135,FALSE)</f>
        <v>0.67559999999999998</v>
      </c>
      <c r="O144" s="117"/>
      <c r="P144" s="314"/>
    </row>
    <row r="145" spans="1:16">
      <c r="A145" t="s">
        <v>713</v>
      </c>
      <c r="B145" s="43" t="s">
        <v>69</v>
      </c>
      <c r="C145" s="313">
        <f>VLOOKUP($A145&amp;"GCP LF",'E11 - 2014 09 Final'!$A$46:$Q$1704,$C$135,FALSE)</f>
        <v>0.78390000000000004</v>
      </c>
      <c r="D145" s="313">
        <f>VLOOKUP($A145&amp;"GCP LF",'E11 - 2014 09 Final'!$A$46:$Q$1704,$D$135,FALSE)</f>
        <v>0.7954</v>
      </c>
      <c r="E145" s="313">
        <f>VLOOKUP($A145&amp;"GCP LF",'E11 - 2014 09 Final'!$A$46:$Q$1704,$E$135,FALSE)</f>
        <v>0.79059999999999997</v>
      </c>
      <c r="F145" s="313">
        <f>VLOOKUP($A145&amp;"GCP LF",'E11 - 2014 09 Final'!$A$46:$Q$1704,$F$135,FALSE)</f>
        <v>0.78469999999999995</v>
      </c>
      <c r="G145" s="313">
        <f>VLOOKUP($A145&amp;"GCP LF",'E11 - 2014 09 Final'!$A$46:$Q$1704,$G$135,FALSE)</f>
        <v>0.82299999999999995</v>
      </c>
      <c r="H145" s="313">
        <f>VLOOKUP($A145&amp;"GCP LF",'E11 - 2014 09 Final'!$A$46:$Q$1704,$H$135,FALSE)</f>
        <v>0.83050000000000002</v>
      </c>
      <c r="I145" s="313">
        <f>VLOOKUP($A145&amp;"GCP LF",'E11 - 2014 09 Final'!$A$46:$Q$1704,$I$135,FALSE)</f>
        <v>0.84970000000000001</v>
      </c>
      <c r="J145" s="313">
        <f>VLOOKUP($A145&amp;"GCP LF",'E11 - 2014 09 Final'!$A$46:$Q$1704,$J$135,FALSE)</f>
        <v>0.84660000000000002</v>
      </c>
      <c r="K145" s="313">
        <f>VLOOKUP($A145&amp;"GCP LF",'E11 - 2014 09 Final'!$A$46:$Q$1704,$K$135,FALSE)</f>
        <v>0.84150000000000003</v>
      </c>
      <c r="L145" s="313">
        <f>VLOOKUP($A145&amp;"GCP LF",'E11 - 2014 09 Final'!$A$46:$Q$1704,$L$135,FALSE)</f>
        <v>0.81899999999999995</v>
      </c>
      <c r="M145" s="313">
        <f>VLOOKUP($A145&amp;"GCP LF",'E11 - 2014 09 Final'!$A$46:$Q$1704,$M$135,FALSE)</f>
        <v>0.74790000000000001</v>
      </c>
      <c r="N145" s="313">
        <f>VLOOKUP($A145&amp;"GCP LF",'E11 - 2014 09 Final'!$A$46:$Q$1704,$N$135,FALSE)</f>
        <v>0.77539999999999998</v>
      </c>
      <c r="O145" s="117"/>
      <c r="P145" s="314"/>
    </row>
    <row r="146" spans="1:16">
      <c r="A146" t="s">
        <v>717</v>
      </c>
      <c r="B146" s="43" t="s">
        <v>52</v>
      </c>
      <c r="C146" s="313">
        <f>VLOOKUP($A146&amp;"GCP LF",'E11 - 2014 09 Final'!$A$46:$Q$1704,$C$135,FALSE)</f>
        <v>0.76129999999999998</v>
      </c>
      <c r="D146" s="313">
        <f>VLOOKUP($A146&amp;"GCP LF",'E11 - 2014 09 Final'!$A$46:$Q$1704,$D$135,FALSE)</f>
        <v>0.69510000000000005</v>
      </c>
      <c r="E146" s="313">
        <f>VLOOKUP($A146&amp;"GCP LF",'E11 - 2014 09 Final'!$A$46:$Q$1704,$E$135,FALSE)</f>
        <v>0.66810000000000003</v>
      </c>
      <c r="F146" s="313">
        <f>VLOOKUP($A146&amp;"GCP LF",'E11 - 2014 09 Final'!$A$46:$Q$1704,$F$135,FALSE)</f>
        <v>0.64419999999999999</v>
      </c>
      <c r="G146" s="313">
        <f>VLOOKUP($A146&amp;"GCP LF",'E11 - 2014 09 Final'!$A$46:$Q$1704,$G$135,FALSE)</f>
        <v>0.65839999999999999</v>
      </c>
      <c r="H146" s="313">
        <f>VLOOKUP($A146&amp;"GCP LF",'E11 - 2014 09 Final'!$A$46:$Q$1704,$H$135,FALSE)</f>
        <v>0.6875</v>
      </c>
      <c r="I146" s="313">
        <f>VLOOKUP($A146&amp;"GCP LF",'E11 - 2014 09 Final'!$A$46:$Q$1704,$I$135,FALSE)</f>
        <v>0.72699999999999998</v>
      </c>
      <c r="J146" s="313">
        <f>VLOOKUP($A146&amp;"GCP LF",'E11 - 2014 09 Final'!$A$46:$Q$1704,$J$135,FALSE)</f>
        <v>0.66410000000000002</v>
      </c>
      <c r="K146" s="313">
        <f>VLOOKUP($A146&amp;"GCP LF",'E11 - 2014 09 Final'!$A$46:$Q$1704,$K$135,FALSE)</f>
        <v>0.70830000000000004</v>
      </c>
      <c r="L146" s="313">
        <f>VLOOKUP($A146&amp;"GCP LF",'E11 - 2014 09 Final'!$A$46:$Q$1704,$L$135,FALSE)</f>
        <v>0.68700000000000006</v>
      </c>
      <c r="M146" s="313">
        <f>VLOOKUP($A146&amp;"GCP LF",'E11 - 2014 09 Final'!$A$46:$Q$1704,$M$135,FALSE)</f>
        <v>0.6139</v>
      </c>
      <c r="N146" s="313">
        <f>VLOOKUP($A146&amp;"GCP LF",'E11 - 2014 09 Final'!$A$46:$Q$1704,$N$135,FALSE)</f>
        <v>0.67720000000000002</v>
      </c>
      <c r="O146" s="117"/>
      <c r="P146" s="314"/>
    </row>
    <row r="147" spans="1:16">
      <c r="A147" t="s">
        <v>15</v>
      </c>
      <c r="B147" s="206" t="s">
        <v>15</v>
      </c>
      <c r="C147" s="313"/>
      <c r="D147" s="313"/>
      <c r="E147" s="313"/>
      <c r="F147" s="313"/>
      <c r="G147" s="313"/>
      <c r="H147" s="313"/>
      <c r="I147" s="313"/>
      <c r="J147" s="313"/>
      <c r="K147" s="313"/>
      <c r="L147" s="313"/>
      <c r="M147" s="313"/>
      <c r="N147" s="313"/>
      <c r="O147" s="117"/>
      <c r="P147" s="314"/>
    </row>
    <row r="148" spans="1:16">
      <c r="A148" t="s">
        <v>19</v>
      </c>
      <c r="B148" s="43" t="s">
        <v>56</v>
      </c>
      <c r="C148" s="313">
        <f>VLOOKUP($A148&amp;"GCP LF",'E11 - 2014 09 Final'!$A$46:$Q$1704,$C$135,FALSE)</f>
        <v>0.55220000000000002</v>
      </c>
      <c r="D148" s="313">
        <f>VLOOKUP($A148&amp;"GCP LF",'E11 - 2014 09 Final'!$A$46:$Q$1704,$D$135,FALSE)</f>
        <v>0.53059999999999996</v>
      </c>
      <c r="E148" s="313">
        <f>VLOOKUP($A148&amp;"GCP LF",'E11 - 2014 09 Final'!$A$46:$Q$1704,$E$135,FALSE)</f>
        <v>0.49959999999999999</v>
      </c>
      <c r="F148" s="313">
        <f>VLOOKUP($A148&amp;"GCP LF",'E11 - 2014 09 Final'!$A$46:$Q$1704,$F$135,FALSE)</f>
        <v>0.46810000000000002</v>
      </c>
      <c r="G148" s="313">
        <f>VLOOKUP($A148&amp;"GCP LF",'E11 - 2014 09 Final'!$A$46:$Q$1704,$G$135,FALSE)</f>
        <v>0.44180000000000003</v>
      </c>
      <c r="H148" s="313">
        <f>VLOOKUP($A148&amp;"GCP LF",'E11 - 2014 09 Final'!$A$46:$Q$1704,$H$135,FALSE)</f>
        <v>0.42880000000000001</v>
      </c>
      <c r="I148" s="313">
        <f>VLOOKUP($A148&amp;"GCP LF",'E11 - 2014 09 Final'!$A$46:$Q$1704,$I$135,FALSE)</f>
        <v>0.4345</v>
      </c>
      <c r="J148" s="313">
        <f>VLOOKUP($A148&amp;"GCP LF",'E11 - 2014 09 Final'!$A$46:$Q$1704,$J$135,FALSE)</f>
        <v>0.45629999999999998</v>
      </c>
      <c r="K148" s="313">
        <f>VLOOKUP($A148&amp;"GCP LF",'E11 - 2014 09 Final'!$A$46:$Q$1704,$K$135,FALSE)</f>
        <v>0.48659999999999998</v>
      </c>
      <c r="L148" s="313">
        <f>VLOOKUP($A148&amp;"GCP LF",'E11 - 2014 09 Final'!$A$46:$Q$1704,$L$135,FALSE)</f>
        <v>0.51849999999999996</v>
      </c>
      <c r="M148" s="313">
        <f>VLOOKUP($A148&amp;"GCP LF",'E11 - 2014 09 Final'!$A$46:$Q$1704,$M$135,FALSE)</f>
        <v>0.54579999999999995</v>
      </c>
      <c r="N148" s="313">
        <f>VLOOKUP($A148&amp;"GCP LF",'E11 - 2014 09 Final'!$A$46:$Q$1704,$N$135,FALSE)</f>
        <v>0.55859999999999999</v>
      </c>
      <c r="O148" s="117"/>
      <c r="P148" s="314"/>
    </row>
    <row r="149" spans="1:16">
      <c r="A149" t="s">
        <v>22</v>
      </c>
      <c r="B149" s="43" t="s">
        <v>57</v>
      </c>
      <c r="C149" s="313">
        <f>VLOOKUP($A149&amp;"GCP LF",'E11 - 2014 09 Final'!$A$46:$Q$1704,$C$135,FALSE)</f>
        <v>0.13159999999999999</v>
      </c>
      <c r="D149" s="313">
        <f>VLOOKUP($A149&amp;"GCP LF",'E11 - 2014 09 Final'!$A$46:$Q$1704,$D$135,FALSE)</f>
        <v>0.1368</v>
      </c>
      <c r="E149" s="313">
        <f>VLOOKUP($A149&amp;"GCP LF",'E11 - 2014 09 Final'!$A$46:$Q$1704,$E$135,FALSE)</f>
        <v>0.1142</v>
      </c>
      <c r="F149" s="313">
        <f>VLOOKUP($A149&amp;"GCP LF",'E11 - 2014 09 Final'!$A$46:$Q$1704,$F$135,FALSE)</f>
        <v>0.1464</v>
      </c>
      <c r="G149" s="313">
        <f>VLOOKUP($A149&amp;"GCP LF",'E11 - 2014 09 Final'!$A$46:$Q$1704,$G$135,FALSE)</f>
        <v>0.15260000000000001</v>
      </c>
      <c r="H149" s="313">
        <f>VLOOKUP($A149&amp;"GCP LF",'E11 - 2014 09 Final'!$A$46:$Q$1704,$H$135,FALSE)</f>
        <v>0.1575</v>
      </c>
      <c r="I149" s="313">
        <f>VLOOKUP($A149&amp;"GCP LF",'E11 - 2014 09 Final'!$A$46:$Q$1704,$I$135,FALSE)</f>
        <v>0.1946</v>
      </c>
      <c r="J149" s="313">
        <f>VLOOKUP($A149&amp;"GCP LF",'E11 - 2014 09 Final'!$A$46:$Q$1704,$J$135,FALSE)</f>
        <v>0.17810000000000001</v>
      </c>
      <c r="K149" s="313">
        <f>VLOOKUP($A149&amp;"GCP LF",'E11 - 2014 09 Final'!$A$46:$Q$1704,$K$135,FALSE)</f>
        <v>0.16420000000000001</v>
      </c>
      <c r="L149" s="313">
        <f>VLOOKUP($A149&amp;"GCP LF",'E11 - 2014 09 Final'!$A$46:$Q$1704,$L$135,FALSE)</f>
        <v>0.13700000000000001</v>
      </c>
      <c r="M149" s="313">
        <f>VLOOKUP($A149&amp;"GCP LF",'E11 - 2014 09 Final'!$A$46:$Q$1704,$M$135,FALSE)</f>
        <v>0.13780000000000001</v>
      </c>
      <c r="N149" s="313">
        <f>VLOOKUP($A149&amp;"GCP LF",'E11 - 2014 09 Final'!$A$46:$Q$1704,$N$135,FALSE)</f>
        <v>0.13070000000000001</v>
      </c>
      <c r="O149" s="117"/>
      <c r="P149" s="314"/>
    </row>
    <row r="150" spans="1:16">
      <c r="A150" t="s">
        <v>687</v>
      </c>
      <c r="B150" s="43" t="s">
        <v>48</v>
      </c>
      <c r="C150" s="313">
        <f>VLOOKUP($A150&amp;"GCP LF",'E11 - 2014 09 Final'!$A$46:$Q$1704,$C$135,FALSE)</f>
        <v>0.51559999999999995</v>
      </c>
      <c r="D150" s="313">
        <f>VLOOKUP($A150&amp;"GCP LF",'E11 - 2014 09 Final'!$A$46:$Q$1704,$D$135,FALSE)</f>
        <v>0.58640000000000003</v>
      </c>
      <c r="E150" s="313">
        <f>VLOOKUP($A150&amp;"GCP LF",'E11 - 2014 09 Final'!$A$46:$Q$1704,$E$135,FALSE)</f>
        <v>0.52600000000000002</v>
      </c>
      <c r="F150" s="313">
        <f>VLOOKUP($A150&amp;"GCP LF",'E11 - 2014 09 Final'!$A$46:$Q$1704,$F$135,FALSE)</f>
        <v>0.5494</v>
      </c>
      <c r="G150" s="313">
        <f>VLOOKUP($A150&amp;"GCP LF",'E11 - 2014 09 Final'!$A$46:$Q$1704,$G$135,FALSE)</f>
        <v>0.5988</v>
      </c>
      <c r="H150" s="313">
        <f>VLOOKUP($A150&amp;"GCP LF",'E11 - 2014 09 Final'!$A$46:$Q$1704,$H$135,FALSE)</f>
        <v>0.59250000000000003</v>
      </c>
      <c r="I150" s="313">
        <f>VLOOKUP($A150&amp;"GCP LF",'E11 - 2014 09 Final'!$A$46:$Q$1704,$I$135,FALSE)</f>
        <v>0.59360000000000002</v>
      </c>
      <c r="J150" s="313">
        <f>VLOOKUP($A150&amp;"GCP LF",'E11 - 2014 09 Final'!$A$46:$Q$1704,$J$135,FALSE)</f>
        <v>0.64649999999999996</v>
      </c>
      <c r="K150" s="313">
        <f>VLOOKUP($A150&amp;"GCP LF",'E11 - 2014 09 Final'!$A$46:$Q$1704,$K$135,FALSE)</f>
        <v>0.57640000000000002</v>
      </c>
      <c r="L150" s="313">
        <f>VLOOKUP($A150&amp;"GCP LF",'E11 - 2014 09 Final'!$A$46:$Q$1704,$L$135,FALSE)</f>
        <v>0.56910000000000005</v>
      </c>
      <c r="M150" s="313">
        <f>VLOOKUP($A150&amp;"GCP LF",'E11 - 2014 09 Final'!$A$46:$Q$1704,$M$135,FALSE)</f>
        <v>0.56259999999999999</v>
      </c>
      <c r="N150" s="313">
        <f>VLOOKUP($A150&amp;"GCP LF",'E11 - 2014 09 Final'!$A$46:$Q$1704,$N$135,FALSE)</f>
        <v>0.56010000000000004</v>
      </c>
      <c r="O150" s="117"/>
      <c r="P150" s="314"/>
    </row>
    <row r="151" spans="1:16">
      <c r="A151" t="s">
        <v>35</v>
      </c>
      <c r="B151" s="43" t="s">
        <v>53</v>
      </c>
      <c r="C151" s="313">
        <f>VLOOKUP($A151&amp;"GCP LF",'E11 - 2014 09 Final'!$A$46:$Q$1704,$C$135,FALSE)</f>
        <v>0.55220000000000002</v>
      </c>
      <c r="D151" s="313">
        <f>VLOOKUP($A151&amp;"GCP LF",'E11 - 2014 09 Final'!$A$46:$Q$1704,$D$135,FALSE)</f>
        <v>0.53059999999999996</v>
      </c>
      <c r="E151" s="313">
        <f>VLOOKUP($A151&amp;"GCP LF",'E11 - 2014 09 Final'!$A$46:$Q$1704,$E$135,FALSE)</f>
        <v>0.49959999999999999</v>
      </c>
      <c r="F151" s="313">
        <f>VLOOKUP($A151&amp;"GCP LF",'E11 - 2014 09 Final'!$A$46:$Q$1704,$F$135,FALSE)</f>
        <v>0.46810000000000002</v>
      </c>
      <c r="G151" s="313">
        <f>VLOOKUP($A151&amp;"GCP LF",'E11 - 2014 09 Final'!$A$46:$Q$1704,$G$135,FALSE)</f>
        <v>0.44180000000000003</v>
      </c>
      <c r="H151" s="313">
        <f>VLOOKUP($A151&amp;"GCP LF",'E11 - 2014 09 Final'!$A$46:$Q$1704,$H$135,FALSE)</f>
        <v>0.42880000000000001</v>
      </c>
      <c r="I151" s="313">
        <f>VLOOKUP($A151&amp;"GCP LF",'E11 - 2014 09 Final'!$A$46:$Q$1704,$I$135,FALSE)</f>
        <v>0.4345</v>
      </c>
      <c r="J151" s="313">
        <f>VLOOKUP($A151&amp;"GCP LF",'E11 - 2014 09 Final'!$A$46:$Q$1704,$J$135,FALSE)</f>
        <v>0.45629999999999998</v>
      </c>
      <c r="K151" s="313">
        <f>VLOOKUP($A151&amp;"GCP LF",'E11 - 2014 09 Final'!$A$46:$Q$1704,$K$135,FALSE)</f>
        <v>0.48659999999999998</v>
      </c>
      <c r="L151" s="313">
        <f>VLOOKUP($A151&amp;"GCP LF",'E11 - 2014 09 Final'!$A$46:$Q$1704,$L$135,FALSE)</f>
        <v>0.51849999999999996</v>
      </c>
      <c r="M151" s="313">
        <f>VLOOKUP($A151&amp;"GCP LF",'E11 - 2014 09 Final'!$A$46:$Q$1704,$M$135,FALSE)</f>
        <v>0.54579999999999995</v>
      </c>
      <c r="N151" s="313">
        <f>VLOOKUP($A151&amp;"GCP LF",'E11 - 2014 09 Final'!$A$46:$Q$1704,$N$135,FALSE)</f>
        <v>0.5595</v>
      </c>
      <c r="O151" s="117"/>
      <c r="P151" s="314"/>
    </row>
    <row r="152" spans="1:16">
      <c r="A152" t="s">
        <v>38</v>
      </c>
      <c r="B152" s="43" t="s">
        <v>55</v>
      </c>
      <c r="C152" s="313">
        <f>VLOOKUP($A152&amp;"GCP LF",'E11 - 2014 09 Final'!$A$46:$Q$1704,$C$135,FALSE)</f>
        <v>1</v>
      </c>
      <c r="D152" s="313">
        <f>VLOOKUP($A152&amp;"GCP LF",'E11 - 2014 09 Final'!$A$46:$Q$1704,$D$135,FALSE)</f>
        <v>1</v>
      </c>
      <c r="E152" s="313">
        <f>VLOOKUP($A152&amp;"GCP LF",'E11 - 2014 09 Final'!$A$46:$Q$1704,$E$135,FALSE)</f>
        <v>1</v>
      </c>
      <c r="F152" s="313">
        <f>VLOOKUP($A152&amp;"GCP LF",'E11 - 2014 09 Final'!$A$46:$Q$1704,$F$135,FALSE)</f>
        <v>1</v>
      </c>
      <c r="G152" s="313">
        <f>VLOOKUP($A152&amp;"GCP LF",'E11 - 2014 09 Final'!$A$46:$Q$1704,$G$135,FALSE)</f>
        <v>1</v>
      </c>
      <c r="H152" s="313">
        <f>VLOOKUP($A152&amp;"GCP LF",'E11 - 2014 09 Final'!$A$46:$Q$1704,$H$135,FALSE)</f>
        <v>1</v>
      </c>
      <c r="I152" s="313">
        <f>VLOOKUP($A152&amp;"GCP LF",'E11 - 2014 09 Final'!$A$46:$Q$1704,$I$135,FALSE)</f>
        <v>1</v>
      </c>
      <c r="J152" s="313">
        <f>VLOOKUP($A152&amp;"GCP LF",'E11 - 2014 09 Final'!$A$46:$Q$1704,$J$135,FALSE)</f>
        <v>1</v>
      </c>
      <c r="K152" s="313">
        <f>VLOOKUP($A152&amp;"GCP LF",'E11 - 2014 09 Final'!$A$46:$Q$1704,$K$135,FALSE)</f>
        <v>1</v>
      </c>
      <c r="L152" s="313">
        <f>VLOOKUP($A152&amp;"GCP LF",'E11 - 2014 09 Final'!$A$46:$Q$1704,$L$135,FALSE)</f>
        <v>1</v>
      </c>
      <c r="M152" s="313">
        <f>VLOOKUP($A152&amp;"GCP LF",'E11 - 2014 09 Final'!$A$46:$Q$1704,$M$135,FALSE)</f>
        <v>0.99860000000000004</v>
      </c>
      <c r="N152" s="313">
        <f>VLOOKUP($A152&amp;"GCP LF",'E11 - 2014 09 Final'!$A$46:$Q$1704,$N$135,FALSE)</f>
        <v>1</v>
      </c>
      <c r="O152" s="117"/>
      <c r="P152" s="314"/>
    </row>
    <row r="153" spans="1:16">
      <c r="A153" t="s">
        <v>40</v>
      </c>
      <c r="B153" s="43" t="s">
        <v>87</v>
      </c>
      <c r="C153" s="313">
        <f>VLOOKUP($A153&amp;"GCP LF",'E11 - 2014 09 Final'!$A$46:$Q$1704,$C$135,FALSE)</f>
        <v>0.42230000000000001</v>
      </c>
      <c r="D153" s="313">
        <f>VLOOKUP($A153&amp;"GCP LF",'E11 - 2014 09 Final'!$A$46:$Q$1704,$D$135,FALSE)</f>
        <v>0.43690000000000001</v>
      </c>
      <c r="E153" s="313">
        <f>VLOOKUP($A153&amp;"GCP LF",'E11 - 2014 09 Final'!$A$46:$Q$1704,$E$135,FALSE)</f>
        <v>0.62539999999999996</v>
      </c>
      <c r="F153" s="313">
        <f>VLOOKUP($A153&amp;"GCP LF",'E11 - 2014 09 Final'!$A$46:$Q$1704,$F$135,FALSE)</f>
        <v>0.50170000000000003</v>
      </c>
      <c r="G153" s="313">
        <f>VLOOKUP($A153&amp;"GCP LF",'E11 - 2014 09 Final'!$A$46:$Q$1704,$G$135,FALSE)</f>
        <v>0.61739999999999995</v>
      </c>
      <c r="H153" s="313">
        <f>VLOOKUP($A153&amp;"GCP LF",'E11 - 2014 09 Final'!$A$46:$Q$1704,$H$135,FALSE)</f>
        <v>0.55459999999999998</v>
      </c>
      <c r="I153" s="313">
        <f>VLOOKUP($A153&amp;"GCP LF",'E11 - 2014 09 Final'!$A$46:$Q$1704,$I$135,FALSE)</f>
        <v>0.56730000000000003</v>
      </c>
      <c r="J153" s="313">
        <f>VLOOKUP($A153&amp;"GCP LF",'E11 - 2014 09 Final'!$A$46:$Q$1704,$J$135,FALSE)</f>
        <v>0.48280000000000001</v>
      </c>
      <c r="K153" s="313">
        <f>VLOOKUP($A153&amp;"GCP LF",'E11 - 2014 09 Final'!$A$46:$Q$1704,$K$135,FALSE)</f>
        <v>0.30790000000000001</v>
      </c>
      <c r="L153" s="313">
        <f>VLOOKUP($A153&amp;"GCP LF",'E11 - 2014 09 Final'!$A$46:$Q$1704,$L$135,FALSE)</f>
        <v>0.33139999999999997</v>
      </c>
      <c r="M153" s="313">
        <f>VLOOKUP($A153&amp;"GCP LF",'E11 - 2014 09 Final'!$A$46:$Q$1704,$M$135,FALSE)</f>
        <v>7.2400000000000006E-2</v>
      </c>
      <c r="N153" s="313">
        <f>VLOOKUP($A153&amp;"GCP LF",'E11 - 2014 09 Final'!$A$46:$Q$1704,$N$135,FALSE)</f>
        <v>0.496</v>
      </c>
      <c r="O153" s="117"/>
      <c r="P153" s="314"/>
    </row>
    <row r="154" spans="1:16">
      <c r="A154" t="s">
        <v>45</v>
      </c>
      <c r="B154" s="43" t="s">
        <v>88</v>
      </c>
      <c r="C154" s="313">
        <f>VLOOKUP($A154&amp;"GCP LF",'E11 - 2014 09 Final'!$A$46:$Q$1704,$C$135,FALSE)</f>
        <v>0.27979999999999999</v>
      </c>
      <c r="D154" s="313">
        <f>VLOOKUP($A154&amp;"GCP LF",'E11 - 2014 09 Final'!$A$46:$Q$1704,$D$135,FALSE)</f>
        <v>0.27189999999999998</v>
      </c>
      <c r="E154" s="313">
        <f>VLOOKUP($A154&amp;"GCP LF",'E11 - 2014 09 Final'!$A$46:$Q$1704,$E$135,FALSE)</f>
        <v>0.2515</v>
      </c>
      <c r="F154" s="313">
        <f>VLOOKUP($A154&amp;"GCP LF",'E11 - 2014 09 Final'!$A$46:$Q$1704,$F$135,FALSE)</f>
        <v>0.25740000000000002</v>
      </c>
      <c r="G154" s="313">
        <f>VLOOKUP($A154&amp;"GCP LF",'E11 - 2014 09 Final'!$A$46:$Q$1704,$G$135,FALSE)</f>
        <v>0.26900000000000002</v>
      </c>
      <c r="H154" s="313">
        <f>VLOOKUP($A154&amp;"GCP LF",'E11 - 2014 09 Final'!$A$46:$Q$1704,$H$135,FALSE)</f>
        <v>0.1249</v>
      </c>
      <c r="I154" s="313">
        <f>VLOOKUP($A154&amp;"GCP LF",'E11 - 2014 09 Final'!$A$46:$Q$1704,$I$135,FALSE)</f>
        <v>0.1991</v>
      </c>
      <c r="J154" s="313">
        <f>VLOOKUP($A154&amp;"GCP LF",'E11 - 2014 09 Final'!$A$46:$Q$1704,$J$135,FALSE)</f>
        <v>0.26390000000000002</v>
      </c>
      <c r="K154" s="313">
        <f>VLOOKUP($A154&amp;"GCP LF",'E11 - 2014 09 Final'!$A$46:$Q$1704,$K$135,FALSE)</f>
        <v>0.20619999999999999</v>
      </c>
      <c r="L154" s="313">
        <f>VLOOKUP($A154&amp;"GCP LF",'E11 - 2014 09 Final'!$A$46:$Q$1704,$L$135,FALSE)</f>
        <v>0.27779999999999999</v>
      </c>
      <c r="M154" s="313">
        <f>VLOOKUP($A154&amp;"GCP LF",'E11 - 2014 09 Final'!$A$46:$Q$1704,$M$135,FALSE)</f>
        <v>0.2036</v>
      </c>
      <c r="N154" s="313">
        <f>VLOOKUP($A154&amp;"GCP LF",'E11 - 2014 09 Final'!$A$46:$Q$1704,$N$135,FALSE)</f>
        <v>0.17760000000000001</v>
      </c>
      <c r="O154" s="117"/>
      <c r="P154" s="314"/>
    </row>
    <row r="155" spans="1:16">
      <c r="C155" s="48"/>
      <c r="D155" s="48"/>
      <c r="E155" s="48"/>
      <c r="F155" s="48"/>
      <c r="G155" s="48"/>
      <c r="H155" s="48"/>
      <c r="I155" s="48"/>
      <c r="J155" s="48"/>
      <c r="K155" s="48"/>
      <c r="L155" s="48"/>
      <c r="M155" s="48"/>
      <c r="N155" s="48"/>
      <c r="O155" s="315"/>
      <c r="P155" s="316"/>
    </row>
    <row r="156" spans="1:16">
      <c r="C156" s="48"/>
      <c r="D156" s="48"/>
      <c r="E156" s="48"/>
      <c r="F156" s="48"/>
      <c r="G156" s="48"/>
      <c r="H156" s="48"/>
      <c r="I156" s="48"/>
      <c r="J156" s="48"/>
      <c r="K156" s="48"/>
      <c r="L156" s="48"/>
      <c r="M156" s="48"/>
      <c r="N156" s="48"/>
      <c r="O156" s="315"/>
      <c r="P156" s="316"/>
    </row>
    <row r="157" spans="1:16" hidden="1">
      <c r="B157" s="42" t="s">
        <v>86</v>
      </c>
      <c r="C157" s="10"/>
      <c r="D157" s="10"/>
      <c r="E157" s="10"/>
      <c r="F157" s="10"/>
      <c r="G157" s="10"/>
      <c r="H157" s="10"/>
      <c r="I157" s="10"/>
      <c r="J157" s="10"/>
      <c r="K157" s="10"/>
      <c r="L157" s="10"/>
      <c r="M157" s="10"/>
      <c r="N157" s="10"/>
      <c r="O157" s="110"/>
      <c r="P157" s="110"/>
    </row>
    <row r="158" spans="1:16" hidden="1">
      <c r="A158" t="s">
        <v>603</v>
      </c>
      <c r="B158" t="s">
        <v>603</v>
      </c>
      <c r="C158" s="313">
        <f>VLOOKUP($A158&amp;"GCP LF",'E11 - 2014 09 Final'!$A$46:$Q$1704,$C$135,FALSE)</f>
        <v>0.57589999999999997</v>
      </c>
      <c r="D158" s="313">
        <f>VLOOKUP($A158&amp;"GCP LF",'E11 - 2014 09 Final'!$A$46:$Q$1704,$D$135,FALSE)</f>
        <v>0.56530000000000002</v>
      </c>
      <c r="E158" s="313">
        <f>VLOOKUP($A158&amp;"GCP LF",'E11 - 2014 09 Final'!$A$46:$Q$1704,$E$135,FALSE)</f>
        <v>0.61439999999999995</v>
      </c>
      <c r="F158" s="313">
        <f>VLOOKUP($A158&amp;"GCP LF",'E11 - 2014 09 Final'!$A$46:$Q$1704,$F$135,FALSE)</f>
        <v>0.56489999999999996</v>
      </c>
      <c r="G158" s="313">
        <f>VLOOKUP($A158&amp;"GCP LF",'E11 - 2014 09 Final'!$A$46:$Q$1704,$G$135,FALSE)</f>
        <v>0.58660000000000001</v>
      </c>
      <c r="H158" s="313">
        <f>VLOOKUP($A158&amp;"GCP LF",'E11 - 2014 09 Final'!$A$46:$Q$1704,$H$135,FALSE)</f>
        <v>0.61319999999999997</v>
      </c>
      <c r="I158" s="313">
        <f>VLOOKUP($A158&amp;"GCP LF",'E11 - 2014 09 Final'!$A$46:$Q$1704,$I$135,FALSE)</f>
        <v>0.62080000000000002</v>
      </c>
      <c r="J158" s="313">
        <f>VLOOKUP($A158&amp;"GCP LF",'E11 - 2014 09 Final'!$A$46:$Q$1704,$J$135,FALSE)</f>
        <v>0.62939999999999996</v>
      </c>
      <c r="K158" s="313">
        <f>VLOOKUP($A158&amp;"GCP LF",'E11 - 2014 09 Final'!$A$46:$Q$1704,$K$135,FALSE)</f>
        <v>0.59099999999999997</v>
      </c>
      <c r="L158" s="313">
        <f>VLOOKUP($A158&amp;"GCP LF",'E11 - 2014 09 Final'!$A$46:$Q$1704,$L$135,FALSE)</f>
        <v>0.56330000000000002</v>
      </c>
      <c r="M158" s="313">
        <f>VLOOKUP($A158&amp;"GCP LF",'E11 - 2014 09 Final'!$A$46:$Q$1704,$M$135,FALSE)</f>
        <v>0.5232</v>
      </c>
      <c r="N158" s="313">
        <f>VLOOKUP($A158&amp;"GCP LF",'E11 - 2014 09 Final'!$A$46:$Q$1704,$N$135,FALSE)</f>
        <v>0.60729999999999995</v>
      </c>
      <c r="O158" s="117"/>
      <c r="P158" s="117"/>
    </row>
    <row r="159" spans="1:16" hidden="1">
      <c r="A159" t="s">
        <v>245</v>
      </c>
      <c r="B159" t="s">
        <v>983</v>
      </c>
      <c r="C159" s="313">
        <f>VLOOKUP($A159&amp;"GCP LF",'E11 - 2014 09 Final'!$A$46:$Q$1704,$C$135,FALSE)</f>
        <v>0.60560000000000003</v>
      </c>
      <c r="D159" s="313">
        <f>VLOOKUP($A159&amp;"GCP LF",'E11 - 2014 09 Final'!$A$46:$Q$1704,$D$135,FALSE)</f>
        <v>0.69120000000000004</v>
      </c>
      <c r="E159" s="313">
        <f>VLOOKUP($A159&amp;"GCP LF",'E11 - 2014 09 Final'!$A$46:$Q$1704,$E$135,FALSE)</f>
        <v>0.63639999999999997</v>
      </c>
      <c r="F159" s="313">
        <f>VLOOKUP($A159&amp;"GCP LF",'E11 - 2014 09 Final'!$A$46:$Q$1704,$F$135,FALSE)</f>
        <v>0.67579999999999996</v>
      </c>
      <c r="G159" s="313">
        <f>VLOOKUP($A159&amp;"GCP LF",'E11 - 2014 09 Final'!$A$46:$Q$1704,$G$135,FALSE)</f>
        <v>0.68740000000000001</v>
      </c>
      <c r="H159" s="313">
        <f>VLOOKUP($A159&amp;"GCP LF",'E11 - 2014 09 Final'!$A$46:$Q$1704,$H$135,FALSE)</f>
        <v>0.7006</v>
      </c>
      <c r="I159" s="313">
        <f>VLOOKUP($A159&amp;"GCP LF",'E11 - 2014 09 Final'!$A$46:$Q$1704,$I$135,FALSE)</f>
        <v>0.71709999999999996</v>
      </c>
      <c r="J159" s="313">
        <f>VLOOKUP($A159&amp;"GCP LF",'E11 - 2014 09 Final'!$A$46:$Q$1704,$J$135,FALSE)</f>
        <v>0.73409999999999997</v>
      </c>
      <c r="K159" s="313">
        <f>VLOOKUP($A159&amp;"GCP LF",'E11 - 2014 09 Final'!$A$46:$Q$1704,$K$135,FALSE)</f>
        <v>0.66049999999999998</v>
      </c>
      <c r="L159" s="313">
        <f>VLOOKUP($A159&amp;"GCP LF",'E11 - 2014 09 Final'!$A$46:$Q$1704,$L$135,FALSE)</f>
        <v>0.62960000000000005</v>
      </c>
      <c r="M159" s="313">
        <f>VLOOKUP($A159&amp;"GCP LF",'E11 - 2014 09 Final'!$A$46:$Q$1704,$M$135,FALSE)</f>
        <v>0.60519999999999996</v>
      </c>
      <c r="N159" s="313">
        <f>VLOOKUP($A159&amp;"GCP LF",'E11 - 2014 09 Final'!$A$46:$Q$1704,$N$135,FALSE)</f>
        <v>0.6119</v>
      </c>
      <c r="O159" s="117"/>
      <c r="P159" s="314"/>
    </row>
    <row r="160" spans="1:16" hidden="1">
      <c r="A160" t="s">
        <v>661</v>
      </c>
      <c r="B160" t="s">
        <v>984</v>
      </c>
      <c r="C160" s="313">
        <f>VLOOKUP($A160&amp;"GCP LF",'E11 - 2014 09 Final'!$A$46:$Q$1704,$C$135,FALSE)</f>
        <v>0.53639999999999999</v>
      </c>
      <c r="D160" s="313">
        <f>VLOOKUP($A160&amp;"GCP LF",'E11 - 2014 09 Final'!$A$46:$Q$1704,$D$135,FALSE)</f>
        <v>0.63400000000000001</v>
      </c>
      <c r="E160" s="313">
        <f>VLOOKUP($A160&amp;"GCP LF",'E11 - 2014 09 Final'!$A$46:$Q$1704,$E$135,FALSE)</f>
        <v>0.63819999999999999</v>
      </c>
      <c r="F160" s="313">
        <f>VLOOKUP($A160&amp;"GCP LF",'E11 - 2014 09 Final'!$A$46:$Q$1704,$F$135,FALSE)</f>
        <v>0.58040000000000003</v>
      </c>
      <c r="G160" s="313">
        <f>VLOOKUP($A160&amp;"GCP LF",'E11 - 2014 09 Final'!$A$46:$Q$1704,$G$135,FALSE)</f>
        <v>0.61360000000000003</v>
      </c>
      <c r="H160" s="313">
        <f>VLOOKUP($A160&amp;"GCP LF",'E11 - 2014 09 Final'!$A$46:$Q$1704,$H$135,FALSE)</f>
        <v>0.60560000000000003</v>
      </c>
      <c r="I160" s="313">
        <f>VLOOKUP($A160&amp;"GCP LF",'E11 - 2014 09 Final'!$A$46:$Q$1704,$I$135,FALSE)</f>
        <v>0.63859999999999995</v>
      </c>
      <c r="J160" s="313">
        <f>VLOOKUP($A160&amp;"GCP LF",'E11 - 2014 09 Final'!$A$46:$Q$1704,$J$135,FALSE)</f>
        <v>0.65269999999999995</v>
      </c>
      <c r="K160" s="313">
        <f>VLOOKUP($A160&amp;"GCP LF",'E11 - 2014 09 Final'!$A$46:$Q$1704,$K$135,FALSE)</f>
        <v>0.59630000000000005</v>
      </c>
      <c r="L160" s="313">
        <f>VLOOKUP($A160&amp;"GCP LF",'E11 - 2014 09 Final'!$A$46:$Q$1704,$L$135,FALSE)</f>
        <v>0.57120000000000004</v>
      </c>
      <c r="M160" s="313">
        <f>VLOOKUP($A160&amp;"GCP LF",'E11 - 2014 09 Final'!$A$46:$Q$1704,$M$135,FALSE)</f>
        <v>0.6038</v>
      </c>
      <c r="N160" s="313">
        <f>VLOOKUP($A160&amp;"GCP LF",'E11 - 2014 09 Final'!$A$46:$Q$1704,$N$135,FALSE)</f>
        <v>0.67149999999999999</v>
      </c>
      <c r="O160" s="117"/>
      <c r="P160" s="314"/>
    </row>
    <row r="161" spans="1:16" hidden="1">
      <c r="A161" t="s">
        <v>673</v>
      </c>
      <c r="B161" t="s">
        <v>985</v>
      </c>
      <c r="C161" s="313" t="str">
        <f>VLOOKUP($A161&amp;"GCP LF",'E11 - 2014 09 Final'!$A$46:$Q$1704,$C$135,FALSE)</f>
        <v xml:space="preserve"> </v>
      </c>
      <c r="D161" s="313">
        <f>VLOOKUP($A161&amp;"GCP LF",'E11 - 2014 09 Final'!$A$46:$Q$1704,$D$135,FALSE)</f>
        <v>0.79259999999999997</v>
      </c>
      <c r="E161" s="313">
        <f>VLOOKUP($A161&amp;"GCP LF",'E11 - 2014 09 Final'!$A$46:$Q$1704,$E$135,FALSE)</f>
        <v>1</v>
      </c>
      <c r="F161" s="313">
        <f>VLOOKUP($A161&amp;"GCP LF",'E11 - 2014 09 Final'!$A$46:$Q$1704,$F$135,FALSE)</f>
        <v>1</v>
      </c>
      <c r="G161" s="313">
        <f>VLOOKUP($A161&amp;"GCP LF",'E11 - 2014 09 Final'!$A$46:$Q$1704,$G$135,FALSE)</f>
        <v>0.9929</v>
      </c>
      <c r="H161" s="313">
        <f>VLOOKUP($A161&amp;"GCP LF",'E11 - 2014 09 Final'!$A$46:$Q$1704,$H$135,FALSE)</f>
        <v>0.9163</v>
      </c>
      <c r="I161" s="313">
        <f>VLOOKUP($A161&amp;"GCP LF",'E11 - 2014 09 Final'!$A$46:$Q$1704,$I$135,FALSE)</f>
        <v>0.94589999999999996</v>
      </c>
      <c r="J161" s="313">
        <f>VLOOKUP($A161&amp;"GCP LF",'E11 - 2014 09 Final'!$A$46:$Q$1704,$J$135,FALSE)</f>
        <v>0.95889999999999997</v>
      </c>
      <c r="K161" s="313">
        <f>VLOOKUP($A161&amp;"GCP LF",'E11 - 2014 09 Final'!$A$46:$Q$1704,$K$135,FALSE)</f>
        <v>0.99439999999999995</v>
      </c>
      <c r="L161" s="313">
        <f>VLOOKUP($A161&amp;"GCP LF",'E11 - 2014 09 Final'!$A$46:$Q$1704,$L$135,FALSE)</f>
        <v>0.98019999999999996</v>
      </c>
      <c r="M161" s="313">
        <f>VLOOKUP($A161&amp;"GCP LF",'E11 - 2014 09 Final'!$A$46:$Q$1704,$M$135,FALSE)</f>
        <v>0.99860000000000004</v>
      </c>
      <c r="N161" s="313">
        <f>VLOOKUP($A161&amp;"GCP LF",'E11 - 2014 09 Final'!$A$46:$Q$1704,$N$135,FALSE)</f>
        <v>0.96609999999999996</v>
      </c>
      <c r="O161" s="117"/>
      <c r="P161" s="314"/>
    </row>
    <row r="162" spans="1:16" hidden="1">
      <c r="A162" t="s">
        <v>691</v>
      </c>
      <c r="B162" t="s">
        <v>691</v>
      </c>
      <c r="C162" s="313" t="str">
        <f>VLOOKUP($A162&amp;"GCP LF",'E11 - 2014 09 Final'!$A$46:$Q$1704,$C$135,FALSE)</f>
        <v xml:space="preserve"> </v>
      </c>
      <c r="D162" s="313" t="str">
        <f>VLOOKUP($A162&amp;"GCP LF",'E11 - 2014 09 Final'!$A$46:$Q$1704,$D$135,FALSE)</f>
        <v xml:space="preserve"> </v>
      </c>
      <c r="E162" s="313" t="str">
        <f>VLOOKUP($A162&amp;"GCP LF",'E11 - 2014 09 Final'!$A$46:$Q$1704,$E$135,FALSE)</f>
        <v xml:space="preserve"> </v>
      </c>
      <c r="F162" s="313" t="str">
        <f>VLOOKUP($A162&amp;"GCP LF",'E11 - 2014 09 Final'!$A$46:$Q$1704,$F$135,FALSE)</f>
        <v xml:space="preserve"> </v>
      </c>
      <c r="G162" s="313" t="str">
        <f>VLOOKUP($A162&amp;"GCP LF",'E11 - 2014 09 Final'!$A$46:$Q$1704,$G$135,FALSE)</f>
        <v xml:space="preserve"> </v>
      </c>
      <c r="H162" s="313">
        <f>VLOOKUP($A162&amp;"GCP LF",'E11 - 2014 09 Final'!$A$46:$Q$1704,$H$135,FALSE)</f>
        <v>0.56879999999999997</v>
      </c>
      <c r="I162" s="313">
        <f>VLOOKUP($A162&amp;"GCP LF",'E11 - 2014 09 Final'!$A$46:$Q$1704,$I$135,FALSE)</f>
        <v>0.61060000000000003</v>
      </c>
      <c r="J162" s="313">
        <f>VLOOKUP($A162&amp;"GCP LF",'E11 - 2014 09 Final'!$A$46:$Q$1704,$J$135,FALSE)</f>
        <v>0.64549999999999996</v>
      </c>
      <c r="K162" s="313">
        <f>VLOOKUP($A162&amp;"GCP LF",'E11 - 2014 09 Final'!$A$46:$Q$1704,$K$135,FALSE)</f>
        <v>0.64839999999999998</v>
      </c>
      <c r="L162" s="313">
        <f>VLOOKUP($A162&amp;"GCP LF",'E11 - 2014 09 Final'!$A$46:$Q$1704,$L$135,FALSE)</f>
        <v>0.58520000000000005</v>
      </c>
      <c r="M162" s="313">
        <f>VLOOKUP($A162&amp;"GCP LF",'E11 - 2014 09 Final'!$A$46:$Q$1704,$M$135,FALSE)</f>
        <v>0.27029999999999998</v>
      </c>
      <c r="N162" s="313">
        <f>VLOOKUP($A162&amp;"GCP LF",'E11 - 2014 09 Final'!$A$46:$Q$1704,$N$135,FALSE)</f>
        <v>9.1200000000000003E-2</v>
      </c>
      <c r="O162" s="117"/>
      <c r="P162" s="314"/>
    </row>
    <row r="163" spans="1:16" hidden="1">
      <c r="A163" t="s">
        <v>724</v>
      </c>
      <c r="B163" t="s">
        <v>724</v>
      </c>
      <c r="C163" s="313">
        <f>VLOOKUP($A163&amp;"GCP LF",'E11 - 2014 09 Final'!$A$46:$Q$1704,$C$135,FALSE)</f>
        <v>0.5504</v>
      </c>
      <c r="D163" s="313">
        <f>VLOOKUP($A163&amp;"GCP LF",'E11 - 2014 09 Final'!$A$46:$Q$1704,$D$135,FALSE)</f>
        <v>0.65939999999999999</v>
      </c>
      <c r="E163" s="313">
        <f>VLOOKUP($A163&amp;"GCP LF",'E11 - 2014 09 Final'!$A$46:$Q$1704,$E$135,FALSE)</f>
        <v>0.66830000000000001</v>
      </c>
      <c r="F163" s="313">
        <f>VLOOKUP($A163&amp;"GCP LF",'E11 - 2014 09 Final'!$A$46:$Q$1704,$F$135,FALSE)</f>
        <v>0.55410000000000004</v>
      </c>
      <c r="G163" s="313">
        <f>VLOOKUP($A163&amp;"GCP LF",'E11 - 2014 09 Final'!$A$46:$Q$1704,$G$135,FALSE)</f>
        <v>0.62029999999999996</v>
      </c>
      <c r="H163" s="313">
        <f>VLOOKUP($A163&amp;"GCP LF",'E11 - 2014 09 Final'!$A$46:$Q$1704,$H$135,FALSE)</f>
        <v>0.62960000000000005</v>
      </c>
      <c r="I163" s="313">
        <f>VLOOKUP($A163&amp;"GCP LF",'E11 - 2014 09 Final'!$A$46:$Q$1704,$I$135,FALSE)</f>
        <v>0.64429999999999998</v>
      </c>
      <c r="J163" s="313">
        <f>VLOOKUP($A163&amp;"GCP LF",'E11 - 2014 09 Final'!$A$46:$Q$1704,$J$135,FALSE)</f>
        <v>0.64529999999999998</v>
      </c>
      <c r="K163" s="313">
        <f>VLOOKUP($A163&amp;"GCP LF",'E11 - 2014 09 Final'!$A$46:$Q$1704,$K$135,FALSE)</f>
        <v>0.61750000000000005</v>
      </c>
      <c r="L163" s="313">
        <f>VLOOKUP($A163&amp;"GCP LF",'E11 - 2014 09 Final'!$A$46:$Q$1704,$L$135,FALSE)</f>
        <v>0.57950000000000002</v>
      </c>
      <c r="M163" s="313">
        <f>VLOOKUP($A163&amp;"GCP LF",'E11 - 2014 09 Final'!$A$46:$Q$1704,$M$135,FALSE)</f>
        <v>0.62860000000000005</v>
      </c>
      <c r="N163" s="313">
        <f>VLOOKUP($A163&amp;"GCP LF",'E11 - 2014 09 Final'!$A$46:$Q$1704,$N$135,FALSE)</f>
        <v>0.65600000000000003</v>
      </c>
      <c r="O163" s="117"/>
      <c r="P163" s="314"/>
    </row>
    <row r="164" spans="1:16" hidden="1">
      <c r="A164" t="s">
        <v>727</v>
      </c>
      <c r="B164" t="s">
        <v>986</v>
      </c>
      <c r="C164" s="313">
        <f>VLOOKUP($A164&amp;"GCP LF",'E11 - 2014 09 Final'!$A$46:$Q$1704,$C$135,FALSE)</f>
        <v>0.96640000000000004</v>
      </c>
      <c r="D164" s="313">
        <f>VLOOKUP($A164&amp;"GCP LF",'E11 - 2014 09 Final'!$A$46:$Q$1704,$D$135,FALSE)</f>
        <v>1</v>
      </c>
      <c r="E164" s="313">
        <f>VLOOKUP($A164&amp;"GCP LF",'E11 - 2014 09 Final'!$A$46:$Q$1704,$E$135,FALSE)</f>
        <v>0.99329999999999996</v>
      </c>
      <c r="F164" s="313">
        <f>VLOOKUP($A164&amp;"GCP LF",'E11 - 2014 09 Final'!$A$46:$Q$1704,$F$135,FALSE)</f>
        <v>0.92920000000000003</v>
      </c>
      <c r="G164" s="313">
        <f>VLOOKUP($A164&amp;"GCP LF",'E11 - 2014 09 Final'!$A$46:$Q$1704,$G$135,FALSE)</f>
        <v>0.98119999999999996</v>
      </c>
      <c r="H164" s="313">
        <f>VLOOKUP($A164&amp;"GCP LF",'E11 - 2014 09 Final'!$A$46:$Q$1704,$H$135,FALSE)</f>
        <v>1</v>
      </c>
      <c r="I164" s="313">
        <f>VLOOKUP($A164&amp;"GCP LF",'E11 - 2014 09 Final'!$A$46:$Q$1704,$I$135,FALSE)</f>
        <v>1</v>
      </c>
      <c r="J164" s="313">
        <f>VLOOKUP($A164&amp;"GCP LF",'E11 - 2014 09 Final'!$A$46:$Q$1704,$J$135,FALSE)</f>
        <v>1</v>
      </c>
      <c r="K164" s="313">
        <f>VLOOKUP($A164&amp;"GCP LF",'E11 - 2014 09 Final'!$A$46:$Q$1704,$K$135,FALSE)</f>
        <v>1</v>
      </c>
      <c r="L164" s="313">
        <f>VLOOKUP($A164&amp;"GCP LF",'E11 - 2014 09 Final'!$A$46:$Q$1704,$L$135,FALSE)</f>
        <v>0.96909999999999996</v>
      </c>
      <c r="M164" s="313">
        <f>VLOOKUP($A164&amp;"GCP LF",'E11 - 2014 09 Final'!$A$46:$Q$1704,$M$135,FALSE)</f>
        <v>0.96809999999999996</v>
      </c>
      <c r="N164" s="313">
        <f>VLOOKUP($A164&amp;"GCP LF",'E11 - 2014 09 Final'!$A$46:$Q$1704,$N$135,FALSE)</f>
        <v>0.92610000000000003</v>
      </c>
      <c r="O164" s="117"/>
      <c r="P164" s="314"/>
    </row>
    <row r="165" spans="1:16">
      <c r="A165" s="43"/>
      <c r="B165" s="49"/>
      <c r="C165" s="49" t="str">
        <f>IF('Avg NCP'!D145&gt;0,+'Avg KWH'!D145/HOURS!C$13/'Avg NCP'!D145,"")</f>
        <v/>
      </c>
      <c r="D165" s="49" t="str">
        <f>IF('Avg NCP'!E145&gt;0,+'Avg KWH'!E145/HOURS!D$13/'Avg NCP'!E145,"")</f>
        <v/>
      </c>
      <c r="E165" s="49" t="str">
        <f>IF('Avg NCP'!F145&gt;0,+'Avg KWH'!F145/HOURS!E$13/'Avg NCP'!F145,"")</f>
        <v/>
      </c>
      <c r="F165" s="49" t="str">
        <f>IF('Avg NCP'!G145&gt;0,+'Avg KWH'!G145/HOURS!F$13/'Avg NCP'!G145,"")</f>
        <v/>
      </c>
      <c r="G165" s="49" t="str">
        <f>IF('Avg NCP'!H145&gt;0,+'Avg KWH'!H145/HOURS!G$13/'Avg NCP'!H145,"")</f>
        <v/>
      </c>
      <c r="H165" s="49" t="str">
        <f>IF('Avg NCP'!I145&gt;0,+'Avg KWH'!I145/HOURS!H$13/'Avg NCP'!I145,"")</f>
        <v/>
      </c>
      <c r="I165" s="49" t="str">
        <f>IF('Avg NCP'!J145&gt;0,+'Avg KWH'!J145/HOURS!I$13/'Avg NCP'!J145,"")</f>
        <v/>
      </c>
      <c r="J165" s="49" t="str">
        <f>IF('Avg NCP'!K145&gt;0,+'Avg KWH'!K145/HOURS!J$13/'Avg NCP'!K145,"")</f>
        <v/>
      </c>
      <c r="K165" s="49" t="str">
        <f>IF('Avg NCP'!L145&gt;0,+'Avg KWH'!L145/HOURS!K$13/'Avg NCP'!L145,"")</f>
        <v/>
      </c>
      <c r="L165" s="49" t="str">
        <f>IF('Avg NCP'!M145&gt;0,+'Avg KWH'!M145/HOURS!L$13/'Avg NCP'!M145,"")</f>
        <v/>
      </c>
      <c r="M165" s="49" t="str">
        <f>IF('Avg NCP'!N145&gt;0,+'Avg KWH'!N145/HOURS!M$13/'Avg NCP'!N145,"")</f>
        <v/>
      </c>
    </row>
    <row r="166" spans="1:16">
      <c r="A166" s="43"/>
      <c r="B166" s="49"/>
      <c r="C166" s="49" t="str">
        <f>IF('Avg NCP'!D146&gt;0,+'Avg KWH'!D146/HOURS!C$13/'Avg NCP'!D146,"")</f>
        <v/>
      </c>
      <c r="D166" s="49" t="str">
        <f>IF('Avg NCP'!E146&gt;0,+'Avg KWH'!E146/HOURS!D$13/'Avg NCP'!E146,"")</f>
        <v/>
      </c>
      <c r="E166" s="49" t="str">
        <f>IF('Avg NCP'!F146&gt;0,+'Avg KWH'!F146/HOURS!E$13/'Avg NCP'!F146,"")</f>
        <v/>
      </c>
      <c r="F166" s="49" t="str">
        <f>IF('Avg NCP'!G146&gt;0,+'Avg KWH'!G146/HOURS!F$13/'Avg NCP'!G146,"")</f>
        <v/>
      </c>
      <c r="G166" s="49" t="str">
        <f>IF('Avg NCP'!H146&gt;0,+'Avg KWH'!H146/HOURS!G$13/'Avg NCP'!H146,"")</f>
        <v/>
      </c>
      <c r="H166" s="49" t="str">
        <f>IF('Avg NCP'!I146&gt;0,+'Avg KWH'!I146/HOURS!H$13/'Avg NCP'!I146,"")</f>
        <v/>
      </c>
      <c r="I166" s="49" t="str">
        <f>IF('Avg NCP'!J146&gt;0,+'Avg KWH'!J146/HOURS!I$13/'Avg NCP'!J146,"")</f>
        <v/>
      </c>
      <c r="J166" s="49" t="str">
        <f>IF('Avg NCP'!K146&gt;0,+'Avg KWH'!K146/HOURS!J$13/'Avg NCP'!K146,"")</f>
        <v/>
      </c>
      <c r="K166" s="49" t="str">
        <f>IF('Avg NCP'!L146&gt;0,+'Avg KWH'!L146/HOURS!K$13/'Avg NCP'!L146,"")</f>
        <v/>
      </c>
      <c r="L166" s="49" t="str">
        <f>IF('Avg NCP'!M146&gt;0,+'Avg KWH'!M146/HOURS!L$13/'Avg NCP'!M146,"")</f>
        <v/>
      </c>
      <c r="M166" s="49" t="str">
        <f>IF('Avg NCP'!N146&gt;0,+'Avg KWH'!N146/HOURS!M$13/'Avg NCP'!N146,"")</f>
        <v/>
      </c>
    </row>
    <row r="167" spans="1:16">
      <c r="A167" s="43"/>
      <c r="B167" s="49"/>
      <c r="C167" s="49" t="str">
        <f>IF('Avg NCP'!D147&gt;0,+'Avg KWH'!D147/HOURS!C$13/'Avg NCP'!D147,"")</f>
        <v/>
      </c>
      <c r="D167" s="49" t="str">
        <f>IF('Avg NCP'!E147&gt;0,+'Avg KWH'!E147/HOURS!D$13/'Avg NCP'!E147,"")</f>
        <v/>
      </c>
      <c r="E167" s="49" t="str">
        <f>IF('Avg NCP'!F147&gt;0,+'Avg KWH'!F147/HOURS!E$13/'Avg NCP'!F147,"")</f>
        <v/>
      </c>
      <c r="F167" s="49" t="str">
        <f>IF('Avg NCP'!G147&gt;0,+'Avg KWH'!G147/HOURS!F$13/'Avg NCP'!G147,"")</f>
        <v/>
      </c>
      <c r="G167" s="49" t="str">
        <f>IF('Avg NCP'!H147&gt;0,+'Avg KWH'!H147/HOURS!G$13/'Avg NCP'!H147,"")</f>
        <v/>
      </c>
      <c r="H167" s="49" t="str">
        <f>IF('Avg NCP'!I147&gt;0,+'Avg KWH'!I147/HOURS!H$13/'Avg NCP'!I147,"")</f>
        <v/>
      </c>
      <c r="I167" s="49" t="str">
        <f>IF('Avg NCP'!J147&gt;0,+'Avg KWH'!J147/HOURS!I$13/'Avg NCP'!J147,"")</f>
        <v/>
      </c>
      <c r="J167" s="49" t="str">
        <f>IF('Avg NCP'!K147&gt;0,+'Avg KWH'!K147/HOURS!J$13/'Avg NCP'!K147,"")</f>
        <v/>
      </c>
      <c r="K167" s="49" t="str">
        <f>IF('Avg NCP'!L147&gt;0,+'Avg KWH'!L147/HOURS!K$13/'Avg NCP'!L147,"")</f>
        <v/>
      </c>
      <c r="L167" s="49" t="str">
        <f>IF('Avg NCP'!M147&gt;0,+'Avg KWH'!M147/HOURS!L$13/'Avg NCP'!M147,"")</f>
        <v/>
      </c>
      <c r="M167" s="49" t="str">
        <f>IF('Avg NCP'!N147&gt;0,+'Avg KWH'!N147/HOURS!M$13/'Avg NCP'!N147,"")</f>
        <v/>
      </c>
    </row>
    <row r="168" spans="1:16">
      <c r="A168" s="43"/>
      <c r="B168" s="49"/>
      <c r="C168" s="49" t="str">
        <f>IF('Avg NCP'!D148&gt;0,+'Avg KWH'!D148/HOURS!C$13/'Avg NCP'!D148,"")</f>
        <v/>
      </c>
      <c r="D168" s="49" t="str">
        <f>IF('Avg NCP'!E148&gt;0,+'Avg KWH'!E148/HOURS!D$13/'Avg NCP'!E148,"")</f>
        <v/>
      </c>
      <c r="E168" s="49" t="str">
        <f>IF('Avg NCP'!F148&gt;0,+'Avg KWH'!F148/HOURS!E$13/'Avg NCP'!F148,"")</f>
        <v/>
      </c>
      <c r="F168" s="49" t="str">
        <f>IF('Avg NCP'!G148&gt;0,+'Avg KWH'!G148/HOURS!F$13/'Avg NCP'!G148,"")</f>
        <v/>
      </c>
      <c r="G168" s="49" t="str">
        <f>IF('Avg NCP'!H148&gt;0,+'Avg KWH'!H148/HOURS!G$13/'Avg NCP'!H148,"")</f>
        <v/>
      </c>
      <c r="H168" s="49" t="str">
        <f>IF('Avg NCP'!I148&gt;0,+'Avg KWH'!I148/HOURS!H$13/'Avg NCP'!I148,"")</f>
        <v/>
      </c>
      <c r="I168" s="49" t="str">
        <f>IF('Avg NCP'!J148&gt;0,+'Avg KWH'!J148/HOURS!I$13/'Avg NCP'!J148,"")</f>
        <v/>
      </c>
      <c r="J168" s="49" t="str">
        <f>IF('Avg NCP'!K148&gt;0,+'Avg KWH'!K148/HOURS!J$13/'Avg NCP'!K148,"")</f>
        <v/>
      </c>
      <c r="K168" s="49" t="str">
        <f>IF('Avg NCP'!L148&gt;0,+'Avg KWH'!L148/HOURS!K$13/'Avg NCP'!L148,"")</f>
        <v/>
      </c>
      <c r="L168" s="49" t="str">
        <f>IF('Avg NCP'!M148&gt;0,+'Avg KWH'!M148/HOURS!L$13/'Avg NCP'!M148,"")</f>
        <v/>
      </c>
      <c r="M168" s="49" t="str">
        <f>IF('Avg NCP'!N148&gt;0,+'Avg KWH'!N148/HOURS!M$13/'Avg NCP'!N148,"")</f>
        <v/>
      </c>
    </row>
    <row r="169" spans="1:16">
      <c r="A169" s="43"/>
      <c r="B169" s="49"/>
      <c r="C169" s="49" t="str">
        <f>IF('Avg NCP'!D149&gt;0,+'Avg KWH'!D149/HOURS!C$13/'Avg NCP'!D149,"")</f>
        <v/>
      </c>
      <c r="D169" s="49" t="str">
        <f>IF('Avg NCP'!E149&gt;0,+'Avg KWH'!E149/HOURS!D$13/'Avg NCP'!E149,"")</f>
        <v/>
      </c>
      <c r="E169" s="49" t="str">
        <f>IF('Avg NCP'!F149&gt;0,+'Avg KWH'!F149/HOURS!E$13/'Avg NCP'!F149,"")</f>
        <v/>
      </c>
      <c r="F169" s="49" t="str">
        <f>IF('Avg NCP'!G149&gt;0,+'Avg KWH'!G149/HOURS!F$13/'Avg NCP'!G149,"")</f>
        <v/>
      </c>
      <c r="G169" s="49" t="str">
        <f>IF('Avg NCP'!H149&gt;0,+'Avg KWH'!H149/HOURS!G$13/'Avg NCP'!H149,"")</f>
        <v/>
      </c>
      <c r="H169" s="49" t="str">
        <f>IF('Avg NCP'!I149&gt;0,+'Avg KWH'!I149/HOURS!H$13/'Avg NCP'!I149,"")</f>
        <v/>
      </c>
      <c r="I169" s="49" t="str">
        <f>IF('Avg NCP'!J149&gt;0,+'Avg KWH'!J149/HOURS!I$13/'Avg NCP'!J149,"")</f>
        <v/>
      </c>
      <c r="J169" s="49" t="str">
        <f>IF('Avg NCP'!K149&gt;0,+'Avg KWH'!K149/HOURS!J$13/'Avg NCP'!K149,"")</f>
        <v/>
      </c>
      <c r="K169" s="49" t="str">
        <f>IF('Avg NCP'!L149&gt;0,+'Avg KWH'!L149/HOURS!K$13/'Avg NCP'!L149,"")</f>
        <v/>
      </c>
      <c r="L169" s="49" t="str">
        <f>IF('Avg NCP'!M149&gt;0,+'Avg KWH'!M149/HOURS!L$13/'Avg NCP'!M149,"")</f>
        <v/>
      </c>
      <c r="M169" s="49" t="str">
        <f>IF('Avg NCP'!N149&gt;0,+'Avg KWH'!N149/HOURS!M$13/'Avg NCP'!N149,"")</f>
        <v/>
      </c>
    </row>
    <row r="170" spans="1:16">
      <c r="A170" s="43"/>
      <c r="B170" s="49"/>
      <c r="C170" s="49" t="str">
        <f>IF('Avg NCP'!D150&gt;0,+'Avg KWH'!D150/HOURS!C$13/'Avg NCP'!D150,"")</f>
        <v/>
      </c>
      <c r="D170" s="49" t="str">
        <f>IF('Avg NCP'!E150&gt;0,+'Avg KWH'!E150/HOURS!D$13/'Avg NCP'!E150,"")</f>
        <v/>
      </c>
      <c r="E170" s="49" t="str">
        <f>IF('Avg NCP'!F150&gt;0,+'Avg KWH'!F150/HOURS!E$13/'Avg NCP'!F150,"")</f>
        <v/>
      </c>
      <c r="F170" s="49" t="str">
        <f>IF('Avg NCP'!G150&gt;0,+'Avg KWH'!G150/HOURS!F$13/'Avg NCP'!G150,"")</f>
        <v/>
      </c>
      <c r="G170" s="49" t="str">
        <f>IF('Avg NCP'!H150&gt;0,+'Avg KWH'!H150/HOURS!G$13/'Avg NCP'!H150,"")</f>
        <v/>
      </c>
      <c r="H170" s="49" t="str">
        <f>IF('Avg NCP'!I150&gt;0,+'Avg KWH'!I150/HOURS!H$13/'Avg NCP'!I150,"")</f>
        <v/>
      </c>
      <c r="I170" s="49" t="str">
        <f>IF('Avg NCP'!J150&gt;0,+'Avg KWH'!J150/HOURS!I$13/'Avg NCP'!J150,"")</f>
        <v/>
      </c>
      <c r="J170" s="49" t="str">
        <f>IF('Avg NCP'!K150&gt;0,+'Avg KWH'!K150/HOURS!J$13/'Avg NCP'!K150,"")</f>
        <v/>
      </c>
      <c r="K170" s="49" t="str">
        <f>IF('Avg NCP'!L150&gt;0,+'Avg KWH'!L150/HOURS!K$13/'Avg NCP'!L150,"")</f>
        <v/>
      </c>
      <c r="L170" s="49" t="str">
        <f>IF('Avg NCP'!M150&gt;0,+'Avg KWH'!M150/HOURS!L$13/'Avg NCP'!M150,"")</f>
        <v/>
      </c>
      <c r="M170" s="49" t="str">
        <f>IF('Avg NCP'!N150&gt;0,+'Avg KWH'!N150/HOURS!M$13/'Avg NCP'!N150,"")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ht="409.6">
      <c r="A174" s="43"/>
      <c r="B174" s="49"/>
      <c r="C174" s="49" t="str">
        <f>IF('Avg NCP'!D154&gt;0,+'Avg KWH'!D154/HOURS!C$13/'Avg NCP'!D154,"")</f>
        <v/>
      </c>
      <c r="D174" s="49" t="str">
        <f>IF('Avg NCP'!E154&gt;0,+'Avg KWH'!E154/HOURS!D$13/'Avg NCP'!E154,"")</f>
        <v/>
      </c>
      <c r="E174" s="49" t="str">
        <f>IF('Avg NCP'!F154&gt;0,+'Avg KWH'!F154/HOURS!E$13/'Avg NCP'!F154,"")</f>
        <v/>
      </c>
      <c r="F174" s="49" t="str">
        <f>IF('Avg NCP'!G154&gt;0,+'Avg KWH'!G154/HOURS!F$13/'Avg NCP'!G154,"")</f>
        <v/>
      </c>
      <c r="G174" s="49" t="str">
        <f>IF('Avg NCP'!H154&gt;0,+'Avg KWH'!H154/HOURS!G$13/'Avg NCP'!H154,"")</f>
        <v/>
      </c>
      <c r="H174" s="49" t="str">
        <f>IF('Avg NCP'!I154&gt;0,+'Avg KWH'!I154/HOURS!H$13/'Avg NCP'!I154,"")</f>
        <v/>
      </c>
      <c r="I174" s="49" t="str">
        <f>IF('Avg NCP'!J154&gt;0,+'Avg KWH'!J154/HOURS!I$13/'Avg NCP'!J154,"")</f>
        <v/>
      </c>
      <c r="J174" s="49" t="str">
        <f>IF('Avg NCP'!K154&gt;0,+'Avg KWH'!K154/HOURS!J$13/'Avg NCP'!K154,"")</f>
        <v/>
      </c>
      <c r="K174" s="49" t="str">
        <f>IF('Avg NCP'!L154&gt;0,+'Avg KWH'!L154/HOURS!K$13/'Avg NCP'!L154,"")</f>
        <v/>
      </c>
      <c r="L174" s="49" t="str">
        <f>IF('Avg NCP'!M154&gt;0,+'Avg KWH'!M154/HOURS!L$13/'Avg NCP'!M154,"")</f>
        <v/>
      </c>
      <c r="M174" s="49" t="str">
        <f>IF('Avg NCP'!N154&gt;0,+'Avg KWH'!N154/HOURS!M$13/'Avg NCP'!N154,"")</f>
        <v/>
      </c>
    </row>
    <row r="175" spans="1:16" ht="409.6">
      <c r="A175" s="43"/>
      <c r="B175" s="49"/>
      <c r="C175" s="49" t="str">
        <f>IF('Avg NCP'!D155&gt;0,+'Avg KWH'!D155/HOURS!C$13/'Avg NCP'!D155,"")</f>
        <v/>
      </c>
      <c r="D175" s="49" t="str">
        <f>IF('Avg NCP'!E155&gt;0,+'Avg KWH'!E155/HOURS!D$13/'Avg NCP'!E155,"")</f>
        <v/>
      </c>
      <c r="E175" s="49" t="str">
        <f>IF('Avg NCP'!F155&gt;0,+'Avg KWH'!F155/HOURS!E$13/'Avg NCP'!F155,"")</f>
        <v/>
      </c>
      <c r="F175" s="49" t="str">
        <f>IF('Avg NCP'!G155&gt;0,+'Avg KWH'!G155/HOURS!F$13/'Avg NCP'!G155,"")</f>
        <v/>
      </c>
      <c r="G175" s="49" t="str">
        <f>IF('Avg NCP'!H155&gt;0,+'Avg KWH'!H155/HOURS!G$13/'Avg NCP'!H155,"")</f>
        <v/>
      </c>
      <c r="H175" s="49" t="str">
        <f>IF('Avg NCP'!I155&gt;0,+'Avg KWH'!I155/HOURS!H$13/'Avg NCP'!I155,"")</f>
        <v/>
      </c>
      <c r="I175" s="49" t="str">
        <f>IF('Avg NCP'!J155&gt;0,+'Avg KWH'!J155/HOURS!I$13/'Avg NCP'!J155,"")</f>
        <v/>
      </c>
      <c r="J175" s="49" t="str">
        <f>IF('Avg NCP'!K155&gt;0,+'Avg KWH'!K155/HOURS!J$13/'Avg NCP'!K155,"")</f>
        <v/>
      </c>
      <c r="K175" s="49" t="str">
        <f>IF('Avg NCP'!L155&gt;0,+'Avg KWH'!L155/HOURS!K$13/'Avg NCP'!L155,"")</f>
        <v/>
      </c>
      <c r="L175" s="49" t="str">
        <f>IF('Avg NCP'!M155&gt;0,+'Avg KWH'!M155/HOURS!L$13/'Avg NCP'!M155,"")</f>
        <v/>
      </c>
      <c r="M175" s="49" t="str">
        <f>IF('Avg NCP'!N155&gt;0,+'Avg KWH'!N155/HOURS!M$13/'Avg NCP'!N155,"")</f>
        <v/>
      </c>
    </row>
    <row r="176" spans="1:16">
      <c r="A176" s="43"/>
      <c r="B176" s="49"/>
      <c r="C176" s="49" t="str">
        <f>IF('Avg NCP'!D156&gt;0,+'Avg KWH'!D156/HOURS!C$13/'Avg NCP'!D156,"")</f>
        <v/>
      </c>
      <c r="D176" s="49" t="str">
        <f>IF('Avg NCP'!E156&gt;0,+'Avg KWH'!E156/HOURS!D$13/'Avg NCP'!E156,"")</f>
        <v/>
      </c>
      <c r="E176" s="49" t="str">
        <f>IF('Avg NCP'!F156&gt;0,+'Avg KWH'!F156/HOURS!E$13/'Avg NCP'!F156,"")</f>
        <v/>
      </c>
      <c r="F176" s="49" t="str">
        <f>IF('Avg NCP'!G156&gt;0,+'Avg KWH'!G156/HOURS!F$13/'Avg NCP'!G156,"")</f>
        <v/>
      </c>
      <c r="G176" s="49" t="str">
        <f>IF('Avg NCP'!H156&gt;0,+'Avg KWH'!H156/HOURS!G$13/'Avg NCP'!H156,"")</f>
        <v/>
      </c>
      <c r="H176" s="49" t="str">
        <f>IF('Avg NCP'!I156&gt;0,+'Avg KWH'!I156/HOURS!H$13/'Avg NCP'!I156,"")</f>
        <v/>
      </c>
      <c r="I176" s="49" t="str">
        <f>IF('Avg NCP'!J156&gt;0,+'Avg KWH'!J156/HOURS!I$13/'Avg NCP'!J156,"")</f>
        <v/>
      </c>
      <c r="J176" s="49" t="str">
        <f>IF('Avg NCP'!K156&gt;0,+'Avg KWH'!K156/HOURS!J$13/'Avg NCP'!K156,"")</f>
        <v/>
      </c>
      <c r="K176" s="49" t="str">
        <f>IF('Avg NCP'!L156&gt;0,+'Avg KWH'!L156/HOURS!K$13/'Avg NCP'!L156,"")</f>
        <v/>
      </c>
      <c r="L176" s="49" t="str">
        <f>IF('Avg NCP'!M156&gt;0,+'Avg KWH'!M156/HOURS!L$13/'Avg NCP'!M156,"")</f>
        <v/>
      </c>
      <c r="M176" s="49" t="str">
        <f>IF('Avg NCP'!N156&gt;0,+'Avg KWH'!N156/HOURS!M$13/'Avg NCP'!N156,"")</f>
        <v/>
      </c>
    </row>
  </sheetData>
  <mergeCells count="8">
    <mergeCell ref="B89:P89"/>
    <mergeCell ref="B130:P130"/>
    <mergeCell ref="B131:P131"/>
    <mergeCell ref="B4:P4"/>
    <mergeCell ref="B5:P5"/>
    <mergeCell ref="B46:P46"/>
    <mergeCell ref="B47:P47"/>
    <mergeCell ref="B88:P88"/>
  </mergeCells>
  <phoneticPr fontId="9" type="noConversion"/>
  <printOptions horizontalCentered="1"/>
  <pageMargins left="0" right="0" top="0.5" bottom="0.5" header="0.5" footer="0.5"/>
  <pageSetup scale="1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0000"/>
    <pageSetUpPr fitToPage="1"/>
  </sheetPr>
  <dimension ref="A1:P176"/>
  <sheetViews>
    <sheetView showGridLines="0" zoomScale="75" zoomScaleNormal="75" workbookViewId="0">
      <selection activeCell="A2" sqref="A1:A2"/>
    </sheetView>
  </sheetViews>
  <sheetFormatPr defaultRowHeight="13.2"/>
  <cols>
    <col min="1" max="1" width="20.6640625" customWidth="1"/>
    <col min="2" max="2" width="25" customWidth="1"/>
    <col min="3" max="16" width="10.6640625" customWidth="1"/>
  </cols>
  <sheetData>
    <row r="1" spans="1:16" s="8" customFormat="1">
      <c r="A1" s="8" t="s">
        <v>1316</v>
      </c>
    </row>
    <row r="2" spans="1:16" s="8" customFormat="1">
      <c r="A2" s="8" t="s">
        <v>1267</v>
      </c>
    </row>
    <row r="3" spans="1:16" s="8" customFormat="1"/>
    <row r="4" spans="1:16" ht="21">
      <c r="B4" s="611" t="s">
        <v>150</v>
      </c>
      <c r="C4" s="611"/>
      <c r="D4" s="611"/>
      <c r="E4" s="611"/>
      <c r="F4" s="611"/>
      <c r="G4" s="611"/>
      <c r="H4" s="611"/>
      <c r="I4" s="611"/>
      <c r="J4" s="611"/>
      <c r="K4" s="611"/>
      <c r="L4" s="611"/>
      <c r="M4" s="611"/>
      <c r="N4" s="611"/>
      <c r="O4" s="611"/>
      <c r="P4" s="611"/>
    </row>
    <row r="5" spans="1:16">
      <c r="B5" s="612" t="s">
        <v>89</v>
      </c>
      <c r="C5" s="612"/>
      <c r="D5" s="612"/>
      <c r="E5" s="612"/>
      <c r="F5" s="612"/>
      <c r="G5" s="612"/>
      <c r="H5" s="612"/>
      <c r="I5" s="612"/>
      <c r="J5" s="612"/>
      <c r="K5" s="612"/>
      <c r="L5" s="612"/>
      <c r="M5" s="612"/>
      <c r="N5" s="612"/>
      <c r="O5" s="612"/>
      <c r="P5" s="612"/>
    </row>
    <row r="6" spans="1:16" ht="13.8" thickBot="1">
      <c r="B6" s="300"/>
      <c r="C6" s="300"/>
      <c r="D6" s="300"/>
      <c r="E6" s="300"/>
      <c r="F6" s="300"/>
      <c r="G6" s="300"/>
      <c r="H6" s="300"/>
      <c r="I6" s="300"/>
      <c r="J6" s="300"/>
      <c r="K6" s="300"/>
      <c r="L6" s="300"/>
      <c r="M6" s="300"/>
      <c r="N6" s="300"/>
      <c r="O6" s="300"/>
      <c r="P6" s="300"/>
    </row>
    <row r="7" spans="1:16">
      <c r="C7" s="14"/>
      <c r="D7" s="15"/>
      <c r="E7" s="16"/>
      <c r="F7" s="17"/>
      <c r="G7" s="18"/>
      <c r="H7" s="19"/>
      <c r="I7" s="20"/>
      <c r="J7" s="21"/>
      <c r="K7" s="22"/>
      <c r="L7" s="23"/>
      <c r="M7" s="24"/>
      <c r="N7" s="317"/>
      <c r="O7" s="110"/>
      <c r="P7" s="305"/>
    </row>
    <row r="8" spans="1:16" ht="13.8" thickBot="1">
      <c r="C8" s="28" t="s">
        <v>70</v>
      </c>
      <c r="D8" s="29" t="s">
        <v>71</v>
      </c>
      <c r="E8" s="30" t="s">
        <v>72</v>
      </c>
      <c r="F8" s="31" t="s">
        <v>73</v>
      </c>
      <c r="G8" s="32" t="s">
        <v>74</v>
      </c>
      <c r="H8" s="33" t="s">
        <v>75</v>
      </c>
      <c r="I8" s="34" t="s">
        <v>76</v>
      </c>
      <c r="J8" s="35" t="s">
        <v>77</v>
      </c>
      <c r="K8" s="36" t="s">
        <v>78</v>
      </c>
      <c r="L8" s="37" t="s">
        <v>79</v>
      </c>
      <c r="M8" s="38" t="s">
        <v>80</v>
      </c>
      <c r="N8" s="318" t="s">
        <v>81</v>
      </c>
      <c r="O8" s="305"/>
      <c r="P8" s="305"/>
    </row>
    <row r="9" spans="1:16" hidden="1">
      <c r="C9">
        <v>2</v>
      </c>
      <c r="D9">
        <v>3</v>
      </c>
      <c r="E9">
        <v>4</v>
      </c>
      <c r="F9">
        <v>5</v>
      </c>
      <c r="G9">
        <v>6</v>
      </c>
      <c r="H9">
        <v>7</v>
      </c>
      <c r="I9">
        <v>8</v>
      </c>
      <c r="J9">
        <v>9</v>
      </c>
      <c r="K9">
        <v>10</v>
      </c>
      <c r="L9">
        <v>11</v>
      </c>
      <c r="M9">
        <v>12</v>
      </c>
      <c r="N9">
        <v>13</v>
      </c>
      <c r="O9" s="110"/>
      <c r="P9" s="110"/>
    </row>
    <row r="10" spans="1:16">
      <c r="O10" s="110"/>
      <c r="P10" s="110"/>
    </row>
    <row r="11" spans="1:16">
      <c r="B11" s="42" t="s">
        <v>83</v>
      </c>
      <c r="O11" s="110"/>
      <c r="P11" s="110"/>
    </row>
    <row r="12" spans="1:16">
      <c r="A12" s="43" t="s">
        <v>98</v>
      </c>
      <c r="B12" s="43" t="s">
        <v>84</v>
      </c>
      <c r="C12" s="312">
        <f t="shared" ref="C12:N21" si="0">AVERAGE(VLOOKUP($B12,$B$54:$P$79,C$9,FALSE),VLOOKUP($B12,$B$96:$N$121,C$9,FALSE),VLOOKUP($B12,$B$138:$N$164,C$9,FALSE))</f>
        <v>0.70330000000000004</v>
      </c>
      <c r="D12" s="312">
        <f t="shared" si="0"/>
        <v>0.70926666666666671</v>
      </c>
      <c r="E12" s="312">
        <f t="shared" si="0"/>
        <v>0.70546666666666658</v>
      </c>
      <c r="F12" s="312">
        <f t="shared" si="0"/>
        <v>0.70856666666666668</v>
      </c>
      <c r="G12" s="312">
        <f t="shared" si="0"/>
        <v>0.71153333333333324</v>
      </c>
      <c r="H12" s="312">
        <f t="shared" si="0"/>
        <v>0.71816666666666651</v>
      </c>
      <c r="I12" s="312">
        <f t="shared" si="0"/>
        <v>0.72266666666666668</v>
      </c>
      <c r="J12" s="312">
        <f t="shared" si="0"/>
        <v>0.72356666666666669</v>
      </c>
      <c r="K12" s="312">
        <f t="shared" si="0"/>
        <v>0.72356666666666669</v>
      </c>
      <c r="L12" s="312">
        <f t="shared" si="0"/>
        <v>0.7124666666666668</v>
      </c>
      <c r="M12" s="312">
        <f t="shared" si="0"/>
        <v>0.69643333333333335</v>
      </c>
      <c r="N12" s="312">
        <f t="shared" si="0"/>
        <v>0.69783333333333319</v>
      </c>
      <c r="O12" s="117"/>
      <c r="P12" s="314"/>
    </row>
    <row r="13" spans="1:16">
      <c r="A13" s="43" t="s">
        <v>99</v>
      </c>
      <c r="B13" s="43" t="s">
        <v>85</v>
      </c>
      <c r="C13" s="312">
        <f t="shared" si="0"/>
        <v>0.68366666666666676</v>
      </c>
      <c r="D13" s="312">
        <f t="shared" si="0"/>
        <v>0.68566666666666665</v>
      </c>
      <c r="E13" s="312">
        <f t="shared" si="0"/>
        <v>0.68866666666666665</v>
      </c>
      <c r="F13" s="312">
        <f t="shared" si="0"/>
        <v>0.69010000000000005</v>
      </c>
      <c r="G13" s="312">
        <f t="shared" si="0"/>
        <v>0.67263333333333331</v>
      </c>
      <c r="H13" s="312">
        <f t="shared" si="0"/>
        <v>0.67580000000000007</v>
      </c>
      <c r="I13" s="312">
        <f t="shared" si="0"/>
        <v>0.68166666666666664</v>
      </c>
      <c r="J13" s="312">
        <f t="shared" si="0"/>
        <v>0.67973333333333341</v>
      </c>
      <c r="K13" s="312">
        <f t="shared" si="0"/>
        <v>0.68263333333333331</v>
      </c>
      <c r="L13" s="312">
        <f t="shared" si="0"/>
        <v>0.68163333333333342</v>
      </c>
      <c r="M13" s="312">
        <f t="shared" si="0"/>
        <v>0.67146666666666677</v>
      </c>
      <c r="N13" s="312">
        <f t="shared" si="0"/>
        <v>0.67200000000000004</v>
      </c>
      <c r="O13" s="117"/>
      <c r="P13" s="314"/>
    </row>
    <row r="14" spans="1:16">
      <c r="A14" s="43" t="s">
        <v>50</v>
      </c>
      <c r="B14" s="43" t="s">
        <v>50</v>
      </c>
      <c r="C14" s="312">
        <f t="shared" si="0"/>
        <v>0.73823333333333319</v>
      </c>
      <c r="D14" s="312">
        <f t="shared" si="0"/>
        <v>0.71999999999999986</v>
      </c>
      <c r="E14" s="312">
        <f t="shared" si="0"/>
        <v>0.72026666666666672</v>
      </c>
      <c r="F14" s="312">
        <f t="shared" si="0"/>
        <v>0.74313333333333331</v>
      </c>
      <c r="G14" s="312">
        <f t="shared" si="0"/>
        <v>0.75546666666666662</v>
      </c>
      <c r="H14" s="312">
        <f t="shared" si="0"/>
        <v>0.73409999999999986</v>
      </c>
      <c r="I14" s="312">
        <f t="shared" si="0"/>
        <v>0.7441333333333332</v>
      </c>
      <c r="J14" s="312">
        <f t="shared" si="0"/>
        <v>0.75209999999999999</v>
      </c>
      <c r="K14" s="312">
        <f t="shared" si="0"/>
        <v>0.72673333333333334</v>
      </c>
      <c r="L14" s="312">
        <f t="shared" si="0"/>
        <v>0.74219999999999997</v>
      </c>
      <c r="M14" s="312">
        <f t="shared" si="0"/>
        <v>0.73249999999999993</v>
      </c>
      <c r="N14" s="312">
        <f t="shared" si="0"/>
        <v>0.74146666666666672</v>
      </c>
      <c r="O14" s="117"/>
      <c r="P14" s="314"/>
    </row>
    <row r="15" spans="1:16" ht="11.25" customHeight="1">
      <c r="A15" s="43" t="s">
        <v>49</v>
      </c>
      <c r="B15" s="43" t="s">
        <v>49</v>
      </c>
      <c r="C15" s="312">
        <f t="shared" si="0"/>
        <v>0.30326666666666663</v>
      </c>
      <c r="D15" s="312">
        <f t="shared" si="0"/>
        <v>0.31563333333333332</v>
      </c>
      <c r="E15" s="312">
        <f t="shared" si="0"/>
        <v>0.31809999999999999</v>
      </c>
      <c r="F15" s="312">
        <f t="shared" si="0"/>
        <v>0.33976666666666661</v>
      </c>
      <c r="G15" s="312">
        <f t="shared" si="0"/>
        <v>0.35176666666666662</v>
      </c>
      <c r="H15" s="312">
        <f t="shared" si="0"/>
        <v>0.35770000000000007</v>
      </c>
      <c r="I15" s="312">
        <f t="shared" si="0"/>
        <v>0.37010000000000004</v>
      </c>
      <c r="J15" s="312">
        <f t="shared" si="0"/>
        <v>0.37563333333333332</v>
      </c>
      <c r="K15" s="312">
        <f t="shared" si="0"/>
        <v>0.35949999999999999</v>
      </c>
      <c r="L15" s="312">
        <f t="shared" si="0"/>
        <v>0.34656666666666663</v>
      </c>
      <c r="M15" s="312">
        <f t="shared" si="0"/>
        <v>0.31539999999999996</v>
      </c>
      <c r="N15" s="312">
        <f t="shared" si="0"/>
        <v>0.31123333333333331</v>
      </c>
      <c r="O15" s="117"/>
      <c r="P15" s="314"/>
    </row>
    <row r="16" spans="1:16">
      <c r="A16" s="46" t="s">
        <v>325</v>
      </c>
      <c r="B16" s="46" t="s">
        <v>325</v>
      </c>
      <c r="C16" s="312">
        <f t="shared" si="0"/>
        <v>0.93250000000000011</v>
      </c>
      <c r="D16" s="312">
        <f t="shared" si="0"/>
        <v>0.9428333333333333</v>
      </c>
      <c r="E16" s="312">
        <f t="shared" si="0"/>
        <v>0.93513333333333337</v>
      </c>
      <c r="F16" s="312">
        <f t="shared" si="0"/>
        <v>0.93666666666666665</v>
      </c>
      <c r="G16" s="312">
        <f t="shared" si="0"/>
        <v>0.94560000000000011</v>
      </c>
      <c r="H16" s="312">
        <f t="shared" si="0"/>
        <v>0.91813333333333336</v>
      </c>
      <c r="I16" s="312">
        <f t="shared" si="0"/>
        <v>0.94520000000000015</v>
      </c>
      <c r="J16" s="312">
        <f t="shared" si="0"/>
        <v>0.91190000000000004</v>
      </c>
      <c r="K16" s="312">
        <f t="shared" si="0"/>
        <v>0.92936666666666667</v>
      </c>
      <c r="L16" s="312">
        <f t="shared" si="0"/>
        <v>0.91970000000000007</v>
      </c>
      <c r="M16" s="312">
        <f t="shared" si="0"/>
        <v>0.93559999999999999</v>
      </c>
      <c r="N16" s="312">
        <f t="shared" si="0"/>
        <v>0.91990000000000005</v>
      </c>
      <c r="O16" s="117"/>
      <c r="P16" s="314"/>
    </row>
    <row r="17" spans="1:16">
      <c r="A17" s="43" t="s">
        <v>67</v>
      </c>
      <c r="B17" s="43" t="s">
        <v>67</v>
      </c>
      <c r="C17" s="312">
        <f t="shared" si="0"/>
        <v>0.47559999999999997</v>
      </c>
      <c r="D17" s="312">
        <f t="shared" si="0"/>
        <v>0.47946666666666671</v>
      </c>
      <c r="E17" s="312">
        <f t="shared" si="0"/>
        <v>0.47786666666666672</v>
      </c>
      <c r="F17" s="312">
        <f t="shared" si="0"/>
        <v>0.49453333333333332</v>
      </c>
      <c r="G17" s="312">
        <f t="shared" si="0"/>
        <v>0.51</v>
      </c>
      <c r="H17" s="312">
        <f t="shared" si="0"/>
        <v>0.5208666666666667</v>
      </c>
      <c r="I17" s="312">
        <f t="shared" si="0"/>
        <v>0.53333333333333333</v>
      </c>
      <c r="J17" s="312">
        <f t="shared" si="0"/>
        <v>0.5349666666666667</v>
      </c>
      <c r="K17" s="312">
        <f t="shared" si="0"/>
        <v>0.52466666666666661</v>
      </c>
      <c r="L17" s="312">
        <f t="shared" si="0"/>
        <v>0.5054333333333334</v>
      </c>
      <c r="M17" s="312">
        <f t="shared" si="0"/>
        <v>0.48073333333333329</v>
      </c>
      <c r="N17" s="312">
        <f t="shared" si="0"/>
        <v>0.48380000000000001</v>
      </c>
      <c r="O17" s="117"/>
      <c r="P17" s="314"/>
    </row>
    <row r="18" spans="1:16">
      <c r="A18" s="43" t="s">
        <v>68</v>
      </c>
      <c r="B18" s="43" t="s">
        <v>68</v>
      </c>
      <c r="C18" s="312">
        <f t="shared" si="0"/>
        <v>0.55526666666666669</v>
      </c>
      <c r="D18" s="312">
        <f t="shared" si="0"/>
        <v>0.56476666666666675</v>
      </c>
      <c r="E18" s="312">
        <f t="shared" si="0"/>
        <v>0.55246666666666666</v>
      </c>
      <c r="F18" s="312">
        <f t="shared" si="0"/>
        <v>0.5716</v>
      </c>
      <c r="G18" s="312">
        <f t="shared" si="0"/>
        <v>0.57359999999999989</v>
      </c>
      <c r="H18" s="312">
        <f t="shared" si="0"/>
        <v>0.57193333333333329</v>
      </c>
      <c r="I18" s="312">
        <f t="shared" si="0"/>
        <v>0.59576666666666667</v>
      </c>
      <c r="J18" s="312">
        <f t="shared" si="0"/>
        <v>0.58910000000000007</v>
      </c>
      <c r="K18" s="312">
        <f t="shared" si="0"/>
        <v>0.57973333333333332</v>
      </c>
      <c r="L18" s="312">
        <f t="shared" si="0"/>
        <v>0.57266666666666666</v>
      </c>
      <c r="M18" s="312">
        <f t="shared" si="0"/>
        <v>0.54959999999999998</v>
      </c>
      <c r="N18" s="312">
        <f t="shared" si="0"/>
        <v>0.54159999999999997</v>
      </c>
      <c r="O18" s="117"/>
      <c r="P18" s="314"/>
    </row>
    <row r="19" spans="1:16">
      <c r="A19" s="43" t="s">
        <v>69</v>
      </c>
      <c r="B19" s="43" t="s">
        <v>69</v>
      </c>
      <c r="C19" s="312">
        <f t="shared" si="0"/>
        <v>0.63880000000000003</v>
      </c>
      <c r="D19" s="312">
        <f t="shared" si="0"/>
        <v>0.64236666666666664</v>
      </c>
      <c r="E19" s="312">
        <f t="shared" si="0"/>
        <v>0.63780000000000003</v>
      </c>
      <c r="F19" s="312">
        <f t="shared" si="0"/>
        <v>0.65123333333333344</v>
      </c>
      <c r="G19" s="312">
        <f t="shared" si="0"/>
        <v>0.66333333333333344</v>
      </c>
      <c r="H19" s="312">
        <f t="shared" si="0"/>
        <v>0.69743333333333324</v>
      </c>
      <c r="I19" s="312">
        <f t="shared" si="0"/>
        <v>0.68046666666666666</v>
      </c>
      <c r="J19" s="312">
        <f t="shared" si="0"/>
        <v>0.6966</v>
      </c>
      <c r="K19" s="312">
        <f t="shared" si="0"/>
        <v>0.67049999999999998</v>
      </c>
      <c r="L19" s="312">
        <f t="shared" si="0"/>
        <v>0.65493333333333326</v>
      </c>
      <c r="M19" s="312">
        <f t="shared" si="0"/>
        <v>0.63249999999999995</v>
      </c>
      <c r="N19" s="312">
        <f t="shared" si="0"/>
        <v>0.6293333333333333</v>
      </c>
      <c r="O19" s="117"/>
      <c r="P19" s="314"/>
    </row>
    <row r="20" spans="1:16">
      <c r="A20" s="43" t="s">
        <v>52</v>
      </c>
      <c r="B20" s="43" t="s">
        <v>52</v>
      </c>
      <c r="C20" s="312">
        <f t="shared" si="0"/>
        <v>0.58353333333333335</v>
      </c>
      <c r="D20" s="312">
        <f t="shared" si="0"/>
        <v>0.57080000000000009</v>
      </c>
      <c r="E20" s="312">
        <f t="shared" si="0"/>
        <v>0.55220000000000002</v>
      </c>
      <c r="F20" s="312">
        <f t="shared" si="0"/>
        <v>0.56029999999999991</v>
      </c>
      <c r="G20" s="312">
        <f t="shared" si="0"/>
        <v>0.57106666666666672</v>
      </c>
      <c r="H20" s="312">
        <f t="shared" si="0"/>
        <v>0.53966666666666663</v>
      </c>
      <c r="I20" s="312">
        <f t="shared" si="0"/>
        <v>0.55276666666666663</v>
      </c>
      <c r="J20" s="312">
        <f t="shared" si="0"/>
        <v>0.58456666666666668</v>
      </c>
      <c r="K20" s="312">
        <f t="shared" si="0"/>
        <v>0.53946666666666665</v>
      </c>
      <c r="L20" s="312">
        <f t="shared" si="0"/>
        <v>0.54653333333333343</v>
      </c>
      <c r="M20" s="312">
        <f t="shared" si="0"/>
        <v>0.49199999999999999</v>
      </c>
      <c r="N20" s="312">
        <f t="shared" si="0"/>
        <v>0.5440666666666667</v>
      </c>
      <c r="O20" s="117"/>
      <c r="P20" s="314"/>
    </row>
    <row r="21" spans="1:16">
      <c r="A21" s="206" t="s">
        <v>15</v>
      </c>
      <c r="B21" s="206" t="s">
        <v>15</v>
      </c>
      <c r="C21" s="312">
        <f t="shared" si="0"/>
        <v>0.37556666666666666</v>
      </c>
      <c r="D21" s="312">
        <f t="shared" si="0"/>
        <v>0.36149999999999999</v>
      </c>
      <c r="E21" s="312">
        <f t="shared" si="0"/>
        <v>0.36260000000000003</v>
      </c>
      <c r="F21" s="312">
        <f t="shared" si="0"/>
        <v>0.37436666666666668</v>
      </c>
      <c r="G21" s="312">
        <f t="shared" si="0"/>
        <v>0.37696666666666667</v>
      </c>
      <c r="H21" s="312">
        <f t="shared" si="0"/>
        <v>0.35300000000000004</v>
      </c>
      <c r="I21" s="312">
        <f t="shared" si="0"/>
        <v>0.34806666666666669</v>
      </c>
      <c r="J21" s="312">
        <f t="shared" si="0"/>
        <v>0.36343333333333333</v>
      </c>
      <c r="K21" s="312">
        <f t="shared" si="0"/>
        <v>0.35743333333333333</v>
      </c>
      <c r="L21" s="312">
        <f t="shared" si="0"/>
        <v>0.36013333333333336</v>
      </c>
      <c r="M21" s="312">
        <f t="shared" si="0"/>
        <v>0.37133333333333329</v>
      </c>
      <c r="N21" s="312">
        <f t="shared" si="0"/>
        <v>0.37576666666666664</v>
      </c>
      <c r="O21" s="117"/>
      <c r="P21" s="314"/>
    </row>
    <row r="22" spans="1:16">
      <c r="A22" s="43" t="s">
        <v>56</v>
      </c>
      <c r="B22" s="43" t="s">
        <v>56</v>
      </c>
      <c r="C22" s="312">
        <f t="shared" ref="C22:N28" si="1">AVERAGE(VLOOKUP($B22,$B$54:$P$79,C$9,FALSE),VLOOKUP($B22,$B$96:$N$121,C$9,FALSE),VLOOKUP($B22,$B$138:$N$164,C$9,FALSE))</f>
        <v>0.55220000000000002</v>
      </c>
      <c r="D22" s="312">
        <f t="shared" si="1"/>
        <v>0.5300999999999999</v>
      </c>
      <c r="E22" s="312">
        <f t="shared" si="1"/>
        <v>0.4991666666666667</v>
      </c>
      <c r="F22" s="312">
        <f t="shared" si="1"/>
        <v>0.46799999999999997</v>
      </c>
      <c r="G22" s="312">
        <f t="shared" si="1"/>
        <v>0.44206666666666666</v>
      </c>
      <c r="H22" s="312">
        <f t="shared" si="1"/>
        <v>0.42943333333333333</v>
      </c>
      <c r="I22" s="312">
        <f t="shared" si="1"/>
        <v>0.43520000000000003</v>
      </c>
      <c r="J22" s="312">
        <f t="shared" si="1"/>
        <v>0.45700000000000002</v>
      </c>
      <c r="K22" s="312">
        <f t="shared" si="1"/>
        <v>0.48703333333333337</v>
      </c>
      <c r="L22" s="312">
        <f t="shared" si="1"/>
        <v>0.51869999999999994</v>
      </c>
      <c r="M22" s="312">
        <f t="shared" si="1"/>
        <v>0.54549999999999998</v>
      </c>
      <c r="N22" s="312">
        <f t="shared" si="1"/>
        <v>0.55863333333333332</v>
      </c>
      <c r="O22" s="117"/>
      <c r="P22" s="314"/>
    </row>
    <row r="23" spans="1:16">
      <c r="A23" s="43" t="s">
        <v>57</v>
      </c>
      <c r="B23" s="43" t="s">
        <v>57</v>
      </c>
      <c r="C23" s="312">
        <f t="shared" si="1"/>
        <v>9.7299999999999998E-2</v>
      </c>
      <c r="D23" s="312">
        <f t="shared" si="1"/>
        <v>0.10589999999999999</v>
      </c>
      <c r="E23" s="312">
        <f t="shared" si="1"/>
        <v>9.5433333333333328E-2</v>
      </c>
      <c r="F23" s="312">
        <f t="shared" si="1"/>
        <v>8.879999999999999E-2</v>
      </c>
      <c r="G23" s="312">
        <f t="shared" si="1"/>
        <v>8.539999999999999E-2</v>
      </c>
      <c r="H23" s="312">
        <f t="shared" si="1"/>
        <v>9.5799999999999996E-2</v>
      </c>
      <c r="I23" s="312">
        <f t="shared" si="1"/>
        <v>0.1033</v>
      </c>
      <c r="J23" s="312">
        <f t="shared" si="1"/>
        <v>9.7266666666666668E-2</v>
      </c>
      <c r="K23" s="312">
        <f t="shared" si="1"/>
        <v>8.8466666666666652E-2</v>
      </c>
      <c r="L23" s="312">
        <f t="shared" si="1"/>
        <v>9.8433333333333331E-2</v>
      </c>
      <c r="M23" s="312">
        <f t="shared" si="1"/>
        <v>0.10156666666666665</v>
      </c>
      <c r="N23" s="312">
        <f t="shared" si="1"/>
        <v>9.1299999999999992E-2</v>
      </c>
      <c r="O23" s="117"/>
      <c r="P23" s="314"/>
    </row>
    <row r="24" spans="1:16">
      <c r="A24" s="43" t="s">
        <v>48</v>
      </c>
      <c r="B24" s="43" t="s">
        <v>48</v>
      </c>
      <c r="C24" s="312">
        <f t="shared" si="1"/>
        <v>0.18063333333333331</v>
      </c>
      <c r="D24" s="312">
        <f t="shared" si="1"/>
        <v>0.19109999999999996</v>
      </c>
      <c r="E24" s="312">
        <f t="shared" si="1"/>
        <v>0.19496666666666665</v>
      </c>
      <c r="F24" s="312">
        <f t="shared" si="1"/>
        <v>0.22800000000000001</v>
      </c>
      <c r="G24" s="312">
        <f t="shared" si="1"/>
        <v>0.25753333333333334</v>
      </c>
      <c r="H24" s="312">
        <f t="shared" si="1"/>
        <v>0.28796666666666665</v>
      </c>
      <c r="I24" s="312">
        <f t="shared" si="1"/>
        <v>0.29766666666666669</v>
      </c>
      <c r="J24" s="312">
        <f t="shared" si="1"/>
        <v>0.30783333333333335</v>
      </c>
      <c r="K24" s="312">
        <f t="shared" si="1"/>
        <v>0.28683333333333333</v>
      </c>
      <c r="L24" s="312">
        <f t="shared" si="1"/>
        <v>0.25446666666666667</v>
      </c>
      <c r="M24" s="312">
        <f t="shared" si="1"/>
        <v>0.19823333333333334</v>
      </c>
      <c r="N24" s="312">
        <f t="shared" si="1"/>
        <v>0.19216666666666668</v>
      </c>
      <c r="O24" s="117"/>
      <c r="P24" s="314"/>
    </row>
    <row r="25" spans="1:16">
      <c r="A25" s="43" t="s">
        <v>53</v>
      </c>
      <c r="B25" s="43" t="s">
        <v>53</v>
      </c>
      <c r="C25" s="312">
        <f t="shared" si="1"/>
        <v>0.55220000000000002</v>
      </c>
      <c r="D25" s="312">
        <f t="shared" si="1"/>
        <v>0.5300999999999999</v>
      </c>
      <c r="E25" s="312">
        <f t="shared" si="1"/>
        <v>0.4991666666666667</v>
      </c>
      <c r="F25" s="312">
        <f t="shared" si="1"/>
        <v>0.46799999999999997</v>
      </c>
      <c r="G25" s="312">
        <f t="shared" si="1"/>
        <v>0.44206666666666666</v>
      </c>
      <c r="H25" s="312">
        <f t="shared" si="1"/>
        <v>0.42943333333333333</v>
      </c>
      <c r="I25" s="312">
        <f t="shared" si="1"/>
        <v>0.43520000000000003</v>
      </c>
      <c r="J25" s="312">
        <f t="shared" si="1"/>
        <v>0.45700000000000002</v>
      </c>
      <c r="K25" s="312">
        <f t="shared" si="1"/>
        <v>0.48703333333333337</v>
      </c>
      <c r="L25" s="312">
        <f t="shared" si="1"/>
        <v>0.51869999999999994</v>
      </c>
      <c r="M25" s="312">
        <f t="shared" si="1"/>
        <v>0.54549999999999998</v>
      </c>
      <c r="N25" s="312">
        <f t="shared" si="1"/>
        <v>0.55893333333333339</v>
      </c>
      <c r="O25" s="117"/>
      <c r="P25" s="314"/>
    </row>
    <row r="26" spans="1:16">
      <c r="A26" s="43" t="s">
        <v>55</v>
      </c>
      <c r="B26" s="43" t="s">
        <v>55</v>
      </c>
      <c r="C26" s="312">
        <f t="shared" si="1"/>
        <v>1</v>
      </c>
      <c r="D26" s="312">
        <f t="shared" si="1"/>
        <v>1</v>
      </c>
      <c r="E26" s="312">
        <f t="shared" si="1"/>
        <v>1</v>
      </c>
      <c r="F26" s="312">
        <f t="shared" si="1"/>
        <v>1</v>
      </c>
      <c r="G26" s="312">
        <f t="shared" si="1"/>
        <v>1</v>
      </c>
      <c r="H26" s="312">
        <f t="shared" si="1"/>
        <v>1</v>
      </c>
      <c r="I26" s="312">
        <f t="shared" si="1"/>
        <v>1</v>
      </c>
      <c r="J26" s="312">
        <f t="shared" si="1"/>
        <v>1</v>
      </c>
      <c r="K26" s="312">
        <f t="shared" si="1"/>
        <v>1</v>
      </c>
      <c r="L26" s="312">
        <f t="shared" si="1"/>
        <v>1</v>
      </c>
      <c r="M26" s="312">
        <f t="shared" si="1"/>
        <v>0.99860000000000004</v>
      </c>
      <c r="N26" s="312">
        <f t="shared" si="1"/>
        <v>1</v>
      </c>
      <c r="O26" s="117"/>
      <c r="P26" s="314"/>
    </row>
    <row r="27" spans="1:16">
      <c r="A27" s="43" t="s">
        <v>87</v>
      </c>
      <c r="B27" s="43" t="s">
        <v>87</v>
      </c>
      <c r="C27" s="312">
        <f t="shared" si="1"/>
        <v>0.20566666666666666</v>
      </c>
      <c r="D27" s="312">
        <f t="shared" si="1"/>
        <v>0.19400000000000003</v>
      </c>
      <c r="E27" s="312">
        <f t="shared" si="1"/>
        <v>0.44456666666666672</v>
      </c>
      <c r="F27" s="312">
        <f t="shared" si="1"/>
        <v>0.40799999999999997</v>
      </c>
      <c r="G27" s="312">
        <f t="shared" si="1"/>
        <v>0.4597</v>
      </c>
      <c r="H27" s="312">
        <f t="shared" si="1"/>
        <v>0.41603333333333331</v>
      </c>
      <c r="I27" s="312">
        <f t="shared" si="1"/>
        <v>0.40046666666666669</v>
      </c>
      <c r="J27" s="312">
        <f t="shared" si="1"/>
        <v>0.40113333333333334</v>
      </c>
      <c r="K27" s="312">
        <f t="shared" si="1"/>
        <v>0.40693333333333337</v>
      </c>
      <c r="L27" s="312">
        <f t="shared" si="1"/>
        <v>0.22760000000000002</v>
      </c>
      <c r="M27" s="312">
        <f t="shared" si="1"/>
        <v>0.12086666666666668</v>
      </c>
      <c r="N27" s="312">
        <f t="shared" si="1"/>
        <v>0.25016666666666665</v>
      </c>
      <c r="O27" s="117"/>
      <c r="P27" s="314"/>
    </row>
    <row r="28" spans="1:16">
      <c r="A28" s="43" t="s">
        <v>88</v>
      </c>
      <c r="B28" s="43" t="s">
        <v>88</v>
      </c>
      <c r="C28" s="312">
        <f t="shared" si="1"/>
        <v>0.1004</v>
      </c>
      <c r="D28" s="312">
        <f t="shared" si="1"/>
        <v>0.12819999999999998</v>
      </c>
      <c r="E28" s="312">
        <f t="shared" si="1"/>
        <v>8.7399999999999992E-2</v>
      </c>
      <c r="F28" s="312">
        <f t="shared" si="1"/>
        <v>0.12120000000000002</v>
      </c>
      <c r="G28" s="312">
        <f t="shared" si="1"/>
        <v>0.11199999999999999</v>
      </c>
      <c r="H28" s="312">
        <f t="shared" si="1"/>
        <v>0.11506666666666666</v>
      </c>
      <c r="I28" s="312">
        <f t="shared" si="1"/>
        <v>0.13026666666666667</v>
      </c>
      <c r="J28" s="312">
        <f t="shared" si="1"/>
        <v>0.10966666666666665</v>
      </c>
      <c r="K28" s="312">
        <f t="shared" si="1"/>
        <v>0.12906666666666666</v>
      </c>
      <c r="L28" s="312">
        <f t="shared" si="1"/>
        <v>0.16900000000000001</v>
      </c>
      <c r="M28" s="312">
        <f t="shared" si="1"/>
        <v>9.6799999999999997E-2</v>
      </c>
      <c r="N28" s="312">
        <f t="shared" si="1"/>
        <v>9.799999999999999E-2</v>
      </c>
      <c r="O28" s="117"/>
      <c r="P28" s="314"/>
    </row>
    <row r="29" spans="1:16">
      <c r="C29" s="312"/>
      <c r="D29" s="312"/>
      <c r="E29" s="312"/>
      <c r="F29" s="312"/>
      <c r="G29" s="312"/>
      <c r="H29" s="312"/>
      <c r="I29" s="312"/>
      <c r="J29" s="312"/>
      <c r="K29" s="312"/>
      <c r="L29" s="312"/>
      <c r="M29" s="312"/>
      <c r="N29" s="312"/>
      <c r="O29" s="117"/>
      <c r="P29" s="314"/>
    </row>
    <row r="30" spans="1:16" hidden="1">
      <c r="C30" s="312"/>
      <c r="D30" s="312"/>
      <c r="E30" s="312"/>
      <c r="F30" s="312"/>
      <c r="G30" s="312"/>
      <c r="H30" s="312"/>
      <c r="I30" s="312"/>
      <c r="J30" s="312"/>
      <c r="K30" s="312"/>
      <c r="L30" s="312"/>
      <c r="M30" s="312"/>
      <c r="N30" s="312"/>
      <c r="O30" s="117"/>
      <c r="P30" s="314"/>
    </row>
    <row r="31" spans="1:16" hidden="1">
      <c r="B31" s="42" t="s">
        <v>86</v>
      </c>
      <c r="C31" s="115"/>
      <c r="D31" s="115"/>
      <c r="E31" s="115"/>
      <c r="F31" s="115"/>
      <c r="G31" s="115"/>
      <c r="H31" s="115"/>
      <c r="I31" s="115"/>
      <c r="J31" s="115"/>
      <c r="K31" s="115"/>
      <c r="L31" s="115"/>
      <c r="M31" s="115"/>
      <c r="N31" s="115"/>
      <c r="O31" s="117"/>
      <c r="P31" s="117"/>
    </row>
    <row r="32" spans="1:16" hidden="1">
      <c r="A32" t="s">
        <v>603</v>
      </c>
      <c r="B32" t="s">
        <v>603</v>
      </c>
      <c r="C32" s="312">
        <f>AVERAGE(VLOOKUP($B32,$B$96:$N$121,C$9,FALSE),VLOOKUP($B32,$B$138:$N$164,C$9,FALSE))</f>
        <v>0.59109999999999996</v>
      </c>
      <c r="D32" s="312">
        <f>AVERAGE(VLOOKUP($B32,$B$96:$N$121,D$9,FALSE),VLOOKUP($B32,$B$138:$N$164,D$9,FALSE))</f>
        <v>0.58160000000000001</v>
      </c>
      <c r="E32" s="312">
        <f>AVERAGE(VLOOKUP($B32,$B$96:$N$121,E$9,FALSE),VLOOKUP($B32,$B$138:$N$164,E$9,FALSE))</f>
        <v>0.60155000000000003</v>
      </c>
      <c r="F32" s="312">
        <f>AVERAGE(VLOOKUP($B32,$B$96:$N$121,F$9,FALSE),VLOOKUP($B32,$B$138:$N$164,F$9,FALSE))</f>
        <v>0.58689999999999998</v>
      </c>
      <c r="G32" s="312">
        <f t="shared" ref="G32:N34" si="2">AVERAGE(VLOOKUP($B32,$B$54:$P$79,G$9,FALSE),VLOOKUP($B32,$B$96:$N$121,G$9,FALSE),VLOOKUP($B32,$B$138:$N$164,G$9,FALSE))</f>
        <v>0.57616666666666672</v>
      </c>
      <c r="H32" s="312">
        <f t="shared" si="2"/>
        <v>0.63143333333333329</v>
      </c>
      <c r="I32" s="312">
        <f t="shared" si="2"/>
        <v>0.62653333333333328</v>
      </c>
      <c r="J32" s="312">
        <f t="shared" si="2"/>
        <v>0.62580000000000002</v>
      </c>
      <c r="K32" s="312">
        <f t="shared" si="2"/>
        <v>0.61273333333333324</v>
      </c>
      <c r="L32" s="312">
        <f t="shared" si="2"/>
        <v>0.58309999999999995</v>
      </c>
      <c r="M32" s="312">
        <f t="shared" si="2"/>
        <v>0.6022333333333334</v>
      </c>
      <c r="N32" s="312">
        <f t="shared" si="2"/>
        <v>0.61893333333333334</v>
      </c>
      <c r="O32" s="117"/>
      <c r="P32" s="314"/>
    </row>
    <row r="33" spans="1:16" hidden="1">
      <c r="A33" t="s">
        <v>983</v>
      </c>
      <c r="B33" t="s">
        <v>983</v>
      </c>
      <c r="C33" s="312">
        <f t="shared" ref="C33:F34" si="3">AVERAGE(VLOOKUP($B33,$B$54:$P$79,C$9,FALSE),VLOOKUP($B33,$B$96:$N$121,C$9,FALSE),VLOOKUP($B33,$B$138:$N$164,C$9,FALSE))</f>
        <v>0.66199999999999992</v>
      </c>
      <c r="D33" s="312">
        <f t="shared" si="3"/>
        <v>0.6747333333333333</v>
      </c>
      <c r="E33" s="312">
        <f t="shared" si="3"/>
        <v>0.63780000000000003</v>
      </c>
      <c r="F33" s="312">
        <f t="shared" si="3"/>
        <v>0.66</v>
      </c>
      <c r="G33" s="312">
        <f t="shared" si="2"/>
        <v>0.65356666666666663</v>
      </c>
      <c r="H33" s="312">
        <f t="shared" si="2"/>
        <v>0.70210000000000006</v>
      </c>
      <c r="I33" s="312">
        <f t="shared" si="2"/>
        <v>0.70033333333333336</v>
      </c>
      <c r="J33" s="312">
        <f t="shared" si="2"/>
        <v>0.72826666666666673</v>
      </c>
      <c r="K33" s="312">
        <f t="shared" si="2"/>
        <v>0.67546666666666655</v>
      </c>
      <c r="L33" s="312">
        <f t="shared" si="2"/>
        <v>0.66059999999999997</v>
      </c>
      <c r="M33" s="312">
        <f t="shared" si="2"/>
        <v>0.67023333333333335</v>
      </c>
      <c r="N33" s="312">
        <f t="shared" si="2"/>
        <v>0.64080000000000004</v>
      </c>
      <c r="O33" s="117"/>
      <c r="P33" s="314"/>
    </row>
    <row r="34" spans="1:16" hidden="1">
      <c r="A34" t="s">
        <v>984</v>
      </c>
      <c r="B34" t="s">
        <v>984</v>
      </c>
      <c r="C34" s="312">
        <f t="shared" si="3"/>
        <v>0.59073333333333333</v>
      </c>
      <c r="D34" s="312">
        <f t="shared" si="3"/>
        <v>0.62863333333333327</v>
      </c>
      <c r="E34" s="312">
        <f t="shared" si="3"/>
        <v>0.65580000000000005</v>
      </c>
      <c r="F34" s="312">
        <f t="shared" si="3"/>
        <v>0.61573333333333335</v>
      </c>
      <c r="G34" s="312">
        <f t="shared" si="2"/>
        <v>0.63516666666666666</v>
      </c>
      <c r="H34" s="312">
        <f t="shared" si="2"/>
        <v>0.63976666666666659</v>
      </c>
      <c r="I34" s="312">
        <f t="shared" si="2"/>
        <v>0.64933333333333332</v>
      </c>
      <c r="J34" s="312">
        <f t="shared" si="2"/>
        <v>0.65466666666666662</v>
      </c>
      <c r="K34" s="312">
        <f t="shared" si="2"/>
        <v>0.63663333333333338</v>
      </c>
      <c r="L34" s="312">
        <f t="shared" si="2"/>
        <v>0.61450000000000005</v>
      </c>
      <c r="M34" s="312">
        <f t="shared" si="2"/>
        <v>0.66016666666666668</v>
      </c>
      <c r="N34" s="312">
        <f t="shared" si="2"/>
        <v>0.67266666666666663</v>
      </c>
      <c r="O34" s="117"/>
      <c r="P34" s="314"/>
    </row>
    <row r="35" spans="1:16" hidden="1">
      <c r="A35" t="s">
        <v>985</v>
      </c>
      <c r="B35" t="s">
        <v>985</v>
      </c>
      <c r="C35" s="394">
        <f>AVERAGE(M35,N35,D35,E35)</f>
        <v>0.93932499999999997</v>
      </c>
      <c r="D35" s="312">
        <f t="shared" ref="D35:N35" si="4">AVERAGE(VLOOKUP($B35,$B$138:$N$164,D$9,FALSE))</f>
        <v>0.79259999999999997</v>
      </c>
      <c r="E35" s="312">
        <f t="shared" si="4"/>
        <v>1</v>
      </c>
      <c r="F35" s="312">
        <f t="shared" si="4"/>
        <v>1</v>
      </c>
      <c r="G35" s="312">
        <f t="shared" si="4"/>
        <v>0.9929</v>
      </c>
      <c r="H35" s="312">
        <f t="shared" si="4"/>
        <v>0.9163</v>
      </c>
      <c r="I35" s="312">
        <f t="shared" si="4"/>
        <v>0.94589999999999996</v>
      </c>
      <c r="J35" s="312">
        <f t="shared" si="4"/>
        <v>0.95889999999999997</v>
      </c>
      <c r="K35" s="312">
        <f t="shared" si="4"/>
        <v>0.99439999999999995</v>
      </c>
      <c r="L35" s="312">
        <f t="shared" si="4"/>
        <v>0.98019999999999996</v>
      </c>
      <c r="M35" s="312">
        <f t="shared" si="4"/>
        <v>0.99860000000000004</v>
      </c>
      <c r="N35" s="312">
        <f t="shared" si="4"/>
        <v>0.96609999999999996</v>
      </c>
      <c r="O35" s="117"/>
      <c r="P35" s="314"/>
    </row>
    <row r="36" spans="1:16" hidden="1">
      <c r="A36" t="s">
        <v>691</v>
      </c>
      <c r="B36" t="s">
        <v>691</v>
      </c>
      <c r="C36" s="394">
        <f>AVERAGE($H$36:$N$36)</f>
        <v>0.4885714285714286</v>
      </c>
      <c r="D36" s="394">
        <f t="shared" ref="D36:G36" si="5">AVERAGE($H$36:$N$36)</f>
        <v>0.4885714285714286</v>
      </c>
      <c r="E36" s="394">
        <f t="shared" si="5"/>
        <v>0.4885714285714286</v>
      </c>
      <c r="F36" s="394">
        <f t="shared" si="5"/>
        <v>0.4885714285714286</v>
      </c>
      <c r="G36" s="394">
        <f t="shared" si="5"/>
        <v>0.4885714285714286</v>
      </c>
      <c r="H36" s="312">
        <f t="shared" ref="H36:N36" si="6">AVERAGE(VLOOKUP($B36,$B$138:$N$164,H$9,FALSE))</f>
        <v>0.56879999999999997</v>
      </c>
      <c r="I36" s="312">
        <f t="shared" si="6"/>
        <v>0.61060000000000003</v>
      </c>
      <c r="J36" s="312">
        <f t="shared" si="6"/>
        <v>0.64549999999999996</v>
      </c>
      <c r="K36" s="312">
        <f t="shared" si="6"/>
        <v>0.64839999999999998</v>
      </c>
      <c r="L36" s="312">
        <f t="shared" si="6"/>
        <v>0.58520000000000005</v>
      </c>
      <c r="M36" s="312">
        <f t="shared" si="6"/>
        <v>0.27029999999999998</v>
      </c>
      <c r="N36" s="312">
        <f t="shared" si="6"/>
        <v>9.1200000000000003E-2</v>
      </c>
      <c r="O36" s="117"/>
      <c r="P36" s="314"/>
    </row>
    <row r="37" spans="1:16" hidden="1">
      <c r="A37" t="s">
        <v>724</v>
      </c>
      <c r="B37" t="s">
        <v>724</v>
      </c>
      <c r="C37" s="312">
        <f t="shared" ref="C37:N37" si="7">AVERAGE(VLOOKUP($B37,$B$54:$P$79,C$9,FALSE),VLOOKUP($B37,$B$96:$N$121,C$9,FALSE),VLOOKUP($B37,$B$138:$N$164,C$9,FALSE))</f>
        <v>0.56523333333333337</v>
      </c>
      <c r="D37" s="312">
        <f t="shared" si="7"/>
        <v>0.58933333333333338</v>
      </c>
      <c r="E37" s="312">
        <f t="shared" si="7"/>
        <v>0.60853333333333337</v>
      </c>
      <c r="F37" s="312">
        <f t="shared" si="7"/>
        <v>0.58330000000000004</v>
      </c>
      <c r="G37" s="312">
        <f t="shared" si="7"/>
        <v>0.61186666666666667</v>
      </c>
      <c r="H37" s="312">
        <f t="shared" si="7"/>
        <v>0.61399999999999999</v>
      </c>
      <c r="I37" s="312">
        <f t="shared" si="7"/>
        <v>0.62653333333333328</v>
      </c>
      <c r="J37" s="312">
        <f t="shared" si="7"/>
        <v>0.6377666666666667</v>
      </c>
      <c r="K37" s="312">
        <f t="shared" si="7"/>
        <v>0.61646666666666672</v>
      </c>
      <c r="L37" s="312">
        <f t="shared" si="7"/>
        <v>0.59760000000000002</v>
      </c>
      <c r="M37" s="312">
        <f t="shared" si="7"/>
        <v>0.64483333333333326</v>
      </c>
      <c r="N37" s="312">
        <f t="shared" si="7"/>
        <v>0.64040000000000008</v>
      </c>
      <c r="O37" s="117"/>
      <c r="P37" s="314"/>
    </row>
    <row r="38" spans="1:16" hidden="1">
      <c r="A38" t="s">
        <v>986</v>
      </c>
      <c r="B38" t="s">
        <v>986</v>
      </c>
      <c r="C38" s="312">
        <f t="shared" ref="C38:N38" si="8">AVERAGE(VLOOKUP($B38,$B$138:$N$164,C$9,FALSE))</f>
        <v>0.96640000000000004</v>
      </c>
      <c r="D38" s="312">
        <f t="shared" si="8"/>
        <v>1</v>
      </c>
      <c r="E38" s="312">
        <f t="shared" si="8"/>
        <v>0.99329999999999996</v>
      </c>
      <c r="F38" s="312">
        <f t="shared" si="8"/>
        <v>0.92920000000000003</v>
      </c>
      <c r="G38" s="312">
        <f t="shared" si="8"/>
        <v>0.98119999999999996</v>
      </c>
      <c r="H38" s="312">
        <f t="shared" si="8"/>
        <v>1</v>
      </c>
      <c r="I38" s="312">
        <f t="shared" si="8"/>
        <v>1</v>
      </c>
      <c r="J38" s="312">
        <f t="shared" si="8"/>
        <v>1</v>
      </c>
      <c r="K38" s="312">
        <f t="shared" si="8"/>
        <v>1</v>
      </c>
      <c r="L38" s="312">
        <f t="shared" si="8"/>
        <v>0.96909999999999996</v>
      </c>
      <c r="M38" s="312">
        <f t="shared" si="8"/>
        <v>0.96809999999999996</v>
      </c>
      <c r="N38" s="312">
        <f t="shared" si="8"/>
        <v>0.92610000000000003</v>
      </c>
      <c r="O38" s="117"/>
      <c r="P38" s="314"/>
    </row>
    <row r="39" spans="1:16" hidden="1">
      <c r="B39" s="43"/>
    </row>
    <row r="40" spans="1:16" hidden="1">
      <c r="C40" s="394">
        <v>0.49230000000000002</v>
      </c>
      <c r="D40" s="394">
        <v>0.63839999999999997</v>
      </c>
      <c r="E40" s="394">
        <v>0.75280000000000002</v>
      </c>
      <c r="F40" s="394">
        <v>0.87380000000000002</v>
      </c>
      <c r="G40" s="394">
        <v>0.76290000000000002</v>
      </c>
      <c r="H40" s="394">
        <v>0.8054</v>
      </c>
      <c r="I40" s="394">
        <v>0.96940000000000004</v>
      </c>
      <c r="J40" s="394">
        <v>0.67320000000000002</v>
      </c>
      <c r="K40" s="394">
        <v>0.55300000000000005</v>
      </c>
    </row>
    <row r="41" spans="1:16" hidden="1"/>
    <row r="42" spans="1:16" hidden="1"/>
    <row r="43" spans="1:16" hidden="1"/>
    <row r="44" spans="1:16" hidden="1"/>
    <row r="45" spans="1:16" hidden="1"/>
    <row r="46" spans="1:16" ht="21">
      <c r="B46" s="611" t="s">
        <v>150</v>
      </c>
      <c r="C46" s="611"/>
      <c r="D46" s="611"/>
      <c r="E46" s="611"/>
      <c r="F46" s="611"/>
      <c r="G46" s="611"/>
      <c r="H46" s="611"/>
      <c r="I46" s="611"/>
      <c r="J46" s="611"/>
      <c r="K46" s="611"/>
      <c r="L46" s="611"/>
      <c r="M46" s="611"/>
      <c r="N46" s="611"/>
      <c r="O46" s="611"/>
      <c r="P46" s="611"/>
    </row>
    <row r="47" spans="1:16" ht="17.399999999999999">
      <c r="B47" s="610" t="str">
        <f>+MANUAL!$B$5 &amp;" as Calculated by LodeStar Except as Noted"</f>
        <v>2012 as Calculated by LodeStar Except as Noted</v>
      </c>
      <c r="C47" s="610"/>
      <c r="D47" s="610"/>
      <c r="E47" s="610"/>
      <c r="F47" s="610"/>
      <c r="G47" s="610"/>
      <c r="H47" s="610"/>
      <c r="I47" s="610"/>
      <c r="J47" s="610"/>
      <c r="K47" s="610"/>
      <c r="L47" s="610"/>
      <c r="M47" s="610"/>
      <c r="N47" s="610"/>
      <c r="O47" s="610"/>
      <c r="P47" s="610"/>
    </row>
    <row r="48" spans="1:16" ht="13.8" thickBot="1">
      <c r="B48" s="300"/>
      <c r="C48" s="300"/>
      <c r="D48" s="300"/>
      <c r="E48" s="300"/>
      <c r="F48" s="300"/>
      <c r="G48" s="300"/>
      <c r="H48" s="300"/>
      <c r="I48" s="300"/>
      <c r="J48" s="300"/>
      <c r="K48" s="300"/>
      <c r="L48" s="300"/>
      <c r="M48" s="300"/>
      <c r="N48" s="300"/>
      <c r="O48" s="300"/>
      <c r="P48" s="300"/>
    </row>
    <row r="49" spans="1:16">
      <c r="C49" s="14"/>
      <c r="D49" s="15"/>
      <c r="E49" s="16"/>
      <c r="F49" s="17"/>
      <c r="G49" s="18"/>
      <c r="H49" s="19"/>
      <c r="I49" s="20"/>
      <c r="J49" s="21"/>
      <c r="K49" s="22"/>
      <c r="L49" s="23"/>
      <c r="M49" s="24"/>
      <c r="N49" s="317"/>
      <c r="O49" s="110"/>
      <c r="P49" s="305"/>
    </row>
    <row r="50" spans="1:16" ht="13.8" thickBot="1">
      <c r="C50" s="28" t="s">
        <v>70</v>
      </c>
      <c r="D50" s="29" t="s">
        <v>71</v>
      </c>
      <c r="E50" s="30" t="s">
        <v>72</v>
      </c>
      <c r="F50" s="31" t="s">
        <v>73</v>
      </c>
      <c r="G50" s="32" t="s">
        <v>74</v>
      </c>
      <c r="H50" s="33" t="s">
        <v>75</v>
      </c>
      <c r="I50" s="34" t="s">
        <v>76</v>
      </c>
      <c r="J50" s="35" t="s">
        <v>77</v>
      </c>
      <c r="K50" s="36" t="s">
        <v>78</v>
      </c>
      <c r="L50" s="37" t="s">
        <v>79</v>
      </c>
      <c r="M50" s="38" t="s">
        <v>80</v>
      </c>
      <c r="N50" s="318" t="s">
        <v>81</v>
      </c>
      <c r="O50" s="305"/>
      <c r="P50" s="305"/>
    </row>
    <row r="51" spans="1:16" hidden="1">
      <c r="C51">
        <v>4</v>
      </c>
      <c r="D51">
        <f>C51+1</f>
        <v>5</v>
      </c>
      <c r="E51">
        <f t="shared" ref="E51:N51" si="9">D51+1</f>
        <v>6</v>
      </c>
      <c r="F51">
        <f t="shared" si="9"/>
        <v>7</v>
      </c>
      <c r="G51">
        <f t="shared" si="9"/>
        <v>8</v>
      </c>
      <c r="H51">
        <f t="shared" si="9"/>
        <v>9</v>
      </c>
      <c r="I51">
        <f t="shared" si="9"/>
        <v>10</v>
      </c>
      <c r="J51">
        <f t="shared" si="9"/>
        <v>11</v>
      </c>
      <c r="K51">
        <f t="shared" si="9"/>
        <v>12</v>
      </c>
      <c r="L51">
        <f t="shared" si="9"/>
        <v>13</v>
      </c>
      <c r="M51">
        <f t="shared" si="9"/>
        <v>14</v>
      </c>
      <c r="N51">
        <f t="shared" si="9"/>
        <v>15</v>
      </c>
      <c r="O51" s="110"/>
      <c r="P51" s="110"/>
    </row>
    <row r="52" spans="1:16">
      <c r="O52" s="110"/>
      <c r="P52" s="110"/>
    </row>
    <row r="53" spans="1:16">
      <c r="B53" s="42" t="s">
        <v>83</v>
      </c>
      <c r="O53" s="110"/>
      <c r="P53" s="110"/>
    </row>
    <row r="54" spans="1:16">
      <c r="A54" t="s">
        <v>122</v>
      </c>
      <c r="B54" s="43" t="s">
        <v>84</v>
      </c>
      <c r="C54" s="313">
        <f>VLOOKUP($A54&amp;"NCP LF",'E11 - 2012 09 Final'!$A$46:$P$2419,$C$51,FALSE)</f>
        <v>0.69350000000000001</v>
      </c>
      <c r="D54" s="313">
        <f>VLOOKUP($A54&amp;"NCP LF",'E11 - 2012 09 Final'!$A$46:$P$2419,$D$51,FALSE)</f>
        <v>0.70709999999999995</v>
      </c>
      <c r="E54" s="313">
        <f>VLOOKUP($A54&amp;"NCP LF",'E11 - 2012 09 Final'!$A$46:$P$2419,$E$51,FALSE)</f>
        <v>0.71230000000000004</v>
      </c>
      <c r="F54" s="313">
        <f>VLOOKUP($A54&amp;"NCP LF",'E11 - 2012 09 Final'!$A$46:$P$2419,$F$51,FALSE)</f>
        <v>0.70540000000000003</v>
      </c>
      <c r="G54" s="313">
        <f>VLOOKUP($A54&amp;"NCP LF",'E11 - 2012 09 Final'!$A$46:$P$2419,$G$51,FALSE)</f>
        <v>0.71220000000000006</v>
      </c>
      <c r="H54" s="313">
        <f>VLOOKUP($A54&amp;"NCP LF",'E11 - 2012 09 Final'!$A$46:$P$2419,$H$51,FALSE)</f>
        <v>0.7147</v>
      </c>
      <c r="I54" s="313">
        <f>VLOOKUP($A54&amp;"NCP LF",'E11 - 2012 09 Final'!$A$46:$P$2419,$I$51,FALSE)</f>
        <v>0.73170000000000002</v>
      </c>
      <c r="J54" s="313">
        <f>VLOOKUP($A54&amp;"NCP LF",'E11 - 2012 09 Final'!$A$46:$P$2419,$J$51,FALSE)</f>
        <v>0.71109999999999995</v>
      </c>
      <c r="K54" s="313">
        <f>VLOOKUP($A54&amp;"NCP LF",'E11 - 2012 09 Final'!$A$46:$P$2419,$K$51,FALSE)</f>
        <v>0.72570000000000001</v>
      </c>
      <c r="L54" s="313">
        <f>VLOOKUP($A54&amp;"NCP LF",'E11 - 2012 09 Final'!$A$46:$P$2419,$L$51,FALSE)</f>
        <v>0.71130000000000004</v>
      </c>
      <c r="M54" s="313">
        <f>VLOOKUP($A54&amp;"NCP LF",'E11 - 2012 09 Final'!$A$46:$P$2419,$M$51,FALSE)</f>
        <v>0.70940000000000003</v>
      </c>
      <c r="N54" s="313">
        <f>VLOOKUP($A54&amp;"NCP LF",'E11 - 2012 09 Final'!$A$46:$P$2419,$N$51,FALSE)</f>
        <v>0.69240000000000002</v>
      </c>
      <c r="O54" s="117"/>
      <c r="P54" s="314"/>
    </row>
    <row r="55" spans="1:16">
      <c r="A55" t="s">
        <v>177</v>
      </c>
      <c r="B55" s="43" t="s">
        <v>85</v>
      </c>
      <c r="C55" s="313">
        <f>VLOOKUP($A55&amp;"NCP LF",'E11 - 2012 09 Final'!$A$46:$P$2419,$C$51,FALSE)</f>
        <v>0.67869999999999997</v>
      </c>
      <c r="D55" s="313">
        <f>VLOOKUP($A55&amp;"NCP LF",'E11 - 2012 09 Final'!$A$46:$P$2419,$D$51,FALSE)</f>
        <v>0.68940000000000001</v>
      </c>
      <c r="E55" s="313">
        <f>VLOOKUP($A55&amp;"NCP LF",'E11 - 2012 09 Final'!$A$46:$P$2419,$E$51,FALSE)</f>
        <v>0.70320000000000005</v>
      </c>
      <c r="F55" s="313">
        <f>VLOOKUP($A55&amp;"NCP LF",'E11 - 2012 09 Final'!$A$46:$P$2419,$F$51,FALSE)</f>
        <v>0.68530000000000002</v>
      </c>
      <c r="G55" s="313">
        <f>VLOOKUP($A55&amp;"NCP LF",'E11 - 2012 09 Final'!$A$46:$P$2419,$G$51,FALSE)</f>
        <v>0.69010000000000005</v>
      </c>
      <c r="H55" s="313">
        <f>VLOOKUP($A55&amp;"NCP LF",'E11 - 2012 09 Final'!$A$46:$P$2419,$H$51,FALSE)</f>
        <v>0.70279999999999998</v>
      </c>
      <c r="I55" s="313">
        <f>VLOOKUP($A55&amp;"NCP LF",'E11 - 2012 09 Final'!$A$46:$P$2419,$I$51,FALSE)</f>
        <v>0.70330000000000004</v>
      </c>
      <c r="J55" s="313">
        <f>VLOOKUP($A55&amp;"NCP LF",'E11 - 2012 09 Final'!$A$46:$P$2419,$J$51,FALSE)</f>
        <v>0.69710000000000005</v>
      </c>
      <c r="K55" s="313">
        <f>VLOOKUP($A55&amp;"NCP LF",'E11 - 2012 09 Final'!$A$46:$P$2419,$K$51,FALSE)</f>
        <v>0.6925</v>
      </c>
      <c r="L55" s="313">
        <f>VLOOKUP($A55&amp;"NCP LF",'E11 - 2012 09 Final'!$A$46:$P$2419,$L$51,FALSE)</f>
        <v>0.69169999999999998</v>
      </c>
      <c r="M55" s="313">
        <f>VLOOKUP($A55&amp;"NCP LF",'E11 - 2012 09 Final'!$A$46:$P$2419,$M$51,FALSE)</f>
        <v>0.69699999999999995</v>
      </c>
      <c r="N55" s="313">
        <f>VLOOKUP($A55&amp;"NCP LF",'E11 - 2012 09 Final'!$A$46:$P$2419,$N$51,FALSE)</f>
        <v>0.67989999999999995</v>
      </c>
      <c r="O55" s="117"/>
      <c r="P55" s="314"/>
    </row>
    <row r="56" spans="1:16">
      <c r="A56" t="s">
        <v>185</v>
      </c>
      <c r="B56" s="43" t="s">
        <v>50</v>
      </c>
      <c r="C56" s="313">
        <f>VLOOKUP($A56&amp;"NCP LF",'E11 - 2012 09 Final'!$A$46:$P$2419,$C$51,FALSE)</f>
        <v>0.7409</v>
      </c>
      <c r="D56" s="313">
        <f>VLOOKUP($A56&amp;"NCP LF",'E11 - 2012 09 Final'!$A$46:$P$2419,$D$51,FALSE)</f>
        <v>0.71699999999999997</v>
      </c>
      <c r="E56" s="313">
        <f>VLOOKUP($A56&amp;"NCP LF",'E11 - 2012 09 Final'!$A$46:$P$2419,$E$51,FALSE)</f>
        <v>0.69830000000000003</v>
      </c>
      <c r="F56" s="313">
        <f>VLOOKUP($A56&amp;"NCP LF",'E11 - 2012 09 Final'!$A$46:$P$2419,$F$51,FALSE)</f>
        <v>0.73560000000000003</v>
      </c>
      <c r="G56" s="313">
        <f>VLOOKUP($A56&amp;"NCP LF",'E11 - 2012 09 Final'!$A$46:$P$2419,$G$51,FALSE)</f>
        <v>0.75780000000000003</v>
      </c>
      <c r="H56" s="313">
        <f>VLOOKUP($A56&amp;"NCP LF",'E11 - 2012 09 Final'!$A$46:$P$2419,$H$51,FALSE)</f>
        <v>0.75139999999999996</v>
      </c>
      <c r="I56" s="313">
        <f>VLOOKUP($A56&amp;"NCP LF",'E11 - 2012 09 Final'!$A$46:$P$2419,$I$51,FALSE)</f>
        <v>0.73409999999999997</v>
      </c>
      <c r="J56" s="313">
        <f>VLOOKUP($A56&amp;"NCP LF",'E11 - 2012 09 Final'!$A$46:$P$2419,$J$51,FALSE)</f>
        <v>0.71899999999999997</v>
      </c>
      <c r="K56" s="313">
        <f>VLOOKUP($A56&amp;"NCP LF",'E11 - 2012 09 Final'!$A$46:$P$2419,$K$51,FALSE)</f>
        <v>0.73770000000000002</v>
      </c>
      <c r="L56" s="313">
        <f>VLOOKUP($A56&amp;"NCP LF",'E11 - 2012 09 Final'!$A$46:$P$2419,$L$51,FALSE)</f>
        <v>0.75339999999999996</v>
      </c>
      <c r="M56" s="313">
        <f>VLOOKUP($A56&amp;"NCP LF",'E11 - 2012 09 Final'!$A$46:$P$2419,$M$51,FALSE)</f>
        <v>0.71389999999999998</v>
      </c>
      <c r="N56" s="313">
        <f>VLOOKUP($A56&amp;"NCP LF",'E11 - 2012 09 Final'!$A$46:$P$2419,$N$51,FALSE)</f>
        <v>0.73240000000000005</v>
      </c>
      <c r="O56" s="117"/>
      <c r="P56" s="314"/>
    </row>
    <row r="57" spans="1:16">
      <c r="A57" t="s">
        <v>941</v>
      </c>
      <c r="B57" s="43" t="s">
        <v>49</v>
      </c>
      <c r="C57" s="313">
        <f>VLOOKUP($A57&amp;"NCP LF",'E11 - 2012 09 Final'!$A$46:$P$2419,$C$51,FALSE)</f>
        <v>0.2903</v>
      </c>
      <c r="D57" s="313">
        <f>VLOOKUP($A57&amp;"NCP LF",'E11 - 2012 09 Final'!$A$46:$P$2419,$D$51,FALSE)</f>
        <v>0.31040000000000001</v>
      </c>
      <c r="E57" s="313">
        <f>VLOOKUP($A57&amp;"NCP LF",'E11 - 2012 09 Final'!$A$46:$P$2419,$E$51,FALSE)</f>
        <v>0.3306</v>
      </c>
      <c r="F57" s="313">
        <f>VLOOKUP($A57&amp;"NCP LF",'E11 - 2012 09 Final'!$A$46:$P$2419,$F$51,FALSE)</f>
        <v>0.33150000000000002</v>
      </c>
      <c r="G57" s="313">
        <f>VLOOKUP($A57&amp;"NCP LF",'E11 - 2012 09 Final'!$A$46:$P$2419,$G$51,FALSE)</f>
        <v>0.3518</v>
      </c>
      <c r="H57" s="313">
        <f>VLOOKUP($A57&amp;"NCP LF",'E11 - 2012 09 Final'!$A$46:$P$2419,$H$51,FALSE)</f>
        <v>0.35970000000000002</v>
      </c>
      <c r="I57" s="313">
        <f>VLOOKUP($A57&amp;"NCP LF",'E11 - 2012 09 Final'!$A$46:$P$2419,$I$51,FALSE)</f>
        <v>0.37580000000000002</v>
      </c>
      <c r="J57" s="313">
        <f>VLOOKUP($A57&amp;"NCP LF",'E11 - 2012 09 Final'!$A$46:$P$2419,$J$51,FALSE)</f>
        <v>0.37380000000000002</v>
      </c>
      <c r="K57" s="313">
        <f>VLOOKUP($A57&amp;"NCP LF",'E11 - 2012 09 Final'!$A$46:$P$2419,$K$51,FALSE)</f>
        <v>0.35299999999999998</v>
      </c>
      <c r="L57" s="313">
        <f>VLOOKUP($A57&amp;"NCP LF",'E11 - 2012 09 Final'!$A$46:$P$2419,$L$51,FALSE)</f>
        <v>0.33779999999999999</v>
      </c>
      <c r="M57" s="313">
        <f>VLOOKUP($A57&amp;"NCP LF",'E11 - 2012 09 Final'!$A$46:$P$2419,$M$51,FALSE)</f>
        <v>0.31590000000000001</v>
      </c>
      <c r="N57" s="313">
        <f>VLOOKUP($A57&amp;"NCP LF",'E11 - 2012 09 Final'!$A$46:$P$2419,$N$51,FALSE)</f>
        <v>0.30780000000000002</v>
      </c>
      <c r="O57" s="117"/>
      <c r="P57" s="314"/>
    </row>
    <row r="58" spans="1:16">
      <c r="A58" t="s">
        <v>944</v>
      </c>
      <c r="B58" s="46" t="s">
        <v>325</v>
      </c>
      <c r="C58" s="313">
        <f>VLOOKUP($A58&amp;"NCP LF",'E11 - 2012 09 Final'!$A$46:$P$2419,$C$51,FALSE)</f>
        <v>0.94479999999999997</v>
      </c>
      <c r="D58" s="313">
        <f>VLOOKUP($A58&amp;"NCP LF",'E11 - 2012 09 Final'!$A$46:$P$2419,$D$51,FALSE)</f>
        <v>0.96550000000000002</v>
      </c>
      <c r="E58" s="313">
        <f>VLOOKUP($A58&amp;"NCP LF",'E11 - 2012 09 Final'!$A$46:$P$2419,$E$51,FALSE)</f>
        <v>0.95730000000000004</v>
      </c>
      <c r="F58" s="313">
        <f>VLOOKUP($A58&amp;"NCP LF",'E11 - 2012 09 Final'!$A$46:$P$2419,$F$51,FALSE)</f>
        <v>0.93589999999999995</v>
      </c>
      <c r="G58" s="313">
        <f>VLOOKUP($A58&amp;"NCP LF",'E11 - 2012 09 Final'!$A$46:$P$2419,$G$51,FALSE)</f>
        <v>0.96289999999999998</v>
      </c>
      <c r="H58" s="313">
        <f>VLOOKUP($A58&amp;"NCP LF",'E11 - 2012 09 Final'!$A$46:$P$2419,$H$51,FALSE)</f>
        <v>0.93359999999999999</v>
      </c>
      <c r="I58" s="313">
        <f>VLOOKUP($A58&amp;"NCP LF",'E11 - 2012 09 Final'!$A$46:$P$2419,$I$51,FALSE)</f>
        <v>0.96120000000000005</v>
      </c>
      <c r="J58" s="313">
        <f>VLOOKUP($A58&amp;"NCP LF",'E11 - 2012 09 Final'!$A$46:$P$2419,$J$51,FALSE)</f>
        <v>0.91520000000000001</v>
      </c>
      <c r="K58" s="313">
        <f>VLOOKUP($A58&amp;"NCP LF",'E11 - 2012 09 Final'!$A$46:$P$2419,$K$51,FALSE)</f>
        <v>0.94799999999999995</v>
      </c>
      <c r="L58" s="313">
        <f>VLOOKUP($A58&amp;"NCP LF",'E11 - 2012 09 Final'!$A$46:$P$2419,$L$51,FALSE)</f>
        <v>0.94550000000000001</v>
      </c>
      <c r="M58" s="313">
        <f>VLOOKUP($A58&amp;"NCP LF",'E11 - 2012 09 Final'!$A$46:$P$2419,$M$51,FALSE)</f>
        <v>0.92449999999999999</v>
      </c>
      <c r="N58" s="313">
        <f>VLOOKUP($A58&amp;"NCP LF",'E11 - 2012 09 Final'!$A$46:$P$2419,$N$51,FALSE)</f>
        <v>0.93630000000000002</v>
      </c>
      <c r="O58" s="117"/>
      <c r="P58" s="314"/>
    </row>
    <row r="59" spans="1:16">
      <c r="A59" t="s">
        <v>994</v>
      </c>
      <c r="B59" s="43" t="s">
        <v>67</v>
      </c>
      <c r="C59" s="313">
        <f>VLOOKUP($A59&amp;"NCP LF",'E11 - 2012 09 Final'!$A$46:$P$2419,$C$51,FALSE)</f>
        <v>0.48120000000000002</v>
      </c>
      <c r="D59" s="313">
        <f>VLOOKUP($A59&amp;"NCP LF",'E11 - 2012 09 Final'!$A$46:$P$2419,$D$51,FALSE)</f>
        <v>0.48230000000000001</v>
      </c>
      <c r="E59" s="313">
        <f>VLOOKUP($A59&amp;"NCP LF",'E11 - 2012 09 Final'!$A$46:$P$2419,$E$51,FALSE)</f>
        <v>0.50700000000000001</v>
      </c>
      <c r="F59" s="313">
        <f>VLOOKUP($A59&amp;"NCP LF",'E11 - 2012 09 Final'!$A$46:$P$2419,$F$51,FALSE)</f>
        <v>0.50139999999999996</v>
      </c>
      <c r="G59" s="313">
        <f>VLOOKUP($A59&amp;"NCP LF",'E11 - 2012 09 Final'!$A$46:$P$2419,$G$51,FALSE)</f>
        <v>0.51780000000000004</v>
      </c>
      <c r="H59" s="313">
        <f>VLOOKUP($A59&amp;"NCP LF",'E11 - 2012 09 Final'!$A$46:$P$2419,$H$51,FALSE)</f>
        <v>0.5232</v>
      </c>
      <c r="I59" s="313">
        <f>VLOOKUP($A59&amp;"NCP LF",'E11 - 2012 09 Final'!$A$46:$P$2419,$I$51,FALSE)</f>
        <v>0.53910000000000002</v>
      </c>
      <c r="J59" s="313">
        <f>VLOOKUP($A59&amp;"NCP LF",'E11 - 2012 09 Final'!$A$46:$P$2419,$J$51,FALSE)</f>
        <v>0.53390000000000004</v>
      </c>
      <c r="K59" s="313">
        <f>VLOOKUP($A59&amp;"NCP LF",'E11 - 2012 09 Final'!$A$46:$P$2419,$K$51,FALSE)</f>
        <v>0.53169999999999995</v>
      </c>
      <c r="L59" s="313">
        <f>VLOOKUP($A59&amp;"NCP LF",'E11 - 2012 09 Final'!$A$46:$P$2419,$L$51,FALSE)</f>
        <v>0.50529999999999997</v>
      </c>
      <c r="M59" s="313">
        <f>VLOOKUP($A59&amp;"NCP LF",'E11 - 2012 09 Final'!$A$46:$P$2419,$M$51,FALSE)</f>
        <v>0.49109999999999998</v>
      </c>
      <c r="N59" s="313">
        <f>VLOOKUP($A59&amp;"NCP LF",'E11 - 2012 09 Final'!$A$46:$P$2419,$N$51,FALSE)</f>
        <v>0.48259999999999997</v>
      </c>
      <c r="O59" s="117"/>
      <c r="P59" s="314"/>
    </row>
    <row r="60" spans="1:16">
      <c r="A60" t="s">
        <v>997</v>
      </c>
      <c r="B60" s="43" t="s">
        <v>68</v>
      </c>
      <c r="C60" s="313">
        <f>VLOOKUP($A60&amp;"NCP LF",'E11 - 2012 09 Final'!$A$46:$P$2419,$C$51,FALSE)</f>
        <v>0.53090000000000004</v>
      </c>
      <c r="D60" s="313">
        <f>VLOOKUP($A60&amp;"NCP LF",'E11 - 2012 09 Final'!$A$46:$P$2419,$D$51,FALSE)</f>
        <v>0.54690000000000005</v>
      </c>
      <c r="E60" s="313">
        <f>VLOOKUP($A60&amp;"NCP LF",'E11 - 2012 09 Final'!$A$46:$P$2419,$E$51,FALSE)</f>
        <v>0.54369999999999996</v>
      </c>
      <c r="F60" s="313">
        <f>VLOOKUP($A60&amp;"NCP LF",'E11 - 2012 09 Final'!$A$46:$P$2419,$F$51,FALSE)</f>
        <v>0.55089999999999995</v>
      </c>
      <c r="G60" s="313">
        <f>VLOOKUP($A60&amp;"NCP LF",'E11 - 2012 09 Final'!$A$46:$P$2419,$G$51,FALSE)</f>
        <v>0.55779999999999996</v>
      </c>
      <c r="H60" s="313">
        <f>VLOOKUP($A60&amp;"NCP LF",'E11 - 2012 09 Final'!$A$46:$P$2419,$H$51,FALSE)</f>
        <v>0.55369999999999997</v>
      </c>
      <c r="I60" s="313">
        <f>VLOOKUP($A60&amp;"NCP LF",'E11 - 2012 09 Final'!$A$46:$P$2419,$I$51,FALSE)</f>
        <v>0.57420000000000004</v>
      </c>
      <c r="J60" s="313">
        <f>VLOOKUP($A60&amp;"NCP LF",'E11 - 2012 09 Final'!$A$46:$P$2419,$J$51,FALSE)</f>
        <v>0.57099999999999995</v>
      </c>
      <c r="K60" s="313">
        <f>VLOOKUP($A60&amp;"NCP LF",'E11 - 2012 09 Final'!$A$46:$P$2419,$K$51,FALSE)</f>
        <v>0.55549999999999999</v>
      </c>
      <c r="L60" s="313">
        <f>VLOOKUP($A60&amp;"NCP LF",'E11 - 2012 09 Final'!$A$46:$P$2419,$L$51,FALSE)</f>
        <v>0.55159999999999998</v>
      </c>
      <c r="M60" s="313">
        <f>VLOOKUP($A60&amp;"NCP LF",'E11 - 2012 09 Final'!$A$46:$P$2419,$M$51,FALSE)</f>
        <v>0.55030000000000001</v>
      </c>
      <c r="N60" s="313">
        <f>VLOOKUP($A60&amp;"NCP LF",'E11 - 2012 09 Final'!$A$46:$P$2419,$N$51,FALSE)</f>
        <v>0.51490000000000002</v>
      </c>
      <c r="O60" s="117"/>
      <c r="P60" s="314"/>
    </row>
    <row r="61" spans="1:16">
      <c r="A61" t="s">
        <v>713</v>
      </c>
      <c r="B61" s="43" t="s">
        <v>69</v>
      </c>
      <c r="C61" s="313">
        <f>VLOOKUP($A61&amp;"NCP LF",'E11 - 2012 09 Final'!$A$46:$P$2419,$C$51,FALSE)</f>
        <v>0.64680000000000004</v>
      </c>
      <c r="D61" s="313">
        <f>VLOOKUP($A61&amp;"NCP LF",'E11 - 2012 09 Final'!$A$46:$P$2419,$D$51,FALSE)</f>
        <v>0.65249999999999997</v>
      </c>
      <c r="E61" s="313">
        <f>VLOOKUP($A61&amp;"NCP LF",'E11 - 2012 09 Final'!$A$46:$P$2419,$E$51,FALSE)</f>
        <v>0.65839999999999999</v>
      </c>
      <c r="F61" s="313">
        <f>VLOOKUP($A61&amp;"NCP LF",'E11 - 2012 09 Final'!$A$46:$P$2419,$F$51,FALSE)</f>
        <v>0.65790000000000004</v>
      </c>
      <c r="G61" s="313">
        <f>VLOOKUP($A61&amp;"NCP LF",'E11 - 2012 09 Final'!$A$46:$P$2419,$G$51,FALSE)</f>
        <v>0.67200000000000004</v>
      </c>
      <c r="H61" s="313">
        <f>VLOOKUP($A61&amp;"NCP LF",'E11 - 2012 09 Final'!$A$46:$P$2419,$H$51,FALSE)</f>
        <v>0.67579999999999996</v>
      </c>
      <c r="I61" s="313">
        <f>VLOOKUP($A61&amp;"NCP LF",'E11 - 2012 09 Final'!$A$46:$P$2419,$I$51,FALSE)</f>
        <v>0.67659999999999998</v>
      </c>
      <c r="J61" s="313">
        <f>VLOOKUP($A61&amp;"NCP LF",'E11 - 2012 09 Final'!$A$46:$P$2419,$J$51,FALSE)</f>
        <v>0.66659999999999997</v>
      </c>
      <c r="K61" s="313">
        <f>VLOOKUP($A61&amp;"NCP LF",'E11 - 2012 09 Final'!$A$46:$P$2419,$K$51,FALSE)</f>
        <v>0.66410000000000002</v>
      </c>
      <c r="L61" s="313">
        <f>VLOOKUP($A61&amp;"NCP LF",'E11 - 2012 09 Final'!$A$46:$P$2419,$L$51,FALSE)</f>
        <v>0.64329999999999998</v>
      </c>
      <c r="M61" s="313">
        <f>VLOOKUP($A61&amp;"NCP LF",'E11 - 2012 09 Final'!$A$46:$P$2419,$M$51,FALSE)</f>
        <v>0.63649999999999995</v>
      </c>
      <c r="N61" s="313">
        <f>VLOOKUP($A61&amp;"NCP LF",'E11 - 2012 09 Final'!$A$46:$P$2419,$N$51,FALSE)</f>
        <v>0.61339999999999995</v>
      </c>
      <c r="O61" s="117"/>
      <c r="P61" s="314"/>
    </row>
    <row r="62" spans="1:16">
      <c r="A62" t="s">
        <v>717</v>
      </c>
      <c r="B62" s="43" t="s">
        <v>52</v>
      </c>
      <c r="C62" s="313">
        <f>VLOOKUP($A62&amp;"NCP LF",'E11 - 2012 09 Final'!$A$46:$P$2419,$C$51,FALSE)</f>
        <v>0.56830000000000003</v>
      </c>
      <c r="D62" s="313">
        <f>VLOOKUP($A62&amp;"NCP LF",'E11 - 2012 09 Final'!$A$46:$P$2419,$D$51,FALSE)</f>
        <v>0.57579999999999998</v>
      </c>
      <c r="E62" s="313">
        <f>VLOOKUP($A62&amp;"NCP LF",'E11 - 2012 09 Final'!$A$46:$P$2419,$E$51,FALSE)</f>
        <v>0.57279999999999998</v>
      </c>
      <c r="F62" s="313">
        <f>VLOOKUP($A62&amp;"NCP LF",'E11 - 2012 09 Final'!$A$46:$P$2419,$F$51,FALSE)</f>
        <v>0.60119999999999996</v>
      </c>
      <c r="G62" s="313">
        <f>VLOOKUP($A62&amp;"NCP LF",'E11 - 2012 09 Final'!$A$46:$P$2419,$G$51,FALSE)</f>
        <v>0.53680000000000005</v>
      </c>
      <c r="H62" s="313">
        <f>VLOOKUP($A62&amp;"NCP LF",'E11 - 2012 09 Final'!$A$46:$P$2419,$H$51,FALSE)</f>
        <v>0.57599999999999996</v>
      </c>
      <c r="I62" s="313">
        <f>VLOOKUP($A62&amp;"NCP LF",'E11 - 2012 09 Final'!$A$46:$P$2419,$I$51,FALSE)</f>
        <v>0.55249999999999999</v>
      </c>
      <c r="J62" s="313">
        <f>VLOOKUP($A62&amp;"NCP LF",'E11 - 2012 09 Final'!$A$46:$P$2419,$J$51,FALSE)</f>
        <v>0.56289999999999996</v>
      </c>
      <c r="K62" s="313">
        <f>VLOOKUP($A62&amp;"NCP LF",'E11 - 2012 09 Final'!$A$46:$P$2419,$K$51,FALSE)</f>
        <v>0.4965</v>
      </c>
      <c r="L62" s="313">
        <f>VLOOKUP($A62&amp;"NCP LF",'E11 - 2012 09 Final'!$A$46:$P$2419,$L$51,FALSE)</f>
        <v>0.47210000000000002</v>
      </c>
      <c r="M62" s="313">
        <f>VLOOKUP($A62&amp;"NCP LF",'E11 - 2012 09 Final'!$A$46:$P$2419,$M$51,FALSE)</f>
        <v>0.47470000000000001</v>
      </c>
      <c r="N62" s="313">
        <f>VLOOKUP($A62&amp;"NCP LF",'E11 - 2012 09 Final'!$A$46:$P$2419,$N$51,FALSE)</f>
        <v>0.58879999999999999</v>
      </c>
      <c r="O62" s="117"/>
      <c r="P62" s="314"/>
    </row>
    <row r="63" spans="1:16">
      <c r="A63" t="s">
        <v>15</v>
      </c>
      <c r="B63" s="206" t="s">
        <v>15</v>
      </c>
      <c r="C63" s="313">
        <f>VLOOKUP($A63&amp;"NCP LF",'E11 - 2012 09 Final'!$A$46:$P$2419,$C$51,FALSE)</f>
        <v>0.55959999999999999</v>
      </c>
      <c r="D63" s="313">
        <f>VLOOKUP($A63&amp;"NCP LF",'E11 - 2012 09 Final'!$A$46:$P$2419,$D$51,FALSE)</f>
        <v>0.55500000000000005</v>
      </c>
      <c r="E63" s="313">
        <f>VLOOKUP($A63&amp;"NCP LF",'E11 - 2012 09 Final'!$A$46:$P$2419,$E$51,FALSE)</f>
        <v>0.56610000000000005</v>
      </c>
      <c r="F63" s="313">
        <f>VLOOKUP($A63&amp;"NCP LF",'E11 - 2012 09 Final'!$A$46:$P$2419,$F$51,FALSE)</f>
        <v>0.58179999999999998</v>
      </c>
      <c r="G63" s="313">
        <f>VLOOKUP($A63&amp;"NCP LF",'E11 - 2012 09 Final'!$A$46:$P$2419,$G$51,FALSE)</f>
        <v>0.57940000000000003</v>
      </c>
      <c r="H63" s="313">
        <f>VLOOKUP($A63&amp;"NCP LF",'E11 - 2012 09 Final'!$A$46:$P$2419,$H$51,FALSE)</f>
        <v>0.53380000000000005</v>
      </c>
      <c r="I63" s="313">
        <f>VLOOKUP($A63&amp;"NCP LF",'E11 - 2012 09 Final'!$A$46:$P$2419,$I$51,FALSE)</f>
        <v>0.52749999999999997</v>
      </c>
      <c r="J63" s="313">
        <f>VLOOKUP($A63&amp;"NCP LF",'E11 - 2012 09 Final'!$A$46:$P$2419,$J$51,FALSE)</f>
        <v>0.57709999999999995</v>
      </c>
      <c r="K63" s="313">
        <f>VLOOKUP($A63&amp;"NCP LF",'E11 - 2012 09 Final'!$A$46:$P$2419,$K$51,FALSE)</f>
        <v>0.57410000000000005</v>
      </c>
      <c r="L63" s="313">
        <f>VLOOKUP($A63&amp;"NCP LF",'E11 - 2012 09 Final'!$A$46:$P$2419,$L$51,FALSE)</f>
        <v>0.54779999999999995</v>
      </c>
      <c r="M63" s="313">
        <f>VLOOKUP($A63&amp;"NCP LF",'E11 - 2012 09 Final'!$A$46:$P$2419,$M$51,FALSE)</f>
        <v>0.57669999999999999</v>
      </c>
      <c r="N63" s="313">
        <f>VLOOKUP($A63&amp;"NCP LF",'E11 - 2012 09 Final'!$A$46:$P$2419,$N$51,FALSE)</f>
        <v>0.56769999999999998</v>
      </c>
      <c r="O63" s="117"/>
      <c r="P63" s="314"/>
    </row>
    <row r="64" spans="1:16">
      <c r="A64" t="s">
        <v>19</v>
      </c>
      <c r="B64" s="43" t="s">
        <v>56</v>
      </c>
      <c r="C64" s="313">
        <f>VLOOKUP($A64&amp;"NCP LF",'E11 - 2012 09 Final'!$A$46:$P$2419,$C$51,FALSE)</f>
        <v>0.55220000000000002</v>
      </c>
      <c r="D64" s="313">
        <f>VLOOKUP($A64&amp;"NCP LF",'E11 - 2012 09 Final'!$A$46:$P$2419,$D$51,FALSE)</f>
        <v>0.52959999999999996</v>
      </c>
      <c r="E64" s="313">
        <f>VLOOKUP($A64&amp;"NCP LF",'E11 - 2012 09 Final'!$A$46:$P$2419,$E$51,FALSE)</f>
        <v>0.49840000000000001</v>
      </c>
      <c r="F64" s="313">
        <f>VLOOKUP($A64&amp;"NCP LF",'E11 - 2012 09 Final'!$A$46:$P$2419,$F$51,FALSE)</f>
        <v>0.46750000000000003</v>
      </c>
      <c r="G64" s="313">
        <f>VLOOKUP($A64&amp;"NCP LF",'E11 - 2012 09 Final'!$A$46:$P$2419,$G$51,FALSE)</f>
        <v>0.44190000000000002</v>
      </c>
      <c r="H64" s="313">
        <f>VLOOKUP($A64&amp;"NCP LF",'E11 - 2012 09 Final'!$A$46:$P$2419,$H$51,FALSE)</f>
        <v>0.42970000000000003</v>
      </c>
      <c r="I64" s="313">
        <f>VLOOKUP($A64&amp;"NCP LF",'E11 - 2012 09 Final'!$A$46:$P$2419,$I$51,FALSE)</f>
        <v>0.43580000000000002</v>
      </c>
      <c r="J64" s="313">
        <f>VLOOKUP($A64&amp;"NCP LF",'E11 - 2012 09 Final'!$A$46:$P$2419,$J$51,FALSE)</f>
        <v>0.45779999999999998</v>
      </c>
      <c r="K64" s="313">
        <f>VLOOKUP($A64&amp;"NCP LF",'E11 - 2012 09 Final'!$A$46:$P$2419,$K$51,FALSE)</f>
        <v>0.48780000000000001</v>
      </c>
      <c r="L64" s="313">
        <f>VLOOKUP($A64&amp;"NCP LF",'E11 - 2012 09 Final'!$A$46:$P$2419,$L$51,FALSE)</f>
        <v>0.51929999999999998</v>
      </c>
      <c r="M64" s="313">
        <f>VLOOKUP($A64&amp;"NCP LF",'E11 - 2012 09 Final'!$A$46:$P$2419,$M$51,FALSE)</f>
        <v>0.54569999999999996</v>
      </c>
      <c r="N64" s="313">
        <f>VLOOKUP($A64&amp;"NCP LF",'E11 - 2012 09 Final'!$A$46:$P$2419,$N$51,FALSE)</f>
        <v>0.55869999999999997</v>
      </c>
      <c r="O64" s="117"/>
      <c r="P64" s="314"/>
    </row>
    <row r="65" spans="1:16">
      <c r="A65" t="s">
        <v>22</v>
      </c>
      <c r="B65" s="43" t="s">
        <v>57</v>
      </c>
      <c r="C65" s="313">
        <f>VLOOKUP($A65&amp;"NCP LF",'E11 - 2012 09 Final'!$A$46:$P$2419,$C$51,FALSE)</f>
        <v>9.8000000000000004E-2</v>
      </c>
      <c r="D65" s="313">
        <f>VLOOKUP($A65&amp;"NCP LF",'E11 - 2012 09 Final'!$A$46:$P$2419,$D$51,FALSE)</f>
        <v>0.1045</v>
      </c>
      <c r="E65" s="313">
        <f>VLOOKUP($A65&amp;"NCP LF",'E11 - 2012 09 Final'!$A$46:$P$2419,$E$51,FALSE)</f>
        <v>0.1003</v>
      </c>
      <c r="F65" s="313">
        <f>VLOOKUP($A65&amp;"NCP LF",'E11 - 2012 09 Final'!$A$46:$P$2419,$F$51,FALSE)</f>
        <v>8.5800000000000001E-2</v>
      </c>
      <c r="G65" s="313">
        <f>VLOOKUP($A65&amp;"NCP LF",'E11 - 2012 09 Final'!$A$46:$P$2419,$G$51,FALSE)</f>
        <v>8.2199999999999995E-2</v>
      </c>
      <c r="H65" s="313">
        <f>VLOOKUP($A65&amp;"NCP LF",'E11 - 2012 09 Final'!$A$46:$P$2419,$H$51,FALSE)</f>
        <v>9.35E-2</v>
      </c>
      <c r="I65" s="313">
        <f>VLOOKUP($A65&amp;"NCP LF",'E11 - 2012 09 Final'!$A$46:$P$2419,$I$51,FALSE)</f>
        <v>0.1017</v>
      </c>
      <c r="J65" s="313">
        <f>VLOOKUP($A65&amp;"NCP LF",'E11 - 2012 09 Final'!$A$46:$P$2419,$J$51,FALSE)</f>
        <v>9.8000000000000004E-2</v>
      </c>
      <c r="K65" s="313">
        <f>VLOOKUP($A65&amp;"NCP LF",'E11 - 2012 09 Final'!$A$46:$P$2419,$K$51,FALSE)</f>
        <v>8.5500000000000007E-2</v>
      </c>
      <c r="L65" s="313">
        <f>VLOOKUP($A65&amp;"NCP LF",'E11 - 2012 09 Final'!$A$46:$P$2419,$L$51,FALSE)</f>
        <v>9.5600000000000004E-2</v>
      </c>
      <c r="M65" s="313">
        <f>VLOOKUP($A65&amp;"NCP LF",'E11 - 2012 09 Final'!$A$46:$P$2419,$M$51,FALSE)</f>
        <v>0.10639999999999999</v>
      </c>
      <c r="N65" s="313">
        <f>VLOOKUP($A65&amp;"NCP LF",'E11 - 2012 09 Final'!$A$46:$P$2419,$N$51,FALSE)</f>
        <v>9.3799999999999994E-2</v>
      </c>
      <c r="O65" s="117"/>
      <c r="P65" s="314"/>
    </row>
    <row r="66" spans="1:16">
      <c r="A66" t="s">
        <v>687</v>
      </c>
      <c r="B66" s="43" t="s">
        <v>48</v>
      </c>
      <c r="C66" s="313">
        <f>VLOOKUP($A66&amp;"NCP LF",'E11 - 2012 09 Final'!$A$46:$P$2419,$C$51,FALSE)</f>
        <v>0.17269999999999999</v>
      </c>
      <c r="D66" s="313">
        <f>VLOOKUP($A66&amp;"NCP LF",'E11 - 2012 09 Final'!$A$46:$P$2419,$D$51,FALSE)</f>
        <v>0.188</v>
      </c>
      <c r="E66" s="313">
        <f>VLOOKUP($A66&amp;"NCP LF",'E11 - 2012 09 Final'!$A$46:$P$2419,$E$51,FALSE)</f>
        <v>0.21210000000000001</v>
      </c>
      <c r="F66" s="313">
        <f>VLOOKUP($A66&amp;"NCP LF",'E11 - 2012 09 Final'!$A$46:$P$2419,$F$51,FALSE)</f>
        <v>0.22520000000000001</v>
      </c>
      <c r="G66" s="313">
        <f>VLOOKUP($A66&amp;"NCP LF",'E11 - 2012 09 Final'!$A$46:$P$2419,$G$51,FALSE)</f>
        <v>0.26140000000000002</v>
      </c>
      <c r="H66" s="313">
        <f>VLOOKUP($A66&amp;"NCP LF",'E11 - 2012 09 Final'!$A$46:$P$2419,$H$51,FALSE)</f>
        <v>0.28699999999999998</v>
      </c>
      <c r="I66" s="313">
        <f>VLOOKUP($A66&amp;"NCP LF",'E11 - 2012 09 Final'!$A$46:$P$2419,$I$51,FALSE)</f>
        <v>0.30620000000000003</v>
      </c>
      <c r="J66" s="313">
        <f>VLOOKUP($A66&amp;"NCP LF",'E11 - 2012 09 Final'!$A$46:$P$2419,$J$51,FALSE)</f>
        <v>0.30480000000000002</v>
      </c>
      <c r="K66" s="313">
        <f>VLOOKUP($A66&amp;"NCP LF",'E11 - 2012 09 Final'!$A$46:$P$2419,$K$51,FALSE)</f>
        <v>0.2898</v>
      </c>
      <c r="L66" s="313">
        <f>VLOOKUP($A66&amp;"NCP LF",'E11 - 2012 09 Final'!$A$46:$P$2419,$L$51,FALSE)</f>
        <v>0.25059999999999999</v>
      </c>
      <c r="M66" s="313">
        <f>VLOOKUP($A66&amp;"NCP LF",'E11 - 2012 09 Final'!$A$46:$P$2419,$M$51,FALSE)</f>
        <v>0.18759999999999999</v>
      </c>
      <c r="N66" s="313">
        <f>VLOOKUP($A66&amp;"NCP LF",'E11 - 2012 09 Final'!$A$46:$P$2419,$N$51,FALSE)</f>
        <v>0.18729999999999999</v>
      </c>
      <c r="O66" s="117"/>
      <c r="P66" s="314"/>
    </row>
    <row r="67" spans="1:16">
      <c r="A67" s="307" t="s">
        <v>35</v>
      </c>
      <c r="B67" s="43" t="s">
        <v>53</v>
      </c>
      <c r="C67" s="313">
        <f>VLOOKUP($A67&amp;"NCP LF",'E11 - 2012 09 Final'!$A$46:$P$2419,$C$51,FALSE)</f>
        <v>0.55220000000000002</v>
      </c>
      <c r="D67" s="313">
        <f>VLOOKUP($A67&amp;"NCP LF",'E11 - 2012 09 Final'!$A$46:$P$2419,$D$51,FALSE)</f>
        <v>0.52959999999999996</v>
      </c>
      <c r="E67" s="313">
        <f>VLOOKUP($A67&amp;"NCP LF",'E11 - 2012 09 Final'!$A$46:$P$2419,$E$51,FALSE)</f>
        <v>0.49840000000000001</v>
      </c>
      <c r="F67" s="313">
        <f>VLOOKUP($A67&amp;"NCP LF",'E11 - 2012 09 Final'!$A$46:$P$2419,$F$51,FALSE)</f>
        <v>0.46750000000000003</v>
      </c>
      <c r="G67" s="313">
        <f>VLOOKUP($A67&amp;"NCP LF",'E11 - 2012 09 Final'!$A$46:$P$2419,$G$51,FALSE)</f>
        <v>0.44190000000000002</v>
      </c>
      <c r="H67" s="313">
        <f>VLOOKUP($A67&amp;"NCP LF",'E11 - 2012 09 Final'!$A$46:$P$2419,$H$51,FALSE)</f>
        <v>0.42970000000000003</v>
      </c>
      <c r="I67" s="313">
        <f>VLOOKUP($A67&amp;"NCP LF",'E11 - 2012 09 Final'!$A$46:$P$2419,$I$51,FALSE)</f>
        <v>0.43580000000000002</v>
      </c>
      <c r="J67" s="313">
        <f>VLOOKUP($A67&amp;"NCP LF",'E11 - 2012 09 Final'!$A$46:$P$2419,$J$51,FALSE)</f>
        <v>0.45779999999999998</v>
      </c>
      <c r="K67" s="313">
        <f>VLOOKUP($A67&amp;"NCP LF",'E11 - 2012 09 Final'!$A$46:$P$2419,$K$51,FALSE)</f>
        <v>0.48780000000000001</v>
      </c>
      <c r="L67" s="313">
        <f>VLOOKUP($A67&amp;"NCP LF",'E11 - 2012 09 Final'!$A$46:$P$2419,$L$51,FALSE)</f>
        <v>0.51929999999999998</v>
      </c>
      <c r="M67" s="313">
        <f>VLOOKUP($A67&amp;"NCP LF",'E11 - 2012 09 Final'!$A$46:$P$2419,$M$51,FALSE)</f>
        <v>0.54569999999999996</v>
      </c>
      <c r="N67" s="313">
        <f>VLOOKUP($A67&amp;"NCP LF",'E11 - 2012 09 Final'!$A$46:$P$2419,$N$51,FALSE)</f>
        <v>0.55869999999999997</v>
      </c>
      <c r="O67" s="117"/>
      <c r="P67" s="314"/>
    </row>
    <row r="68" spans="1:16">
      <c r="A68" s="307" t="s">
        <v>38</v>
      </c>
      <c r="B68" s="43" t="s">
        <v>55</v>
      </c>
      <c r="C68" s="313">
        <f>VLOOKUP($A68&amp;"NCP LF",'E11 - 2012 09 Final'!$A$46:$P$2419,$C$51,FALSE)</f>
        <v>1</v>
      </c>
      <c r="D68" s="313">
        <f>VLOOKUP($A68&amp;"NCP LF",'E11 - 2012 09 Final'!$A$46:$P$2419,$D$51,FALSE)</f>
        <v>1</v>
      </c>
      <c r="E68" s="313">
        <f>VLOOKUP($A68&amp;"NCP LF",'E11 - 2012 09 Final'!$A$46:$P$2419,$E$51,FALSE)</f>
        <v>1</v>
      </c>
      <c r="F68" s="313">
        <f>VLOOKUP($A68&amp;"NCP LF",'E11 - 2012 09 Final'!$A$46:$P$2419,$F$51,FALSE)</f>
        <v>1</v>
      </c>
      <c r="G68" s="313">
        <f>VLOOKUP($A68&amp;"NCP LF",'E11 - 2012 09 Final'!$A$46:$P$2419,$G$51,FALSE)</f>
        <v>1</v>
      </c>
      <c r="H68" s="313">
        <f>VLOOKUP($A68&amp;"NCP LF",'E11 - 2012 09 Final'!$A$46:$P$2419,$H$51,FALSE)</f>
        <v>1</v>
      </c>
      <c r="I68" s="313">
        <f>VLOOKUP($A68&amp;"NCP LF",'E11 - 2012 09 Final'!$A$46:$P$2419,$I$51,FALSE)</f>
        <v>1</v>
      </c>
      <c r="J68" s="313">
        <f>VLOOKUP($A68&amp;"NCP LF",'E11 - 2012 09 Final'!$A$46:$P$2419,$J$51,FALSE)</f>
        <v>1</v>
      </c>
      <c r="K68" s="313">
        <f>VLOOKUP($A68&amp;"NCP LF",'E11 - 2012 09 Final'!$A$46:$P$2419,$K$51,FALSE)</f>
        <v>1</v>
      </c>
      <c r="L68" s="313">
        <f>VLOOKUP($A68&amp;"NCP LF",'E11 - 2012 09 Final'!$A$46:$P$2419,$L$51,FALSE)</f>
        <v>1</v>
      </c>
      <c r="M68" s="313">
        <f>VLOOKUP($A68&amp;"NCP LF",'E11 - 2012 09 Final'!$A$46:$P$2419,$M$51,FALSE)</f>
        <v>0.99860000000000004</v>
      </c>
      <c r="N68" s="313">
        <f>VLOOKUP($A68&amp;"NCP LF",'E11 - 2012 09 Final'!$A$46:$P$2419,$N$51,FALSE)</f>
        <v>1</v>
      </c>
      <c r="O68" s="117"/>
      <c r="P68" s="314"/>
    </row>
    <row r="69" spans="1:16">
      <c r="A69" t="s">
        <v>40</v>
      </c>
      <c r="B69" s="43" t="s">
        <v>87</v>
      </c>
      <c r="C69" s="313">
        <f>VLOOKUP($A69&amp;"NCP LF",'E11 - 2012 09 Final'!$A$46:$P$2419,$C$51,FALSE)</f>
        <v>1.43E-2</v>
      </c>
      <c r="D69" s="313">
        <f>VLOOKUP($A69&amp;"NCP LF",'E11 - 2012 09 Final'!$A$46:$P$2419,$D$51,FALSE)</f>
        <v>9.9000000000000005E-2</v>
      </c>
      <c r="E69" s="313">
        <f>VLOOKUP($A69&amp;"NCP LF",'E11 - 2012 09 Final'!$A$46:$P$2419,$E$51,FALSE)</f>
        <v>0.6744</v>
      </c>
      <c r="F69" s="313">
        <f>VLOOKUP($A69&amp;"NCP LF",'E11 - 2012 09 Final'!$A$46:$P$2419,$F$51,FALSE)</f>
        <v>0.5323</v>
      </c>
      <c r="G69" s="313">
        <f>VLOOKUP($A69&amp;"NCP LF",'E11 - 2012 09 Final'!$A$46:$P$2419,$G$51,FALSE)</f>
        <v>0.56869999999999998</v>
      </c>
      <c r="H69" s="313">
        <f>VLOOKUP($A69&amp;"NCP LF",'E11 - 2012 09 Final'!$A$46:$P$2419,$H$51,FALSE)</f>
        <v>0.53049999999999997</v>
      </c>
      <c r="I69" s="313">
        <f>VLOOKUP($A69&amp;"NCP LF",'E11 - 2012 09 Final'!$A$46:$P$2419,$I$51,FALSE)</f>
        <v>0.50519999999999998</v>
      </c>
      <c r="J69" s="313">
        <f>VLOOKUP($A69&amp;"NCP LF",'E11 - 2012 09 Final'!$A$46:$P$2419,$J$51,FALSE)</f>
        <v>0.55869999999999997</v>
      </c>
      <c r="K69" s="313">
        <f>VLOOKUP($A69&amp;"NCP LF",'E11 - 2012 09 Final'!$A$46:$P$2419,$K$51,FALSE)</f>
        <v>0.56130000000000002</v>
      </c>
      <c r="L69" s="313">
        <f>VLOOKUP($A69&amp;"NCP LF",'E11 - 2012 09 Final'!$A$46:$P$2419,$L$51,FALSE)</f>
        <v>0.1658</v>
      </c>
      <c r="M69" s="313">
        <f>VLOOKUP($A69&amp;"NCP LF",'E11 - 2012 09 Final'!$A$46:$P$2419,$M$51,FALSE)</f>
        <v>5.2600000000000001E-2</v>
      </c>
      <c r="N69" s="313">
        <f>VLOOKUP($A69&amp;"NCP LF",'E11 - 2012 09 Final'!$A$46:$P$2419,$N$51,FALSE)</f>
        <v>7.1199999999999999E-2</v>
      </c>
      <c r="O69" s="117"/>
      <c r="P69" s="314"/>
    </row>
    <row r="70" spans="1:16">
      <c r="A70" t="s">
        <v>45</v>
      </c>
      <c r="B70" s="43" t="s">
        <v>88</v>
      </c>
      <c r="C70" s="313">
        <f>VLOOKUP($A70&amp;"NCP LF",'E11 - 2012 09 Final'!$A$46:$P$2419,$C$51,FALSE)</f>
        <v>0.109</v>
      </c>
      <c r="D70" s="313">
        <f>VLOOKUP($A70&amp;"NCP LF",'E11 - 2012 09 Final'!$A$46:$P$2419,$D$51,FALSE)</f>
        <v>0.12509999999999999</v>
      </c>
      <c r="E70" s="313">
        <f>VLOOKUP($A70&amp;"NCP LF",'E11 - 2012 09 Final'!$A$46:$P$2419,$E$51,FALSE)</f>
        <v>7.4499999999999997E-2</v>
      </c>
      <c r="F70" s="313">
        <f>VLOOKUP($A70&amp;"NCP LF",'E11 - 2012 09 Final'!$A$46:$P$2419,$F$51,FALSE)</f>
        <v>0.12509999999999999</v>
      </c>
      <c r="G70" s="313">
        <f>VLOOKUP($A70&amp;"NCP LF",'E11 - 2012 09 Final'!$A$46:$P$2419,$G$51,FALSE)</f>
        <v>0.12909999999999999</v>
      </c>
      <c r="H70" s="313">
        <f>VLOOKUP($A70&amp;"NCP LF",'E11 - 2012 09 Final'!$A$46:$P$2419,$H$51,FALSE)</f>
        <v>7.6499999999999999E-2</v>
      </c>
      <c r="I70" s="313">
        <f>VLOOKUP($A70&amp;"NCP LF",'E11 - 2012 09 Final'!$A$46:$P$2419,$I$51,FALSE)</f>
        <v>0.1178</v>
      </c>
      <c r="J70" s="313">
        <f>VLOOKUP($A70&amp;"NCP LF",'E11 - 2012 09 Final'!$A$46:$P$2419,$J$51,FALSE)</f>
        <v>8.2000000000000003E-2</v>
      </c>
      <c r="K70" s="313">
        <f>VLOOKUP($A70&amp;"NCP LF",'E11 - 2012 09 Final'!$A$46:$P$2419,$K$51,FALSE)</f>
        <v>0.2014</v>
      </c>
      <c r="L70" s="313">
        <f>VLOOKUP($A70&amp;"NCP LF",'E11 - 2012 09 Final'!$A$46:$P$2419,$L$51,FALSE)</f>
        <v>0.19650000000000001</v>
      </c>
      <c r="M70" s="313">
        <f>VLOOKUP($A70&amp;"NCP LF",'E11 - 2012 09 Final'!$A$46:$P$2419,$M$51,FALSE)</f>
        <v>0.12470000000000001</v>
      </c>
      <c r="N70" s="313">
        <f>VLOOKUP($A70&amp;"NCP LF",'E11 - 2012 09 Final'!$A$46:$P$2419,$N$51,FALSE)</f>
        <v>8.5599999999999996E-2</v>
      </c>
      <c r="O70" s="117"/>
      <c r="P70" s="314"/>
    </row>
    <row r="71" spans="1:16">
      <c r="C71" s="48"/>
      <c r="D71" s="48"/>
      <c r="E71" s="48"/>
      <c r="F71" s="48"/>
      <c r="G71" s="48"/>
      <c r="H71" s="48"/>
      <c r="I71" s="48"/>
      <c r="J71" s="48"/>
      <c r="K71" s="48"/>
      <c r="L71" s="48"/>
      <c r="M71" s="48"/>
      <c r="N71" s="48"/>
      <c r="O71" s="315"/>
      <c r="P71" s="316"/>
    </row>
    <row r="72" spans="1:16" hidden="1">
      <c r="C72" s="48"/>
      <c r="D72" s="48"/>
      <c r="E72" s="48"/>
      <c r="F72" s="48"/>
      <c r="G72" s="48"/>
      <c r="H72" s="48"/>
      <c r="I72" s="48"/>
      <c r="J72" s="48"/>
      <c r="K72" s="48"/>
      <c r="L72" s="48"/>
      <c r="M72" s="48"/>
      <c r="N72" s="48"/>
      <c r="O72" s="315"/>
      <c r="P72" s="316"/>
    </row>
    <row r="73" spans="1:16" hidden="1">
      <c r="B73" s="42" t="s">
        <v>86</v>
      </c>
      <c r="C73" s="10"/>
      <c r="D73" s="10"/>
      <c r="E73" s="10"/>
      <c r="F73" s="10"/>
      <c r="G73" s="10"/>
      <c r="H73" s="10"/>
      <c r="I73" s="10"/>
      <c r="J73" s="10"/>
      <c r="K73" s="10"/>
      <c r="L73" s="10"/>
      <c r="M73" s="10"/>
      <c r="N73" s="10"/>
      <c r="O73" s="110"/>
      <c r="P73" s="110"/>
    </row>
    <row r="74" spans="1:16" hidden="1">
      <c r="A74" t="s">
        <v>603</v>
      </c>
      <c r="B74" s="43" t="s">
        <v>603</v>
      </c>
      <c r="C74" s="313">
        <f>VLOOKUP($A74&amp;"NCP LF",'E11 - 2012 09 Final'!$A$46:$P$2419,$C$51,FALSE)</f>
        <v>0</v>
      </c>
      <c r="D74" s="313">
        <f>VLOOKUP($A74&amp;"NCP LF",'E11 - 2012 09 Final'!$A$46:$P$2419,$D$51,FALSE)</f>
        <v>0</v>
      </c>
      <c r="E74" s="313">
        <f>VLOOKUP($A74&amp;"NCP LF",'E11 - 2012 09 Final'!$A$46:$P$2419,$E$51,FALSE)</f>
        <v>0</v>
      </c>
      <c r="F74" s="313">
        <f>VLOOKUP($A74&amp;"NCP LF",'E11 - 2012 09 Final'!$A$46:$P$2419,$F$51,FALSE)</f>
        <v>0</v>
      </c>
      <c r="G74" s="313">
        <f>VLOOKUP($A74&amp;"NCP LF",'E11 - 2012 09 Final'!$A$46:$P$2419,$G$51,FALSE)</f>
        <v>0.58040000000000003</v>
      </c>
      <c r="H74" s="313">
        <f>VLOOKUP($A74&amp;"NCP LF",'E11 - 2012 09 Final'!$A$46:$P$2419,$H$51,FALSE)</f>
        <v>0.62970000000000004</v>
      </c>
      <c r="I74" s="313">
        <f>VLOOKUP($A74&amp;"NCP LF",'E11 - 2012 09 Final'!$A$46:$P$2419,$I$51,FALSE)</f>
        <v>0.64549999999999996</v>
      </c>
      <c r="J74" s="313">
        <f>VLOOKUP($A74&amp;"NCP LF",'E11 - 2012 09 Final'!$A$46:$P$2419,$J$51,FALSE)</f>
        <v>0.61950000000000005</v>
      </c>
      <c r="K74" s="313">
        <f>VLOOKUP($A74&amp;"NCP LF",'E11 - 2012 09 Final'!$A$46:$P$2419,$K$51,FALSE)</f>
        <v>0.63119999999999998</v>
      </c>
      <c r="L74" s="313">
        <f>VLOOKUP($A74&amp;"NCP LF",'E11 - 2012 09 Final'!$A$46:$P$2419,$L$51,FALSE)</f>
        <v>0.63419999999999999</v>
      </c>
      <c r="M74" s="313">
        <f>VLOOKUP($A74&amp;"NCP LF",'E11 - 2012 09 Final'!$A$46:$P$2419,$M$51,FALSE)</f>
        <v>0.63629999999999998</v>
      </c>
      <c r="N74" s="313">
        <f>VLOOKUP($A74&amp;"NCP LF",'E11 - 2012 09 Final'!$A$46:$P$2419,$N$51,FALSE)</f>
        <v>0.63290000000000002</v>
      </c>
      <c r="O74" s="117"/>
      <c r="P74" s="314"/>
    </row>
    <row r="75" spans="1:16" hidden="1">
      <c r="A75" t="s">
        <v>245</v>
      </c>
      <c r="B75" s="43" t="s">
        <v>983</v>
      </c>
      <c r="C75" s="313">
        <f>VLOOKUP($A75&amp;"NCP LF",'E11 - 2012 09 Final'!$A$46:$P$2419,$C$51,FALSE)</f>
        <v>0.66749999999999998</v>
      </c>
      <c r="D75" s="313">
        <f>VLOOKUP($A75&amp;"NCP LF",'E11 - 2012 09 Final'!$A$46:$P$2419,$D$51,FALSE)</f>
        <v>0.67020000000000002</v>
      </c>
      <c r="E75" s="313">
        <f>VLOOKUP($A75&amp;"NCP LF",'E11 - 2012 09 Final'!$A$46:$P$2419,$E$51,FALSE)</f>
        <v>0.71030000000000004</v>
      </c>
      <c r="F75" s="313">
        <f>VLOOKUP($A75&amp;"NCP LF",'E11 - 2012 09 Final'!$A$46:$P$2419,$F$51,FALSE)</f>
        <v>0.626</v>
      </c>
      <c r="G75" s="313">
        <f>VLOOKUP($A75&amp;"NCP LF",'E11 - 2012 09 Final'!$A$46:$P$2419,$G$51,FALSE)</f>
        <v>0.65300000000000002</v>
      </c>
      <c r="H75" s="313">
        <f>VLOOKUP($A75&amp;"NCP LF",'E11 - 2012 09 Final'!$A$46:$P$2419,$H$51,FALSE)</f>
        <v>0.70179999999999998</v>
      </c>
      <c r="I75" s="313">
        <f>VLOOKUP($A75&amp;"NCP LF",'E11 - 2012 09 Final'!$A$46:$P$2419,$I$51,FALSE)</f>
        <v>0.69769999999999999</v>
      </c>
      <c r="J75" s="313">
        <f>VLOOKUP($A75&amp;"NCP LF",'E11 - 2012 09 Final'!$A$46:$P$2419,$J$51,FALSE)</f>
        <v>0.72089999999999999</v>
      </c>
      <c r="K75" s="313">
        <f>VLOOKUP($A75&amp;"NCP LF",'E11 - 2012 09 Final'!$A$46:$P$2419,$K$51,FALSE)</f>
        <v>0.69130000000000003</v>
      </c>
      <c r="L75" s="313">
        <f>VLOOKUP($A75&amp;"NCP LF",'E11 - 2012 09 Final'!$A$46:$P$2419,$L$51,FALSE)</f>
        <v>0.66749999999999998</v>
      </c>
      <c r="M75" s="313">
        <f>VLOOKUP($A75&amp;"NCP LF",'E11 - 2012 09 Final'!$A$46:$P$2419,$M$51,FALSE)</f>
        <v>0.73080000000000001</v>
      </c>
      <c r="N75" s="313">
        <f>VLOOKUP($A75&amp;"NCP LF",'E11 - 2012 09 Final'!$A$46:$P$2419,$N$51,FALSE)</f>
        <v>0.63619999999999999</v>
      </c>
      <c r="O75" s="117"/>
      <c r="P75" s="314"/>
    </row>
    <row r="76" spans="1:16" hidden="1">
      <c r="A76" t="s">
        <v>242</v>
      </c>
      <c r="B76" s="43" t="s">
        <v>491</v>
      </c>
      <c r="C76" s="313">
        <f>VLOOKUP($A76&amp;"NCP LF",'E11 - 2012 09 Final'!$A$46:$P$2419,$C$51,FALSE)</f>
        <v>0.48120000000000002</v>
      </c>
      <c r="D76" s="313">
        <f>VLOOKUP($A76&amp;"NCP LF",'E11 - 2012 09 Final'!$A$46:$P$2419,$D$51,FALSE)</f>
        <v>0.5101</v>
      </c>
      <c r="E76" s="313">
        <f>VLOOKUP($A76&amp;"NCP LF",'E11 - 2012 09 Final'!$A$46:$P$2419,$E$51,FALSE)</f>
        <v>0.51139999999999997</v>
      </c>
      <c r="F76" s="313">
        <f>VLOOKUP($A76&amp;"NCP LF",'E11 - 2012 09 Final'!$A$46:$P$2419,$F$51,FALSE)</f>
        <v>0.53190000000000004</v>
      </c>
      <c r="G76" s="313">
        <f>VLOOKUP($A76&amp;"NCP LF",'E11 - 2012 09 Final'!$A$46:$P$2419,$G$51,FALSE)</f>
        <v>0.6008</v>
      </c>
      <c r="H76" s="313">
        <f>VLOOKUP($A76&amp;"NCP LF",'E11 - 2012 09 Final'!$A$46:$P$2419,$H$51,FALSE)</f>
        <v>0.65</v>
      </c>
      <c r="I76" s="313">
        <f>VLOOKUP($A76&amp;"NCP LF",'E11 - 2012 09 Final'!$A$46:$P$2419,$I$51,FALSE)</f>
        <v>0.6613</v>
      </c>
      <c r="J76" s="313">
        <f>VLOOKUP($A76&amp;"NCP LF",'E11 - 2012 09 Final'!$A$46:$P$2419,$J$51,FALSE)</f>
        <v>0.68149999999999999</v>
      </c>
      <c r="K76" s="313">
        <f>VLOOKUP($A76&amp;"NCP LF",'E11 - 2012 09 Final'!$A$46:$P$2419,$K$51,FALSE)</f>
        <v>0.65</v>
      </c>
      <c r="L76" s="313">
        <f>VLOOKUP($A76&amp;"NCP LF",'E11 - 2012 09 Final'!$A$46:$P$2419,$L$51,FALSE)</f>
        <v>0.57930000000000004</v>
      </c>
      <c r="M76" s="313">
        <f>VLOOKUP($A76&amp;"NCP LF",'E11 - 2012 09 Final'!$A$46:$P$2419,$M$51,FALSE)</f>
        <v>0.5111</v>
      </c>
      <c r="N76" s="313">
        <f>VLOOKUP($A76&amp;"NCP LF",'E11 - 2012 09 Final'!$A$46:$P$2419,$N$51,FALSE)</f>
        <v>0.48120000000000002</v>
      </c>
      <c r="O76" s="117"/>
      <c r="P76" s="314"/>
    </row>
    <row r="77" spans="1:16" hidden="1">
      <c r="A77" t="s">
        <v>661</v>
      </c>
      <c r="B77" s="43" t="s">
        <v>984</v>
      </c>
      <c r="C77" s="313">
        <f>VLOOKUP($A77&amp;"NCP LF",'E11 - 2012 09 Final'!$A$46:$P$2419,$C$51,FALSE)</f>
        <v>0.53769999999999996</v>
      </c>
      <c r="D77" s="313">
        <f>VLOOKUP($A77&amp;"NCP LF",'E11 - 2012 09 Final'!$A$46:$P$2419,$D$51,FALSE)</f>
        <v>0.60240000000000005</v>
      </c>
      <c r="E77" s="313">
        <f>VLOOKUP($A77&amp;"NCP LF",'E11 - 2012 09 Final'!$A$46:$P$2419,$E$51,FALSE)</f>
        <v>0.69310000000000005</v>
      </c>
      <c r="F77" s="313">
        <f>VLOOKUP($A77&amp;"NCP LF",'E11 - 2012 09 Final'!$A$46:$P$2419,$F$51,FALSE)</f>
        <v>0.63700000000000001</v>
      </c>
      <c r="G77" s="313">
        <f>VLOOKUP($A77&amp;"NCP LF",'E11 - 2012 09 Final'!$A$46:$P$2419,$G$51,FALSE)</f>
        <v>0.67479999999999996</v>
      </c>
      <c r="H77" s="313">
        <f>VLOOKUP($A77&amp;"NCP LF",'E11 - 2012 09 Final'!$A$46:$P$2419,$H$51,FALSE)</f>
        <v>0.67030000000000001</v>
      </c>
      <c r="I77" s="313">
        <f>VLOOKUP($A77&amp;"NCP LF",'E11 - 2012 09 Final'!$A$46:$P$2419,$I$51,FALSE)</f>
        <v>0.66220000000000001</v>
      </c>
      <c r="J77" s="313">
        <f>VLOOKUP($A77&amp;"NCP LF",'E11 - 2012 09 Final'!$A$46:$P$2419,$J$51,FALSE)</f>
        <v>0.65129999999999999</v>
      </c>
      <c r="K77" s="313">
        <f>VLOOKUP($A77&amp;"NCP LF",'E11 - 2012 09 Final'!$A$46:$P$2419,$K$51,FALSE)</f>
        <v>0.67249999999999999</v>
      </c>
      <c r="L77" s="313">
        <f>VLOOKUP($A77&amp;"NCP LF",'E11 - 2012 09 Final'!$A$46:$P$2419,$L$51,FALSE)</f>
        <v>0.62570000000000003</v>
      </c>
      <c r="M77" s="313">
        <f>VLOOKUP($A77&amp;"NCP LF",'E11 - 2012 09 Final'!$A$46:$P$2419,$M$51,FALSE)</f>
        <v>0.7278</v>
      </c>
      <c r="N77" s="313">
        <f>VLOOKUP($A77&amp;"NCP LF",'E11 - 2012 09 Final'!$A$46:$P$2419,$N$51,FALSE)</f>
        <v>0.67400000000000004</v>
      </c>
      <c r="O77" s="117"/>
      <c r="P77" s="314"/>
    </row>
    <row r="78" spans="1:16" hidden="1">
      <c r="A78" t="s">
        <v>7</v>
      </c>
      <c r="B78" s="43" t="s">
        <v>987</v>
      </c>
      <c r="C78" s="313">
        <f>VLOOKUP($A78&amp;"NCP LF",'E11 - 2012 09 Final'!$A$46:$P$2419,$C$51,FALSE)</f>
        <v>0.72789999999999999</v>
      </c>
      <c r="D78" s="313">
        <f>VLOOKUP($A78&amp;"NCP LF",'E11 - 2012 09 Final'!$A$46:$P$2419,$D$51,FALSE)</f>
        <v>0.5212</v>
      </c>
      <c r="E78" s="313">
        <f>VLOOKUP($A78&amp;"NCP LF",'E11 - 2012 09 Final'!$A$46:$P$2419,$E$51,FALSE)</f>
        <v>0.7732</v>
      </c>
      <c r="F78" s="313">
        <f>VLOOKUP($A78&amp;"NCP LF",'E11 - 2012 09 Final'!$A$46:$P$2419,$F$51,FALSE)</f>
        <v>0.71430000000000005</v>
      </c>
      <c r="G78" s="313">
        <f>VLOOKUP($A78&amp;"NCP LF",'E11 - 2012 09 Final'!$A$46:$P$2419,$G$51,FALSE)</f>
        <v>0.71730000000000005</v>
      </c>
      <c r="H78" s="313">
        <f>VLOOKUP($A78&amp;"NCP LF",'E11 - 2012 09 Final'!$A$46:$P$2419,$H$51,FALSE)</f>
        <v>0.76100000000000001</v>
      </c>
      <c r="I78" s="313">
        <f>VLOOKUP($A78&amp;"NCP LF",'E11 - 2012 09 Final'!$A$46:$P$2419,$I$51,FALSE)</f>
        <v>0.75109999999999999</v>
      </c>
      <c r="J78" s="313">
        <f>VLOOKUP($A78&amp;"NCP LF",'E11 - 2012 09 Final'!$A$46:$P$2419,$J$51,FALSE)</f>
        <v>0.70469999999999999</v>
      </c>
      <c r="K78" s="313">
        <f>VLOOKUP($A78&amp;"NCP LF",'E11 - 2012 09 Final'!$A$46:$P$2419,$K$51,FALSE)</f>
        <v>0.70150000000000001</v>
      </c>
      <c r="L78" s="313">
        <f>VLOOKUP($A78&amp;"NCP LF",'E11 - 2012 09 Final'!$A$46:$P$2419,$L$51,FALSE)</f>
        <v>0.66869999999999996</v>
      </c>
      <c r="M78" s="313">
        <f>VLOOKUP($A78&amp;"NCP LF",'E11 - 2012 09 Final'!$A$46:$P$2419,$M$51,FALSE)</f>
        <v>0.67030000000000001</v>
      </c>
      <c r="N78" s="313">
        <f>VLOOKUP($A78&amp;"NCP LF",'E11 - 2012 09 Final'!$A$46:$P$2419,$N$51,FALSE)</f>
        <v>0.78759999999999997</v>
      </c>
      <c r="O78" s="117"/>
      <c r="P78" s="314"/>
    </row>
    <row r="79" spans="1:16" hidden="1">
      <c r="A79" t="s">
        <v>724</v>
      </c>
      <c r="B79" s="43" t="s">
        <v>724</v>
      </c>
      <c r="C79" s="313">
        <f>VLOOKUP($A79&amp;"NCP LF",'E11 - 2012 09 Final'!$A$46:$P$2419,$C$51,FALSE)</f>
        <v>0.48080000000000001</v>
      </c>
      <c r="D79" s="313">
        <f>VLOOKUP($A79&amp;"NCP LF",'E11 - 2012 09 Final'!$A$46:$P$2419,$D$51,FALSE)</f>
        <v>0.53049999999999997</v>
      </c>
      <c r="E79" s="313">
        <f>VLOOKUP($A79&amp;"NCP LF",'E11 - 2012 09 Final'!$A$46:$P$2419,$E$51,FALSE)</f>
        <v>0.62290000000000001</v>
      </c>
      <c r="F79" s="313">
        <f>VLOOKUP($A79&amp;"NCP LF",'E11 - 2012 09 Final'!$A$46:$P$2419,$F$51,FALSE)</f>
        <v>0.59409999999999996</v>
      </c>
      <c r="G79" s="313">
        <f>VLOOKUP($A79&amp;"NCP LF",'E11 - 2012 09 Final'!$A$46:$P$2419,$G$51,FALSE)</f>
        <v>0.62649999999999995</v>
      </c>
      <c r="H79" s="313">
        <f>VLOOKUP($A79&amp;"NCP LF",'E11 - 2012 09 Final'!$A$46:$P$2419,$H$51,FALSE)</f>
        <v>0.60950000000000004</v>
      </c>
      <c r="I79" s="313">
        <f>VLOOKUP($A79&amp;"NCP LF",'E11 - 2012 09 Final'!$A$46:$P$2419,$I$51,FALSE)</f>
        <v>0.625</v>
      </c>
      <c r="J79" s="313">
        <f>VLOOKUP($A79&amp;"NCP LF",'E11 - 2012 09 Final'!$A$46:$P$2419,$J$51,FALSE)</f>
        <v>0.63180000000000003</v>
      </c>
      <c r="K79" s="313">
        <f>VLOOKUP($A79&amp;"NCP LF",'E11 - 2012 09 Final'!$A$46:$P$2419,$K$51,FALSE)</f>
        <v>0.62029999999999996</v>
      </c>
      <c r="L79" s="313">
        <f>VLOOKUP($A79&amp;"NCP LF",'E11 - 2012 09 Final'!$A$46:$P$2419,$L$51,FALSE)</f>
        <v>0.59240000000000004</v>
      </c>
      <c r="M79" s="313">
        <f>VLOOKUP($A79&amp;"NCP LF",'E11 - 2012 09 Final'!$A$46:$P$2419,$M$51,FALSE)</f>
        <v>0.70109999999999995</v>
      </c>
      <c r="N79" s="313">
        <f>VLOOKUP($A79&amp;"NCP LF",'E11 - 2012 09 Final'!$A$46:$P$2419,$N$51,FALSE)</f>
        <v>0.61350000000000005</v>
      </c>
      <c r="O79" s="117"/>
      <c r="P79" s="314"/>
    </row>
    <row r="80" spans="1:16" hidden="1"/>
    <row r="81" spans="1:16" hidden="1"/>
    <row r="82" spans="1:16" hidden="1"/>
    <row r="83" spans="1:16" hidden="1"/>
    <row r="84" spans="1:16" hidden="1"/>
    <row r="85" spans="1:16" hidden="1"/>
    <row r="86" spans="1:16" hidden="1"/>
    <row r="87" spans="1:16" hidden="1"/>
    <row r="88" spans="1:16" ht="21">
      <c r="B88" s="611" t="s">
        <v>150</v>
      </c>
      <c r="C88" s="611"/>
      <c r="D88" s="611"/>
      <c r="E88" s="611"/>
      <c r="F88" s="611"/>
      <c r="G88" s="611"/>
      <c r="H88" s="611"/>
      <c r="I88" s="611"/>
      <c r="J88" s="611"/>
      <c r="K88" s="611"/>
      <c r="L88" s="611"/>
      <c r="M88" s="611"/>
      <c r="N88" s="611"/>
      <c r="O88" s="611"/>
      <c r="P88" s="611"/>
    </row>
    <row r="89" spans="1:16" ht="17.399999999999999">
      <c r="B89" s="610" t="str">
        <f>+MANUAL!$B$6 &amp;" as Calculated by LodeStar Except as Noted"</f>
        <v>2013 as Calculated by LodeStar Except as Noted</v>
      </c>
      <c r="C89" s="610"/>
      <c r="D89" s="610"/>
      <c r="E89" s="610"/>
      <c r="F89" s="610"/>
      <c r="G89" s="610"/>
      <c r="H89" s="610"/>
      <c r="I89" s="610"/>
      <c r="J89" s="610"/>
      <c r="K89" s="610"/>
      <c r="L89" s="610"/>
      <c r="M89" s="610"/>
      <c r="N89" s="610"/>
      <c r="O89" s="610"/>
      <c r="P89" s="610"/>
    </row>
    <row r="90" spans="1:16" ht="13.8" thickBot="1">
      <c r="B90" s="300"/>
      <c r="C90" s="300"/>
      <c r="D90" s="300"/>
      <c r="E90" s="300"/>
      <c r="F90" s="300"/>
      <c r="G90" s="300"/>
      <c r="H90" s="300"/>
      <c r="I90" s="300"/>
      <c r="J90" s="300"/>
      <c r="K90" s="300"/>
      <c r="L90" s="300"/>
      <c r="M90" s="300"/>
      <c r="N90" s="300"/>
      <c r="O90" s="300"/>
      <c r="P90" s="300"/>
    </row>
    <row r="91" spans="1:16">
      <c r="C91" s="14"/>
      <c r="D91" s="15"/>
      <c r="E91" s="16"/>
      <c r="F91" s="17"/>
      <c r="G91" s="18"/>
      <c r="H91" s="19"/>
      <c r="I91" s="20"/>
      <c r="J91" s="21"/>
      <c r="K91" s="22"/>
      <c r="L91" s="23"/>
      <c r="M91" s="24"/>
      <c r="N91" s="317"/>
      <c r="O91" s="110"/>
      <c r="P91" s="305"/>
    </row>
    <row r="92" spans="1:16" ht="13.8" thickBot="1">
      <c r="C92" s="28" t="s">
        <v>70</v>
      </c>
      <c r="D92" s="29" t="s">
        <v>71</v>
      </c>
      <c r="E92" s="30" t="s">
        <v>72</v>
      </c>
      <c r="F92" s="31" t="s">
        <v>73</v>
      </c>
      <c r="G92" s="32" t="s">
        <v>74</v>
      </c>
      <c r="H92" s="33" t="s">
        <v>75</v>
      </c>
      <c r="I92" s="34" t="s">
        <v>76</v>
      </c>
      <c r="J92" s="35" t="s">
        <v>77</v>
      </c>
      <c r="K92" s="36" t="s">
        <v>78</v>
      </c>
      <c r="L92" s="37" t="s">
        <v>79</v>
      </c>
      <c r="M92" s="38" t="s">
        <v>80</v>
      </c>
      <c r="N92" s="318" t="s">
        <v>81</v>
      </c>
      <c r="O92" s="305"/>
      <c r="P92" s="305"/>
    </row>
    <row r="93" spans="1:16" hidden="1">
      <c r="C93">
        <v>4</v>
      </c>
      <c r="D93">
        <f>C93+1</f>
        <v>5</v>
      </c>
      <c r="E93">
        <f t="shared" ref="E93:N93" si="10">D93+1</f>
        <v>6</v>
      </c>
      <c r="F93">
        <f t="shared" si="10"/>
        <v>7</v>
      </c>
      <c r="G93">
        <f t="shared" si="10"/>
        <v>8</v>
      </c>
      <c r="H93">
        <f t="shared" si="10"/>
        <v>9</v>
      </c>
      <c r="I93">
        <f t="shared" si="10"/>
        <v>10</v>
      </c>
      <c r="J93">
        <f t="shared" si="10"/>
        <v>11</v>
      </c>
      <c r="K93">
        <f t="shared" si="10"/>
        <v>12</v>
      </c>
      <c r="L93">
        <f t="shared" si="10"/>
        <v>13</v>
      </c>
      <c r="M93">
        <f t="shared" si="10"/>
        <v>14</v>
      </c>
      <c r="N93">
        <f t="shared" si="10"/>
        <v>15</v>
      </c>
      <c r="O93" s="110"/>
      <c r="P93" s="110"/>
    </row>
    <row r="94" spans="1:16">
      <c r="O94" s="110"/>
      <c r="P94" s="110"/>
    </row>
    <row r="95" spans="1:16">
      <c r="B95" s="42" t="s">
        <v>83</v>
      </c>
      <c r="C95" s="5"/>
      <c r="D95" s="5"/>
      <c r="E95" s="5"/>
      <c r="F95" s="5"/>
      <c r="G95" s="5"/>
      <c r="H95" s="5"/>
      <c r="I95" s="5"/>
      <c r="J95" s="5"/>
      <c r="K95" s="5"/>
      <c r="L95" s="5"/>
      <c r="M95" s="5"/>
      <c r="N95" s="5"/>
      <c r="O95" s="117"/>
      <c r="P95" s="117"/>
    </row>
    <row r="96" spans="1:16">
      <c r="A96" t="s">
        <v>122</v>
      </c>
      <c r="B96" s="43" t="s">
        <v>84</v>
      </c>
      <c r="C96" s="313">
        <f>VLOOKUP($A96&amp;"NCP LF",'E11 - 2013 09 Final'!$A$46:$P$1775,$C$93,FALSE)</f>
        <v>0.71760000000000002</v>
      </c>
      <c r="D96" s="313">
        <f>VLOOKUP($A96&amp;"NCP LF",'E11 - 2013 09 Final'!$A$46:$P$1775,$D$93,FALSE)</f>
        <v>0.7077</v>
      </c>
      <c r="E96" s="313">
        <f>VLOOKUP($A96&amp;"NCP LF",'E11 - 2013 09 Final'!$A$46:$P$1775,$E$93,FALSE)</f>
        <v>0.70009999999999994</v>
      </c>
      <c r="F96" s="313">
        <f>VLOOKUP($A96&amp;"NCP LF",'E11 - 2013 09 Final'!$A$46:$P$1775,$F$93,FALSE)</f>
        <v>0.71050000000000002</v>
      </c>
      <c r="G96" s="313">
        <f>VLOOKUP($A96&amp;"NCP LF",'E11 - 2013 09 Final'!$A$46:$P$1775,$G$93,FALSE)</f>
        <v>0.70650000000000002</v>
      </c>
      <c r="H96" s="313">
        <f>VLOOKUP($A96&amp;"NCP LF",'E11 - 2013 09 Final'!$A$46:$P$1775,$H$93,FALSE)</f>
        <v>0.72019999999999995</v>
      </c>
      <c r="I96" s="313">
        <f>VLOOKUP($A96&amp;"NCP LF",'E11 - 2013 09 Final'!$A$46:$P$1775,$I$93,FALSE)</f>
        <v>0.70879999999999999</v>
      </c>
      <c r="J96" s="313">
        <f>VLOOKUP($A96&amp;"NCP LF",'E11 - 2013 09 Final'!$A$46:$P$1775,$J$93,FALSE)</f>
        <v>0.73</v>
      </c>
      <c r="K96" s="313">
        <f>VLOOKUP($A96&amp;"NCP LF",'E11 - 2013 09 Final'!$A$46:$P$1775,$K$93,FALSE)</f>
        <v>0.71550000000000002</v>
      </c>
      <c r="L96" s="313">
        <f>VLOOKUP($A96&amp;"NCP LF",'E11 - 2013 09 Final'!$A$46:$P$1775,$L$93,FALSE)</f>
        <v>0.71679999999999999</v>
      </c>
      <c r="M96" s="313">
        <f>VLOOKUP($A96&amp;"NCP LF",'E11 - 2013 09 Final'!$A$46:$P$1775,$M$93,FALSE)</f>
        <v>0.70669999999999999</v>
      </c>
      <c r="N96" s="313">
        <f>VLOOKUP($A96&amp;"NCP LF",'E11 - 2013 09 Final'!$A$46:$P$1775,$N$93,FALSE)</f>
        <v>0.70720000000000005</v>
      </c>
      <c r="O96" s="117"/>
      <c r="P96" s="314"/>
    </row>
    <row r="97" spans="1:16">
      <c r="A97" t="s">
        <v>177</v>
      </c>
      <c r="B97" s="43" t="s">
        <v>85</v>
      </c>
      <c r="C97" s="313">
        <f>VLOOKUP($A97&amp;"NCP LF",'E11 - 2013 09 Final'!$A$46:$P$1775,$C$93,FALSE)</f>
        <v>0.68710000000000004</v>
      </c>
      <c r="D97" s="313">
        <f>VLOOKUP($A97&amp;"NCP LF",'E11 - 2013 09 Final'!$A$46:$P$1775,$D$93,FALSE)</f>
        <v>0.67130000000000001</v>
      </c>
      <c r="E97" s="313">
        <f>VLOOKUP($A97&amp;"NCP LF",'E11 - 2013 09 Final'!$A$46:$P$1775,$E$93,FALSE)</f>
        <v>0.66700000000000004</v>
      </c>
      <c r="F97" s="313">
        <f>VLOOKUP($A97&amp;"NCP LF",'E11 - 2013 09 Final'!$A$46:$P$1775,$F$93,FALSE)</f>
        <v>0.69040000000000001</v>
      </c>
      <c r="G97" s="313">
        <f>VLOOKUP($A97&amp;"NCP LF",'E11 - 2013 09 Final'!$A$46:$P$1775,$G$93,FALSE)</f>
        <v>0.6875</v>
      </c>
      <c r="H97" s="313">
        <f>VLOOKUP($A97&amp;"NCP LF",'E11 - 2013 09 Final'!$A$46:$P$1775,$H$93,FALSE)</f>
        <v>0.69450000000000001</v>
      </c>
      <c r="I97" s="313">
        <f>VLOOKUP($A97&amp;"NCP LF",'E11 - 2013 09 Final'!$A$46:$P$1775,$I$93,FALSE)</f>
        <v>0.69979999999999998</v>
      </c>
      <c r="J97" s="313">
        <f>VLOOKUP($A97&amp;"NCP LF",'E11 - 2013 09 Final'!$A$46:$P$1775,$J$93,FALSE)</f>
        <v>0.69159999999999999</v>
      </c>
      <c r="K97" s="313">
        <f>VLOOKUP($A97&amp;"NCP LF",'E11 - 2013 09 Final'!$A$46:$P$1775,$K$93,FALSE)</f>
        <v>0.70909999999999995</v>
      </c>
      <c r="L97" s="313">
        <f>VLOOKUP($A97&amp;"NCP LF",'E11 - 2013 09 Final'!$A$46:$P$1775,$L$93,FALSE)</f>
        <v>0.70640000000000003</v>
      </c>
      <c r="M97" s="313">
        <f>VLOOKUP($A97&amp;"NCP LF",'E11 - 2013 09 Final'!$A$46:$P$1775,$M$93,FALSE)</f>
        <v>0.6976</v>
      </c>
      <c r="N97" s="313">
        <f>VLOOKUP($A97&amp;"NCP LF",'E11 - 2013 09 Final'!$A$46:$P$1775,$N$93,FALSE)</f>
        <v>0.70440000000000003</v>
      </c>
      <c r="O97" s="117"/>
      <c r="P97" s="314"/>
    </row>
    <row r="98" spans="1:16">
      <c r="A98" t="s">
        <v>185</v>
      </c>
      <c r="B98" s="43" t="s">
        <v>50</v>
      </c>
      <c r="C98" s="313">
        <f>VLOOKUP($A98&amp;"NCP LF",'E11 - 2013 09 Final'!$A$46:$P$1775,$C$93,FALSE)</f>
        <v>0.72370000000000001</v>
      </c>
      <c r="D98" s="313">
        <f>VLOOKUP($A98&amp;"NCP LF",'E11 - 2013 09 Final'!$A$46:$P$1775,$D$93,FALSE)</f>
        <v>0.73199999999999998</v>
      </c>
      <c r="E98" s="313">
        <f>VLOOKUP($A98&amp;"NCP LF",'E11 - 2013 09 Final'!$A$46:$P$1775,$E$93,FALSE)</f>
        <v>0.72619999999999996</v>
      </c>
      <c r="F98" s="313">
        <f>VLOOKUP($A98&amp;"NCP LF",'E11 - 2013 09 Final'!$A$46:$P$1775,$F$93,FALSE)</f>
        <v>0.754</v>
      </c>
      <c r="G98" s="313">
        <f>VLOOKUP($A98&amp;"NCP LF",'E11 - 2013 09 Final'!$A$46:$P$1775,$G$93,FALSE)</f>
        <v>0.74490000000000001</v>
      </c>
      <c r="H98" s="313">
        <f>VLOOKUP($A98&amp;"NCP LF",'E11 - 2013 09 Final'!$A$46:$P$1775,$H$93,FALSE)</f>
        <v>0.74390000000000001</v>
      </c>
      <c r="I98" s="313">
        <f>VLOOKUP($A98&amp;"NCP LF",'E11 - 2013 09 Final'!$A$46:$P$1775,$I$93,FALSE)</f>
        <v>0.74519999999999997</v>
      </c>
      <c r="J98" s="313">
        <f>VLOOKUP($A98&amp;"NCP LF",'E11 - 2013 09 Final'!$A$46:$P$1775,$J$93,FALSE)</f>
        <v>0.77270000000000005</v>
      </c>
      <c r="K98" s="313">
        <f>VLOOKUP($A98&amp;"NCP LF",'E11 - 2013 09 Final'!$A$46:$P$1775,$K$93,FALSE)</f>
        <v>0.70469999999999999</v>
      </c>
      <c r="L98" s="313">
        <f>VLOOKUP($A98&amp;"NCP LF",'E11 - 2013 09 Final'!$A$46:$P$1775,$L$93,FALSE)</f>
        <v>0.73309999999999997</v>
      </c>
      <c r="M98" s="313">
        <f>VLOOKUP($A98&amp;"NCP LF",'E11 - 2013 09 Final'!$A$46:$P$1775,$M$93,FALSE)</f>
        <v>0.76519999999999999</v>
      </c>
      <c r="N98" s="313">
        <f>VLOOKUP($A98&amp;"NCP LF",'E11 - 2013 09 Final'!$A$46:$P$1775,$N$93,FALSE)</f>
        <v>0.72419999999999995</v>
      </c>
      <c r="O98" s="117"/>
      <c r="P98" s="314"/>
    </row>
    <row r="99" spans="1:16">
      <c r="A99" t="s">
        <v>632</v>
      </c>
      <c r="B99" s="43" t="s">
        <v>49</v>
      </c>
      <c r="C99" s="313">
        <f>VLOOKUP($A99&amp;"NCP LF",'E11 - 2013 09 Final'!$A$46:$P$1775,$C$93,FALSE)</f>
        <v>0.3236</v>
      </c>
      <c r="D99" s="313">
        <f>VLOOKUP($A99&amp;"NCP LF",'E11 - 2013 09 Final'!$A$46:$P$1775,$D$93,FALSE)</f>
        <v>0.30690000000000001</v>
      </c>
      <c r="E99" s="313">
        <f>VLOOKUP($A99&amp;"NCP LF",'E11 - 2013 09 Final'!$A$46:$P$1775,$E$93,FALSE)</f>
        <v>0.29609999999999997</v>
      </c>
      <c r="F99" s="313">
        <f>VLOOKUP($A99&amp;"NCP LF",'E11 - 2013 09 Final'!$A$46:$P$1775,$F$93,FALSE)</f>
        <v>0.34620000000000001</v>
      </c>
      <c r="G99" s="313">
        <f>VLOOKUP($A99&amp;"NCP LF",'E11 - 2013 09 Final'!$A$46:$P$1775,$G$93,FALSE)</f>
        <v>0.34460000000000002</v>
      </c>
      <c r="H99" s="313">
        <f>VLOOKUP($A99&amp;"NCP LF",'E11 - 2013 09 Final'!$A$46:$P$1775,$H$93,FALSE)</f>
        <v>0.36280000000000001</v>
      </c>
      <c r="I99" s="313">
        <f>VLOOKUP($A99&amp;"NCP LF",'E11 - 2013 09 Final'!$A$46:$P$1775,$I$93,FALSE)</f>
        <v>0.3614</v>
      </c>
      <c r="J99" s="313">
        <f>VLOOKUP($A99&amp;"NCP LF",'E11 - 2013 09 Final'!$A$46:$P$1775,$J$93,FALSE)</f>
        <v>0.38159999999999999</v>
      </c>
      <c r="K99" s="313">
        <f>VLOOKUP($A99&amp;"NCP LF",'E11 - 2013 09 Final'!$A$46:$P$1775,$K$93,FALSE)</f>
        <v>0.36159999999999998</v>
      </c>
      <c r="L99" s="313">
        <f>VLOOKUP($A99&amp;"NCP LF",'E11 - 2013 09 Final'!$A$46:$P$1775,$L$93,FALSE)</f>
        <v>0.35589999999999999</v>
      </c>
      <c r="M99" s="313">
        <f>VLOOKUP($A99&amp;"NCP LF",'E11 - 2013 09 Final'!$A$46:$P$1775,$M$93,FALSE)</f>
        <v>0.3276</v>
      </c>
      <c r="N99" s="313">
        <f>VLOOKUP($A99&amp;"NCP LF",'E11 - 2013 09 Final'!$A$46:$P$1775,$N$93,FALSE)</f>
        <v>0.3236</v>
      </c>
      <c r="O99" s="117"/>
      <c r="P99" s="314"/>
    </row>
    <row r="100" spans="1:16">
      <c r="A100" t="s">
        <v>640</v>
      </c>
      <c r="B100" s="46" t="s">
        <v>325</v>
      </c>
      <c r="C100" s="313">
        <f>VLOOKUP($A100&amp;"NCP LF",'E11 - 2013 09 Final'!$A$46:$P$1775,$C$93,FALSE)</f>
        <v>0.94310000000000005</v>
      </c>
      <c r="D100" s="313">
        <f>VLOOKUP($A100&amp;"NCP LF",'E11 - 2013 09 Final'!$A$46:$P$1775,$D$93,FALSE)</f>
        <v>0.92959999999999998</v>
      </c>
      <c r="E100" s="313">
        <f>VLOOKUP($A100&amp;"NCP LF",'E11 - 2013 09 Final'!$A$46:$P$1775,$E$93,FALSE)</f>
        <v>0.90849999999999997</v>
      </c>
      <c r="F100" s="313">
        <f>VLOOKUP($A100&amp;"NCP LF",'E11 - 2013 09 Final'!$A$46:$P$1775,$F$93,FALSE)</f>
        <v>0.9194</v>
      </c>
      <c r="G100" s="313">
        <f>VLOOKUP($A100&amp;"NCP LF",'E11 - 2013 09 Final'!$A$46:$P$1775,$G$93,FALSE)</f>
        <v>0.90590000000000004</v>
      </c>
      <c r="H100" s="313">
        <f>VLOOKUP($A100&amp;"NCP LF",'E11 - 2013 09 Final'!$A$46:$P$1775,$H$93,FALSE)</f>
        <v>0.91159999999999997</v>
      </c>
      <c r="I100" s="313">
        <f>VLOOKUP($A100&amp;"NCP LF",'E11 - 2013 09 Final'!$A$46:$P$1775,$I$93,FALSE)</f>
        <v>0.92510000000000003</v>
      </c>
      <c r="J100" s="313">
        <f>VLOOKUP($A100&amp;"NCP LF",'E11 - 2013 09 Final'!$A$46:$P$1775,$J$93,FALSE)</f>
        <v>0.91190000000000004</v>
      </c>
      <c r="K100" s="313">
        <f>VLOOKUP($A100&amp;"NCP LF",'E11 - 2013 09 Final'!$A$46:$P$1775,$K$93,FALSE)</f>
        <v>0.9405</v>
      </c>
      <c r="L100" s="313">
        <f>VLOOKUP($A100&amp;"NCP LF",'E11 - 2013 09 Final'!$A$46:$P$1775,$L$93,FALSE)</f>
        <v>0.94210000000000005</v>
      </c>
      <c r="M100" s="313">
        <f>VLOOKUP($A100&amp;"NCP LF",'E11 - 2013 09 Final'!$A$46:$P$1775,$M$93,FALSE)</f>
        <v>0.94240000000000002</v>
      </c>
      <c r="N100" s="313">
        <f>VLOOKUP($A100&amp;"NCP LF",'E11 - 2013 09 Final'!$A$46:$P$1775,$N$93,FALSE)</f>
        <v>0.93640000000000001</v>
      </c>
      <c r="O100" s="117"/>
      <c r="P100" s="314"/>
    </row>
    <row r="101" spans="1:16">
      <c r="A101" t="s">
        <v>994</v>
      </c>
      <c r="B101" s="43" t="s">
        <v>67</v>
      </c>
      <c r="C101" s="313">
        <f>VLOOKUP($A101&amp;"NCP LF",'E11 - 2013 09 Final'!$A$46:$P$1775,$C$93,FALSE)</f>
        <v>0.51749999999999996</v>
      </c>
      <c r="D101" s="313">
        <f>VLOOKUP($A101&amp;"NCP LF",'E11 - 2013 09 Final'!$A$46:$P$1775,$D$93,FALSE)</f>
        <v>0.49519999999999997</v>
      </c>
      <c r="E101" s="313">
        <f>VLOOKUP($A101&amp;"NCP LF",'E11 - 2013 09 Final'!$A$46:$P$1775,$E$93,FALSE)</f>
        <v>0.46600000000000003</v>
      </c>
      <c r="F101" s="313">
        <f>VLOOKUP($A101&amp;"NCP LF",'E11 - 2013 09 Final'!$A$46:$P$1775,$F$93,FALSE)</f>
        <v>0.51280000000000003</v>
      </c>
      <c r="G101" s="313">
        <f>VLOOKUP($A101&amp;"NCP LF",'E11 - 2013 09 Final'!$A$46:$P$1775,$G$93,FALSE)</f>
        <v>0.5141</v>
      </c>
      <c r="H101" s="313">
        <f>VLOOKUP($A101&amp;"NCP LF",'E11 - 2013 09 Final'!$A$46:$P$1775,$H$93,FALSE)</f>
        <v>0.53779999999999994</v>
      </c>
      <c r="I101" s="313">
        <f>VLOOKUP($A101&amp;"NCP LF",'E11 - 2013 09 Final'!$A$46:$P$1775,$I$93,FALSE)</f>
        <v>0.55049999999999999</v>
      </c>
      <c r="J101" s="313">
        <f>VLOOKUP($A101&amp;"NCP LF",'E11 - 2013 09 Final'!$A$46:$P$1775,$J$93,FALSE)</f>
        <v>0.54900000000000004</v>
      </c>
      <c r="K101" s="313">
        <f>VLOOKUP($A101&amp;"NCP LF",'E11 - 2013 09 Final'!$A$46:$P$1775,$K$93,FALSE)</f>
        <v>0.52759999999999996</v>
      </c>
      <c r="L101" s="313">
        <f>VLOOKUP($A101&amp;"NCP LF",'E11 - 2013 09 Final'!$A$46:$P$1775,$L$93,FALSE)</f>
        <v>0.52400000000000002</v>
      </c>
      <c r="M101" s="313">
        <f>VLOOKUP($A101&amp;"NCP LF",'E11 - 2013 09 Final'!$A$46:$P$1775,$M$93,FALSE)</f>
        <v>0.5081</v>
      </c>
      <c r="N101" s="313">
        <f>VLOOKUP($A101&amp;"NCP LF",'E11 - 2013 09 Final'!$A$46:$P$1775,$N$93,FALSE)</f>
        <v>0.50260000000000005</v>
      </c>
      <c r="O101" s="117"/>
      <c r="P101" s="314"/>
    </row>
    <row r="102" spans="1:16">
      <c r="A102" t="s">
        <v>997</v>
      </c>
      <c r="B102" s="43" t="s">
        <v>68</v>
      </c>
      <c r="C102" s="313">
        <f>VLOOKUP($A102&amp;"NCP LF",'E11 - 2013 09 Final'!$A$46:$P$1775,$C$93,FALSE)</f>
        <v>0.55149999999999999</v>
      </c>
      <c r="D102" s="313">
        <f>VLOOKUP($A102&amp;"NCP LF",'E11 - 2013 09 Final'!$A$46:$P$1775,$D$93,FALSE)</f>
        <v>0.53569999999999995</v>
      </c>
      <c r="E102" s="313">
        <f>VLOOKUP($A102&amp;"NCP LF",'E11 - 2013 09 Final'!$A$46:$P$1775,$E$93,FALSE)</f>
        <v>0.51070000000000004</v>
      </c>
      <c r="F102" s="313">
        <f>VLOOKUP($A102&amp;"NCP LF",'E11 - 2013 09 Final'!$A$46:$P$1775,$F$93,FALSE)</f>
        <v>0.55920000000000003</v>
      </c>
      <c r="G102" s="313">
        <f>VLOOKUP($A102&amp;"NCP LF",'E11 - 2013 09 Final'!$A$46:$P$1775,$G$93,FALSE)</f>
        <v>0.54879999999999995</v>
      </c>
      <c r="H102" s="313">
        <f>VLOOKUP($A102&amp;"NCP LF",'E11 - 2013 09 Final'!$A$46:$P$1775,$H$93,FALSE)</f>
        <v>0.55400000000000005</v>
      </c>
      <c r="I102" s="313">
        <f>VLOOKUP($A102&amp;"NCP LF",'E11 - 2013 09 Final'!$A$46:$P$1775,$I$93,FALSE)</f>
        <v>0.59450000000000003</v>
      </c>
      <c r="J102" s="313">
        <f>VLOOKUP($A102&amp;"NCP LF",'E11 - 2013 09 Final'!$A$46:$P$1775,$J$93,FALSE)</f>
        <v>0.57799999999999996</v>
      </c>
      <c r="K102" s="313">
        <f>VLOOKUP($A102&amp;"NCP LF",'E11 - 2013 09 Final'!$A$46:$P$1775,$K$93,FALSE)</f>
        <v>0.56510000000000005</v>
      </c>
      <c r="L102" s="313">
        <f>VLOOKUP($A102&amp;"NCP LF",'E11 - 2013 09 Final'!$A$46:$P$1775,$L$93,FALSE)</f>
        <v>0.56069999999999998</v>
      </c>
      <c r="M102" s="313">
        <f>VLOOKUP($A102&amp;"NCP LF",'E11 - 2013 09 Final'!$A$46:$P$1775,$M$93,FALSE)</f>
        <v>0.54090000000000005</v>
      </c>
      <c r="N102" s="313">
        <f>VLOOKUP($A102&amp;"NCP LF",'E11 - 2013 09 Final'!$A$46:$P$1775,$N$93,FALSE)</f>
        <v>0.52980000000000005</v>
      </c>
      <c r="O102" s="117"/>
      <c r="P102" s="314"/>
    </row>
    <row r="103" spans="1:16">
      <c r="A103" t="s">
        <v>713</v>
      </c>
      <c r="B103" s="43" t="s">
        <v>69</v>
      </c>
      <c r="C103" s="313">
        <f>VLOOKUP($A103&amp;"NCP LF",'E11 - 2013 09 Final'!$A$46:$P$1775,$C$93,FALSE)</f>
        <v>0.64870000000000005</v>
      </c>
      <c r="D103" s="313">
        <f>VLOOKUP($A103&amp;"NCP LF",'E11 - 2013 09 Final'!$A$46:$P$1775,$D$93,FALSE)</f>
        <v>0.62960000000000005</v>
      </c>
      <c r="E103" s="313">
        <f>VLOOKUP($A103&amp;"NCP LF",'E11 - 2013 09 Final'!$A$46:$P$1775,$E$93,FALSE)</f>
        <v>0.6169</v>
      </c>
      <c r="F103" s="313">
        <f>VLOOKUP($A103&amp;"NCP LF",'E11 - 2013 09 Final'!$A$46:$P$1775,$F$93,FALSE)</f>
        <v>0.65510000000000002</v>
      </c>
      <c r="G103" s="313">
        <f>VLOOKUP($A103&amp;"NCP LF",'E11 - 2013 09 Final'!$A$46:$P$1775,$G$93,FALSE)</f>
        <v>0.65990000000000004</v>
      </c>
      <c r="H103" s="313">
        <f>VLOOKUP($A103&amp;"NCP LF",'E11 - 2013 09 Final'!$A$46:$P$1775,$H$93,FALSE)</f>
        <v>0.75509999999999999</v>
      </c>
      <c r="I103" s="313">
        <f>VLOOKUP($A103&amp;"NCP LF",'E11 - 2013 09 Final'!$A$46:$P$1775,$I$93,FALSE)</f>
        <v>0.69</v>
      </c>
      <c r="J103" s="313">
        <f>VLOOKUP($A103&amp;"NCP LF",'E11 - 2013 09 Final'!$A$46:$P$1775,$J$93,FALSE)</f>
        <v>0.75109999999999999</v>
      </c>
      <c r="K103" s="313">
        <f>VLOOKUP($A103&amp;"NCP LF",'E11 - 2013 09 Final'!$A$46:$P$1775,$K$93,FALSE)</f>
        <v>0.67359999999999998</v>
      </c>
      <c r="L103" s="313">
        <f>VLOOKUP($A103&amp;"NCP LF",'E11 - 2013 09 Final'!$A$46:$P$1775,$L$93,FALSE)</f>
        <v>0.66139999999999999</v>
      </c>
      <c r="M103" s="313">
        <f>VLOOKUP($A103&amp;"NCP LF",'E11 - 2013 09 Final'!$A$46:$P$1775,$M$93,FALSE)</f>
        <v>0.64359999999999995</v>
      </c>
      <c r="N103" s="313">
        <f>VLOOKUP($A103&amp;"NCP LF",'E11 - 2013 09 Final'!$A$46:$P$1775,$N$93,FALSE)</f>
        <v>0.64710000000000001</v>
      </c>
      <c r="O103" s="117"/>
      <c r="P103" s="314"/>
    </row>
    <row r="104" spans="1:16">
      <c r="A104" t="s">
        <v>717</v>
      </c>
      <c r="B104" s="43" t="s">
        <v>52</v>
      </c>
      <c r="C104" s="313">
        <f>VLOOKUP($A104&amp;"NCP LF",'E11 - 2013 09 Final'!$A$46:$P$1775,$C$93,FALSE)</f>
        <v>0.58460000000000001</v>
      </c>
      <c r="D104" s="313">
        <f>VLOOKUP($A104&amp;"NCP LF",'E11 - 2013 09 Final'!$A$46:$P$1775,$D$93,FALSE)</f>
        <v>0.57140000000000002</v>
      </c>
      <c r="E104" s="313">
        <f>VLOOKUP($A104&amp;"NCP LF",'E11 - 2013 09 Final'!$A$46:$P$1775,$E$93,FALSE)</f>
        <v>0.52759999999999996</v>
      </c>
      <c r="F104" s="313">
        <f>VLOOKUP($A104&amp;"NCP LF",'E11 - 2013 09 Final'!$A$46:$P$1775,$F$93,FALSE)</f>
        <v>0.52190000000000003</v>
      </c>
      <c r="G104" s="313">
        <f>VLOOKUP($A104&amp;"NCP LF",'E11 - 2013 09 Final'!$A$46:$P$1775,$G$93,FALSE)</f>
        <v>0.59140000000000004</v>
      </c>
      <c r="H104" s="313">
        <f>VLOOKUP($A104&amp;"NCP LF",'E11 - 2013 09 Final'!$A$46:$P$1775,$H$93,FALSE)</f>
        <v>0.47860000000000003</v>
      </c>
      <c r="I104" s="313">
        <f>VLOOKUP($A104&amp;"NCP LF",'E11 - 2013 09 Final'!$A$46:$P$1775,$I$93,FALSE)</f>
        <v>0.53769999999999996</v>
      </c>
      <c r="J104" s="313">
        <f>VLOOKUP($A104&amp;"NCP LF",'E11 - 2013 09 Final'!$A$46:$P$1775,$J$93,FALSE)</f>
        <v>0.57599999999999996</v>
      </c>
      <c r="K104" s="313">
        <f>VLOOKUP($A104&amp;"NCP LF",'E11 - 2013 09 Final'!$A$46:$P$1775,$K$93,FALSE)</f>
        <v>0.5494</v>
      </c>
      <c r="L104" s="313">
        <f>VLOOKUP($A104&amp;"NCP LF",'E11 - 2013 09 Final'!$A$46:$P$1775,$L$93,FALSE)</f>
        <v>0.5232</v>
      </c>
      <c r="M104" s="313">
        <f>VLOOKUP($A104&amp;"NCP LF",'E11 - 2013 09 Final'!$A$46:$P$1775,$M$93,FALSE)</f>
        <v>0.52890000000000004</v>
      </c>
      <c r="N104" s="313">
        <f>VLOOKUP($A104&amp;"NCP LF",'E11 - 2013 09 Final'!$A$46:$P$1775,$N$93,FALSE)</f>
        <v>0.49609999999999999</v>
      </c>
      <c r="O104" s="117"/>
      <c r="P104" s="314"/>
    </row>
    <row r="105" spans="1:16">
      <c r="A105" t="s">
        <v>15</v>
      </c>
      <c r="B105" s="206" t="s">
        <v>15</v>
      </c>
      <c r="C105" s="313">
        <f>VLOOKUP($A105&amp;"NCP LF",'E11 - 2013 09 Final'!$A$46:$P$1775,$C$93,FALSE)</f>
        <v>0.56710000000000005</v>
      </c>
      <c r="D105" s="313">
        <f>VLOOKUP($A105&amp;"NCP LF",'E11 - 2013 09 Final'!$A$46:$P$1775,$D$93,FALSE)</f>
        <v>0.52949999999999997</v>
      </c>
      <c r="E105" s="313">
        <f>VLOOKUP($A105&amp;"NCP LF",'E11 - 2013 09 Final'!$A$46:$P$1775,$E$93,FALSE)</f>
        <v>0.52170000000000005</v>
      </c>
      <c r="F105" s="313">
        <f>VLOOKUP($A105&amp;"NCP LF",'E11 - 2013 09 Final'!$A$46:$P$1775,$F$93,FALSE)</f>
        <v>0.5413</v>
      </c>
      <c r="G105" s="313">
        <f>VLOOKUP($A105&amp;"NCP LF",'E11 - 2013 09 Final'!$A$46:$P$1775,$G$93,FALSE)</f>
        <v>0.55149999999999999</v>
      </c>
      <c r="H105" s="313">
        <f>VLOOKUP($A105&amp;"NCP LF",'E11 - 2013 09 Final'!$A$46:$P$1775,$H$93,FALSE)</f>
        <v>0.5252</v>
      </c>
      <c r="I105" s="313">
        <f>VLOOKUP($A105&amp;"NCP LF",'E11 - 2013 09 Final'!$A$46:$P$1775,$I$93,FALSE)</f>
        <v>0.51670000000000005</v>
      </c>
      <c r="J105" s="313">
        <f>VLOOKUP($A105&amp;"NCP LF",'E11 - 2013 09 Final'!$A$46:$P$1775,$J$93,FALSE)</f>
        <v>0.51319999999999999</v>
      </c>
      <c r="K105" s="313">
        <f>VLOOKUP($A105&amp;"NCP LF",'E11 - 2013 09 Final'!$A$46:$P$1775,$K$93,FALSE)</f>
        <v>0.49819999999999998</v>
      </c>
      <c r="L105" s="313">
        <f>VLOOKUP($A105&amp;"NCP LF",'E11 - 2013 09 Final'!$A$46:$P$1775,$L$93,FALSE)</f>
        <v>0.53259999999999996</v>
      </c>
      <c r="M105" s="313">
        <f>VLOOKUP($A105&amp;"NCP LF",'E11 - 2013 09 Final'!$A$46:$P$1775,$M$93,FALSE)</f>
        <v>0.5373</v>
      </c>
      <c r="N105" s="313">
        <f>VLOOKUP($A105&amp;"NCP LF",'E11 - 2013 09 Final'!$A$46:$P$1775,$N$93,FALSE)</f>
        <v>0.55959999999999999</v>
      </c>
      <c r="O105" s="117"/>
      <c r="P105" s="314"/>
    </row>
    <row r="106" spans="1:16">
      <c r="A106" t="s">
        <v>19</v>
      </c>
      <c r="B106" s="43" t="s">
        <v>56</v>
      </c>
      <c r="C106" s="313">
        <f>VLOOKUP($A106&amp;"NCP LF",'E11 - 2013 09 Final'!$A$46:$P$1775,$C$93,FALSE)</f>
        <v>0.55220000000000002</v>
      </c>
      <c r="D106" s="313">
        <f>VLOOKUP($A106&amp;"NCP LF",'E11 - 2013 09 Final'!$A$46:$P$1775,$D$93,FALSE)</f>
        <v>0.53010000000000002</v>
      </c>
      <c r="E106" s="313">
        <f>VLOOKUP($A106&amp;"NCP LF",'E11 - 2013 09 Final'!$A$46:$P$1775,$E$93,FALSE)</f>
        <v>0.4995</v>
      </c>
      <c r="F106" s="313">
        <f>VLOOKUP($A106&amp;"NCP LF",'E11 - 2013 09 Final'!$A$46:$P$1775,$F$93,FALSE)</f>
        <v>0.46839999999999998</v>
      </c>
      <c r="G106" s="313">
        <f>VLOOKUP($A106&amp;"NCP LF",'E11 - 2013 09 Final'!$A$46:$P$1775,$G$93,FALSE)</f>
        <v>0.4425</v>
      </c>
      <c r="H106" s="313">
        <f>VLOOKUP($A106&amp;"NCP LF",'E11 - 2013 09 Final'!$A$46:$P$1775,$H$93,FALSE)</f>
        <v>0.42980000000000002</v>
      </c>
      <c r="I106" s="313">
        <f>VLOOKUP($A106&amp;"NCP LF",'E11 - 2013 09 Final'!$A$46:$P$1775,$I$93,FALSE)</f>
        <v>0.43530000000000002</v>
      </c>
      <c r="J106" s="313">
        <f>VLOOKUP($A106&amp;"NCP LF",'E11 - 2013 09 Final'!$A$46:$P$1775,$J$93,FALSE)</f>
        <v>0.45689999999999997</v>
      </c>
      <c r="K106" s="313">
        <f>VLOOKUP($A106&amp;"NCP LF",'E11 - 2013 09 Final'!$A$46:$P$1775,$K$93,FALSE)</f>
        <v>0.48670000000000002</v>
      </c>
      <c r="L106" s="313">
        <f>VLOOKUP($A106&amp;"NCP LF",'E11 - 2013 09 Final'!$A$46:$P$1775,$L$93,FALSE)</f>
        <v>0.51829999999999998</v>
      </c>
      <c r="M106" s="313">
        <f>VLOOKUP($A106&amp;"NCP LF",'E11 - 2013 09 Final'!$A$46:$P$1775,$M$93,FALSE)</f>
        <v>0.54500000000000004</v>
      </c>
      <c r="N106" s="313">
        <f>VLOOKUP($A106&amp;"NCP LF",'E11 - 2013 09 Final'!$A$46:$P$1775,$N$93,FALSE)</f>
        <v>0.55859999999999999</v>
      </c>
      <c r="O106" s="117"/>
      <c r="P106" s="314"/>
    </row>
    <row r="107" spans="1:16">
      <c r="A107" t="s">
        <v>22</v>
      </c>
      <c r="B107" s="43" t="s">
        <v>57</v>
      </c>
      <c r="C107" s="313">
        <f>VLOOKUP($A107&amp;"NCP LF",'E11 - 2013 09 Final'!$A$46:$P$1775,$C$93,FALSE)</f>
        <v>0.1</v>
      </c>
      <c r="D107" s="313">
        <f>VLOOKUP($A107&amp;"NCP LF",'E11 - 2013 09 Final'!$A$46:$P$1775,$D$93,FALSE)</f>
        <v>0.1053</v>
      </c>
      <c r="E107" s="313">
        <f>VLOOKUP($A107&amp;"NCP LF",'E11 - 2013 09 Final'!$A$46:$P$1775,$E$93,FALSE)</f>
        <v>9.0899999999999995E-2</v>
      </c>
      <c r="F107" s="313">
        <f>VLOOKUP($A107&amp;"NCP LF",'E11 - 2013 09 Final'!$A$46:$P$1775,$F$93,FALSE)</f>
        <v>8.9599999999999999E-2</v>
      </c>
      <c r="G107" s="313">
        <f>VLOOKUP($A107&amp;"NCP LF",'E11 - 2013 09 Final'!$A$46:$P$1775,$G$93,FALSE)</f>
        <v>8.3799999999999999E-2</v>
      </c>
      <c r="H107" s="313">
        <f>VLOOKUP($A107&amp;"NCP LF",'E11 - 2013 09 Final'!$A$46:$P$1775,$H$93,FALSE)</f>
        <v>9.98E-2</v>
      </c>
      <c r="I107" s="313">
        <f>VLOOKUP($A107&amp;"NCP LF",'E11 - 2013 09 Final'!$A$46:$P$1775,$I$93,FALSE)</f>
        <v>0.10580000000000001</v>
      </c>
      <c r="J107" s="313">
        <f>VLOOKUP($A107&amp;"NCP LF",'E11 - 2013 09 Final'!$A$46:$P$1775,$J$93,FALSE)</f>
        <v>9.6500000000000002E-2</v>
      </c>
      <c r="K107" s="313">
        <f>VLOOKUP($A107&amp;"NCP LF",'E11 - 2013 09 Final'!$A$46:$P$1775,$K$93,FALSE)</f>
        <v>8.7400000000000005E-2</v>
      </c>
      <c r="L107" s="313">
        <f>VLOOKUP($A107&amp;"NCP LF",'E11 - 2013 09 Final'!$A$46:$P$1775,$L$93,FALSE)</f>
        <v>0.10059999999999999</v>
      </c>
      <c r="M107" s="313">
        <f>VLOOKUP($A107&amp;"NCP LF",'E11 - 2013 09 Final'!$A$46:$P$1775,$M$93,FALSE)</f>
        <v>9.9099999999999994E-2</v>
      </c>
      <c r="N107" s="313">
        <f>VLOOKUP($A107&amp;"NCP LF",'E11 - 2013 09 Final'!$A$46:$P$1775,$N$93,FALSE)</f>
        <v>9.0800000000000006E-2</v>
      </c>
      <c r="O107" s="117"/>
      <c r="P107" s="314"/>
    </row>
    <row r="108" spans="1:16">
      <c r="A108" t="s">
        <v>687</v>
      </c>
      <c r="B108" s="43" t="s">
        <v>48</v>
      </c>
      <c r="C108" s="313">
        <f>VLOOKUP($A108&amp;"NCP LF",'E11 - 2013 09 Final'!$A$46:$P$1775,$C$93,FALSE)</f>
        <v>0.18859999999999999</v>
      </c>
      <c r="D108" s="313">
        <f>VLOOKUP($A108&amp;"NCP LF",'E11 - 2013 09 Final'!$A$46:$P$1775,$D$93,FALSE)</f>
        <v>0.18529999999999999</v>
      </c>
      <c r="E108" s="313">
        <f>VLOOKUP($A108&amp;"NCP LF",'E11 - 2013 09 Final'!$A$46:$P$1775,$E$93,FALSE)</f>
        <v>0.1741</v>
      </c>
      <c r="F108" s="313">
        <f>VLOOKUP($A108&amp;"NCP LF",'E11 - 2013 09 Final'!$A$46:$P$1775,$F$93,FALSE)</f>
        <v>0.2301</v>
      </c>
      <c r="G108" s="313">
        <f>VLOOKUP($A108&amp;"NCP LF",'E11 - 2013 09 Final'!$A$46:$P$1775,$G$93,FALSE)</f>
        <v>0.24690000000000001</v>
      </c>
      <c r="H108" s="313">
        <f>VLOOKUP($A108&amp;"NCP LF",'E11 - 2013 09 Final'!$A$46:$P$1775,$H$93,FALSE)</f>
        <v>0.29459999999999997</v>
      </c>
      <c r="I108" s="313">
        <f>VLOOKUP($A108&amp;"NCP LF",'E11 - 2013 09 Final'!$A$46:$P$1775,$I$93,FALSE)</f>
        <v>0.28939999999999999</v>
      </c>
      <c r="J108" s="313">
        <f>VLOOKUP($A108&amp;"NCP LF",'E11 - 2013 09 Final'!$A$46:$P$1775,$J$93,FALSE)</f>
        <v>0.30180000000000001</v>
      </c>
      <c r="K108" s="313">
        <f>VLOOKUP($A108&amp;"NCP LF",'E11 - 2013 09 Final'!$A$46:$P$1775,$K$93,FALSE)</f>
        <v>0.28360000000000002</v>
      </c>
      <c r="L108" s="313">
        <f>VLOOKUP($A108&amp;"NCP LF",'E11 - 2013 09 Final'!$A$46:$P$1775,$L$93,FALSE)</f>
        <v>0.25650000000000001</v>
      </c>
      <c r="M108" s="313">
        <f>VLOOKUP($A108&amp;"NCP LF",'E11 - 2013 09 Final'!$A$46:$P$1775,$M$93,FALSE)</f>
        <v>0.2167</v>
      </c>
      <c r="N108" s="313">
        <f>VLOOKUP($A108&amp;"NCP LF",'E11 - 2013 09 Final'!$A$46:$P$1775,$N$93,FALSE)</f>
        <v>0.20580000000000001</v>
      </c>
      <c r="O108" s="117"/>
      <c r="P108" s="314"/>
    </row>
    <row r="109" spans="1:16">
      <c r="A109" t="s">
        <v>35</v>
      </c>
      <c r="B109" s="43" t="s">
        <v>53</v>
      </c>
      <c r="C109" s="313">
        <f>VLOOKUP($A109&amp;"NCP LF",'E11 - 2013 09 Final'!$A$46:$P$1775,$C$93,FALSE)</f>
        <v>0.55220000000000002</v>
      </c>
      <c r="D109" s="313">
        <f>VLOOKUP($A109&amp;"NCP LF",'E11 - 2013 09 Final'!$A$46:$P$1775,$D$93,FALSE)</f>
        <v>0.53010000000000002</v>
      </c>
      <c r="E109" s="313">
        <f>VLOOKUP($A109&amp;"NCP LF",'E11 - 2013 09 Final'!$A$46:$P$1775,$E$93,FALSE)</f>
        <v>0.4995</v>
      </c>
      <c r="F109" s="313">
        <f>VLOOKUP($A109&amp;"NCP LF",'E11 - 2013 09 Final'!$A$46:$P$1775,$F$93,FALSE)</f>
        <v>0.46839999999999998</v>
      </c>
      <c r="G109" s="313">
        <f>VLOOKUP($A109&amp;"NCP LF",'E11 - 2013 09 Final'!$A$46:$P$1775,$G$93,FALSE)</f>
        <v>0.4425</v>
      </c>
      <c r="H109" s="313">
        <f>VLOOKUP($A109&amp;"NCP LF",'E11 - 2013 09 Final'!$A$46:$P$1775,$H$93,FALSE)</f>
        <v>0.42980000000000002</v>
      </c>
      <c r="I109" s="313">
        <f>VLOOKUP($A109&amp;"NCP LF",'E11 - 2013 09 Final'!$A$46:$P$1775,$I$93,FALSE)</f>
        <v>0.43530000000000002</v>
      </c>
      <c r="J109" s="313">
        <f>VLOOKUP($A109&amp;"NCP LF",'E11 - 2013 09 Final'!$A$46:$P$1775,$J$93,FALSE)</f>
        <v>0.45689999999999997</v>
      </c>
      <c r="K109" s="313">
        <f>VLOOKUP($A109&amp;"NCP LF",'E11 - 2013 09 Final'!$A$46:$P$1775,$K$93,FALSE)</f>
        <v>0.48670000000000002</v>
      </c>
      <c r="L109" s="313">
        <f>VLOOKUP($A109&amp;"NCP LF",'E11 - 2013 09 Final'!$A$46:$P$1775,$L$93,FALSE)</f>
        <v>0.51829999999999998</v>
      </c>
      <c r="M109" s="313">
        <f>VLOOKUP($A109&amp;"NCP LF",'E11 - 2013 09 Final'!$A$46:$P$1775,$M$93,FALSE)</f>
        <v>0.54500000000000004</v>
      </c>
      <c r="N109" s="313">
        <f>VLOOKUP($A109&amp;"NCP LF",'E11 - 2013 09 Final'!$A$46:$P$1775,$N$93,FALSE)</f>
        <v>0.55859999999999999</v>
      </c>
      <c r="O109" s="117"/>
      <c r="P109" s="314"/>
    </row>
    <row r="110" spans="1:16">
      <c r="A110" t="s">
        <v>38</v>
      </c>
      <c r="B110" s="43" t="s">
        <v>55</v>
      </c>
      <c r="C110" s="313">
        <f>VLOOKUP($A110&amp;"NCP LF",'E11 - 2013 09 Final'!$A$46:$P$1775,$C$93,FALSE)</f>
        <v>1</v>
      </c>
      <c r="D110" s="313">
        <f>VLOOKUP($A110&amp;"NCP LF",'E11 - 2013 09 Final'!$A$46:$P$1775,$D$93,FALSE)</f>
        <v>1</v>
      </c>
      <c r="E110" s="313">
        <f>VLOOKUP($A110&amp;"NCP LF",'E11 - 2013 09 Final'!$A$46:$P$1775,$E$93,FALSE)</f>
        <v>1</v>
      </c>
      <c r="F110" s="313">
        <f>VLOOKUP($A110&amp;"NCP LF",'E11 - 2013 09 Final'!$A$46:$P$1775,$F$93,FALSE)</f>
        <v>1</v>
      </c>
      <c r="G110" s="313">
        <f>VLOOKUP($A110&amp;"NCP LF",'E11 - 2013 09 Final'!$A$46:$P$1775,$G$93,FALSE)</f>
        <v>1</v>
      </c>
      <c r="H110" s="313">
        <f>VLOOKUP($A110&amp;"NCP LF",'E11 - 2013 09 Final'!$A$46:$P$1775,$H$93,FALSE)</f>
        <v>1</v>
      </c>
      <c r="I110" s="313">
        <f>VLOOKUP($A110&amp;"NCP LF",'E11 - 2013 09 Final'!$A$46:$P$1775,$I$93,FALSE)</f>
        <v>1</v>
      </c>
      <c r="J110" s="313">
        <f>VLOOKUP($A110&amp;"NCP LF",'E11 - 2013 09 Final'!$A$46:$P$1775,$J$93,FALSE)</f>
        <v>1</v>
      </c>
      <c r="K110" s="313">
        <f>VLOOKUP($A110&amp;"NCP LF",'E11 - 2013 09 Final'!$A$46:$P$1775,$K$93,FALSE)</f>
        <v>1</v>
      </c>
      <c r="L110" s="313">
        <f>VLOOKUP($A110&amp;"NCP LF",'E11 - 2013 09 Final'!$A$46:$P$1775,$L$93,FALSE)</f>
        <v>1</v>
      </c>
      <c r="M110" s="313">
        <f>VLOOKUP($A110&amp;"NCP LF",'E11 - 2013 09 Final'!$A$46:$P$1775,$M$93,FALSE)</f>
        <v>0.99860000000000004</v>
      </c>
      <c r="N110" s="313">
        <f>VLOOKUP($A110&amp;"NCP LF",'E11 - 2013 09 Final'!$A$46:$P$1775,$N$93,FALSE)</f>
        <v>1</v>
      </c>
      <c r="O110" s="117"/>
      <c r="P110" s="314"/>
    </row>
    <row r="111" spans="1:16">
      <c r="A111" t="s">
        <v>40</v>
      </c>
      <c r="B111" s="43" t="s">
        <v>87</v>
      </c>
      <c r="C111" s="313">
        <f>VLOOKUP($A111&amp;"NCP LF",'E11 - 2013 09 Final'!$A$46:$P$1775,$C$93,FALSE)</f>
        <v>0.2253</v>
      </c>
      <c r="D111" s="313">
        <f>VLOOKUP($A111&amp;"NCP LF",'E11 - 2013 09 Final'!$A$46:$P$1775,$D$93,FALSE)</f>
        <v>6.83E-2</v>
      </c>
      <c r="E111" s="313">
        <f>VLOOKUP($A111&amp;"NCP LF",'E11 - 2013 09 Final'!$A$46:$P$1775,$E$93,FALSE)</f>
        <v>0.1963</v>
      </c>
      <c r="F111" s="313">
        <f>VLOOKUP($A111&amp;"NCP LF",'E11 - 2013 09 Final'!$A$46:$P$1775,$F$93,FALSE)</f>
        <v>0.28029999999999999</v>
      </c>
      <c r="G111" s="313">
        <f>VLOOKUP($A111&amp;"NCP LF",'E11 - 2013 09 Final'!$A$46:$P$1775,$G$93,FALSE)</f>
        <v>0.2757</v>
      </c>
      <c r="H111" s="313">
        <f>VLOOKUP($A111&amp;"NCP LF",'E11 - 2013 09 Final'!$A$46:$P$1775,$H$93,FALSE)</f>
        <v>0.28370000000000001</v>
      </c>
      <c r="I111" s="313">
        <f>VLOOKUP($A111&amp;"NCP LF",'E11 - 2013 09 Final'!$A$46:$P$1775,$I$93,FALSE)</f>
        <v>0.24929999999999999</v>
      </c>
      <c r="J111" s="313">
        <f>VLOOKUP($A111&amp;"NCP LF",'E11 - 2013 09 Final'!$A$46:$P$1775,$J$93,FALSE)</f>
        <v>0.2591</v>
      </c>
      <c r="K111" s="313">
        <f>VLOOKUP($A111&amp;"NCP LF",'E11 - 2013 09 Final'!$A$46:$P$1775,$K$93,FALSE)</f>
        <v>0.39639999999999997</v>
      </c>
      <c r="L111" s="313">
        <f>VLOOKUP($A111&amp;"NCP LF",'E11 - 2013 09 Final'!$A$46:$P$1775,$L$93,FALSE)</f>
        <v>0.3296</v>
      </c>
      <c r="M111" s="313">
        <f>VLOOKUP($A111&amp;"NCP LF",'E11 - 2013 09 Final'!$A$46:$P$1775,$M$93,FALSE)</f>
        <v>0.2437</v>
      </c>
      <c r="N111" s="313">
        <f>VLOOKUP($A111&amp;"NCP LF",'E11 - 2013 09 Final'!$A$46:$P$1775,$N$93,FALSE)</f>
        <v>0.25609999999999999</v>
      </c>
      <c r="O111" s="117"/>
      <c r="P111" s="314"/>
    </row>
    <row r="112" spans="1:16">
      <c r="A112" t="s">
        <v>45</v>
      </c>
      <c r="B112" s="43" t="s">
        <v>88</v>
      </c>
      <c r="C112" s="313">
        <f>VLOOKUP($A112&amp;"NCP LF",'E11 - 2013 09 Final'!$A$46:$P$1775,$C$93,FALSE)</f>
        <v>0.10050000000000001</v>
      </c>
      <c r="D112" s="313">
        <f>VLOOKUP($A112&amp;"NCP LF",'E11 - 2013 09 Final'!$A$46:$P$1775,$D$93,FALSE)</f>
        <v>0.14330000000000001</v>
      </c>
      <c r="E112" s="313">
        <f>VLOOKUP($A112&amp;"NCP LF",'E11 - 2013 09 Final'!$A$46:$P$1775,$E$93,FALSE)</f>
        <v>0.1085</v>
      </c>
      <c r="F112" s="313">
        <f>VLOOKUP($A112&amp;"NCP LF",'E11 - 2013 09 Final'!$A$46:$P$1775,$F$93,FALSE)</f>
        <v>0.15390000000000001</v>
      </c>
      <c r="G112" s="313">
        <f>VLOOKUP($A112&amp;"NCP LF",'E11 - 2013 09 Final'!$A$46:$P$1775,$G$93,FALSE)</f>
        <v>0.1119</v>
      </c>
      <c r="H112" s="313">
        <f>VLOOKUP($A112&amp;"NCP LF",'E11 - 2013 09 Final'!$A$46:$P$1775,$H$93,FALSE)</f>
        <v>0.20469999999999999</v>
      </c>
      <c r="I112" s="313">
        <f>VLOOKUP($A112&amp;"NCP LF",'E11 - 2013 09 Final'!$A$46:$P$1775,$I$93,FALSE)</f>
        <v>0.18759999999999999</v>
      </c>
      <c r="J112" s="313">
        <f>VLOOKUP($A112&amp;"NCP LF",'E11 - 2013 09 Final'!$A$46:$P$1775,$J$93,FALSE)</f>
        <v>0.1464</v>
      </c>
      <c r="K112" s="313">
        <f>VLOOKUP($A112&amp;"NCP LF",'E11 - 2013 09 Final'!$A$46:$P$1775,$K$93,FALSE)</f>
        <v>0.10290000000000001</v>
      </c>
      <c r="L112" s="313">
        <f>VLOOKUP($A112&amp;"NCP LF",'E11 - 2013 09 Final'!$A$46:$P$1775,$L$93,FALSE)</f>
        <v>0.20810000000000001</v>
      </c>
      <c r="M112" s="313">
        <f>VLOOKUP($A112&amp;"NCP LF",'E11 - 2013 09 Final'!$A$46:$P$1775,$M$93,FALSE)</f>
        <v>8.5300000000000001E-2</v>
      </c>
      <c r="N112" s="313">
        <f>VLOOKUP($A112&amp;"NCP LF",'E11 - 2013 09 Final'!$A$46:$P$1775,$N$93,FALSE)</f>
        <v>0.12720000000000001</v>
      </c>
      <c r="O112" s="117"/>
      <c r="P112" s="314"/>
    </row>
    <row r="113" spans="1:16">
      <c r="C113" s="48"/>
      <c r="D113" s="48"/>
      <c r="E113" s="48"/>
      <c r="F113" s="48"/>
      <c r="G113" s="48"/>
      <c r="H113" s="48"/>
      <c r="I113" s="48"/>
      <c r="J113" s="48"/>
      <c r="K113" s="48"/>
      <c r="L113" s="48"/>
      <c r="M113" s="48"/>
      <c r="N113" s="48"/>
      <c r="O113" s="315"/>
      <c r="P113" s="316"/>
    </row>
    <row r="114" spans="1:16" hidden="1">
      <c r="C114" s="48"/>
      <c r="D114" s="48"/>
      <c r="E114" s="48"/>
      <c r="F114" s="48"/>
      <c r="G114" s="48"/>
      <c r="H114" s="48"/>
      <c r="I114" s="48"/>
      <c r="J114" s="48"/>
      <c r="K114" s="48"/>
      <c r="L114" s="48"/>
      <c r="M114" s="48"/>
      <c r="N114" s="48"/>
      <c r="O114" s="315"/>
      <c r="P114" s="316"/>
    </row>
    <row r="115" spans="1:16" hidden="1">
      <c r="B115" s="42" t="s">
        <v>86</v>
      </c>
      <c r="C115" s="10"/>
      <c r="D115" s="10"/>
      <c r="E115" s="10"/>
      <c r="F115" s="10"/>
      <c r="G115" s="10"/>
      <c r="H115" s="10"/>
      <c r="I115" s="10"/>
      <c r="J115" s="10"/>
      <c r="K115" s="10"/>
      <c r="L115" s="10"/>
      <c r="M115" s="10"/>
      <c r="N115" s="10"/>
      <c r="O115" s="110"/>
      <c r="P115" s="110"/>
    </row>
    <row r="116" spans="1:16" hidden="1">
      <c r="A116" t="s">
        <v>603</v>
      </c>
      <c r="B116" t="s">
        <v>603</v>
      </c>
      <c r="C116" s="313">
        <f>VLOOKUP($A116&amp;"NCP LF",'E11 - 2013 09 Final'!$A$46:$P$1775,$C$93,FALSE)</f>
        <v>0.60629999999999995</v>
      </c>
      <c r="D116" s="313">
        <f>VLOOKUP($A116&amp;"NCP LF",'E11 - 2013 09 Final'!$A$46:$P$1775,$D$93,FALSE)</f>
        <v>0.59789999999999999</v>
      </c>
      <c r="E116" s="313">
        <f>VLOOKUP($A116&amp;"NCP LF",'E11 - 2013 09 Final'!$A$46:$P$1775,$E$93,FALSE)</f>
        <v>0.5887</v>
      </c>
      <c r="F116" s="313">
        <f>VLOOKUP($A116&amp;"NCP LF",'E11 - 2013 09 Final'!$A$46:$P$1775,$F$93,FALSE)</f>
        <v>0.6089</v>
      </c>
      <c r="G116" s="313">
        <f>VLOOKUP($A116&amp;"NCP LF",'E11 - 2013 09 Final'!$A$46:$P$1775,$G$93,FALSE)</f>
        <v>0.5615</v>
      </c>
      <c r="H116" s="313">
        <f>VLOOKUP($A116&amp;"NCP LF",'E11 - 2013 09 Final'!$A$46:$P$1775,$H$93,FALSE)</f>
        <v>0.65139999999999998</v>
      </c>
      <c r="I116" s="313">
        <f>VLOOKUP($A116&amp;"NCP LF",'E11 - 2013 09 Final'!$A$46:$P$1775,$I$93,FALSE)</f>
        <v>0.61329999999999996</v>
      </c>
      <c r="J116" s="313">
        <f>VLOOKUP($A116&amp;"NCP LF",'E11 - 2013 09 Final'!$A$46:$P$1775,$J$93,FALSE)</f>
        <v>0.62849999999999995</v>
      </c>
      <c r="K116" s="313">
        <f>VLOOKUP($A116&amp;"NCP LF",'E11 - 2013 09 Final'!$A$46:$P$1775,$K$93,FALSE)</f>
        <v>0.61599999999999999</v>
      </c>
      <c r="L116" s="313">
        <f>VLOOKUP($A116&amp;"NCP LF",'E11 - 2013 09 Final'!$A$46:$P$1775,$L$93,FALSE)</f>
        <v>0.55179999999999996</v>
      </c>
      <c r="M116" s="313">
        <f>VLOOKUP($A116&amp;"NCP LF",'E11 - 2013 09 Final'!$A$46:$P$1775,$M$93,FALSE)</f>
        <v>0.6472</v>
      </c>
      <c r="N116" s="313">
        <f>VLOOKUP($A116&amp;"NCP LF",'E11 - 2013 09 Final'!$A$46:$P$1775,$N$93,FALSE)</f>
        <v>0.61660000000000004</v>
      </c>
      <c r="O116" s="117"/>
      <c r="P116" s="314"/>
    </row>
    <row r="117" spans="1:16" hidden="1">
      <c r="A117" t="s">
        <v>245</v>
      </c>
      <c r="B117" t="s">
        <v>983</v>
      </c>
      <c r="C117" s="313">
        <f>VLOOKUP($A117&amp;"NCP LF",'E11 - 2013 09 Final'!$A$46:$P$1775,$C$93,FALSE)</f>
        <v>0.71289999999999998</v>
      </c>
      <c r="D117" s="313">
        <f>VLOOKUP($A117&amp;"NCP LF",'E11 - 2013 09 Final'!$A$46:$P$1775,$D$93,FALSE)</f>
        <v>0.66279999999999994</v>
      </c>
      <c r="E117" s="313">
        <f>VLOOKUP($A117&amp;"NCP LF",'E11 - 2013 09 Final'!$A$46:$P$1775,$E$93,FALSE)</f>
        <v>0.56669999999999998</v>
      </c>
      <c r="F117" s="313">
        <f>VLOOKUP($A117&amp;"NCP LF",'E11 - 2013 09 Final'!$A$46:$P$1775,$F$93,FALSE)</f>
        <v>0.67820000000000003</v>
      </c>
      <c r="G117" s="313">
        <f>VLOOKUP($A117&amp;"NCP LF",'E11 - 2013 09 Final'!$A$46:$P$1775,$G$93,FALSE)</f>
        <v>0.62029999999999996</v>
      </c>
      <c r="H117" s="313">
        <f>VLOOKUP($A117&amp;"NCP LF",'E11 - 2013 09 Final'!$A$46:$P$1775,$H$93,FALSE)</f>
        <v>0.70389999999999997</v>
      </c>
      <c r="I117" s="313">
        <f>VLOOKUP($A117&amp;"NCP LF",'E11 - 2013 09 Final'!$A$46:$P$1775,$I$93,FALSE)</f>
        <v>0.68620000000000003</v>
      </c>
      <c r="J117" s="313">
        <f>VLOOKUP($A117&amp;"NCP LF",'E11 - 2013 09 Final'!$A$46:$P$1775,$J$93,FALSE)</f>
        <v>0.7298</v>
      </c>
      <c r="K117" s="313">
        <f>VLOOKUP($A117&amp;"NCP LF",'E11 - 2013 09 Final'!$A$46:$P$1775,$K$93,FALSE)</f>
        <v>0.67459999999999998</v>
      </c>
      <c r="L117" s="313">
        <f>VLOOKUP($A117&amp;"NCP LF",'E11 - 2013 09 Final'!$A$46:$P$1775,$L$93,FALSE)</f>
        <v>0.68469999999999998</v>
      </c>
      <c r="M117" s="313">
        <f>VLOOKUP($A117&amp;"NCP LF",'E11 - 2013 09 Final'!$A$46:$P$1775,$M$93,FALSE)</f>
        <v>0.67469999999999997</v>
      </c>
      <c r="N117" s="313">
        <f>VLOOKUP($A117&amp;"NCP LF",'E11 - 2013 09 Final'!$A$46:$P$1775,$N$93,FALSE)</f>
        <v>0.67430000000000001</v>
      </c>
      <c r="O117" s="117"/>
      <c r="P117" s="314"/>
    </row>
    <row r="118" spans="1:16" hidden="1">
      <c r="A118" t="s">
        <v>242</v>
      </c>
      <c r="B118" t="s">
        <v>491</v>
      </c>
      <c r="C118" s="313">
        <f>VLOOKUP($A118&amp;"NCP LF",'E11 - 2013 09 Final'!$A$46:$P$1775,$C$93,FALSE)</f>
        <v>0.48120000000000002</v>
      </c>
      <c r="D118" s="313">
        <f>VLOOKUP($A118&amp;"NCP LF",'E11 - 2013 09 Final'!$A$46:$P$1775,$D$93,FALSE)</f>
        <v>0.51639999999999997</v>
      </c>
      <c r="E118" s="313">
        <f>VLOOKUP($A118&amp;"NCP LF",'E11 - 2013 09 Final'!$A$46:$P$1775,$E$93,FALSE)</f>
        <v>0.51139999999999997</v>
      </c>
      <c r="F118" s="313">
        <f>VLOOKUP($A118&amp;"NCP LF",'E11 - 2013 09 Final'!$A$46:$P$1775,$F$93,FALSE)</f>
        <v>0.53190000000000004</v>
      </c>
      <c r="G118" s="313">
        <f>VLOOKUP($A118&amp;"NCP LF",'E11 - 2013 09 Final'!$A$46:$P$1775,$G$93,FALSE)</f>
        <v>0.6008</v>
      </c>
      <c r="H118" s="313">
        <f>VLOOKUP($A118&amp;"NCP LF",'E11 - 2013 09 Final'!$A$46:$P$1775,$H$93,FALSE)</f>
        <v>0</v>
      </c>
      <c r="I118" s="313">
        <f>VLOOKUP($A118&amp;"NCP LF",'E11 - 2013 09 Final'!$A$46:$P$1775,$I$93,FALSE)</f>
        <v>0</v>
      </c>
      <c r="J118" s="313">
        <f>VLOOKUP($A118&amp;"NCP LF",'E11 - 2013 09 Final'!$A$46:$P$1775,$J$93,FALSE)</f>
        <v>0</v>
      </c>
      <c r="K118" s="313">
        <f>VLOOKUP($A118&amp;"NCP LF",'E11 - 2013 09 Final'!$A$46:$P$1775,$K$93,FALSE)</f>
        <v>0</v>
      </c>
      <c r="L118" s="313">
        <f>VLOOKUP($A118&amp;"NCP LF",'E11 - 2013 09 Final'!$A$46:$P$1775,$L$93,FALSE)</f>
        <v>0</v>
      </c>
      <c r="M118" s="313">
        <f>VLOOKUP($A118&amp;"NCP LF",'E11 - 2013 09 Final'!$A$46:$P$1775,$M$93,FALSE)</f>
        <v>0</v>
      </c>
      <c r="N118" s="313">
        <f>VLOOKUP($A118&amp;"NCP LF",'E11 - 2013 09 Final'!$A$46:$P$1775,$N$93,FALSE)</f>
        <v>0</v>
      </c>
      <c r="O118" s="117"/>
      <c r="P118" s="314"/>
    </row>
    <row r="119" spans="1:16" hidden="1">
      <c r="A119" t="s">
        <v>661</v>
      </c>
      <c r="B119" t="s">
        <v>984</v>
      </c>
      <c r="C119" s="313">
        <f>VLOOKUP($A119&amp;"NCP LF",'E11 - 2013 09 Final'!$A$46:$P$1775,$C$93,FALSE)</f>
        <v>0.69810000000000005</v>
      </c>
      <c r="D119" s="313">
        <f>VLOOKUP($A119&amp;"NCP LF",'E11 - 2013 09 Final'!$A$46:$P$1775,$D$93,FALSE)</f>
        <v>0.64949999999999997</v>
      </c>
      <c r="E119" s="313">
        <f>VLOOKUP($A119&amp;"NCP LF",'E11 - 2013 09 Final'!$A$46:$P$1775,$E$93,FALSE)</f>
        <v>0.6361</v>
      </c>
      <c r="F119" s="313">
        <f>VLOOKUP($A119&amp;"NCP LF",'E11 - 2013 09 Final'!$A$46:$P$1775,$F$93,FALSE)</f>
        <v>0.62980000000000003</v>
      </c>
      <c r="G119" s="313">
        <f>VLOOKUP($A119&amp;"NCP LF",'E11 - 2013 09 Final'!$A$46:$P$1775,$G$93,FALSE)</f>
        <v>0.61709999999999998</v>
      </c>
      <c r="H119" s="313">
        <f>VLOOKUP($A119&amp;"NCP LF",'E11 - 2013 09 Final'!$A$46:$P$1775,$H$93,FALSE)</f>
        <v>0.64339999999999997</v>
      </c>
      <c r="I119" s="313">
        <f>VLOOKUP($A119&amp;"NCP LF",'E11 - 2013 09 Final'!$A$46:$P$1775,$I$93,FALSE)</f>
        <v>0.6472</v>
      </c>
      <c r="J119" s="313">
        <f>VLOOKUP($A119&amp;"NCP LF",'E11 - 2013 09 Final'!$A$46:$P$1775,$J$93,FALSE)</f>
        <v>0.66</v>
      </c>
      <c r="K119" s="313">
        <f>VLOOKUP($A119&amp;"NCP LF",'E11 - 2013 09 Final'!$A$46:$P$1775,$K$93,FALSE)</f>
        <v>0.6411</v>
      </c>
      <c r="L119" s="313">
        <f>VLOOKUP($A119&amp;"NCP LF",'E11 - 2013 09 Final'!$A$46:$P$1775,$L$93,FALSE)</f>
        <v>0.64659999999999995</v>
      </c>
      <c r="M119" s="313">
        <f>VLOOKUP($A119&amp;"NCP LF",'E11 - 2013 09 Final'!$A$46:$P$1775,$M$93,FALSE)</f>
        <v>0.64890000000000003</v>
      </c>
      <c r="N119" s="313">
        <f>VLOOKUP($A119&amp;"NCP LF",'E11 - 2013 09 Final'!$A$46:$P$1775,$N$93,FALSE)</f>
        <v>0.67249999999999999</v>
      </c>
      <c r="O119" s="117"/>
      <c r="P119" s="314"/>
    </row>
    <row r="120" spans="1:16" hidden="1">
      <c r="A120" t="s">
        <v>7</v>
      </c>
      <c r="B120" t="s">
        <v>987</v>
      </c>
      <c r="C120" s="313">
        <f>VLOOKUP($A120&amp;"NCP LF",'E11 - 2013 09 Final'!$A$46:$P$1775,$C$93,FALSE)</f>
        <v>0.67549999999999999</v>
      </c>
      <c r="D120" s="313">
        <f>VLOOKUP($A120&amp;"NCP LF",'E11 - 2013 09 Final'!$A$46:$P$1775,$D$93,FALSE)</f>
        <v>0.64790000000000003</v>
      </c>
      <c r="E120" s="313">
        <f>VLOOKUP($A120&amp;"NCP LF",'E11 - 2013 09 Final'!$A$46:$P$1775,$E$93,FALSE)</f>
        <v>0.54790000000000005</v>
      </c>
      <c r="F120" s="313">
        <f>VLOOKUP($A120&amp;"NCP LF",'E11 - 2013 09 Final'!$A$46:$P$1775,$F$93,FALSE)</f>
        <v>0.80030000000000001</v>
      </c>
      <c r="G120" s="313">
        <f>VLOOKUP($A120&amp;"NCP LF",'E11 - 2013 09 Final'!$A$46:$P$1775,$G$93,FALSE)</f>
        <v>0.73540000000000005</v>
      </c>
      <c r="H120" s="313">
        <f>VLOOKUP($A120&amp;"NCP LF",'E11 - 2013 09 Final'!$A$46:$P$1775,$H$93,FALSE)</f>
        <v>0.75849999999999995</v>
      </c>
      <c r="I120" s="313">
        <f>VLOOKUP($A120&amp;"NCP LF",'E11 - 2013 09 Final'!$A$46:$P$1775,$I$93,FALSE)</f>
        <v>0.68859999999999999</v>
      </c>
      <c r="J120" s="313">
        <f>VLOOKUP($A120&amp;"NCP LF",'E11 - 2013 09 Final'!$A$46:$P$1775,$J$93,FALSE)</f>
        <v>0.74180000000000001</v>
      </c>
      <c r="K120" s="313">
        <f>VLOOKUP($A120&amp;"NCP LF",'E11 - 2013 09 Final'!$A$46:$P$1775,$K$93,FALSE)</f>
        <v>0.77590000000000003</v>
      </c>
      <c r="L120" s="313">
        <f>VLOOKUP($A120&amp;"NCP LF",'E11 - 2013 09 Final'!$A$46:$P$1775,$L$93,FALSE)</f>
        <v>0.67720000000000002</v>
      </c>
      <c r="M120" s="313">
        <f>VLOOKUP($A120&amp;"NCP LF",'E11 - 2013 09 Final'!$A$46:$P$1775,$M$93,FALSE)</f>
        <v>0.60740000000000005</v>
      </c>
      <c r="N120" s="313">
        <f>VLOOKUP($A120&amp;"NCP LF",'E11 - 2013 09 Final'!$A$46:$P$1775,$N$93,FALSE)</f>
        <v>0</v>
      </c>
      <c r="O120" s="117"/>
      <c r="P120" s="314"/>
    </row>
    <row r="121" spans="1:16" hidden="1">
      <c r="A121" t="s">
        <v>724</v>
      </c>
      <c r="B121" t="s">
        <v>724</v>
      </c>
      <c r="C121" s="313">
        <f>VLOOKUP($A121&amp;"NCP LF",'E11 - 2013 09 Final'!$A$46:$P$1775,$C$93,FALSE)</f>
        <v>0.66449999999999998</v>
      </c>
      <c r="D121" s="313">
        <f>VLOOKUP($A121&amp;"NCP LF",'E11 - 2013 09 Final'!$A$46:$P$1775,$D$93,FALSE)</f>
        <v>0.57809999999999995</v>
      </c>
      <c r="E121" s="313">
        <f>VLOOKUP($A121&amp;"NCP LF",'E11 - 2013 09 Final'!$A$46:$P$1775,$E$93,FALSE)</f>
        <v>0.53439999999999999</v>
      </c>
      <c r="F121" s="313">
        <f>VLOOKUP($A121&amp;"NCP LF",'E11 - 2013 09 Final'!$A$46:$P$1775,$F$93,FALSE)</f>
        <v>0.60170000000000001</v>
      </c>
      <c r="G121" s="313">
        <f>VLOOKUP($A121&amp;"NCP LF",'E11 - 2013 09 Final'!$A$46:$P$1775,$G$93,FALSE)</f>
        <v>0.58879999999999999</v>
      </c>
      <c r="H121" s="313">
        <f>VLOOKUP($A121&amp;"NCP LF",'E11 - 2013 09 Final'!$A$46:$P$1775,$H$93,FALSE)</f>
        <v>0.60289999999999999</v>
      </c>
      <c r="I121" s="313">
        <f>VLOOKUP($A121&amp;"NCP LF",'E11 - 2013 09 Final'!$A$46:$P$1775,$I$93,FALSE)</f>
        <v>0.61029999999999995</v>
      </c>
      <c r="J121" s="313">
        <f>VLOOKUP($A121&amp;"NCP LF",'E11 - 2013 09 Final'!$A$46:$P$1775,$J$93,FALSE)</f>
        <v>0.63619999999999999</v>
      </c>
      <c r="K121" s="313">
        <f>VLOOKUP($A121&amp;"NCP LF",'E11 - 2013 09 Final'!$A$46:$P$1775,$K$93,FALSE)</f>
        <v>0.61160000000000003</v>
      </c>
      <c r="L121" s="313">
        <f>VLOOKUP($A121&amp;"NCP LF",'E11 - 2013 09 Final'!$A$46:$P$1775,$L$93,FALSE)</f>
        <v>0.62090000000000001</v>
      </c>
      <c r="M121" s="313">
        <f>VLOOKUP($A121&amp;"NCP LF",'E11 - 2013 09 Final'!$A$46:$P$1775,$M$93,FALSE)</f>
        <v>0.6048</v>
      </c>
      <c r="N121" s="313">
        <f>VLOOKUP($A121&amp;"NCP LF",'E11 - 2013 09 Final'!$A$46:$P$1775,$N$93,FALSE)</f>
        <v>0.65169999999999995</v>
      </c>
      <c r="O121" s="117"/>
      <c r="P121" s="314"/>
    </row>
    <row r="122" spans="1:16" hidden="1"/>
    <row r="123" spans="1:16" hidden="1"/>
    <row r="124" spans="1:16" hidden="1"/>
    <row r="125" spans="1:16" hidden="1"/>
    <row r="126" spans="1:16" hidden="1"/>
    <row r="127" spans="1:16" hidden="1"/>
    <row r="128" spans="1:16" hidden="1"/>
    <row r="129" spans="1:16" hidden="1"/>
    <row r="130" spans="1:16" ht="21">
      <c r="B130" s="611" t="s">
        <v>150</v>
      </c>
      <c r="C130" s="611"/>
      <c r="D130" s="611"/>
      <c r="E130" s="611"/>
      <c r="F130" s="611"/>
      <c r="G130" s="611"/>
      <c r="H130" s="611"/>
      <c r="I130" s="611"/>
      <c r="J130" s="611"/>
      <c r="K130" s="611"/>
      <c r="L130" s="611"/>
      <c r="M130" s="611"/>
      <c r="N130" s="611"/>
      <c r="O130" s="611"/>
      <c r="P130" s="611"/>
    </row>
    <row r="131" spans="1:16" ht="17.399999999999999">
      <c r="B131" s="610" t="str">
        <f>+MANUAL!$B$7 &amp;" as Calculated by LodeStar Except as Noted"</f>
        <v>2014 as Calculated by LodeStar Except as Noted</v>
      </c>
      <c r="C131" s="610"/>
      <c r="D131" s="610"/>
      <c r="E131" s="610"/>
      <c r="F131" s="610"/>
      <c r="G131" s="610"/>
      <c r="H131" s="610"/>
      <c r="I131" s="610"/>
      <c r="J131" s="610"/>
      <c r="K131" s="610"/>
      <c r="L131" s="610"/>
      <c r="M131" s="610"/>
      <c r="N131" s="610"/>
      <c r="O131" s="610"/>
      <c r="P131" s="610"/>
    </row>
    <row r="132" spans="1:16" ht="13.8" thickBot="1">
      <c r="B132" s="300"/>
      <c r="C132" s="300"/>
      <c r="D132" s="300"/>
      <c r="E132" s="300"/>
      <c r="F132" s="300"/>
      <c r="G132" s="300"/>
      <c r="H132" s="300"/>
      <c r="I132" s="300"/>
      <c r="J132" s="300"/>
      <c r="K132" s="300"/>
      <c r="L132" s="300"/>
      <c r="M132" s="300"/>
      <c r="N132" s="300"/>
      <c r="O132" s="300"/>
      <c r="P132" s="300"/>
    </row>
    <row r="133" spans="1:16">
      <c r="C133" s="14"/>
      <c r="D133" s="15"/>
      <c r="E133" s="16"/>
      <c r="F133" s="17"/>
      <c r="G133" s="18"/>
      <c r="H133" s="19"/>
      <c r="I133" s="20"/>
      <c r="J133" s="21"/>
      <c r="K133" s="22"/>
      <c r="L133" s="23"/>
      <c r="M133" s="24"/>
      <c r="N133" s="317"/>
      <c r="O133" s="110"/>
      <c r="P133" s="305"/>
    </row>
    <row r="134" spans="1:16" ht="13.8" thickBot="1">
      <c r="C134" s="28" t="s">
        <v>70</v>
      </c>
      <c r="D134" s="29" t="s">
        <v>71</v>
      </c>
      <c r="E134" s="30" t="s">
        <v>72</v>
      </c>
      <c r="F134" s="31" t="s">
        <v>73</v>
      </c>
      <c r="G134" s="32" t="s">
        <v>74</v>
      </c>
      <c r="H134" s="33" t="s">
        <v>75</v>
      </c>
      <c r="I134" s="34" t="s">
        <v>76</v>
      </c>
      <c r="J134" s="35" t="s">
        <v>77</v>
      </c>
      <c r="K134" s="36" t="s">
        <v>78</v>
      </c>
      <c r="L134" s="37" t="s">
        <v>79</v>
      </c>
      <c r="M134" s="38" t="s">
        <v>80</v>
      </c>
      <c r="N134" s="318" t="s">
        <v>81</v>
      </c>
      <c r="O134" s="305"/>
      <c r="P134" s="305"/>
    </row>
    <row r="135" spans="1:16" hidden="1">
      <c r="C135">
        <v>4</v>
      </c>
      <c r="D135">
        <f>C135+1</f>
        <v>5</v>
      </c>
      <c r="E135">
        <f t="shared" ref="E135:N135" si="11">D135+1</f>
        <v>6</v>
      </c>
      <c r="F135">
        <f t="shared" si="11"/>
        <v>7</v>
      </c>
      <c r="G135">
        <f t="shared" si="11"/>
        <v>8</v>
      </c>
      <c r="H135">
        <f t="shared" si="11"/>
        <v>9</v>
      </c>
      <c r="I135">
        <f t="shared" si="11"/>
        <v>10</v>
      </c>
      <c r="J135">
        <f t="shared" si="11"/>
        <v>11</v>
      </c>
      <c r="K135">
        <f t="shared" si="11"/>
        <v>12</v>
      </c>
      <c r="L135">
        <f t="shared" si="11"/>
        <v>13</v>
      </c>
      <c r="M135">
        <f t="shared" si="11"/>
        <v>14</v>
      </c>
      <c r="N135">
        <f t="shared" si="11"/>
        <v>15</v>
      </c>
      <c r="O135" s="305"/>
      <c r="P135" s="305"/>
    </row>
    <row r="136" spans="1:16">
      <c r="O136" s="110"/>
      <c r="P136" s="110"/>
    </row>
    <row r="137" spans="1:16">
      <c r="B137" s="42" t="s">
        <v>83</v>
      </c>
      <c r="O137" s="110"/>
      <c r="P137" s="110"/>
    </row>
    <row r="138" spans="1:16">
      <c r="A138" t="s">
        <v>122</v>
      </c>
      <c r="B138" s="43" t="s">
        <v>84</v>
      </c>
      <c r="C138" s="313">
        <f>VLOOKUP($A138&amp;"NCP LF",'E11 - 2014 09 Final'!$A$46:$Q$1704,$C$135,FALSE)</f>
        <v>0.69879999999999998</v>
      </c>
      <c r="D138" s="313">
        <f>VLOOKUP($A138&amp;"NCP LF",'E11 - 2014 09 Final'!$A$46:$Q$1704,$D$135,FALSE)</f>
        <v>0.71299999999999997</v>
      </c>
      <c r="E138" s="313">
        <f>VLOOKUP($A138&amp;"NCP LF",'E11 - 2014 09 Final'!$A$46:$Q$1704,$E$135,FALSE)</f>
        <v>0.70399999999999996</v>
      </c>
      <c r="F138" s="313">
        <f>VLOOKUP($A138&amp;"NCP LF",'E11 - 2014 09 Final'!$A$46:$Q$1704,$F$135,FALSE)</f>
        <v>0.70979999999999999</v>
      </c>
      <c r="G138" s="313">
        <f>VLOOKUP($A138&amp;"NCP LF",'E11 - 2014 09 Final'!$A$46:$Q$1704,$G$135,FALSE)</f>
        <v>0.71589999999999998</v>
      </c>
      <c r="H138" s="313">
        <f>VLOOKUP($A138&amp;"NCP LF",'E11 - 2014 09 Final'!$A$46:$Q$1704,$H$135,FALSE)</f>
        <v>0.71960000000000002</v>
      </c>
      <c r="I138" s="313">
        <f>VLOOKUP($A138&amp;"NCP LF",'E11 - 2014 09 Final'!$A$46:$Q$1704,$I$135,FALSE)</f>
        <v>0.72750000000000004</v>
      </c>
      <c r="J138" s="313">
        <f>VLOOKUP($A138&amp;"NCP LF",'E11 - 2014 09 Final'!$A$46:$Q$1704,$J$135,FALSE)</f>
        <v>0.72960000000000003</v>
      </c>
      <c r="K138" s="313">
        <f>VLOOKUP($A138&amp;"NCP LF",'E11 - 2014 09 Final'!$A$46:$Q$1704,$K$135,FALSE)</f>
        <v>0.72950000000000004</v>
      </c>
      <c r="L138" s="313">
        <f>VLOOKUP($A138&amp;"NCP LF",'E11 - 2014 09 Final'!$A$46:$Q$1704,$L$135,FALSE)</f>
        <v>0.70930000000000004</v>
      </c>
      <c r="M138" s="313">
        <f>VLOOKUP($A138&amp;"NCP LF",'E11 - 2014 09 Final'!$A$46:$Q$1704,$M$135,FALSE)</f>
        <v>0.67320000000000002</v>
      </c>
      <c r="N138" s="313">
        <f>VLOOKUP($A138&amp;"NCP LF",'E11 - 2014 09 Final'!$A$46:$Q$1704,$N$135,FALSE)</f>
        <v>0.69389999999999996</v>
      </c>
      <c r="O138" s="117"/>
      <c r="P138" s="314"/>
    </row>
    <row r="139" spans="1:16">
      <c r="A139" t="s">
        <v>177</v>
      </c>
      <c r="B139" s="43" t="s">
        <v>85</v>
      </c>
      <c r="C139" s="313">
        <f>VLOOKUP($A139&amp;"NCP LF",'E11 - 2014 09 Final'!$A$46:$Q$1704,$C$135,FALSE)</f>
        <v>0.68520000000000003</v>
      </c>
      <c r="D139" s="313">
        <f>VLOOKUP($A139&amp;"NCP LF",'E11 - 2014 09 Final'!$A$46:$Q$1704,$D$135,FALSE)</f>
        <v>0.69630000000000003</v>
      </c>
      <c r="E139" s="313">
        <f>VLOOKUP($A139&amp;"NCP LF",'E11 - 2014 09 Final'!$A$46:$Q$1704,$E$135,FALSE)</f>
        <v>0.69579999999999997</v>
      </c>
      <c r="F139" s="313">
        <f>VLOOKUP($A139&amp;"NCP LF",'E11 - 2014 09 Final'!$A$46:$Q$1704,$F$135,FALSE)</f>
        <v>0.6946</v>
      </c>
      <c r="G139" s="313">
        <f>VLOOKUP($A139&amp;"NCP LF",'E11 - 2014 09 Final'!$A$46:$Q$1704,$G$135,FALSE)</f>
        <v>0.64029999999999998</v>
      </c>
      <c r="H139" s="313">
        <f>VLOOKUP($A139&amp;"NCP LF",'E11 - 2014 09 Final'!$A$46:$Q$1704,$H$135,FALSE)</f>
        <v>0.63009999999999999</v>
      </c>
      <c r="I139" s="313">
        <f>VLOOKUP($A139&amp;"NCP LF",'E11 - 2014 09 Final'!$A$46:$Q$1704,$I$135,FALSE)</f>
        <v>0.64190000000000003</v>
      </c>
      <c r="J139" s="313">
        <f>VLOOKUP($A139&amp;"NCP LF",'E11 - 2014 09 Final'!$A$46:$Q$1704,$J$135,FALSE)</f>
        <v>0.65049999999999997</v>
      </c>
      <c r="K139" s="313">
        <f>VLOOKUP($A139&amp;"NCP LF",'E11 - 2014 09 Final'!$A$46:$Q$1704,$K$135,FALSE)</f>
        <v>0.64629999999999999</v>
      </c>
      <c r="L139" s="313">
        <f>VLOOKUP($A139&amp;"NCP LF",'E11 - 2014 09 Final'!$A$46:$Q$1704,$L$135,FALSE)</f>
        <v>0.64680000000000004</v>
      </c>
      <c r="M139" s="313">
        <f>VLOOKUP($A139&amp;"NCP LF",'E11 - 2014 09 Final'!$A$46:$Q$1704,$M$135,FALSE)</f>
        <v>0.61980000000000002</v>
      </c>
      <c r="N139" s="313">
        <f>VLOOKUP($A139&amp;"NCP LF",'E11 - 2014 09 Final'!$A$46:$Q$1704,$N$135,FALSE)</f>
        <v>0.63170000000000004</v>
      </c>
      <c r="O139" s="117"/>
      <c r="P139" s="314"/>
    </row>
    <row r="140" spans="1:16">
      <c r="A140" t="s">
        <v>185</v>
      </c>
      <c r="B140" s="43" t="s">
        <v>50</v>
      </c>
      <c r="C140" s="313">
        <f>VLOOKUP($A140&amp;"NCP LF",'E11 - 2014 09 Final'!$A$46:$Q$1704,$C$135,FALSE)</f>
        <v>0.75009999999999999</v>
      </c>
      <c r="D140" s="313">
        <f>VLOOKUP($A140&amp;"NCP LF",'E11 - 2014 09 Final'!$A$46:$Q$1704,$D$135,FALSE)</f>
        <v>0.71099999999999997</v>
      </c>
      <c r="E140" s="313">
        <f>VLOOKUP($A140&amp;"NCP LF",'E11 - 2014 09 Final'!$A$46:$Q$1704,$E$135,FALSE)</f>
        <v>0.73629999999999995</v>
      </c>
      <c r="F140" s="313">
        <f>VLOOKUP($A140&amp;"NCP LF",'E11 - 2014 09 Final'!$A$46:$Q$1704,$F$135,FALSE)</f>
        <v>0.73980000000000001</v>
      </c>
      <c r="G140" s="313">
        <f>VLOOKUP($A140&amp;"NCP LF",'E11 - 2014 09 Final'!$A$46:$Q$1704,$G$135,FALSE)</f>
        <v>0.76370000000000005</v>
      </c>
      <c r="H140" s="313">
        <f>VLOOKUP($A140&amp;"NCP LF",'E11 - 2014 09 Final'!$A$46:$Q$1704,$H$135,FALSE)</f>
        <v>0.70699999999999996</v>
      </c>
      <c r="I140" s="313">
        <f>VLOOKUP($A140&amp;"NCP LF",'E11 - 2014 09 Final'!$A$46:$Q$1704,$I$135,FALSE)</f>
        <v>0.75309999999999999</v>
      </c>
      <c r="J140" s="313">
        <f>VLOOKUP($A140&amp;"NCP LF",'E11 - 2014 09 Final'!$A$46:$Q$1704,$J$135,FALSE)</f>
        <v>0.76459999999999995</v>
      </c>
      <c r="K140" s="313">
        <f>VLOOKUP($A140&amp;"NCP LF",'E11 - 2014 09 Final'!$A$46:$Q$1704,$K$135,FALSE)</f>
        <v>0.73780000000000001</v>
      </c>
      <c r="L140" s="313">
        <f>VLOOKUP($A140&amp;"NCP LF",'E11 - 2014 09 Final'!$A$46:$Q$1704,$L$135,FALSE)</f>
        <v>0.74009999999999998</v>
      </c>
      <c r="M140" s="313">
        <f>VLOOKUP($A140&amp;"NCP LF",'E11 - 2014 09 Final'!$A$46:$Q$1704,$M$135,FALSE)</f>
        <v>0.71840000000000004</v>
      </c>
      <c r="N140" s="313">
        <f>VLOOKUP($A140&amp;"NCP LF",'E11 - 2014 09 Final'!$A$46:$Q$1704,$N$135,FALSE)</f>
        <v>0.76780000000000004</v>
      </c>
      <c r="O140" s="117"/>
      <c r="P140" s="314"/>
    </row>
    <row r="141" spans="1:16">
      <c r="A141" t="s">
        <v>632</v>
      </c>
      <c r="B141" s="43" t="s">
        <v>49</v>
      </c>
      <c r="C141" s="313">
        <f>VLOOKUP($A141&amp;"NCP LF",'E11 - 2014 09 Final'!$A$46:$Q$1704,$C$135,FALSE)</f>
        <v>0.2959</v>
      </c>
      <c r="D141" s="313">
        <f>VLOOKUP($A141&amp;"NCP LF",'E11 - 2014 09 Final'!$A$46:$Q$1704,$D$135,FALSE)</f>
        <v>0.3296</v>
      </c>
      <c r="E141" s="313">
        <f>VLOOKUP($A141&amp;"NCP LF",'E11 - 2014 09 Final'!$A$46:$Q$1704,$E$135,FALSE)</f>
        <v>0.3276</v>
      </c>
      <c r="F141" s="313">
        <f>VLOOKUP($A141&amp;"NCP LF",'E11 - 2014 09 Final'!$A$46:$Q$1704,$F$135,FALSE)</f>
        <v>0.34160000000000001</v>
      </c>
      <c r="G141" s="313">
        <f>VLOOKUP($A141&amp;"NCP LF",'E11 - 2014 09 Final'!$A$46:$Q$1704,$G$135,FALSE)</f>
        <v>0.3589</v>
      </c>
      <c r="H141" s="313">
        <f>VLOOKUP($A141&amp;"NCP LF",'E11 - 2014 09 Final'!$A$46:$Q$1704,$H$135,FALSE)</f>
        <v>0.35060000000000002</v>
      </c>
      <c r="I141" s="313">
        <f>VLOOKUP($A141&amp;"NCP LF",'E11 - 2014 09 Final'!$A$46:$Q$1704,$I$135,FALSE)</f>
        <v>0.37309999999999999</v>
      </c>
      <c r="J141" s="313">
        <f>VLOOKUP($A141&amp;"NCP LF",'E11 - 2014 09 Final'!$A$46:$Q$1704,$J$135,FALSE)</f>
        <v>0.3715</v>
      </c>
      <c r="K141" s="313">
        <f>VLOOKUP($A141&amp;"NCP LF",'E11 - 2014 09 Final'!$A$46:$Q$1704,$K$135,FALSE)</f>
        <v>0.3639</v>
      </c>
      <c r="L141" s="313">
        <f>VLOOKUP($A141&amp;"NCP LF",'E11 - 2014 09 Final'!$A$46:$Q$1704,$L$135,FALSE)</f>
        <v>0.34599999999999997</v>
      </c>
      <c r="M141" s="313">
        <f>VLOOKUP($A141&amp;"NCP LF",'E11 - 2014 09 Final'!$A$46:$Q$1704,$M$135,FALSE)</f>
        <v>0.30270000000000002</v>
      </c>
      <c r="N141" s="313">
        <f>VLOOKUP($A141&amp;"NCP LF",'E11 - 2014 09 Final'!$A$46:$Q$1704,$N$135,FALSE)</f>
        <v>0.30230000000000001</v>
      </c>
      <c r="O141" s="117"/>
      <c r="P141" s="314"/>
    </row>
    <row r="142" spans="1:16">
      <c r="A142" t="s">
        <v>640</v>
      </c>
      <c r="B142" s="46" t="s">
        <v>325</v>
      </c>
      <c r="C142" s="313">
        <f>VLOOKUP($A142&amp;"NCP LF",'E11 - 2014 09 Final'!$A$46:$Q$1704,$C$135,FALSE)</f>
        <v>0.90959999999999996</v>
      </c>
      <c r="D142" s="313">
        <f>VLOOKUP($A142&amp;"NCP LF",'E11 - 2014 09 Final'!$A$46:$Q$1704,$D$135,FALSE)</f>
        <v>0.93340000000000001</v>
      </c>
      <c r="E142" s="313">
        <f>VLOOKUP($A142&amp;"NCP LF",'E11 - 2014 09 Final'!$A$46:$Q$1704,$E$135,FALSE)</f>
        <v>0.93959999999999999</v>
      </c>
      <c r="F142" s="313">
        <f>VLOOKUP($A142&amp;"NCP LF",'E11 - 2014 09 Final'!$A$46:$Q$1704,$F$135,FALSE)</f>
        <v>0.95469999999999999</v>
      </c>
      <c r="G142" s="313">
        <f>VLOOKUP($A142&amp;"NCP LF",'E11 - 2014 09 Final'!$A$46:$Q$1704,$G$135,FALSE)</f>
        <v>0.96799999999999997</v>
      </c>
      <c r="H142" s="313">
        <f>VLOOKUP($A142&amp;"NCP LF",'E11 - 2014 09 Final'!$A$46:$Q$1704,$H$135,FALSE)</f>
        <v>0.90920000000000001</v>
      </c>
      <c r="I142" s="313">
        <f>VLOOKUP($A142&amp;"NCP LF",'E11 - 2014 09 Final'!$A$46:$Q$1704,$I$135,FALSE)</f>
        <v>0.94930000000000003</v>
      </c>
      <c r="J142" s="313">
        <f>VLOOKUP($A142&amp;"NCP LF",'E11 - 2014 09 Final'!$A$46:$Q$1704,$J$135,FALSE)</f>
        <v>0.90859999999999996</v>
      </c>
      <c r="K142" s="313">
        <f>VLOOKUP($A142&amp;"NCP LF",'E11 - 2014 09 Final'!$A$46:$Q$1704,$K$135,FALSE)</f>
        <v>0.89959999999999996</v>
      </c>
      <c r="L142" s="313">
        <f>VLOOKUP($A142&amp;"NCP LF",'E11 - 2014 09 Final'!$A$46:$Q$1704,$L$135,FALSE)</f>
        <v>0.87150000000000005</v>
      </c>
      <c r="M142" s="313">
        <f>VLOOKUP($A142&amp;"NCP LF",'E11 - 2014 09 Final'!$A$46:$Q$1704,$M$135,FALSE)</f>
        <v>0.93989999999999996</v>
      </c>
      <c r="N142" s="313">
        <f>VLOOKUP($A142&amp;"NCP LF",'E11 - 2014 09 Final'!$A$46:$Q$1704,$N$135,FALSE)</f>
        <v>0.88700000000000001</v>
      </c>
      <c r="O142" s="117"/>
      <c r="P142" s="314"/>
    </row>
    <row r="143" spans="1:16">
      <c r="A143" t="s">
        <v>651</v>
      </c>
      <c r="B143" s="43" t="s">
        <v>67</v>
      </c>
      <c r="C143" s="313">
        <f>VLOOKUP($A143&amp;"NCP LF",'E11 - 2014 09 Final'!$A$46:$Q$1704,$C$135,FALSE)</f>
        <v>0.42809999999999998</v>
      </c>
      <c r="D143" s="313">
        <f>VLOOKUP($A143&amp;"NCP LF",'E11 - 2014 09 Final'!$A$46:$Q$1704,$D$135,FALSE)</f>
        <v>0.46089999999999998</v>
      </c>
      <c r="E143" s="313">
        <f>VLOOKUP($A143&amp;"NCP LF",'E11 - 2014 09 Final'!$A$46:$Q$1704,$E$135,FALSE)</f>
        <v>0.46060000000000001</v>
      </c>
      <c r="F143" s="313">
        <f>VLOOKUP($A143&amp;"NCP LF",'E11 - 2014 09 Final'!$A$46:$Q$1704,$F$135,FALSE)</f>
        <v>0.46939999999999998</v>
      </c>
      <c r="G143" s="313">
        <f>VLOOKUP($A143&amp;"NCP LF",'E11 - 2014 09 Final'!$A$46:$Q$1704,$G$135,FALSE)</f>
        <v>0.49809999999999999</v>
      </c>
      <c r="H143" s="313">
        <f>VLOOKUP($A143&amp;"NCP LF",'E11 - 2014 09 Final'!$A$46:$Q$1704,$H$135,FALSE)</f>
        <v>0.50160000000000005</v>
      </c>
      <c r="I143" s="313">
        <f>VLOOKUP($A143&amp;"NCP LF",'E11 - 2014 09 Final'!$A$46:$Q$1704,$I$135,FALSE)</f>
        <v>0.51039999999999996</v>
      </c>
      <c r="J143" s="313">
        <f>VLOOKUP($A143&amp;"NCP LF",'E11 - 2014 09 Final'!$A$46:$Q$1704,$J$135,FALSE)</f>
        <v>0.52200000000000002</v>
      </c>
      <c r="K143" s="313">
        <f>VLOOKUP($A143&amp;"NCP LF",'E11 - 2014 09 Final'!$A$46:$Q$1704,$K$135,FALSE)</f>
        <v>0.51470000000000005</v>
      </c>
      <c r="L143" s="313">
        <f>VLOOKUP($A143&amp;"NCP LF",'E11 - 2014 09 Final'!$A$46:$Q$1704,$L$135,FALSE)</f>
        <v>0.48699999999999999</v>
      </c>
      <c r="M143" s="313">
        <f>VLOOKUP($A143&amp;"NCP LF",'E11 - 2014 09 Final'!$A$46:$Q$1704,$M$135,FALSE)</f>
        <v>0.443</v>
      </c>
      <c r="N143" s="313">
        <f>VLOOKUP($A143&amp;"NCP LF",'E11 - 2014 09 Final'!$A$46:$Q$1704,$N$135,FALSE)</f>
        <v>0.4662</v>
      </c>
      <c r="O143" s="117"/>
      <c r="P143" s="314"/>
    </row>
    <row r="144" spans="1:16">
      <c r="A144" t="s">
        <v>656</v>
      </c>
      <c r="B144" s="43" t="s">
        <v>68</v>
      </c>
      <c r="C144" s="313">
        <f>VLOOKUP($A144&amp;"NCP LF",'E11 - 2014 09 Final'!$A$46:$Q$1704,$C$135,FALSE)</f>
        <v>0.58340000000000003</v>
      </c>
      <c r="D144" s="313">
        <f>VLOOKUP($A144&amp;"NCP LF",'E11 - 2014 09 Final'!$A$46:$Q$1704,$D$135,FALSE)</f>
        <v>0.61170000000000002</v>
      </c>
      <c r="E144" s="313">
        <f>VLOOKUP($A144&amp;"NCP LF",'E11 - 2014 09 Final'!$A$46:$Q$1704,$E$135,FALSE)</f>
        <v>0.60299999999999998</v>
      </c>
      <c r="F144" s="313">
        <f>VLOOKUP($A144&amp;"NCP LF",'E11 - 2014 09 Final'!$A$46:$Q$1704,$F$135,FALSE)</f>
        <v>0.60470000000000002</v>
      </c>
      <c r="G144" s="313">
        <f>VLOOKUP($A144&amp;"NCP LF",'E11 - 2014 09 Final'!$A$46:$Q$1704,$G$135,FALSE)</f>
        <v>0.61419999999999997</v>
      </c>
      <c r="H144" s="313">
        <f>VLOOKUP($A144&amp;"NCP LF",'E11 - 2014 09 Final'!$A$46:$Q$1704,$H$135,FALSE)</f>
        <v>0.60809999999999997</v>
      </c>
      <c r="I144" s="313">
        <f>VLOOKUP($A144&amp;"NCP LF",'E11 - 2014 09 Final'!$A$46:$Q$1704,$I$135,FALSE)</f>
        <v>0.61860000000000004</v>
      </c>
      <c r="J144" s="313">
        <f>VLOOKUP($A144&amp;"NCP LF",'E11 - 2014 09 Final'!$A$46:$Q$1704,$J$135,FALSE)</f>
        <v>0.61829999999999996</v>
      </c>
      <c r="K144" s="313">
        <f>VLOOKUP($A144&amp;"NCP LF",'E11 - 2014 09 Final'!$A$46:$Q$1704,$K$135,FALSE)</f>
        <v>0.61860000000000004</v>
      </c>
      <c r="L144" s="313">
        <f>VLOOKUP($A144&amp;"NCP LF",'E11 - 2014 09 Final'!$A$46:$Q$1704,$L$135,FALSE)</f>
        <v>0.60570000000000002</v>
      </c>
      <c r="M144" s="313">
        <f>VLOOKUP($A144&amp;"NCP LF",'E11 - 2014 09 Final'!$A$46:$Q$1704,$M$135,FALSE)</f>
        <v>0.55759999999999998</v>
      </c>
      <c r="N144" s="313">
        <f>VLOOKUP($A144&amp;"NCP LF",'E11 - 2014 09 Final'!$A$46:$Q$1704,$N$135,FALSE)</f>
        <v>0.58009999999999995</v>
      </c>
      <c r="O144" s="117"/>
      <c r="P144" s="314"/>
    </row>
    <row r="145" spans="1:16">
      <c r="A145" t="s">
        <v>713</v>
      </c>
      <c r="B145" s="43" t="s">
        <v>69</v>
      </c>
      <c r="C145" s="313">
        <f>VLOOKUP($A145&amp;"NCP LF",'E11 - 2014 09 Final'!$A$46:$Q$1704,$C$135,FALSE)</f>
        <v>0.62090000000000001</v>
      </c>
      <c r="D145" s="313">
        <f>VLOOKUP($A145&amp;"NCP LF",'E11 - 2014 09 Final'!$A$46:$Q$1704,$D$135,FALSE)</f>
        <v>0.64500000000000002</v>
      </c>
      <c r="E145" s="313">
        <f>VLOOKUP($A145&amp;"NCP LF",'E11 - 2014 09 Final'!$A$46:$Q$1704,$E$135,FALSE)</f>
        <v>0.6381</v>
      </c>
      <c r="F145" s="313">
        <f>VLOOKUP($A145&amp;"NCP LF",'E11 - 2014 09 Final'!$A$46:$Q$1704,$F$135,FALSE)</f>
        <v>0.64070000000000005</v>
      </c>
      <c r="G145" s="313">
        <f>VLOOKUP($A145&amp;"NCP LF",'E11 - 2014 09 Final'!$A$46:$Q$1704,$G$135,FALSE)</f>
        <v>0.65810000000000002</v>
      </c>
      <c r="H145" s="313">
        <f>VLOOKUP($A145&amp;"NCP LF",'E11 - 2014 09 Final'!$A$46:$Q$1704,$H$135,FALSE)</f>
        <v>0.66139999999999999</v>
      </c>
      <c r="I145" s="313">
        <f>VLOOKUP($A145&amp;"NCP LF",'E11 - 2014 09 Final'!$A$46:$Q$1704,$I$135,FALSE)</f>
        <v>0.67479999999999996</v>
      </c>
      <c r="J145" s="313">
        <f>VLOOKUP($A145&amp;"NCP LF",'E11 - 2014 09 Final'!$A$46:$Q$1704,$J$135,FALSE)</f>
        <v>0.67210000000000003</v>
      </c>
      <c r="K145" s="313">
        <f>VLOOKUP($A145&amp;"NCP LF",'E11 - 2014 09 Final'!$A$46:$Q$1704,$K$135,FALSE)</f>
        <v>0.67379999999999995</v>
      </c>
      <c r="L145" s="313">
        <f>VLOOKUP($A145&amp;"NCP LF",'E11 - 2014 09 Final'!$A$46:$Q$1704,$L$135,FALSE)</f>
        <v>0.66010000000000002</v>
      </c>
      <c r="M145" s="313">
        <f>VLOOKUP($A145&amp;"NCP LF",'E11 - 2014 09 Final'!$A$46:$Q$1704,$M$135,FALSE)</f>
        <v>0.61739999999999995</v>
      </c>
      <c r="N145" s="313">
        <f>VLOOKUP($A145&amp;"NCP LF",'E11 - 2014 09 Final'!$A$46:$Q$1704,$N$135,FALSE)</f>
        <v>0.62749999999999995</v>
      </c>
      <c r="O145" s="117"/>
      <c r="P145" s="314"/>
    </row>
    <row r="146" spans="1:16">
      <c r="A146" t="s">
        <v>717</v>
      </c>
      <c r="B146" s="43" t="s">
        <v>52</v>
      </c>
      <c r="C146" s="313">
        <f>VLOOKUP($A146&amp;"NCP LF",'E11 - 2014 09 Final'!$A$46:$Q$1704,$C$135,FALSE)</f>
        <v>0.59770000000000001</v>
      </c>
      <c r="D146" s="313">
        <f>VLOOKUP($A146&amp;"NCP LF",'E11 - 2014 09 Final'!$A$46:$Q$1704,$D$135,FALSE)</f>
        <v>0.56520000000000004</v>
      </c>
      <c r="E146" s="313">
        <f>VLOOKUP($A146&amp;"NCP LF",'E11 - 2014 09 Final'!$A$46:$Q$1704,$E$135,FALSE)</f>
        <v>0.55620000000000003</v>
      </c>
      <c r="F146" s="313">
        <f>VLOOKUP($A146&amp;"NCP LF",'E11 - 2014 09 Final'!$A$46:$Q$1704,$F$135,FALSE)</f>
        <v>0.55779999999999996</v>
      </c>
      <c r="G146" s="313">
        <f>VLOOKUP($A146&amp;"NCP LF",'E11 - 2014 09 Final'!$A$46:$Q$1704,$G$135,FALSE)</f>
        <v>0.58499999999999996</v>
      </c>
      <c r="H146" s="313">
        <f>VLOOKUP($A146&amp;"NCP LF",'E11 - 2014 09 Final'!$A$46:$Q$1704,$H$135,FALSE)</f>
        <v>0.56440000000000001</v>
      </c>
      <c r="I146" s="313">
        <f>VLOOKUP($A146&amp;"NCP LF",'E11 - 2014 09 Final'!$A$46:$Q$1704,$I$135,FALSE)</f>
        <v>0.56810000000000005</v>
      </c>
      <c r="J146" s="313">
        <f>VLOOKUP($A146&amp;"NCP LF",'E11 - 2014 09 Final'!$A$46:$Q$1704,$J$135,FALSE)</f>
        <v>0.61480000000000001</v>
      </c>
      <c r="K146" s="313">
        <f>VLOOKUP($A146&amp;"NCP LF",'E11 - 2014 09 Final'!$A$46:$Q$1704,$K$135,FALSE)</f>
        <v>0.57250000000000001</v>
      </c>
      <c r="L146" s="313">
        <f>VLOOKUP($A146&amp;"NCP LF",'E11 - 2014 09 Final'!$A$46:$Q$1704,$L$135,FALSE)</f>
        <v>0.64429999999999998</v>
      </c>
      <c r="M146" s="313">
        <f>VLOOKUP($A146&amp;"NCP LF",'E11 - 2014 09 Final'!$A$46:$Q$1704,$M$135,FALSE)</f>
        <v>0.47239999999999999</v>
      </c>
      <c r="N146" s="313">
        <f>VLOOKUP($A146&amp;"NCP LF",'E11 - 2014 09 Final'!$A$46:$Q$1704,$N$135,FALSE)</f>
        <v>0.54730000000000001</v>
      </c>
      <c r="O146" s="117"/>
      <c r="P146" s="314"/>
    </row>
    <row r="147" spans="1:16">
      <c r="A147" t="s">
        <v>15</v>
      </c>
      <c r="B147" s="206" t="s">
        <v>15</v>
      </c>
      <c r="C147" s="313"/>
      <c r="D147" s="313"/>
      <c r="E147" s="313"/>
      <c r="F147" s="313"/>
      <c r="G147" s="313"/>
      <c r="H147" s="313"/>
      <c r="I147" s="313"/>
      <c r="J147" s="313"/>
      <c r="K147" s="313"/>
      <c r="L147" s="313"/>
      <c r="M147" s="313"/>
      <c r="N147" s="313"/>
      <c r="O147" s="117"/>
      <c r="P147" s="314"/>
    </row>
    <row r="148" spans="1:16">
      <c r="A148" t="s">
        <v>19</v>
      </c>
      <c r="B148" s="43" t="s">
        <v>56</v>
      </c>
      <c r="C148" s="313">
        <f>VLOOKUP($A148&amp;"NCP LF",'E11 - 2014 09 Final'!$A$46:$Q$1704,$C$135,FALSE)</f>
        <v>0.55220000000000002</v>
      </c>
      <c r="D148" s="313">
        <f>VLOOKUP($A148&amp;"NCP LF",'E11 - 2014 09 Final'!$A$46:$Q$1704,$D$135,FALSE)</f>
        <v>0.53059999999999996</v>
      </c>
      <c r="E148" s="313">
        <f>VLOOKUP($A148&amp;"NCP LF",'E11 - 2014 09 Final'!$A$46:$Q$1704,$E$135,FALSE)</f>
        <v>0.49959999999999999</v>
      </c>
      <c r="F148" s="313">
        <f>VLOOKUP($A148&amp;"NCP LF",'E11 - 2014 09 Final'!$A$46:$Q$1704,$F$135,FALSE)</f>
        <v>0.46810000000000002</v>
      </c>
      <c r="G148" s="313">
        <f>VLOOKUP($A148&amp;"NCP LF",'E11 - 2014 09 Final'!$A$46:$Q$1704,$G$135,FALSE)</f>
        <v>0.44180000000000003</v>
      </c>
      <c r="H148" s="313">
        <f>VLOOKUP($A148&amp;"NCP LF",'E11 - 2014 09 Final'!$A$46:$Q$1704,$H$135,FALSE)</f>
        <v>0.42880000000000001</v>
      </c>
      <c r="I148" s="313">
        <f>VLOOKUP($A148&amp;"NCP LF",'E11 - 2014 09 Final'!$A$46:$Q$1704,$I$135,FALSE)</f>
        <v>0.4345</v>
      </c>
      <c r="J148" s="313">
        <f>VLOOKUP($A148&amp;"NCP LF",'E11 - 2014 09 Final'!$A$46:$Q$1704,$J$135,FALSE)</f>
        <v>0.45629999999999998</v>
      </c>
      <c r="K148" s="313">
        <f>VLOOKUP($A148&amp;"NCP LF",'E11 - 2014 09 Final'!$A$46:$Q$1704,$K$135,FALSE)</f>
        <v>0.48659999999999998</v>
      </c>
      <c r="L148" s="313">
        <f>VLOOKUP($A148&amp;"NCP LF",'E11 - 2014 09 Final'!$A$46:$Q$1704,$L$135,FALSE)</f>
        <v>0.51849999999999996</v>
      </c>
      <c r="M148" s="313">
        <f>VLOOKUP($A148&amp;"NCP LF",'E11 - 2014 09 Final'!$A$46:$Q$1704,$M$135,FALSE)</f>
        <v>0.54579999999999995</v>
      </c>
      <c r="N148" s="313">
        <f>VLOOKUP($A148&amp;"NCP LF",'E11 - 2014 09 Final'!$A$46:$Q$1704,$N$135,FALSE)</f>
        <v>0.55859999999999999</v>
      </c>
      <c r="O148" s="117"/>
      <c r="P148" s="314"/>
    </row>
    <row r="149" spans="1:16">
      <c r="A149" t="s">
        <v>22</v>
      </c>
      <c r="B149" s="43" t="s">
        <v>57</v>
      </c>
      <c r="C149" s="313">
        <f>VLOOKUP($A149&amp;"NCP LF",'E11 - 2014 09 Final'!$A$46:$Q$1704,$C$135,FALSE)</f>
        <v>9.3899999999999997E-2</v>
      </c>
      <c r="D149" s="313">
        <f>VLOOKUP($A149&amp;"NCP LF",'E11 - 2014 09 Final'!$A$46:$Q$1704,$D$135,FALSE)</f>
        <v>0.1079</v>
      </c>
      <c r="E149" s="313">
        <f>VLOOKUP($A149&amp;"NCP LF",'E11 - 2014 09 Final'!$A$46:$Q$1704,$E$135,FALSE)</f>
        <v>9.5100000000000004E-2</v>
      </c>
      <c r="F149" s="313">
        <f>VLOOKUP($A149&amp;"NCP LF",'E11 - 2014 09 Final'!$A$46:$Q$1704,$F$135,FALSE)</f>
        <v>9.0999999999999998E-2</v>
      </c>
      <c r="G149" s="313">
        <f>VLOOKUP($A149&amp;"NCP LF",'E11 - 2014 09 Final'!$A$46:$Q$1704,$G$135,FALSE)</f>
        <v>9.0200000000000002E-2</v>
      </c>
      <c r="H149" s="313">
        <f>VLOOKUP($A149&amp;"NCP LF",'E11 - 2014 09 Final'!$A$46:$Q$1704,$H$135,FALSE)</f>
        <v>9.4100000000000003E-2</v>
      </c>
      <c r="I149" s="313">
        <f>VLOOKUP($A149&amp;"NCP LF",'E11 - 2014 09 Final'!$A$46:$Q$1704,$I$135,FALSE)</f>
        <v>0.1024</v>
      </c>
      <c r="J149" s="313">
        <f>VLOOKUP($A149&amp;"NCP LF",'E11 - 2014 09 Final'!$A$46:$Q$1704,$J$135,FALSE)</f>
        <v>9.7299999999999998E-2</v>
      </c>
      <c r="K149" s="313">
        <f>VLOOKUP($A149&amp;"NCP LF",'E11 - 2014 09 Final'!$A$46:$Q$1704,$K$135,FALSE)</f>
        <v>9.2499999999999999E-2</v>
      </c>
      <c r="L149" s="313">
        <f>VLOOKUP($A149&amp;"NCP LF",'E11 - 2014 09 Final'!$A$46:$Q$1704,$L$135,FALSE)</f>
        <v>9.9099999999999994E-2</v>
      </c>
      <c r="M149" s="313">
        <f>VLOOKUP($A149&amp;"NCP LF",'E11 - 2014 09 Final'!$A$46:$Q$1704,$M$135,FALSE)</f>
        <v>9.9199999999999997E-2</v>
      </c>
      <c r="N149" s="313">
        <f>VLOOKUP($A149&amp;"NCP LF",'E11 - 2014 09 Final'!$A$46:$Q$1704,$N$135,FALSE)</f>
        <v>8.9300000000000004E-2</v>
      </c>
      <c r="O149" s="117"/>
      <c r="P149" s="314"/>
    </row>
    <row r="150" spans="1:16">
      <c r="A150" t="s">
        <v>687</v>
      </c>
      <c r="B150" s="43" t="s">
        <v>48</v>
      </c>
      <c r="C150" s="313">
        <f>VLOOKUP($A150&amp;"NCP LF",'E11 - 2014 09 Final'!$A$46:$Q$1704,$C$135,FALSE)</f>
        <v>0.18060000000000001</v>
      </c>
      <c r="D150" s="313">
        <f>VLOOKUP($A150&amp;"NCP LF",'E11 - 2014 09 Final'!$A$46:$Q$1704,$D$135,FALSE)</f>
        <v>0.2</v>
      </c>
      <c r="E150" s="313">
        <f>VLOOKUP($A150&amp;"NCP LF",'E11 - 2014 09 Final'!$A$46:$Q$1704,$E$135,FALSE)</f>
        <v>0.19869999999999999</v>
      </c>
      <c r="F150" s="313">
        <f>VLOOKUP($A150&amp;"NCP LF",'E11 - 2014 09 Final'!$A$46:$Q$1704,$F$135,FALSE)</f>
        <v>0.22869999999999999</v>
      </c>
      <c r="G150" s="313">
        <f>VLOOKUP($A150&amp;"NCP LF",'E11 - 2014 09 Final'!$A$46:$Q$1704,$G$135,FALSE)</f>
        <v>0.26429999999999998</v>
      </c>
      <c r="H150" s="313">
        <f>VLOOKUP($A150&amp;"NCP LF",'E11 - 2014 09 Final'!$A$46:$Q$1704,$H$135,FALSE)</f>
        <v>0.2823</v>
      </c>
      <c r="I150" s="313">
        <f>VLOOKUP($A150&amp;"NCP LF",'E11 - 2014 09 Final'!$A$46:$Q$1704,$I$135,FALSE)</f>
        <v>0.2974</v>
      </c>
      <c r="J150" s="313">
        <f>VLOOKUP($A150&amp;"NCP LF",'E11 - 2014 09 Final'!$A$46:$Q$1704,$J$135,FALSE)</f>
        <v>0.31690000000000002</v>
      </c>
      <c r="K150" s="313">
        <f>VLOOKUP($A150&amp;"NCP LF",'E11 - 2014 09 Final'!$A$46:$Q$1704,$K$135,FALSE)</f>
        <v>0.28710000000000002</v>
      </c>
      <c r="L150" s="313">
        <f>VLOOKUP($A150&amp;"NCP LF",'E11 - 2014 09 Final'!$A$46:$Q$1704,$L$135,FALSE)</f>
        <v>0.25629999999999997</v>
      </c>
      <c r="M150" s="313">
        <f>VLOOKUP($A150&amp;"NCP LF",'E11 - 2014 09 Final'!$A$46:$Q$1704,$M$135,FALSE)</f>
        <v>0.19040000000000001</v>
      </c>
      <c r="N150" s="313">
        <f>VLOOKUP($A150&amp;"NCP LF",'E11 - 2014 09 Final'!$A$46:$Q$1704,$N$135,FALSE)</f>
        <v>0.18340000000000001</v>
      </c>
      <c r="O150" s="117"/>
      <c r="P150" s="314"/>
    </row>
    <row r="151" spans="1:16">
      <c r="A151" t="s">
        <v>35</v>
      </c>
      <c r="B151" s="43" t="s">
        <v>53</v>
      </c>
      <c r="C151" s="313">
        <f>VLOOKUP($A151&amp;"NCP LF",'E11 - 2014 09 Final'!$A$46:$Q$1704,$C$135,FALSE)</f>
        <v>0.55220000000000002</v>
      </c>
      <c r="D151" s="313">
        <f>VLOOKUP($A151&amp;"NCP LF",'E11 - 2014 09 Final'!$A$46:$Q$1704,$D$135,FALSE)</f>
        <v>0.53059999999999996</v>
      </c>
      <c r="E151" s="313">
        <f>VLOOKUP($A151&amp;"NCP LF",'E11 - 2014 09 Final'!$A$46:$Q$1704,$E$135,FALSE)</f>
        <v>0.49959999999999999</v>
      </c>
      <c r="F151" s="313">
        <f>VLOOKUP($A151&amp;"NCP LF",'E11 - 2014 09 Final'!$A$46:$Q$1704,$F$135,FALSE)</f>
        <v>0.46810000000000002</v>
      </c>
      <c r="G151" s="313">
        <f>VLOOKUP($A151&amp;"NCP LF",'E11 - 2014 09 Final'!$A$46:$Q$1704,$G$135,FALSE)</f>
        <v>0.44180000000000003</v>
      </c>
      <c r="H151" s="313">
        <f>VLOOKUP($A151&amp;"NCP LF",'E11 - 2014 09 Final'!$A$46:$Q$1704,$H$135,FALSE)</f>
        <v>0.42880000000000001</v>
      </c>
      <c r="I151" s="313">
        <f>VLOOKUP($A151&amp;"NCP LF",'E11 - 2014 09 Final'!$A$46:$Q$1704,$I$135,FALSE)</f>
        <v>0.4345</v>
      </c>
      <c r="J151" s="313">
        <f>VLOOKUP($A151&amp;"NCP LF",'E11 - 2014 09 Final'!$A$46:$Q$1704,$J$135,FALSE)</f>
        <v>0.45629999999999998</v>
      </c>
      <c r="K151" s="313">
        <f>VLOOKUP($A151&amp;"NCP LF",'E11 - 2014 09 Final'!$A$46:$Q$1704,$K$135,FALSE)</f>
        <v>0.48659999999999998</v>
      </c>
      <c r="L151" s="313">
        <f>VLOOKUP($A151&amp;"NCP LF",'E11 - 2014 09 Final'!$A$46:$Q$1704,$L$135,FALSE)</f>
        <v>0.51849999999999996</v>
      </c>
      <c r="M151" s="313">
        <f>VLOOKUP($A151&amp;"NCP LF",'E11 - 2014 09 Final'!$A$46:$Q$1704,$M$135,FALSE)</f>
        <v>0.54579999999999995</v>
      </c>
      <c r="N151" s="313">
        <f>VLOOKUP($A151&amp;"NCP LF",'E11 - 2014 09 Final'!$A$46:$Q$1704,$N$135,FALSE)</f>
        <v>0.5595</v>
      </c>
      <c r="O151" s="117"/>
      <c r="P151" s="314"/>
    </row>
    <row r="152" spans="1:16">
      <c r="A152" t="s">
        <v>38</v>
      </c>
      <c r="B152" s="43" t="s">
        <v>55</v>
      </c>
      <c r="C152" s="313">
        <f>VLOOKUP($A152&amp;"NCP LF",'E11 - 2014 09 Final'!$A$46:$Q$1704,$C$135,FALSE)</f>
        <v>1</v>
      </c>
      <c r="D152" s="313">
        <f>VLOOKUP($A152&amp;"NCP LF",'E11 - 2014 09 Final'!$A$46:$Q$1704,$D$135,FALSE)</f>
        <v>1</v>
      </c>
      <c r="E152" s="313">
        <f>VLOOKUP($A152&amp;"NCP LF",'E11 - 2014 09 Final'!$A$46:$Q$1704,$E$135,FALSE)</f>
        <v>1</v>
      </c>
      <c r="F152" s="313">
        <f>VLOOKUP($A152&amp;"NCP LF",'E11 - 2014 09 Final'!$A$46:$Q$1704,$F$135,FALSE)</f>
        <v>1</v>
      </c>
      <c r="G152" s="313">
        <f>VLOOKUP($A152&amp;"NCP LF",'E11 - 2014 09 Final'!$A$46:$Q$1704,$G$135,FALSE)</f>
        <v>1</v>
      </c>
      <c r="H152" s="313">
        <f>VLOOKUP($A152&amp;"NCP LF",'E11 - 2014 09 Final'!$A$46:$Q$1704,$H$135,FALSE)</f>
        <v>1</v>
      </c>
      <c r="I152" s="313">
        <f>VLOOKUP($A152&amp;"NCP LF",'E11 - 2014 09 Final'!$A$46:$Q$1704,$I$135,FALSE)</f>
        <v>1</v>
      </c>
      <c r="J152" s="313">
        <f>VLOOKUP($A152&amp;"NCP LF",'E11 - 2014 09 Final'!$A$46:$Q$1704,$J$135,FALSE)</f>
        <v>1</v>
      </c>
      <c r="K152" s="313">
        <f>VLOOKUP($A152&amp;"NCP LF",'E11 - 2014 09 Final'!$A$46:$Q$1704,$K$135,FALSE)</f>
        <v>1</v>
      </c>
      <c r="L152" s="313">
        <f>VLOOKUP($A152&amp;"NCP LF",'E11 - 2014 09 Final'!$A$46:$Q$1704,$L$135,FALSE)</f>
        <v>1</v>
      </c>
      <c r="M152" s="313">
        <f>VLOOKUP($A152&amp;"NCP LF",'E11 - 2014 09 Final'!$A$46:$Q$1704,$M$135,FALSE)</f>
        <v>0.99860000000000004</v>
      </c>
      <c r="N152" s="313">
        <f>VLOOKUP($A152&amp;"NCP LF",'E11 - 2014 09 Final'!$A$46:$Q$1704,$N$135,FALSE)</f>
        <v>1</v>
      </c>
      <c r="O152" s="117"/>
      <c r="P152" s="314"/>
    </row>
    <row r="153" spans="1:16">
      <c r="A153" t="s">
        <v>40</v>
      </c>
      <c r="B153" s="43" t="s">
        <v>87</v>
      </c>
      <c r="C153" s="313">
        <f>VLOOKUP($A153&amp;"NCP LF",'E11 - 2014 09 Final'!$A$46:$Q$1704,$C$135,FALSE)</f>
        <v>0.37740000000000001</v>
      </c>
      <c r="D153" s="313">
        <f>VLOOKUP($A153&amp;"NCP LF",'E11 - 2014 09 Final'!$A$46:$Q$1704,$D$135,FALSE)</f>
        <v>0.41470000000000001</v>
      </c>
      <c r="E153" s="313">
        <f>VLOOKUP($A153&amp;"NCP LF",'E11 - 2014 09 Final'!$A$46:$Q$1704,$E$135,FALSE)</f>
        <v>0.46300000000000002</v>
      </c>
      <c r="F153" s="313">
        <f>VLOOKUP($A153&amp;"NCP LF",'E11 - 2014 09 Final'!$A$46:$Q$1704,$F$135,FALSE)</f>
        <v>0.41139999999999999</v>
      </c>
      <c r="G153" s="313">
        <f>VLOOKUP($A153&amp;"NCP LF",'E11 - 2014 09 Final'!$A$46:$Q$1704,$G$135,FALSE)</f>
        <v>0.53469999999999995</v>
      </c>
      <c r="H153" s="313">
        <f>VLOOKUP($A153&amp;"NCP LF",'E11 - 2014 09 Final'!$A$46:$Q$1704,$H$135,FALSE)</f>
        <v>0.43390000000000001</v>
      </c>
      <c r="I153" s="313">
        <f>VLOOKUP($A153&amp;"NCP LF",'E11 - 2014 09 Final'!$A$46:$Q$1704,$I$135,FALSE)</f>
        <v>0.44690000000000002</v>
      </c>
      <c r="J153" s="313">
        <f>VLOOKUP($A153&amp;"NCP LF",'E11 - 2014 09 Final'!$A$46:$Q$1704,$J$135,FALSE)</f>
        <v>0.3856</v>
      </c>
      <c r="K153" s="313">
        <f>VLOOKUP($A153&amp;"NCP LF",'E11 - 2014 09 Final'!$A$46:$Q$1704,$K$135,FALSE)</f>
        <v>0.2631</v>
      </c>
      <c r="L153" s="313">
        <f>VLOOKUP($A153&amp;"NCP LF",'E11 - 2014 09 Final'!$A$46:$Q$1704,$L$135,FALSE)</f>
        <v>0.18740000000000001</v>
      </c>
      <c r="M153" s="313">
        <f>VLOOKUP($A153&amp;"NCP LF",'E11 - 2014 09 Final'!$A$46:$Q$1704,$M$135,FALSE)</f>
        <v>6.6299999999999998E-2</v>
      </c>
      <c r="N153" s="313">
        <f>VLOOKUP($A153&amp;"NCP LF",'E11 - 2014 09 Final'!$A$46:$Q$1704,$N$135,FALSE)</f>
        <v>0.42320000000000002</v>
      </c>
      <c r="O153" s="117"/>
      <c r="P153" s="314"/>
    </row>
    <row r="154" spans="1:16">
      <c r="A154" t="s">
        <v>45</v>
      </c>
      <c r="B154" s="43" t="s">
        <v>88</v>
      </c>
      <c r="C154" s="313">
        <f>VLOOKUP($A154&amp;"NCP LF",'E11 - 2014 09 Final'!$A$46:$Q$1704,$C$135,FALSE)</f>
        <v>9.1700000000000004E-2</v>
      </c>
      <c r="D154" s="313">
        <f>VLOOKUP($A154&amp;"NCP LF",'E11 - 2014 09 Final'!$A$46:$Q$1704,$D$135,FALSE)</f>
        <v>0.1162</v>
      </c>
      <c r="E154" s="313">
        <f>VLOOKUP($A154&amp;"NCP LF",'E11 - 2014 09 Final'!$A$46:$Q$1704,$E$135,FALSE)</f>
        <v>7.9200000000000007E-2</v>
      </c>
      <c r="F154" s="313">
        <f>VLOOKUP($A154&amp;"NCP LF",'E11 - 2014 09 Final'!$A$46:$Q$1704,$F$135,FALSE)</f>
        <v>8.4599999999999995E-2</v>
      </c>
      <c r="G154" s="313">
        <f>VLOOKUP($A154&amp;"NCP LF",'E11 - 2014 09 Final'!$A$46:$Q$1704,$G$135,FALSE)</f>
        <v>9.5000000000000001E-2</v>
      </c>
      <c r="H154" s="313">
        <f>VLOOKUP($A154&amp;"NCP LF",'E11 - 2014 09 Final'!$A$46:$Q$1704,$H$135,FALSE)</f>
        <v>6.4000000000000001E-2</v>
      </c>
      <c r="I154" s="313">
        <f>VLOOKUP($A154&amp;"NCP LF",'E11 - 2014 09 Final'!$A$46:$Q$1704,$I$135,FALSE)</f>
        <v>8.5400000000000004E-2</v>
      </c>
      <c r="J154" s="313">
        <f>VLOOKUP($A154&amp;"NCP LF",'E11 - 2014 09 Final'!$A$46:$Q$1704,$J$135,FALSE)</f>
        <v>0.10059999999999999</v>
      </c>
      <c r="K154" s="313">
        <f>VLOOKUP($A154&amp;"NCP LF",'E11 - 2014 09 Final'!$A$46:$Q$1704,$K$135,FALSE)</f>
        <v>8.2900000000000001E-2</v>
      </c>
      <c r="L154" s="313">
        <f>VLOOKUP($A154&amp;"NCP LF",'E11 - 2014 09 Final'!$A$46:$Q$1704,$L$135,FALSE)</f>
        <v>0.1024</v>
      </c>
      <c r="M154" s="313">
        <f>VLOOKUP($A154&amp;"NCP LF",'E11 - 2014 09 Final'!$A$46:$Q$1704,$M$135,FALSE)</f>
        <v>8.0399999999999999E-2</v>
      </c>
      <c r="N154" s="313">
        <f>VLOOKUP($A154&amp;"NCP LF",'E11 - 2014 09 Final'!$A$46:$Q$1704,$N$135,FALSE)</f>
        <v>8.1199999999999994E-2</v>
      </c>
      <c r="O154" s="117"/>
      <c r="P154" s="314"/>
    </row>
    <row r="155" spans="1:16">
      <c r="C155" s="48"/>
      <c r="D155" s="48"/>
      <c r="E155" s="48"/>
      <c r="F155" s="48"/>
      <c r="G155" s="48"/>
      <c r="H155" s="48"/>
      <c r="I155" s="48"/>
      <c r="J155" s="48"/>
      <c r="K155" s="48"/>
      <c r="L155" s="48"/>
      <c r="M155" s="48"/>
      <c r="N155" s="48"/>
      <c r="O155" s="315"/>
      <c r="P155" s="316"/>
    </row>
    <row r="156" spans="1:16">
      <c r="C156" s="48"/>
      <c r="D156" s="48"/>
      <c r="E156" s="48"/>
      <c r="F156" s="48"/>
      <c r="G156" s="48"/>
      <c r="H156" s="48"/>
      <c r="I156" s="48"/>
      <c r="J156" s="48"/>
      <c r="K156" s="48"/>
      <c r="L156" s="48"/>
      <c r="M156" s="48"/>
      <c r="N156" s="48"/>
      <c r="O156" s="315"/>
      <c r="P156" s="316"/>
    </row>
    <row r="157" spans="1:16" hidden="1">
      <c r="B157" s="42" t="s">
        <v>86</v>
      </c>
      <c r="C157" s="10"/>
      <c r="D157" s="10"/>
      <c r="E157" s="10"/>
      <c r="F157" s="10"/>
      <c r="G157" s="10"/>
      <c r="H157" s="10"/>
      <c r="I157" s="10"/>
      <c r="J157" s="10"/>
      <c r="K157" s="10"/>
      <c r="L157" s="10"/>
      <c r="M157" s="10"/>
      <c r="N157" s="10"/>
      <c r="O157" s="110"/>
      <c r="P157" s="110"/>
    </row>
    <row r="158" spans="1:16" hidden="1">
      <c r="A158" t="s">
        <v>603</v>
      </c>
      <c r="B158" t="s">
        <v>603</v>
      </c>
      <c r="C158" s="313">
        <f>VLOOKUP($A158&amp;"NCP LF",'E11 - 2014 09 Final'!$A$46:$Q$1704,$C$135,FALSE)</f>
        <v>0.57589999999999997</v>
      </c>
      <c r="D158" s="313">
        <f>VLOOKUP($A158&amp;"NCP LF",'E11 - 2014 09 Final'!$A$46:$Q$1704,$D$135,FALSE)</f>
        <v>0.56530000000000002</v>
      </c>
      <c r="E158" s="313">
        <f>VLOOKUP($A158&amp;"NCP LF",'E11 - 2014 09 Final'!$A$46:$Q$1704,$E$135,FALSE)</f>
        <v>0.61439999999999995</v>
      </c>
      <c r="F158" s="313">
        <f>VLOOKUP($A158&amp;"NCP LF",'E11 - 2014 09 Final'!$A$46:$Q$1704,$F$135,FALSE)</f>
        <v>0.56489999999999996</v>
      </c>
      <c r="G158" s="313">
        <f>VLOOKUP($A158&amp;"NCP LF",'E11 - 2014 09 Final'!$A$46:$Q$1704,$G$135,FALSE)</f>
        <v>0.58660000000000001</v>
      </c>
      <c r="H158" s="313">
        <f>VLOOKUP($A158&amp;"NCP LF",'E11 - 2014 09 Final'!$A$46:$Q$1704,$H$135,FALSE)</f>
        <v>0.61319999999999997</v>
      </c>
      <c r="I158" s="313">
        <f>VLOOKUP($A158&amp;"NCP LF",'E11 - 2014 09 Final'!$A$46:$Q$1704,$I$135,FALSE)</f>
        <v>0.62080000000000002</v>
      </c>
      <c r="J158" s="313">
        <f>VLOOKUP($A158&amp;"NCP LF",'E11 - 2014 09 Final'!$A$46:$Q$1704,$J$135,FALSE)</f>
        <v>0.62939999999999996</v>
      </c>
      <c r="K158" s="313">
        <f>VLOOKUP($A158&amp;"NCP LF",'E11 - 2014 09 Final'!$A$46:$Q$1704,$K$135,FALSE)</f>
        <v>0.59099999999999997</v>
      </c>
      <c r="L158" s="313">
        <f>VLOOKUP($A158&amp;"NCP LF",'E11 - 2014 09 Final'!$A$46:$Q$1704,$L$135,FALSE)</f>
        <v>0.56330000000000002</v>
      </c>
      <c r="M158" s="313">
        <f>VLOOKUP($A158&amp;"NCP LF",'E11 - 2014 09 Final'!$A$46:$Q$1704,$M$135,FALSE)</f>
        <v>0.5232</v>
      </c>
      <c r="N158" s="313">
        <f>VLOOKUP($A158&amp;"NCP LF",'E11 - 2014 09 Final'!$A$46:$Q$1704,$N$135,FALSE)</f>
        <v>0.60729999999999995</v>
      </c>
      <c r="O158" s="117"/>
      <c r="P158" s="117"/>
    </row>
    <row r="159" spans="1:16" hidden="1">
      <c r="A159" t="s">
        <v>245</v>
      </c>
      <c r="B159" t="s">
        <v>983</v>
      </c>
      <c r="C159" s="313">
        <f>VLOOKUP($A159&amp;"NCP LF",'E11 - 2014 09 Final'!$A$46:$Q$1704,$C$135,FALSE)</f>
        <v>0.60560000000000003</v>
      </c>
      <c r="D159" s="313">
        <f>VLOOKUP($A159&amp;"NCP LF",'E11 - 2014 09 Final'!$A$46:$Q$1704,$D$135,FALSE)</f>
        <v>0.69120000000000004</v>
      </c>
      <c r="E159" s="313">
        <f>VLOOKUP($A159&amp;"NCP LF",'E11 - 2014 09 Final'!$A$46:$Q$1704,$E$135,FALSE)</f>
        <v>0.63639999999999997</v>
      </c>
      <c r="F159" s="313">
        <f>VLOOKUP($A159&amp;"NCP LF",'E11 - 2014 09 Final'!$A$46:$Q$1704,$F$135,FALSE)</f>
        <v>0.67579999999999996</v>
      </c>
      <c r="G159" s="313">
        <f>VLOOKUP($A159&amp;"NCP LF",'E11 - 2014 09 Final'!$A$46:$Q$1704,$G$135,FALSE)</f>
        <v>0.68740000000000001</v>
      </c>
      <c r="H159" s="313">
        <f>VLOOKUP($A159&amp;"NCP LF",'E11 - 2014 09 Final'!$A$46:$Q$1704,$H$135,FALSE)</f>
        <v>0.7006</v>
      </c>
      <c r="I159" s="313">
        <f>VLOOKUP($A159&amp;"NCP LF",'E11 - 2014 09 Final'!$A$46:$Q$1704,$I$135,FALSE)</f>
        <v>0.71709999999999996</v>
      </c>
      <c r="J159" s="313">
        <f>VLOOKUP($A159&amp;"NCP LF",'E11 - 2014 09 Final'!$A$46:$Q$1704,$J$135,FALSE)</f>
        <v>0.73409999999999997</v>
      </c>
      <c r="K159" s="313">
        <f>VLOOKUP($A159&amp;"NCP LF",'E11 - 2014 09 Final'!$A$46:$Q$1704,$K$135,FALSE)</f>
        <v>0.66049999999999998</v>
      </c>
      <c r="L159" s="313">
        <f>VLOOKUP($A159&amp;"NCP LF",'E11 - 2014 09 Final'!$A$46:$Q$1704,$L$135,FALSE)</f>
        <v>0.62960000000000005</v>
      </c>
      <c r="M159" s="313">
        <f>VLOOKUP($A159&amp;"NCP LF",'E11 - 2014 09 Final'!$A$46:$Q$1704,$M$135,FALSE)</f>
        <v>0.60519999999999996</v>
      </c>
      <c r="N159" s="313">
        <f>VLOOKUP($A159&amp;"NCP LF",'E11 - 2014 09 Final'!$A$46:$Q$1704,$N$135,FALSE)</f>
        <v>0.6119</v>
      </c>
      <c r="O159" s="117"/>
      <c r="P159" s="314"/>
    </row>
    <row r="160" spans="1:16" hidden="1">
      <c r="A160" t="s">
        <v>661</v>
      </c>
      <c r="B160" t="s">
        <v>984</v>
      </c>
      <c r="C160" s="313">
        <f>VLOOKUP($A160&amp;"NCP LF",'E11 - 2014 09 Final'!$A$46:$Q$1704,$C$135,FALSE)</f>
        <v>0.53639999999999999</v>
      </c>
      <c r="D160" s="313">
        <f>VLOOKUP($A160&amp;"NCP LF",'E11 - 2014 09 Final'!$A$46:$Q$1704,$D$135,FALSE)</f>
        <v>0.63400000000000001</v>
      </c>
      <c r="E160" s="313">
        <f>VLOOKUP($A160&amp;"NCP LF",'E11 - 2014 09 Final'!$A$46:$Q$1704,$E$135,FALSE)</f>
        <v>0.63819999999999999</v>
      </c>
      <c r="F160" s="313">
        <f>VLOOKUP($A160&amp;"NCP LF",'E11 - 2014 09 Final'!$A$46:$Q$1704,$F$135,FALSE)</f>
        <v>0.58040000000000003</v>
      </c>
      <c r="G160" s="313">
        <f>VLOOKUP($A160&amp;"NCP LF",'E11 - 2014 09 Final'!$A$46:$Q$1704,$G$135,FALSE)</f>
        <v>0.61360000000000003</v>
      </c>
      <c r="H160" s="313">
        <f>VLOOKUP($A160&amp;"NCP LF",'E11 - 2014 09 Final'!$A$46:$Q$1704,$H$135,FALSE)</f>
        <v>0.60560000000000003</v>
      </c>
      <c r="I160" s="313">
        <f>VLOOKUP($A160&amp;"NCP LF",'E11 - 2014 09 Final'!$A$46:$Q$1704,$I$135,FALSE)</f>
        <v>0.63859999999999995</v>
      </c>
      <c r="J160" s="313">
        <f>VLOOKUP($A160&amp;"NCP LF",'E11 - 2014 09 Final'!$A$46:$Q$1704,$J$135,FALSE)</f>
        <v>0.65269999999999995</v>
      </c>
      <c r="K160" s="313">
        <f>VLOOKUP($A160&amp;"NCP LF",'E11 - 2014 09 Final'!$A$46:$Q$1704,$K$135,FALSE)</f>
        <v>0.59630000000000005</v>
      </c>
      <c r="L160" s="313">
        <f>VLOOKUP($A160&amp;"NCP LF",'E11 - 2014 09 Final'!$A$46:$Q$1704,$L$135,FALSE)</f>
        <v>0.57120000000000004</v>
      </c>
      <c r="M160" s="313">
        <f>VLOOKUP($A160&amp;"NCP LF",'E11 - 2014 09 Final'!$A$46:$Q$1704,$M$135,FALSE)</f>
        <v>0.6038</v>
      </c>
      <c r="N160" s="313">
        <f>VLOOKUP($A160&amp;"NCP LF",'E11 - 2014 09 Final'!$A$46:$Q$1704,$N$135,FALSE)</f>
        <v>0.67149999999999999</v>
      </c>
      <c r="O160" s="117"/>
      <c r="P160" s="314"/>
    </row>
    <row r="161" spans="1:16" hidden="1">
      <c r="A161" t="s">
        <v>673</v>
      </c>
      <c r="B161" t="s">
        <v>985</v>
      </c>
      <c r="C161" s="313">
        <f>VLOOKUP($A161&amp;"NCP LF",'E11 - 2014 09 Final'!$A$46:$Q$1704,$C$135,FALSE)</f>
        <v>0</v>
      </c>
      <c r="D161" s="313">
        <f>VLOOKUP($A161&amp;"NCP LF",'E11 - 2014 09 Final'!$A$46:$Q$1704,$D$135,FALSE)</f>
        <v>0.79259999999999997</v>
      </c>
      <c r="E161" s="313">
        <f>VLOOKUP($A161&amp;"NCP LF",'E11 - 2014 09 Final'!$A$46:$Q$1704,$E$135,FALSE)</f>
        <v>1</v>
      </c>
      <c r="F161" s="313">
        <f>VLOOKUP($A161&amp;"NCP LF",'E11 - 2014 09 Final'!$A$46:$Q$1704,$F$135,FALSE)</f>
        <v>1</v>
      </c>
      <c r="G161" s="313">
        <f>VLOOKUP($A161&amp;"NCP LF",'E11 - 2014 09 Final'!$A$46:$Q$1704,$G$135,FALSE)</f>
        <v>0.9929</v>
      </c>
      <c r="H161" s="313">
        <f>VLOOKUP($A161&amp;"NCP LF",'E11 - 2014 09 Final'!$A$46:$Q$1704,$H$135,FALSE)</f>
        <v>0.9163</v>
      </c>
      <c r="I161" s="313">
        <f>VLOOKUP($A161&amp;"NCP LF",'E11 - 2014 09 Final'!$A$46:$Q$1704,$I$135,FALSE)</f>
        <v>0.94589999999999996</v>
      </c>
      <c r="J161" s="313">
        <f>VLOOKUP($A161&amp;"NCP LF",'E11 - 2014 09 Final'!$A$46:$Q$1704,$J$135,FALSE)</f>
        <v>0.95889999999999997</v>
      </c>
      <c r="K161" s="313">
        <f>VLOOKUP($A161&amp;"NCP LF",'E11 - 2014 09 Final'!$A$46:$Q$1704,$K$135,FALSE)</f>
        <v>0.99439999999999995</v>
      </c>
      <c r="L161" s="313">
        <f>VLOOKUP($A161&amp;"NCP LF",'E11 - 2014 09 Final'!$A$46:$Q$1704,$L$135,FALSE)</f>
        <v>0.98019999999999996</v>
      </c>
      <c r="M161" s="313">
        <f>VLOOKUP($A161&amp;"NCP LF",'E11 - 2014 09 Final'!$A$46:$Q$1704,$M$135,FALSE)</f>
        <v>0.99860000000000004</v>
      </c>
      <c r="N161" s="313">
        <f>VLOOKUP($A161&amp;"NCP LF",'E11 - 2014 09 Final'!$A$46:$Q$1704,$N$135,FALSE)</f>
        <v>0.96609999999999996</v>
      </c>
      <c r="O161" s="117"/>
      <c r="P161" s="314"/>
    </row>
    <row r="162" spans="1:16" hidden="1">
      <c r="A162" t="s">
        <v>691</v>
      </c>
      <c r="B162" t="s">
        <v>691</v>
      </c>
      <c r="C162" s="313">
        <f>VLOOKUP($A162&amp;"NCP LF",'E11 - 2014 09 Final'!$A$46:$Q$1704,$C$135,FALSE)</f>
        <v>0</v>
      </c>
      <c r="D162" s="313">
        <f>VLOOKUP($A162&amp;"NCP LF",'E11 - 2014 09 Final'!$A$46:$Q$1704,$D$135,FALSE)</f>
        <v>0</v>
      </c>
      <c r="E162" s="313">
        <f>VLOOKUP($A162&amp;"NCP LF",'E11 - 2014 09 Final'!$A$46:$Q$1704,$E$135,FALSE)</f>
        <v>0</v>
      </c>
      <c r="F162" s="313">
        <f>VLOOKUP($A162&amp;"NCP LF",'E11 - 2014 09 Final'!$A$46:$Q$1704,$F$135,FALSE)</f>
        <v>0</v>
      </c>
      <c r="G162" s="313">
        <f>VLOOKUP($A162&amp;"NCP LF",'E11 - 2014 09 Final'!$A$46:$Q$1704,$G$135,FALSE)</f>
        <v>0</v>
      </c>
      <c r="H162" s="313">
        <f>VLOOKUP($A162&amp;"NCP LF",'E11 - 2014 09 Final'!$A$46:$Q$1704,$H$135,FALSE)</f>
        <v>0.56879999999999997</v>
      </c>
      <c r="I162" s="313">
        <f>VLOOKUP($A162&amp;"NCP LF",'E11 - 2014 09 Final'!$A$46:$Q$1704,$I$135,FALSE)</f>
        <v>0.61060000000000003</v>
      </c>
      <c r="J162" s="313">
        <f>VLOOKUP($A162&amp;"NCP LF",'E11 - 2014 09 Final'!$A$46:$Q$1704,$J$135,FALSE)</f>
        <v>0.64549999999999996</v>
      </c>
      <c r="K162" s="313">
        <f>VLOOKUP($A162&amp;"NCP LF",'E11 - 2014 09 Final'!$A$46:$Q$1704,$K$135,FALSE)</f>
        <v>0.64839999999999998</v>
      </c>
      <c r="L162" s="313">
        <f>VLOOKUP($A162&amp;"NCP LF",'E11 - 2014 09 Final'!$A$46:$Q$1704,$L$135,FALSE)</f>
        <v>0.58520000000000005</v>
      </c>
      <c r="M162" s="313">
        <f>VLOOKUP($A162&amp;"NCP LF",'E11 - 2014 09 Final'!$A$46:$Q$1704,$M$135,FALSE)</f>
        <v>0.27029999999999998</v>
      </c>
      <c r="N162" s="313">
        <f>VLOOKUP($A162&amp;"NCP LF",'E11 - 2014 09 Final'!$A$46:$Q$1704,$N$135,FALSE)</f>
        <v>9.1200000000000003E-2</v>
      </c>
      <c r="O162" s="117"/>
      <c r="P162" s="314"/>
    </row>
    <row r="163" spans="1:16" hidden="1">
      <c r="A163" t="s">
        <v>724</v>
      </c>
      <c r="B163" t="s">
        <v>724</v>
      </c>
      <c r="C163" s="313">
        <f>VLOOKUP($A163&amp;"NCP LF",'E11 - 2014 09 Final'!$A$46:$Q$1704,$C$135,FALSE)</f>
        <v>0.5504</v>
      </c>
      <c r="D163" s="313">
        <f>VLOOKUP($A163&amp;"NCP LF",'E11 - 2014 09 Final'!$A$46:$Q$1704,$D$135,FALSE)</f>
        <v>0.65939999999999999</v>
      </c>
      <c r="E163" s="313">
        <f>VLOOKUP($A163&amp;"NCP LF",'E11 - 2014 09 Final'!$A$46:$Q$1704,$E$135,FALSE)</f>
        <v>0.66830000000000001</v>
      </c>
      <c r="F163" s="313">
        <f>VLOOKUP($A163&amp;"NCP LF",'E11 - 2014 09 Final'!$A$46:$Q$1704,$F$135,FALSE)</f>
        <v>0.55410000000000004</v>
      </c>
      <c r="G163" s="313">
        <f>VLOOKUP($A163&amp;"NCP LF",'E11 - 2014 09 Final'!$A$46:$Q$1704,$G$135,FALSE)</f>
        <v>0.62029999999999996</v>
      </c>
      <c r="H163" s="313">
        <f>VLOOKUP($A163&amp;"NCP LF",'E11 - 2014 09 Final'!$A$46:$Q$1704,$H$135,FALSE)</f>
        <v>0.62960000000000005</v>
      </c>
      <c r="I163" s="313">
        <f>VLOOKUP($A163&amp;"NCP LF",'E11 - 2014 09 Final'!$A$46:$Q$1704,$I$135,FALSE)</f>
        <v>0.64429999999999998</v>
      </c>
      <c r="J163" s="313">
        <f>VLOOKUP($A163&amp;"NCP LF",'E11 - 2014 09 Final'!$A$46:$Q$1704,$J$135,FALSE)</f>
        <v>0.64529999999999998</v>
      </c>
      <c r="K163" s="313">
        <f>VLOOKUP($A163&amp;"NCP LF",'E11 - 2014 09 Final'!$A$46:$Q$1704,$K$135,FALSE)</f>
        <v>0.61750000000000005</v>
      </c>
      <c r="L163" s="313">
        <f>VLOOKUP($A163&amp;"NCP LF",'E11 - 2014 09 Final'!$A$46:$Q$1704,$L$135,FALSE)</f>
        <v>0.57950000000000002</v>
      </c>
      <c r="M163" s="313">
        <f>VLOOKUP($A163&amp;"NCP LF",'E11 - 2014 09 Final'!$A$46:$Q$1704,$M$135,FALSE)</f>
        <v>0.62860000000000005</v>
      </c>
      <c r="N163" s="313">
        <f>VLOOKUP($A163&amp;"NCP LF",'E11 - 2014 09 Final'!$A$46:$Q$1704,$N$135,FALSE)</f>
        <v>0.65600000000000003</v>
      </c>
      <c r="O163" s="117"/>
      <c r="P163" s="314"/>
    </row>
    <row r="164" spans="1:16" hidden="1">
      <c r="A164" t="s">
        <v>727</v>
      </c>
      <c r="B164" t="s">
        <v>986</v>
      </c>
      <c r="C164" s="313">
        <f>VLOOKUP($A164&amp;"NCP LF",'E11 - 2014 09 Final'!$A$46:$Q$1704,$C$135,FALSE)</f>
        <v>0.96640000000000004</v>
      </c>
      <c r="D164" s="313">
        <f>VLOOKUP($A164&amp;"NCP LF",'E11 - 2014 09 Final'!$A$46:$Q$1704,$D$135,FALSE)</f>
        <v>1</v>
      </c>
      <c r="E164" s="313">
        <f>VLOOKUP($A164&amp;"NCP LF",'E11 - 2014 09 Final'!$A$46:$Q$1704,$E$135,FALSE)</f>
        <v>0.99329999999999996</v>
      </c>
      <c r="F164" s="313">
        <f>VLOOKUP($A164&amp;"NCP LF",'E11 - 2014 09 Final'!$A$46:$Q$1704,$F$135,FALSE)</f>
        <v>0.92920000000000003</v>
      </c>
      <c r="G164" s="313">
        <f>VLOOKUP($A164&amp;"NCP LF",'E11 - 2014 09 Final'!$A$46:$Q$1704,$G$135,FALSE)</f>
        <v>0.98119999999999996</v>
      </c>
      <c r="H164" s="313">
        <f>VLOOKUP($A164&amp;"NCP LF",'E11 - 2014 09 Final'!$A$46:$Q$1704,$H$135,FALSE)</f>
        <v>1</v>
      </c>
      <c r="I164" s="313">
        <f>VLOOKUP($A164&amp;"NCP LF",'E11 - 2014 09 Final'!$A$46:$Q$1704,$I$135,FALSE)</f>
        <v>1</v>
      </c>
      <c r="J164" s="313">
        <f>VLOOKUP($A164&amp;"NCP LF",'E11 - 2014 09 Final'!$A$46:$Q$1704,$J$135,FALSE)</f>
        <v>1</v>
      </c>
      <c r="K164" s="313">
        <f>VLOOKUP($A164&amp;"NCP LF",'E11 - 2014 09 Final'!$A$46:$Q$1704,$K$135,FALSE)</f>
        <v>1</v>
      </c>
      <c r="L164" s="313">
        <f>VLOOKUP($A164&amp;"NCP LF",'E11 - 2014 09 Final'!$A$46:$Q$1704,$L$135,FALSE)</f>
        <v>0.96909999999999996</v>
      </c>
      <c r="M164" s="313">
        <f>VLOOKUP($A164&amp;"NCP LF",'E11 - 2014 09 Final'!$A$46:$Q$1704,$M$135,FALSE)</f>
        <v>0.96809999999999996</v>
      </c>
      <c r="N164" s="313">
        <f>VLOOKUP($A164&amp;"NCP LF",'E11 - 2014 09 Final'!$A$46:$Q$1704,$N$135,FALSE)</f>
        <v>0.92610000000000003</v>
      </c>
      <c r="O164" s="117"/>
      <c r="P164" s="314"/>
    </row>
    <row r="165" spans="1:16">
      <c r="A165" s="43"/>
      <c r="B165" s="49" t="str">
        <f>IF('Avg NCP'!C145&gt;0,+'Avg KWH'!C145/HOURS!B$13/'Avg NCP'!C145,"")</f>
        <v/>
      </c>
      <c r="C165" s="49" t="str">
        <f>IF('Avg NCP'!D145&gt;0,+'Avg KWH'!D145/HOURS!C$13/'Avg NCP'!D145,"")</f>
        <v/>
      </c>
      <c r="D165" s="49" t="str">
        <f>IF('Avg NCP'!E145&gt;0,+'Avg KWH'!E145/HOURS!D$13/'Avg NCP'!E145,"")</f>
        <v/>
      </c>
      <c r="E165" s="49" t="str">
        <f>IF('Avg NCP'!F145&gt;0,+'Avg KWH'!F145/HOURS!E$13/'Avg NCP'!F145,"")</f>
        <v/>
      </c>
      <c r="F165" s="49" t="str">
        <f>IF('Avg NCP'!G145&gt;0,+'Avg KWH'!G145/HOURS!F$13/'Avg NCP'!G145,"")</f>
        <v/>
      </c>
      <c r="G165" s="49" t="str">
        <f>IF('Avg NCP'!H145&gt;0,+'Avg KWH'!H145/HOURS!G$13/'Avg NCP'!H145,"")</f>
        <v/>
      </c>
      <c r="H165" s="49" t="str">
        <f>IF('Avg NCP'!I145&gt;0,+'Avg KWH'!I145/HOURS!H$13/'Avg NCP'!I145,"")</f>
        <v/>
      </c>
      <c r="I165" s="49" t="str">
        <f>IF('Avg NCP'!J145&gt;0,+'Avg KWH'!J145/HOURS!I$13/'Avg NCP'!J145,"")</f>
        <v/>
      </c>
      <c r="J165" s="49" t="str">
        <f>IF('Avg NCP'!K145&gt;0,+'Avg KWH'!K145/HOURS!J$13/'Avg NCP'!K145,"")</f>
        <v/>
      </c>
      <c r="K165" s="49" t="str">
        <f>IF('Avg NCP'!L145&gt;0,+'Avg KWH'!L145/HOURS!K$13/'Avg NCP'!L145,"")</f>
        <v/>
      </c>
      <c r="L165" s="49" t="str">
        <f>IF('Avg NCP'!M145&gt;0,+'Avg KWH'!M145/HOURS!L$13/'Avg NCP'!M145,"")</f>
        <v/>
      </c>
      <c r="M165" s="49" t="str">
        <f>IF('Avg NCP'!N145&gt;0,+'Avg KWH'!N145/HOURS!M$13/'Avg NCP'!N145,"")</f>
        <v/>
      </c>
      <c r="O165" s="110"/>
      <c r="P165" s="110"/>
    </row>
    <row r="166" spans="1:16">
      <c r="A166" s="43"/>
      <c r="B166" s="49" t="str">
        <f>IF('Avg NCP'!C146&gt;0,+'Avg KWH'!C146/HOURS!B$13/'Avg NCP'!C146,"")</f>
        <v/>
      </c>
      <c r="C166" s="49" t="str">
        <f>IF('Avg NCP'!D146&gt;0,+'Avg KWH'!D146/HOURS!C$13/'Avg NCP'!D146,"")</f>
        <v/>
      </c>
      <c r="D166" s="49" t="str">
        <f>IF('Avg NCP'!E146&gt;0,+'Avg KWH'!E146/HOURS!D$13/'Avg NCP'!E146,"")</f>
        <v/>
      </c>
      <c r="E166" s="49" t="str">
        <f>IF('Avg NCP'!F146&gt;0,+'Avg KWH'!F146/HOURS!E$13/'Avg NCP'!F146,"")</f>
        <v/>
      </c>
      <c r="F166" s="49" t="str">
        <f>IF('Avg NCP'!G146&gt;0,+'Avg KWH'!G146/HOURS!F$13/'Avg NCP'!G146,"")</f>
        <v/>
      </c>
      <c r="G166" s="49" t="str">
        <f>IF('Avg NCP'!H146&gt;0,+'Avg KWH'!H146/HOURS!G$13/'Avg NCP'!H146,"")</f>
        <v/>
      </c>
      <c r="H166" s="49" t="str">
        <f>IF('Avg NCP'!I146&gt;0,+'Avg KWH'!I146/HOURS!H$13/'Avg NCP'!I146,"")</f>
        <v/>
      </c>
      <c r="I166" s="49" t="str">
        <f>IF('Avg NCP'!J146&gt;0,+'Avg KWH'!J146/HOURS!I$13/'Avg NCP'!J146,"")</f>
        <v/>
      </c>
      <c r="J166" s="49" t="str">
        <f>IF('Avg NCP'!K146&gt;0,+'Avg KWH'!K146/HOURS!J$13/'Avg NCP'!K146,"")</f>
        <v/>
      </c>
      <c r="K166" s="49" t="str">
        <f>IF('Avg NCP'!L146&gt;0,+'Avg KWH'!L146/HOURS!K$13/'Avg NCP'!L146,"")</f>
        <v/>
      </c>
      <c r="L166" s="49" t="str">
        <f>IF('Avg NCP'!M146&gt;0,+'Avg KWH'!M146/HOURS!L$13/'Avg NCP'!M146,"")</f>
        <v/>
      </c>
      <c r="M166" s="49" t="str">
        <f>IF('Avg NCP'!N146&gt;0,+'Avg KWH'!N146/HOURS!M$13/'Avg NCP'!N146,"")</f>
        <v/>
      </c>
    </row>
    <row r="167" spans="1:16">
      <c r="A167" s="43"/>
      <c r="B167" s="49" t="str">
        <f>IF('Avg NCP'!C147&gt;0,+'Avg KWH'!C147/HOURS!B$13/'Avg NCP'!C147,"")</f>
        <v/>
      </c>
      <c r="C167" s="49" t="str">
        <f>IF('Avg NCP'!D147&gt;0,+'Avg KWH'!D147/HOURS!C$13/'Avg NCP'!D147,"")</f>
        <v/>
      </c>
      <c r="D167" s="49" t="str">
        <f>IF('Avg NCP'!E147&gt;0,+'Avg KWH'!E147/HOURS!D$13/'Avg NCP'!E147,"")</f>
        <v/>
      </c>
      <c r="E167" s="49" t="str">
        <f>IF('Avg NCP'!F147&gt;0,+'Avg KWH'!F147/HOURS!E$13/'Avg NCP'!F147,"")</f>
        <v/>
      </c>
      <c r="F167" s="49" t="str">
        <f>IF('Avg NCP'!G147&gt;0,+'Avg KWH'!G147/HOURS!F$13/'Avg NCP'!G147,"")</f>
        <v/>
      </c>
      <c r="G167" s="49" t="str">
        <f>IF('Avg NCP'!H147&gt;0,+'Avg KWH'!H147/HOURS!G$13/'Avg NCP'!H147,"")</f>
        <v/>
      </c>
      <c r="H167" s="49" t="str">
        <f>IF('Avg NCP'!I147&gt;0,+'Avg KWH'!I147/HOURS!H$13/'Avg NCP'!I147,"")</f>
        <v/>
      </c>
      <c r="I167" s="49" t="str">
        <f>IF('Avg NCP'!J147&gt;0,+'Avg KWH'!J147/HOURS!I$13/'Avg NCP'!J147,"")</f>
        <v/>
      </c>
      <c r="J167" s="49" t="str">
        <f>IF('Avg NCP'!K147&gt;0,+'Avg KWH'!K147/HOURS!J$13/'Avg NCP'!K147,"")</f>
        <v/>
      </c>
      <c r="K167" s="49" t="str">
        <f>IF('Avg NCP'!L147&gt;0,+'Avg KWH'!L147/HOURS!K$13/'Avg NCP'!L147,"")</f>
        <v/>
      </c>
      <c r="L167" s="49" t="str">
        <f>IF('Avg NCP'!M147&gt;0,+'Avg KWH'!M147/HOURS!L$13/'Avg NCP'!M147,"")</f>
        <v/>
      </c>
      <c r="M167" s="49" t="str">
        <f>IF('Avg NCP'!N147&gt;0,+'Avg KWH'!N147/HOURS!M$13/'Avg NCP'!N147,"")</f>
        <v/>
      </c>
    </row>
    <row r="168" spans="1:16">
      <c r="A168" s="43"/>
      <c r="B168" s="49" t="str">
        <f>IF('Avg NCP'!C148&gt;0,+'Avg KWH'!C148/HOURS!B$13/'Avg NCP'!C148,"")</f>
        <v/>
      </c>
      <c r="C168" s="49" t="str">
        <f>IF('Avg NCP'!D148&gt;0,+'Avg KWH'!D148/HOURS!C$13/'Avg NCP'!D148,"")</f>
        <v/>
      </c>
      <c r="D168" s="49" t="str">
        <f>IF('Avg NCP'!E148&gt;0,+'Avg KWH'!E148/HOURS!D$13/'Avg NCP'!E148,"")</f>
        <v/>
      </c>
      <c r="E168" s="49" t="str">
        <f>IF('Avg NCP'!F148&gt;0,+'Avg KWH'!F148/HOURS!E$13/'Avg NCP'!F148,"")</f>
        <v/>
      </c>
      <c r="F168" s="49" t="str">
        <f>IF('Avg NCP'!G148&gt;0,+'Avg KWH'!G148/HOURS!F$13/'Avg NCP'!G148,"")</f>
        <v/>
      </c>
      <c r="G168" s="49" t="str">
        <f>IF('Avg NCP'!H148&gt;0,+'Avg KWH'!H148/HOURS!G$13/'Avg NCP'!H148,"")</f>
        <v/>
      </c>
      <c r="H168" s="49" t="str">
        <f>IF('Avg NCP'!I148&gt;0,+'Avg KWH'!I148/HOURS!H$13/'Avg NCP'!I148,"")</f>
        <v/>
      </c>
      <c r="I168" s="49" t="str">
        <f>IF('Avg NCP'!J148&gt;0,+'Avg KWH'!J148/HOURS!I$13/'Avg NCP'!J148,"")</f>
        <v/>
      </c>
      <c r="J168" s="49" t="str">
        <f>IF('Avg NCP'!K148&gt;0,+'Avg KWH'!K148/HOURS!J$13/'Avg NCP'!K148,"")</f>
        <v/>
      </c>
      <c r="K168" s="49" t="str">
        <f>IF('Avg NCP'!L148&gt;0,+'Avg KWH'!L148/HOURS!K$13/'Avg NCP'!L148,"")</f>
        <v/>
      </c>
      <c r="L168" s="49" t="str">
        <f>IF('Avg NCP'!M148&gt;0,+'Avg KWH'!M148/HOURS!L$13/'Avg NCP'!M148,"")</f>
        <v/>
      </c>
      <c r="M168" s="49" t="str">
        <f>IF('Avg NCP'!N148&gt;0,+'Avg KWH'!N148/HOURS!M$13/'Avg NCP'!N148,"")</f>
        <v/>
      </c>
    </row>
    <row r="169" spans="1:16">
      <c r="A169" s="43"/>
      <c r="B169" s="49" t="str">
        <f>IF('Avg NCP'!C149&gt;0,+'Avg KWH'!C149/HOURS!B$13/'Avg NCP'!C149,"")</f>
        <v/>
      </c>
      <c r="C169" s="49" t="str">
        <f>IF('Avg NCP'!D149&gt;0,+'Avg KWH'!D149/HOURS!C$13/'Avg NCP'!D149,"")</f>
        <v/>
      </c>
      <c r="D169" s="49" t="str">
        <f>IF('Avg NCP'!E149&gt;0,+'Avg KWH'!E149/HOURS!D$13/'Avg NCP'!E149,"")</f>
        <v/>
      </c>
      <c r="E169" s="49" t="str">
        <f>IF('Avg NCP'!F149&gt;0,+'Avg KWH'!F149/HOURS!E$13/'Avg NCP'!F149,"")</f>
        <v/>
      </c>
      <c r="F169" s="49" t="str">
        <f>IF('Avg NCP'!G149&gt;0,+'Avg KWH'!G149/HOURS!F$13/'Avg NCP'!G149,"")</f>
        <v/>
      </c>
      <c r="G169" s="49" t="str">
        <f>IF('Avg NCP'!H149&gt;0,+'Avg KWH'!H149/HOURS!G$13/'Avg NCP'!H149,"")</f>
        <v/>
      </c>
      <c r="H169" s="49" t="str">
        <f>IF('Avg NCP'!I149&gt;0,+'Avg KWH'!I149/HOURS!H$13/'Avg NCP'!I149,"")</f>
        <v/>
      </c>
      <c r="I169" s="49" t="str">
        <f>IF('Avg NCP'!J149&gt;0,+'Avg KWH'!J149/HOURS!I$13/'Avg NCP'!J149,"")</f>
        <v/>
      </c>
      <c r="J169" s="49" t="str">
        <f>IF('Avg NCP'!K149&gt;0,+'Avg KWH'!K149/HOURS!J$13/'Avg NCP'!K149,"")</f>
        <v/>
      </c>
      <c r="K169" s="49" t="str">
        <f>IF('Avg NCP'!L149&gt;0,+'Avg KWH'!L149/HOURS!K$13/'Avg NCP'!L149,"")</f>
        <v/>
      </c>
      <c r="L169" s="49" t="str">
        <f>IF('Avg NCP'!M149&gt;0,+'Avg KWH'!M149/HOURS!L$13/'Avg NCP'!M149,"")</f>
        <v/>
      </c>
      <c r="M169" s="49" t="str">
        <f>IF('Avg NCP'!N149&gt;0,+'Avg KWH'!N149/HOURS!M$13/'Avg NCP'!N149,"")</f>
        <v/>
      </c>
    </row>
    <row r="170" spans="1:16">
      <c r="A170" s="43"/>
      <c r="B170" s="49" t="str">
        <f>IF('Avg NCP'!C150&gt;0,+'Avg KWH'!C150/HOURS!B$13/'Avg NCP'!C150,"")</f>
        <v/>
      </c>
      <c r="C170" s="49" t="str">
        <f>IF('Avg NCP'!D150&gt;0,+'Avg KWH'!D150/HOURS!C$13/'Avg NCP'!D150,"")</f>
        <v/>
      </c>
      <c r="D170" s="49" t="str">
        <f>IF('Avg NCP'!E150&gt;0,+'Avg KWH'!E150/HOURS!D$13/'Avg NCP'!E150,"")</f>
        <v/>
      </c>
      <c r="E170" s="49" t="str">
        <f>IF('Avg NCP'!F150&gt;0,+'Avg KWH'!F150/HOURS!E$13/'Avg NCP'!F150,"")</f>
        <v/>
      </c>
      <c r="F170" s="49" t="str">
        <f>IF('Avg NCP'!G150&gt;0,+'Avg KWH'!G150/HOURS!F$13/'Avg NCP'!G150,"")</f>
        <v/>
      </c>
      <c r="G170" s="49" t="str">
        <f>IF('Avg NCP'!H150&gt;0,+'Avg KWH'!H150/HOURS!G$13/'Avg NCP'!H150,"")</f>
        <v/>
      </c>
      <c r="H170" s="49" t="str">
        <f>IF('Avg NCP'!I150&gt;0,+'Avg KWH'!I150/HOURS!H$13/'Avg NCP'!I150,"")</f>
        <v/>
      </c>
      <c r="I170" s="49" t="str">
        <f>IF('Avg NCP'!J150&gt;0,+'Avg KWH'!J150/HOURS!I$13/'Avg NCP'!J150,"")</f>
        <v/>
      </c>
      <c r="J170" s="49" t="str">
        <f>IF('Avg NCP'!K150&gt;0,+'Avg KWH'!K150/HOURS!J$13/'Avg NCP'!K150,"")</f>
        <v/>
      </c>
      <c r="K170" s="49" t="str">
        <f>IF('Avg NCP'!L150&gt;0,+'Avg KWH'!L150/HOURS!K$13/'Avg NCP'!L150,"")</f>
        <v/>
      </c>
      <c r="L170" s="49" t="str">
        <f>IF('Avg NCP'!M150&gt;0,+'Avg KWH'!M150/HOURS!L$13/'Avg NCP'!M150,"")</f>
        <v/>
      </c>
      <c r="M170" s="49" t="str">
        <f>IF('Avg NCP'!N150&gt;0,+'Avg KWH'!N150/HOURS!M$13/'Avg NCP'!N150,"")</f>
        <v/>
      </c>
    </row>
    <row r="171" spans="1:16">
      <c r="B171" s="11"/>
      <c r="C171" s="11"/>
      <c r="D171" s="11"/>
      <c r="E171" s="11"/>
      <c r="F171" s="11"/>
      <c r="G171" s="11"/>
      <c r="H171" s="11"/>
      <c r="I171" s="11"/>
      <c r="J171" s="11"/>
      <c r="K171" s="11"/>
      <c r="L171" s="11"/>
      <c r="M171" s="11"/>
    </row>
    <row r="172" spans="1:16">
      <c r="B172" s="11"/>
      <c r="C172" s="11"/>
      <c r="D172" s="11"/>
      <c r="E172" s="11"/>
      <c r="F172" s="11"/>
      <c r="G172" s="11"/>
      <c r="H172" s="11"/>
      <c r="I172" s="11"/>
      <c r="J172" s="11"/>
      <c r="K172" s="11"/>
      <c r="L172" s="11"/>
      <c r="M172" s="11"/>
    </row>
    <row r="173" spans="1:16">
      <c r="A173" s="42"/>
    </row>
    <row r="174" spans="1:16" ht="409.6">
      <c r="A174" s="43"/>
      <c r="B174" s="49" t="str">
        <f>IF('Avg NCP'!C154&gt;0,+'Avg KWH'!C154/HOURS!B$13/'Avg NCP'!C154,"")</f>
        <v/>
      </c>
      <c r="C174" s="49" t="str">
        <f>IF('Avg NCP'!D154&gt;0,+'Avg KWH'!D154/HOURS!C$13/'Avg NCP'!D154,"")</f>
        <v/>
      </c>
      <c r="D174" s="49" t="str">
        <f>IF('Avg NCP'!E154&gt;0,+'Avg KWH'!E154/HOURS!D$13/'Avg NCP'!E154,"")</f>
        <v/>
      </c>
      <c r="E174" s="49" t="str">
        <f>IF('Avg NCP'!F154&gt;0,+'Avg KWH'!F154/HOURS!E$13/'Avg NCP'!F154,"")</f>
        <v/>
      </c>
      <c r="F174" s="49" t="str">
        <f>IF('Avg NCP'!G154&gt;0,+'Avg KWH'!G154/HOURS!F$13/'Avg NCP'!G154,"")</f>
        <v/>
      </c>
      <c r="G174" s="49" t="str">
        <f>IF('Avg NCP'!H154&gt;0,+'Avg KWH'!H154/HOURS!G$13/'Avg NCP'!H154,"")</f>
        <v/>
      </c>
      <c r="H174" s="49" t="str">
        <f>IF('Avg NCP'!I154&gt;0,+'Avg KWH'!I154/HOURS!H$13/'Avg NCP'!I154,"")</f>
        <v/>
      </c>
      <c r="I174" s="49" t="str">
        <f>IF('Avg NCP'!J154&gt;0,+'Avg KWH'!J154/HOURS!I$13/'Avg NCP'!J154,"")</f>
        <v/>
      </c>
      <c r="J174" s="49" t="str">
        <f>IF('Avg NCP'!K154&gt;0,+'Avg KWH'!K154/HOURS!J$13/'Avg NCP'!K154,"")</f>
        <v/>
      </c>
      <c r="K174" s="49" t="str">
        <f>IF('Avg NCP'!L154&gt;0,+'Avg KWH'!L154/HOURS!K$13/'Avg NCP'!L154,"")</f>
        <v/>
      </c>
      <c r="L174" s="49" t="str">
        <f>IF('Avg NCP'!M154&gt;0,+'Avg KWH'!M154/HOURS!L$13/'Avg NCP'!M154,"")</f>
        <v/>
      </c>
      <c r="M174" s="49" t="str">
        <f>IF('Avg NCP'!N154&gt;0,+'Avg KWH'!N154/HOURS!M$13/'Avg NCP'!N154,"")</f>
        <v/>
      </c>
    </row>
    <row r="175" spans="1:16" ht="409.6">
      <c r="A175" s="43"/>
      <c r="B175" s="49" t="str">
        <f>IF('Avg NCP'!C155&gt;0,+'Avg KWH'!C155/HOURS!B$13/'Avg NCP'!C155,"")</f>
        <v/>
      </c>
      <c r="C175" s="49" t="str">
        <f>IF('Avg NCP'!D155&gt;0,+'Avg KWH'!D155/HOURS!C$13/'Avg NCP'!D155,"")</f>
        <v/>
      </c>
      <c r="D175" s="49" t="str">
        <f>IF('Avg NCP'!E155&gt;0,+'Avg KWH'!E155/HOURS!D$13/'Avg NCP'!E155,"")</f>
        <v/>
      </c>
      <c r="E175" s="49" t="str">
        <f>IF('Avg NCP'!F155&gt;0,+'Avg KWH'!F155/HOURS!E$13/'Avg NCP'!F155,"")</f>
        <v/>
      </c>
      <c r="F175" s="49" t="str">
        <f>IF('Avg NCP'!G155&gt;0,+'Avg KWH'!G155/HOURS!F$13/'Avg NCP'!G155,"")</f>
        <v/>
      </c>
      <c r="G175" s="49" t="str">
        <f>IF('Avg NCP'!H155&gt;0,+'Avg KWH'!H155/HOURS!G$13/'Avg NCP'!H155,"")</f>
        <v/>
      </c>
      <c r="H175" s="49" t="str">
        <f>IF('Avg NCP'!I155&gt;0,+'Avg KWH'!I155/HOURS!H$13/'Avg NCP'!I155,"")</f>
        <v/>
      </c>
      <c r="I175" s="49" t="str">
        <f>IF('Avg NCP'!J155&gt;0,+'Avg KWH'!J155/HOURS!I$13/'Avg NCP'!J155,"")</f>
        <v/>
      </c>
      <c r="J175" s="49" t="str">
        <f>IF('Avg NCP'!K155&gt;0,+'Avg KWH'!K155/HOURS!J$13/'Avg NCP'!K155,"")</f>
        <v/>
      </c>
      <c r="K175" s="49" t="str">
        <f>IF('Avg NCP'!L155&gt;0,+'Avg KWH'!L155/HOURS!K$13/'Avg NCP'!L155,"")</f>
        <v/>
      </c>
      <c r="L175" s="49" t="str">
        <f>IF('Avg NCP'!M155&gt;0,+'Avg KWH'!M155/HOURS!L$13/'Avg NCP'!M155,"")</f>
        <v/>
      </c>
      <c r="M175" s="49" t="str">
        <f>IF('Avg NCP'!N155&gt;0,+'Avg KWH'!N155/HOURS!M$13/'Avg NCP'!N155,"")</f>
        <v/>
      </c>
    </row>
    <row r="176" spans="1:16">
      <c r="A176" s="43"/>
      <c r="B176" s="49" t="str">
        <f>IF('Avg NCP'!C156&gt;0,+'Avg KWH'!C156/HOURS!B$13/'Avg NCP'!C156,"")</f>
        <v/>
      </c>
      <c r="C176" s="49" t="str">
        <f>IF('Avg NCP'!D156&gt;0,+'Avg KWH'!D156/HOURS!C$13/'Avg NCP'!D156,"")</f>
        <v/>
      </c>
      <c r="D176" s="49" t="str">
        <f>IF('Avg NCP'!E156&gt;0,+'Avg KWH'!E156/HOURS!D$13/'Avg NCP'!E156,"")</f>
        <v/>
      </c>
      <c r="E176" s="49" t="str">
        <f>IF('Avg NCP'!F156&gt;0,+'Avg KWH'!F156/HOURS!E$13/'Avg NCP'!F156,"")</f>
        <v/>
      </c>
      <c r="F176" s="49" t="str">
        <f>IF('Avg NCP'!G156&gt;0,+'Avg KWH'!G156/HOURS!F$13/'Avg NCP'!G156,"")</f>
        <v/>
      </c>
      <c r="G176" s="49" t="str">
        <f>IF('Avg NCP'!H156&gt;0,+'Avg KWH'!H156/HOURS!G$13/'Avg NCP'!H156,"")</f>
        <v/>
      </c>
      <c r="H176" s="49" t="str">
        <f>IF('Avg NCP'!I156&gt;0,+'Avg KWH'!I156/HOURS!H$13/'Avg NCP'!I156,"")</f>
        <v/>
      </c>
      <c r="I176" s="49" t="str">
        <f>IF('Avg NCP'!J156&gt;0,+'Avg KWH'!J156/HOURS!I$13/'Avg NCP'!J156,"")</f>
        <v/>
      </c>
      <c r="J176" s="49" t="str">
        <f>IF('Avg NCP'!K156&gt;0,+'Avg KWH'!K156/HOURS!J$13/'Avg NCP'!K156,"")</f>
        <v/>
      </c>
      <c r="K176" s="49" t="str">
        <f>IF('Avg NCP'!L156&gt;0,+'Avg KWH'!L156/HOURS!K$13/'Avg NCP'!L156,"")</f>
        <v/>
      </c>
      <c r="L176" s="49" t="str">
        <f>IF('Avg NCP'!M156&gt;0,+'Avg KWH'!M156/HOURS!L$13/'Avg NCP'!M156,"")</f>
        <v/>
      </c>
      <c r="M176" s="49" t="str">
        <f>IF('Avg NCP'!N156&gt;0,+'Avg KWH'!N156/HOURS!M$13/'Avg NCP'!N156,"")</f>
        <v/>
      </c>
    </row>
  </sheetData>
  <mergeCells count="8">
    <mergeCell ref="B89:P89"/>
    <mergeCell ref="B88:P88"/>
    <mergeCell ref="B131:P131"/>
    <mergeCell ref="B4:P4"/>
    <mergeCell ref="B5:P5"/>
    <mergeCell ref="B46:P46"/>
    <mergeCell ref="B47:P47"/>
    <mergeCell ref="B130:P130"/>
  </mergeCells>
  <phoneticPr fontId="9" type="noConversion"/>
  <printOptions horizontalCentered="1"/>
  <pageMargins left="0" right="0" top="0.5" bottom="0.5" header="0.5" footer="0.5"/>
  <pageSetup scale="1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0000"/>
    <pageSetUpPr fitToPage="1"/>
  </sheetPr>
  <dimension ref="A1:N34"/>
  <sheetViews>
    <sheetView showGridLines="0" zoomScale="75" zoomScaleNormal="75" workbookViewId="0">
      <selection activeCell="A2" sqref="A1:A2"/>
    </sheetView>
  </sheetViews>
  <sheetFormatPr defaultRowHeight="13.2"/>
  <cols>
    <col min="1" max="1" width="15.44140625" style="50" customWidth="1"/>
    <col min="2" max="14" width="12.6640625" customWidth="1"/>
  </cols>
  <sheetData>
    <row r="1" spans="1:14" s="8" customFormat="1">
      <c r="A1" s="8" t="s">
        <v>1317</v>
      </c>
    </row>
    <row r="2" spans="1:14" s="8" customFormat="1">
      <c r="A2" s="8" t="s">
        <v>1267</v>
      </c>
    </row>
    <row r="3" spans="1:14" s="8" customFormat="1">
      <c r="A3" s="558"/>
    </row>
    <row r="4" spans="1:14" ht="21">
      <c r="A4" s="611" t="s">
        <v>100</v>
      </c>
      <c r="B4" s="611"/>
      <c r="C4" s="611"/>
      <c r="D4" s="611"/>
      <c r="E4" s="611"/>
      <c r="F4" s="611"/>
      <c r="G4" s="611"/>
      <c r="H4" s="611"/>
      <c r="I4" s="611"/>
      <c r="J4" s="611"/>
      <c r="K4" s="611"/>
      <c r="L4" s="611"/>
      <c r="M4" s="611"/>
      <c r="N4" s="611"/>
    </row>
    <row r="5" spans="1:14">
      <c r="A5" s="612" t="s">
        <v>92</v>
      </c>
      <c r="B5" s="612"/>
      <c r="C5" s="612"/>
      <c r="D5" s="612"/>
      <c r="E5" s="612"/>
      <c r="F5" s="612"/>
      <c r="G5" s="612"/>
      <c r="H5" s="612"/>
      <c r="I5" s="612"/>
      <c r="J5" s="612"/>
      <c r="K5" s="612"/>
      <c r="L5" s="612"/>
      <c r="M5" s="612"/>
      <c r="N5" s="612"/>
    </row>
    <row r="6" spans="1:14" ht="13.8" thickBot="1">
      <c r="A6" s="13"/>
      <c r="B6" s="13"/>
      <c r="C6" s="13"/>
      <c r="D6" s="13"/>
      <c r="E6" s="13"/>
      <c r="F6" s="13"/>
      <c r="G6" s="13"/>
      <c r="H6" s="13"/>
      <c r="I6" s="13"/>
      <c r="J6" s="13"/>
      <c r="K6" s="13"/>
      <c r="L6" s="13"/>
      <c r="M6" s="13"/>
      <c r="N6" s="13"/>
    </row>
    <row r="7" spans="1:14">
      <c r="B7" s="14"/>
      <c r="C7" s="15"/>
      <c r="D7" s="16"/>
      <c r="E7" s="17"/>
      <c r="F7" s="18"/>
      <c r="G7" s="19"/>
      <c r="H7" s="20"/>
      <c r="I7" s="21"/>
      <c r="J7" s="22"/>
      <c r="K7" s="23"/>
      <c r="L7" s="24"/>
      <c r="M7" s="25"/>
      <c r="N7" s="26"/>
    </row>
    <row r="8" spans="1:14" ht="13.8" thickBot="1">
      <c r="B8" s="28" t="s">
        <v>70</v>
      </c>
      <c r="C8" s="29" t="s">
        <v>71</v>
      </c>
      <c r="D8" s="30" t="s">
        <v>72</v>
      </c>
      <c r="E8" s="31" t="s">
        <v>73</v>
      </c>
      <c r="F8" s="32" t="s">
        <v>74</v>
      </c>
      <c r="G8" s="33" t="s">
        <v>75</v>
      </c>
      <c r="H8" s="34" t="s">
        <v>76</v>
      </c>
      <c r="I8" s="35" t="s">
        <v>77</v>
      </c>
      <c r="J8" s="36" t="s">
        <v>78</v>
      </c>
      <c r="K8" s="37" t="s">
        <v>79</v>
      </c>
      <c r="L8" s="38" t="s">
        <v>80</v>
      </c>
      <c r="M8" s="39" t="s">
        <v>81</v>
      </c>
      <c r="N8" s="40" t="s">
        <v>60</v>
      </c>
    </row>
    <row r="9" spans="1:14" hidden="1">
      <c r="B9" s="321">
        <v>1</v>
      </c>
      <c r="C9" s="322">
        <v>2</v>
      </c>
      <c r="D9" s="323">
        <v>3</v>
      </c>
      <c r="E9" s="321">
        <v>4</v>
      </c>
      <c r="F9" s="322">
        <v>5</v>
      </c>
      <c r="G9" s="323">
        <v>6</v>
      </c>
      <c r="H9" s="321">
        <v>7</v>
      </c>
      <c r="I9" s="322">
        <v>8</v>
      </c>
      <c r="J9" s="323">
        <v>9</v>
      </c>
      <c r="K9" s="321">
        <v>10</v>
      </c>
      <c r="L9" s="322">
        <v>11</v>
      </c>
      <c r="M9" s="323">
        <v>12</v>
      </c>
      <c r="N9" s="321">
        <v>13</v>
      </c>
    </row>
    <row r="11" spans="1:14">
      <c r="B11" s="51"/>
    </row>
    <row r="12" spans="1:14">
      <c r="A12" s="50">
        <v>2012</v>
      </c>
      <c r="B12" s="251">
        <f>DAY(DATE($A12,B$9+1,1)-1)*24</f>
        <v>744</v>
      </c>
      <c r="C12" s="251">
        <f t="shared" ref="C12:M14" si="0">DAY(DATE($A12,C$9+1,1)-1)*24</f>
        <v>696</v>
      </c>
      <c r="D12" s="251">
        <f t="shared" si="0"/>
        <v>744</v>
      </c>
      <c r="E12" s="251">
        <f t="shared" si="0"/>
        <v>720</v>
      </c>
      <c r="F12" s="251">
        <f t="shared" si="0"/>
        <v>744</v>
      </c>
      <c r="G12" s="251">
        <f t="shared" si="0"/>
        <v>720</v>
      </c>
      <c r="H12" s="251">
        <f t="shared" si="0"/>
        <v>744</v>
      </c>
      <c r="I12" s="251">
        <f t="shared" si="0"/>
        <v>744</v>
      </c>
      <c r="J12" s="251">
        <f t="shared" si="0"/>
        <v>720</v>
      </c>
      <c r="K12" s="251">
        <f t="shared" si="0"/>
        <v>744</v>
      </c>
      <c r="L12" s="251">
        <f t="shared" si="0"/>
        <v>720</v>
      </c>
      <c r="M12" s="251">
        <f t="shared" si="0"/>
        <v>744</v>
      </c>
      <c r="N12" s="11">
        <f>SUM(B12:M12)</f>
        <v>8784</v>
      </c>
    </row>
    <row r="13" spans="1:14">
      <c r="A13" s="50">
        <v>2013</v>
      </c>
      <c r="B13" s="251">
        <f t="shared" ref="B13:B14" si="1">DAY(DATE($A13,B$9+1,1)-1)*24</f>
        <v>744</v>
      </c>
      <c r="C13" s="251">
        <f t="shared" si="0"/>
        <v>672</v>
      </c>
      <c r="D13" s="251">
        <f t="shared" si="0"/>
        <v>744</v>
      </c>
      <c r="E13" s="251">
        <f t="shared" si="0"/>
        <v>720</v>
      </c>
      <c r="F13" s="251">
        <f t="shared" si="0"/>
        <v>744</v>
      </c>
      <c r="G13" s="251">
        <f t="shared" si="0"/>
        <v>720</v>
      </c>
      <c r="H13" s="251">
        <f t="shared" si="0"/>
        <v>744</v>
      </c>
      <c r="I13" s="251">
        <f t="shared" si="0"/>
        <v>744</v>
      </c>
      <c r="J13" s="251">
        <f t="shared" si="0"/>
        <v>720</v>
      </c>
      <c r="K13" s="251">
        <f t="shared" si="0"/>
        <v>744</v>
      </c>
      <c r="L13" s="251">
        <f t="shared" si="0"/>
        <v>720</v>
      </c>
      <c r="M13" s="251">
        <f t="shared" si="0"/>
        <v>744</v>
      </c>
      <c r="N13" s="11">
        <f>SUM(B13:M13)</f>
        <v>8760</v>
      </c>
    </row>
    <row r="14" spans="1:14">
      <c r="A14" s="50">
        <v>2014</v>
      </c>
      <c r="B14" s="251">
        <f t="shared" si="1"/>
        <v>744</v>
      </c>
      <c r="C14" s="251">
        <f t="shared" si="0"/>
        <v>672</v>
      </c>
      <c r="D14" s="251">
        <f t="shared" si="0"/>
        <v>744</v>
      </c>
      <c r="E14" s="251">
        <f t="shared" si="0"/>
        <v>720</v>
      </c>
      <c r="F14" s="251">
        <f t="shared" si="0"/>
        <v>744</v>
      </c>
      <c r="G14" s="251">
        <f t="shared" si="0"/>
        <v>720</v>
      </c>
      <c r="H14" s="251">
        <f t="shared" si="0"/>
        <v>744</v>
      </c>
      <c r="I14" s="251">
        <f t="shared" si="0"/>
        <v>744</v>
      </c>
      <c r="J14" s="251">
        <f t="shared" si="0"/>
        <v>720</v>
      </c>
      <c r="K14" s="251">
        <f t="shared" si="0"/>
        <v>744</v>
      </c>
      <c r="L14" s="251">
        <f t="shared" si="0"/>
        <v>720</v>
      </c>
      <c r="M14" s="251">
        <f t="shared" si="0"/>
        <v>744</v>
      </c>
      <c r="N14" s="11">
        <f>SUM(B14:M14)</f>
        <v>8760</v>
      </c>
    </row>
    <row r="15" spans="1:14" ht="13.8" thickBot="1">
      <c r="A15" s="50" t="s">
        <v>420</v>
      </c>
      <c r="B15" s="143">
        <f t="shared" ref="B15:M15" si="2">AVERAGE(B12:B14)</f>
        <v>744</v>
      </c>
      <c r="C15" s="143">
        <f t="shared" si="2"/>
        <v>680</v>
      </c>
      <c r="D15" s="143">
        <f t="shared" si="2"/>
        <v>744</v>
      </c>
      <c r="E15" s="143">
        <f t="shared" si="2"/>
        <v>720</v>
      </c>
      <c r="F15" s="143">
        <f t="shared" si="2"/>
        <v>744</v>
      </c>
      <c r="G15" s="143">
        <f t="shared" si="2"/>
        <v>720</v>
      </c>
      <c r="H15" s="143">
        <f t="shared" si="2"/>
        <v>744</v>
      </c>
      <c r="I15" s="143">
        <f>AVERAGE(I12:I14)</f>
        <v>744</v>
      </c>
      <c r="J15" s="143">
        <f t="shared" si="2"/>
        <v>720</v>
      </c>
      <c r="K15" s="143">
        <f t="shared" si="2"/>
        <v>744</v>
      </c>
      <c r="L15" s="143">
        <f t="shared" si="2"/>
        <v>720</v>
      </c>
      <c r="M15" s="143">
        <f t="shared" si="2"/>
        <v>744</v>
      </c>
      <c r="N15" s="144">
        <f>SUM(B15:M15)</f>
        <v>8768</v>
      </c>
    </row>
    <row r="16" spans="1:14" ht="13.8" thickTop="1">
      <c r="B16" s="11"/>
      <c r="C16" s="11"/>
      <c r="D16" s="11"/>
      <c r="E16" s="11"/>
      <c r="F16" s="11"/>
      <c r="G16" s="11"/>
      <c r="H16" s="11"/>
      <c r="I16" s="11"/>
      <c r="J16" s="11"/>
      <c r="K16" s="11"/>
      <c r="L16" s="11"/>
      <c r="M16" s="11"/>
      <c r="N16" s="11"/>
    </row>
    <row r="17" spans="1:14">
      <c r="A17" s="50">
        <v>2015</v>
      </c>
      <c r="B17" s="251">
        <f>DAY(DATE($A17,B$9+1,1)-1)*24</f>
        <v>744</v>
      </c>
      <c r="C17" s="251">
        <f t="shared" ref="C17:M20" si="3">DAY(DATE($A17,C$9+1,1)-1)*24</f>
        <v>672</v>
      </c>
      <c r="D17" s="251">
        <f t="shared" si="3"/>
        <v>744</v>
      </c>
      <c r="E17" s="251">
        <f t="shared" si="3"/>
        <v>720</v>
      </c>
      <c r="F17" s="251">
        <f t="shared" si="3"/>
        <v>744</v>
      </c>
      <c r="G17" s="251">
        <f t="shared" si="3"/>
        <v>720</v>
      </c>
      <c r="H17" s="251">
        <f t="shared" si="3"/>
        <v>744</v>
      </c>
      <c r="I17" s="251">
        <f t="shared" si="3"/>
        <v>744</v>
      </c>
      <c r="J17" s="251">
        <f t="shared" si="3"/>
        <v>720</v>
      </c>
      <c r="K17" s="251">
        <f t="shared" si="3"/>
        <v>744</v>
      </c>
      <c r="L17" s="251">
        <f t="shared" si="3"/>
        <v>720</v>
      </c>
      <c r="M17" s="251">
        <f t="shared" si="3"/>
        <v>744</v>
      </c>
      <c r="N17" s="11">
        <f>SUM(B17:M17)</f>
        <v>8760</v>
      </c>
    </row>
    <row r="18" spans="1:14">
      <c r="A18" s="50">
        <v>2016</v>
      </c>
      <c r="B18" s="251">
        <f t="shared" ref="B18:B19" si="4">DAY(DATE($A18,B$9+1,1)-1)*24</f>
        <v>744</v>
      </c>
      <c r="C18" s="251">
        <f t="shared" si="3"/>
        <v>696</v>
      </c>
      <c r="D18" s="251">
        <f t="shared" si="3"/>
        <v>744</v>
      </c>
      <c r="E18" s="251">
        <f t="shared" si="3"/>
        <v>720</v>
      </c>
      <c r="F18" s="251">
        <f t="shared" si="3"/>
        <v>744</v>
      </c>
      <c r="G18" s="251">
        <f t="shared" si="3"/>
        <v>720</v>
      </c>
      <c r="H18" s="251">
        <f t="shared" si="3"/>
        <v>744</v>
      </c>
      <c r="I18" s="251">
        <f t="shared" si="3"/>
        <v>744</v>
      </c>
      <c r="J18" s="251">
        <f t="shared" si="3"/>
        <v>720</v>
      </c>
      <c r="K18" s="251">
        <f t="shared" si="3"/>
        <v>744</v>
      </c>
      <c r="L18" s="251">
        <f t="shared" si="3"/>
        <v>720</v>
      </c>
      <c r="M18" s="251">
        <f t="shared" si="3"/>
        <v>744</v>
      </c>
      <c r="N18" s="11">
        <f>SUM(B18:M18)</f>
        <v>8784</v>
      </c>
    </row>
    <row r="19" spans="1:14">
      <c r="A19" s="50">
        <v>2017</v>
      </c>
      <c r="B19" s="251">
        <f t="shared" si="4"/>
        <v>744</v>
      </c>
      <c r="C19" s="251">
        <f t="shared" si="3"/>
        <v>672</v>
      </c>
      <c r="D19" s="251">
        <f t="shared" si="3"/>
        <v>744</v>
      </c>
      <c r="E19" s="251">
        <f t="shared" si="3"/>
        <v>720</v>
      </c>
      <c r="F19" s="251">
        <f t="shared" si="3"/>
        <v>744</v>
      </c>
      <c r="G19" s="251">
        <f t="shared" si="3"/>
        <v>720</v>
      </c>
      <c r="H19" s="251">
        <f t="shared" si="3"/>
        <v>744</v>
      </c>
      <c r="I19" s="251">
        <f t="shared" si="3"/>
        <v>744</v>
      </c>
      <c r="J19" s="251">
        <f t="shared" si="3"/>
        <v>720</v>
      </c>
      <c r="K19" s="251">
        <f t="shared" si="3"/>
        <v>744</v>
      </c>
      <c r="L19" s="251">
        <f t="shared" si="3"/>
        <v>720</v>
      </c>
      <c r="M19" s="251">
        <f t="shared" si="3"/>
        <v>744</v>
      </c>
      <c r="N19" s="11">
        <f>SUM(B19:M19)</f>
        <v>8760</v>
      </c>
    </row>
    <row r="20" spans="1:14">
      <c r="A20" s="50">
        <v>2018</v>
      </c>
      <c r="B20" s="251">
        <f>DAY(DATE($A20,B$9+1,1)-1)*24</f>
        <v>744</v>
      </c>
      <c r="C20" s="251">
        <f t="shared" si="3"/>
        <v>672</v>
      </c>
      <c r="D20" s="251">
        <f t="shared" si="3"/>
        <v>744</v>
      </c>
      <c r="E20" s="251">
        <f t="shared" si="3"/>
        <v>720</v>
      </c>
      <c r="F20" s="251">
        <f t="shared" si="3"/>
        <v>744</v>
      </c>
      <c r="G20" s="251">
        <f t="shared" si="3"/>
        <v>720</v>
      </c>
      <c r="H20" s="251">
        <f t="shared" si="3"/>
        <v>744</v>
      </c>
      <c r="I20" s="251">
        <f t="shared" si="3"/>
        <v>744</v>
      </c>
      <c r="J20" s="251">
        <f t="shared" si="3"/>
        <v>720</v>
      </c>
      <c r="K20" s="251">
        <f t="shared" si="3"/>
        <v>744</v>
      </c>
      <c r="L20" s="251">
        <f t="shared" si="3"/>
        <v>720</v>
      </c>
      <c r="M20" s="251">
        <f t="shared" si="3"/>
        <v>744</v>
      </c>
      <c r="N20" s="11">
        <f>SUM(B20:M20)</f>
        <v>8760</v>
      </c>
    </row>
    <row r="26" spans="1:14">
      <c r="A26" s="79" t="s">
        <v>101</v>
      </c>
    </row>
    <row r="27" spans="1:14">
      <c r="A27" s="86" t="s">
        <v>332</v>
      </c>
    </row>
    <row r="29" spans="1:14">
      <c r="D29" s="251"/>
      <c r="F29" s="85"/>
      <c r="G29" s="85"/>
    </row>
    <row r="33" spans="2:2">
      <c r="B33" s="1"/>
    </row>
    <row r="34" spans="2:2">
      <c r="B34" s="1"/>
    </row>
  </sheetData>
  <mergeCells count="2">
    <mergeCell ref="A4:N4"/>
    <mergeCell ref="A5:N5"/>
  </mergeCells>
  <phoneticPr fontId="9" type="noConversion"/>
  <printOptions horizontalCentered="1"/>
  <pageMargins left="0" right="0" top="0.5" bottom="0.5" header="0.5" footer="0.5"/>
  <pageSetup scale="73"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FF0000"/>
  </sheetPr>
  <dimension ref="A1:U151"/>
  <sheetViews>
    <sheetView showGridLines="0" zoomScale="75" zoomScaleNormal="75" workbookViewId="0">
      <selection activeCell="A2" sqref="A1:A2"/>
    </sheetView>
  </sheetViews>
  <sheetFormatPr defaultRowHeight="13.2"/>
  <cols>
    <col min="1" max="1" width="21.44140625" customWidth="1"/>
    <col min="2" max="2" width="20.88671875" customWidth="1"/>
    <col min="3" max="14" width="12" customWidth="1"/>
    <col min="15" max="15" width="13.109375" bestFit="1" customWidth="1"/>
    <col min="16" max="16" width="12" bestFit="1" customWidth="1"/>
    <col min="21" max="21" width="22.44140625" customWidth="1"/>
    <col min="22" max="22" width="10.88671875" bestFit="1" customWidth="1"/>
  </cols>
  <sheetData>
    <row r="1" spans="1:16" s="8" customFormat="1">
      <c r="A1" s="8" t="s">
        <v>1318</v>
      </c>
    </row>
    <row r="2" spans="1:16" s="8" customFormat="1">
      <c r="A2" s="8" t="s">
        <v>1267</v>
      </c>
    </row>
    <row r="3" spans="1:16" s="8" customFormat="1"/>
    <row r="4" spans="1:16" ht="21">
      <c r="B4" s="611" t="s">
        <v>91</v>
      </c>
      <c r="C4" s="611"/>
      <c r="D4" s="611"/>
      <c r="E4" s="611"/>
      <c r="F4" s="611"/>
      <c r="G4" s="611"/>
      <c r="H4" s="611"/>
      <c r="I4" s="611"/>
      <c r="J4" s="611"/>
      <c r="K4" s="611"/>
      <c r="L4" s="611"/>
      <c r="M4" s="611"/>
      <c r="N4" s="611"/>
      <c r="O4" s="611"/>
      <c r="P4" s="611"/>
    </row>
    <row r="5" spans="1:16">
      <c r="B5" s="612" t="s">
        <v>89</v>
      </c>
      <c r="C5" s="612"/>
      <c r="D5" s="612"/>
      <c r="E5" s="612"/>
      <c r="F5" s="612"/>
      <c r="G5" s="612"/>
      <c r="H5" s="612"/>
      <c r="I5" s="612"/>
      <c r="J5" s="612"/>
      <c r="K5" s="612"/>
      <c r="L5" s="612"/>
      <c r="M5" s="612"/>
      <c r="N5" s="612"/>
      <c r="O5" s="612"/>
      <c r="P5" s="612"/>
    </row>
    <row r="6" spans="1:16" ht="13.8" thickBot="1">
      <c r="B6" s="13"/>
      <c r="C6" s="13"/>
      <c r="D6" s="13"/>
      <c r="E6" s="13"/>
      <c r="F6" s="13"/>
      <c r="G6" s="13"/>
      <c r="H6" s="13"/>
      <c r="I6" s="13"/>
      <c r="J6" s="13"/>
      <c r="K6" s="13"/>
      <c r="L6" s="13"/>
      <c r="M6" s="13"/>
      <c r="N6" s="13"/>
      <c r="O6" s="13"/>
      <c r="P6" s="13"/>
    </row>
    <row r="7" spans="1:16">
      <c r="C7" s="14"/>
      <c r="D7" s="15"/>
      <c r="E7" s="16"/>
      <c r="F7" s="17"/>
      <c r="G7" s="18"/>
      <c r="H7" s="19"/>
      <c r="I7" s="20"/>
      <c r="J7" s="21"/>
      <c r="K7" s="22"/>
      <c r="L7" s="23"/>
      <c r="M7" s="24"/>
      <c r="N7" s="25"/>
      <c r="O7" s="26"/>
      <c r="P7" s="27" t="s">
        <v>82</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v>3</v>
      </c>
      <c r="E9">
        <v>4</v>
      </c>
      <c r="F9">
        <v>5</v>
      </c>
      <c r="G9">
        <v>6</v>
      </c>
      <c r="H9">
        <v>7</v>
      </c>
      <c r="I9">
        <v>8</v>
      </c>
      <c r="J9">
        <v>9</v>
      </c>
      <c r="K9">
        <v>10</v>
      </c>
      <c r="L9">
        <v>11</v>
      </c>
      <c r="M9">
        <v>12</v>
      </c>
      <c r="N9">
        <v>13</v>
      </c>
    </row>
    <row r="11" spans="1:16">
      <c r="B11" s="42" t="s">
        <v>83</v>
      </c>
    </row>
    <row r="12" spans="1:16">
      <c r="A12" s="43" t="s">
        <v>98</v>
      </c>
      <c r="B12" s="43" t="s">
        <v>84</v>
      </c>
      <c r="C12" s="48">
        <f>AVERAGE(VLOOKUP($B12,$B$48:$P$73,C$9,FALSE),VLOOKUP($B12,$B$83:$N$108,C$9,FALSE),VLOOKUP($B12,$B$125:$N$151,C$9,FALSE))</f>
        <v>332313.66666666669</v>
      </c>
      <c r="D12" s="48">
        <f t="shared" ref="C12:N21" si="0">AVERAGE(VLOOKUP($B12,$B$48:$P$73,D$9,FALSE),VLOOKUP($B12,$B$83:$N$108,D$9,FALSE),VLOOKUP($B12,$B$125:$N$151,D$9,FALSE))</f>
        <v>369368.66666666669</v>
      </c>
      <c r="E12" s="48">
        <f t="shared" si="0"/>
        <v>305458</v>
      </c>
      <c r="F12" s="48">
        <f t="shared" si="0"/>
        <v>357644</v>
      </c>
      <c r="G12" s="48">
        <f t="shared" si="0"/>
        <v>344092.66666666669</v>
      </c>
      <c r="H12" s="48">
        <f t="shared" si="0"/>
        <v>372206.66666666669</v>
      </c>
      <c r="I12" s="48">
        <f t="shared" si="0"/>
        <v>356349.33333333331</v>
      </c>
      <c r="J12" s="48">
        <f t="shared" si="0"/>
        <v>364025</v>
      </c>
      <c r="K12" s="48">
        <f t="shared" si="0"/>
        <v>374945.33333333331</v>
      </c>
      <c r="L12" s="48">
        <f t="shared" si="0"/>
        <v>352725.66666666669</v>
      </c>
      <c r="M12" s="48">
        <f t="shared" si="0"/>
        <v>361066</v>
      </c>
      <c r="N12" s="48">
        <f t="shared" si="0"/>
        <v>336866.66666666669</v>
      </c>
      <c r="O12" s="44">
        <f t="shared" ref="O12:O28" si="1">SUM(C12:N12)</f>
        <v>4227061.666666667</v>
      </c>
      <c r="P12" s="11">
        <f t="shared" ref="P12:P28" si="2">+O12/12</f>
        <v>352255.13888888893</v>
      </c>
    </row>
    <row r="13" spans="1:16">
      <c r="A13" s="43" t="s">
        <v>99</v>
      </c>
      <c r="B13" s="43" t="s">
        <v>85</v>
      </c>
      <c r="C13" s="48">
        <f t="shared" si="0"/>
        <v>22729</v>
      </c>
      <c r="D13" s="48">
        <f t="shared" si="0"/>
        <v>24828.666666666668</v>
      </c>
      <c r="E13" s="48">
        <f t="shared" si="0"/>
        <v>20799.333333333332</v>
      </c>
      <c r="F13" s="48">
        <f t="shared" si="0"/>
        <v>24229</v>
      </c>
      <c r="G13" s="48">
        <f t="shared" si="0"/>
        <v>21418</v>
      </c>
      <c r="H13" s="48">
        <f t="shared" si="0"/>
        <v>23061.333333333332</v>
      </c>
      <c r="I13" s="48">
        <f t="shared" si="0"/>
        <v>22025</v>
      </c>
      <c r="J13" s="48">
        <f t="shared" si="0"/>
        <v>22367</v>
      </c>
      <c r="K13" s="48">
        <f t="shared" si="0"/>
        <v>22825.666666666668</v>
      </c>
      <c r="L13" s="48">
        <f t="shared" si="0"/>
        <v>21756</v>
      </c>
      <c r="M13" s="48">
        <f t="shared" si="0"/>
        <v>21365.333333333332</v>
      </c>
      <c r="N13" s="48">
        <f t="shared" si="0"/>
        <v>20000</v>
      </c>
      <c r="O13" s="44">
        <f t="shared" si="1"/>
        <v>267404.33333333337</v>
      </c>
      <c r="P13" s="11">
        <f t="shared" si="2"/>
        <v>22283.694444444449</v>
      </c>
    </row>
    <row r="14" spans="1:16">
      <c r="A14" s="43" t="s">
        <v>50</v>
      </c>
      <c r="B14" s="43" t="s">
        <v>50</v>
      </c>
      <c r="C14" s="48">
        <f t="shared" si="0"/>
        <v>146104.66666666666</v>
      </c>
      <c r="D14" s="48">
        <f t="shared" si="0"/>
        <v>152075.33333333334</v>
      </c>
      <c r="E14" s="48">
        <f t="shared" si="0"/>
        <v>160446</v>
      </c>
      <c r="F14" s="48">
        <f t="shared" si="0"/>
        <v>151075.66666666666</v>
      </c>
      <c r="G14" s="48">
        <f t="shared" si="0"/>
        <v>172611</v>
      </c>
      <c r="H14" s="48">
        <f t="shared" si="0"/>
        <v>161140</v>
      </c>
      <c r="I14" s="48">
        <f t="shared" si="0"/>
        <v>166130.33333333334</v>
      </c>
      <c r="J14" s="48">
        <f t="shared" si="0"/>
        <v>167224.66666666666</v>
      </c>
      <c r="K14" s="48">
        <f t="shared" si="0"/>
        <v>157995.33333333334</v>
      </c>
      <c r="L14" s="48">
        <f t="shared" si="0"/>
        <v>164406.66666666666</v>
      </c>
      <c r="M14" s="48">
        <f t="shared" si="0"/>
        <v>163090.66666666666</v>
      </c>
      <c r="N14" s="48">
        <f t="shared" si="0"/>
        <v>158908</v>
      </c>
      <c r="O14" s="44">
        <f t="shared" si="1"/>
        <v>1921208.3333333335</v>
      </c>
      <c r="P14" s="11">
        <f t="shared" si="2"/>
        <v>160100.69444444447</v>
      </c>
    </row>
    <row r="15" spans="1:16">
      <c r="A15" s="43" t="s">
        <v>49</v>
      </c>
      <c r="B15" s="43" t="s">
        <v>49</v>
      </c>
      <c r="C15" s="48">
        <f t="shared" si="0"/>
        <v>641372.66666666663</v>
      </c>
      <c r="D15" s="48">
        <f t="shared" si="0"/>
        <v>1080195.3333333333</v>
      </c>
      <c r="E15" s="48">
        <f t="shared" si="0"/>
        <v>629371.33333333337</v>
      </c>
      <c r="F15" s="48">
        <f t="shared" si="0"/>
        <v>1047952.3333333334</v>
      </c>
      <c r="G15" s="48">
        <f t="shared" si="0"/>
        <v>1103162.6666666667</v>
      </c>
      <c r="H15" s="48">
        <f t="shared" si="0"/>
        <v>1278787.3333333333</v>
      </c>
      <c r="I15" s="48">
        <f t="shared" si="0"/>
        <v>1233323.6666666667</v>
      </c>
      <c r="J15" s="48">
        <f t="shared" si="0"/>
        <v>1177295.6666666667</v>
      </c>
      <c r="K15" s="48">
        <f t="shared" si="0"/>
        <v>1156843.3333333333</v>
      </c>
      <c r="L15" s="48">
        <f t="shared" si="0"/>
        <v>1085621.6666666667</v>
      </c>
      <c r="M15" s="48">
        <f t="shared" si="0"/>
        <v>1024511.6666666666</v>
      </c>
      <c r="N15" s="48">
        <f t="shared" si="0"/>
        <v>830039.66666666663</v>
      </c>
      <c r="O15" s="44">
        <f t="shared" si="1"/>
        <v>12288477.333333332</v>
      </c>
      <c r="P15" s="11">
        <f t="shared" si="2"/>
        <v>1024039.7777777776</v>
      </c>
    </row>
    <row r="16" spans="1:16">
      <c r="A16" s="46" t="s">
        <v>325</v>
      </c>
      <c r="B16" s="46" t="s">
        <v>325</v>
      </c>
      <c r="C16" s="48">
        <f t="shared" si="0"/>
        <v>5787.333333333333</v>
      </c>
      <c r="D16" s="48">
        <f t="shared" si="0"/>
        <v>5946.333333333333</v>
      </c>
      <c r="E16" s="48">
        <f t="shared" si="0"/>
        <v>5254.666666666667</v>
      </c>
      <c r="F16" s="48">
        <f t="shared" si="0"/>
        <v>5430.333333333333</v>
      </c>
      <c r="G16" s="48">
        <f t="shared" si="0"/>
        <v>5523.666666666667</v>
      </c>
      <c r="H16" s="48">
        <f t="shared" si="0"/>
        <v>6736</v>
      </c>
      <c r="I16" s="48">
        <f t="shared" si="0"/>
        <v>6773.666666666667</v>
      </c>
      <c r="J16" s="48">
        <f t="shared" si="0"/>
        <v>6277</v>
      </c>
      <c r="K16" s="48">
        <f t="shared" si="0"/>
        <v>6424</v>
      </c>
      <c r="L16" s="48">
        <f t="shared" si="0"/>
        <v>4273</v>
      </c>
      <c r="M16" s="48">
        <f t="shared" si="0"/>
        <v>4379.333333333333</v>
      </c>
      <c r="N16" s="48">
        <f t="shared" si="0"/>
        <v>4269.666666666667</v>
      </c>
      <c r="O16" s="44">
        <f t="shared" si="1"/>
        <v>67075</v>
      </c>
      <c r="P16" s="11">
        <f t="shared" si="2"/>
        <v>5589.583333333333</v>
      </c>
    </row>
    <row r="17" spans="1:16">
      <c r="A17" s="43" t="s">
        <v>67</v>
      </c>
      <c r="B17" s="43" t="s">
        <v>67</v>
      </c>
      <c r="C17" s="48">
        <f t="shared" si="0"/>
        <v>2841382.6666666665</v>
      </c>
      <c r="D17" s="48">
        <f t="shared" si="0"/>
        <v>3786498</v>
      </c>
      <c r="E17" s="48">
        <f t="shared" si="0"/>
        <v>2780337</v>
      </c>
      <c r="F17" s="48">
        <f t="shared" si="0"/>
        <v>3635852.3333333335</v>
      </c>
      <c r="G17" s="48">
        <f t="shared" si="0"/>
        <v>3787447</v>
      </c>
      <c r="H17" s="48">
        <f t="shared" si="0"/>
        <v>4139206.6666666665</v>
      </c>
      <c r="I17" s="48">
        <f t="shared" si="0"/>
        <v>4079722.6666666665</v>
      </c>
      <c r="J17" s="48">
        <f t="shared" si="0"/>
        <v>4107811</v>
      </c>
      <c r="K17" s="48">
        <f t="shared" si="0"/>
        <v>4252315</v>
      </c>
      <c r="L17" s="48">
        <f t="shared" si="0"/>
        <v>4043472.3333333335</v>
      </c>
      <c r="M17" s="48">
        <f t="shared" si="0"/>
        <v>3929388</v>
      </c>
      <c r="N17" s="48">
        <f t="shared" si="0"/>
        <v>3384917</v>
      </c>
      <c r="O17" s="44">
        <f t="shared" si="1"/>
        <v>44768349.666666672</v>
      </c>
      <c r="P17" s="11">
        <f t="shared" si="2"/>
        <v>3730695.805555556</v>
      </c>
    </row>
    <row r="18" spans="1:16">
      <c r="A18" s="43" t="s">
        <v>68</v>
      </c>
      <c r="B18" s="43" t="s">
        <v>68</v>
      </c>
      <c r="C18" s="48">
        <f t="shared" si="0"/>
        <v>1261424.6666666667</v>
      </c>
      <c r="D18" s="48">
        <f t="shared" si="0"/>
        <v>1654719</v>
      </c>
      <c r="E18" s="48">
        <f t="shared" si="0"/>
        <v>1231174.3333333333</v>
      </c>
      <c r="F18" s="48">
        <f t="shared" si="0"/>
        <v>1523892</v>
      </c>
      <c r="G18" s="48">
        <f t="shared" si="0"/>
        <v>1571762.3333333333</v>
      </c>
      <c r="H18" s="48">
        <f t="shared" si="0"/>
        <v>1702833.6666666667</v>
      </c>
      <c r="I18" s="48">
        <f t="shared" si="0"/>
        <v>1636746</v>
      </c>
      <c r="J18" s="48">
        <f t="shared" si="0"/>
        <v>1658614</v>
      </c>
      <c r="K18" s="48">
        <f t="shared" si="0"/>
        <v>1664582</v>
      </c>
      <c r="L18" s="48">
        <f t="shared" si="0"/>
        <v>1742295.6666666667</v>
      </c>
      <c r="M18" s="48">
        <f t="shared" si="0"/>
        <v>1610562</v>
      </c>
      <c r="N18" s="48">
        <f t="shared" si="0"/>
        <v>1404656.3333333333</v>
      </c>
      <c r="O18" s="44">
        <f t="shared" si="1"/>
        <v>18663261.999999996</v>
      </c>
      <c r="P18" s="11">
        <f t="shared" si="2"/>
        <v>1555271.833333333</v>
      </c>
    </row>
    <row r="19" spans="1:16">
      <c r="A19" s="43" t="s">
        <v>69</v>
      </c>
      <c r="B19" s="43" t="s">
        <v>69</v>
      </c>
      <c r="C19" s="48">
        <f t="shared" si="0"/>
        <v>260907.66666666666</v>
      </c>
      <c r="D19" s="48">
        <f t="shared" si="0"/>
        <v>329829.66666666669</v>
      </c>
      <c r="E19" s="48">
        <f t="shared" si="0"/>
        <v>266252</v>
      </c>
      <c r="F19" s="48">
        <f t="shared" si="0"/>
        <v>295425</v>
      </c>
      <c r="G19" s="48">
        <f t="shared" si="0"/>
        <v>298623.66666666669</v>
      </c>
      <c r="H19" s="48">
        <f t="shared" si="0"/>
        <v>325160</v>
      </c>
      <c r="I19" s="48">
        <f t="shared" si="0"/>
        <v>314880.66666666669</v>
      </c>
      <c r="J19" s="48">
        <f t="shared" si="0"/>
        <v>324988.33333333331</v>
      </c>
      <c r="K19" s="48">
        <f t="shared" si="0"/>
        <v>330938</v>
      </c>
      <c r="L19" s="48">
        <f t="shared" si="0"/>
        <v>320614</v>
      </c>
      <c r="M19" s="48">
        <f t="shared" si="0"/>
        <v>333097.33333333331</v>
      </c>
      <c r="N19" s="48">
        <f t="shared" si="0"/>
        <v>301563.66666666669</v>
      </c>
      <c r="O19" s="44">
        <f t="shared" si="1"/>
        <v>3702280.0000000005</v>
      </c>
      <c r="P19" s="11">
        <f t="shared" si="2"/>
        <v>308523.33333333337</v>
      </c>
    </row>
    <row r="20" spans="1:16">
      <c r="A20" s="43" t="s">
        <v>52</v>
      </c>
      <c r="B20" s="43" t="s">
        <v>52</v>
      </c>
      <c r="C20" s="48">
        <f t="shared" si="0"/>
        <v>21080.333333333332</v>
      </c>
      <c r="D20" s="48">
        <f t="shared" si="0"/>
        <v>20539.666666666668</v>
      </c>
      <c r="E20" s="48">
        <f t="shared" si="0"/>
        <v>21612.333333333332</v>
      </c>
      <c r="F20" s="48">
        <f t="shared" si="0"/>
        <v>24872</v>
      </c>
      <c r="G20" s="48">
        <f t="shared" si="0"/>
        <v>21485.333333333332</v>
      </c>
      <c r="H20" s="48">
        <f t="shared" si="0"/>
        <v>19161.666666666668</v>
      </c>
      <c r="I20" s="48">
        <f t="shared" si="0"/>
        <v>19640.666666666668</v>
      </c>
      <c r="J20" s="48">
        <f t="shared" si="0"/>
        <v>21956.666666666668</v>
      </c>
      <c r="K20" s="48">
        <f t="shared" si="0"/>
        <v>17685.333333333332</v>
      </c>
      <c r="L20" s="48">
        <f t="shared" si="0"/>
        <v>20227.333333333332</v>
      </c>
      <c r="M20" s="48">
        <f t="shared" si="0"/>
        <v>17431</v>
      </c>
      <c r="N20" s="48">
        <f t="shared" si="0"/>
        <v>18256.333333333332</v>
      </c>
      <c r="O20" s="44">
        <f t="shared" si="1"/>
        <v>243948.66666666669</v>
      </c>
      <c r="P20" s="11">
        <f t="shared" si="2"/>
        <v>20329.055555555558</v>
      </c>
    </row>
    <row r="21" spans="1:16">
      <c r="A21" s="206" t="s">
        <v>15</v>
      </c>
      <c r="B21" s="206" t="s">
        <v>15</v>
      </c>
      <c r="C21" s="48">
        <f t="shared" si="0"/>
        <v>12782.333333333334</v>
      </c>
      <c r="D21" s="48">
        <f t="shared" si="0"/>
        <v>12271</v>
      </c>
      <c r="E21" s="48">
        <f t="shared" si="0"/>
        <v>11673.666666666666</v>
      </c>
      <c r="F21" s="48">
        <f t="shared" si="0"/>
        <v>13480.666666666666</v>
      </c>
      <c r="G21" s="48">
        <f t="shared" si="0"/>
        <v>14119.333333333334</v>
      </c>
      <c r="H21" s="48">
        <f t="shared" si="0"/>
        <v>13971.666666666666</v>
      </c>
      <c r="I21" s="48">
        <f t="shared" si="0"/>
        <v>13942.666666666666</v>
      </c>
      <c r="J21" s="48">
        <f t="shared" si="0"/>
        <v>13961.333333333334</v>
      </c>
      <c r="K21" s="48">
        <f t="shared" si="0"/>
        <v>12414.666666666666</v>
      </c>
      <c r="L21" s="48">
        <f t="shared" si="0"/>
        <v>13032.333333333334</v>
      </c>
      <c r="M21" s="48">
        <f t="shared" si="0"/>
        <v>13306</v>
      </c>
      <c r="N21" s="48">
        <f t="shared" si="0"/>
        <v>12357.666666666666</v>
      </c>
      <c r="O21" s="44">
        <f t="shared" si="1"/>
        <v>157313.33333333334</v>
      </c>
      <c r="P21" s="11">
        <f t="shared" si="2"/>
        <v>13109.444444444445</v>
      </c>
    </row>
    <row r="22" spans="1:16">
      <c r="A22" s="43" t="s">
        <v>56</v>
      </c>
      <c r="B22" s="43" t="s">
        <v>56</v>
      </c>
      <c r="C22" s="48">
        <f t="shared" ref="C22:N28" si="3">AVERAGE(VLOOKUP($B22,$B$48:$P$73,C$9,FALSE),VLOOKUP($B22,$B$83:$N$108,C$9,FALSE),VLOOKUP($B22,$B$125:$N$151,C$9,FALSE))</f>
        <v>8384.6666666666661</v>
      </c>
      <c r="D22" s="334">
        <f t="shared" si="3"/>
        <v>0</v>
      </c>
      <c r="E22" s="48">
        <f t="shared" si="3"/>
        <v>0</v>
      </c>
      <c r="F22" s="48">
        <f t="shared" si="3"/>
        <v>0</v>
      </c>
      <c r="G22" s="48">
        <f t="shared" si="3"/>
        <v>0</v>
      </c>
      <c r="H22" s="48">
        <f t="shared" si="3"/>
        <v>0</v>
      </c>
      <c r="I22" s="48">
        <f t="shared" si="3"/>
        <v>0</v>
      </c>
      <c r="J22" s="48">
        <f t="shared" si="3"/>
        <v>0</v>
      </c>
      <c r="K22" s="48">
        <f t="shared" si="3"/>
        <v>0</v>
      </c>
      <c r="L22" s="48">
        <f t="shared" si="3"/>
        <v>0</v>
      </c>
      <c r="M22" s="48">
        <f t="shared" si="3"/>
        <v>7066</v>
      </c>
      <c r="N22" s="48">
        <f t="shared" si="3"/>
        <v>6720</v>
      </c>
      <c r="O22" s="44">
        <f t="shared" si="1"/>
        <v>22170.666666666664</v>
      </c>
      <c r="P22" s="11">
        <f t="shared" si="2"/>
        <v>1847.5555555555554</v>
      </c>
    </row>
    <row r="23" spans="1:16">
      <c r="A23" s="43" t="s">
        <v>57</v>
      </c>
      <c r="B23" s="43" t="s">
        <v>57</v>
      </c>
      <c r="C23" s="48">
        <f t="shared" si="3"/>
        <v>2414</v>
      </c>
      <c r="D23" s="48">
        <f t="shared" si="3"/>
        <v>641</v>
      </c>
      <c r="E23" s="48">
        <f t="shared" si="3"/>
        <v>893.66666666666663</v>
      </c>
      <c r="F23" s="48">
        <f t="shared" si="3"/>
        <v>969</v>
      </c>
      <c r="G23" s="48">
        <f t="shared" si="3"/>
        <v>893.33333333333337</v>
      </c>
      <c r="H23" s="48">
        <f t="shared" si="3"/>
        <v>920.33333333333337</v>
      </c>
      <c r="I23" s="48">
        <f t="shared" si="3"/>
        <v>801.66666666666663</v>
      </c>
      <c r="J23" s="48">
        <f t="shared" si="3"/>
        <v>945.66666666666663</v>
      </c>
      <c r="K23" s="48">
        <f t="shared" si="3"/>
        <v>962.33333333333337</v>
      </c>
      <c r="L23" s="48">
        <f t="shared" si="3"/>
        <v>871.33333333333337</v>
      </c>
      <c r="M23" s="48">
        <f t="shared" si="3"/>
        <v>2868.3333333333335</v>
      </c>
      <c r="N23" s="48">
        <f t="shared" si="3"/>
        <v>3339.6666666666665</v>
      </c>
      <c r="O23" s="44">
        <f t="shared" si="1"/>
        <v>16520.333333333336</v>
      </c>
      <c r="P23" s="11">
        <f t="shared" si="2"/>
        <v>1376.6944444444446</v>
      </c>
    </row>
    <row r="24" spans="1:16">
      <c r="A24" s="43" t="s">
        <v>48</v>
      </c>
      <c r="B24" s="43" t="s">
        <v>48</v>
      </c>
      <c r="C24" s="48">
        <f t="shared" si="3"/>
        <v>10161393.666666666</v>
      </c>
      <c r="D24" s="48">
        <f t="shared" si="3"/>
        <v>7701526</v>
      </c>
      <c r="E24" s="48">
        <f t="shared" si="3"/>
        <v>8387848</v>
      </c>
      <c r="F24" s="48">
        <f t="shared" si="3"/>
        <v>9396136</v>
      </c>
      <c r="G24" s="48">
        <f t="shared" si="3"/>
        <v>9905572.333333334</v>
      </c>
      <c r="H24" s="48">
        <f t="shared" si="3"/>
        <v>11019735.666666666</v>
      </c>
      <c r="I24" s="48">
        <f t="shared" si="3"/>
        <v>11215808.666666666</v>
      </c>
      <c r="J24" s="48">
        <f t="shared" si="3"/>
        <v>11636662.666666666</v>
      </c>
      <c r="K24" s="48">
        <f t="shared" si="3"/>
        <v>12289314.666666666</v>
      </c>
      <c r="L24" s="48">
        <f t="shared" si="3"/>
        <v>10480687</v>
      </c>
      <c r="M24" s="48">
        <f t="shared" si="3"/>
        <v>8903154.666666666</v>
      </c>
      <c r="N24" s="48">
        <f t="shared" si="3"/>
        <v>8121198</v>
      </c>
      <c r="O24" s="44">
        <f t="shared" si="1"/>
        <v>119219037.33333334</v>
      </c>
      <c r="P24" s="11">
        <f t="shared" si="2"/>
        <v>9934919.777777778</v>
      </c>
    </row>
    <row r="25" spans="1:16">
      <c r="A25" s="43" t="s">
        <v>53</v>
      </c>
      <c r="B25" s="43" t="s">
        <v>53</v>
      </c>
      <c r="C25" s="48">
        <f t="shared" si="3"/>
        <v>41608.666666666664</v>
      </c>
      <c r="D25" s="48">
        <f t="shared" si="3"/>
        <v>0</v>
      </c>
      <c r="E25" s="48">
        <f t="shared" si="3"/>
        <v>0</v>
      </c>
      <c r="F25" s="48">
        <f t="shared" si="3"/>
        <v>0</v>
      </c>
      <c r="G25" s="48">
        <f t="shared" si="3"/>
        <v>0</v>
      </c>
      <c r="H25" s="48">
        <f t="shared" si="3"/>
        <v>0</v>
      </c>
      <c r="I25" s="48">
        <f t="shared" si="3"/>
        <v>0</v>
      </c>
      <c r="J25" s="48">
        <f t="shared" si="3"/>
        <v>0</v>
      </c>
      <c r="K25" s="48">
        <f t="shared" si="3"/>
        <v>0</v>
      </c>
      <c r="L25" s="48">
        <f t="shared" si="3"/>
        <v>0</v>
      </c>
      <c r="M25" s="48">
        <f t="shared" si="3"/>
        <v>40447.666666666664</v>
      </c>
      <c r="N25" s="48">
        <f t="shared" si="3"/>
        <v>34218</v>
      </c>
      <c r="O25" s="44">
        <f t="shared" si="1"/>
        <v>116274.33333333333</v>
      </c>
      <c r="P25" s="11">
        <f t="shared" si="2"/>
        <v>9689.5277777777774</v>
      </c>
    </row>
    <row r="26" spans="1:16">
      <c r="A26" s="43" t="s">
        <v>55</v>
      </c>
      <c r="B26" s="43" t="s">
        <v>55</v>
      </c>
      <c r="C26" s="48">
        <f t="shared" si="3"/>
        <v>3507.3333333333335</v>
      </c>
      <c r="D26" s="48">
        <f t="shared" si="3"/>
        <v>3843</v>
      </c>
      <c r="E26" s="48">
        <f t="shared" si="3"/>
        <v>3523</v>
      </c>
      <c r="F26" s="48">
        <f t="shared" si="3"/>
        <v>3637</v>
      </c>
      <c r="G26" s="48">
        <f t="shared" si="3"/>
        <v>3508</v>
      </c>
      <c r="H26" s="48">
        <f t="shared" si="3"/>
        <v>3474</v>
      </c>
      <c r="I26" s="48">
        <f t="shared" si="3"/>
        <v>3502.6666666666665</v>
      </c>
      <c r="J26" s="48">
        <f t="shared" si="3"/>
        <v>3509.6666666666665</v>
      </c>
      <c r="K26" s="48">
        <f t="shared" si="3"/>
        <v>3497</v>
      </c>
      <c r="L26" s="48">
        <f t="shared" si="3"/>
        <v>3502.6666666666665</v>
      </c>
      <c r="M26" s="48">
        <f t="shared" si="3"/>
        <v>3608.3333333333335</v>
      </c>
      <c r="N26" s="48">
        <f t="shared" si="3"/>
        <v>3514.6666666666665</v>
      </c>
      <c r="O26" s="44">
        <f t="shared" si="1"/>
        <v>42627.333333333336</v>
      </c>
      <c r="P26" s="11">
        <f t="shared" si="2"/>
        <v>3552.2777777777778</v>
      </c>
    </row>
    <row r="27" spans="1:16">
      <c r="A27" s="43" t="s">
        <v>87</v>
      </c>
      <c r="B27" s="43" t="s">
        <v>87</v>
      </c>
      <c r="C27" s="48">
        <f t="shared" si="3"/>
        <v>657.33333333333337</v>
      </c>
      <c r="D27" s="48">
        <f t="shared" si="3"/>
        <v>1164.6666666666667</v>
      </c>
      <c r="E27" s="48">
        <f t="shared" si="3"/>
        <v>2712.6666666666665</v>
      </c>
      <c r="F27" s="48">
        <f t="shared" si="3"/>
        <v>1683</v>
      </c>
      <c r="G27" s="48">
        <f t="shared" si="3"/>
        <v>1569</v>
      </c>
      <c r="H27" s="48">
        <f t="shared" si="3"/>
        <v>1674</v>
      </c>
      <c r="I27" s="48">
        <f t="shared" si="3"/>
        <v>2251</v>
      </c>
      <c r="J27" s="48">
        <f t="shared" si="3"/>
        <v>1859.3333333333333</v>
      </c>
      <c r="K27" s="48">
        <f t="shared" si="3"/>
        <v>1224</v>
      </c>
      <c r="L27" s="48">
        <f t="shared" si="3"/>
        <v>2032.3333333333333</v>
      </c>
      <c r="M27" s="48">
        <f t="shared" si="3"/>
        <v>1216.6666666666667</v>
      </c>
      <c r="N27" s="48">
        <f t="shared" si="3"/>
        <v>723.33333333333337</v>
      </c>
      <c r="O27" s="44">
        <f t="shared" si="1"/>
        <v>18767.333333333332</v>
      </c>
      <c r="P27" s="11">
        <f t="shared" si="2"/>
        <v>1563.9444444444443</v>
      </c>
    </row>
    <row r="28" spans="1:16">
      <c r="A28" s="43" t="s">
        <v>88</v>
      </c>
      <c r="B28" s="43" t="s">
        <v>88</v>
      </c>
      <c r="C28" s="48">
        <f t="shared" si="3"/>
        <v>9842</v>
      </c>
      <c r="D28" s="48">
        <f t="shared" si="3"/>
        <v>7237</v>
      </c>
      <c r="E28" s="48">
        <f t="shared" si="3"/>
        <v>4681</v>
      </c>
      <c r="F28" s="48">
        <f t="shared" si="3"/>
        <v>8131.333333333333</v>
      </c>
      <c r="G28" s="48">
        <f t="shared" si="3"/>
        <v>6126.666666666667</v>
      </c>
      <c r="H28" s="48">
        <f t="shared" si="3"/>
        <v>5272.666666666667</v>
      </c>
      <c r="I28" s="48">
        <f t="shared" si="3"/>
        <v>4247.333333333333</v>
      </c>
      <c r="J28" s="48">
        <f t="shared" si="3"/>
        <v>4796</v>
      </c>
      <c r="K28" s="48">
        <f t="shared" si="3"/>
        <v>17356.333333333332</v>
      </c>
      <c r="L28" s="48">
        <f t="shared" si="3"/>
        <v>7469.666666666667</v>
      </c>
      <c r="M28" s="48">
        <f t="shared" si="3"/>
        <v>11558</v>
      </c>
      <c r="N28" s="48">
        <f t="shared" si="3"/>
        <v>8318.3333333333339</v>
      </c>
      <c r="O28" s="44">
        <f t="shared" si="1"/>
        <v>95036.333333333328</v>
      </c>
      <c r="P28" s="11">
        <f t="shared" si="2"/>
        <v>7919.6944444444443</v>
      </c>
    </row>
    <row r="29" spans="1:16">
      <c r="C29" s="48"/>
      <c r="D29" s="48"/>
      <c r="E29" s="48"/>
      <c r="F29" s="48"/>
      <c r="G29" s="48"/>
      <c r="H29" s="48"/>
      <c r="I29" s="48"/>
      <c r="J29" s="48"/>
      <c r="K29" s="48"/>
      <c r="L29" s="48"/>
      <c r="M29" s="48"/>
      <c r="N29" s="48"/>
      <c r="O29" s="44"/>
      <c r="P29" s="11"/>
    </row>
    <row r="30" spans="1:16">
      <c r="C30" s="48"/>
      <c r="D30" s="48"/>
      <c r="E30" s="48"/>
      <c r="F30" s="48"/>
      <c r="G30" s="48"/>
      <c r="H30" s="48"/>
      <c r="I30" s="48"/>
      <c r="J30" s="48"/>
      <c r="K30" s="48"/>
      <c r="L30" s="48"/>
      <c r="M30" s="48"/>
      <c r="N30" s="48"/>
      <c r="O30" s="44"/>
      <c r="P30" s="11"/>
    </row>
    <row r="31" spans="1:16">
      <c r="B31" s="42" t="s">
        <v>86</v>
      </c>
      <c r="C31" s="10"/>
      <c r="D31" s="10"/>
      <c r="E31" s="10"/>
      <c r="F31" s="10"/>
      <c r="G31" s="10"/>
      <c r="H31" s="10"/>
      <c r="I31" s="10"/>
      <c r="J31" s="10"/>
      <c r="K31" s="10"/>
      <c r="L31" s="10"/>
      <c r="M31" s="10"/>
      <c r="N31" s="10"/>
    </row>
    <row r="32" spans="1:16">
      <c r="A32" t="s">
        <v>603</v>
      </c>
      <c r="B32" t="s">
        <v>603</v>
      </c>
      <c r="C32" s="48">
        <f>AVERAGE(VLOOKUP($B32,$B$83:$N$108,C$9,FALSE),VLOOKUP($B32,$B$125:$N$151,C$9,FALSE))</f>
        <v>5653.5</v>
      </c>
      <c r="D32" s="48">
        <f>AVERAGE(VLOOKUP($B32,$B$83:$N$108,D$9,FALSE),VLOOKUP($B32,$B$125:$N$151,D$9,FALSE))</f>
        <v>4361.5</v>
      </c>
      <c r="E32" s="48">
        <f>AVERAGE(VLOOKUP($B32,$B$83:$N$108,E$9,FALSE),VLOOKUP($B32,$B$125:$N$151,E$9,FALSE))</f>
        <v>4907.5</v>
      </c>
      <c r="F32" s="48">
        <f>AVERAGE(VLOOKUP($B32,$B$83:$N$108,F$9,FALSE),VLOOKUP($B32,$B$125:$N$151,F$9,FALSE))</f>
        <v>5416.5</v>
      </c>
      <c r="G32" s="48">
        <f t="shared" ref="G32:N34" si="4">AVERAGE(VLOOKUP($B32,$B$48:$P$73,G$9,FALSE),VLOOKUP($B32,$B$83:$N$108,G$9,FALSE),VLOOKUP($B32,$B$125:$N$151,G$9,FALSE))</f>
        <v>7295.333333333333</v>
      </c>
      <c r="H32" s="48">
        <f t="shared" si="4"/>
        <v>7527</v>
      </c>
      <c r="I32" s="48">
        <f t="shared" si="4"/>
        <v>7812.333333333333</v>
      </c>
      <c r="J32" s="48">
        <f t="shared" si="4"/>
        <v>6969</v>
      </c>
      <c r="K32" s="48">
        <f t="shared" si="4"/>
        <v>7626.666666666667</v>
      </c>
      <c r="L32" s="48">
        <f t="shared" si="4"/>
        <v>5283.333333333333</v>
      </c>
      <c r="M32" s="48">
        <f t="shared" si="4"/>
        <v>4425.333333333333</v>
      </c>
      <c r="N32" s="48">
        <f t="shared" si="4"/>
        <v>4292</v>
      </c>
      <c r="O32" s="44">
        <f t="shared" ref="O32:O38" si="5">SUM(C32:N32)</f>
        <v>71570</v>
      </c>
      <c r="P32" s="11">
        <f t="shared" ref="P32:P38" si="6">+O32/12</f>
        <v>5964.166666666667</v>
      </c>
    </row>
    <row r="33" spans="1:21">
      <c r="A33" t="s">
        <v>983</v>
      </c>
      <c r="B33" t="s">
        <v>983</v>
      </c>
      <c r="C33" s="48">
        <f t="shared" ref="C33:F34" si="7">AVERAGE(VLOOKUP($B33,$B$48:$P$73,C$9,FALSE),VLOOKUP($B33,$B$83:$N$108,C$9,FALSE),VLOOKUP($B33,$B$125:$N$151,C$9,FALSE))</f>
        <v>95737</v>
      </c>
      <c r="D33" s="48">
        <f t="shared" si="7"/>
        <v>111036.66666666667</v>
      </c>
      <c r="E33" s="48">
        <f t="shared" si="7"/>
        <v>104868</v>
      </c>
      <c r="F33" s="48">
        <f t="shared" si="7"/>
        <v>121950.33333333333</v>
      </c>
      <c r="G33" s="48">
        <f t="shared" si="4"/>
        <v>128406.66666666667</v>
      </c>
      <c r="H33" s="48">
        <f t="shared" si="4"/>
        <v>132939</v>
      </c>
      <c r="I33" s="48">
        <f t="shared" si="4"/>
        <v>147251.66666666666</v>
      </c>
      <c r="J33" s="48">
        <f t="shared" si="4"/>
        <v>142826.66666666666</v>
      </c>
      <c r="K33" s="48">
        <f t="shared" si="4"/>
        <v>131902</v>
      </c>
      <c r="L33" s="48">
        <f t="shared" si="4"/>
        <v>130460.66666666667</v>
      </c>
      <c r="M33" s="48">
        <f t="shared" si="4"/>
        <v>104594</v>
      </c>
      <c r="N33" s="48">
        <f t="shared" si="4"/>
        <v>105012.33333333333</v>
      </c>
      <c r="O33" s="44">
        <f t="shared" si="5"/>
        <v>1456985</v>
      </c>
      <c r="P33" s="11">
        <f t="shared" si="6"/>
        <v>121415.41666666667</v>
      </c>
    </row>
    <row r="34" spans="1:21">
      <c r="A34" t="s">
        <v>984</v>
      </c>
      <c r="B34" t="s">
        <v>984</v>
      </c>
      <c r="C34" s="48">
        <f t="shared" si="7"/>
        <v>385883.33333333331</v>
      </c>
      <c r="D34" s="48">
        <f t="shared" si="7"/>
        <v>304809</v>
      </c>
      <c r="E34" s="48">
        <f t="shared" si="7"/>
        <v>323651.33333333331</v>
      </c>
      <c r="F34" s="48">
        <f t="shared" si="7"/>
        <v>374216.66666666669</v>
      </c>
      <c r="G34" s="48">
        <f t="shared" si="4"/>
        <v>389368.33333333331</v>
      </c>
      <c r="H34" s="48">
        <f t="shared" si="4"/>
        <v>402372</v>
      </c>
      <c r="I34" s="48">
        <f t="shared" si="4"/>
        <v>389398</v>
      </c>
      <c r="J34" s="48">
        <f t="shared" si="4"/>
        <v>429606.33333333331</v>
      </c>
      <c r="K34" s="48">
        <f t="shared" si="4"/>
        <v>380309.66666666669</v>
      </c>
      <c r="L34" s="48">
        <f t="shared" si="4"/>
        <v>397829.66666666669</v>
      </c>
      <c r="M34" s="48">
        <f t="shared" si="4"/>
        <v>315267.33333333331</v>
      </c>
      <c r="N34" s="48">
        <f t="shared" si="4"/>
        <v>305562.33333333331</v>
      </c>
      <c r="O34" s="44">
        <f t="shared" si="5"/>
        <v>4398274</v>
      </c>
      <c r="P34" s="11">
        <f t="shared" si="6"/>
        <v>366522.83333333331</v>
      </c>
    </row>
    <row r="35" spans="1:21">
      <c r="A35" t="s">
        <v>985</v>
      </c>
      <c r="B35" t="s">
        <v>985</v>
      </c>
      <c r="C35" s="48">
        <f t="shared" ref="C35:N36" si="8">AVERAGE(VLOOKUP($B35,$B$125:$N$151,C$9,FALSE))</f>
        <v>0</v>
      </c>
      <c r="D35" s="48">
        <f t="shared" si="8"/>
        <v>30000</v>
      </c>
      <c r="E35" s="48">
        <f t="shared" si="8"/>
        <v>20000</v>
      </c>
      <c r="F35" s="48">
        <f t="shared" si="8"/>
        <v>10000</v>
      </c>
      <c r="G35" s="48">
        <f t="shared" si="8"/>
        <v>20000</v>
      </c>
      <c r="H35" s="48">
        <f t="shared" si="8"/>
        <v>35000</v>
      </c>
      <c r="I35" s="48">
        <f t="shared" si="8"/>
        <v>35000</v>
      </c>
      <c r="J35" s="48">
        <f t="shared" si="8"/>
        <v>35000</v>
      </c>
      <c r="K35" s="48">
        <f t="shared" si="8"/>
        <v>25000</v>
      </c>
      <c r="L35" s="48">
        <f t="shared" si="8"/>
        <v>20000</v>
      </c>
      <c r="M35" s="48">
        <f t="shared" si="8"/>
        <v>10000</v>
      </c>
      <c r="N35" s="48">
        <f t="shared" si="8"/>
        <v>20000</v>
      </c>
      <c r="O35" s="44">
        <f t="shared" si="5"/>
        <v>260000</v>
      </c>
      <c r="P35" s="11">
        <f t="shared" si="6"/>
        <v>21666.666666666668</v>
      </c>
    </row>
    <row r="36" spans="1:21">
      <c r="A36" t="s">
        <v>691</v>
      </c>
      <c r="B36" t="s">
        <v>691</v>
      </c>
      <c r="C36" s="48">
        <f t="shared" si="8"/>
        <v>0</v>
      </c>
      <c r="D36" s="48">
        <f t="shared" si="8"/>
        <v>0</v>
      </c>
      <c r="E36" s="48">
        <f t="shared" si="8"/>
        <v>0</v>
      </c>
      <c r="F36" s="48">
        <f t="shared" si="8"/>
        <v>0</v>
      </c>
      <c r="G36" s="48">
        <f t="shared" si="8"/>
        <v>0</v>
      </c>
      <c r="H36" s="48">
        <f t="shared" si="8"/>
        <v>200000</v>
      </c>
      <c r="I36" s="48">
        <f t="shared" si="8"/>
        <v>200000</v>
      </c>
      <c r="J36" s="48">
        <f t="shared" si="8"/>
        <v>200000</v>
      </c>
      <c r="K36" s="48">
        <f t="shared" si="8"/>
        <v>200000</v>
      </c>
      <c r="L36" s="48">
        <f t="shared" si="8"/>
        <v>200000</v>
      </c>
      <c r="M36" s="48">
        <f t="shared" si="8"/>
        <v>0</v>
      </c>
      <c r="N36" s="48">
        <f t="shared" si="8"/>
        <v>0</v>
      </c>
      <c r="O36" s="44">
        <f t="shared" si="5"/>
        <v>1000000</v>
      </c>
      <c r="P36" s="11">
        <f t="shared" si="6"/>
        <v>83333.333333333328</v>
      </c>
    </row>
    <row r="37" spans="1:21">
      <c r="A37" t="s">
        <v>724</v>
      </c>
      <c r="B37" t="s">
        <v>724</v>
      </c>
      <c r="C37" s="48">
        <f t="shared" ref="C37:N37" si="9">AVERAGE(VLOOKUP($B37,$B$48:$P$73,C$9,FALSE),VLOOKUP($B37,$B$83:$N$108,C$9,FALSE),VLOOKUP($B37,$B$125:$N$151,C$9,FALSE))</f>
        <v>11427</v>
      </c>
      <c r="D37" s="48">
        <f t="shared" si="9"/>
        <v>9430</v>
      </c>
      <c r="E37" s="48">
        <f t="shared" si="9"/>
        <v>9847.3333333333339</v>
      </c>
      <c r="F37" s="48">
        <f t="shared" si="9"/>
        <v>11232.666666666666</v>
      </c>
      <c r="G37" s="48">
        <f t="shared" si="9"/>
        <v>12548.333333333334</v>
      </c>
      <c r="H37" s="48">
        <f t="shared" si="9"/>
        <v>12253</v>
      </c>
      <c r="I37" s="48">
        <f t="shared" si="9"/>
        <v>11979</v>
      </c>
      <c r="J37" s="48">
        <f t="shared" si="9"/>
        <v>13279.333333333334</v>
      </c>
      <c r="K37" s="48">
        <f t="shared" si="9"/>
        <v>12310.666666666666</v>
      </c>
      <c r="L37" s="48">
        <f t="shared" si="9"/>
        <v>11474</v>
      </c>
      <c r="M37" s="48">
        <f t="shared" si="9"/>
        <v>9056.6666666666661</v>
      </c>
      <c r="N37" s="48">
        <f t="shared" si="9"/>
        <v>9128</v>
      </c>
      <c r="O37" s="44">
        <f t="shared" si="5"/>
        <v>133966</v>
      </c>
      <c r="P37" s="11">
        <f t="shared" si="6"/>
        <v>11163.833333333334</v>
      </c>
      <c r="U37" s="505"/>
    </row>
    <row r="38" spans="1:21">
      <c r="A38" t="s">
        <v>986</v>
      </c>
      <c r="B38" t="s">
        <v>986</v>
      </c>
      <c r="C38" s="48">
        <f t="shared" ref="C38:N38" si="10">AVERAGE(VLOOKUP($B38,$B$125:$N$151,C$9,FALSE))</f>
        <v>23000</v>
      </c>
      <c r="D38" s="48">
        <f t="shared" si="10"/>
        <v>23000</v>
      </c>
      <c r="E38" s="48">
        <f t="shared" si="10"/>
        <v>23000</v>
      </c>
      <c r="F38" s="48">
        <f t="shared" si="10"/>
        <v>23000</v>
      </c>
      <c r="G38" s="48">
        <f t="shared" si="10"/>
        <v>23000</v>
      </c>
      <c r="H38" s="48">
        <f t="shared" si="10"/>
        <v>23000</v>
      </c>
      <c r="I38" s="48">
        <f t="shared" si="10"/>
        <v>23000</v>
      </c>
      <c r="J38" s="48">
        <f t="shared" si="10"/>
        <v>23000</v>
      </c>
      <c r="K38" s="48">
        <f t="shared" si="10"/>
        <v>23000</v>
      </c>
      <c r="L38" s="48">
        <f t="shared" si="10"/>
        <v>23000</v>
      </c>
      <c r="M38" s="48">
        <f t="shared" si="10"/>
        <v>23000</v>
      </c>
      <c r="N38" s="48">
        <f t="shared" si="10"/>
        <v>23000</v>
      </c>
      <c r="O38" s="44">
        <f t="shared" si="5"/>
        <v>276000</v>
      </c>
      <c r="P38" s="11">
        <f t="shared" si="6"/>
        <v>23000</v>
      </c>
      <c r="U38" s="505"/>
    </row>
    <row r="39" spans="1:21">
      <c r="B39" s="43"/>
      <c r="U39" s="505"/>
    </row>
    <row r="40" spans="1:21" ht="21">
      <c r="B40" s="611" t="s">
        <v>91</v>
      </c>
      <c r="C40" s="611"/>
      <c r="D40" s="611"/>
      <c r="E40" s="611"/>
      <c r="F40" s="611"/>
      <c r="G40" s="611"/>
      <c r="H40" s="611"/>
      <c r="I40" s="611"/>
      <c r="J40" s="611"/>
      <c r="K40" s="611"/>
      <c r="L40" s="611"/>
      <c r="M40" s="611"/>
      <c r="N40" s="611"/>
      <c r="O40" s="611"/>
      <c r="P40" s="611"/>
      <c r="U40" s="505"/>
    </row>
    <row r="41" spans="1:21" ht="17.399999999999999">
      <c r="B41" s="610" t="str">
        <f>+MANUAL!$B$5 &amp;" as Calculated by LodeStar Except as Noted"</f>
        <v>2012 as Calculated by LodeStar Except as Noted</v>
      </c>
      <c r="C41" s="610"/>
      <c r="D41" s="610"/>
      <c r="E41" s="610"/>
      <c r="F41" s="610"/>
      <c r="G41" s="610"/>
      <c r="H41" s="610"/>
      <c r="I41" s="610"/>
      <c r="J41" s="610"/>
      <c r="K41" s="610"/>
      <c r="L41" s="610"/>
      <c r="M41" s="610"/>
      <c r="N41" s="610"/>
      <c r="O41" s="610"/>
      <c r="P41" s="610"/>
      <c r="U41" s="505"/>
    </row>
    <row r="42" spans="1:21" ht="13.8" thickBot="1">
      <c r="B42" s="84"/>
      <c r="C42" s="84"/>
      <c r="D42" s="84"/>
      <c r="E42" s="84"/>
      <c r="F42" s="84"/>
      <c r="G42" s="84"/>
      <c r="H42" s="84"/>
      <c r="I42" s="84"/>
      <c r="J42" s="84"/>
      <c r="K42" s="84"/>
      <c r="L42" s="84"/>
      <c r="M42" s="84"/>
      <c r="N42" s="84"/>
      <c r="O42" s="84"/>
      <c r="P42" s="84"/>
      <c r="U42" s="505"/>
    </row>
    <row r="43" spans="1:21" ht="409.6">
      <c r="C43" s="14"/>
      <c r="D43" s="15"/>
      <c r="E43" s="16"/>
      <c r="F43" s="17"/>
      <c r="G43" s="18"/>
      <c r="H43" s="19"/>
      <c r="I43" s="20"/>
      <c r="J43" s="21"/>
      <c r="K43" s="22"/>
      <c r="L43" s="23"/>
      <c r="M43" s="24"/>
      <c r="N43" s="25"/>
      <c r="O43" s="26"/>
      <c r="P43" s="27" t="s">
        <v>82</v>
      </c>
      <c r="U43" s="505"/>
    </row>
    <row r="44" spans="1:21" ht="13.8" thickBot="1">
      <c r="C44" s="28" t="s">
        <v>70</v>
      </c>
      <c r="D44" s="29" t="s">
        <v>71</v>
      </c>
      <c r="E44" s="30" t="s">
        <v>72</v>
      </c>
      <c r="F44" s="31" t="s">
        <v>73</v>
      </c>
      <c r="G44" s="32" t="s">
        <v>74</v>
      </c>
      <c r="H44" s="33" t="s">
        <v>75</v>
      </c>
      <c r="I44" s="34" t="s">
        <v>76</v>
      </c>
      <c r="J44" s="35" t="s">
        <v>77</v>
      </c>
      <c r="K44" s="36" t="s">
        <v>78</v>
      </c>
      <c r="L44" s="37" t="s">
        <v>79</v>
      </c>
      <c r="M44" s="38" t="s">
        <v>80</v>
      </c>
      <c r="N44" s="39" t="s">
        <v>81</v>
      </c>
      <c r="O44" s="40" t="s">
        <v>60</v>
      </c>
      <c r="P44" s="41" t="s">
        <v>82</v>
      </c>
      <c r="U44" s="150"/>
    </row>
    <row r="45" spans="1:21" hidden="1">
      <c r="C45">
        <v>4</v>
      </c>
      <c r="D45">
        <f>C45+1</f>
        <v>5</v>
      </c>
      <c r="E45">
        <f t="shared" ref="E45:N45" si="11">D45+1</f>
        <v>6</v>
      </c>
      <c r="F45">
        <f t="shared" si="11"/>
        <v>7</v>
      </c>
      <c r="G45">
        <f t="shared" si="11"/>
        <v>8</v>
      </c>
      <c r="H45">
        <f t="shared" si="11"/>
        <v>9</v>
      </c>
      <c r="I45">
        <f t="shared" si="11"/>
        <v>10</v>
      </c>
      <c r="J45">
        <f t="shared" si="11"/>
        <v>11</v>
      </c>
      <c r="K45">
        <f t="shared" si="11"/>
        <v>12</v>
      </c>
      <c r="L45">
        <f t="shared" si="11"/>
        <v>13</v>
      </c>
      <c r="M45">
        <f t="shared" si="11"/>
        <v>14</v>
      </c>
      <c r="N45">
        <f t="shared" si="11"/>
        <v>15</v>
      </c>
    </row>
    <row r="47" spans="1:21">
      <c r="B47" s="42" t="s">
        <v>83</v>
      </c>
    </row>
    <row r="48" spans="1:21">
      <c r="A48" t="s">
        <v>122</v>
      </c>
      <c r="B48" s="43" t="s">
        <v>84</v>
      </c>
      <c r="C48" s="82">
        <f>VLOOKUP($A48&amp;"CP",'E11 - 2012 09 Final'!$A$46:$P$2419,$C$45,FALSE)</f>
        <v>320760</v>
      </c>
      <c r="D48" s="82">
        <f>VLOOKUP($A48&amp;"CP",'E11 - 2012 09 Final'!$A$46:$P$2419,$D$45,FALSE)</f>
        <v>351450</v>
      </c>
      <c r="E48" s="82">
        <f>VLOOKUP($A48&amp;"CP",'E11 - 2012 09 Final'!$A$46:$P$2419,$E$45,FALSE)</f>
        <v>337471</v>
      </c>
      <c r="F48" s="82">
        <f>VLOOKUP($A48&amp;"CP",'E11 - 2012 09 Final'!$A$46:$P$2419,$F$45,FALSE)</f>
        <v>372802</v>
      </c>
      <c r="G48" s="82">
        <f>VLOOKUP($A48&amp;"CP",'E11 - 2012 09 Final'!$A$46:$P$2419,$G$45,FALSE)</f>
        <v>354874</v>
      </c>
      <c r="H48" s="82">
        <f>VLOOKUP($A48&amp;"CP",'E11 - 2012 09 Final'!$A$46:$P$2419,$H$45,FALSE)</f>
        <v>375001</v>
      </c>
      <c r="I48" s="82">
        <f>VLOOKUP($A48&amp;"CP",'E11 - 2012 09 Final'!$A$46:$P$2419,$I$45,FALSE)</f>
        <v>366211</v>
      </c>
      <c r="J48" s="82">
        <f>VLOOKUP($A48&amp;"CP",'E11 - 2012 09 Final'!$A$46:$P$2419,$J$45,FALSE)</f>
        <v>370238</v>
      </c>
      <c r="K48" s="82">
        <f>VLOOKUP($A48&amp;"CP",'E11 - 2012 09 Final'!$A$46:$P$2419,$K$45,FALSE)</f>
        <v>352792</v>
      </c>
      <c r="L48" s="82">
        <f>VLOOKUP($A48&amp;"CP",'E11 - 2012 09 Final'!$A$46:$P$2419,$L$45,FALSE)</f>
        <v>359733</v>
      </c>
      <c r="M48" s="82">
        <f>VLOOKUP($A48&amp;"CP",'E11 - 2012 09 Final'!$A$46:$P$2419,$M$45,FALSE)</f>
        <v>346795</v>
      </c>
      <c r="N48" s="82">
        <f>VLOOKUP($A48&amp;"CP",'E11 - 2012 09 Final'!$A$46:$P$2419,$N$45,FALSE)</f>
        <v>349867</v>
      </c>
      <c r="O48" s="44">
        <f t="shared" ref="O48:O64" si="12">SUM(C48:N48)</f>
        <v>4257994</v>
      </c>
      <c r="P48" s="11">
        <f t="shared" ref="P48:P64" si="13">+O48/12</f>
        <v>354832.83333333331</v>
      </c>
    </row>
    <row r="49" spans="1:16">
      <c r="A49" t="s">
        <v>177</v>
      </c>
      <c r="B49" s="43" t="s">
        <v>85</v>
      </c>
      <c r="C49" s="82">
        <f>VLOOKUP($A49&amp;"CP",'E11 - 2012 09 Final'!$A$46:$P$2419,$C$45,FALSE)</f>
        <v>21883</v>
      </c>
      <c r="D49" s="82">
        <f>VLOOKUP($A49&amp;"CP",'E11 - 2012 09 Final'!$A$46:$P$2419,$D$45,FALSE)</f>
        <v>23575</v>
      </c>
      <c r="E49" s="82">
        <f>VLOOKUP($A49&amp;"CP",'E11 - 2012 09 Final'!$A$46:$P$2419,$E$45,FALSE)</f>
        <v>22290</v>
      </c>
      <c r="F49" s="82">
        <f>VLOOKUP($A49&amp;"CP",'E11 - 2012 09 Final'!$A$46:$P$2419,$F$45,FALSE)</f>
        <v>24142</v>
      </c>
      <c r="G49" s="82">
        <f>VLOOKUP($A49&amp;"CP",'E11 - 2012 09 Final'!$A$46:$P$2419,$G$45,FALSE)</f>
        <v>23781</v>
      </c>
      <c r="H49" s="82">
        <f>VLOOKUP($A49&amp;"CP",'E11 - 2012 09 Final'!$A$46:$P$2419,$H$45,FALSE)</f>
        <v>25658</v>
      </c>
      <c r="I49" s="82">
        <f>VLOOKUP($A49&amp;"CP",'E11 - 2012 09 Final'!$A$46:$P$2419,$I$45,FALSE)</f>
        <v>24842</v>
      </c>
      <c r="J49" s="82">
        <f>VLOOKUP($A49&amp;"CP",'E11 - 2012 09 Final'!$A$46:$P$2419,$J$45,FALSE)</f>
        <v>25435</v>
      </c>
      <c r="K49" s="82">
        <f>VLOOKUP($A49&amp;"CP",'E11 - 2012 09 Final'!$A$46:$P$2419,$K$45,FALSE)</f>
        <v>23910</v>
      </c>
      <c r="L49" s="82">
        <f>VLOOKUP($A49&amp;"CP",'E11 - 2012 09 Final'!$A$46:$P$2419,$L$45,FALSE)</f>
        <v>24936</v>
      </c>
      <c r="M49" s="82">
        <f>VLOOKUP($A49&amp;"CP",'E11 - 2012 09 Final'!$A$46:$P$2419,$M$45,FALSE)</f>
        <v>23037</v>
      </c>
      <c r="N49" s="82">
        <f>VLOOKUP($A49&amp;"CP",'E11 - 2012 09 Final'!$A$46:$P$2419,$N$45,FALSE)</f>
        <v>22223</v>
      </c>
      <c r="O49" s="44">
        <f t="shared" si="12"/>
        <v>285712</v>
      </c>
      <c r="P49" s="11">
        <f t="shared" si="13"/>
        <v>23809.333333333332</v>
      </c>
    </row>
    <row r="50" spans="1:16">
      <c r="A50" t="s">
        <v>185</v>
      </c>
      <c r="B50" s="43" t="s">
        <v>50</v>
      </c>
      <c r="C50" s="82">
        <f>VLOOKUP($A50&amp;"CP",'E11 - 2012 09 Final'!$A$46:$P$2419,$C$45,FALSE)</f>
        <v>139015</v>
      </c>
      <c r="D50" s="82">
        <f>VLOOKUP($A50&amp;"CP",'E11 - 2012 09 Final'!$A$46:$P$2419,$D$45,FALSE)</f>
        <v>160413</v>
      </c>
      <c r="E50" s="82">
        <f>VLOOKUP($A50&amp;"CP",'E11 - 2012 09 Final'!$A$46:$P$2419,$E$45,FALSE)</f>
        <v>170626</v>
      </c>
      <c r="F50" s="82">
        <f>VLOOKUP($A50&amp;"CP",'E11 - 2012 09 Final'!$A$46:$P$2419,$F$45,FALSE)</f>
        <v>125695</v>
      </c>
      <c r="G50" s="82">
        <f>VLOOKUP($A50&amp;"CP",'E11 - 2012 09 Final'!$A$46:$P$2419,$G$45,FALSE)</f>
        <v>182432</v>
      </c>
      <c r="H50" s="82">
        <f>VLOOKUP($A50&amp;"CP",'E11 - 2012 09 Final'!$A$46:$P$2419,$H$45,FALSE)</f>
        <v>158879</v>
      </c>
      <c r="I50" s="82">
        <f>VLOOKUP($A50&amp;"CP",'E11 - 2012 09 Final'!$A$46:$P$2419,$I$45,FALSE)</f>
        <v>173334</v>
      </c>
      <c r="J50" s="82">
        <f>VLOOKUP($A50&amp;"CP",'E11 - 2012 09 Final'!$A$46:$P$2419,$J$45,FALSE)</f>
        <v>150983</v>
      </c>
      <c r="K50" s="82">
        <f>VLOOKUP($A50&amp;"CP",'E11 - 2012 09 Final'!$A$46:$P$2419,$K$45,FALSE)</f>
        <v>148018</v>
      </c>
      <c r="L50" s="82">
        <f>VLOOKUP($A50&amp;"CP",'E11 - 2012 09 Final'!$A$46:$P$2419,$L$45,FALSE)</f>
        <v>185242</v>
      </c>
      <c r="M50" s="82">
        <f>VLOOKUP($A50&amp;"CP",'E11 - 2012 09 Final'!$A$46:$P$2419,$M$45,FALSE)</f>
        <v>153101</v>
      </c>
      <c r="N50" s="82">
        <f>VLOOKUP($A50&amp;"CP",'E11 - 2012 09 Final'!$A$46:$P$2419,$N$45,FALSE)</f>
        <v>159232</v>
      </c>
      <c r="O50" s="44">
        <f t="shared" si="12"/>
        <v>1906970</v>
      </c>
      <c r="P50" s="11">
        <f t="shared" si="13"/>
        <v>158914.16666666666</v>
      </c>
    </row>
    <row r="51" spans="1:16">
      <c r="A51" t="s">
        <v>941</v>
      </c>
      <c r="B51" s="43" t="s">
        <v>49</v>
      </c>
      <c r="C51" s="82">
        <f>VLOOKUP($A51&amp;"CP",'E11 - 2012 09 Final'!$A$46:$P$2419,$C$45,FALSE)</f>
        <v>529322</v>
      </c>
      <c r="D51" s="82">
        <f>VLOOKUP($A51&amp;"CP",'E11 - 2012 09 Final'!$A$46:$P$2419,$D$45,FALSE)</f>
        <v>920338</v>
      </c>
      <c r="E51" s="82">
        <f>VLOOKUP($A51&amp;"CP",'E11 - 2012 09 Final'!$A$46:$P$2419,$E$45,FALSE)</f>
        <v>825885</v>
      </c>
      <c r="F51" s="82">
        <f>VLOOKUP($A51&amp;"CP",'E11 - 2012 09 Final'!$A$46:$P$2419,$F$45,FALSE)</f>
        <v>892169</v>
      </c>
      <c r="G51" s="82">
        <f>VLOOKUP($A51&amp;"CP",'E11 - 2012 09 Final'!$A$46:$P$2419,$G$45,FALSE)</f>
        <v>994179</v>
      </c>
      <c r="H51" s="82">
        <f>VLOOKUP($A51&amp;"CP",'E11 - 2012 09 Final'!$A$46:$P$2419,$H$45,FALSE)</f>
        <v>1102751</v>
      </c>
      <c r="I51" s="82">
        <f>VLOOKUP($A51&amp;"CP",'E11 - 2012 09 Final'!$A$46:$P$2419,$I$45,FALSE)</f>
        <v>1084009</v>
      </c>
      <c r="J51" s="82">
        <f>VLOOKUP($A51&amp;"CP",'E11 - 2012 09 Final'!$A$46:$P$2419,$J$45,FALSE)</f>
        <v>1139761</v>
      </c>
      <c r="K51" s="82">
        <f>VLOOKUP($A51&amp;"CP",'E11 - 2012 09 Final'!$A$46:$P$2419,$K$45,FALSE)</f>
        <v>840906</v>
      </c>
      <c r="L51" s="82">
        <f>VLOOKUP($A51&amp;"CP",'E11 - 2012 09 Final'!$A$46:$P$2419,$L$45,FALSE)</f>
        <v>1052737</v>
      </c>
      <c r="M51" s="82">
        <f>VLOOKUP($A51&amp;"CP",'E11 - 2012 09 Final'!$A$46:$P$2419,$M$45,FALSE)</f>
        <v>785247</v>
      </c>
      <c r="N51" s="82">
        <f>VLOOKUP($A51&amp;"CP",'E11 - 2012 09 Final'!$A$46:$P$2419,$N$45,FALSE)</f>
        <v>778060</v>
      </c>
      <c r="O51" s="44">
        <f t="shared" si="12"/>
        <v>10945364</v>
      </c>
      <c r="P51" s="11">
        <f t="shared" si="13"/>
        <v>912113.66666666663</v>
      </c>
    </row>
    <row r="52" spans="1:16">
      <c r="A52" t="s">
        <v>944</v>
      </c>
      <c r="B52" s="46" t="s">
        <v>325</v>
      </c>
      <c r="C52" s="82">
        <f>VLOOKUP($A52&amp;"CP",'E11 - 2012 09 Final'!$A$46:$P$2419,$C$45,FALSE)</f>
        <v>3558</v>
      </c>
      <c r="D52" s="82">
        <f>VLOOKUP($A52&amp;"CP",'E11 - 2012 09 Final'!$A$46:$P$2419,$D$45,FALSE)</f>
        <v>3450</v>
      </c>
      <c r="E52" s="82">
        <f>VLOOKUP($A52&amp;"CP",'E11 - 2012 09 Final'!$A$46:$P$2419,$E$45,FALSE)</f>
        <v>3271</v>
      </c>
      <c r="F52" s="82">
        <f>VLOOKUP($A52&amp;"CP",'E11 - 2012 09 Final'!$A$46:$P$2419,$F$45,FALSE)</f>
        <v>3409</v>
      </c>
      <c r="G52" s="82">
        <f>VLOOKUP($A52&amp;"CP",'E11 - 2012 09 Final'!$A$46:$P$2419,$G$45,FALSE)</f>
        <v>3210</v>
      </c>
      <c r="H52" s="82">
        <f>VLOOKUP($A52&amp;"CP",'E11 - 2012 09 Final'!$A$46:$P$2419,$H$45,FALSE)</f>
        <v>3398</v>
      </c>
      <c r="I52" s="82">
        <f>VLOOKUP($A52&amp;"CP",'E11 - 2012 09 Final'!$A$46:$P$2419,$I$45,FALSE)</f>
        <v>3149</v>
      </c>
      <c r="J52" s="82">
        <f>VLOOKUP($A52&amp;"CP",'E11 - 2012 09 Final'!$A$46:$P$2419,$J$45,FALSE)</f>
        <v>3083</v>
      </c>
      <c r="K52" s="82">
        <f>VLOOKUP($A52&amp;"CP",'E11 - 2012 09 Final'!$A$46:$P$2419,$K$45,FALSE)</f>
        <v>3094</v>
      </c>
      <c r="L52" s="82">
        <f>VLOOKUP($A52&amp;"CP",'E11 - 2012 09 Final'!$A$46:$P$2419,$L$45,FALSE)</f>
        <v>2935</v>
      </c>
      <c r="M52" s="82">
        <f>VLOOKUP($A52&amp;"CP",'E11 - 2012 09 Final'!$A$46:$P$2419,$M$45,FALSE)</f>
        <v>2994</v>
      </c>
      <c r="N52" s="82">
        <f>VLOOKUP($A52&amp;"CP",'E11 - 2012 09 Final'!$A$46:$P$2419,$N$45,FALSE)</f>
        <v>2911</v>
      </c>
      <c r="O52" s="44">
        <f t="shared" si="12"/>
        <v>38462</v>
      </c>
      <c r="P52" s="11">
        <f t="shared" si="13"/>
        <v>3205.1666666666665</v>
      </c>
    </row>
    <row r="53" spans="1:16">
      <c r="A53" t="s">
        <v>994</v>
      </c>
      <c r="B53" s="43" t="s">
        <v>67</v>
      </c>
      <c r="C53" s="82">
        <f>VLOOKUP($A53&amp;"CP",'E11 - 2012 09 Final'!$A$46:$P$2419,$C$45,FALSE)</f>
        <v>2329607</v>
      </c>
      <c r="D53" s="82">
        <f>VLOOKUP($A53&amp;"CP",'E11 - 2012 09 Final'!$A$46:$P$2419,$D$45,FALSE)</f>
        <v>3646554</v>
      </c>
      <c r="E53" s="82">
        <f>VLOOKUP($A53&amp;"CP",'E11 - 2012 09 Final'!$A$46:$P$2419,$E$45,FALSE)</f>
        <v>3430463</v>
      </c>
      <c r="F53" s="82">
        <f>VLOOKUP($A53&amp;"CP",'E11 - 2012 09 Final'!$A$46:$P$2419,$F$45,FALSE)</f>
        <v>3719380</v>
      </c>
      <c r="G53" s="82">
        <f>VLOOKUP($A53&amp;"CP",'E11 - 2012 09 Final'!$A$46:$P$2419,$G$45,FALSE)</f>
        <v>3725307</v>
      </c>
      <c r="H53" s="82">
        <f>VLOOKUP($A53&amp;"CP",'E11 - 2012 09 Final'!$A$46:$P$2419,$H$45,FALSE)</f>
        <v>4083111</v>
      </c>
      <c r="I53" s="82">
        <f>VLOOKUP($A53&amp;"CP",'E11 - 2012 09 Final'!$A$46:$P$2419,$I$45,FALSE)</f>
        <v>4028548</v>
      </c>
      <c r="J53" s="82">
        <f>VLOOKUP($A53&amp;"CP",'E11 - 2012 09 Final'!$A$46:$P$2419,$J$45,FALSE)</f>
        <v>4027015</v>
      </c>
      <c r="K53" s="82">
        <f>VLOOKUP($A53&amp;"CP",'E11 - 2012 09 Final'!$A$46:$P$2419,$K$45,FALSE)</f>
        <v>3718796</v>
      </c>
      <c r="L53" s="82">
        <f>VLOOKUP($A53&amp;"CP",'E11 - 2012 09 Final'!$A$46:$P$2419,$L$45,FALSE)</f>
        <v>4157666</v>
      </c>
      <c r="M53" s="82">
        <f>VLOOKUP($A53&amp;"CP",'E11 - 2012 09 Final'!$A$46:$P$2419,$M$45,FALSE)</f>
        <v>3447774</v>
      </c>
      <c r="N53" s="82">
        <f>VLOOKUP($A53&amp;"CP",'E11 - 2012 09 Final'!$A$46:$P$2419,$N$45,FALSE)</f>
        <v>3306108</v>
      </c>
      <c r="O53" s="44">
        <f t="shared" si="12"/>
        <v>43620329</v>
      </c>
      <c r="P53" s="11">
        <f t="shared" si="13"/>
        <v>3635027.4166666665</v>
      </c>
    </row>
    <row r="54" spans="1:16">
      <c r="A54" t="s">
        <v>997</v>
      </c>
      <c r="B54" s="43" t="s">
        <v>68</v>
      </c>
      <c r="C54" s="82">
        <f>VLOOKUP($A54&amp;"CP",'E11 - 2012 09 Final'!$A$46:$P$2419,$C$45,FALSE)</f>
        <v>1182438</v>
      </c>
      <c r="D54" s="82">
        <f>VLOOKUP($A54&amp;"CP",'E11 - 2012 09 Final'!$A$46:$P$2419,$D$45,FALSE)</f>
        <v>1655413</v>
      </c>
      <c r="E54" s="82">
        <f>VLOOKUP($A54&amp;"CP",'E11 - 2012 09 Final'!$A$46:$P$2419,$E$45,FALSE)</f>
        <v>1495588</v>
      </c>
      <c r="F54" s="82">
        <f>VLOOKUP($A54&amp;"CP",'E11 - 2012 09 Final'!$A$46:$P$2419,$F$45,FALSE)</f>
        <v>1617606</v>
      </c>
      <c r="G54" s="82">
        <f>VLOOKUP($A54&amp;"CP",'E11 - 2012 09 Final'!$A$46:$P$2419,$G$45,FALSE)</f>
        <v>1646599</v>
      </c>
      <c r="H54" s="82">
        <f>VLOOKUP($A54&amp;"CP",'E11 - 2012 09 Final'!$A$46:$P$2419,$H$45,FALSE)</f>
        <v>1794378</v>
      </c>
      <c r="I54" s="82">
        <f>VLOOKUP($A54&amp;"CP",'E11 - 2012 09 Final'!$A$46:$P$2419,$I$45,FALSE)</f>
        <v>1742336</v>
      </c>
      <c r="J54" s="82">
        <f>VLOOKUP($A54&amp;"CP",'E11 - 2012 09 Final'!$A$46:$P$2419,$J$45,FALSE)</f>
        <v>1673753</v>
      </c>
      <c r="K54" s="82">
        <f>VLOOKUP($A54&amp;"CP",'E11 - 2012 09 Final'!$A$46:$P$2419,$K$45,FALSE)</f>
        <v>1333428</v>
      </c>
      <c r="L54" s="82">
        <f>VLOOKUP($A54&amp;"CP",'E11 - 2012 09 Final'!$A$46:$P$2419,$L$45,FALSE)</f>
        <v>1924923</v>
      </c>
      <c r="M54" s="82">
        <f>VLOOKUP($A54&amp;"CP",'E11 - 2012 09 Final'!$A$46:$P$2419,$M$45,FALSE)</f>
        <v>1384398</v>
      </c>
      <c r="N54" s="82">
        <f>VLOOKUP($A54&amp;"CP",'E11 - 2012 09 Final'!$A$46:$P$2419,$N$45,FALSE)</f>
        <v>1496608</v>
      </c>
      <c r="O54" s="44">
        <f t="shared" si="12"/>
        <v>18947468</v>
      </c>
      <c r="P54" s="11">
        <f t="shared" si="13"/>
        <v>1578955.6666666667</v>
      </c>
    </row>
    <row r="55" spans="1:16">
      <c r="A55" t="s">
        <v>713</v>
      </c>
      <c r="B55" s="43" t="s">
        <v>69</v>
      </c>
      <c r="C55" s="82">
        <f>VLOOKUP($A55&amp;"CP",'E11 - 2012 09 Final'!$A$46:$P$2419,$C$45,FALSE)</f>
        <v>235472</v>
      </c>
      <c r="D55" s="82">
        <f>VLOOKUP($A55&amp;"CP",'E11 - 2012 09 Final'!$A$46:$P$2419,$D$45,FALSE)</f>
        <v>314440</v>
      </c>
      <c r="E55" s="82">
        <f>VLOOKUP($A55&amp;"CP",'E11 - 2012 09 Final'!$A$46:$P$2419,$E$45,FALSE)</f>
        <v>313040</v>
      </c>
      <c r="F55" s="82">
        <f>VLOOKUP($A55&amp;"CP",'E11 - 2012 09 Final'!$A$46:$P$2419,$F$45,FALSE)</f>
        <v>299070</v>
      </c>
      <c r="G55" s="82">
        <f>VLOOKUP($A55&amp;"CP",'E11 - 2012 09 Final'!$A$46:$P$2419,$G$45,FALSE)</f>
        <v>296969</v>
      </c>
      <c r="H55" s="82">
        <f>VLOOKUP($A55&amp;"CP",'E11 - 2012 09 Final'!$A$46:$P$2419,$H$45,FALSE)</f>
        <v>325058</v>
      </c>
      <c r="I55" s="82">
        <f>VLOOKUP($A55&amp;"CP",'E11 - 2012 09 Final'!$A$46:$P$2419,$I$45,FALSE)</f>
        <v>318639</v>
      </c>
      <c r="J55" s="82">
        <f>VLOOKUP($A55&amp;"CP",'E11 - 2012 09 Final'!$A$46:$P$2419,$J$45,FALSE)</f>
        <v>323417</v>
      </c>
      <c r="K55" s="82">
        <f>VLOOKUP($A55&amp;"CP",'E11 - 2012 09 Final'!$A$46:$P$2419,$K$45,FALSE)</f>
        <v>311232</v>
      </c>
      <c r="L55" s="82">
        <f>VLOOKUP($A55&amp;"CP",'E11 - 2012 09 Final'!$A$46:$P$2419,$L$45,FALSE)</f>
        <v>327507</v>
      </c>
      <c r="M55" s="82">
        <f>VLOOKUP($A55&amp;"CP",'E11 - 2012 09 Final'!$A$46:$P$2419,$M$45,FALSE)</f>
        <v>294871</v>
      </c>
      <c r="N55" s="82">
        <f>VLOOKUP($A55&amp;"CP",'E11 - 2012 09 Final'!$A$46:$P$2419,$N$45,FALSE)</f>
        <v>297622</v>
      </c>
      <c r="O55" s="44">
        <f t="shared" si="12"/>
        <v>3657337</v>
      </c>
      <c r="P55" s="11">
        <f t="shared" si="13"/>
        <v>304778.08333333331</v>
      </c>
    </row>
    <row r="56" spans="1:16">
      <c r="A56" t="s">
        <v>717</v>
      </c>
      <c r="B56" s="43" t="s">
        <v>52</v>
      </c>
      <c r="C56" s="82">
        <f>VLOOKUP($A56&amp;"CP",'E11 - 2012 09 Final'!$A$46:$P$2419,$C$45,FALSE)</f>
        <v>22856</v>
      </c>
      <c r="D56" s="82">
        <f>VLOOKUP($A56&amp;"CP",'E11 - 2012 09 Final'!$A$46:$P$2419,$D$45,FALSE)</f>
        <v>23740</v>
      </c>
      <c r="E56" s="82">
        <f>VLOOKUP($A56&amp;"CP",'E11 - 2012 09 Final'!$A$46:$P$2419,$E$45,FALSE)</f>
        <v>23348</v>
      </c>
      <c r="F56" s="82">
        <f>VLOOKUP($A56&amp;"CP",'E11 - 2012 09 Final'!$A$46:$P$2419,$F$45,FALSE)</f>
        <v>25489</v>
      </c>
      <c r="G56" s="82">
        <f>VLOOKUP($A56&amp;"CP",'E11 - 2012 09 Final'!$A$46:$P$2419,$G$45,FALSE)</f>
        <v>20919</v>
      </c>
      <c r="H56" s="82">
        <f>VLOOKUP($A56&amp;"CP",'E11 - 2012 09 Final'!$A$46:$P$2419,$H$45,FALSE)</f>
        <v>19512</v>
      </c>
      <c r="I56" s="82">
        <f>VLOOKUP($A56&amp;"CP",'E11 - 2012 09 Final'!$A$46:$P$2419,$I$45,FALSE)</f>
        <v>19924</v>
      </c>
      <c r="J56" s="82">
        <f>VLOOKUP($A56&amp;"CP",'E11 - 2012 09 Final'!$A$46:$P$2419,$J$45,FALSE)</f>
        <v>19872</v>
      </c>
      <c r="K56" s="82">
        <f>VLOOKUP($A56&amp;"CP",'E11 - 2012 09 Final'!$A$46:$P$2419,$K$45,FALSE)</f>
        <v>18294</v>
      </c>
      <c r="L56" s="82">
        <f>VLOOKUP($A56&amp;"CP",'E11 - 2012 09 Final'!$A$46:$P$2419,$L$45,FALSE)</f>
        <v>17679</v>
      </c>
      <c r="M56" s="82">
        <f>VLOOKUP($A56&amp;"CP",'E11 - 2012 09 Final'!$A$46:$P$2419,$M$45,FALSE)</f>
        <v>17738</v>
      </c>
      <c r="N56" s="82">
        <f>VLOOKUP($A56&amp;"CP",'E11 - 2012 09 Final'!$A$46:$P$2419,$N$45,FALSE)</f>
        <v>23596</v>
      </c>
      <c r="O56" s="44">
        <f t="shared" si="12"/>
        <v>252967</v>
      </c>
      <c r="P56" s="11">
        <f t="shared" si="13"/>
        <v>21080.583333333332</v>
      </c>
    </row>
    <row r="57" spans="1:16">
      <c r="A57" t="s">
        <v>15</v>
      </c>
      <c r="B57" s="206" t="s">
        <v>15</v>
      </c>
      <c r="C57" s="82">
        <f>VLOOKUP($A57&amp;"CP",'E11 - 2012 09 Final'!$A$46:$P$2419,$C$45,FALSE)</f>
        <v>12232</v>
      </c>
      <c r="D57" s="82">
        <f>VLOOKUP($A57&amp;"CP",'E11 - 2012 09 Final'!$A$46:$P$2419,$D$45,FALSE)</f>
        <v>11609</v>
      </c>
      <c r="E57" s="82">
        <f>VLOOKUP($A57&amp;"CP",'E11 - 2012 09 Final'!$A$46:$P$2419,$E$45,FALSE)</f>
        <v>12758</v>
      </c>
      <c r="F57" s="82">
        <f>VLOOKUP($A57&amp;"CP",'E11 - 2012 09 Final'!$A$46:$P$2419,$F$45,FALSE)</f>
        <v>13643</v>
      </c>
      <c r="G57" s="82">
        <f>VLOOKUP($A57&amp;"CP",'E11 - 2012 09 Final'!$A$46:$P$2419,$G$45,FALSE)</f>
        <v>12865</v>
      </c>
      <c r="H57" s="82">
        <f>VLOOKUP($A57&amp;"CP",'E11 - 2012 09 Final'!$A$46:$P$2419,$H$45,FALSE)</f>
        <v>13203</v>
      </c>
      <c r="I57" s="82">
        <f>VLOOKUP($A57&amp;"CP",'E11 - 2012 09 Final'!$A$46:$P$2419,$I$45,FALSE)</f>
        <v>12177</v>
      </c>
      <c r="J57" s="82">
        <f>VLOOKUP($A57&amp;"CP",'E11 - 2012 09 Final'!$A$46:$P$2419,$J$45,FALSE)</f>
        <v>12181</v>
      </c>
      <c r="K57" s="82">
        <f>VLOOKUP($A57&amp;"CP",'E11 - 2012 09 Final'!$A$46:$P$2419,$K$45,FALSE)</f>
        <v>7599</v>
      </c>
      <c r="L57" s="82">
        <f>VLOOKUP($A57&amp;"CP",'E11 - 2012 09 Final'!$A$46:$P$2419,$L$45,FALSE)</f>
        <v>11527</v>
      </c>
      <c r="M57" s="82">
        <f>VLOOKUP($A57&amp;"CP",'E11 - 2012 09 Final'!$A$46:$P$2419,$M$45,FALSE)</f>
        <v>12963</v>
      </c>
      <c r="N57" s="82">
        <f>VLOOKUP($A57&amp;"CP",'E11 - 2012 09 Final'!$A$46:$P$2419,$N$45,FALSE)</f>
        <v>13111</v>
      </c>
      <c r="O57" s="44">
        <f t="shared" si="12"/>
        <v>145868</v>
      </c>
      <c r="P57" s="11">
        <f t="shared" si="13"/>
        <v>12155.666666666666</v>
      </c>
    </row>
    <row r="58" spans="1:16">
      <c r="A58" t="s">
        <v>19</v>
      </c>
      <c r="B58" s="43" t="s">
        <v>56</v>
      </c>
      <c r="C58" s="82">
        <f>VLOOKUP($A58&amp;"CP",'E11 - 2012 09 Final'!$A$46:$P$2419,$C$45,FALSE)</f>
        <v>2378</v>
      </c>
      <c r="D58" s="82">
        <f>VLOOKUP($A58&amp;"CP",'E11 - 2012 09 Final'!$A$46:$P$2419,$D$45,FALSE)</f>
        <v>0</v>
      </c>
      <c r="E58" s="82">
        <f>VLOOKUP($A58&amp;"CP",'E11 - 2012 09 Final'!$A$46:$P$2419,$E$45,FALSE)</f>
        <v>0</v>
      </c>
      <c r="F58" s="82">
        <f>VLOOKUP($A58&amp;"CP",'E11 - 2012 09 Final'!$A$46:$P$2419,$F$45,FALSE)</f>
        <v>0</v>
      </c>
      <c r="G58" s="82">
        <f>VLOOKUP($A58&amp;"CP",'E11 - 2012 09 Final'!$A$46:$P$2419,$G$45,FALSE)</f>
        <v>0</v>
      </c>
      <c r="H58" s="82">
        <f>VLOOKUP($A58&amp;"CP",'E11 - 2012 09 Final'!$A$46:$P$2419,$H$45,FALSE)</f>
        <v>0</v>
      </c>
      <c r="I58" s="82">
        <f>VLOOKUP($A58&amp;"CP",'E11 - 2012 09 Final'!$A$46:$P$2419,$I$45,FALSE)</f>
        <v>0</v>
      </c>
      <c r="J58" s="82">
        <f>VLOOKUP($A58&amp;"CP",'E11 - 2012 09 Final'!$A$46:$P$2419,$J$45,FALSE)</f>
        <v>0</v>
      </c>
      <c r="K58" s="82">
        <f>VLOOKUP($A58&amp;"CP",'E11 - 2012 09 Final'!$A$46:$P$2419,$K$45,FALSE)</f>
        <v>0</v>
      </c>
      <c r="L58" s="82">
        <f>VLOOKUP($A58&amp;"CP",'E11 - 2012 09 Final'!$A$46:$P$2419,$L$45,FALSE)</f>
        <v>0</v>
      </c>
      <c r="M58" s="82">
        <f>VLOOKUP($A58&amp;"CP",'E11 - 2012 09 Final'!$A$46:$P$2419,$M$45,FALSE)</f>
        <v>21198</v>
      </c>
      <c r="N58" s="82">
        <f>VLOOKUP($A58&amp;"CP",'E11 - 2012 09 Final'!$A$46:$P$2419,$N$45,FALSE)</f>
        <v>20160</v>
      </c>
      <c r="O58" s="44">
        <f t="shared" si="12"/>
        <v>43736</v>
      </c>
      <c r="P58" s="11">
        <f t="shared" si="13"/>
        <v>3644.6666666666665</v>
      </c>
    </row>
    <row r="59" spans="1:16">
      <c r="A59" t="s">
        <v>22</v>
      </c>
      <c r="B59" s="43" t="s">
        <v>57</v>
      </c>
      <c r="C59" s="82">
        <f>VLOOKUP($A59&amp;"CP",'E11 - 2012 09 Final'!$A$46:$P$2419,$C$45,FALSE)</f>
        <v>602</v>
      </c>
      <c r="D59" s="82">
        <f>VLOOKUP($A59&amp;"CP",'E11 - 2012 09 Final'!$A$46:$P$2419,$D$45,FALSE)</f>
        <v>666</v>
      </c>
      <c r="E59" s="82">
        <f>VLOOKUP($A59&amp;"CP",'E11 - 2012 09 Final'!$A$46:$P$2419,$E$45,FALSE)</f>
        <v>1036</v>
      </c>
      <c r="F59" s="82">
        <f>VLOOKUP($A59&amp;"CP",'E11 - 2012 09 Final'!$A$46:$P$2419,$F$45,FALSE)</f>
        <v>1213</v>
      </c>
      <c r="G59" s="82">
        <f>VLOOKUP($A59&amp;"CP",'E11 - 2012 09 Final'!$A$46:$P$2419,$G$45,FALSE)</f>
        <v>896</v>
      </c>
      <c r="H59" s="82">
        <f>VLOOKUP($A59&amp;"CP",'E11 - 2012 09 Final'!$A$46:$P$2419,$H$45,FALSE)</f>
        <v>903</v>
      </c>
      <c r="I59" s="82">
        <f>VLOOKUP($A59&amp;"CP",'E11 - 2012 09 Final'!$A$46:$P$2419,$I$45,FALSE)</f>
        <v>814</v>
      </c>
      <c r="J59" s="82">
        <f>VLOOKUP($A59&amp;"CP",'E11 - 2012 09 Final'!$A$46:$P$2419,$J$45,FALSE)</f>
        <v>880</v>
      </c>
      <c r="K59" s="82">
        <f>VLOOKUP($A59&amp;"CP",'E11 - 2012 09 Final'!$A$46:$P$2419,$K$45,FALSE)</f>
        <v>856</v>
      </c>
      <c r="L59" s="82">
        <f>VLOOKUP($A59&amp;"CP",'E11 - 2012 09 Final'!$A$46:$P$2419,$L$45,FALSE)</f>
        <v>943</v>
      </c>
      <c r="M59" s="82">
        <f>VLOOKUP($A59&amp;"CP",'E11 - 2012 09 Final'!$A$46:$P$2419,$M$45,FALSE)</f>
        <v>7168</v>
      </c>
      <c r="N59" s="82">
        <f>VLOOKUP($A59&amp;"CP",'E11 - 2012 09 Final'!$A$46:$P$2419,$N$45,FALSE)</f>
        <v>8883</v>
      </c>
      <c r="O59" s="44">
        <f t="shared" si="12"/>
        <v>24860</v>
      </c>
      <c r="P59" s="11">
        <f t="shared" si="13"/>
        <v>2071.6666666666665</v>
      </c>
    </row>
    <row r="60" spans="1:16">
      <c r="A60" t="s">
        <v>687</v>
      </c>
      <c r="B60" s="43" t="s">
        <v>48</v>
      </c>
      <c r="C60" s="82">
        <f>VLOOKUP($A60&amp;"CP",'E11 - 2012 09 Final'!$A$46:$P$2419,$C$45,FALSE)</f>
        <v>11904320</v>
      </c>
      <c r="D60" s="82">
        <f>VLOOKUP($A60&amp;"CP",'E11 - 2012 09 Final'!$A$46:$P$2419,$D$45,FALSE)</f>
        <v>7112688</v>
      </c>
      <c r="E60" s="82">
        <f>VLOOKUP($A60&amp;"CP",'E11 - 2012 09 Final'!$A$46:$P$2419,$E$45,FALSE)</f>
        <v>7428799</v>
      </c>
      <c r="F60" s="82">
        <f>VLOOKUP($A60&amp;"CP",'E11 - 2012 09 Final'!$A$46:$P$2419,$F$45,FALSE)</f>
        <v>9958459</v>
      </c>
      <c r="G60" s="82">
        <f>VLOOKUP($A60&amp;"CP",'E11 - 2012 09 Final'!$A$46:$P$2419,$G$45,FALSE)</f>
        <v>9088596</v>
      </c>
      <c r="H60" s="82">
        <f>VLOOKUP($A60&amp;"CP",'E11 - 2012 09 Final'!$A$46:$P$2419,$H$45,FALSE)</f>
        <v>10962459</v>
      </c>
      <c r="I60" s="82">
        <f>VLOOKUP($A60&amp;"CP",'E11 - 2012 09 Final'!$A$46:$P$2419,$I$45,FALSE)</f>
        <v>11154200</v>
      </c>
      <c r="J60" s="82">
        <f>VLOOKUP($A60&amp;"CP",'E11 - 2012 09 Final'!$A$46:$P$2419,$J$45,FALSE)</f>
        <v>11793380</v>
      </c>
      <c r="K60" s="82">
        <f>VLOOKUP($A60&amp;"CP",'E11 - 2012 09 Final'!$A$46:$P$2419,$K$45,FALSE)</f>
        <v>11922085</v>
      </c>
      <c r="L60" s="82">
        <f>VLOOKUP($A60&amp;"CP",'E11 - 2012 09 Final'!$A$46:$P$2419,$L$45,FALSE)</f>
        <v>10299292</v>
      </c>
      <c r="M60" s="82">
        <f>VLOOKUP($A60&amp;"CP",'E11 - 2012 09 Final'!$A$46:$P$2419,$M$45,FALSE)</f>
        <v>7983718</v>
      </c>
      <c r="N60" s="82">
        <f>VLOOKUP($A60&amp;"CP",'E11 - 2012 09 Final'!$A$46:$P$2419,$N$45,FALSE)</f>
        <v>7329404</v>
      </c>
      <c r="O60" s="44">
        <f t="shared" si="12"/>
        <v>116937400</v>
      </c>
      <c r="P60" s="11">
        <f t="shared" si="13"/>
        <v>9744783.333333334</v>
      </c>
    </row>
    <row r="61" spans="1:16">
      <c r="A61" s="307" t="s">
        <v>35</v>
      </c>
      <c r="B61" s="43" t="s">
        <v>53</v>
      </c>
      <c r="C61" s="82">
        <f>VLOOKUP($A61&amp;"CP",'E11 - 2012 09 Final'!$A$46:$P$2419,$C$45,FALSE)</f>
        <v>11860</v>
      </c>
      <c r="D61" s="82">
        <f>VLOOKUP($A61&amp;"CP",'E11 - 2012 09 Final'!$A$46:$P$2419,$D$45,FALSE)</f>
        <v>0</v>
      </c>
      <c r="E61" s="82">
        <f>VLOOKUP($A61&amp;"CP",'E11 - 2012 09 Final'!$A$46:$P$2419,$E$45,FALSE)</f>
        <v>0</v>
      </c>
      <c r="F61" s="82">
        <f>VLOOKUP($A61&amp;"CP",'E11 - 2012 09 Final'!$A$46:$P$2419,$F$45,FALSE)</f>
        <v>0</v>
      </c>
      <c r="G61" s="82">
        <f>VLOOKUP($A61&amp;"CP",'E11 - 2012 09 Final'!$A$46:$P$2419,$G$45,FALSE)</f>
        <v>0</v>
      </c>
      <c r="H61" s="82">
        <f>VLOOKUP($A61&amp;"CP",'E11 - 2012 09 Final'!$A$46:$P$2419,$H$45,FALSE)</f>
        <v>0</v>
      </c>
      <c r="I61" s="82">
        <f>VLOOKUP($A61&amp;"CP",'E11 - 2012 09 Final'!$A$46:$P$2419,$I$45,FALSE)</f>
        <v>0</v>
      </c>
      <c r="J61" s="82">
        <f>VLOOKUP($A61&amp;"CP",'E11 - 2012 09 Final'!$A$46:$P$2419,$J$45,FALSE)</f>
        <v>0</v>
      </c>
      <c r="K61" s="82">
        <f>VLOOKUP($A61&amp;"CP",'E11 - 2012 09 Final'!$A$46:$P$2419,$K$45,FALSE)</f>
        <v>0</v>
      </c>
      <c r="L61" s="82">
        <f>VLOOKUP($A61&amp;"CP",'E11 - 2012 09 Final'!$A$46:$P$2419,$L$45,FALSE)</f>
        <v>0</v>
      </c>
      <c r="M61" s="82">
        <f>VLOOKUP($A61&amp;"CP",'E11 - 2012 09 Final'!$A$46:$P$2419,$M$45,FALSE)</f>
        <v>121343</v>
      </c>
      <c r="N61" s="82">
        <f>VLOOKUP($A61&amp;"CP",'E11 - 2012 09 Final'!$A$46:$P$2419,$N$45,FALSE)</f>
        <v>102654</v>
      </c>
      <c r="O61" s="44">
        <f t="shared" si="12"/>
        <v>235857</v>
      </c>
      <c r="P61" s="11">
        <f t="shared" si="13"/>
        <v>19654.75</v>
      </c>
    </row>
    <row r="62" spans="1:16">
      <c r="A62" s="307" t="s">
        <v>38</v>
      </c>
      <c r="B62" s="43" t="s">
        <v>55</v>
      </c>
      <c r="C62" s="82">
        <f>VLOOKUP($A62&amp;"CP",'E11 - 2012 09 Final'!$A$46:$P$2419,$C$45,FALSE)</f>
        <v>3522</v>
      </c>
      <c r="D62" s="82">
        <f>VLOOKUP($A62&amp;"CP",'E11 - 2012 09 Final'!$A$46:$P$2419,$D$45,FALSE)</f>
        <v>3768</v>
      </c>
      <c r="E62" s="82">
        <f>VLOOKUP($A62&amp;"CP",'E11 - 2012 09 Final'!$A$46:$P$2419,$E$45,FALSE)</f>
        <v>3537</v>
      </c>
      <c r="F62" s="82">
        <f>VLOOKUP($A62&amp;"CP",'E11 - 2012 09 Final'!$A$46:$P$2419,$F$45,FALSE)</f>
        <v>3659</v>
      </c>
      <c r="G62" s="82">
        <f>VLOOKUP($A62&amp;"CP",'E11 - 2012 09 Final'!$A$46:$P$2419,$G$45,FALSE)</f>
        <v>3501</v>
      </c>
      <c r="H62" s="82">
        <f>VLOOKUP($A62&amp;"CP",'E11 - 2012 09 Final'!$A$46:$P$2419,$H$45,FALSE)</f>
        <v>3622</v>
      </c>
      <c r="I62" s="82">
        <f>VLOOKUP($A62&amp;"CP",'E11 - 2012 09 Final'!$A$46:$P$2419,$I$45,FALSE)</f>
        <v>3518</v>
      </c>
      <c r="J62" s="82">
        <f>VLOOKUP($A62&amp;"CP",'E11 - 2012 09 Final'!$A$46:$P$2419,$J$45,FALSE)</f>
        <v>3518</v>
      </c>
      <c r="K62" s="82">
        <f>VLOOKUP($A62&amp;"CP",'E11 - 2012 09 Final'!$A$46:$P$2419,$K$45,FALSE)</f>
        <v>3637</v>
      </c>
      <c r="L62" s="82">
        <f>VLOOKUP($A62&amp;"CP",'E11 - 2012 09 Final'!$A$46:$P$2419,$L$45,FALSE)</f>
        <v>3518</v>
      </c>
      <c r="M62" s="82">
        <f>VLOOKUP($A62&amp;"CP",'E11 - 2012 09 Final'!$A$46:$P$2419,$M$45,FALSE)</f>
        <v>3634</v>
      </c>
      <c r="N62" s="82">
        <f>VLOOKUP($A62&amp;"CP",'E11 - 2012 09 Final'!$A$46:$P$2419,$N$45,FALSE)</f>
        <v>3524</v>
      </c>
      <c r="O62" s="44">
        <f t="shared" si="12"/>
        <v>42958</v>
      </c>
      <c r="P62" s="11">
        <f t="shared" si="13"/>
        <v>3579.8333333333335</v>
      </c>
    </row>
    <row r="63" spans="1:16">
      <c r="A63" t="s">
        <v>40</v>
      </c>
      <c r="B63" s="43" t="s">
        <v>87</v>
      </c>
      <c r="C63" s="82">
        <f>VLOOKUP($A63&amp;"CP",'E11 - 2012 09 Final'!$A$46:$P$2419,$C$45,FALSE)</f>
        <v>0</v>
      </c>
      <c r="D63" s="82">
        <f>VLOOKUP($A63&amp;"CP",'E11 - 2012 09 Final'!$A$46:$P$2419,$D$45,FALSE)</f>
        <v>0</v>
      </c>
      <c r="E63" s="82">
        <f>VLOOKUP($A63&amp;"CP",'E11 - 2012 09 Final'!$A$46:$P$2419,$E$45,FALSE)</f>
        <v>3058</v>
      </c>
      <c r="F63" s="82">
        <f>VLOOKUP($A63&amp;"CP",'E11 - 2012 09 Final'!$A$46:$P$2419,$F$45,FALSE)</f>
        <v>1087</v>
      </c>
      <c r="G63" s="82">
        <f>VLOOKUP($A63&amp;"CP",'E11 - 2012 09 Final'!$A$46:$P$2419,$G$45,FALSE)</f>
        <v>1333</v>
      </c>
      <c r="H63" s="82">
        <f>VLOOKUP($A63&amp;"CP",'E11 - 2012 09 Final'!$A$46:$P$2419,$H$45,FALSE)</f>
        <v>1424</v>
      </c>
      <c r="I63" s="82">
        <f>VLOOKUP($A63&amp;"CP",'E11 - 2012 09 Final'!$A$46:$P$2419,$I$45,FALSE)</f>
        <v>2154</v>
      </c>
      <c r="J63" s="82">
        <f>VLOOKUP($A63&amp;"CP",'E11 - 2012 09 Final'!$A$46:$P$2419,$J$45,FALSE)</f>
        <v>2684</v>
      </c>
      <c r="K63" s="82">
        <f>VLOOKUP($A63&amp;"CP",'E11 - 2012 09 Final'!$A$46:$P$2419,$K$45,FALSE)</f>
        <v>699</v>
      </c>
      <c r="L63" s="82">
        <f>VLOOKUP($A63&amp;"CP",'E11 - 2012 09 Final'!$A$46:$P$2419,$L$45,FALSE)</f>
        <v>2680</v>
      </c>
      <c r="M63" s="82">
        <f>VLOOKUP($A63&amp;"CP",'E11 - 2012 09 Final'!$A$46:$P$2419,$M$45,FALSE)</f>
        <v>1607</v>
      </c>
      <c r="N63" s="82">
        <f>VLOOKUP($A63&amp;"CP",'E11 - 2012 09 Final'!$A$46:$P$2419,$N$45,FALSE)</f>
        <v>311</v>
      </c>
      <c r="O63" s="44">
        <f t="shared" si="12"/>
        <v>17037</v>
      </c>
      <c r="P63" s="11">
        <f t="shared" si="13"/>
        <v>1419.75</v>
      </c>
    </row>
    <row r="64" spans="1:16">
      <c r="A64" t="s">
        <v>45</v>
      </c>
      <c r="B64" s="43" t="s">
        <v>88</v>
      </c>
      <c r="C64" s="82">
        <f>VLOOKUP($A64&amp;"CP",'E11 - 2012 09 Final'!$A$46:$P$2419,$C$45,FALSE)</f>
        <v>17850</v>
      </c>
      <c r="D64" s="82">
        <f>VLOOKUP($A64&amp;"CP",'E11 - 2012 09 Final'!$A$46:$P$2419,$D$45,FALSE)</f>
        <v>6455</v>
      </c>
      <c r="E64" s="82">
        <f>VLOOKUP($A64&amp;"CP",'E11 - 2012 09 Final'!$A$46:$P$2419,$E$45,FALSE)</f>
        <v>7392</v>
      </c>
      <c r="F64" s="82">
        <f>VLOOKUP($A64&amp;"CP",'E11 - 2012 09 Final'!$A$46:$P$2419,$F$45,FALSE)</f>
        <v>319</v>
      </c>
      <c r="G64" s="82">
        <f>VLOOKUP($A64&amp;"CP",'E11 - 2012 09 Final'!$A$46:$P$2419,$G$45,FALSE)</f>
        <v>7121</v>
      </c>
      <c r="H64" s="82">
        <f>VLOOKUP($A64&amp;"CP",'E11 - 2012 09 Final'!$A$46:$P$2419,$H$45,FALSE)</f>
        <v>2950</v>
      </c>
      <c r="I64" s="82">
        <f>VLOOKUP($A64&amp;"CP",'E11 - 2012 09 Final'!$A$46:$P$2419,$I$45,FALSE)</f>
        <v>8156</v>
      </c>
      <c r="J64" s="82">
        <f>VLOOKUP($A64&amp;"CP",'E11 - 2012 09 Final'!$A$46:$P$2419,$J$45,FALSE)</f>
        <v>3713</v>
      </c>
      <c r="K64" s="82">
        <f>VLOOKUP($A64&amp;"CP",'E11 - 2012 09 Final'!$A$46:$P$2419,$K$45,FALSE)</f>
        <v>18381</v>
      </c>
      <c r="L64" s="82">
        <f>VLOOKUP($A64&amp;"CP",'E11 - 2012 09 Final'!$A$46:$P$2419,$L$45,FALSE)</f>
        <v>3168</v>
      </c>
      <c r="M64" s="82">
        <f>VLOOKUP($A64&amp;"CP",'E11 - 2012 09 Final'!$A$46:$P$2419,$M$45,FALSE)</f>
        <v>4683</v>
      </c>
      <c r="N64" s="82">
        <f>VLOOKUP($A64&amp;"CP",'E11 - 2012 09 Final'!$A$46:$P$2419,$N$45,FALSE)</f>
        <v>4274</v>
      </c>
      <c r="O64" s="44">
        <f t="shared" si="12"/>
        <v>84462</v>
      </c>
      <c r="P64" s="11">
        <f t="shared" si="13"/>
        <v>7038.5</v>
      </c>
    </row>
    <row r="65" spans="1:16">
      <c r="C65" s="48"/>
      <c r="D65" s="48"/>
      <c r="E65" s="48"/>
      <c r="F65" s="48"/>
      <c r="G65" s="48"/>
      <c r="H65" s="48"/>
      <c r="I65" s="48"/>
      <c r="J65" s="48"/>
      <c r="K65" s="48"/>
      <c r="L65" s="48"/>
      <c r="M65" s="48"/>
      <c r="N65" s="48"/>
      <c r="O65" s="44"/>
      <c r="P65" s="11"/>
    </row>
    <row r="66" spans="1:16">
      <c r="C66" s="48"/>
      <c r="D66" s="48"/>
      <c r="E66" s="48"/>
      <c r="F66" s="48"/>
      <c r="G66" s="48"/>
      <c r="H66" s="48"/>
      <c r="I66" s="48"/>
      <c r="J66" s="48"/>
      <c r="K66" s="48"/>
      <c r="L66" s="48"/>
      <c r="M66" s="48"/>
      <c r="N66" s="48"/>
      <c r="O66" s="44"/>
      <c r="P66" s="11"/>
    </row>
    <row r="67" spans="1:16">
      <c r="B67" s="42" t="s">
        <v>86</v>
      </c>
      <c r="C67" s="10"/>
      <c r="D67" s="10"/>
      <c r="E67" s="10"/>
      <c r="F67" s="10"/>
      <c r="G67" s="10"/>
      <c r="H67" s="10"/>
      <c r="I67" s="10"/>
      <c r="J67" s="10"/>
      <c r="K67" s="10"/>
      <c r="L67" s="10"/>
      <c r="M67" s="10"/>
      <c r="N67" s="10"/>
    </row>
    <row r="68" spans="1:16">
      <c r="A68" t="s">
        <v>603</v>
      </c>
      <c r="B68" s="43" t="s">
        <v>603</v>
      </c>
      <c r="C68" s="82">
        <f>VLOOKUP($A68&amp;"CP",'E11 - 2012 09 Final'!$A$46:$P$2419,$C$45,FALSE)</f>
        <v>0</v>
      </c>
      <c r="D68" s="82">
        <f>VLOOKUP($A68&amp;"CP",'E11 - 2012 09 Final'!$A$46:$P$2419,$D$45,FALSE)</f>
        <v>0</v>
      </c>
      <c r="E68" s="82">
        <f>VLOOKUP($A68&amp;"CP",'E11 - 2012 09 Final'!$A$46:$P$2419,$E$45,FALSE)</f>
        <v>0</v>
      </c>
      <c r="F68" s="82">
        <f>VLOOKUP($A68&amp;"CP",'E11 - 2012 09 Final'!$A$46:$P$2419,$F$45,FALSE)</f>
        <v>0</v>
      </c>
      <c r="G68" s="82">
        <f>VLOOKUP($A68&amp;"CP",'E11 - 2012 09 Final'!$A$46:$P$2419,$G$45,FALSE)</f>
        <v>8313</v>
      </c>
      <c r="H68" s="82">
        <f>VLOOKUP($A68&amp;"CP",'E11 - 2012 09 Final'!$A$46:$P$2419,$H$45,FALSE)</f>
        <v>7717</v>
      </c>
      <c r="I68" s="82">
        <f>VLOOKUP($A68&amp;"CP",'E11 - 2012 09 Final'!$A$46:$P$2419,$I$45,FALSE)</f>
        <v>7540</v>
      </c>
      <c r="J68" s="82">
        <f>VLOOKUP($A68&amp;"CP",'E11 - 2012 09 Final'!$A$46:$P$2419,$J$45,FALSE)</f>
        <v>6239</v>
      </c>
      <c r="K68" s="82">
        <f>VLOOKUP($A68&amp;"CP",'E11 - 2012 09 Final'!$A$46:$P$2419,$K$45,FALSE)</f>
        <v>6691</v>
      </c>
      <c r="L68" s="82">
        <f>VLOOKUP($A68&amp;"CP",'E11 - 2012 09 Final'!$A$46:$P$2419,$L$45,FALSE)</f>
        <v>5957</v>
      </c>
      <c r="M68" s="82">
        <f>VLOOKUP($A68&amp;"CP",'E11 - 2012 09 Final'!$A$46:$P$2419,$M$45,FALSE)</f>
        <v>4439</v>
      </c>
      <c r="N68" s="82">
        <f>VLOOKUP($A68&amp;"CP",'E11 - 2012 09 Final'!$A$46:$P$2419,$N$45,FALSE)</f>
        <v>4700</v>
      </c>
      <c r="O68" s="44">
        <f t="shared" ref="O68:O73" si="14">SUM(C68:N68)</f>
        <v>51596</v>
      </c>
      <c r="P68" s="11">
        <f t="shared" ref="P68:P73" si="15">+O68/12</f>
        <v>4299.666666666667</v>
      </c>
    </row>
    <row r="69" spans="1:16">
      <c r="A69" t="s">
        <v>245</v>
      </c>
      <c r="B69" s="43" t="s">
        <v>983</v>
      </c>
      <c r="C69" s="82">
        <f>VLOOKUP($A69&amp;"CP",'E11 - 2012 09 Final'!$A$46:$P$2419,$C$45,FALSE)</f>
        <v>97571</v>
      </c>
      <c r="D69" s="82">
        <f>VLOOKUP($A69&amp;"CP",'E11 - 2012 09 Final'!$A$46:$P$2419,$D$45,FALSE)</f>
        <v>110218</v>
      </c>
      <c r="E69" s="82">
        <f>VLOOKUP($A69&amp;"CP",'E11 - 2012 09 Final'!$A$46:$P$2419,$E$45,FALSE)</f>
        <v>103301</v>
      </c>
      <c r="F69" s="82">
        <f>VLOOKUP($A69&amp;"CP",'E11 - 2012 09 Final'!$A$46:$P$2419,$F$45,FALSE)</f>
        <v>117445</v>
      </c>
      <c r="G69" s="82">
        <f>VLOOKUP($A69&amp;"CP",'E11 - 2012 09 Final'!$A$46:$P$2419,$G$45,FALSE)</f>
        <v>123481</v>
      </c>
      <c r="H69" s="82">
        <f>VLOOKUP($A69&amp;"CP",'E11 - 2012 09 Final'!$A$46:$P$2419,$H$45,FALSE)</f>
        <v>121995</v>
      </c>
      <c r="I69" s="82">
        <f>VLOOKUP($A69&amp;"CP",'E11 - 2012 09 Final'!$A$46:$P$2419,$I$45,FALSE)</f>
        <v>145446</v>
      </c>
      <c r="J69" s="82">
        <f>VLOOKUP($A69&amp;"CP",'E11 - 2012 09 Final'!$A$46:$P$2419,$J$45,FALSE)</f>
        <v>143143</v>
      </c>
      <c r="K69" s="82">
        <f>VLOOKUP($A69&amp;"CP",'E11 - 2012 09 Final'!$A$46:$P$2419,$K$45,FALSE)</f>
        <v>134477</v>
      </c>
      <c r="L69" s="82">
        <f>VLOOKUP($A69&amp;"CP",'E11 - 2012 09 Final'!$A$46:$P$2419,$L$45,FALSE)</f>
        <v>125289</v>
      </c>
      <c r="M69" s="82">
        <f>VLOOKUP($A69&amp;"CP",'E11 - 2012 09 Final'!$A$46:$P$2419,$M$45,FALSE)</f>
        <v>84874</v>
      </c>
      <c r="N69" s="82">
        <f>VLOOKUP($A69&amp;"CP",'E11 - 2012 09 Final'!$A$46:$P$2419,$N$45,FALSE)</f>
        <v>99138</v>
      </c>
      <c r="O69" s="44">
        <f t="shared" si="14"/>
        <v>1406378</v>
      </c>
      <c r="P69" s="11">
        <f t="shared" si="15"/>
        <v>117198.16666666667</v>
      </c>
    </row>
    <row r="70" spans="1:16">
      <c r="A70" t="s">
        <v>242</v>
      </c>
      <c r="B70" s="43" t="s">
        <v>491</v>
      </c>
      <c r="C70" s="82">
        <f>VLOOKUP($A70&amp;"CP",'E11 - 2012 09 Final'!$A$46:$P$2419,$C$45,FALSE)</f>
        <v>45000</v>
      </c>
      <c r="D70" s="82">
        <f>VLOOKUP($A70&amp;"CP",'E11 - 2012 09 Final'!$A$46:$P$2419,$D$45,FALSE)</f>
        <v>45000</v>
      </c>
      <c r="E70" s="82">
        <f>VLOOKUP($A70&amp;"CP",'E11 - 2012 09 Final'!$A$46:$P$2419,$E$45,FALSE)</f>
        <v>45000</v>
      </c>
      <c r="F70" s="82">
        <f>VLOOKUP($A70&amp;"CP",'E11 - 2012 09 Final'!$A$46:$P$2419,$F$45,FALSE)</f>
        <v>45000</v>
      </c>
      <c r="G70" s="82">
        <f>VLOOKUP($A70&amp;"CP",'E11 - 2012 09 Final'!$A$46:$P$2419,$G$45,FALSE)</f>
        <v>45000</v>
      </c>
      <c r="H70" s="82">
        <f>VLOOKUP($A70&amp;"CP",'E11 - 2012 09 Final'!$A$46:$P$2419,$H$45,FALSE)</f>
        <v>45000</v>
      </c>
      <c r="I70" s="82">
        <f>VLOOKUP($A70&amp;"CP",'E11 - 2012 09 Final'!$A$46:$P$2419,$I$45,FALSE)</f>
        <v>45000</v>
      </c>
      <c r="J70" s="82">
        <f>VLOOKUP($A70&amp;"CP",'E11 - 2012 09 Final'!$A$46:$P$2419,$J$45,FALSE)</f>
        <v>45000</v>
      </c>
      <c r="K70" s="82">
        <f>VLOOKUP($A70&amp;"CP",'E11 - 2012 09 Final'!$A$46:$P$2419,$K$45,FALSE)</f>
        <v>45000</v>
      </c>
      <c r="L70" s="82">
        <f>VLOOKUP($A70&amp;"CP",'E11 - 2012 09 Final'!$A$46:$P$2419,$L$45,FALSE)</f>
        <v>45000</v>
      </c>
      <c r="M70" s="82">
        <f>VLOOKUP($A70&amp;"CP",'E11 - 2012 09 Final'!$A$46:$P$2419,$M$45,FALSE)</f>
        <v>45000</v>
      </c>
      <c r="N70" s="82">
        <f>VLOOKUP($A70&amp;"CP",'E11 - 2012 09 Final'!$A$46:$P$2419,$N$45,FALSE)</f>
        <v>45000</v>
      </c>
      <c r="O70" s="44">
        <f t="shared" si="14"/>
        <v>540000</v>
      </c>
      <c r="P70" s="11">
        <f t="shared" si="15"/>
        <v>45000</v>
      </c>
    </row>
    <row r="71" spans="1:16" ht="409.6">
      <c r="A71" t="s">
        <v>661</v>
      </c>
      <c r="B71" s="43" t="s">
        <v>984</v>
      </c>
      <c r="C71" s="82">
        <f>VLOOKUP($A71&amp;"CP",'E11 - 2012 09 Final'!$A$46:$P$2419,$C$45,FALSE)</f>
        <v>224965</v>
      </c>
      <c r="D71" s="82">
        <f>VLOOKUP($A71&amp;"CP",'E11 - 2012 09 Final'!$A$46:$P$2419,$D$45,FALSE)</f>
        <v>178631</v>
      </c>
      <c r="E71" s="82">
        <f>VLOOKUP($A71&amp;"CP",'E11 - 2012 09 Final'!$A$46:$P$2419,$E$45,FALSE)</f>
        <v>189024</v>
      </c>
      <c r="F71" s="82">
        <f>VLOOKUP($A71&amp;"CP",'E11 - 2012 09 Final'!$A$46:$P$2419,$F$45,FALSE)</f>
        <v>205486</v>
      </c>
      <c r="G71" s="82">
        <f>VLOOKUP($A71&amp;"CP",'E11 - 2012 09 Final'!$A$46:$P$2419,$G$45,FALSE)</f>
        <v>215855</v>
      </c>
      <c r="H71" s="82">
        <f>VLOOKUP($A71&amp;"CP",'E11 - 2012 09 Final'!$A$46:$P$2419,$H$45,FALSE)</f>
        <v>206019</v>
      </c>
      <c r="I71" s="82">
        <f>VLOOKUP($A71&amp;"CP",'E11 - 2012 09 Final'!$A$46:$P$2419,$I$45,FALSE)</f>
        <v>226667</v>
      </c>
      <c r="J71" s="82">
        <f>VLOOKUP($A71&amp;"CP",'E11 - 2012 09 Final'!$A$46:$P$2419,$J$45,FALSE)</f>
        <v>223403</v>
      </c>
      <c r="K71" s="82">
        <f>VLOOKUP($A71&amp;"CP",'E11 - 2012 09 Final'!$A$46:$P$2419,$K$45,FALSE)</f>
        <v>215817</v>
      </c>
      <c r="L71" s="82">
        <f>VLOOKUP($A71&amp;"CP",'E11 - 2012 09 Final'!$A$46:$P$2419,$L$45,FALSE)</f>
        <v>211904</v>
      </c>
      <c r="M71" s="82">
        <f>VLOOKUP($A71&amp;"CP",'E11 - 2012 09 Final'!$A$46:$P$2419,$M$45,FALSE)</f>
        <v>147772</v>
      </c>
      <c r="N71" s="82">
        <f>VLOOKUP($A71&amp;"CP",'E11 - 2012 09 Final'!$A$46:$P$2419,$N$45,FALSE)</f>
        <v>174495</v>
      </c>
      <c r="O71" s="44">
        <f t="shared" si="14"/>
        <v>2420038</v>
      </c>
      <c r="P71" s="11">
        <f t="shared" si="15"/>
        <v>201669.83333333334</v>
      </c>
    </row>
    <row r="72" spans="1:16">
      <c r="A72" t="s">
        <v>7</v>
      </c>
      <c r="B72" s="43" t="s">
        <v>987</v>
      </c>
      <c r="C72" s="82">
        <f>VLOOKUP($A72&amp;"CP",'E11 - 2012 09 Final'!$A$46:$P$2419,$C$45,FALSE)</f>
        <v>978</v>
      </c>
      <c r="D72" s="82">
        <f>VLOOKUP($A72&amp;"CP",'E11 - 2012 09 Final'!$A$46:$P$2419,$D$45,FALSE)</f>
        <v>920</v>
      </c>
      <c r="E72" s="82">
        <f>VLOOKUP($A72&amp;"CP",'E11 - 2012 09 Final'!$A$46:$P$2419,$E$45,FALSE)</f>
        <v>350</v>
      </c>
      <c r="F72" s="82">
        <f>VLOOKUP($A72&amp;"CP",'E11 - 2012 09 Final'!$A$46:$P$2419,$F$45,FALSE)</f>
        <v>570</v>
      </c>
      <c r="G72" s="82">
        <f>VLOOKUP($A72&amp;"CP",'E11 - 2012 09 Final'!$A$46:$P$2419,$G$45,FALSE)</f>
        <v>896</v>
      </c>
      <c r="H72" s="82">
        <f>VLOOKUP($A72&amp;"CP",'E11 - 2012 09 Final'!$A$46:$P$2419,$H$45,FALSE)</f>
        <v>898</v>
      </c>
      <c r="I72" s="82">
        <f>VLOOKUP($A72&amp;"CP",'E11 - 2012 09 Final'!$A$46:$P$2419,$I$45,FALSE)</f>
        <v>601</v>
      </c>
      <c r="J72" s="82">
        <f>VLOOKUP($A72&amp;"CP",'E11 - 2012 09 Final'!$A$46:$P$2419,$J$45,FALSE)</f>
        <v>363</v>
      </c>
      <c r="K72" s="82">
        <f>VLOOKUP($A72&amp;"CP",'E11 - 2012 09 Final'!$A$46:$P$2419,$K$45,FALSE)</f>
        <v>682</v>
      </c>
      <c r="L72" s="82">
        <f>VLOOKUP($A72&amp;"CP",'E11 - 2012 09 Final'!$A$46:$P$2419,$L$45,FALSE)</f>
        <v>301</v>
      </c>
      <c r="M72" s="82">
        <f>VLOOKUP($A72&amp;"CP",'E11 - 2012 09 Final'!$A$46:$P$2419,$M$45,FALSE)</f>
        <v>573</v>
      </c>
      <c r="N72" s="82">
        <f>VLOOKUP($A72&amp;"CP",'E11 - 2012 09 Final'!$A$46:$P$2419,$N$45,FALSE)</f>
        <v>660</v>
      </c>
      <c r="O72" s="44">
        <f t="shared" si="14"/>
        <v>7792</v>
      </c>
      <c r="P72" s="11">
        <f t="shared" si="15"/>
        <v>649.33333333333337</v>
      </c>
    </row>
    <row r="73" spans="1:16">
      <c r="A73" t="s">
        <v>724</v>
      </c>
      <c r="B73" s="43" t="s">
        <v>724</v>
      </c>
      <c r="C73" s="82">
        <f>VLOOKUP($A73&amp;"CP",'E11 - 2012 09 Final'!$A$46:$P$2419,$C$45,FALSE)</f>
        <v>13129</v>
      </c>
      <c r="D73" s="82">
        <f>VLOOKUP($A73&amp;"CP",'E11 - 2012 09 Final'!$A$46:$P$2419,$D$45,FALSE)</f>
        <v>9782</v>
      </c>
      <c r="E73" s="82">
        <f>VLOOKUP($A73&amp;"CP",'E11 - 2012 09 Final'!$A$46:$P$2419,$E$45,FALSE)</f>
        <v>10638</v>
      </c>
      <c r="F73" s="82">
        <f>VLOOKUP($A73&amp;"CP",'E11 - 2012 09 Final'!$A$46:$P$2419,$F$45,FALSE)</f>
        <v>11027</v>
      </c>
      <c r="G73" s="82">
        <f>VLOOKUP($A73&amp;"CP",'E11 - 2012 09 Final'!$A$46:$P$2419,$G$45,FALSE)</f>
        <v>13132</v>
      </c>
      <c r="H73" s="82">
        <f>VLOOKUP($A73&amp;"CP",'E11 - 2012 09 Final'!$A$46:$P$2419,$H$45,FALSE)</f>
        <v>12251</v>
      </c>
      <c r="I73" s="82">
        <f>VLOOKUP($A73&amp;"CP",'E11 - 2012 09 Final'!$A$46:$P$2419,$I$45,FALSE)</f>
        <v>12666</v>
      </c>
      <c r="J73" s="82">
        <f>VLOOKUP($A73&amp;"CP",'E11 - 2012 09 Final'!$A$46:$P$2419,$J$45,FALSE)</f>
        <v>13210</v>
      </c>
      <c r="K73" s="82">
        <f>VLOOKUP($A73&amp;"CP",'E11 - 2012 09 Final'!$A$46:$P$2419,$K$45,FALSE)</f>
        <v>10827</v>
      </c>
      <c r="L73" s="82">
        <f>VLOOKUP($A73&amp;"CP",'E11 - 2012 09 Final'!$A$46:$P$2419,$L$45,FALSE)</f>
        <v>11498</v>
      </c>
      <c r="M73" s="82">
        <f>VLOOKUP($A73&amp;"CP",'E11 - 2012 09 Final'!$A$46:$P$2419,$M$45,FALSE)</f>
        <v>7682</v>
      </c>
      <c r="N73" s="82">
        <f>VLOOKUP($A73&amp;"CP",'E11 - 2012 09 Final'!$A$46:$P$2419,$N$45,FALSE)</f>
        <v>9140</v>
      </c>
      <c r="O73" s="44">
        <f t="shared" si="14"/>
        <v>134982</v>
      </c>
      <c r="P73" s="11">
        <f t="shared" si="15"/>
        <v>11248.5</v>
      </c>
    </row>
    <row r="75" spans="1:16" ht="19.5" customHeight="1">
      <c r="B75" s="611" t="s">
        <v>91</v>
      </c>
      <c r="C75" s="611"/>
      <c r="D75" s="611"/>
      <c r="E75" s="611"/>
      <c r="F75" s="611"/>
      <c r="G75" s="611"/>
      <c r="H75" s="611"/>
      <c r="I75" s="611"/>
      <c r="J75" s="611"/>
      <c r="K75" s="611"/>
      <c r="L75" s="611"/>
      <c r="M75" s="611"/>
      <c r="N75" s="611"/>
      <c r="O75" s="611"/>
      <c r="P75" s="611"/>
    </row>
    <row r="76" spans="1:16" ht="17.399999999999999">
      <c r="B76" s="610" t="str">
        <f>+MANUAL!$B$6 &amp;" as Calculated by LodeStar Except as Noted"</f>
        <v>2013 as Calculated by LodeStar Except as Noted</v>
      </c>
      <c r="C76" s="610"/>
      <c r="D76" s="610"/>
      <c r="E76" s="610"/>
      <c r="F76" s="610"/>
      <c r="G76" s="610"/>
      <c r="H76" s="610"/>
      <c r="I76" s="610"/>
      <c r="J76" s="610"/>
      <c r="K76" s="610"/>
      <c r="L76" s="610"/>
      <c r="M76" s="610"/>
      <c r="N76" s="610"/>
      <c r="O76" s="610"/>
      <c r="P76" s="610"/>
    </row>
    <row r="77" spans="1:16" ht="13.8" thickBot="1">
      <c r="B77" s="84"/>
      <c r="C77" s="84"/>
      <c r="D77" s="84"/>
      <c r="E77" s="84"/>
      <c r="F77" s="84"/>
      <c r="G77" s="84"/>
      <c r="H77" s="84"/>
      <c r="I77" s="84"/>
      <c r="J77" s="84"/>
      <c r="K77" s="84"/>
      <c r="L77" s="84"/>
      <c r="M77" s="84"/>
      <c r="N77" s="84"/>
      <c r="O77" s="84"/>
      <c r="P77" s="84"/>
    </row>
    <row r="78" spans="1:16" ht="409.6">
      <c r="C78" s="14"/>
      <c r="D78" s="15"/>
      <c r="E78" s="16"/>
      <c r="F78" s="17"/>
      <c r="G78" s="18"/>
      <c r="H78" s="19"/>
      <c r="I78" s="20"/>
      <c r="J78" s="21"/>
      <c r="K78" s="22"/>
      <c r="L78" s="23"/>
      <c r="M78" s="24"/>
      <c r="N78" s="25"/>
      <c r="O78" s="26"/>
      <c r="P78" s="27" t="s">
        <v>82</v>
      </c>
    </row>
    <row r="79" spans="1:16" ht="13.8" thickBot="1">
      <c r="C79" s="28" t="s">
        <v>70</v>
      </c>
      <c r="D79" s="29" t="s">
        <v>71</v>
      </c>
      <c r="E79" s="30" t="s">
        <v>72</v>
      </c>
      <c r="F79" s="31" t="s">
        <v>73</v>
      </c>
      <c r="G79" s="32" t="s">
        <v>74</v>
      </c>
      <c r="H79" s="33" t="s">
        <v>75</v>
      </c>
      <c r="I79" s="34" t="s">
        <v>76</v>
      </c>
      <c r="J79" s="35" t="s">
        <v>77</v>
      </c>
      <c r="K79" s="36" t="s">
        <v>78</v>
      </c>
      <c r="L79" s="37" t="s">
        <v>79</v>
      </c>
      <c r="M79" s="38" t="s">
        <v>80</v>
      </c>
      <c r="N79" s="39" t="s">
        <v>81</v>
      </c>
      <c r="O79" s="40" t="s">
        <v>60</v>
      </c>
      <c r="P79" s="41" t="s">
        <v>82</v>
      </c>
    </row>
    <row r="80" spans="1:16" hidden="1">
      <c r="C80">
        <v>4</v>
      </c>
      <c r="D80">
        <f>C80+1</f>
        <v>5</v>
      </c>
      <c r="E80">
        <f t="shared" ref="E80:N80" si="16">D80+1</f>
        <v>6</v>
      </c>
      <c r="F80">
        <f t="shared" si="16"/>
        <v>7</v>
      </c>
      <c r="G80">
        <f t="shared" si="16"/>
        <v>8</v>
      </c>
      <c r="H80">
        <f t="shared" si="16"/>
        <v>9</v>
      </c>
      <c r="I80">
        <f t="shared" si="16"/>
        <v>10</v>
      </c>
      <c r="J80">
        <f t="shared" si="16"/>
        <v>11</v>
      </c>
      <c r="K80">
        <f t="shared" si="16"/>
        <v>12</v>
      </c>
      <c r="L80">
        <f t="shared" si="16"/>
        <v>13</v>
      </c>
      <c r="M80">
        <f t="shared" si="16"/>
        <v>14</v>
      </c>
      <c r="N80">
        <f t="shared" si="16"/>
        <v>15</v>
      </c>
    </row>
    <row r="82" spans="1:16">
      <c r="B82" s="42" t="s">
        <v>83</v>
      </c>
    </row>
    <row r="83" spans="1:16">
      <c r="A83" t="s">
        <v>122</v>
      </c>
      <c r="B83" s="43" t="s">
        <v>84</v>
      </c>
      <c r="C83" s="82">
        <f>VLOOKUP($A83&amp;"CP",'E11 - 2013 09 Final'!$A$46:$P$1775,$C$80,FALSE)</f>
        <v>352593</v>
      </c>
      <c r="D83" s="82">
        <f>VLOOKUP($A83&amp;"CP",'E11 - 2013 09 Final'!$A$46:$P$1775,$D$80,FALSE)</f>
        <v>392112</v>
      </c>
      <c r="E83" s="82">
        <f>VLOOKUP($A83&amp;"CP",'E11 - 2013 09 Final'!$A$46:$P$1775,$E$80,FALSE)</f>
        <v>288381</v>
      </c>
      <c r="F83" s="82">
        <f>VLOOKUP($A83&amp;"CP",'E11 - 2013 09 Final'!$A$46:$P$1775,$F$80,FALSE)</f>
        <v>349139</v>
      </c>
      <c r="G83" s="82">
        <f>VLOOKUP($A83&amp;"CP",'E11 - 2013 09 Final'!$A$46:$P$1775,$G$80,FALSE)</f>
        <v>352811</v>
      </c>
      <c r="H83" s="82">
        <f>VLOOKUP($A83&amp;"CP",'E11 - 2013 09 Final'!$A$46:$P$1775,$H$80,FALSE)</f>
        <v>378979</v>
      </c>
      <c r="I83" s="82">
        <f>VLOOKUP($A83&amp;"CP",'E11 - 2013 09 Final'!$A$46:$P$1775,$I$80,FALSE)</f>
        <v>352513</v>
      </c>
      <c r="J83" s="82">
        <f>VLOOKUP($A83&amp;"CP",'E11 - 2013 09 Final'!$A$46:$P$1775,$J$80,FALSE)</f>
        <v>369960</v>
      </c>
      <c r="K83" s="82">
        <f>VLOOKUP($A83&amp;"CP",'E11 - 2013 09 Final'!$A$46:$P$1775,$K$80,FALSE)</f>
        <v>402957</v>
      </c>
      <c r="L83" s="82">
        <f>VLOOKUP($A83&amp;"CP",'E11 - 2013 09 Final'!$A$46:$P$1775,$L$80,FALSE)</f>
        <v>356598</v>
      </c>
      <c r="M83" s="82">
        <f>VLOOKUP($A83&amp;"CP",'E11 - 2013 09 Final'!$A$46:$P$1775,$M$80,FALSE)</f>
        <v>360840</v>
      </c>
      <c r="N83" s="82">
        <f>VLOOKUP($A83&amp;"CP",'E11 - 2013 09 Final'!$A$46:$P$1775,$N$80,FALSE)</f>
        <v>346680</v>
      </c>
      <c r="O83" s="44">
        <f t="shared" ref="O83:O99" si="17">SUM(C83:N83)</f>
        <v>4303563</v>
      </c>
      <c r="P83" s="11">
        <f t="shared" ref="P83:P99" si="18">+O83/12</f>
        <v>358630.25</v>
      </c>
    </row>
    <row r="84" spans="1:16">
      <c r="A84" t="s">
        <v>177</v>
      </c>
      <c r="B84" s="43" t="s">
        <v>85</v>
      </c>
      <c r="C84" s="82">
        <f>VLOOKUP($A84&amp;"CP",'E11 - 2013 09 Final'!$A$46:$P$1775,$C$80,FALSE)</f>
        <v>22904</v>
      </c>
      <c r="D84" s="82">
        <f>VLOOKUP($A84&amp;"CP",'E11 - 2013 09 Final'!$A$46:$P$1775,$D$80,FALSE)</f>
        <v>25415</v>
      </c>
      <c r="E84" s="82">
        <f>VLOOKUP($A84&amp;"CP",'E11 - 2013 09 Final'!$A$46:$P$1775,$E$80,FALSE)</f>
        <v>19855</v>
      </c>
      <c r="F84" s="82">
        <f>VLOOKUP($A84&amp;"CP",'E11 - 2013 09 Final'!$A$46:$P$1775,$F$80,FALSE)</f>
        <v>24128</v>
      </c>
      <c r="G84" s="82">
        <f>VLOOKUP($A84&amp;"CP",'E11 - 2013 09 Final'!$A$46:$P$1775,$G$80,FALSE)</f>
        <v>24322</v>
      </c>
      <c r="H84" s="82">
        <f>VLOOKUP($A84&amp;"CP",'E11 - 2013 09 Final'!$A$46:$P$1775,$H$80,FALSE)</f>
        <v>25542</v>
      </c>
      <c r="I84" s="82">
        <f>VLOOKUP($A84&amp;"CP",'E11 - 2013 09 Final'!$A$46:$P$1775,$I$80,FALSE)</f>
        <v>24618</v>
      </c>
      <c r="J84" s="82">
        <f>VLOOKUP($A84&amp;"CP",'E11 - 2013 09 Final'!$A$46:$P$1775,$J$80,FALSE)</f>
        <v>24725</v>
      </c>
      <c r="K84" s="82">
        <f>VLOOKUP($A84&amp;"CP",'E11 - 2013 09 Final'!$A$46:$P$1775,$K$80,FALSE)</f>
        <v>27282</v>
      </c>
      <c r="L84" s="82">
        <f>VLOOKUP($A84&amp;"CP",'E11 - 2013 09 Final'!$A$46:$P$1775,$L$80,FALSE)</f>
        <v>24342</v>
      </c>
      <c r="M84" s="82">
        <f>VLOOKUP($A84&amp;"CP",'E11 - 2013 09 Final'!$A$46:$P$1775,$M$80,FALSE)</f>
        <v>24343</v>
      </c>
      <c r="N84" s="82">
        <f>VLOOKUP($A84&amp;"CP",'E11 - 2013 09 Final'!$A$46:$P$1775,$N$80,FALSE)</f>
        <v>23790</v>
      </c>
      <c r="O84" s="44">
        <f t="shared" si="17"/>
        <v>291266</v>
      </c>
      <c r="P84" s="11">
        <f t="shared" si="18"/>
        <v>24272.166666666668</v>
      </c>
    </row>
    <row r="85" spans="1:16">
      <c r="A85" t="s">
        <v>185</v>
      </c>
      <c r="B85" s="43" t="s">
        <v>50</v>
      </c>
      <c r="C85" s="82">
        <f>VLOOKUP($A85&amp;"CP",'E11 - 2013 09 Final'!$A$46:$P$1775,$C$80,FALSE)</f>
        <v>138470</v>
      </c>
      <c r="D85" s="82">
        <f>VLOOKUP($A85&amp;"CP",'E11 - 2013 09 Final'!$A$46:$P$1775,$D$80,FALSE)</f>
        <v>159868</v>
      </c>
      <c r="E85" s="82">
        <f>VLOOKUP($A85&amp;"CP",'E11 - 2013 09 Final'!$A$46:$P$1775,$E$80,FALSE)</f>
        <v>159962</v>
      </c>
      <c r="F85" s="82">
        <f>VLOOKUP($A85&amp;"CP",'E11 - 2013 09 Final'!$A$46:$P$1775,$F$80,FALSE)</f>
        <v>159791</v>
      </c>
      <c r="G85" s="82">
        <f>VLOOKUP($A85&amp;"CP",'E11 - 2013 09 Final'!$A$46:$P$1775,$G$80,FALSE)</f>
        <v>151128</v>
      </c>
      <c r="H85" s="82">
        <f>VLOOKUP($A85&amp;"CP",'E11 - 2013 09 Final'!$A$46:$P$1775,$H$80,FALSE)</f>
        <v>154061</v>
      </c>
      <c r="I85" s="82">
        <f>VLOOKUP($A85&amp;"CP",'E11 - 2013 09 Final'!$A$46:$P$1775,$I$80,FALSE)</f>
        <v>144778</v>
      </c>
      <c r="J85" s="82">
        <f>VLOOKUP($A85&amp;"CP",'E11 - 2013 09 Final'!$A$46:$P$1775,$J$80,FALSE)</f>
        <v>183374</v>
      </c>
      <c r="K85" s="82">
        <f>VLOOKUP($A85&amp;"CP",'E11 - 2013 09 Final'!$A$46:$P$1775,$K$80,FALSE)</f>
        <v>157680</v>
      </c>
      <c r="L85" s="82">
        <f>VLOOKUP($A85&amp;"CP",'E11 - 2013 09 Final'!$A$46:$P$1775,$L$80,FALSE)</f>
        <v>147298</v>
      </c>
      <c r="M85" s="82">
        <f>VLOOKUP($A85&amp;"CP",'E11 - 2013 09 Final'!$A$46:$P$1775,$M$80,FALSE)</f>
        <v>172686</v>
      </c>
      <c r="N85" s="82">
        <f>VLOOKUP($A85&amp;"CP",'E11 - 2013 09 Final'!$A$46:$P$1775,$N$80,FALSE)</f>
        <v>162618</v>
      </c>
      <c r="O85" s="44">
        <f t="shared" si="17"/>
        <v>1891714</v>
      </c>
      <c r="P85" s="11">
        <f t="shared" si="18"/>
        <v>157642.83333333334</v>
      </c>
    </row>
    <row r="86" spans="1:16">
      <c r="A86" t="s">
        <v>632</v>
      </c>
      <c r="B86" s="43" t="s">
        <v>49</v>
      </c>
      <c r="C86" s="82">
        <f>VLOOKUP($A86&amp;"CP",'E11 - 2013 09 Final'!$A$46:$P$1775,$C$80,FALSE)</f>
        <v>754646</v>
      </c>
      <c r="D86" s="82">
        <f>VLOOKUP($A86&amp;"CP",'E11 - 2013 09 Final'!$A$46:$P$1775,$D$80,FALSE)</f>
        <v>1050096</v>
      </c>
      <c r="E86" s="82">
        <f>VLOOKUP($A86&amp;"CP",'E11 - 2013 09 Final'!$A$46:$P$1775,$E$80,FALSE)</f>
        <v>398652</v>
      </c>
      <c r="F86" s="82">
        <f>VLOOKUP($A86&amp;"CP",'E11 - 2013 09 Final'!$A$46:$P$1775,$F$80,FALSE)</f>
        <v>978298</v>
      </c>
      <c r="G86" s="82">
        <f>VLOOKUP($A86&amp;"CP",'E11 - 2013 09 Final'!$A$46:$P$1775,$G$80,FALSE)</f>
        <v>1041044</v>
      </c>
      <c r="H86" s="82">
        <f>VLOOKUP($A86&amp;"CP",'E11 - 2013 09 Final'!$A$46:$P$1775,$H$80,FALSE)</f>
        <v>1138091</v>
      </c>
      <c r="I86" s="82">
        <f>VLOOKUP($A86&amp;"CP",'E11 - 2013 09 Final'!$A$46:$P$1775,$I$80,FALSE)</f>
        <v>1153225</v>
      </c>
      <c r="J86" s="82">
        <f>VLOOKUP($A86&amp;"CP",'E11 - 2013 09 Final'!$A$46:$P$1775,$J$80,FALSE)</f>
        <v>1181251</v>
      </c>
      <c r="K86" s="82">
        <f>VLOOKUP($A86&amp;"CP",'E11 - 2013 09 Final'!$A$46:$P$1775,$K$80,FALSE)</f>
        <v>1343042</v>
      </c>
      <c r="L86" s="82">
        <f>VLOOKUP($A86&amp;"CP",'E11 - 2013 09 Final'!$A$46:$P$1775,$L$80,FALSE)</f>
        <v>1049601</v>
      </c>
      <c r="M86" s="82">
        <f>VLOOKUP($A86&amp;"CP",'E11 - 2013 09 Final'!$A$46:$P$1775,$M$80,FALSE)</f>
        <v>1086417</v>
      </c>
      <c r="N86" s="82">
        <f>VLOOKUP($A86&amp;"CP",'E11 - 2013 09 Final'!$A$46:$P$1775,$N$80,FALSE)</f>
        <v>1023217</v>
      </c>
      <c r="O86" s="44">
        <f t="shared" si="17"/>
        <v>12197580</v>
      </c>
      <c r="P86" s="11">
        <f t="shared" si="18"/>
        <v>1016465</v>
      </c>
    </row>
    <row r="87" spans="1:16">
      <c r="A87" t="s">
        <v>640</v>
      </c>
      <c r="B87" s="46" t="s">
        <v>325</v>
      </c>
      <c r="C87" s="82">
        <f>VLOOKUP($A87&amp;"CP",'E11 - 2013 09 Final'!$A$46:$P$1775,$C$80,FALSE)</f>
        <v>2970</v>
      </c>
      <c r="D87" s="82">
        <f>VLOOKUP($A87&amp;"CP",'E11 - 2013 09 Final'!$A$46:$P$1775,$D$80,FALSE)</f>
        <v>3057</v>
      </c>
      <c r="E87" s="82">
        <f>VLOOKUP($A87&amp;"CP",'E11 - 2013 09 Final'!$A$46:$P$1775,$E$80,FALSE)</f>
        <v>2503</v>
      </c>
      <c r="F87" s="82">
        <f>VLOOKUP($A87&amp;"CP",'E11 - 2013 09 Final'!$A$46:$P$1775,$F$80,FALSE)</f>
        <v>2820</v>
      </c>
      <c r="G87" s="82">
        <f>VLOOKUP($A87&amp;"CP",'E11 - 2013 09 Final'!$A$46:$P$1775,$G$80,FALSE)</f>
        <v>2701</v>
      </c>
      <c r="H87" s="82">
        <f>VLOOKUP($A87&amp;"CP",'E11 - 2013 09 Final'!$A$46:$P$1775,$H$80,FALSE)</f>
        <v>5818</v>
      </c>
      <c r="I87" s="82">
        <f>VLOOKUP($A87&amp;"CP",'E11 - 2013 09 Final'!$A$46:$P$1775,$I$80,FALSE)</f>
        <v>6519</v>
      </c>
      <c r="J87" s="82">
        <f>VLOOKUP($A87&amp;"CP",'E11 - 2013 09 Final'!$A$46:$P$1775,$J$80,FALSE)</f>
        <v>6547</v>
      </c>
      <c r="K87" s="82">
        <f>VLOOKUP($A87&amp;"CP",'E11 - 2013 09 Final'!$A$46:$P$1775,$K$80,FALSE)</f>
        <v>6797</v>
      </c>
      <c r="L87" s="82">
        <f>VLOOKUP($A87&amp;"CP",'E11 - 2013 09 Final'!$A$46:$P$1775,$L$80,FALSE)</f>
        <v>1211</v>
      </c>
      <c r="M87" s="82">
        <f>VLOOKUP($A87&amp;"CP",'E11 - 2013 09 Final'!$A$46:$P$1775,$M$80,FALSE)</f>
        <v>1199</v>
      </c>
      <c r="N87" s="82">
        <f>VLOOKUP($A87&amp;"CP",'E11 - 2013 09 Final'!$A$46:$P$1775,$N$80,FALSE)</f>
        <v>1209</v>
      </c>
      <c r="O87" s="44">
        <f t="shared" si="17"/>
        <v>43351</v>
      </c>
      <c r="P87" s="11">
        <f t="shared" si="18"/>
        <v>3612.5833333333335</v>
      </c>
    </row>
    <row r="88" spans="1:16">
      <c r="A88" t="s">
        <v>994</v>
      </c>
      <c r="B88" s="43" t="s">
        <v>67</v>
      </c>
      <c r="C88" s="82">
        <f>VLOOKUP($A88&amp;"CP",'E11 - 2013 09 Final'!$A$46:$P$1775,$C$80,FALSE)</f>
        <v>3400470</v>
      </c>
      <c r="D88" s="82">
        <f>VLOOKUP($A88&amp;"CP",'E11 - 2013 09 Final'!$A$46:$P$1775,$D$80,FALSE)</f>
        <v>3835690</v>
      </c>
      <c r="E88" s="82">
        <f>VLOOKUP($A88&amp;"CP",'E11 - 2013 09 Final'!$A$46:$P$1775,$E$80,FALSE)</f>
        <v>2036681</v>
      </c>
      <c r="F88" s="82">
        <f>VLOOKUP($A88&amp;"CP",'E11 - 2013 09 Final'!$A$46:$P$1775,$F$80,FALSE)</f>
        <v>3585846</v>
      </c>
      <c r="G88" s="82">
        <f>VLOOKUP($A88&amp;"CP",'E11 - 2013 09 Final'!$A$46:$P$1775,$G$80,FALSE)</f>
        <v>3821051</v>
      </c>
      <c r="H88" s="82">
        <f>VLOOKUP($A88&amp;"CP",'E11 - 2013 09 Final'!$A$46:$P$1775,$H$80,FALSE)</f>
        <v>3997871</v>
      </c>
      <c r="I88" s="82">
        <f>VLOOKUP($A88&amp;"CP",'E11 - 2013 09 Final'!$A$46:$P$1775,$I$80,FALSE)</f>
        <v>4076255</v>
      </c>
      <c r="J88" s="82">
        <f>VLOOKUP($A88&amp;"CP",'E11 - 2013 09 Final'!$A$46:$P$1775,$J$80,FALSE)</f>
        <v>4126683</v>
      </c>
      <c r="K88" s="82">
        <f>VLOOKUP($A88&amp;"CP",'E11 - 2013 09 Final'!$A$46:$P$1775,$K$80,FALSE)</f>
        <v>4609471</v>
      </c>
      <c r="L88" s="82">
        <f>VLOOKUP($A88&amp;"CP",'E11 - 2013 09 Final'!$A$46:$P$1775,$L$80,FALSE)</f>
        <v>3784508</v>
      </c>
      <c r="M88" s="82">
        <f>VLOOKUP($A88&amp;"CP",'E11 - 2013 09 Final'!$A$46:$P$1775,$M$80,FALSE)</f>
        <v>3887127</v>
      </c>
      <c r="N88" s="82">
        <f>VLOOKUP($A88&amp;"CP",'E11 - 2013 09 Final'!$A$46:$P$1775,$N$80,FALSE)</f>
        <v>3608376</v>
      </c>
      <c r="O88" s="44">
        <f t="shared" si="17"/>
        <v>44770029</v>
      </c>
      <c r="P88" s="11">
        <f t="shared" si="18"/>
        <v>3730835.75</v>
      </c>
    </row>
    <row r="89" spans="1:16">
      <c r="A89" t="s">
        <v>997</v>
      </c>
      <c r="B89" s="43" t="s">
        <v>68</v>
      </c>
      <c r="C89" s="82">
        <f>VLOOKUP($A89&amp;"CP",'E11 - 2013 09 Final'!$A$46:$P$1775,$C$80,FALSE)</f>
        <v>1424053</v>
      </c>
      <c r="D89" s="82">
        <f>VLOOKUP($A89&amp;"CP",'E11 - 2013 09 Final'!$A$46:$P$1775,$D$80,FALSE)</f>
        <v>1767164</v>
      </c>
      <c r="E89" s="82">
        <f>VLOOKUP($A89&amp;"CP",'E11 - 2013 09 Final'!$A$46:$P$1775,$E$80,FALSE)</f>
        <v>1111330</v>
      </c>
      <c r="F89" s="82">
        <f>VLOOKUP($A89&amp;"CP",'E11 - 2013 09 Final'!$A$46:$P$1775,$F$80,FALSE)</f>
        <v>1521966</v>
      </c>
      <c r="G89" s="82">
        <f>VLOOKUP($A89&amp;"CP",'E11 - 2013 09 Final'!$A$46:$P$1775,$G$80,FALSE)</f>
        <v>1590541</v>
      </c>
      <c r="H89" s="82">
        <f>VLOOKUP($A89&amp;"CP",'E11 - 2013 09 Final'!$A$46:$P$1775,$H$80,FALSE)</f>
        <v>1685665</v>
      </c>
      <c r="I89" s="82">
        <f>VLOOKUP($A89&amp;"CP",'E11 - 2013 09 Final'!$A$46:$P$1775,$I$80,FALSE)</f>
        <v>1579438</v>
      </c>
      <c r="J89" s="82">
        <f>VLOOKUP($A89&amp;"CP",'E11 - 2013 09 Final'!$A$46:$P$1775,$J$80,FALSE)</f>
        <v>1652843</v>
      </c>
      <c r="K89" s="82">
        <f>VLOOKUP($A89&amp;"CP",'E11 - 2013 09 Final'!$A$46:$P$1775,$K$80,FALSE)</f>
        <v>1914669</v>
      </c>
      <c r="L89" s="82">
        <f>VLOOKUP($A89&amp;"CP",'E11 - 2013 09 Final'!$A$46:$P$1775,$L$80,FALSE)</f>
        <v>1634090</v>
      </c>
      <c r="M89" s="82">
        <f>VLOOKUP($A89&amp;"CP",'E11 - 2013 09 Final'!$A$46:$P$1775,$M$80,FALSE)</f>
        <v>1665404</v>
      </c>
      <c r="N89" s="82">
        <f>VLOOKUP($A89&amp;"CP",'E11 - 2013 09 Final'!$A$46:$P$1775,$N$80,FALSE)</f>
        <v>1431741</v>
      </c>
      <c r="O89" s="44">
        <f t="shared" si="17"/>
        <v>18978904</v>
      </c>
      <c r="P89" s="11">
        <f t="shared" si="18"/>
        <v>1581575.3333333333</v>
      </c>
    </row>
    <row r="90" spans="1:16">
      <c r="A90" t="s">
        <v>713</v>
      </c>
      <c r="B90" s="43" t="s">
        <v>69</v>
      </c>
      <c r="C90" s="82">
        <f>VLOOKUP($A90&amp;"CP",'E11 - 2013 09 Final'!$A$46:$P$1775,$C$80,FALSE)</f>
        <v>300247</v>
      </c>
      <c r="D90" s="82">
        <f>VLOOKUP($A90&amp;"CP",'E11 - 2013 09 Final'!$A$46:$P$1775,$D$80,FALSE)</f>
        <v>348274</v>
      </c>
      <c r="E90" s="82">
        <f>VLOOKUP($A90&amp;"CP",'E11 - 2013 09 Final'!$A$46:$P$1775,$E$80,FALSE)</f>
        <v>220574</v>
      </c>
      <c r="F90" s="82">
        <f>VLOOKUP($A90&amp;"CP",'E11 - 2013 09 Final'!$A$46:$P$1775,$F$80,FALSE)</f>
        <v>295288</v>
      </c>
      <c r="G90" s="82">
        <f>VLOOKUP($A90&amp;"CP",'E11 - 2013 09 Final'!$A$46:$P$1775,$G$80,FALSE)</f>
        <v>305594</v>
      </c>
      <c r="H90" s="82">
        <f>VLOOKUP($A90&amp;"CP",'E11 - 2013 09 Final'!$A$46:$P$1775,$H$80,FALSE)</f>
        <v>325176</v>
      </c>
      <c r="I90" s="82">
        <f>VLOOKUP($A90&amp;"CP",'E11 - 2013 09 Final'!$A$46:$P$1775,$I$80,FALSE)</f>
        <v>318165</v>
      </c>
      <c r="J90" s="82">
        <f>VLOOKUP($A90&amp;"CP",'E11 - 2013 09 Final'!$A$46:$P$1775,$J$80,FALSE)</f>
        <v>326115</v>
      </c>
      <c r="K90" s="82">
        <f>VLOOKUP($A90&amp;"CP",'E11 - 2013 09 Final'!$A$46:$P$1775,$K$80,FALSE)</f>
        <v>339631</v>
      </c>
      <c r="L90" s="82">
        <f>VLOOKUP($A90&amp;"CP",'E11 - 2013 09 Final'!$A$46:$P$1775,$L$80,FALSE)</f>
        <v>310951</v>
      </c>
      <c r="M90" s="82">
        <f>VLOOKUP($A90&amp;"CP",'E11 - 2013 09 Final'!$A$46:$P$1775,$M$80,FALSE)</f>
        <v>339263</v>
      </c>
      <c r="N90" s="82">
        <f>VLOOKUP($A90&amp;"CP",'E11 - 2013 09 Final'!$A$46:$P$1775,$N$80,FALSE)</f>
        <v>317599</v>
      </c>
      <c r="O90" s="44">
        <f t="shared" si="17"/>
        <v>3746877</v>
      </c>
      <c r="P90" s="11">
        <f t="shared" si="18"/>
        <v>312239.75</v>
      </c>
    </row>
    <row r="91" spans="1:16">
      <c r="A91" t="s">
        <v>717</v>
      </c>
      <c r="B91" s="43" t="s">
        <v>52</v>
      </c>
      <c r="C91" s="82">
        <f>VLOOKUP($A91&amp;"CP",'E11 - 2013 09 Final'!$A$46:$P$1775,$C$80,FALSE)</f>
        <v>21218</v>
      </c>
      <c r="D91" s="82">
        <f>VLOOKUP($A91&amp;"CP",'E11 - 2013 09 Final'!$A$46:$P$1775,$D$80,FALSE)</f>
        <v>22443</v>
      </c>
      <c r="E91" s="82">
        <f>VLOOKUP($A91&amp;"CP",'E11 - 2013 09 Final'!$A$46:$P$1775,$E$80,FALSE)</f>
        <v>17560</v>
      </c>
      <c r="F91" s="82">
        <f>VLOOKUP($A91&amp;"CP",'E11 - 2013 09 Final'!$A$46:$P$1775,$F$80,FALSE)</f>
        <v>20825</v>
      </c>
      <c r="G91" s="82">
        <f>VLOOKUP($A91&amp;"CP",'E11 - 2013 09 Final'!$A$46:$P$1775,$G$80,FALSE)</f>
        <v>20842</v>
      </c>
      <c r="H91" s="82">
        <f>VLOOKUP($A91&amp;"CP",'E11 - 2013 09 Final'!$A$46:$P$1775,$H$80,FALSE)</f>
        <v>17412</v>
      </c>
      <c r="I91" s="82">
        <f>VLOOKUP($A91&amp;"CP",'E11 - 2013 09 Final'!$A$46:$P$1775,$I$80,FALSE)</f>
        <v>18672</v>
      </c>
      <c r="J91" s="82">
        <f>VLOOKUP($A91&amp;"CP",'E11 - 2013 09 Final'!$A$46:$P$1775,$J$80,FALSE)</f>
        <v>19979</v>
      </c>
      <c r="K91" s="82">
        <f>VLOOKUP($A91&amp;"CP",'E11 - 2013 09 Final'!$A$46:$P$1775,$K$80,FALSE)</f>
        <v>15656</v>
      </c>
      <c r="L91" s="82">
        <f>VLOOKUP($A91&amp;"CP",'E11 - 2013 09 Final'!$A$46:$P$1775,$L$80,FALSE)</f>
        <v>19224</v>
      </c>
      <c r="M91" s="82">
        <f>VLOOKUP($A91&amp;"CP",'E11 - 2013 09 Final'!$A$46:$P$1775,$M$80,FALSE)</f>
        <v>15892</v>
      </c>
      <c r="N91" s="82">
        <f>VLOOKUP($A91&amp;"CP",'E11 - 2013 09 Final'!$A$46:$P$1775,$N$80,FALSE)</f>
        <v>16874</v>
      </c>
      <c r="O91" s="44">
        <f t="shared" si="17"/>
        <v>226597</v>
      </c>
      <c r="P91" s="11">
        <f t="shared" si="18"/>
        <v>18883.083333333332</v>
      </c>
    </row>
    <row r="92" spans="1:16">
      <c r="A92" t="s">
        <v>15</v>
      </c>
      <c r="B92" s="206" t="s">
        <v>15</v>
      </c>
      <c r="C92" s="82">
        <f>VLOOKUP($A92&amp;"CP",'E11 - 2013 09 Final'!$A$46:$P$1775,$C$80,FALSE)</f>
        <v>13191</v>
      </c>
      <c r="D92" s="82">
        <f>VLOOKUP($A92&amp;"CP",'E11 - 2013 09 Final'!$A$46:$P$1775,$D$80,FALSE)</f>
        <v>12593</v>
      </c>
      <c r="E92" s="82">
        <f>VLOOKUP($A92&amp;"CP",'E11 - 2013 09 Final'!$A$46:$P$1775,$E$80,FALSE)</f>
        <v>13229</v>
      </c>
      <c r="F92" s="82">
        <f>VLOOKUP($A92&amp;"CP",'E11 - 2013 09 Final'!$A$46:$P$1775,$F$80,FALSE)</f>
        <v>13472</v>
      </c>
      <c r="G92" s="82">
        <f>VLOOKUP($A92&amp;"CP",'E11 - 2013 09 Final'!$A$46:$P$1775,$G$80,FALSE)</f>
        <v>14346</v>
      </c>
      <c r="H92" s="82">
        <f>VLOOKUP($A92&amp;"CP",'E11 - 2013 09 Final'!$A$46:$P$1775,$H$80,FALSE)</f>
        <v>15187</v>
      </c>
      <c r="I92" s="82">
        <f>VLOOKUP($A92&amp;"CP",'E11 - 2013 09 Final'!$A$46:$P$1775,$I$80,FALSE)</f>
        <v>13941</v>
      </c>
      <c r="J92" s="82">
        <f>VLOOKUP($A92&amp;"CP",'E11 - 2013 09 Final'!$A$46:$P$1775,$J$80,FALSE)</f>
        <v>14588</v>
      </c>
      <c r="K92" s="82">
        <f>VLOOKUP($A92&amp;"CP",'E11 - 2013 09 Final'!$A$46:$P$1775,$K$80,FALSE)</f>
        <v>13812</v>
      </c>
      <c r="L92" s="82">
        <f>VLOOKUP($A92&amp;"CP",'E11 - 2013 09 Final'!$A$46:$P$1775,$L$80,FALSE)</f>
        <v>13361</v>
      </c>
      <c r="M92" s="82">
        <f>VLOOKUP($A92&amp;"CP",'E11 - 2013 09 Final'!$A$46:$P$1775,$M$80,FALSE)</f>
        <v>14598</v>
      </c>
      <c r="N92" s="82">
        <f>VLOOKUP($A92&amp;"CP",'E11 - 2013 09 Final'!$A$46:$P$1775,$N$80,FALSE)</f>
        <v>11975</v>
      </c>
      <c r="O92" s="44">
        <f t="shared" si="17"/>
        <v>164293</v>
      </c>
      <c r="P92" s="11">
        <f t="shared" si="18"/>
        <v>13691.083333333334</v>
      </c>
    </row>
    <row r="93" spans="1:16">
      <c r="A93" t="s">
        <v>19</v>
      </c>
      <c r="B93" s="43" t="s">
        <v>56</v>
      </c>
      <c r="C93" s="82">
        <f>VLOOKUP($A93&amp;"CP",'E11 - 2013 09 Final'!$A$46:$P$1775,$C$80,FALSE)</f>
        <v>20401</v>
      </c>
      <c r="D93" s="82">
        <f>VLOOKUP($A93&amp;"CP",'E11 - 2013 09 Final'!$A$46:$P$1775,$D$80,FALSE)</f>
        <v>0</v>
      </c>
      <c r="E93" s="82">
        <f>VLOOKUP($A93&amp;"CP",'E11 - 2013 09 Final'!$A$46:$P$1775,$E$80,FALSE)</f>
        <v>0</v>
      </c>
      <c r="F93" s="82">
        <f>VLOOKUP($A93&amp;"CP",'E11 - 2013 09 Final'!$A$46:$P$1775,$F$80,FALSE)</f>
        <v>0</v>
      </c>
      <c r="G93" s="82">
        <f>VLOOKUP($A93&amp;"CP",'E11 - 2013 09 Final'!$A$46:$P$1775,$G$80,FALSE)</f>
        <v>0</v>
      </c>
      <c r="H93" s="82">
        <f>VLOOKUP($A93&amp;"CP",'E11 - 2013 09 Final'!$A$46:$P$1775,$H$80,FALSE)</f>
        <v>0</v>
      </c>
      <c r="I93" s="82">
        <f>VLOOKUP($A93&amp;"CP",'E11 - 2013 09 Final'!$A$46:$P$1775,$I$80,FALSE)</f>
        <v>0</v>
      </c>
      <c r="J93" s="82">
        <f>VLOOKUP($A93&amp;"CP",'E11 - 2013 09 Final'!$A$46:$P$1775,$J$80,FALSE)</f>
        <v>0</v>
      </c>
      <c r="K93" s="82">
        <f>VLOOKUP($A93&amp;"CP",'E11 - 2013 09 Final'!$A$46:$P$1775,$K$80,FALSE)</f>
        <v>0</v>
      </c>
      <c r="L93" s="82">
        <f>VLOOKUP($A93&amp;"CP",'E11 - 2013 09 Final'!$A$46:$P$1775,$L$80,FALSE)</f>
        <v>0</v>
      </c>
      <c r="M93" s="82">
        <f>VLOOKUP($A93&amp;"CP",'E11 - 2013 09 Final'!$A$46:$P$1775,$M$80,FALSE)</f>
        <v>0</v>
      </c>
      <c r="N93" s="82">
        <f>VLOOKUP($A93&amp;"CP",'E11 - 2013 09 Final'!$A$46:$P$1775,$N$80,FALSE)</f>
        <v>0</v>
      </c>
      <c r="O93" s="44">
        <f t="shared" si="17"/>
        <v>20401</v>
      </c>
      <c r="P93" s="11">
        <f t="shared" si="18"/>
        <v>1700.0833333333333</v>
      </c>
    </row>
    <row r="94" spans="1:16">
      <c r="A94" t="s">
        <v>22</v>
      </c>
      <c r="B94" s="43" t="s">
        <v>57</v>
      </c>
      <c r="C94" s="82">
        <f>VLOOKUP($A94&amp;"CP",'E11 - 2013 09 Final'!$A$46:$P$1775,$C$80,FALSE)</f>
        <v>6065</v>
      </c>
      <c r="D94" s="82">
        <f>VLOOKUP($A94&amp;"CP",'E11 - 2013 09 Final'!$A$46:$P$1775,$D$80,FALSE)</f>
        <v>635</v>
      </c>
      <c r="E94" s="82">
        <f>VLOOKUP($A94&amp;"CP",'E11 - 2013 09 Final'!$A$46:$P$1775,$E$80,FALSE)</f>
        <v>647</v>
      </c>
      <c r="F94" s="82">
        <f>VLOOKUP($A94&amp;"CP",'E11 - 2013 09 Final'!$A$46:$P$1775,$F$80,FALSE)</f>
        <v>904</v>
      </c>
      <c r="G94" s="82">
        <f>VLOOKUP($A94&amp;"CP",'E11 - 2013 09 Final'!$A$46:$P$1775,$G$80,FALSE)</f>
        <v>1011</v>
      </c>
      <c r="H94" s="82">
        <f>VLOOKUP($A94&amp;"CP",'E11 - 2013 09 Final'!$A$46:$P$1775,$H$80,FALSE)</f>
        <v>892</v>
      </c>
      <c r="I94" s="82">
        <f>VLOOKUP($A94&amp;"CP",'E11 - 2013 09 Final'!$A$46:$P$1775,$I$80,FALSE)</f>
        <v>790</v>
      </c>
      <c r="J94" s="82">
        <f>VLOOKUP($A94&amp;"CP",'E11 - 2013 09 Final'!$A$46:$P$1775,$J$80,FALSE)</f>
        <v>776</v>
      </c>
      <c r="K94" s="82">
        <f>VLOOKUP($A94&amp;"CP",'E11 - 2013 09 Final'!$A$46:$P$1775,$K$80,FALSE)</f>
        <v>917</v>
      </c>
      <c r="L94" s="82">
        <f>VLOOKUP($A94&amp;"CP",'E11 - 2013 09 Final'!$A$46:$P$1775,$L$80,FALSE)</f>
        <v>681</v>
      </c>
      <c r="M94" s="82">
        <f>VLOOKUP($A94&amp;"CP",'E11 - 2013 09 Final'!$A$46:$P$1775,$M$80,FALSE)</f>
        <v>820</v>
      </c>
      <c r="N94" s="82">
        <f>VLOOKUP($A94&amp;"CP",'E11 - 2013 09 Final'!$A$46:$P$1775,$N$80,FALSE)</f>
        <v>676</v>
      </c>
      <c r="O94" s="44">
        <f t="shared" si="17"/>
        <v>14814</v>
      </c>
      <c r="P94" s="11">
        <f t="shared" si="18"/>
        <v>1234.5</v>
      </c>
    </row>
    <row r="95" spans="1:16">
      <c r="A95" t="s">
        <v>687</v>
      </c>
      <c r="B95" s="43" t="s">
        <v>48</v>
      </c>
      <c r="C95" s="82">
        <f>VLOOKUP($A95&amp;"CP",'E11 - 2013 09 Final'!$A$46:$P$1775,$C$80,FALSE)</f>
        <v>7502823</v>
      </c>
      <c r="D95" s="82">
        <f>VLOOKUP($A95&amp;"CP",'E11 - 2013 09 Final'!$A$46:$P$1775,$D$80,FALSE)</f>
        <v>7648044</v>
      </c>
      <c r="E95" s="82">
        <f>VLOOKUP($A95&amp;"CP",'E11 - 2013 09 Final'!$A$46:$P$1775,$E$80,FALSE)</f>
        <v>8597070</v>
      </c>
      <c r="F95" s="82">
        <f>VLOOKUP($A95&amp;"CP",'E11 - 2013 09 Final'!$A$46:$P$1775,$F$80,FALSE)</f>
        <v>8461719</v>
      </c>
      <c r="G95" s="82">
        <f>VLOOKUP($A95&amp;"CP",'E11 - 2013 09 Final'!$A$46:$P$1775,$G$80,FALSE)</f>
        <v>10319502</v>
      </c>
      <c r="H95" s="82">
        <f>VLOOKUP($A95&amp;"CP",'E11 - 2013 09 Final'!$A$46:$P$1775,$H$80,FALSE)</f>
        <v>10746876</v>
      </c>
      <c r="I95" s="82">
        <f>VLOOKUP($A95&amp;"CP",'E11 - 2013 09 Final'!$A$46:$P$1775,$I$80,FALSE)</f>
        <v>10588266</v>
      </c>
      <c r="J95" s="82">
        <f>VLOOKUP($A95&amp;"CP",'E11 - 2013 09 Final'!$A$46:$P$1775,$J$80,FALSE)</f>
        <v>11362260</v>
      </c>
      <c r="K95" s="82">
        <f>VLOOKUP($A95&amp;"CP",'E11 - 2013 09 Final'!$A$46:$P$1775,$K$80,FALSE)</f>
        <v>12216969</v>
      </c>
      <c r="L95" s="82">
        <f>VLOOKUP($A95&amp;"CP",'E11 - 2013 09 Final'!$A$46:$P$1775,$L$80,FALSE)</f>
        <v>10166633</v>
      </c>
      <c r="M95" s="82">
        <f>VLOOKUP($A95&amp;"CP",'E11 - 2013 09 Final'!$A$46:$P$1775,$M$80,FALSE)</f>
        <v>9647121</v>
      </c>
      <c r="N95" s="82">
        <f>VLOOKUP($A95&amp;"CP",'E11 - 2013 09 Final'!$A$46:$P$1775,$N$80,FALSE)</f>
        <v>8039326</v>
      </c>
      <c r="O95" s="44">
        <f t="shared" si="17"/>
        <v>115296609</v>
      </c>
      <c r="P95" s="11">
        <f t="shared" si="18"/>
        <v>9608050.75</v>
      </c>
    </row>
    <row r="96" spans="1:16">
      <c r="A96" t="s">
        <v>35</v>
      </c>
      <c r="B96" s="43" t="s">
        <v>53</v>
      </c>
      <c r="C96" s="82">
        <f>VLOOKUP($A96&amp;"CP",'E11 - 2013 09 Final'!$A$46:$P$1775,$C$80,FALSE)</f>
        <v>101427</v>
      </c>
      <c r="D96" s="82">
        <f>VLOOKUP($A96&amp;"CP",'E11 - 2013 09 Final'!$A$46:$P$1775,$D$80,FALSE)</f>
        <v>0</v>
      </c>
      <c r="E96" s="82">
        <f>VLOOKUP($A96&amp;"CP",'E11 - 2013 09 Final'!$A$46:$P$1775,$E$80,FALSE)</f>
        <v>0</v>
      </c>
      <c r="F96" s="82">
        <f>VLOOKUP($A96&amp;"CP",'E11 - 2013 09 Final'!$A$46:$P$1775,$F$80,FALSE)</f>
        <v>0</v>
      </c>
      <c r="G96" s="82">
        <f>VLOOKUP($A96&amp;"CP",'E11 - 2013 09 Final'!$A$46:$P$1775,$G$80,FALSE)</f>
        <v>0</v>
      </c>
      <c r="H96" s="82">
        <f>VLOOKUP($A96&amp;"CP",'E11 - 2013 09 Final'!$A$46:$P$1775,$H$80,FALSE)</f>
        <v>0</v>
      </c>
      <c r="I96" s="82">
        <f>VLOOKUP($A96&amp;"CP",'E11 - 2013 09 Final'!$A$46:$P$1775,$I$80,FALSE)</f>
        <v>0</v>
      </c>
      <c r="J96" s="82">
        <f>VLOOKUP($A96&amp;"CP",'E11 - 2013 09 Final'!$A$46:$P$1775,$J$80,FALSE)</f>
        <v>0</v>
      </c>
      <c r="K96" s="82">
        <f>VLOOKUP($A96&amp;"CP",'E11 - 2013 09 Final'!$A$46:$P$1775,$K$80,FALSE)</f>
        <v>0</v>
      </c>
      <c r="L96" s="82">
        <f>VLOOKUP($A96&amp;"CP",'E11 - 2013 09 Final'!$A$46:$P$1775,$L$80,FALSE)</f>
        <v>0</v>
      </c>
      <c r="M96" s="82">
        <f>VLOOKUP($A96&amp;"CP",'E11 - 2013 09 Final'!$A$46:$P$1775,$M$80,FALSE)</f>
        <v>0</v>
      </c>
      <c r="N96" s="82">
        <f>VLOOKUP($A96&amp;"CP",'E11 - 2013 09 Final'!$A$46:$P$1775,$N$80,FALSE)</f>
        <v>0</v>
      </c>
      <c r="O96" s="44">
        <f t="shared" si="17"/>
        <v>101427</v>
      </c>
      <c r="P96" s="11">
        <f t="shared" si="18"/>
        <v>8452.25</v>
      </c>
    </row>
    <row r="97" spans="1:16">
      <c r="A97" t="s">
        <v>38</v>
      </c>
      <c r="B97" s="43" t="s">
        <v>55</v>
      </c>
      <c r="C97" s="82">
        <f>VLOOKUP($A97&amp;"CP",'E11 - 2013 09 Final'!$A$46:$P$1775,$C$80,FALSE)</f>
        <v>3527</v>
      </c>
      <c r="D97" s="82">
        <f>VLOOKUP($A97&amp;"CP",'E11 - 2013 09 Final'!$A$46:$P$1775,$D$80,FALSE)</f>
        <v>3908</v>
      </c>
      <c r="E97" s="82">
        <f>VLOOKUP($A97&amp;"CP",'E11 - 2013 09 Final'!$A$46:$P$1775,$E$80,FALSE)</f>
        <v>3544</v>
      </c>
      <c r="F97" s="82">
        <f>VLOOKUP($A97&amp;"CP",'E11 - 2013 09 Final'!$A$46:$P$1775,$F$80,FALSE)</f>
        <v>3655</v>
      </c>
      <c r="G97" s="82">
        <f>VLOOKUP($A97&amp;"CP",'E11 - 2013 09 Final'!$A$46:$P$1775,$G$80,FALSE)</f>
        <v>3542</v>
      </c>
      <c r="H97" s="82">
        <f>VLOOKUP($A97&amp;"CP",'E11 - 2013 09 Final'!$A$46:$P$1775,$H$80,FALSE)</f>
        <v>3199</v>
      </c>
      <c r="I97" s="82">
        <f>VLOOKUP($A97&amp;"CP",'E11 - 2013 09 Final'!$A$46:$P$1775,$I$80,FALSE)</f>
        <v>3506</v>
      </c>
      <c r="J97" s="82">
        <f>VLOOKUP($A97&amp;"CP",'E11 - 2013 09 Final'!$A$46:$P$1775,$J$80,FALSE)</f>
        <v>3512</v>
      </c>
      <c r="K97" s="82">
        <f>VLOOKUP($A97&amp;"CP",'E11 - 2013 09 Final'!$A$46:$P$1775,$K$80,FALSE)</f>
        <v>3473</v>
      </c>
      <c r="L97" s="82">
        <f>VLOOKUP($A97&amp;"CP",'E11 - 2013 09 Final'!$A$46:$P$1775,$L$80,FALSE)</f>
        <v>3507</v>
      </c>
      <c r="M97" s="82">
        <f>VLOOKUP($A97&amp;"CP",'E11 - 2013 09 Final'!$A$46:$P$1775,$M$80,FALSE)</f>
        <v>3625</v>
      </c>
      <c r="N97" s="82">
        <f>VLOOKUP($A97&amp;"CP",'E11 - 2013 09 Final'!$A$46:$P$1775,$N$80,FALSE)</f>
        <v>3517</v>
      </c>
      <c r="O97" s="44">
        <f t="shared" si="17"/>
        <v>42515</v>
      </c>
      <c r="P97" s="11">
        <f t="shared" si="18"/>
        <v>3542.9166666666665</v>
      </c>
    </row>
    <row r="98" spans="1:16">
      <c r="A98" t="s">
        <v>40</v>
      </c>
      <c r="B98" s="43" t="s">
        <v>87</v>
      </c>
      <c r="C98" s="82">
        <f>VLOOKUP($A98&amp;"CP",'E11 - 2013 09 Final'!$A$46:$P$1775,$C$80,FALSE)</f>
        <v>256</v>
      </c>
      <c r="D98" s="82">
        <f>VLOOKUP($A98&amp;"CP",'E11 - 2013 09 Final'!$A$46:$P$1775,$D$80,FALSE)</f>
        <v>0</v>
      </c>
      <c r="E98" s="82">
        <f>VLOOKUP($A98&amp;"CP",'E11 - 2013 09 Final'!$A$46:$P$1775,$E$80,FALSE)</f>
        <v>452</v>
      </c>
      <c r="F98" s="82">
        <f>VLOOKUP($A98&amp;"CP",'E11 - 2013 09 Final'!$A$46:$P$1775,$F$80,FALSE)</f>
        <v>1115</v>
      </c>
      <c r="G98" s="82">
        <f>VLOOKUP($A98&amp;"CP",'E11 - 2013 09 Final'!$A$46:$P$1775,$G$80,FALSE)</f>
        <v>1700</v>
      </c>
      <c r="H98" s="82">
        <f>VLOOKUP($A98&amp;"CP",'E11 - 2013 09 Final'!$A$46:$P$1775,$H$80,FALSE)</f>
        <v>1440</v>
      </c>
      <c r="I98" s="82">
        <f>VLOOKUP($A98&amp;"CP",'E11 - 2013 09 Final'!$A$46:$P$1775,$I$80,FALSE)</f>
        <v>2392</v>
      </c>
      <c r="J98" s="82">
        <f>VLOOKUP($A98&amp;"CP",'E11 - 2013 09 Final'!$A$46:$P$1775,$J$80,FALSE)</f>
        <v>1520</v>
      </c>
      <c r="K98" s="82">
        <f>VLOOKUP($A98&amp;"CP",'E11 - 2013 09 Final'!$A$46:$P$1775,$K$80,FALSE)</f>
        <v>1501</v>
      </c>
      <c r="L98" s="82">
        <f>VLOOKUP($A98&amp;"CP",'E11 - 2013 09 Final'!$A$46:$P$1775,$L$80,FALSE)</f>
        <v>2260</v>
      </c>
      <c r="M98" s="82">
        <f>VLOOKUP($A98&amp;"CP",'E11 - 2013 09 Final'!$A$46:$P$1775,$M$80,FALSE)</f>
        <v>2020</v>
      </c>
      <c r="N98" s="82">
        <f>VLOOKUP($A98&amp;"CP",'E11 - 2013 09 Final'!$A$46:$P$1775,$N$80,FALSE)</f>
        <v>1220</v>
      </c>
      <c r="O98" s="44">
        <f t="shared" si="17"/>
        <v>15876</v>
      </c>
      <c r="P98" s="11">
        <f t="shared" si="18"/>
        <v>1323</v>
      </c>
    </row>
    <row r="99" spans="1:16">
      <c r="A99" t="s">
        <v>45</v>
      </c>
      <c r="B99" s="43" t="s">
        <v>88</v>
      </c>
      <c r="C99" s="82">
        <f>VLOOKUP($A99&amp;"CP",'E11 - 2013 09 Final'!$A$46:$P$1775,$C$80,FALSE)</f>
        <v>7248</v>
      </c>
      <c r="D99" s="82">
        <f>VLOOKUP($A99&amp;"CP",'E11 - 2013 09 Final'!$A$46:$P$1775,$D$80,FALSE)</f>
        <v>10801</v>
      </c>
      <c r="E99" s="82">
        <f>VLOOKUP($A99&amp;"CP",'E11 - 2013 09 Final'!$A$46:$P$1775,$E$80,FALSE)</f>
        <v>1220</v>
      </c>
      <c r="F99" s="82">
        <f>VLOOKUP($A99&amp;"CP",'E11 - 2013 09 Final'!$A$46:$P$1775,$F$80,FALSE)</f>
        <v>10174</v>
      </c>
      <c r="G99" s="82">
        <f>VLOOKUP($A99&amp;"CP",'E11 - 2013 09 Final'!$A$46:$P$1775,$G$80,FALSE)</f>
        <v>7890</v>
      </c>
      <c r="H99" s="82">
        <f>VLOOKUP($A99&amp;"CP",'E11 - 2013 09 Final'!$A$46:$P$1775,$H$80,FALSE)</f>
        <v>10984</v>
      </c>
      <c r="I99" s="82">
        <f>VLOOKUP($A99&amp;"CP",'E11 - 2013 09 Final'!$A$46:$P$1775,$I$80,FALSE)</f>
        <v>3236</v>
      </c>
      <c r="J99" s="82">
        <f>VLOOKUP($A99&amp;"CP",'E11 - 2013 09 Final'!$A$46:$P$1775,$J$80,FALSE)</f>
        <v>2649</v>
      </c>
      <c r="K99" s="82">
        <f>VLOOKUP($A99&amp;"CP",'E11 - 2013 09 Final'!$A$46:$P$1775,$K$80,FALSE)</f>
        <v>1979</v>
      </c>
      <c r="L99" s="82">
        <f>VLOOKUP($A99&amp;"CP",'E11 - 2013 09 Final'!$A$46:$P$1775,$L$80,FALSE)</f>
        <v>14105</v>
      </c>
      <c r="M99" s="82">
        <f>VLOOKUP($A99&amp;"CP",'E11 - 2013 09 Final'!$A$46:$P$1775,$M$80,FALSE)</f>
        <v>17325</v>
      </c>
      <c r="N99" s="82">
        <f>VLOOKUP($A99&amp;"CP",'E11 - 2013 09 Final'!$A$46:$P$1775,$N$80,FALSE)</f>
        <v>15573</v>
      </c>
      <c r="O99" s="44">
        <f t="shared" si="17"/>
        <v>103184</v>
      </c>
      <c r="P99" s="11">
        <f t="shared" si="18"/>
        <v>8598.6666666666661</v>
      </c>
    </row>
    <row r="100" spans="1:16">
      <c r="C100" s="48"/>
      <c r="D100" s="48"/>
      <c r="E100" s="48"/>
      <c r="F100" s="48"/>
      <c r="G100" s="48"/>
      <c r="H100" s="48"/>
      <c r="I100" s="48"/>
      <c r="J100" s="48"/>
      <c r="K100" s="48"/>
      <c r="L100" s="48"/>
      <c r="M100" s="48"/>
      <c r="N100" s="48"/>
      <c r="O100" s="44"/>
      <c r="P100" s="11"/>
    </row>
    <row r="101" spans="1:16">
      <c r="C101" s="48"/>
      <c r="D101" s="48"/>
      <c r="E101" s="48"/>
      <c r="F101" s="48"/>
      <c r="G101" s="48"/>
      <c r="H101" s="48"/>
      <c r="I101" s="48"/>
      <c r="J101" s="48"/>
      <c r="K101" s="48"/>
      <c r="L101" s="48"/>
      <c r="M101" s="48"/>
      <c r="N101" s="48"/>
      <c r="O101" s="44"/>
      <c r="P101" s="11"/>
    </row>
    <row r="102" spans="1:16">
      <c r="B102" s="42" t="s">
        <v>86</v>
      </c>
      <c r="C102" s="10"/>
      <c r="D102" s="10"/>
      <c r="E102" s="10"/>
      <c r="F102" s="10"/>
      <c r="G102" s="10"/>
      <c r="H102" s="10"/>
      <c r="I102" s="10"/>
      <c r="J102" s="10"/>
      <c r="K102" s="10"/>
      <c r="L102" s="10"/>
      <c r="M102" s="10"/>
      <c r="N102" s="10"/>
    </row>
    <row r="103" spans="1:16">
      <c r="A103" t="s">
        <v>603</v>
      </c>
      <c r="B103" t="s">
        <v>603</v>
      </c>
      <c r="C103" s="82">
        <f>VLOOKUP($A103&amp;"CP",'E11 - 2013 09 Final'!$A$46:$P$1775,$C$80,FALSE)</f>
        <v>4302</v>
      </c>
      <c r="D103" s="82">
        <f>VLOOKUP($A103&amp;"CP",'E11 - 2013 09 Final'!$A$46:$P$1775,$D$80,FALSE)</f>
        <v>4307</v>
      </c>
      <c r="E103" s="82">
        <f>VLOOKUP($A103&amp;"CP",'E11 - 2013 09 Final'!$A$46:$P$1775,$E$80,FALSE)</f>
        <v>6742</v>
      </c>
      <c r="F103" s="82">
        <f>VLOOKUP($A103&amp;"CP",'E11 - 2013 09 Final'!$A$46:$P$1775,$F$80,FALSE)</f>
        <v>4318</v>
      </c>
      <c r="G103" s="82">
        <f>VLOOKUP($A103&amp;"CP",'E11 - 2013 09 Final'!$A$46:$P$1775,$G$80,FALSE)</f>
        <v>6673</v>
      </c>
      <c r="H103" s="82">
        <f>VLOOKUP($A103&amp;"CP",'E11 - 2013 09 Final'!$A$46:$P$1775,$H$80,FALSE)</f>
        <v>7798</v>
      </c>
      <c r="I103" s="82">
        <f>VLOOKUP($A103&amp;"CP",'E11 - 2013 09 Final'!$A$46:$P$1775,$I$80,FALSE)</f>
        <v>7539</v>
      </c>
      <c r="J103" s="82">
        <f>VLOOKUP($A103&amp;"CP",'E11 - 2013 09 Final'!$A$46:$P$1775,$J$80,FALSE)</f>
        <v>6256</v>
      </c>
      <c r="K103" s="82">
        <f>VLOOKUP($A103&amp;"CP",'E11 - 2013 09 Final'!$A$46:$P$1775,$K$80,FALSE)</f>
        <v>7974</v>
      </c>
      <c r="L103" s="82">
        <f>VLOOKUP($A103&amp;"CP",'E11 - 2013 09 Final'!$A$46:$P$1775,$L$80,FALSE)</f>
        <v>4534</v>
      </c>
      <c r="M103" s="82">
        <f>VLOOKUP($A103&amp;"CP",'E11 - 2013 09 Final'!$A$46:$P$1775,$M$80,FALSE)</f>
        <v>4625</v>
      </c>
      <c r="N103" s="82">
        <f>VLOOKUP($A103&amp;"CP",'E11 - 2013 09 Final'!$A$46:$P$1775,$N$80,FALSE)</f>
        <v>4302</v>
      </c>
      <c r="O103" s="44">
        <f t="shared" ref="O103:O108" si="19">SUM(C103:N103)</f>
        <v>69370</v>
      </c>
      <c r="P103" s="11">
        <f t="shared" ref="P103:P108" si="20">+O103/12</f>
        <v>5780.833333333333</v>
      </c>
    </row>
    <row r="104" spans="1:16">
      <c r="A104" t="s">
        <v>245</v>
      </c>
      <c r="B104" t="s">
        <v>983</v>
      </c>
      <c r="C104" s="82">
        <f>VLOOKUP($A104&amp;"CP",'E11 - 2013 09 Final'!$A$46:$P$1775,$C$80,FALSE)</f>
        <v>101889</v>
      </c>
      <c r="D104" s="82">
        <f>VLOOKUP($A104&amp;"CP",'E11 - 2013 09 Final'!$A$46:$P$1775,$D$80,FALSE)</f>
        <v>111566</v>
      </c>
      <c r="E104" s="82">
        <f>VLOOKUP($A104&amp;"CP",'E11 - 2013 09 Final'!$A$46:$P$1775,$E$80,FALSE)</f>
        <v>88285</v>
      </c>
      <c r="F104" s="82">
        <f>VLOOKUP($A104&amp;"CP",'E11 - 2013 09 Final'!$A$46:$P$1775,$F$80,FALSE)</f>
        <v>119855</v>
      </c>
      <c r="G104" s="82">
        <f>VLOOKUP($A104&amp;"CP",'E11 - 2013 09 Final'!$A$46:$P$1775,$G$80,FALSE)</f>
        <v>139147</v>
      </c>
      <c r="H104" s="82">
        <f>VLOOKUP($A104&amp;"CP",'E11 - 2013 09 Final'!$A$46:$P$1775,$H$80,FALSE)</f>
        <v>136713</v>
      </c>
      <c r="I104" s="82">
        <f>VLOOKUP($A104&amp;"CP",'E11 - 2013 09 Final'!$A$46:$P$1775,$I$80,FALSE)</f>
        <v>145669</v>
      </c>
      <c r="J104" s="82">
        <f>VLOOKUP($A104&amp;"CP",'E11 - 2013 09 Final'!$A$46:$P$1775,$J$80,FALSE)</f>
        <v>139253</v>
      </c>
      <c r="K104" s="82">
        <f>VLOOKUP($A104&amp;"CP",'E11 - 2013 09 Final'!$A$46:$P$1775,$K$80,FALSE)</f>
        <v>132932</v>
      </c>
      <c r="L104" s="82">
        <f>VLOOKUP($A104&amp;"CP",'E11 - 2013 09 Final'!$A$46:$P$1775,$L$80,FALSE)</f>
        <v>129236</v>
      </c>
      <c r="M104" s="82">
        <f>VLOOKUP($A104&amp;"CP",'E11 - 2013 09 Final'!$A$46:$P$1775,$M$80,FALSE)</f>
        <v>113619</v>
      </c>
      <c r="N104" s="82">
        <f>VLOOKUP($A104&amp;"CP",'E11 - 2013 09 Final'!$A$46:$P$1775,$N$80,FALSE)</f>
        <v>110488</v>
      </c>
      <c r="O104" s="44">
        <f t="shared" si="19"/>
        <v>1468652</v>
      </c>
      <c r="P104" s="11">
        <f t="shared" si="20"/>
        <v>122387.66666666667</v>
      </c>
    </row>
    <row r="105" spans="1:16">
      <c r="A105" t="s">
        <v>242</v>
      </c>
      <c r="B105" t="s">
        <v>491</v>
      </c>
      <c r="C105" s="82">
        <f>VLOOKUP($A105&amp;"CP",'E11 - 2013 09 Final'!$A$46:$P$1775,$C$80,FALSE)</f>
        <v>45000</v>
      </c>
      <c r="D105" s="82">
        <f>VLOOKUP($A105&amp;"CP",'E11 - 2013 09 Final'!$A$46:$P$1775,$D$80,FALSE)</f>
        <v>45000</v>
      </c>
      <c r="E105" s="82">
        <f>VLOOKUP($A105&amp;"CP",'E11 - 2013 09 Final'!$A$46:$P$1775,$E$80,FALSE)</f>
        <v>45000</v>
      </c>
      <c r="F105" s="82">
        <f>VLOOKUP($A105&amp;"CP",'E11 - 2013 09 Final'!$A$46:$P$1775,$F$80,FALSE)</f>
        <v>45000</v>
      </c>
      <c r="G105" s="82">
        <f>VLOOKUP($A105&amp;"CP",'E11 - 2013 09 Final'!$A$46:$P$1775,$G$80,FALSE)</f>
        <v>45000</v>
      </c>
      <c r="H105" s="82">
        <f>VLOOKUP($A105&amp;"CP",'E11 - 2013 09 Final'!$A$46:$P$1775,$H$80,FALSE)</f>
        <v>0</v>
      </c>
      <c r="I105" s="82">
        <f>VLOOKUP($A105&amp;"CP",'E11 - 2013 09 Final'!$A$46:$P$1775,$I$80,FALSE)</f>
        <v>0</v>
      </c>
      <c r="J105" s="82">
        <f>VLOOKUP($A105&amp;"CP",'E11 - 2013 09 Final'!$A$46:$P$1775,$J$80,FALSE)</f>
        <v>0</v>
      </c>
      <c r="K105" s="82">
        <f>VLOOKUP($A105&amp;"CP",'E11 - 2013 09 Final'!$A$46:$P$1775,$K$80,FALSE)</f>
        <v>0</v>
      </c>
      <c r="L105" s="82">
        <f>VLOOKUP($A105&amp;"CP",'E11 - 2013 09 Final'!$A$46:$P$1775,$L$80,FALSE)</f>
        <v>0</v>
      </c>
      <c r="M105" s="82">
        <f>VLOOKUP($A105&amp;"CP",'E11 - 2013 09 Final'!$A$46:$P$1775,$M$80,FALSE)</f>
        <v>0</v>
      </c>
      <c r="N105" s="82">
        <f>VLOOKUP($A105&amp;"CP",'E11 - 2013 09 Final'!$A$46:$P$1775,$N$80,FALSE)</f>
        <v>0</v>
      </c>
      <c r="O105" s="44">
        <f t="shared" si="19"/>
        <v>225000</v>
      </c>
      <c r="P105" s="11">
        <f t="shared" si="20"/>
        <v>18750</v>
      </c>
    </row>
    <row r="106" spans="1:16" ht="409.6">
      <c r="A106" t="s">
        <v>661</v>
      </c>
      <c r="B106" t="s">
        <v>984</v>
      </c>
      <c r="C106" s="82">
        <f>VLOOKUP($A106&amp;"CP",'E11 - 2013 09 Final'!$A$46:$P$1775,$C$80,FALSE)</f>
        <v>172867</v>
      </c>
      <c r="D106" s="82">
        <f>VLOOKUP($A106&amp;"CP",'E11 - 2013 09 Final'!$A$46:$P$1775,$D$80,FALSE)</f>
        <v>180391</v>
      </c>
      <c r="E106" s="82">
        <f>VLOOKUP($A106&amp;"CP",'E11 - 2013 09 Final'!$A$46:$P$1775,$E$80,FALSE)</f>
        <v>196069</v>
      </c>
      <c r="F106" s="82">
        <f>VLOOKUP($A106&amp;"CP",'E11 - 2013 09 Final'!$A$46:$P$1775,$F$80,FALSE)</f>
        <v>206991</v>
      </c>
      <c r="G106" s="82">
        <f>VLOOKUP($A106&amp;"CP",'E11 - 2013 09 Final'!$A$46:$P$1775,$G$80,FALSE)</f>
        <v>224198</v>
      </c>
      <c r="H106" s="82">
        <f>VLOOKUP($A106&amp;"CP",'E11 - 2013 09 Final'!$A$46:$P$1775,$H$80,FALSE)</f>
        <v>220994</v>
      </c>
      <c r="I106" s="82">
        <f>VLOOKUP($A106&amp;"CP",'E11 - 2013 09 Final'!$A$46:$P$1775,$I$80,FALSE)</f>
        <v>216226</v>
      </c>
      <c r="J106" s="82">
        <f>VLOOKUP($A106&amp;"CP",'E11 - 2013 09 Final'!$A$46:$P$1775,$J$80,FALSE)</f>
        <v>236361</v>
      </c>
      <c r="K106" s="82">
        <f>VLOOKUP($A106&amp;"CP",'E11 - 2013 09 Final'!$A$46:$P$1775,$K$80,FALSE)</f>
        <v>223470</v>
      </c>
      <c r="L106" s="82">
        <f>VLOOKUP($A106&amp;"CP",'E11 - 2013 09 Final'!$A$46:$P$1775,$L$80,FALSE)</f>
        <v>220995</v>
      </c>
      <c r="M106" s="82">
        <f>VLOOKUP($A106&amp;"CP",'E11 - 2013 09 Final'!$A$46:$P$1775,$M$80,FALSE)</f>
        <v>200240</v>
      </c>
      <c r="N106" s="82">
        <f>VLOOKUP($A106&amp;"CP",'E11 - 2013 09 Final'!$A$46:$P$1775,$N$80,FALSE)</f>
        <v>185242</v>
      </c>
      <c r="O106" s="44">
        <f t="shared" si="19"/>
        <v>2484044</v>
      </c>
      <c r="P106" s="11">
        <f t="shared" si="20"/>
        <v>207003.66666666666</v>
      </c>
    </row>
    <row r="107" spans="1:16" ht="409.6">
      <c r="A107" t="s">
        <v>7</v>
      </c>
      <c r="B107" t="s">
        <v>987</v>
      </c>
      <c r="C107" s="82">
        <f>VLOOKUP($A107&amp;"CP",'E11 - 2013 09 Final'!$A$46:$P$1775,$C$80,FALSE)</f>
        <v>625</v>
      </c>
      <c r="D107" s="82">
        <f>VLOOKUP($A107&amp;"CP",'E11 - 2013 09 Final'!$A$46:$P$1775,$D$80,FALSE)</f>
        <v>538</v>
      </c>
      <c r="E107" s="82">
        <f>VLOOKUP($A107&amp;"CP",'E11 - 2013 09 Final'!$A$46:$P$1775,$E$80,FALSE)</f>
        <v>550</v>
      </c>
      <c r="F107" s="82">
        <f>VLOOKUP($A107&amp;"CP",'E11 - 2013 09 Final'!$A$46:$P$1775,$F$80,FALSE)</f>
        <v>801</v>
      </c>
      <c r="G107" s="82">
        <f>VLOOKUP($A107&amp;"CP",'E11 - 2013 09 Final'!$A$46:$P$1775,$G$80,FALSE)</f>
        <v>506</v>
      </c>
      <c r="H107" s="82">
        <f>VLOOKUP($A107&amp;"CP",'E11 - 2013 09 Final'!$A$46:$P$1775,$H$80,FALSE)</f>
        <v>718</v>
      </c>
      <c r="I107" s="82">
        <f>VLOOKUP($A107&amp;"CP",'E11 - 2013 09 Final'!$A$46:$P$1775,$I$80,FALSE)</f>
        <v>714</v>
      </c>
      <c r="J107" s="82">
        <f>VLOOKUP($A107&amp;"CP",'E11 - 2013 09 Final'!$A$46:$P$1775,$J$80,FALSE)</f>
        <v>818</v>
      </c>
      <c r="K107" s="82">
        <f>VLOOKUP($A107&amp;"CP",'E11 - 2013 09 Final'!$A$46:$P$1775,$K$80,FALSE)</f>
        <v>543</v>
      </c>
      <c r="L107" s="82">
        <f>VLOOKUP($A107&amp;"CP",'E11 - 2013 09 Final'!$A$46:$P$1775,$L$80,FALSE)</f>
        <v>325</v>
      </c>
      <c r="M107" s="82">
        <f>VLOOKUP($A107&amp;"CP",'E11 - 2013 09 Final'!$A$46:$P$1775,$M$80,FALSE)</f>
        <v>133</v>
      </c>
      <c r="N107" s="82">
        <f>VLOOKUP($A107&amp;"CP",'E11 - 2013 09 Final'!$A$46:$P$1775,$N$80,FALSE)</f>
        <v>0</v>
      </c>
      <c r="O107" s="44">
        <f t="shared" si="19"/>
        <v>6271</v>
      </c>
      <c r="P107" s="11">
        <f t="shared" si="20"/>
        <v>522.58333333333337</v>
      </c>
    </row>
    <row r="108" spans="1:16" ht="409.6">
      <c r="A108" t="s">
        <v>724</v>
      </c>
      <c r="B108" t="s">
        <v>724</v>
      </c>
      <c r="C108" s="82">
        <f>VLOOKUP($A108&amp;"CP",'E11 - 2013 09 Final'!$A$46:$P$1775,$C$80,FALSE)</f>
        <v>8708</v>
      </c>
      <c r="D108" s="82">
        <f>VLOOKUP($A108&amp;"CP",'E11 - 2013 09 Final'!$A$46:$P$1775,$D$80,FALSE)</f>
        <v>9537</v>
      </c>
      <c r="E108" s="82">
        <f>VLOOKUP($A108&amp;"CP",'E11 - 2013 09 Final'!$A$46:$P$1775,$E$80,FALSE)</f>
        <v>11363</v>
      </c>
      <c r="F108" s="82">
        <f>VLOOKUP($A108&amp;"CP",'E11 - 2013 09 Final'!$A$46:$P$1775,$F$80,FALSE)</f>
        <v>10198</v>
      </c>
      <c r="G108" s="82">
        <f>VLOOKUP($A108&amp;"CP",'E11 - 2013 09 Final'!$A$46:$P$1775,$G$80,FALSE)</f>
        <v>11922</v>
      </c>
      <c r="H108" s="82">
        <f>VLOOKUP($A108&amp;"CP",'E11 - 2013 09 Final'!$A$46:$P$1775,$H$80,FALSE)</f>
        <v>11777</v>
      </c>
      <c r="I108" s="82">
        <f>VLOOKUP($A108&amp;"CP",'E11 - 2013 09 Final'!$A$46:$P$1775,$I$80,FALSE)</f>
        <v>10634</v>
      </c>
      <c r="J108" s="82">
        <f>VLOOKUP($A108&amp;"CP",'E11 - 2013 09 Final'!$A$46:$P$1775,$J$80,FALSE)</f>
        <v>13072</v>
      </c>
      <c r="K108" s="82">
        <f>VLOOKUP($A108&amp;"CP",'E11 - 2013 09 Final'!$A$46:$P$1775,$K$80,FALSE)</f>
        <v>13021</v>
      </c>
      <c r="L108" s="82">
        <f>VLOOKUP($A108&amp;"CP",'E11 - 2013 09 Final'!$A$46:$P$1775,$L$80,FALSE)</f>
        <v>11353</v>
      </c>
      <c r="M108" s="82">
        <f>VLOOKUP($A108&amp;"CP",'E11 - 2013 09 Final'!$A$46:$P$1775,$M$80,FALSE)</f>
        <v>10236</v>
      </c>
      <c r="N108" s="82">
        <f>VLOOKUP($A108&amp;"CP",'E11 - 2013 09 Final'!$A$46:$P$1775,$N$80,FALSE)</f>
        <v>9313</v>
      </c>
      <c r="O108" s="44">
        <f t="shared" si="19"/>
        <v>131134</v>
      </c>
      <c r="P108" s="11">
        <f t="shared" si="20"/>
        <v>10927.833333333334</v>
      </c>
    </row>
    <row r="117" spans="1:16" ht="21">
      <c r="B117" s="611" t="s">
        <v>91</v>
      </c>
      <c r="C117" s="611"/>
      <c r="D117" s="611"/>
      <c r="E117" s="611"/>
      <c r="F117" s="611"/>
      <c r="G117" s="611"/>
      <c r="H117" s="611"/>
      <c r="I117" s="611"/>
      <c r="J117" s="611"/>
      <c r="K117" s="611"/>
      <c r="L117" s="611"/>
      <c r="M117" s="611"/>
      <c r="N117" s="611"/>
      <c r="O117" s="611"/>
      <c r="P117" s="611"/>
    </row>
    <row r="118" spans="1:16" ht="17.399999999999999">
      <c r="B118" s="610" t="str">
        <f>+MANUAL!$B$7 &amp;" as Calculated by LodeStar Except as Noted"</f>
        <v>2014 as Calculated by LodeStar Except as Noted</v>
      </c>
      <c r="C118" s="610"/>
      <c r="D118" s="610"/>
      <c r="E118" s="610"/>
      <c r="F118" s="610"/>
      <c r="G118" s="610"/>
      <c r="H118" s="610"/>
      <c r="I118" s="610"/>
      <c r="J118" s="610"/>
      <c r="K118" s="610"/>
      <c r="L118" s="610"/>
      <c r="M118" s="610"/>
      <c r="N118" s="610"/>
      <c r="O118" s="610"/>
      <c r="P118" s="610"/>
    </row>
    <row r="119" spans="1:16" ht="13.8" thickBot="1">
      <c r="B119" s="84"/>
      <c r="C119" s="84"/>
      <c r="D119" s="84"/>
      <c r="E119" s="84"/>
      <c r="F119" s="84"/>
      <c r="G119" s="84"/>
      <c r="H119" s="84"/>
      <c r="I119" s="84"/>
      <c r="J119" s="84"/>
      <c r="K119" s="84"/>
      <c r="L119" s="84"/>
      <c r="M119" s="84"/>
      <c r="N119" s="84"/>
      <c r="O119" s="84"/>
      <c r="P119" s="84"/>
    </row>
    <row r="120" spans="1:16" ht="409.6">
      <c r="C120" s="14"/>
      <c r="D120" s="15"/>
      <c r="E120" s="16"/>
      <c r="F120" s="17"/>
      <c r="G120" s="18"/>
      <c r="H120" s="19"/>
      <c r="I120" s="20"/>
      <c r="J120" s="21"/>
      <c r="K120" s="22"/>
      <c r="L120" s="23"/>
      <c r="M120" s="24"/>
      <c r="N120" s="25"/>
      <c r="O120" s="26"/>
      <c r="P120" s="27" t="s">
        <v>82</v>
      </c>
    </row>
    <row r="121" spans="1:16" ht="13.8" thickBot="1">
      <c r="C121" s="28" t="s">
        <v>70</v>
      </c>
      <c r="D121" s="29" t="s">
        <v>71</v>
      </c>
      <c r="E121" s="30" t="s">
        <v>72</v>
      </c>
      <c r="F121" s="31" t="s">
        <v>73</v>
      </c>
      <c r="G121" s="32" t="s">
        <v>74</v>
      </c>
      <c r="H121" s="33" t="s">
        <v>75</v>
      </c>
      <c r="I121" s="34" t="s">
        <v>76</v>
      </c>
      <c r="J121" s="35" t="s">
        <v>77</v>
      </c>
      <c r="K121" s="36" t="s">
        <v>78</v>
      </c>
      <c r="L121" s="37" t="s">
        <v>79</v>
      </c>
      <c r="M121" s="38" t="s">
        <v>80</v>
      </c>
      <c r="N121" s="39" t="s">
        <v>81</v>
      </c>
      <c r="O121" s="40" t="s">
        <v>60</v>
      </c>
      <c r="P121" s="41" t="s">
        <v>82</v>
      </c>
    </row>
    <row r="122" spans="1:16" hidden="1">
      <c r="C122">
        <v>4</v>
      </c>
      <c r="D122">
        <f>C122+1</f>
        <v>5</v>
      </c>
      <c r="E122">
        <f t="shared" ref="E122:N122" si="21">D122+1</f>
        <v>6</v>
      </c>
      <c r="F122">
        <f t="shared" si="21"/>
        <v>7</v>
      </c>
      <c r="G122">
        <f t="shared" si="21"/>
        <v>8</v>
      </c>
      <c r="H122">
        <f t="shared" si="21"/>
        <v>9</v>
      </c>
      <c r="I122">
        <f t="shared" si="21"/>
        <v>10</v>
      </c>
      <c r="J122">
        <f t="shared" si="21"/>
        <v>11</v>
      </c>
      <c r="K122">
        <f t="shared" si="21"/>
        <v>12</v>
      </c>
      <c r="L122">
        <f t="shared" si="21"/>
        <v>13</v>
      </c>
      <c r="M122">
        <f t="shared" si="21"/>
        <v>14</v>
      </c>
      <c r="N122">
        <f t="shared" si="21"/>
        <v>15</v>
      </c>
      <c r="O122" s="305"/>
      <c r="P122" s="305"/>
    </row>
    <row r="124" spans="1:16">
      <c r="B124" s="42" t="s">
        <v>83</v>
      </c>
    </row>
    <row r="125" spans="1:16">
      <c r="A125" t="s">
        <v>122</v>
      </c>
      <c r="B125" s="43" t="s">
        <v>84</v>
      </c>
      <c r="C125" s="82">
        <f>VLOOKUP($A125&amp;"CP",'E11 - 2014 09 Final'!$A$46:$Q$1704,$C$122,FALSE)</f>
        <v>323588</v>
      </c>
      <c r="D125" s="82">
        <f>VLOOKUP($A125&amp;"CP",'E11 - 2014 09 Final'!$A$46:$Q$1704,$D$122,FALSE)</f>
        <v>364544</v>
      </c>
      <c r="E125" s="82">
        <f>VLOOKUP($A125&amp;"CP",'E11 - 2014 09 Final'!$A$46:$Q$1704,$E$122,FALSE)</f>
        <v>290522</v>
      </c>
      <c r="F125" s="82">
        <f>VLOOKUP($A125&amp;"CP",'E11 - 2014 09 Final'!$A$46:$Q$1704,$F$122,FALSE)</f>
        <v>350991</v>
      </c>
      <c r="G125" s="82">
        <f>VLOOKUP($A125&amp;"CP",'E11 - 2014 09 Final'!$A$46:$Q$1704,$G$122,FALSE)</f>
        <v>324593</v>
      </c>
      <c r="H125" s="82">
        <f>VLOOKUP($A125&amp;"CP",'E11 - 2014 09 Final'!$A$46:$Q$1704,$H$122,FALSE)</f>
        <v>362640</v>
      </c>
      <c r="I125" s="82">
        <f>VLOOKUP($A125&amp;"CP",'E11 - 2014 09 Final'!$A$46:$Q$1704,$I$122,FALSE)</f>
        <v>350324</v>
      </c>
      <c r="J125" s="82">
        <f>VLOOKUP($A125&amp;"CP",'E11 - 2014 09 Final'!$A$46:$Q$1704,$J$122,FALSE)</f>
        <v>351877</v>
      </c>
      <c r="K125" s="82">
        <f>VLOOKUP($A125&amp;"CP",'E11 - 2014 09 Final'!$A$46:$Q$1704,$K$122,FALSE)</f>
        <v>369087</v>
      </c>
      <c r="L125" s="82">
        <f>VLOOKUP($A125&amp;"CP",'E11 - 2014 09 Final'!$A$46:$Q$1704,$L$122,FALSE)</f>
        <v>341846</v>
      </c>
      <c r="M125" s="82">
        <f>VLOOKUP($A125&amp;"CP",'E11 - 2014 09 Final'!$A$46:$Q$1704,$M$122,FALSE)</f>
        <v>375563</v>
      </c>
      <c r="N125" s="82">
        <f>VLOOKUP($A125&amp;"CP",'E11 - 2014 09 Final'!$A$46:$Q$1704,$N$122,FALSE)</f>
        <v>314053</v>
      </c>
      <c r="O125" s="44">
        <f t="shared" ref="O125:O141" si="22">SUM(C125:N125)</f>
        <v>4119628</v>
      </c>
      <c r="P125" s="11">
        <f t="shared" ref="P125:P141" si="23">+O125/12</f>
        <v>343302.33333333331</v>
      </c>
    </row>
    <row r="126" spans="1:16">
      <c r="A126" t="s">
        <v>177</v>
      </c>
      <c r="B126" s="43" t="s">
        <v>85</v>
      </c>
      <c r="C126" s="82">
        <f>VLOOKUP($A126&amp;"CP",'E11 - 2014 09 Final'!$A$46:$Q$1704,$C$122,FALSE)</f>
        <v>23400</v>
      </c>
      <c r="D126" s="82">
        <f>VLOOKUP($A126&amp;"CP",'E11 - 2014 09 Final'!$A$46:$Q$1704,$D$122,FALSE)</f>
        <v>25496</v>
      </c>
      <c r="E126" s="82">
        <f>VLOOKUP($A126&amp;"CP",'E11 - 2014 09 Final'!$A$46:$Q$1704,$E$122,FALSE)</f>
        <v>20253</v>
      </c>
      <c r="F126" s="82">
        <f>VLOOKUP($A126&amp;"CP",'E11 - 2014 09 Final'!$A$46:$Q$1704,$F$122,FALSE)</f>
        <v>24417</v>
      </c>
      <c r="G126" s="82">
        <f>VLOOKUP($A126&amp;"CP",'E11 - 2014 09 Final'!$A$46:$Q$1704,$G$122,FALSE)</f>
        <v>16151</v>
      </c>
      <c r="H126" s="82">
        <f>VLOOKUP($A126&amp;"CP",'E11 - 2014 09 Final'!$A$46:$Q$1704,$H$122,FALSE)</f>
        <v>17984</v>
      </c>
      <c r="I126" s="82">
        <f>VLOOKUP($A126&amp;"CP",'E11 - 2014 09 Final'!$A$46:$Q$1704,$I$122,FALSE)</f>
        <v>16615</v>
      </c>
      <c r="J126" s="82">
        <f>VLOOKUP($A126&amp;"CP",'E11 - 2014 09 Final'!$A$46:$Q$1704,$J$122,FALSE)</f>
        <v>16941</v>
      </c>
      <c r="K126" s="82">
        <f>VLOOKUP($A126&amp;"CP",'E11 - 2014 09 Final'!$A$46:$Q$1704,$K$122,FALSE)</f>
        <v>17285</v>
      </c>
      <c r="L126" s="82">
        <f>VLOOKUP($A126&amp;"CP",'E11 - 2014 09 Final'!$A$46:$Q$1704,$L$122,FALSE)</f>
        <v>15990</v>
      </c>
      <c r="M126" s="82">
        <f>VLOOKUP($A126&amp;"CP",'E11 - 2014 09 Final'!$A$46:$Q$1704,$M$122,FALSE)</f>
        <v>16716</v>
      </c>
      <c r="N126" s="82">
        <f>VLOOKUP($A126&amp;"CP",'E11 - 2014 09 Final'!$A$46:$Q$1704,$N$122,FALSE)</f>
        <v>13987</v>
      </c>
      <c r="O126" s="44">
        <f t="shared" si="22"/>
        <v>225235</v>
      </c>
      <c r="P126" s="11">
        <f t="shared" si="23"/>
        <v>18769.583333333332</v>
      </c>
    </row>
    <row r="127" spans="1:16">
      <c r="A127" t="s">
        <v>185</v>
      </c>
      <c r="B127" s="43" t="s">
        <v>50</v>
      </c>
      <c r="C127" s="82">
        <f>VLOOKUP($A127&amp;"CP",'E11 - 2014 09 Final'!$A$46:$Q$1704,$C$122,FALSE)</f>
        <v>160829</v>
      </c>
      <c r="D127" s="82">
        <f>VLOOKUP($A127&amp;"CP",'E11 - 2014 09 Final'!$A$46:$Q$1704,$D$122,FALSE)</f>
        <v>135945</v>
      </c>
      <c r="E127" s="82">
        <f>VLOOKUP($A127&amp;"CP",'E11 - 2014 09 Final'!$A$46:$Q$1704,$E$122,FALSE)</f>
        <v>150750</v>
      </c>
      <c r="F127" s="82">
        <f>VLOOKUP($A127&amp;"CP",'E11 - 2014 09 Final'!$A$46:$Q$1704,$F$122,FALSE)</f>
        <v>167741</v>
      </c>
      <c r="G127" s="82">
        <f>VLOOKUP($A127&amp;"CP",'E11 - 2014 09 Final'!$A$46:$Q$1704,$G$122,FALSE)</f>
        <v>184273</v>
      </c>
      <c r="H127" s="82">
        <f>VLOOKUP($A127&amp;"CP",'E11 - 2014 09 Final'!$A$46:$Q$1704,$H$122,FALSE)</f>
        <v>170480</v>
      </c>
      <c r="I127" s="82">
        <f>VLOOKUP($A127&amp;"CP",'E11 - 2014 09 Final'!$A$46:$Q$1704,$I$122,FALSE)</f>
        <v>180279</v>
      </c>
      <c r="J127" s="82">
        <f>VLOOKUP($A127&amp;"CP",'E11 - 2014 09 Final'!$A$46:$Q$1704,$J$122,FALSE)</f>
        <v>167317</v>
      </c>
      <c r="K127" s="82">
        <f>VLOOKUP($A127&amp;"CP",'E11 - 2014 09 Final'!$A$46:$Q$1704,$K$122,FALSE)</f>
        <v>168288</v>
      </c>
      <c r="L127" s="82">
        <f>VLOOKUP($A127&amp;"CP",'E11 - 2014 09 Final'!$A$46:$Q$1704,$L$122,FALSE)</f>
        <v>160680</v>
      </c>
      <c r="M127" s="82">
        <f>VLOOKUP($A127&amp;"CP",'E11 - 2014 09 Final'!$A$46:$Q$1704,$M$122,FALSE)</f>
        <v>163485</v>
      </c>
      <c r="N127" s="82">
        <f>VLOOKUP($A127&amp;"CP",'E11 - 2014 09 Final'!$A$46:$Q$1704,$N$122,FALSE)</f>
        <v>154874</v>
      </c>
      <c r="O127" s="44">
        <f t="shared" si="22"/>
        <v>1964941</v>
      </c>
      <c r="P127" s="11">
        <f t="shared" si="23"/>
        <v>163745.08333333334</v>
      </c>
    </row>
    <row r="128" spans="1:16">
      <c r="A128" t="s">
        <v>632</v>
      </c>
      <c r="B128" s="43" t="s">
        <v>49</v>
      </c>
      <c r="C128" s="82">
        <f>VLOOKUP($A128&amp;"CP",'E11 - 2014 09 Final'!$A$46:$Q$1704,$C$122,FALSE)</f>
        <v>640150</v>
      </c>
      <c r="D128" s="82">
        <f>VLOOKUP($A128&amp;"CP",'E11 - 2014 09 Final'!$A$46:$Q$1704,$D$122,FALSE)</f>
        <v>1270152</v>
      </c>
      <c r="E128" s="82">
        <f>VLOOKUP($A128&amp;"CP",'E11 - 2014 09 Final'!$A$46:$Q$1704,$E$122,FALSE)</f>
        <v>663577</v>
      </c>
      <c r="F128" s="82">
        <f>VLOOKUP($A128&amp;"CP",'E11 - 2014 09 Final'!$A$46:$Q$1704,$F$122,FALSE)</f>
        <v>1273390</v>
      </c>
      <c r="G128" s="82">
        <f>VLOOKUP($A128&amp;"CP",'E11 - 2014 09 Final'!$A$46:$Q$1704,$G$122,FALSE)</f>
        <v>1274265</v>
      </c>
      <c r="H128" s="82">
        <f>VLOOKUP($A128&amp;"CP",'E11 - 2014 09 Final'!$A$46:$Q$1704,$H$122,FALSE)</f>
        <v>1595520</v>
      </c>
      <c r="I128" s="82">
        <f>VLOOKUP($A128&amp;"CP",'E11 - 2014 09 Final'!$A$46:$Q$1704,$I$122,FALSE)</f>
        <v>1462737</v>
      </c>
      <c r="J128" s="82">
        <f>VLOOKUP($A128&amp;"CP",'E11 - 2014 09 Final'!$A$46:$Q$1704,$J$122,FALSE)</f>
        <v>1210875</v>
      </c>
      <c r="K128" s="82">
        <f>VLOOKUP($A128&amp;"CP",'E11 - 2014 09 Final'!$A$46:$Q$1704,$K$122,FALSE)</f>
        <v>1286582</v>
      </c>
      <c r="L128" s="82">
        <f>VLOOKUP($A128&amp;"CP",'E11 - 2014 09 Final'!$A$46:$Q$1704,$L$122,FALSE)</f>
        <v>1154527</v>
      </c>
      <c r="M128" s="82">
        <f>VLOOKUP($A128&amp;"CP",'E11 - 2014 09 Final'!$A$46:$Q$1704,$M$122,FALSE)</f>
        <v>1201871</v>
      </c>
      <c r="N128" s="82">
        <f>VLOOKUP($A128&amp;"CP",'E11 - 2014 09 Final'!$A$46:$Q$1704,$N$122,FALSE)</f>
        <v>688842</v>
      </c>
      <c r="O128" s="44">
        <f t="shared" si="22"/>
        <v>13722488</v>
      </c>
      <c r="P128" s="11">
        <f t="shared" si="23"/>
        <v>1143540.6666666667</v>
      </c>
    </row>
    <row r="129" spans="1:16">
      <c r="A129" t="s">
        <v>640</v>
      </c>
      <c r="B129" s="46" t="s">
        <v>325</v>
      </c>
      <c r="C129" s="82">
        <f>VLOOKUP($A129&amp;"CP",'E11 - 2014 09 Final'!$A$46:$Q$1704,$C$122,FALSE)</f>
        <v>10834</v>
      </c>
      <c r="D129" s="82">
        <f>VLOOKUP($A129&amp;"CP",'E11 - 2014 09 Final'!$A$46:$Q$1704,$D$122,FALSE)</f>
        <v>11332</v>
      </c>
      <c r="E129" s="82">
        <f>VLOOKUP($A129&amp;"CP",'E11 - 2014 09 Final'!$A$46:$Q$1704,$E$122,FALSE)</f>
        <v>9990</v>
      </c>
      <c r="F129" s="82">
        <f>VLOOKUP($A129&amp;"CP",'E11 - 2014 09 Final'!$A$46:$Q$1704,$F$122,FALSE)</f>
        <v>10062</v>
      </c>
      <c r="G129" s="82">
        <f>VLOOKUP($A129&amp;"CP",'E11 - 2014 09 Final'!$A$46:$Q$1704,$G$122,FALSE)</f>
        <v>10660</v>
      </c>
      <c r="H129" s="82">
        <f>VLOOKUP($A129&amp;"CP",'E11 - 2014 09 Final'!$A$46:$Q$1704,$H$122,FALSE)</f>
        <v>10992</v>
      </c>
      <c r="I129" s="82">
        <f>VLOOKUP($A129&amp;"CP",'E11 - 2014 09 Final'!$A$46:$Q$1704,$I$122,FALSE)</f>
        <v>10653</v>
      </c>
      <c r="J129" s="82">
        <f>VLOOKUP($A129&amp;"CP",'E11 - 2014 09 Final'!$A$46:$Q$1704,$J$122,FALSE)</f>
        <v>9201</v>
      </c>
      <c r="K129" s="82">
        <f>VLOOKUP($A129&amp;"CP",'E11 - 2014 09 Final'!$A$46:$Q$1704,$K$122,FALSE)</f>
        <v>9381</v>
      </c>
      <c r="L129" s="82">
        <f>VLOOKUP($A129&amp;"CP",'E11 - 2014 09 Final'!$A$46:$Q$1704,$L$122,FALSE)</f>
        <v>8673</v>
      </c>
      <c r="M129" s="82">
        <f>VLOOKUP($A129&amp;"CP",'E11 - 2014 09 Final'!$A$46:$Q$1704,$M$122,FALSE)</f>
        <v>8945</v>
      </c>
      <c r="N129" s="82">
        <f>VLOOKUP($A129&amp;"CP",'E11 - 2014 09 Final'!$A$46:$Q$1704,$N$122,FALSE)</f>
        <v>8689</v>
      </c>
      <c r="O129" s="44">
        <f t="shared" si="22"/>
        <v>119412</v>
      </c>
      <c r="P129" s="11">
        <f t="shared" si="23"/>
        <v>9951</v>
      </c>
    </row>
    <row r="130" spans="1:16">
      <c r="A130" t="s">
        <v>651</v>
      </c>
      <c r="B130" s="43" t="s">
        <v>67</v>
      </c>
      <c r="C130" s="82">
        <f>VLOOKUP($A130&amp;"CP",'E11 - 2014 09 Final'!$A$46:$Q$1704,$C$122,FALSE)</f>
        <v>2794071</v>
      </c>
      <c r="D130" s="82">
        <f>VLOOKUP($A130&amp;"CP",'E11 - 2014 09 Final'!$A$46:$Q$1704,$D$122,FALSE)</f>
        <v>3877250</v>
      </c>
      <c r="E130" s="82">
        <f>VLOOKUP($A130&amp;"CP",'E11 - 2014 09 Final'!$A$46:$Q$1704,$E$122,FALSE)</f>
        <v>2873867</v>
      </c>
      <c r="F130" s="82">
        <f>VLOOKUP($A130&amp;"CP",'E11 - 2014 09 Final'!$A$46:$Q$1704,$F$122,FALSE)</f>
        <v>3602331</v>
      </c>
      <c r="G130" s="82">
        <f>VLOOKUP($A130&amp;"CP",'E11 - 2014 09 Final'!$A$46:$Q$1704,$G$122,FALSE)</f>
        <v>3815983</v>
      </c>
      <c r="H130" s="82">
        <f>VLOOKUP($A130&amp;"CP",'E11 - 2014 09 Final'!$A$46:$Q$1704,$H$122,FALSE)</f>
        <v>4336638</v>
      </c>
      <c r="I130" s="82">
        <f>VLOOKUP($A130&amp;"CP",'E11 - 2014 09 Final'!$A$46:$Q$1704,$I$122,FALSE)</f>
        <v>4134365</v>
      </c>
      <c r="J130" s="82">
        <f>VLOOKUP($A130&amp;"CP",'E11 - 2014 09 Final'!$A$46:$Q$1704,$J$122,FALSE)</f>
        <v>4169735</v>
      </c>
      <c r="K130" s="82">
        <f>VLOOKUP($A130&amp;"CP",'E11 - 2014 09 Final'!$A$46:$Q$1704,$K$122,FALSE)</f>
        <v>4428678</v>
      </c>
      <c r="L130" s="82">
        <f>VLOOKUP($A130&amp;"CP",'E11 - 2014 09 Final'!$A$46:$Q$1704,$L$122,FALSE)</f>
        <v>4188243</v>
      </c>
      <c r="M130" s="82">
        <f>VLOOKUP($A130&amp;"CP",'E11 - 2014 09 Final'!$A$46:$Q$1704,$M$122,FALSE)</f>
        <v>4453263</v>
      </c>
      <c r="N130" s="82">
        <f>VLOOKUP($A130&amp;"CP",'E11 - 2014 09 Final'!$A$46:$Q$1704,$N$122,FALSE)</f>
        <v>3240267</v>
      </c>
      <c r="O130" s="44">
        <f t="shared" si="22"/>
        <v>45914691</v>
      </c>
      <c r="P130" s="11">
        <f t="shared" si="23"/>
        <v>3826224.25</v>
      </c>
    </row>
    <row r="131" spans="1:16">
      <c r="A131" t="s">
        <v>656</v>
      </c>
      <c r="B131" s="43" t="s">
        <v>68</v>
      </c>
      <c r="C131" s="82">
        <f>VLOOKUP($A131&amp;"CP",'E11 - 2014 09 Final'!$A$46:$Q$1704,$C$122,FALSE)</f>
        <v>1177783</v>
      </c>
      <c r="D131" s="82">
        <f>VLOOKUP($A131&amp;"CP",'E11 - 2014 09 Final'!$A$46:$Q$1704,$D$122,FALSE)</f>
        <v>1541580</v>
      </c>
      <c r="E131" s="82">
        <f>VLOOKUP($A131&amp;"CP",'E11 - 2014 09 Final'!$A$46:$Q$1704,$E$122,FALSE)</f>
        <v>1086605</v>
      </c>
      <c r="F131" s="82">
        <f>VLOOKUP($A131&amp;"CP",'E11 - 2014 09 Final'!$A$46:$Q$1704,$F$122,FALSE)</f>
        <v>1432104</v>
      </c>
      <c r="G131" s="82">
        <f>VLOOKUP($A131&amp;"CP",'E11 - 2014 09 Final'!$A$46:$Q$1704,$G$122,FALSE)</f>
        <v>1478147</v>
      </c>
      <c r="H131" s="82">
        <f>VLOOKUP($A131&amp;"CP",'E11 - 2014 09 Final'!$A$46:$Q$1704,$H$122,FALSE)</f>
        <v>1628458</v>
      </c>
      <c r="I131" s="82">
        <f>VLOOKUP($A131&amp;"CP",'E11 - 2014 09 Final'!$A$46:$Q$1704,$I$122,FALSE)</f>
        <v>1588464</v>
      </c>
      <c r="J131" s="82">
        <f>VLOOKUP($A131&amp;"CP",'E11 - 2014 09 Final'!$A$46:$Q$1704,$J$122,FALSE)</f>
        <v>1649246</v>
      </c>
      <c r="K131" s="82">
        <f>VLOOKUP($A131&amp;"CP",'E11 - 2014 09 Final'!$A$46:$Q$1704,$K$122,FALSE)</f>
        <v>1745649</v>
      </c>
      <c r="L131" s="82">
        <f>VLOOKUP($A131&amp;"CP",'E11 - 2014 09 Final'!$A$46:$Q$1704,$L$122,FALSE)</f>
        <v>1667874</v>
      </c>
      <c r="M131" s="82">
        <f>VLOOKUP($A131&amp;"CP",'E11 - 2014 09 Final'!$A$46:$Q$1704,$M$122,FALSE)</f>
        <v>1781884</v>
      </c>
      <c r="N131" s="82">
        <f>VLOOKUP($A131&amp;"CP",'E11 - 2014 09 Final'!$A$46:$Q$1704,$N$122,FALSE)</f>
        <v>1285620</v>
      </c>
      <c r="O131" s="44">
        <f t="shared" si="22"/>
        <v>18063414</v>
      </c>
      <c r="P131" s="11">
        <f t="shared" si="23"/>
        <v>1505284.5</v>
      </c>
    </row>
    <row r="132" spans="1:16">
      <c r="A132" t="s">
        <v>713</v>
      </c>
      <c r="B132" s="43" t="s">
        <v>69</v>
      </c>
      <c r="C132" s="82">
        <f>VLOOKUP($A132&amp;"CP",'E11 - 2014 09 Final'!$A$46:$Q$1704,$C$122,FALSE)</f>
        <v>247004</v>
      </c>
      <c r="D132" s="82">
        <f>VLOOKUP($A132&amp;"CP",'E11 - 2014 09 Final'!$A$46:$Q$1704,$D$122,FALSE)</f>
        <v>326775</v>
      </c>
      <c r="E132" s="82">
        <f>VLOOKUP($A132&amp;"CP",'E11 - 2014 09 Final'!$A$46:$Q$1704,$E$122,FALSE)</f>
        <v>265142</v>
      </c>
      <c r="F132" s="82">
        <f>VLOOKUP($A132&amp;"CP",'E11 - 2014 09 Final'!$A$46:$Q$1704,$F$122,FALSE)</f>
        <v>291917</v>
      </c>
      <c r="G132" s="82">
        <f>VLOOKUP($A132&amp;"CP",'E11 - 2014 09 Final'!$A$46:$Q$1704,$G$122,FALSE)</f>
        <v>293308</v>
      </c>
      <c r="H132" s="82">
        <f>VLOOKUP($A132&amp;"CP",'E11 - 2014 09 Final'!$A$46:$Q$1704,$H$122,FALSE)</f>
        <v>325246</v>
      </c>
      <c r="I132" s="82">
        <f>VLOOKUP($A132&amp;"CP",'E11 - 2014 09 Final'!$A$46:$Q$1704,$I$122,FALSE)</f>
        <v>307838</v>
      </c>
      <c r="J132" s="82">
        <f>VLOOKUP($A132&amp;"CP",'E11 - 2014 09 Final'!$A$46:$Q$1704,$J$122,FALSE)</f>
        <v>325433</v>
      </c>
      <c r="K132" s="82">
        <f>VLOOKUP($A132&amp;"CP",'E11 - 2014 09 Final'!$A$46:$Q$1704,$K$122,FALSE)</f>
        <v>341951</v>
      </c>
      <c r="L132" s="82">
        <f>VLOOKUP($A132&amp;"CP",'E11 - 2014 09 Final'!$A$46:$Q$1704,$L$122,FALSE)</f>
        <v>323384</v>
      </c>
      <c r="M132" s="82">
        <f>VLOOKUP($A132&amp;"CP",'E11 - 2014 09 Final'!$A$46:$Q$1704,$M$122,FALSE)</f>
        <v>365158</v>
      </c>
      <c r="N132" s="82">
        <f>VLOOKUP($A132&amp;"CP",'E11 - 2014 09 Final'!$A$46:$Q$1704,$N$122,FALSE)</f>
        <v>289470</v>
      </c>
      <c r="O132" s="44">
        <f t="shared" si="22"/>
        <v>3702626</v>
      </c>
      <c r="P132" s="11">
        <f t="shared" si="23"/>
        <v>308552.16666666669</v>
      </c>
    </row>
    <row r="133" spans="1:16">
      <c r="A133" t="s">
        <v>717</v>
      </c>
      <c r="B133" s="43" t="s">
        <v>52</v>
      </c>
      <c r="C133" s="82">
        <f>VLOOKUP($A133&amp;"CP",'E11 - 2014 09 Final'!$A$46:$Q$1704,$C$122,FALSE)</f>
        <v>19167</v>
      </c>
      <c r="D133" s="82">
        <f>VLOOKUP($A133&amp;"CP",'E11 - 2014 09 Final'!$A$46:$Q$1704,$D$122,FALSE)</f>
        <v>15436</v>
      </c>
      <c r="E133" s="82">
        <f>VLOOKUP($A133&amp;"CP",'E11 - 2014 09 Final'!$A$46:$Q$1704,$E$122,FALSE)</f>
        <v>23929</v>
      </c>
      <c r="F133" s="82">
        <f>VLOOKUP($A133&amp;"CP",'E11 - 2014 09 Final'!$A$46:$Q$1704,$F$122,FALSE)</f>
        <v>28302</v>
      </c>
      <c r="G133" s="82">
        <f>VLOOKUP($A133&amp;"CP",'E11 - 2014 09 Final'!$A$46:$Q$1704,$G$122,FALSE)</f>
        <v>22695</v>
      </c>
      <c r="H133" s="82">
        <f>VLOOKUP($A133&amp;"CP",'E11 - 2014 09 Final'!$A$46:$Q$1704,$H$122,FALSE)</f>
        <v>20561</v>
      </c>
      <c r="I133" s="82">
        <f>VLOOKUP($A133&amp;"CP",'E11 - 2014 09 Final'!$A$46:$Q$1704,$I$122,FALSE)</f>
        <v>20326</v>
      </c>
      <c r="J133" s="82">
        <f>VLOOKUP($A133&amp;"CP",'E11 - 2014 09 Final'!$A$46:$Q$1704,$J$122,FALSE)</f>
        <v>26019</v>
      </c>
      <c r="K133" s="82">
        <f>VLOOKUP($A133&amp;"CP",'E11 - 2014 09 Final'!$A$46:$Q$1704,$K$122,FALSE)</f>
        <v>19106</v>
      </c>
      <c r="L133" s="82">
        <f>VLOOKUP($A133&amp;"CP",'E11 - 2014 09 Final'!$A$46:$Q$1704,$L$122,FALSE)</f>
        <v>23779</v>
      </c>
      <c r="M133" s="82">
        <f>VLOOKUP($A133&amp;"CP",'E11 - 2014 09 Final'!$A$46:$Q$1704,$M$122,FALSE)</f>
        <v>18663</v>
      </c>
      <c r="N133" s="82">
        <f>VLOOKUP($A133&amp;"CP",'E11 - 2014 09 Final'!$A$46:$Q$1704,$N$122,FALSE)</f>
        <v>14299</v>
      </c>
      <c r="O133" s="44">
        <f t="shared" si="22"/>
        <v>252282</v>
      </c>
      <c r="P133" s="11">
        <f t="shared" si="23"/>
        <v>21023.5</v>
      </c>
    </row>
    <row r="134" spans="1:16">
      <c r="A134" t="s">
        <v>15</v>
      </c>
      <c r="B134" s="206" t="s">
        <v>15</v>
      </c>
      <c r="C134" s="82">
        <f>VLOOKUP($A134&amp;"CP",'E11 - 2014 09 Final'!$A$46:$Q$1704,$C$122,FALSE)</f>
        <v>12924</v>
      </c>
      <c r="D134" s="82">
        <f>VLOOKUP($A134&amp;"CP",'E11 - 2014 09 Final'!$A$46:$Q$1704,$D$122,FALSE)</f>
        <v>12611</v>
      </c>
      <c r="E134" s="82">
        <f>VLOOKUP($A134&amp;"CP",'E11 - 2014 09 Final'!$A$46:$Q$1704,$E$122,FALSE)</f>
        <v>9034</v>
      </c>
      <c r="F134" s="82">
        <f>VLOOKUP($A134&amp;"CP",'E11 - 2014 09 Final'!$A$46:$Q$1704,$F$122,FALSE)</f>
        <v>13327</v>
      </c>
      <c r="G134" s="82">
        <f>VLOOKUP($A134&amp;"CP",'E11 - 2014 09 Final'!$A$46:$Q$1704,$G$122,FALSE)</f>
        <v>15147</v>
      </c>
      <c r="H134" s="82">
        <f>VLOOKUP($A134&amp;"CP",'E11 - 2014 09 Final'!$A$46:$Q$1704,$H$122,FALSE)</f>
        <v>13525</v>
      </c>
      <c r="I134" s="82">
        <f>VLOOKUP($A134&amp;"CP",'E11 - 2014 09 Final'!$A$46:$Q$1704,$I$122,FALSE)</f>
        <v>15710</v>
      </c>
      <c r="J134" s="82">
        <f>VLOOKUP($A134&amp;"CP",'E11 - 2014 09 Final'!$A$46:$Q$1704,$J$122,FALSE)</f>
        <v>15115</v>
      </c>
      <c r="K134" s="82">
        <f>VLOOKUP($A134&amp;"CP",'E11 - 2014 09 Final'!$A$46:$Q$1704,$K$122,FALSE)</f>
        <v>15833</v>
      </c>
      <c r="L134" s="82">
        <f>VLOOKUP($A134&amp;"CP",'E11 - 2014 09 Final'!$A$46:$Q$1704,$L$122,FALSE)</f>
        <v>14209</v>
      </c>
      <c r="M134" s="82">
        <f>VLOOKUP($A134&amp;"CP",'E11 - 2014 09 Final'!$A$46:$Q$1704,$M$122,FALSE)</f>
        <v>12357</v>
      </c>
      <c r="N134" s="82">
        <f>VLOOKUP($A134&amp;"CP",'E11 - 2014 09 Final'!$A$46:$Q$1704,$N$122,FALSE)</f>
        <v>11987</v>
      </c>
      <c r="O134" s="44">
        <f t="shared" ref="O134" si="24">SUM(C134:N134)</f>
        <v>161779</v>
      </c>
      <c r="P134" s="11">
        <f t="shared" ref="P134" si="25">+O134/12</f>
        <v>13481.583333333334</v>
      </c>
    </row>
    <row r="135" spans="1:16">
      <c r="A135" t="s">
        <v>19</v>
      </c>
      <c r="B135" s="43" t="s">
        <v>56</v>
      </c>
      <c r="C135" s="82">
        <f>VLOOKUP($A135&amp;"CP",'E11 - 2014 09 Final'!$A$46:$Q$1704,$C$122,FALSE)</f>
        <v>2375</v>
      </c>
      <c r="D135" s="82">
        <f>VLOOKUP($A135&amp;"CP",'E11 - 2014 09 Final'!$A$46:$Q$1704,$D$122,FALSE)</f>
        <v>0</v>
      </c>
      <c r="E135" s="82">
        <f>VLOOKUP($A135&amp;"CP",'E11 - 2014 09 Final'!$A$46:$Q$1704,$E$122,FALSE)</f>
        <v>0</v>
      </c>
      <c r="F135" s="82">
        <f>VLOOKUP($A135&amp;"CP",'E11 - 2014 09 Final'!$A$46:$Q$1704,$F$122,FALSE)</f>
        <v>0</v>
      </c>
      <c r="G135" s="82">
        <f>VLOOKUP($A135&amp;"CP",'E11 - 2014 09 Final'!$A$46:$Q$1704,$G$122,FALSE)</f>
        <v>0</v>
      </c>
      <c r="H135" s="82">
        <f>VLOOKUP($A135&amp;"CP",'E11 - 2014 09 Final'!$A$46:$Q$1704,$H$122,FALSE)</f>
        <v>0</v>
      </c>
      <c r="I135" s="82">
        <f>VLOOKUP($A135&amp;"CP",'E11 - 2014 09 Final'!$A$46:$Q$1704,$I$122,FALSE)</f>
        <v>0</v>
      </c>
      <c r="J135" s="82">
        <f>VLOOKUP($A135&amp;"CP",'E11 - 2014 09 Final'!$A$46:$Q$1704,$J$122,FALSE)</f>
        <v>0</v>
      </c>
      <c r="K135" s="82">
        <f>VLOOKUP($A135&amp;"CP",'E11 - 2014 09 Final'!$A$46:$Q$1704,$K$122,FALSE)</f>
        <v>0</v>
      </c>
      <c r="L135" s="82">
        <f>VLOOKUP($A135&amp;"CP",'E11 - 2014 09 Final'!$A$46:$Q$1704,$L$122,FALSE)</f>
        <v>0</v>
      </c>
      <c r="M135" s="82">
        <f>VLOOKUP($A135&amp;"CP",'E11 - 2014 09 Final'!$A$46:$Q$1704,$M$122,FALSE)</f>
        <v>0</v>
      </c>
      <c r="N135" s="82">
        <f>VLOOKUP($A135&amp;"CP",'E11 - 2014 09 Final'!$A$46:$Q$1704,$N$122,FALSE)</f>
        <v>0</v>
      </c>
      <c r="O135" s="44">
        <f t="shared" si="22"/>
        <v>2375</v>
      </c>
      <c r="P135" s="11">
        <f t="shared" si="23"/>
        <v>197.91666666666666</v>
      </c>
    </row>
    <row r="136" spans="1:16">
      <c r="A136" t="s">
        <v>22</v>
      </c>
      <c r="B136" s="43" t="s">
        <v>57</v>
      </c>
      <c r="C136" s="82">
        <f>VLOOKUP($A136&amp;"CP",'E11 - 2014 09 Final'!$A$46:$Q$1704,$C$122,FALSE)</f>
        <v>575</v>
      </c>
      <c r="D136" s="82">
        <f>VLOOKUP($A136&amp;"CP",'E11 - 2014 09 Final'!$A$46:$Q$1704,$D$122,FALSE)</f>
        <v>622</v>
      </c>
      <c r="E136" s="82">
        <f>VLOOKUP($A136&amp;"CP",'E11 - 2014 09 Final'!$A$46:$Q$1704,$E$122,FALSE)</f>
        <v>998</v>
      </c>
      <c r="F136" s="82">
        <f>VLOOKUP($A136&amp;"CP",'E11 - 2014 09 Final'!$A$46:$Q$1704,$F$122,FALSE)</f>
        <v>790</v>
      </c>
      <c r="G136" s="82">
        <f>VLOOKUP($A136&amp;"CP",'E11 - 2014 09 Final'!$A$46:$Q$1704,$G$122,FALSE)</f>
        <v>773</v>
      </c>
      <c r="H136" s="82">
        <f>VLOOKUP($A136&amp;"CP",'E11 - 2014 09 Final'!$A$46:$Q$1704,$H$122,FALSE)</f>
        <v>966</v>
      </c>
      <c r="I136" s="82">
        <f>VLOOKUP($A136&amp;"CP",'E11 - 2014 09 Final'!$A$46:$Q$1704,$I$122,FALSE)</f>
        <v>801</v>
      </c>
      <c r="J136" s="82">
        <f>VLOOKUP($A136&amp;"CP",'E11 - 2014 09 Final'!$A$46:$Q$1704,$J$122,FALSE)</f>
        <v>1181</v>
      </c>
      <c r="K136" s="82">
        <f>VLOOKUP($A136&amp;"CP",'E11 - 2014 09 Final'!$A$46:$Q$1704,$K$122,FALSE)</f>
        <v>1114</v>
      </c>
      <c r="L136" s="82">
        <f>VLOOKUP($A136&amp;"CP",'E11 - 2014 09 Final'!$A$46:$Q$1704,$L$122,FALSE)</f>
        <v>990</v>
      </c>
      <c r="M136" s="82">
        <f>VLOOKUP($A136&amp;"CP",'E11 - 2014 09 Final'!$A$46:$Q$1704,$M$122,FALSE)</f>
        <v>617</v>
      </c>
      <c r="N136" s="82">
        <f>VLOOKUP($A136&amp;"CP",'E11 - 2014 09 Final'!$A$46:$Q$1704,$N$122,FALSE)</f>
        <v>460</v>
      </c>
      <c r="O136" s="44">
        <f t="shared" si="22"/>
        <v>9887</v>
      </c>
      <c r="P136" s="11">
        <f t="shared" si="23"/>
        <v>823.91666666666663</v>
      </c>
    </row>
    <row r="137" spans="1:16">
      <c r="A137" t="s">
        <v>687</v>
      </c>
      <c r="B137" s="43" t="s">
        <v>48</v>
      </c>
      <c r="C137" s="82">
        <f>VLOOKUP($A137&amp;"CP",'E11 - 2014 09 Final'!$A$46:$Q$1704,$C$122,FALSE)</f>
        <v>11077038</v>
      </c>
      <c r="D137" s="82">
        <f>VLOOKUP($A137&amp;"CP",'E11 - 2014 09 Final'!$A$46:$Q$1704,$D$122,FALSE)</f>
        <v>8343846</v>
      </c>
      <c r="E137" s="82">
        <f>VLOOKUP($A137&amp;"CP",'E11 - 2014 09 Final'!$A$46:$Q$1704,$E$122,FALSE)</f>
        <v>9137675</v>
      </c>
      <c r="F137" s="82">
        <f>VLOOKUP($A137&amp;"CP",'E11 - 2014 09 Final'!$A$46:$Q$1704,$F$122,FALSE)</f>
        <v>9768230</v>
      </c>
      <c r="G137" s="82">
        <f>VLOOKUP($A137&amp;"CP",'E11 - 2014 09 Final'!$A$46:$Q$1704,$G$122,FALSE)</f>
        <v>10308619</v>
      </c>
      <c r="H137" s="82">
        <f>VLOOKUP($A137&amp;"CP",'E11 - 2014 09 Final'!$A$46:$Q$1704,$H$122,FALSE)</f>
        <v>11349872</v>
      </c>
      <c r="I137" s="82">
        <f>VLOOKUP($A137&amp;"CP",'E11 - 2014 09 Final'!$A$46:$Q$1704,$I$122,FALSE)</f>
        <v>11904960</v>
      </c>
      <c r="J137" s="82">
        <f>VLOOKUP($A137&amp;"CP",'E11 - 2014 09 Final'!$A$46:$Q$1704,$J$122,FALSE)</f>
        <v>11754348</v>
      </c>
      <c r="K137" s="82">
        <f>VLOOKUP($A137&amp;"CP",'E11 - 2014 09 Final'!$A$46:$Q$1704,$K$122,FALSE)</f>
        <v>12728890</v>
      </c>
      <c r="L137" s="82">
        <f>VLOOKUP($A137&amp;"CP",'E11 - 2014 09 Final'!$A$46:$Q$1704,$L$122,FALSE)</f>
        <v>10976136</v>
      </c>
      <c r="M137" s="82">
        <f>VLOOKUP($A137&amp;"CP",'E11 - 2014 09 Final'!$A$46:$Q$1704,$M$122,FALSE)</f>
        <v>9078625</v>
      </c>
      <c r="N137" s="82">
        <f>VLOOKUP($A137&amp;"CP",'E11 - 2014 09 Final'!$A$46:$Q$1704,$N$122,FALSE)</f>
        <v>8994864</v>
      </c>
      <c r="O137" s="44">
        <f t="shared" si="22"/>
        <v>125423103</v>
      </c>
      <c r="P137" s="11">
        <f t="shared" si="23"/>
        <v>10451925.25</v>
      </c>
    </row>
    <row r="138" spans="1:16">
      <c r="A138" t="s">
        <v>35</v>
      </c>
      <c r="B138" s="43" t="s">
        <v>53</v>
      </c>
      <c r="C138" s="82">
        <f>VLOOKUP($A138&amp;"CP",'E11 - 2014 09 Final'!$A$46:$Q$1704,$C$122,FALSE)</f>
        <v>11539</v>
      </c>
      <c r="D138" s="82">
        <f>VLOOKUP($A138&amp;"CP",'E11 - 2014 09 Final'!$A$46:$Q$1704,$D$122,FALSE)</f>
        <v>0</v>
      </c>
      <c r="E138" s="82">
        <f>VLOOKUP($A138&amp;"CP",'E11 - 2014 09 Final'!$A$46:$Q$1704,$E$122,FALSE)</f>
        <v>0</v>
      </c>
      <c r="F138" s="82">
        <f>VLOOKUP($A138&amp;"CP",'E11 - 2014 09 Final'!$A$46:$Q$1704,$F$122,FALSE)</f>
        <v>0</v>
      </c>
      <c r="G138" s="82">
        <f>VLOOKUP($A138&amp;"CP",'E11 - 2014 09 Final'!$A$46:$Q$1704,$G$122,FALSE)</f>
        <v>0</v>
      </c>
      <c r="H138" s="82">
        <f>VLOOKUP($A138&amp;"CP",'E11 - 2014 09 Final'!$A$46:$Q$1704,$H$122,FALSE)</f>
        <v>0</v>
      </c>
      <c r="I138" s="82">
        <f>VLOOKUP($A138&amp;"CP",'E11 - 2014 09 Final'!$A$46:$Q$1704,$I$122,FALSE)</f>
        <v>0</v>
      </c>
      <c r="J138" s="82">
        <f>VLOOKUP($A138&amp;"CP",'E11 - 2014 09 Final'!$A$46:$Q$1704,$J$122,FALSE)</f>
        <v>0</v>
      </c>
      <c r="K138" s="82">
        <f>VLOOKUP($A138&amp;"CP",'E11 - 2014 09 Final'!$A$46:$Q$1704,$K$122,FALSE)</f>
        <v>0</v>
      </c>
      <c r="L138" s="82">
        <f>VLOOKUP($A138&amp;"CP",'E11 - 2014 09 Final'!$A$46:$Q$1704,$L$122,FALSE)</f>
        <v>0</v>
      </c>
      <c r="M138" s="82">
        <f>VLOOKUP($A138&amp;"CP",'E11 - 2014 09 Final'!$A$46:$Q$1704,$M$122,FALSE)</f>
        <v>0</v>
      </c>
      <c r="N138" s="82">
        <f>VLOOKUP($A138&amp;"CP",'E11 - 2014 09 Final'!$A$46:$Q$1704,$N$122,FALSE)</f>
        <v>0</v>
      </c>
      <c r="O138" s="44">
        <f t="shared" si="22"/>
        <v>11539</v>
      </c>
      <c r="P138" s="11">
        <f t="shared" si="23"/>
        <v>961.58333333333337</v>
      </c>
    </row>
    <row r="139" spans="1:16">
      <c r="A139" t="s">
        <v>38</v>
      </c>
      <c r="B139" s="43" t="s">
        <v>55</v>
      </c>
      <c r="C139" s="82">
        <f>VLOOKUP($A139&amp;"CP",'E11 - 2014 09 Final'!$A$46:$Q$1704,$C$122,FALSE)</f>
        <v>3473</v>
      </c>
      <c r="D139" s="82">
        <f>VLOOKUP($A139&amp;"CP",'E11 - 2014 09 Final'!$A$46:$Q$1704,$D$122,FALSE)</f>
        <v>3853</v>
      </c>
      <c r="E139" s="82">
        <f>VLOOKUP($A139&amp;"CP",'E11 - 2014 09 Final'!$A$46:$Q$1704,$E$122,FALSE)</f>
        <v>3488</v>
      </c>
      <c r="F139" s="82">
        <f>VLOOKUP($A139&amp;"CP",'E11 - 2014 09 Final'!$A$46:$Q$1704,$F$122,FALSE)</f>
        <v>3597</v>
      </c>
      <c r="G139" s="82">
        <f>VLOOKUP($A139&amp;"CP",'E11 - 2014 09 Final'!$A$46:$Q$1704,$G$122,FALSE)</f>
        <v>3481</v>
      </c>
      <c r="H139" s="82">
        <f>VLOOKUP($A139&amp;"CP",'E11 - 2014 09 Final'!$A$46:$Q$1704,$H$122,FALSE)</f>
        <v>3601</v>
      </c>
      <c r="I139" s="82">
        <f>VLOOKUP($A139&amp;"CP",'E11 - 2014 09 Final'!$A$46:$Q$1704,$I$122,FALSE)</f>
        <v>3484</v>
      </c>
      <c r="J139" s="82">
        <f>VLOOKUP($A139&amp;"CP",'E11 - 2014 09 Final'!$A$46:$Q$1704,$J$122,FALSE)</f>
        <v>3499</v>
      </c>
      <c r="K139" s="82">
        <f>VLOOKUP($A139&amp;"CP",'E11 - 2014 09 Final'!$A$46:$Q$1704,$K$122,FALSE)</f>
        <v>3381</v>
      </c>
      <c r="L139" s="82">
        <f>VLOOKUP($A139&amp;"CP",'E11 - 2014 09 Final'!$A$46:$Q$1704,$L$122,FALSE)</f>
        <v>3483</v>
      </c>
      <c r="M139" s="82">
        <f>VLOOKUP($A139&amp;"CP",'E11 - 2014 09 Final'!$A$46:$Q$1704,$M$122,FALSE)</f>
        <v>3566</v>
      </c>
      <c r="N139" s="82">
        <f>VLOOKUP($A139&amp;"CP",'E11 - 2014 09 Final'!$A$46:$Q$1704,$N$122,FALSE)</f>
        <v>3503</v>
      </c>
      <c r="O139" s="44">
        <f t="shared" si="22"/>
        <v>42409</v>
      </c>
      <c r="P139" s="11">
        <f t="shared" si="23"/>
        <v>3534.0833333333335</v>
      </c>
    </row>
    <row r="140" spans="1:16">
      <c r="A140" t="s">
        <v>40</v>
      </c>
      <c r="B140" s="43" t="s">
        <v>87</v>
      </c>
      <c r="C140" s="82">
        <f>VLOOKUP($A140&amp;"CP",'E11 - 2014 09 Final'!$A$46:$Q$1704,$C$122,FALSE)</f>
        <v>1716</v>
      </c>
      <c r="D140" s="82">
        <f>VLOOKUP($A140&amp;"CP",'E11 - 2014 09 Final'!$A$46:$Q$1704,$D$122,FALSE)</f>
        <v>3494</v>
      </c>
      <c r="E140" s="82">
        <f>VLOOKUP($A140&amp;"CP",'E11 - 2014 09 Final'!$A$46:$Q$1704,$E$122,FALSE)</f>
        <v>4628</v>
      </c>
      <c r="F140" s="82">
        <f>VLOOKUP($A140&amp;"CP",'E11 - 2014 09 Final'!$A$46:$Q$1704,$F$122,FALSE)</f>
        <v>2847</v>
      </c>
      <c r="G140" s="82">
        <f>VLOOKUP($A140&amp;"CP",'E11 - 2014 09 Final'!$A$46:$Q$1704,$G$122,FALSE)</f>
        <v>1674</v>
      </c>
      <c r="H140" s="82">
        <f>VLOOKUP($A140&amp;"CP",'E11 - 2014 09 Final'!$A$46:$Q$1704,$H$122,FALSE)</f>
        <v>2158</v>
      </c>
      <c r="I140" s="82">
        <f>VLOOKUP($A140&amp;"CP",'E11 - 2014 09 Final'!$A$46:$Q$1704,$I$122,FALSE)</f>
        <v>2207</v>
      </c>
      <c r="J140" s="82">
        <f>VLOOKUP($A140&amp;"CP",'E11 - 2014 09 Final'!$A$46:$Q$1704,$J$122,FALSE)</f>
        <v>1374</v>
      </c>
      <c r="K140" s="82">
        <f>VLOOKUP($A140&amp;"CP",'E11 - 2014 09 Final'!$A$46:$Q$1704,$K$122,FALSE)</f>
        <v>1472</v>
      </c>
      <c r="L140" s="82">
        <f>VLOOKUP($A140&amp;"CP",'E11 - 2014 09 Final'!$A$46:$Q$1704,$L$122,FALSE)</f>
        <v>1157</v>
      </c>
      <c r="M140" s="82">
        <f>VLOOKUP($A140&amp;"CP",'E11 - 2014 09 Final'!$A$46:$Q$1704,$M$122,FALSE)</f>
        <v>23</v>
      </c>
      <c r="N140" s="82">
        <f>VLOOKUP($A140&amp;"CP",'E11 - 2014 09 Final'!$A$46:$Q$1704,$N$122,FALSE)</f>
        <v>639</v>
      </c>
      <c r="O140" s="44">
        <f t="shared" si="22"/>
        <v>23389</v>
      </c>
      <c r="P140" s="11">
        <f t="shared" si="23"/>
        <v>1949.0833333333333</v>
      </c>
    </row>
    <row r="141" spans="1:16">
      <c r="A141" t="s">
        <v>45</v>
      </c>
      <c r="B141" s="43" t="s">
        <v>88</v>
      </c>
      <c r="C141" s="82">
        <f>VLOOKUP($A141&amp;"CP",'E11 - 2014 09 Final'!$A$46:$Q$1704,$C$122,FALSE)</f>
        <v>4428</v>
      </c>
      <c r="D141" s="82">
        <f>VLOOKUP($A141&amp;"CP",'E11 - 2014 09 Final'!$A$46:$Q$1704,$D$122,FALSE)</f>
        <v>4455</v>
      </c>
      <c r="E141" s="82">
        <f>VLOOKUP($A141&amp;"CP",'E11 - 2014 09 Final'!$A$46:$Q$1704,$E$122,FALSE)</f>
        <v>5431</v>
      </c>
      <c r="F141" s="82">
        <f>VLOOKUP($A141&amp;"CP",'E11 - 2014 09 Final'!$A$46:$Q$1704,$F$122,FALSE)</f>
        <v>13901</v>
      </c>
      <c r="G141" s="82">
        <f>VLOOKUP($A141&amp;"CP",'E11 - 2014 09 Final'!$A$46:$Q$1704,$G$122,FALSE)</f>
        <v>3369</v>
      </c>
      <c r="H141" s="82">
        <f>VLOOKUP($A141&amp;"CP",'E11 - 2014 09 Final'!$A$46:$Q$1704,$H$122,FALSE)</f>
        <v>1884</v>
      </c>
      <c r="I141" s="82">
        <f>VLOOKUP($A141&amp;"CP",'E11 - 2014 09 Final'!$A$46:$Q$1704,$I$122,FALSE)</f>
        <v>1350</v>
      </c>
      <c r="J141" s="82">
        <f>VLOOKUP($A141&amp;"CP",'E11 - 2014 09 Final'!$A$46:$Q$1704,$J$122,FALSE)</f>
        <v>8026</v>
      </c>
      <c r="K141" s="82">
        <f>VLOOKUP($A141&amp;"CP",'E11 - 2014 09 Final'!$A$46:$Q$1704,$K$122,FALSE)</f>
        <v>31709</v>
      </c>
      <c r="L141" s="82">
        <f>VLOOKUP($A141&amp;"CP",'E11 - 2014 09 Final'!$A$46:$Q$1704,$L$122,FALSE)</f>
        <v>5136</v>
      </c>
      <c r="M141" s="82">
        <f>VLOOKUP($A141&amp;"CP",'E11 - 2014 09 Final'!$A$46:$Q$1704,$M$122,FALSE)</f>
        <v>12666</v>
      </c>
      <c r="N141" s="82">
        <f>VLOOKUP($A141&amp;"CP",'E11 - 2014 09 Final'!$A$46:$Q$1704,$N$122,FALSE)</f>
        <v>5108</v>
      </c>
      <c r="O141" s="44">
        <f t="shared" si="22"/>
        <v>97463</v>
      </c>
      <c r="P141" s="11">
        <f t="shared" si="23"/>
        <v>8121.916666666667</v>
      </c>
    </row>
    <row r="142" spans="1:16">
      <c r="C142" s="48"/>
      <c r="D142" s="48"/>
      <c r="E142" s="48"/>
      <c r="F142" s="48"/>
      <c r="G142" s="48"/>
      <c r="H142" s="48"/>
      <c r="I142" s="48"/>
      <c r="J142" s="48"/>
      <c r="K142" s="48"/>
      <c r="L142" s="48"/>
      <c r="M142" s="48"/>
      <c r="N142" s="48"/>
      <c r="O142" s="44"/>
      <c r="P142" s="11"/>
    </row>
    <row r="143" spans="1:16">
      <c r="C143" s="48"/>
      <c r="D143" s="48"/>
      <c r="E143" s="48"/>
      <c r="F143" s="48"/>
      <c r="G143" s="48"/>
      <c r="H143" s="48"/>
      <c r="I143" s="48"/>
      <c r="J143" s="48"/>
      <c r="K143" s="48"/>
      <c r="L143" s="48"/>
      <c r="M143" s="48"/>
      <c r="N143" s="48"/>
      <c r="O143" s="44"/>
      <c r="P143" s="11"/>
    </row>
    <row r="144" spans="1:16">
      <c r="B144" s="42" t="s">
        <v>86</v>
      </c>
      <c r="C144" s="10"/>
      <c r="D144" s="10"/>
      <c r="E144" s="10"/>
      <c r="F144" s="10"/>
      <c r="G144" s="10"/>
      <c r="H144" s="10"/>
      <c r="I144" s="10"/>
      <c r="J144" s="10"/>
      <c r="K144" s="10"/>
      <c r="L144" s="10"/>
      <c r="M144" s="10"/>
      <c r="N144" s="10"/>
    </row>
    <row r="145" spans="1:16">
      <c r="A145" t="s">
        <v>603</v>
      </c>
      <c r="B145" t="s">
        <v>603</v>
      </c>
      <c r="C145" s="82">
        <f>VLOOKUP($A145&amp;"CP",'E11 - 2014 09 Final'!$A$46:$Q$1704,$C$122,FALSE)</f>
        <v>7005</v>
      </c>
      <c r="D145" s="82">
        <f>VLOOKUP($A145&amp;"CP",'E11 - 2014 09 Final'!$A$46:$Q$1704,$D$122,FALSE)</f>
        <v>4416</v>
      </c>
      <c r="E145" s="82">
        <f>VLOOKUP($A145&amp;"CP",'E11 - 2014 09 Final'!$A$46:$Q$1704,$E$122,FALSE)</f>
        <v>3073</v>
      </c>
      <c r="F145" s="82">
        <f>VLOOKUP($A145&amp;"CP",'E11 - 2014 09 Final'!$A$46:$Q$1704,$F$122,FALSE)</f>
        <v>6515</v>
      </c>
      <c r="G145" s="82">
        <f>VLOOKUP($A145&amp;"CP",'E11 - 2014 09 Final'!$A$46:$Q$1704,$G$122,FALSE)</f>
        <v>6900</v>
      </c>
      <c r="H145" s="82">
        <f>VLOOKUP($A145&amp;"CP",'E11 - 2014 09 Final'!$A$46:$Q$1704,$H$122,FALSE)</f>
        <v>7066</v>
      </c>
      <c r="I145" s="82">
        <f>VLOOKUP($A145&amp;"CP",'E11 - 2014 09 Final'!$A$46:$Q$1704,$I$122,FALSE)</f>
        <v>8358</v>
      </c>
      <c r="J145" s="82">
        <f>VLOOKUP($A145&amp;"CP",'E11 - 2014 09 Final'!$A$46:$Q$1704,$J$122,FALSE)</f>
        <v>8412</v>
      </c>
      <c r="K145" s="82">
        <f>VLOOKUP($A145&amp;"CP",'E11 - 2014 09 Final'!$A$46:$Q$1704,$K$122,FALSE)</f>
        <v>8215</v>
      </c>
      <c r="L145" s="82">
        <f>VLOOKUP($A145&amp;"CP",'E11 - 2014 09 Final'!$A$46:$Q$1704,$L$122,FALSE)</f>
        <v>5359</v>
      </c>
      <c r="M145" s="82">
        <f>VLOOKUP($A145&amp;"CP",'E11 - 2014 09 Final'!$A$46:$Q$1704,$M$122,FALSE)</f>
        <v>4212</v>
      </c>
      <c r="N145" s="82">
        <f>VLOOKUP($A145&amp;"CP",'E11 - 2014 09 Final'!$A$46:$Q$1704,$N$122,FALSE)</f>
        <v>3874</v>
      </c>
      <c r="O145" s="44">
        <f t="shared" ref="O145" si="26">SUM(C145:N145)</f>
        <v>73405</v>
      </c>
      <c r="P145" s="11">
        <f t="shared" ref="P145:P148" si="27">+O145/12</f>
        <v>6117.083333333333</v>
      </c>
    </row>
    <row r="146" spans="1:16">
      <c r="A146" t="s">
        <v>245</v>
      </c>
      <c r="B146" t="s">
        <v>983</v>
      </c>
      <c r="C146" s="82">
        <f>VLOOKUP($A146&amp;"CP",'E11 - 2014 09 Final'!$A$46:$Q$1704,$C$122,FALSE)</f>
        <v>87751</v>
      </c>
      <c r="D146" s="82">
        <f>VLOOKUP($A146&amp;"CP",'E11 - 2014 09 Final'!$A$46:$Q$1704,$D$122,FALSE)</f>
        <v>111326</v>
      </c>
      <c r="E146" s="82">
        <f>VLOOKUP($A146&amp;"CP",'E11 - 2014 09 Final'!$A$46:$Q$1704,$E$122,FALSE)</f>
        <v>123018</v>
      </c>
      <c r="F146" s="82">
        <f>VLOOKUP($A146&amp;"CP",'E11 - 2014 09 Final'!$A$46:$Q$1704,$F$122,FALSE)</f>
        <v>128551</v>
      </c>
      <c r="G146" s="82">
        <f>VLOOKUP($A146&amp;"CP",'E11 - 2014 09 Final'!$A$46:$Q$1704,$G$122,FALSE)</f>
        <v>122592</v>
      </c>
      <c r="H146" s="82">
        <f>VLOOKUP($A146&amp;"CP",'E11 - 2014 09 Final'!$A$46:$Q$1704,$H$122,FALSE)</f>
        <v>140109</v>
      </c>
      <c r="I146" s="82">
        <f>VLOOKUP($A146&amp;"CP",'E11 - 2014 09 Final'!$A$46:$Q$1704,$I$122,FALSE)</f>
        <v>150640</v>
      </c>
      <c r="J146" s="82">
        <f>VLOOKUP($A146&amp;"CP",'E11 - 2014 09 Final'!$A$46:$Q$1704,$J$122,FALSE)</f>
        <v>146084</v>
      </c>
      <c r="K146" s="82">
        <f>VLOOKUP($A146&amp;"CP",'E11 - 2014 09 Final'!$A$46:$Q$1704,$K$122,FALSE)</f>
        <v>128297</v>
      </c>
      <c r="L146" s="82">
        <f>VLOOKUP($A146&amp;"CP",'E11 - 2014 09 Final'!$A$46:$Q$1704,$L$122,FALSE)</f>
        <v>136857</v>
      </c>
      <c r="M146" s="82">
        <f>VLOOKUP($A146&amp;"CP",'E11 - 2014 09 Final'!$A$46:$Q$1704,$M$122,FALSE)</f>
        <v>115289</v>
      </c>
      <c r="N146" s="82">
        <f>VLOOKUP($A146&amp;"CP",'E11 - 2014 09 Final'!$A$46:$Q$1704,$N$122,FALSE)</f>
        <v>105411</v>
      </c>
      <c r="O146" s="44">
        <f>SUM(C146:N146)</f>
        <v>1495925</v>
      </c>
      <c r="P146" s="11">
        <f>+O146/12</f>
        <v>124660.41666666667</v>
      </c>
    </row>
    <row r="147" spans="1:16">
      <c r="A147" t="s">
        <v>661</v>
      </c>
      <c r="B147" t="s">
        <v>984</v>
      </c>
      <c r="C147" s="82">
        <f>VLOOKUP($A147&amp;"CP",'E11 - 2014 09 Final'!$A$46:$Q$1704,$C$122,FALSE)</f>
        <v>759818</v>
      </c>
      <c r="D147" s="82">
        <f>VLOOKUP($A147&amp;"CP",'E11 - 2014 09 Final'!$A$46:$Q$1704,$D$122,FALSE)</f>
        <v>555405</v>
      </c>
      <c r="E147" s="82">
        <f>VLOOKUP($A147&amp;"CP",'E11 - 2014 09 Final'!$A$46:$Q$1704,$E$122,FALSE)</f>
        <v>585861</v>
      </c>
      <c r="F147" s="82">
        <f>VLOOKUP($A147&amp;"CP",'E11 - 2014 09 Final'!$A$46:$Q$1704,$F$122,FALSE)</f>
        <v>710173</v>
      </c>
      <c r="G147" s="82">
        <f>VLOOKUP($A147&amp;"CP",'E11 - 2014 09 Final'!$A$46:$Q$1704,$G$122,FALSE)</f>
        <v>728052</v>
      </c>
      <c r="H147" s="82">
        <f>VLOOKUP($A147&amp;"CP",'E11 - 2014 09 Final'!$A$46:$Q$1704,$H$122,FALSE)</f>
        <v>780103</v>
      </c>
      <c r="I147" s="82">
        <f>VLOOKUP($A147&amp;"CP",'E11 - 2014 09 Final'!$A$46:$Q$1704,$I$122,FALSE)</f>
        <v>725301</v>
      </c>
      <c r="J147" s="82">
        <f>VLOOKUP($A147&amp;"CP",'E11 - 2014 09 Final'!$A$46:$Q$1704,$J$122,FALSE)</f>
        <v>829055</v>
      </c>
      <c r="K147" s="82">
        <f>VLOOKUP($A147&amp;"CP",'E11 - 2014 09 Final'!$A$46:$Q$1704,$K$122,FALSE)</f>
        <v>701642</v>
      </c>
      <c r="L147" s="82">
        <f>VLOOKUP($A147&amp;"CP",'E11 - 2014 09 Final'!$A$46:$Q$1704,$L$122,FALSE)</f>
        <v>760590</v>
      </c>
      <c r="M147" s="82">
        <f>VLOOKUP($A147&amp;"CP",'E11 - 2014 09 Final'!$A$46:$Q$1704,$M$122,FALSE)</f>
        <v>597790</v>
      </c>
      <c r="N147" s="82">
        <f>VLOOKUP($A147&amp;"CP",'E11 - 2014 09 Final'!$A$46:$Q$1704,$N$122,FALSE)</f>
        <v>556950</v>
      </c>
      <c r="O147" s="44">
        <f t="shared" ref="O147:O148" si="28">SUM(C147:N147)</f>
        <v>8290740</v>
      </c>
      <c r="P147" s="11">
        <f t="shared" si="27"/>
        <v>690895</v>
      </c>
    </row>
    <row r="148" spans="1:16">
      <c r="A148" t="s">
        <v>673</v>
      </c>
      <c r="B148" t="s">
        <v>985</v>
      </c>
      <c r="C148" s="82">
        <f>VLOOKUP($A148&amp;"CP",'E11 - 2014 09 Final'!$A$46:$Q$1704,$C$122,FALSE)</f>
        <v>0</v>
      </c>
      <c r="D148" s="82">
        <f>VLOOKUP($A148&amp;"CP",'E11 - 2014 09 Final'!$A$46:$Q$1704,$D$122,FALSE)</f>
        <v>30000</v>
      </c>
      <c r="E148" s="82">
        <f>VLOOKUP($A148&amp;"CP",'E11 - 2014 09 Final'!$A$46:$Q$1704,$E$122,FALSE)</f>
        <v>20000</v>
      </c>
      <c r="F148" s="82">
        <f>VLOOKUP($A148&amp;"CP",'E11 - 2014 09 Final'!$A$46:$Q$1704,$F$122,FALSE)</f>
        <v>10000</v>
      </c>
      <c r="G148" s="82">
        <f>VLOOKUP($A148&amp;"CP",'E11 - 2014 09 Final'!$A$46:$Q$1704,$G$122,FALSE)</f>
        <v>20000</v>
      </c>
      <c r="H148" s="82">
        <f>VLOOKUP($A148&amp;"CP",'E11 - 2014 09 Final'!$A$46:$Q$1704,$H$122,FALSE)</f>
        <v>35000</v>
      </c>
      <c r="I148" s="82">
        <f>VLOOKUP($A148&amp;"CP",'E11 - 2014 09 Final'!$A$46:$Q$1704,$I$122,FALSE)</f>
        <v>35000</v>
      </c>
      <c r="J148" s="82">
        <f>VLOOKUP($A148&amp;"CP",'E11 - 2014 09 Final'!$A$46:$Q$1704,$J$122,FALSE)</f>
        <v>35000</v>
      </c>
      <c r="K148" s="82">
        <f>VLOOKUP($A148&amp;"CP",'E11 - 2014 09 Final'!$A$46:$Q$1704,$K$122,FALSE)</f>
        <v>25000</v>
      </c>
      <c r="L148" s="82">
        <f>VLOOKUP($A148&amp;"CP",'E11 - 2014 09 Final'!$A$46:$Q$1704,$L$122,FALSE)</f>
        <v>20000</v>
      </c>
      <c r="M148" s="82">
        <f>VLOOKUP($A148&amp;"CP",'E11 - 2014 09 Final'!$A$46:$Q$1704,$M$122,FALSE)</f>
        <v>10000</v>
      </c>
      <c r="N148" s="82">
        <f>VLOOKUP($A148&amp;"CP",'E11 - 2014 09 Final'!$A$46:$Q$1704,$N$122,FALSE)</f>
        <v>20000</v>
      </c>
      <c r="O148" s="44">
        <f t="shared" si="28"/>
        <v>260000</v>
      </c>
      <c r="P148" s="11">
        <f t="shared" si="27"/>
        <v>21666.666666666668</v>
      </c>
    </row>
    <row r="149" spans="1:16" ht="409.6">
      <c r="A149" t="s">
        <v>691</v>
      </c>
      <c r="B149" t="s">
        <v>691</v>
      </c>
      <c r="C149" s="82">
        <f>VLOOKUP($A149&amp;"CP",'E11 - 2014 09 Final'!$A$46:$Q$1704,$C$122,FALSE)</f>
        <v>0</v>
      </c>
      <c r="D149" s="82">
        <f>VLOOKUP($A149&amp;"CP",'E11 - 2014 09 Final'!$A$46:$Q$1704,$D$122,FALSE)</f>
        <v>0</v>
      </c>
      <c r="E149" s="82">
        <f>VLOOKUP($A149&amp;"CP",'E11 - 2014 09 Final'!$A$46:$Q$1704,$E$122,FALSE)</f>
        <v>0</v>
      </c>
      <c r="F149" s="82">
        <f>VLOOKUP($A149&amp;"CP",'E11 - 2014 09 Final'!$A$46:$Q$1704,$F$122,FALSE)</f>
        <v>0</v>
      </c>
      <c r="G149" s="82">
        <f>VLOOKUP($A149&amp;"CP",'E11 - 2014 09 Final'!$A$46:$Q$1704,$G$122,FALSE)</f>
        <v>0</v>
      </c>
      <c r="H149" s="82">
        <f>VLOOKUP($A149&amp;"CP",'E11 - 2014 09 Final'!$A$46:$Q$1704,$H$122,FALSE)</f>
        <v>200000</v>
      </c>
      <c r="I149" s="82">
        <f>VLOOKUP($A149&amp;"CP",'E11 - 2014 09 Final'!$A$46:$Q$1704,$I$122,FALSE)</f>
        <v>200000</v>
      </c>
      <c r="J149" s="82">
        <f>VLOOKUP($A149&amp;"CP",'E11 - 2014 09 Final'!$A$46:$Q$1704,$J$122,FALSE)</f>
        <v>200000</v>
      </c>
      <c r="K149" s="82">
        <f>VLOOKUP($A149&amp;"CP",'E11 - 2014 09 Final'!$A$46:$Q$1704,$K$122,FALSE)</f>
        <v>200000</v>
      </c>
      <c r="L149" s="82">
        <f>VLOOKUP($A149&amp;"CP",'E11 - 2014 09 Final'!$A$46:$Q$1704,$L$122,FALSE)</f>
        <v>200000</v>
      </c>
      <c r="M149" s="82">
        <f>VLOOKUP($A149&amp;"CP",'E11 - 2014 09 Final'!$A$46:$Q$1704,$M$122,FALSE)</f>
        <v>0</v>
      </c>
      <c r="N149" s="82">
        <f>VLOOKUP($A149&amp;"CP",'E11 - 2014 09 Final'!$A$46:$Q$1704,$N$122,FALSE)</f>
        <v>0</v>
      </c>
      <c r="O149" s="44">
        <f>SUM(C149:N149)</f>
        <v>1000000</v>
      </c>
      <c r="P149" s="11">
        <f>+O149/12</f>
        <v>83333.333333333328</v>
      </c>
    </row>
    <row r="150" spans="1:16" ht="409.6">
      <c r="A150" t="s">
        <v>724</v>
      </c>
      <c r="B150" t="s">
        <v>724</v>
      </c>
      <c r="C150" s="82">
        <f>VLOOKUP($A150&amp;"CP",'E11 - 2014 09 Final'!$A$46:$Q$1704,$C$122,FALSE)</f>
        <v>12444</v>
      </c>
      <c r="D150" s="82">
        <f>VLOOKUP($A150&amp;"CP",'E11 - 2014 09 Final'!$A$46:$Q$1704,$D$122,FALSE)</f>
        <v>8971</v>
      </c>
      <c r="E150" s="82">
        <f>VLOOKUP($A150&amp;"CP",'E11 - 2014 09 Final'!$A$46:$Q$1704,$E$122,FALSE)</f>
        <v>7541</v>
      </c>
      <c r="F150" s="82">
        <f>VLOOKUP($A150&amp;"CP",'E11 - 2014 09 Final'!$A$46:$Q$1704,$F$122,FALSE)</f>
        <v>12473</v>
      </c>
      <c r="G150" s="82">
        <f>VLOOKUP($A150&amp;"CP",'E11 - 2014 09 Final'!$A$46:$Q$1704,$G$122,FALSE)</f>
        <v>12591</v>
      </c>
      <c r="H150" s="82">
        <f>VLOOKUP($A150&amp;"CP",'E11 - 2014 09 Final'!$A$46:$Q$1704,$H$122,FALSE)</f>
        <v>12731</v>
      </c>
      <c r="I150" s="82">
        <f>VLOOKUP($A150&amp;"CP",'E11 - 2014 09 Final'!$A$46:$Q$1704,$I$122,FALSE)</f>
        <v>12637</v>
      </c>
      <c r="J150" s="82">
        <f>VLOOKUP($A150&amp;"CP",'E11 - 2014 09 Final'!$A$46:$Q$1704,$J$122,FALSE)</f>
        <v>13556</v>
      </c>
      <c r="K150" s="82">
        <f>VLOOKUP($A150&amp;"CP",'E11 - 2014 09 Final'!$A$46:$Q$1704,$K$122,FALSE)</f>
        <v>13084</v>
      </c>
      <c r="L150" s="82">
        <f>VLOOKUP($A150&amp;"CP",'E11 - 2014 09 Final'!$A$46:$Q$1704,$L$122,FALSE)</f>
        <v>11571</v>
      </c>
      <c r="M150" s="82">
        <f>VLOOKUP($A150&amp;"CP",'E11 - 2014 09 Final'!$A$46:$Q$1704,$M$122,FALSE)</f>
        <v>9252</v>
      </c>
      <c r="N150" s="82">
        <f>VLOOKUP($A150&amp;"CP",'E11 - 2014 09 Final'!$A$46:$Q$1704,$N$122,FALSE)</f>
        <v>8931</v>
      </c>
      <c r="O150" s="44">
        <f>SUM(C150:N150)</f>
        <v>135782</v>
      </c>
      <c r="P150" s="11">
        <f>+O150/12</f>
        <v>11315.166666666666</v>
      </c>
    </row>
    <row r="151" spans="1:16">
      <c r="A151" t="s">
        <v>727</v>
      </c>
      <c r="B151" t="s">
        <v>986</v>
      </c>
      <c r="C151" s="82">
        <f>VLOOKUP($A151&amp;"CP",'E11 - 2014 09 Final'!$A$46:$Q$1704,$C$122,FALSE)</f>
        <v>23000</v>
      </c>
      <c r="D151" s="82">
        <f>VLOOKUP($A151&amp;"CP",'E11 - 2014 09 Final'!$A$46:$Q$1704,$D$122,FALSE)</f>
        <v>23000</v>
      </c>
      <c r="E151" s="82">
        <f>VLOOKUP($A151&amp;"CP",'E11 - 2014 09 Final'!$A$46:$Q$1704,$E$122,FALSE)</f>
        <v>23000</v>
      </c>
      <c r="F151" s="82">
        <f>VLOOKUP($A151&amp;"CP",'E11 - 2014 09 Final'!$A$46:$Q$1704,$F$122,FALSE)</f>
        <v>23000</v>
      </c>
      <c r="G151" s="82">
        <f>VLOOKUP($A151&amp;"CP",'E11 - 2014 09 Final'!$A$46:$Q$1704,$G$122,FALSE)</f>
        <v>23000</v>
      </c>
      <c r="H151" s="82">
        <f>VLOOKUP($A151&amp;"CP",'E11 - 2014 09 Final'!$A$46:$Q$1704,$H$122,FALSE)</f>
        <v>23000</v>
      </c>
      <c r="I151" s="82">
        <f>VLOOKUP($A151&amp;"CP",'E11 - 2014 09 Final'!$A$46:$Q$1704,$I$122,FALSE)</f>
        <v>23000</v>
      </c>
      <c r="J151" s="82">
        <f>VLOOKUP($A151&amp;"CP",'E11 - 2014 09 Final'!$A$46:$Q$1704,$J$122,FALSE)</f>
        <v>23000</v>
      </c>
      <c r="K151" s="82">
        <f>VLOOKUP($A151&amp;"CP",'E11 - 2014 09 Final'!$A$46:$Q$1704,$K$122,FALSE)</f>
        <v>23000</v>
      </c>
      <c r="L151" s="82">
        <f>VLOOKUP($A151&amp;"CP",'E11 - 2014 09 Final'!$A$46:$Q$1704,$L$122,FALSE)</f>
        <v>23000</v>
      </c>
      <c r="M151" s="82">
        <f>VLOOKUP($A151&amp;"CP",'E11 - 2014 09 Final'!$A$46:$Q$1704,$M$122,FALSE)</f>
        <v>23000</v>
      </c>
      <c r="N151" s="82">
        <f>VLOOKUP($A151&amp;"CP",'E11 - 2014 09 Final'!$A$46:$Q$1704,$N$122,FALSE)</f>
        <v>23000</v>
      </c>
      <c r="O151" s="44">
        <f>SUM(C151:N151)</f>
        <v>276000</v>
      </c>
      <c r="P151" s="11">
        <f>+O151/12</f>
        <v>23000</v>
      </c>
    </row>
  </sheetData>
  <mergeCells count="8">
    <mergeCell ref="B76:P76"/>
    <mergeCell ref="B117:P117"/>
    <mergeCell ref="B118:P118"/>
    <mergeCell ref="B4:P4"/>
    <mergeCell ref="B5:P5"/>
    <mergeCell ref="B40:P40"/>
    <mergeCell ref="B41:P41"/>
    <mergeCell ref="B75:P75"/>
  </mergeCells>
  <phoneticPr fontId="9" type="noConversion"/>
  <pageMargins left="0" right="0" top="0.75" bottom="0.5" header="0.5" footer="0.5"/>
  <pageSetup scale="80" orientation="landscape" r:id="rId1"/>
  <headerFooter alignWithMargins="0"/>
  <rowBreaks count="3" manualBreakCount="3">
    <brk id="39" max="16383" man="1"/>
    <brk id="74" max="16383" man="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FF0000"/>
  </sheetPr>
  <dimension ref="A1:P150"/>
  <sheetViews>
    <sheetView showGridLines="0" zoomScale="75" zoomScaleNormal="75" workbookViewId="0">
      <selection activeCell="A2" sqref="A1:A2"/>
    </sheetView>
  </sheetViews>
  <sheetFormatPr defaultRowHeight="13.2"/>
  <cols>
    <col min="1" max="1" width="18.6640625" customWidth="1"/>
    <col min="2" max="2" width="23.44140625" customWidth="1"/>
    <col min="3" max="14" width="12.5546875" customWidth="1"/>
    <col min="15" max="16" width="14.33203125" customWidth="1"/>
  </cols>
  <sheetData>
    <row r="1" spans="1:16" s="8" customFormat="1">
      <c r="A1" s="8" t="s">
        <v>1319</v>
      </c>
    </row>
    <row r="2" spans="1:16" s="8" customFormat="1">
      <c r="A2" s="8" t="s">
        <v>1267</v>
      </c>
    </row>
    <row r="3" spans="1:16" s="8" customFormat="1"/>
    <row r="4" spans="1:16" ht="21">
      <c r="B4" s="611" t="s">
        <v>90</v>
      </c>
      <c r="C4" s="611"/>
      <c r="D4" s="611"/>
      <c r="E4" s="611"/>
      <c r="F4" s="611"/>
      <c r="G4" s="611"/>
      <c r="H4" s="611"/>
      <c r="I4" s="611"/>
      <c r="J4" s="611"/>
      <c r="K4" s="611"/>
      <c r="L4" s="611"/>
      <c r="M4" s="611"/>
      <c r="N4" s="611"/>
      <c r="O4" s="611"/>
      <c r="P4" s="611"/>
    </row>
    <row r="5" spans="1:16" ht="17.399999999999999">
      <c r="B5" s="610" t="s">
        <v>89</v>
      </c>
      <c r="C5" s="610"/>
      <c r="D5" s="610"/>
      <c r="E5" s="610"/>
      <c r="F5" s="610"/>
      <c r="G5" s="610"/>
      <c r="H5" s="610"/>
      <c r="I5" s="610"/>
      <c r="J5" s="610"/>
      <c r="K5" s="610"/>
      <c r="L5" s="610"/>
      <c r="M5" s="610"/>
      <c r="N5" s="610"/>
      <c r="O5" s="610"/>
      <c r="P5" s="610"/>
    </row>
    <row r="6" spans="1:16" ht="13.8" thickBot="1">
      <c r="B6" s="13"/>
      <c r="C6" s="13"/>
      <c r="D6" s="13"/>
      <c r="E6" s="13"/>
      <c r="F6" s="13"/>
      <c r="G6" s="13"/>
      <c r="H6" s="13"/>
      <c r="I6" s="13"/>
      <c r="J6" s="13"/>
      <c r="K6" s="13"/>
      <c r="L6" s="13"/>
      <c r="M6" s="13"/>
      <c r="N6" s="13"/>
      <c r="O6" s="13"/>
      <c r="P6" s="13"/>
    </row>
    <row r="7" spans="1:16">
      <c r="C7" s="14"/>
      <c r="D7" s="15"/>
      <c r="E7" s="16"/>
      <c r="F7" s="17"/>
      <c r="G7" s="18"/>
      <c r="H7" s="19"/>
      <c r="I7" s="20"/>
      <c r="J7" s="21"/>
      <c r="K7" s="22"/>
      <c r="L7" s="23"/>
      <c r="M7" s="24"/>
      <c r="N7" s="25"/>
      <c r="O7" s="26"/>
      <c r="P7" s="27" t="s">
        <v>576</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f>C9+1</f>
        <v>3</v>
      </c>
      <c r="E9">
        <f t="shared" ref="E9:N9" si="0">D9+1</f>
        <v>4</v>
      </c>
      <c r="F9">
        <f t="shared" si="0"/>
        <v>5</v>
      </c>
      <c r="G9">
        <f t="shared" si="0"/>
        <v>6</v>
      </c>
      <c r="H9">
        <f t="shared" si="0"/>
        <v>7</v>
      </c>
      <c r="I9">
        <f t="shared" si="0"/>
        <v>8</v>
      </c>
      <c r="J9">
        <f t="shared" si="0"/>
        <v>9</v>
      </c>
      <c r="K9">
        <f t="shared" si="0"/>
        <v>10</v>
      </c>
      <c r="L9">
        <f t="shared" si="0"/>
        <v>11</v>
      </c>
      <c r="M9">
        <f t="shared" si="0"/>
        <v>12</v>
      </c>
      <c r="N9">
        <f t="shared" si="0"/>
        <v>13</v>
      </c>
    </row>
    <row r="10" spans="1:16">
      <c r="B10" s="42" t="s">
        <v>83</v>
      </c>
    </row>
    <row r="11" spans="1:16">
      <c r="A11" s="43" t="s">
        <v>98</v>
      </c>
      <c r="B11" s="43" t="s">
        <v>84</v>
      </c>
      <c r="C11" s="48">
        <f t="shared" ref="C11:N20" si="1">AVERAGE(VLOOKUP($B11,$B$39:$P$63,C$9,FALSE),VLOOKUP($B11,$B$74:$N$98,C$9,FALSE),VLOOKUP($B11,$B$114:$N$140,C$9,FALSE))</f>
        <v>378132.66666666669</v>
      </c>
      <c r="D11" s="48">
        <f t="shared" si="1"/>
        <v>385292.33333333331</v>
      </c>
      <c r="E11" s="48">
        <f t="shared" si="1"/>
        <v>351025.33333333331</v>
      </c>
      <c r="F11" s="48">
        <f t="shared" si="1"/>
        <v>379221.66666666669</v>
      </c>
      <c r="G11" s="48">
        <f t="shared" si="1"/>
        <v>368139.33333333331</v>
      </c>
      <c r="H11" s="48">
        <f t="shared" si="1"/>
        <v>387424.33333333331</v>
      </c>
      <c r="I11" s="48">
        <f t="shared" si="1"/>
        <v>378620</v>
      </c>
      <c r="J11" s="48">
        <f t="shared" si="1"/>
        <v>387107</v>
      </c>
      <c r="K11" s="48">
        <f t="shared" si="1"/>
        <v>402431.33333333331</v>
      </c>
      <c r="L11" s="48">
        <f t="shared" si="1"/>
        <v>372857</v>
      </c>
      <c r="M11" s="48">
        <f t="shared" si="1"/>
        <v>376788</v>
      </c>
      <c r="N11" s="48">
        <f t="shared" si="1"/>
        <v>363564.33333333331</v>
      </c>
      <c r="O11" s="44">
        <f t="shared" ref="O11:O27" si="2">SUM(C11:N11)</f>
        <v>4530603.333333333</v>
      </c>
      <c r="P11" s="11">
        <f>MAX(C11:N11)</f>
        <v>402431.33333333331</v>
      </c>
    </row>
    <row r="12" spans="1:16">
      <c r="A12" s="43" t="s">
        <v>99</v>
      </c>
      <c r="B12" s="43" t="s">
        <v>85</v>
      </c>
      <c r="C12" s="48">
        <f t="shared" si="1"/>
        <v>25253</v>
      </c>
      <c r="D12" s="48">
        <f t="shared" si="1"/>
        <v>25844.666666666668</v>
      </c>
      <c r="E12" s="48">
        <f t="shared" si="1"/>
        <v>23008.333333333332</v>
      </c>
      <c r="F12" s="48">
        <f t="shared" si="1"/>
        <v>25596</v>
      </c>
      <c r="G12" s="48">
        <f t="shared" si="1"/>
        <v>22283.333333333332</v>
      </c>
      <c r="H12" s="48">
        <f t="shared" si="1"/>
        <v>23815.333333333332</v>
      </c>
      <c r="I12" s="48">
        <f t="shared" si="1"/>
        <v>23181</v>
      </c>
      <c r="J12" s="48">
        <f t="shared" si="1"/>
        <v>23426</v>
      </c>
      <c r="K12" s="48">
        <f t="shared" si="1"/>
        <v>24511</v>
      </c>
      <c r="L12" s="48">
        <f t="shared" si="1"/>
        <v>22756</v>
      </c>
      <c r="M12" s="48">
        <f t="shared" si="1"/>
        <v>22421.333333333332</v>
      </c>
      <c r="N12" s="48">
        <f t="shared" si="1"/>
        <v>21766.333333333332</v>
      </c>
      <c r="O12" s="44">
        <f t="shared" si="2"/>
        <v>283862.33333333331</v>
      </c>
      <c r="P12" s="11">
        <f t="shared" ref="P12:P27" si="3">MAX(C12:N12)</f>
        <v>25844.666666666668</v>
      </c>
    </row>
    <row r="13" spans="1:16">
      <c r="A13" s="43" t="s">
        <v>50</v>
      </c>
      <c r="B13" s="43" t="s">
        <v>50</v>
      </c>
      <c r="C13" s="48">
        <f t="shared" si="1"/>
        <v>176229.33333333334</v>
      </c>
      <c r="D13" s="48">
        <f t="shared" si="1"/>
        <v>168161.66666666666</v>
      </c>
      <c r="E13" s="48">
        <f t="shared" si="1"/>
        <v>175397</v>
      </c>
      <c r="F13" s="48">
        <f t="shared" si="1"/>
        <v>174231.66666666666</v>
      </c>
      <c r="G13" s="48">
        <f t="shared" si="1"/>
        <v>183631</v>
      </c>
      <c r="H13" s="48">
        <f t="shared" si="1"/>
        <v>181250.33333333334</v>
      </c>
      <c r="I13" s="48">
        <f t="shared" si="1"/>
        <v>185281</v>
      </c>
      <c r="J13" s="48">
        <f t="shared" si="1"/>
        <v>186593</v>
      </c>
      <c r="K13" s="48">
        <f t="shared" si="1"/>
        <v>187198.66666666666</v>
      </c>
      <c r="L13" s="48">
        <f t="shared" si="1"/>
        <v>185691.66666666666</v>
      </c>
      <c r="M13" s="48">
        <f t="shared" si="1"/>
        <v>177346</v>
      </c>
      <c r="N13" s="48">
        <f t="shared" si="1"/>
        <v>176135</v>
      </c>
      <c r="O13" s="44">
        <f t="shared" si="2"/>
        <v>2157146.3333333335</v>
      </c>
      <c r="P13" s="11">
        <f t="shared" si="3"/>
        <v>187198.66666666666</v>
      </c>
    </row>
    <row r="14" spans="1:16">
      <c r="A14" s="43" t="s">
        <v>49</v>
      </c>
      <c r="B14" s="43" t="s">
        <v>49</v>
      </c>
      <c r="C14" s="48">
        <f t="shared" si="1"/>
        <v>1049689.6666666667</v>
      </c>
      <c r="D14" s="48">
        <f t="shared" si="1"/>
        <v>1099028.3333333333</v>
      </c>
      <c r="E14" s="48">
        <f t="shared" si="1"/>
        <v>985654</v>
      </c>
      <c r="F14" s="48">
        <f t="shared" si="1"/>
        <v>1179024</v>
      </c>
      <c r="G14" s="48">
        <f t="shared" si="1"/>
        <v>1204551.3333333333</v>
      </c>
      <c r="H14" s="48">
        <f t="shared" si="1"/>
        <v>1326207.6666666667</v>
      </c>
      <c r="I14" s="48">
        <f t="shared" si="1"/>
        <v>1301892.3333333333</v>
      </c>
      <c r="J14" s="48">
        <f t="shared" si="1"/>
        <v>1242744</v>
      </c>
      <c r="K14" s="48">
        <f t="shared" si="1"/>
        <v>1319112</v>
      </c>
      <c r="L14" s="48">
        <f t="shared" si="1"/>
        <v>1186911.6666666667</v>
      </c>
      <c r="M14" s="48">
        <f t="shared" si="1"/>
        <v>1098742.6666666667</v>
      </c>
      <c r="N14" s="48">
        <f t="shared" si="1"/>
        <v>998181</v>
      </c>
      <c r="O14" s="44">
        <f t="shared" si="2"/>
        <v>13991738.666666664</v>
      </c>
      <c r="P14" s="11">
        <f t="shared" si="3"/>
        <v>1326207.6666666667</v>
      </c>
    </row>
    <row r="15" spans="1:16">
      <c r="A15" s="46" t="s">
        <v>325</v>
      </c>
      <c r="B15" s="46" t="s">
        <v>325</v>
      </c>
      <c r="C15" s="48">
        <f t="shared" si="1"/>
        <v>6057.666666666667</v>
      </c>
      <c r="D15" s="48">
        <f t="shared" si="1"/>
        <v>5979</v>
      </c>
      <c r="E15" s="48">
        <f t="shared" si="1"/>
        <v>5341.333333333333</v>
      </c>
      <c r="F15" s="48">
        <f t="shared" si="1"/>
        <v>5662</v>
      </c>
      <c r="G15" s="48">
        <f t="shared" si="1"/>
        <v>5566.333333333333</v>
      </c>
      <c r="H15" s="48">
        <f t="shared" si="1"/>
        <v>6883.333333333333</v>
      </c>
      <c r="I15" s="48">
        <f t="shared" si="1"/>
        <v>6856</v>
      </c>
      <c r="J15" s="48">
        <f t="shared" si="1"/>
        <v>6389</v>
      </c>
      <c r="K15" s="48">
        <f t="shared" si="1"/>
        <v>6480</v>
      </c>
      <c r="L15" s="48">
        <f t="shared" si="1"/>
        <v>4342.333333333333</v>
      </c>
      <c r="M15" s="48">
        <f t="shared" si="1"/>
        <v>4416</v>
      </c>
      <c r="N15" s="48">
        <f t="shared" si="1"/>
        <v>4428.333333333333</v>
      </c>
      <c r="O15" s="44">
        <f t="shared" si="2"/>
        <v>68401.333333333328</v>
      </c>
      <c r="P15" s="11">
        <f>MAX(C15:N15)</f>
        <v>6883.333333333333</v>
      </c>
    </row>
    <row r="16" spans="1:16">
      <c r="A16" s="43" t="s">
        <v>67</v>
      </c>
      <c r="B16" s="43" t="s">
        <v>67</v>
      </c>
      <c r="C16" s="48">
        <f t="shared" si="1"/>
        <v>3839245.6666666665</v>
      </c>
      <c r="D16" s="48">
        <f t="shared" si="1"/>
        <v>3901964.3333333335</v>
      </c>
      <c r="E16" s="48">
        <f t="shared" si="1"/>
        <v>3545787</v>
      </c>
      <c r="F16" s="48">
        <f t="shared" si="1"/>
        <v>4002220</v>
      </c>
      <c r="G16" s="48">
        <f t="shared" si="1"/>
        <v>4079560</v>
      </c>
      <c r="H16" s="48">
        <f t="shared" si="1"/>
        <v>4364112</v>
      </c>
      <c r="I16" s="48">
        <f t="shared" si="1"/>
        <v>4285983.666666667</v>
      </c>
      <c r="J16" s="48">
        <f t="shared" si="1"/>
        <v>4425815.333333333</v>
      </c>
      <c r="K16" s="48">
        <f t="shared" si="1"/>
        <v>4676633</v>
      </c>
      <c r="L16" s="48">
        <f t="shared" si="1"/>
        <v>4285745</v>
      </c>
      <c r="M16" s="48">
        <f t="shared" si="1"/>
        <v>4127291</v>
      </c>
      <c r="N16" s="48">
        <f t="shared" si="1"/>
        <v>3827126</v>
      </c>
      <c r="O16" s="44">
        <f t="shared" si="2"/>
        <v>49361483</v>
      </c>
      <c r="P16" s="11">
        <f t="shared" si="3"/>
        <v>4676633</v>
      </c>
    </row>
    <row r="17" spans="1:16">
      <c r="A17" s="43" t="s">
        <v>68</v>
      </c>
      <c r="B17" s="43" t="s">
        <v>68</v>
      </c>
      <c r="C17" s="48">
        <f t="shared" si="1"/>
        <v>1676569.6666666667</v>
      </c>
      <c r="D17" s="48">
        <f t="shared" si="1"/>
        <v>1738276.6666666667</v>
      </c>
      <c r="E17" s="48">
        <f t="shared" si="1"/>
        <v>1596418.6666666667</v>
      </c>
      <c r="F17" s="48">
        <f t="shared" si="1"/>
        <v>1694363.6666666667</v>
      </c>
      <c r="G17" s="48">
        <f t="shared" si="1"/>
        <v>1761738.6666666667</v>
      </c>
      <c r="H17" s="48">
        <f t="shared" si="1"/>
        <v>1800649</v>
      </c>
      <c r="I17" s="48">
        <f t="shared" si="1"/>
        <v>1745301</v>
      </c>
      <c r="J17" s="48">
        <f t="shared" si="1"/>
        <v>1852996.6666666667</v>
      </c>
      <c r="K17" s="48">
        <f t="shared" si="1"/>
        <v>1990550</v>
      </c>
      <c r="L17" s="48">
        <f t="shared" si="1"/>
        <v>1873557.6666666667</v>
      </c>
      <c r="M17" s="48">
        <f t="shared" si="1"/>
        <v>1812404.6666666667</v>
      </c>
      <c r="N17" s="48">
        <f t="shared" si="1"/>
        <v>1764105.6666666667</v>
      </c>
      <c r="O17" s="44">
        <f t="shared" si="2"/>
        <v>21306932.000000004</v>
      </c>
      <c r="P17" s="11">
        <f t="shared" si="3"/>
        <v>1990550</v>
      </c>
    </row>
    <row r="18" spans="1:16">
      <c r="A18" s="43" t="s">
        <v>69</v>
      </c>
      <c r="B18" s="43" t="s">
        <v>69</v>
      </c>
      <c r="C18" s="48">
        <f t="shared" si="1"/>
        <v>341345.66666666669</v>
      </c>
      <c r="D18" s="48">
        <f t="shared" si="1"/>
        <v>342345.66666666669</v>
      </c>
      <c r="E18" s="48">
        <f t="shared" si="1"/>
        <v>316426.66666666669</v>
      </c>
      <c r="F18" s="48">
        <f t="shared" si="1"/>
        <v>334496</v>
      </c>
      <c r="G18" s="48">
        <f t="shared" si="1"/>
        <v>333527.33333333331</v>
      </c>
      <c r="H18" s="48">
        <f t="shared" si="1"/>
        <v>359184.33333333331</v>
      </c>
      <c r="I18" s="48">
        <f t="shared" si="1"/>
        <v>348434</v>
      </c>
      <c r="J18" s="48">
        <f t="shared" si="1"/>
        <v>361749.66666666669</v>
      </c>
      <c r="K18" s="48">
        <f t="shared" si="1"/>
        <v>376100.33333333331</v>
      </c>
      <c r="L18" s="48">
        <f t="shared" si="1"/>
        <v>349409.66666666669</v>
      </c>
      <c r="M18" s="48">
        <f t="shared" si="1"/>
        <v>356070.66666666669</v>
      </c>
      <c r="N18" s="48">
        <f t="shared" si="1"/>
        <v>337410.33333333331</v>
      </c>
      <c r="O18" s="44">
        <f t="shared" si="2"/>
        <v>4156500.333333333</v>
      </c>
      <c r="P18" s="11">
        <f t="shared" si="3"/>
        <v>376100.33333333331</v>
      </c>
    </row>
    <row r="19" spans="1:16">
      <c r="A19" s="43" t="s">
        <v>52</v>
      </c>
      <c r="B19" s="43" t="s">
        <v>52</v>
      </c>
      <c r="C19" s="48">
        <f t="shared" si="1"/>
        <v>27958</v>
      </c>
      <c r="D19" s="48">
        <f t="shared" si="1"/>
        <v>28422.333333333332</v>
      </c>
      <c r="E19" s="48">
        <f t="shared" si="1"/>
        <v>27586.666666666668</v>
      </c>
      <c r="F19" s="48">
        <f t="shared" si="1"/>
        <v>31704.666666666668</v>
      </c>
      <c r="G19" s="48">
        <f t="shared" si="1"/>
        <v>29544.333333333332</v>
      </c>
      <c r="H19" s="48">
        <f t="shared" si="1"/>
        <v>25720.333333333332</v>
      </c>
      <c r="I19" s="48">
        <f t="shared" si="1"/>
        <v>23767</v>
      </c>
      <c r="J19" s="48">
        <f t="shared" si="1"/>
        <v>27148.666666666668</v>
      </c>
      <c r="K19" s="48">
        <f t="shared" si="1"/>
        <v>25856</v>
      </c>
      <c r="L19" s="48">
        <f t="shared" si="1"/>
        <v>26280</v>
      </c>
      <c r="M19" s="48">
        <f t="shared" si="1"/>
        <v>24441.666666666668</v>
      </c>
      <c r="N19" s="48">
        <f t="shared" si="1"/>
        <v>27673</v>
      </c>
      <c r="O19" s="44">
        <f>SUM(C19:N19)</f>
        <v>326102.66666666669</v>
      </c>
      <c r="P19" s="11">
        <f t="shared" si="3"/>
        <v>31704.666666666668</v>
      </c>
    </row>
    <row r="20" spans="1:16">
      <c r="A20" s="206" t="s">
        <v>15</v>
      </c>
      <c r="B20" s="206" t="s">
        <v>15</v>
      </c>
      <c r="C20" s="48">
        <f t="shared" si="1"/>
        <v>14604</v>
      </c>
      <c r="D20" s="48">
        <f t="shared" si="1"/>
        <v>15007.333333333334</v>
      </c>
      <c r="E20" s="48">
        <f t="shared" si="1"/>
        <v>14907</v>
      </c>
      <c r="F20" s="48">
        <f t="shared" si="1"/>
        <v>15013</v>
      </c>
      <c r="G20" s="48">
        <f t="shared" si="1"/>
        <v>15076</v>
      </c>
      <c r="H20" s="48">
        <f t="shared" si="1"/>
        <v>15939.333333333334</v>
      </c>
      <c r="I20" s="48">
        <f t="shared" si="1"/>
        <v>15658.666666666666</v>
      </c>
      <c r="J20" s="48">
        <f t="shared" si="1"/>
        <v>15357</v>
      </c>
      <c r="K20" s="48">
        <f t="shared" si="1"/>
        <v>15227.333333333334</v>
      </c>
      <c r="L20" s="48">
        <f t="shared" si="1"/>
        <v>15521.666666666666</v>
      </c>
      <c r="M20" s="48">
        <f t="shared" si="1"/>
        <v>15379</v>
      </c>
      <c r="N20" s="48">
        <f t="shared" si="1"/>
        <v>15187.666666666666</v>
      </c>
      <c r="O20" s="44">
        <f t="shared" si="2"/>
        <v>182878</v>
      </c>
      <c r="P20" s="11">
        <f t="shared" si="3"/>
        <v>15939.333333333334</v>
      </c>
    </row>
    <row r="21" spans="1:16">
      <c r="A21" s="43" t="s">
        <v>56</v>
      </c>
      <c r="B21" s="43" t="s">
        <v>56</v>
      </c>
      <c r="C21" s="48">
        <f t="shared" ref="C21:N27" si="4">AVERAGE(VLOOKUP($B21,$B$39:$P$63,C$9,FALSE),VLOOKUP($B21,$B$74:$N$98,C$9,FALSE),VLOOKUP($B21,$B$114:$N$140,C$9,FALSE))</f>
        <v>20347.666666666668</v>
      </c>
      <c r="D21" s="48">
        <f t="shared" si="4"/>
        <v>23238</v>
      </c>
      <c r="E21" s="48">
        <f t="shared" si="4"/>
        <v>22652.666666666668</v>
      </c>
      <c r="F21" s="48">
        <f t="shared" si="4"/>
        <v>24867.333333333332</v>
      </c>
      <c r="G21" s="48">
        <f t="shared" si="4"/>
        <v>25530.666666666668</v>
      </c>
      <c r="H21" s="48">
        <f t="shared" si="4"/>
        <v>27168.666666666668</v>
      </c>
      <c r="I21" s="48">
        <f t="shared" si="4"/>
        <v>25901</v>
      </c>
      <c r="J21" s="48">
        <f t="shared" si="4"/>
        <v>24779.333333333332</v>
      </c>
      <c r="K21" s="48">
        <f t="shared" si="4"/>
        <v>23908</v>
      </c>
      <c r="L21" s="48">
        <f t="shared" si="4"/>
        <v>21743.666666666668</v>
      </c>
      <c r="M21" s="48">
        <f t="shared" si="4"/>
        <v>21209.333333333332</v>
      </c>
      <c r="N21" s="48">
        <f t="shared" si="4"/>
        <v>20160.666666666668</v>
      </c>
      <c r="O21" s="44">
        <f>SUM(C21:N21)</f>
        <v>281507</v>
      </c>
      <c r="P21" s="11">
        <f t="shared" si="3"/>
        <v>27168.666666666668</v>
      </c>
    </row>
    <row r="22" spans="1:16">
      <c r="A22" s="43" t="s">
        <v>57</v>
      </c>
      <c r="B22" s="43" t="s">
        <v>57</v>
      </c>
      <c r="C22" s="48">
        <f t="shared" si="4"/>
        <v>8898.3333333333339</v>
      </c>
      <c r="D22" s="48">
        <f t="shared" si="4"/>
        <v>11548.666666666666</v>
      </c>
      <c r="E22" s="48">
        <f t="shared" si="4"/>
        <v>12569</v>
      </c>
      <c r="F22" s="48">
        <f t="shared" si="4"/>
        <v>9671.6666666666661</v>
      </c>
      <c r="G22" s="48">
        <f t="shared" si="4"/>
        <v>8226.6666666666661</v>
      </c>
      <c r="H22" s="48">
        <f t="shared" si="4"/>
        <v>6854.333333333333</v>
      </c>
      <c r="I22" s="48">
        <f t="shared" si="4"/>
        <v>5336.333333333333</v>
      </c>
      <c r="J22" s="48">
        <f t="shared" si="4"/>
        <v>6150.333333333333</v>
      </c>
      <c r="K22" s="48">
        <f t="shared" si="4"/>
        <v>8957.3333333333339</v>
      </c>
      <c r="L22" s="48">
        <f t="shared" si="4"/>
        <v>10025.333333333334</v>
      </c>
      <c r="M22" s="48">
        <f t="shared" si="4"/>
        <v>11568.333333333334</v>
      </c>
      <c r="N22" s="48">
        <f t="shared" si="4"/>
        <v>10315</v>
      </c>
      <c r="O22" s="44">
        <f t="shared" si="2"/>
        <v>110121.33333333331</v>
      </c>
      <c r="P22" s="11">
        <f t="shared" si="3"/>
        <v>12569</v>
      </c>
    </row>
    <row r="23" spans="1:16">
      <c r="A23" s="43" t="s">
        <v>48</v>
      </c>
      <c r="B23" s="43" t="s">
        <v>48</v>
      </c>
      <c r="C23" s="48">
        <f t="shared" si="4"/>
        <v>10424170.666666666</v>
      </c>
      <c r="D23" s="48">
        <f t="shared" si="4"/>
        <v>9521249.666666666</v>
      </c>
      <c r="E23" s="48">
        <f t="shared" si="4"/>
        <v>8693853.333333334</v>
      </c>
      <c r="F23" s="48">
        <f t="shared" si="4"/>
        <v>9597553.333333334</v>
      </c>
      <c r="G23" s="48">
        <f t="shared" si="4"/>
        <v>10125025.333333334</v>
      </c>
      <c r="H23" s="48">
        <f t="shared" si="4"/>
        <v>11391720.666666666</v>
      </c>
      <c r="I23" s="48">
        <f t="shared" si="4"/>
        <v>11741111.333333334</v>
      </c>
      <c r="J23" s="48">
        <f t="shared" si="4"/>
        <v>12132517.666666666</v>
      </c>
      <c r="K23" s="48">
        <f t="shared" si="4"/>
        <v>13120931.666666666</v>
      </c>
      <c r="L23" s="48">
        <f t="shared" si="4"/>
        <v>11166178</v>
      </c>
      <c r="M23" s="48">
        <f t="shared" si="4"/>
        <v>9254684</v>
      </c>
      <c r="N23" s="48">
        <f t="shared" si="4"/>
        <v>8339912.666666667</v>
      </c>
      <c r="O23" s="44">
        <f t="shared" si="2"/>
        <v>125508908.33333334</v>
      </c>
      <c r="P23" s="11">
        <f t="shared" si="3"/>
        <v>13120931.666666666</v>
      </c>
    </row>
    <row r="24" spans="1:16">
      <c r="A24" s="43" t="s">
        <v>53</v>
      </c>
      <c r="B24" s="43" t="s">
        <v>53</v>
      </c>
      <c r="C24" s="48">
        <f t="shared" si="4"/>
        <v>100506.33333333333</v>
      </c>
      <c r="D24" s="48">
        <f t="shared" si="4"/>
        <v>115935</v>
      </c>
      <c r="E24" s="48">
        <f t="shared" si="4"/>
        <v>120561</v>
      </c>
      <c r="F24" s="48">
        <f t="shared" si="4"/>
        <v>126040</v>
      </c>
      <c r="G24" s="48">
        <f t="shared" si="4"/>
        <v>130040.33333333333</v>
      </c>
      <c r="H24" s="48">
        <f t="shared" si="4"/>
        <v>137130.33333333334</v>
      </c>
      <c r="I24" s="48">
        <f t="shared" si="4"/>
        <v>126049.33333333333</v>
      </c>
      <c r="J24" s="48">
        <f t="shared" si="4"/>
        <v>132840.33333333334</v>
      </c>
      <c r="K24" s="48">
        <f t="shared" si="4"/>
        <v>123237.33333333333</v>
      </c>
      <c r="L24" s="48">
        <f t="shared" si="4"/>
        <v>101234.33333333333</v>
      </c>
      <c r="M24" s="48">
        <f t="shared" si="4"/>
        <v>113080</v>
      </c>
      <c r="N24" s="48">
        <f t="shared" si="4"/>
        <v>107623</v>
      </c>
      <c r="O24" s="44">
        <f t="shared" si="2"/>
        <v>1434277.3333333333</v>
      </c>
      <c r="P24" s="11">
        <f t="shared" si="3"/>
        <v>137130.33333333334</v>
      </c>
    </row>
    <row r="25" spans="1:16">
      <c r="A25" s="43" t="s">
        <v>55</v>
      </c>
      <c r="B25" s="43" t="s">
        <v>55</v>
      </c>
      <c r="C25" s="48">
        <f t="shared" si="4"/>
        <v>3507.3333333333335</v>
      </c>
      <c r="D25" s="48">
        <f t="shared" si="4"/>
        <v>3843</v>
      </c>
      <c r="E25" s="48">
        <f t="shared" si="4"/>
        <v>3523</v>
      </c>
      <c r="F25" s="48">
        <f t="shared" si="4"/>
        <v>3637</v>
      </c>
      <c r="G25" s="48">
        <f t="shared" si="4"/>
        <v>3508</v>
      </c>
      <c r="H25" s="48">
        <f t="shared" si="4"/>
        <v>3474</v>
      </c>
      <c r="I25" s="48">
        <f t="shared" si="4"/>
        <v>3502.6666666666665</v>
      </c>
      <c r="J25" s="48">
        <f t="shared" si="4"/>
        <v>3509.6666666666665</v>
      </c>
      <c r="K25" s="48">
        <f t="shared" si="4"/>
        <v>3497</v>
      </c>
      <c r="L25" s="48">
        <f t="shared" si="4"/>
        <v>3502.6666666666665</v>
      </c>
      <c r="M25" s="48">
        <f t="shared" si="4"/>
        <v>3608.3333333333335</v>
      </c>
      <c r="N25" s="48">
        <f t="shared" si="4"/>
        <v>3514.6666666666665</v>
      </c>
      <c r="O25" s="44">
        <f t="shared" si="2"/>
        <v>42627.333333333336</v>
      </c>
      <c r="P25" s="11">
        <f t="shared" si="3"/>
        <v>3843</v>
      </c>
    </row>
    <row r="26" spans="1:16">
      <c r="A26" s="43" t="s">
        <v>87</v>
      </c>
      <c r="B26" s="43" t="s">
        <v>87</v>
      </c>
      <c r="C26" s="48">
        <f t="shared" si="4"/>
        <v>1397.6666666666667</v>
      </c>
      <c r="D26" s="48">
        <f t="shared" si="4"/>
        <v>2883.6666666666665</v>
      </c>
      <c r="E26" s="48">
        <f t="shared" si="4"/>
        <v>4055</v>
      </c>
      <c r="F26" s="48">
        <f t="shared" si="4"/>
        <v>3171</v>
      </c>
      <c r="G26" s="48">
        <f t="shared" si="4"/>
        <v>3454.3333333333335</v>
      </c>
      <c r="H26" s="48">
        <f t="shared" si="4"/>
        <v>2608.3333333333335</v>
      </c>
      <c r="I26" s="48">
        <f t="shared" si="4"/>
        <v>3558.3333333333335</v>
      </c>
      <c r="J26" s="48">
        <f t="shared" si="4"/>
        <v>4002</v>
      </c>
      <c r="K26" s="48">
        <f t="shared" si="4"/>
        <v>3637</v>
      </c>
      <c r="L26" s="48">
        <f t="shared" si="4"/>
        <v>3999.6666666666665</v>
      </c>
      <c r="M26" s="48">
        <f t="shared" si="4"/>
        <v>3770.6666666666665</v>
      </c>
      <c r="N26" s="48">
        <f t="shared" si="4"/>
        <v>2951</v>
      </c>
      <c r="O26" s="44">
        <f t="shared" si="2"/>
        <v>39488.666666666664</v>
      </c>
      <c r="P26" s="11">
        <f t="shared" si="3"/>
        <v>4055</v>
      </c>
    </row>
    <row r="27" spans="1:16">
      <c r="A27" s="43" t="s">
        <v>88</v>
      </c>
      <c r="B27" s="43" t="s">
        <v>88</v>
      </c>
      <c r="C27" s="48">
        <f t="shared" si="4"/>
        <v>26489</v>
      </c>
      <c r="D27" s="48">
        <f t="shared" si="4"/>
        <v>26906.333333333332</v>
      </c>
      <c r="E27" s="48">
        <f t="shared" si="4"/>
        <v>31498.333333333332</v>
      </c>
      <c r="F27" s="48">
        <f t="shared" si="4"/>
        <v>36406</v>
      </c>
      <c r="G27" s="48">
        <f t="shared" si="4"/>
        <v>34494.666666666664</v>
      </c>
      <c r="H27" s="48">
        <f t="shared" si="4"/>
        <v>28541.666666666668</v>
      </c>
      <c r="I27" s="48">
        <f t="shared" si="4"/>
        <v>17887.333333333332</v>
      </c>
      <c r="J27" s="48">
        <f t="shared" si="4"/>
        <v>28513.333333333332</v>
      </c>
      <c r="K27" s="48">
        <f t="shared" si="4"/>
        <v>42096.333333333336</v>
      </c>
      <c r="L27" s="48">
        <f t="shared" si="4"/>
        <v>37184.333333333336</v>
      </c>
      <c r="M27" s="48">
        <f t="shared" si="4"/>
        <v>34616.333333333336</v>
      </c>
      <c r="N27" s="48">
        <f t="shared" si="4"/>
        <v>32007</v>
      </c>
      <c r="O27" s="44">
        <f t="shared" si="2"/>
        <v>376640.66666666663</v>
      </c>
      <c r="P27" s="11">
        <f t="shared" si="3"/>
        <v>42096.333333333336</v>
      </c>
    </row>
    <row r="28" spans="1:16">
      <c r="C28" s="48"/>
      <c r="D28" s="48"/>
      <c r="E28" s="48"/>
      <c r="F28" s="48"/>
      <c r="G28" s="48"/>
      <c r="H28" s="48"/>
      <c r="I28" s="48"/>
      <c r="J28" s="48"/>
      <c r="K28" s="48"/>
      <c r="L28" s="48"/>
      <c r="M28" s="48"/>
      <c r="N28" s="48"/>
      <c r="O28" s="44"/>
      <c r="P28" s="11"/>
    </row>
    <row r="29" spans="1:16">
      <c r="C29" s="48"/>
      <c r="D29" s="48"/>
      <c r="E29" s="48"/>
      <c r="F29" s="48"/>
      <c r="G29" s="48"/>
      <c r="H29" s="48"/>
      <c r="I29" s="48"/>
      <c r="J29" s="48"/>
      <c r="K29" s="48"/>
      <c r="L29" s="48"/>
      <c r="M29" s="48"/>
      <c r="N29" s="48"/>
      <c r="O29" s="44"/>
      <c r="P29" s="11"/>
    </row>
    <row r="30" spans="1:16">
      <c r="B30" s="42" t="s">
        <v>86</v>
      </c>
      <c r="C30" s="48"/>
      <c r="D30" s="48"/>
      <c r="E30" s="48"/>
      <c r="F30" s="48"/>
      <c r="G30" s="48"/>
      <c r="H30" s="48"/>
      <c r="I30" s="48"/>
      <c r="J30" s="48"/>
      <c r="K30" s="48"/>
      <c r="L30" s="48"/>
      <c r="M30" s="48"/>
      <c r="N30" s="48"/>
      <c r="O30" s="44"/>
      <c r="P30" s="11"/>
    </row>
    <row r="31" spans="1:16">
      <c r="A31" t="s">
        <v>603</v>
      </c>
      <c r="B31" t="s">
        <v>603</v>
      </c>
      <c r="C31" s="48">
        <f>AVERAGE(VLOOKUP($B31,$B$82:$N$107,C$9,FALSE),VLOOKUP($B31,$B$124:$N$150,C$9,FALSE))</f>
        <v>7517</v>
      </c>
      <c r="D31" s="48">
        <f>AVERAGE(VLOOKUP($B31,$B$82:$N$107,D$9,FALSE),VLOOKUP($B31,$B$124:$N$150,D$9,FALSE))</f>
        <v>6794</v>
      </c>
      <c r="E31" s="48">
        <f>AVERAGE(VLOOKUP($B31,$B$82:$N$107,E$9,FALSE),VLOOKUP($B31,$B$124:$N$150,E$9,FALSE))</f>
        <v>6312.5</v>
      </c>
      <c r="F31" s="48">
        <f>AVERAGE(VLOOKUP($B31,$B$82:$N$107,F$9,FALSE),VLOOKUP($B31,$B$124:$N$150,F$9,FALSE))</f>
        <v>6419.5</v>
      </c>
      <c r="G31" s="48">
        <f t="shared" ref="G31:N31" si="5">AVERAGE(VLOOKUP($B31,$B$82:$N$107,G$9,FALSE),VLOOKUP($B31,$B$124:$N$150,G$9,FALSE),VLOOKUP($B31,$B$47:$N$72,G$9,FALSE))</f>
        <v>7721.666666666667</v>
      </c>
      <c r="H31" s="48">
        <f t="shared" si="5"/>
        <v>8130.666666666667</v>
      </c>
      <c r="I31" s="48">
        <f t="shared" si="5"/>
        <v>8394.6666666666661</v>
      </c>
      <c r="J31" s="48">
        <f t="shared" si="5"/>
        <v>8500.6666666666661</v>
      </c>
      <c r="K31" s="48">
        <f t="shared" si="5"/>
        <v>8027</v>
      </c>
      <c r="L31" s="48">
        <f t="shared" si="5"/>
        <v>6863.333333333333</v>
      </c>
      <c r="M31" s="48">
        <f t="shared" si="5"/>
        <v>6411.333333333333</v>
      </c>
      <c r="N31" s="48">
        <f t="shared" si="5"/>
        <v>6416.333333333333</v>
      </c>
      <c r="O31" s="44">
        <f t="shared" ref="O31:O36" si="6">SUM(C31:N31)</f>
        <v>87508.666666666642</v>
      </c>
      <c r="P31" s="11">
        <f t="shared" ref="P31:P36" si="7">MAX(C31:N31)</f>
        <v>8500.6666666666661</v>
      </c>
    </row>
    <row r="32" spans="1:16">
      <c r="A32" t="s">
        <v>983</v>
      </c>
      <c r="B32" t="s">
        <v>983</v>
      </c>
      <c r="C32" s="48">
        <f t="shared" ref="C32:N33" si="8">AVERAGE(VLOOKUP($B32,$B$47:$P$72,C$9,FALSE),VLOOKUP($B32,$B$82:$N$107,C$9,FALSE),VLOOKUP($B32,$B$124:$N$150,C$9,FALSE))</f>
        <v>108652.33333333333</v>
      </c>
      <c r="D32" s="48">
        <f t="shared" si="8"/>
        <v>114882.66666666667</v>
      </c>
      <c r="E32" s="48">
        <f t="shared" si="8"/>
        <v>121209</v>
      </c>
      <c r="F32" s="48">
        <f t="shared" si="8"/>
        <v>127835.66666666667</v>
      </c>
      <c r="G32" s="48">
        <f t="shared" si="8"/>
        <v>136705.33333333334</v>
      </c>
      <c r="H32" s="48">
        <f t="shared" si="8"/>
        <v>141186.33333333334</v>
      </c>
      <c r="I32" s="48">
        <f t="shared" si="8"/>
        <v>151668.33333333334</v>
      </c>
      <c r="J32" s="48">
        <f t="shared" si="8"/>
        <v>148027</v>
      </c>
      <c r="K32" s="48">
        <f t="shared" si="8"/>
        <v>139787.33333333334</v>
      </c>
      <c r="L32" s="48">
        <f t="shared" si="8"/>
        <v>130594.66666666667</v>
      </c>
      <c r="M32" s="48">
        <f t="shared" si="8"/>
        <v>105552.66666666667</v>
      </c>
      <c r="N32" s="48">
        <f t="shared" si="8"/>
        <v>115365.33333333333</v>
      </c>
      <c r="O32" s="44">
        <f t="shared" si="6"/>
        <v>1541466.6666666667</v>
      </c>
      <c r="P32" s="11">
        <f t="shared" si="7"/>
        <v>151668.33333333334</v>
      </c>
    </row>
    <row r="33" spans="1:16">
      <c r="A33" t="s">
        <v>984</v>
      </c>
      <c r="B33" t="s">
        <v>984</v>
      </c>
      <c r="C33" s="48">
        <f t="shared" si="8"/>
        <v>385883.33333333331</v>
      </c>
      <c r="D33" s="48">
        <f t="shared" si="8"/>
        <v>336616.66666666669</v>
      </c>
      <c r="E33" s="48">
        <f t="shared" si="8"/>
        <v>324405.33333333331</v>
      </c>
      <c r="F33" s="48">
        <f t="shared" si="8"/>
        <v>384016.66666666669</v>
      </c>
      <c r="G33" s="48">
        <f t="shared" si="8"/>
        <v>398941.66666666669</v>
      </c>
      <c r="H33" s="48">
        <f t="shared" si="8"/>
        <v>420159.66666666669</v>
      </c>
      <c r="I33" s="48">
        <f t="shared" si="8"/>
        <v>420497</v>
      </c>
      <c r="J33" s="48">
        <f t="shared" si="8"/>
        <v>437258.33333333331</v>
      </c>
      <c r="K33" s="48">
        <f t="shared" si="8"/>
        <v>410711</v>
      </c>
      <c r="L33" s="48">
        <f t="shared" si="8"/>
        <v>398998.33333333331</v>
      </c>
      <c r="M33" s="48">
        <f t="shared" si="8"/>
        <v>316854</v>
      </c>
      <c r="N33" s="48">
        <f t="shared" si="8"/>
        <v>307522</v>
      </c>
      <c r="O33" s="44">
        <f t="shared" si="6"/>
        <v>4541864</v>
      </c>
      <c r="P33" s="11">
        <f t="shared" si="7"/>
        <v>437258.33333333331</v>
      </c>
    </row>
    <row r="34" spans="1:16">
      <c r="A34" t="s">
        <v>985</v>
      </c>
      <c r="B34" t="s">
        <v>985</v>
      </c>
      <c r="C34" s="48">
        <f t="shared" ref="C34:N35" si="9">AVERAGE(VLOOKUP($B34,$B$124:$N$150,C$9,FALSE))</f>
        <v>0</v>
      </c>
      <c r="D34" s="48">
        <f t="shared" si="9"/>
        <v>35000</v>
      </c>
      <c r="E34" s="48">
        <f t="shared" si="9"/>
        <v>20000</v>
      </c>
      <c r="F34" s="48">
        <f t="shared" si="9"/>
        <v>10000</v>
      </c>
      <c r="G34" s="48">
        <f t="shared" si="9"/>
        <v>20000</v>
      </c>
      <c r="H34" s="48">
        <f t="shared" si="9"/>
        <v>35000</v>
      </c>
      <c r="I34" s="48">
        <f t="shared" si="9"/>
        <v>35000</v>
      </c>
      <c r="J34" s="48">
        <f t="shared" si="9"/>
        <v>35000</v>
      </c>
      <c r="K34" s="48">
        <f t="shared" si="9"/>
        <v>25000</v>
      </c>
      <c r="L34" s="48">
        <f t="shared" si="9"/>
        <v>20000</v>
      </c>
      <c r="M34" s="48">
        <f t="shared" si="9"/>
        <v>10000</v>
      </c>
      <c r="N34" s="48">
        <f t="shared" si="9"/>
        <v>20000</v>
      </c>
      <c r="O34" s="44">
        <f t="shared" si="6"/>
        <v>265000</v>
      </c>
      <c r="P34" s="11">
        <f t="shared" si="7"/>
        <v>35000</v>
      </c>
    </row>
    <row r="35" spans="1:16">
      <c r="A35" t="s">
        <v>691</v>
      </c>
      <c r="B35" t="s">
        <v>691</v>
      </c>
      <c r="C35" s="48">
        <f t="shared" si="9"/>
        <v>0</v>
      </c>
      <c r="D35" s="48">
        <f t="shared" si="9"/>
        <v>0</v>
      </c>
      <c r="E35" s="48">
        <f t="shared" si="9"/>
        <v>0</v>
      </c>
      <c r="F35" s="48">
        <f t="shared" si="9"/>
        <v>0</v>
      </c>
      <c r="G35" s="48">
        <f t="shared" si="9"/>
        <v>0</v>
      </c>
      <c r="H35" s="48">
        <f t="shared" si="9"/>
        <v>200000</v>
      </c>
      <c r="I35" s="48">
        <f t="shared" si="9"/>
        <v>200000</v>
      </c>
      <c r="J35" s="48">
        <f t="shared" si="9"/>
        <v>200000</v>
      </c>
      <c r="K35" s="48">
        <f t="shared" si="9"/>
        <v>200000</v>
      </c>
      <c r="L35" s="48">
        <f t="shared" si="9"/>
        <v>200000</v>
      </c>
      <c r="M35" s="48">
        <f t="shared" si="9"/>
        <v>225000</v>
      </c>
      <c r="N35" s="48">
        <f t="shared" si="9"/>
        <v>200000</v>
      </c>
      <c r="O35" s="44">
        <f t="shared" si="6"/>
        <v>1425000</v>
      </c>
      <c r="P35" s="11">
        <f t="shared" si="7"/>
        <v>225000</v>
      </c>
    </row>
    <row r="36" spans="1:16">
      <c r="A36" t="s">
        <v>724</v>
      </c>
      <c r="B36" t="s">
        <v>724</v>
      </c>
      <c r="C36" s="48">
        <f t="shared" ref="C36:N36" si="10">AVERAGE(VLOOKUP($B36,$B$47:$P$72,C$9,FALSE),VLOOKUP($B36,$B$82:$N$107,C$9,FALSE),VLOOKUP($B36,$B$124:$N$150,C$9,FALSE))</f>
        <v>11511.666666666666</v>
      </c>
      <c r="D36" s="48">
        <f t="shared" si="10"/>
        <v>10714.666666666666</v>
      </c>
      <c r="E36" s="48">
        <f t="shared" si="10"/>
        <v>10339.666666666666</v>
      </c>
      <c r="F36" s="48">
        <f t="shared" si="10"/>
        <v>11901.333333333334</v>
      </c>
      <c r="G36" s="48">
        <f t="shared" si="10"/>
        <v>12718</v>
      </c>
      <c r="H36" s="48">
        <f t="shared" si="10"/>
        <v>13161.666666666666</v>
      </c>
      <c r="I36" s="48">
        <f t="shared" si="10"/>
        <v>12958</v>
      </c>
      <c r="J36" s="48">
        <f t="shared" si="10"/>
        <v>13587.666666666666</v>
      </c>
      <c r="K36" s="48">
        <f t="shared" si="10"/>
        <v>12992.666666666666</v>
      </c>
      <c r="L36" s="48">
        <f t="shared" si="10"/>
        <v>12118.333333333334</v>
      </c>
      <c r="M36" s="48">
        <f t="shared" si="10"/>
        <v>9327.6666666666661</v>
      </c>
      <c r="N36" s="48">
        <f t="shared" si="10"/>
        <v>9742.6666666666661</v>
      </c>
      <c r="O36" s="44">
        <f t="shared" si="6"/>
        <v>141074</v>
      </c>
      <c r="P36" s="11">
        <f t="shared" si="7"/>
        <v>13587.666666666666</v>
      </c>
    </row>
    <row r="37" spans="1:16">
      <c r="A37" t="s">
        <v>986</v>
      </c>
      <c r="B37" t="s">
        <v>986</v>
      </c>
      <c r="C37" s="48">
        <f t="shared" ref="C37:N37" si="11">AVERAGE(VLOOKUP($B37,$B$124:$N$150,C$9,FALSE))</f>
        <v>23000</v>
      </c>
      <c r="D37" s="48">
        <f t="shared" si="11"/>
        <v>23000</v>
      </c>
      <c r="E37" s="48">
        <f t="shared" si="11"/>
        <v>23000</v>
      </c>
      <c r="F37" s="48">
        <f t="shared" si="11"/>
        <v>23000</v>
      </c>
      <c r="G37" s="48">
        <f t="shared" si="11"/>
        <v>23000</v>
      </c>
      <c r="H37" s="48">
        <f t="shared" si="11"/>
        <v>23000</v>
      </c>
      <c r="I37" s="48">
        <f t="shared" si="11"/>
        <v>23000</v>
      </c>
      <c r="J37" s="48">
        <f t="shared" si="11"/>
        <v>23000</v>
      </c>
      <c r="K37" s="48">
        <f t="shared" si="11"/>
        <v>23000</v>
      </c>
      <c r="L37" s="48">
        <f t="shared" si="11"/>
        <v>23000</v>
      </c>
      <c r="M37" s="48">
        <f t="shared" si="11"/>
        <v>23000</v>
      </c>
      <c r="N37" s="48">
        <f t="shared" si="11"/>
        <v>23000</v>
      </c>
      <c r="O37" s="44">
        <f t="shared" ref="O37" si="12">SUM(C37:N37)</f>
        <v>276000</v>
      </c>
      <c r="P37" s="11">
        <f t="shared" ref="P37" si="13">MAX(C37:N37)</f>
        <v>23000</v>
      </c>
    </row>
    <row r="38" spans="1:16">
      <c r="C38" s="48"/>
      <c r="D38" s="48"/>
      <c r="E38" s="48"/>
      <c r="F38" s="48"/>
      <c r="G38" s="48"/>
      <c r="H38" s="48"/>
      <c r="I38" s="48"/>
      <c r="J38" s="48"/>
      <c r="K38" s="48"/>
      <c r="L38" s="48"/>
      <c r="M38" s="48"/>
      <c r="N38" s="48"/>
      <c r="O38" s="44"/>
      <c r="P38" s="11"/>
    </row>
    <row r="39" spans="1:16" ht="21">
      <c r="B39" s="611" t="s">
        <v>90</v>
      </c>
      <c r="C39" s="611"/>
      <c r="D39" s="611"/>
      <c r="E39" s="611"/>
      <c r="F39" s="611"/>
      <c r="G39" s="611"/>
      <c r="H39" s="611"/>
      <c r="I39" s="611"/>
      <c r="J39" s="611"/>
      <c r="K39" s="611"/>
      <c r="L39" s="611"/>
      <c r="M39" s="611"/>
      <c r="N39" s="611"/>
      <c r="O39" s="611"/>
      <c r="P39" s="611"/>
    </row>
    <row r="40" spans="1:16" ht="17.399999999999999">
      <c r="B40" s="610" t="str">
        <f>+MANUAL!$B$5 &amp;" as Calculated by LodeStar Except as Noted"</f>
        <v>2012 as Calculated by LodeStar Except as Noted</v>
      </c>
      <c r="C40" s="610"/>
      <c r="D40" s="610"/>
      <c r="E40" s="610"/>
      <c r="F40" s="610"/>
      <c r="G40" s="610"/>
      <c r="H40" s="610"/>
      <c r="I40" s="610"/>
      <c r="J40" s="610"/>
      <c r="K40" s="610"/>
      <c r="L40" s="610"/>
      <c r="M40" s="610"/>
      <c r="N40" s="610"/>
      <c r="O40" s="610"/>
      <c r="P40" s="610"/>
    </row>
    <row r="41" spans="1:16" ht="13.8" thickBot="1">
      <c r="B41" s="84"/>
      <c r="C41" s="84"/>
      <c r="D41" s="84"/>
      <c r="E41" s="84"/>
      <c r="F41" s="84"/>
      <c r="G41" s="84"/>
      <c r="H41" s="84"/>
      <c r="I41" s="84"/>
      <c r="J41" s="84"/>
      <c r="K41" s="84"/>
      <c r="L41" s="84"/>
      <c r="M41" s="84"/>
      <c r="N41" s="84"/>
      <c r="O41" s="84"/>
      <c r="P41" s="84"/>
    </row>
    <row r="42" spans="1:16" ht="409.6">
      <c r="C42" s="14"/>
      <c r="D42" s="15"/>
      <c r="E42" s="16"/>
      <c r="F42" s="17"/>
      <c r="G42" s="18"/>
      <c r="H42" s="19"/>
      <c r="I42" s="20"/>
      <c r="J42" s="21"/>
      <c r="K42" s="22"/>
      <c r="L42" s="23"/>
      <c r="M42" s="24"/>
      <c r="N42" s="25"/>
      <c r="O42" s="26"/>
      <c r="P42" s="27" t="s">
        <v>576</v>
      </c>
    </row>
    <row r="43" spans="1:16" ht="13.8" thickBot="1">
      <c r="C43" s="28" t="s">
        <v>70</v>
      </c>
      <c r="D43" s="29" t="s">
        <v>71</v>
      </c>
      <c r="E43" s="30" t="s">
        <v>72</v>
      </c>
      <c r="F43" s="31" t="s">
        <v>73</v>
      </c>
      <c r="G43" s="32" t="s">
        <v>74</v>
      </c>
      <c r="H43" s="33" t="s">
        <v>75</v>
      </c>
      <c r="I43" s="34" t="s">
        <v>76</v>
      </c>
      <c r="J43" s="35" t="s">
        <v>77</v>
      </c>
      <c r="K43" s="36" t="s">
        <v>78</v>
      </c>
      <c r="L43" s="37" t="s">
        <v>79</v>
      </c>
      <c r="M43" s="38" t="s">
        <v>80</v>
      </c>
      <c r="N43" s="39" t="s">
        <v>81</v>
      </c>
      <c r="O43" s="40" t="s">
        <v>60</v>
      </c>
      <c r="P43" s="41" t="s">
        <v>82</v>
      </c>
    </row>
    <row r="44" spans="1:16" hidden="1">
      <c r="C44">
        <v>4</v>
      </c>
      <c r="D44">
        <f>C44+1</f>
        <v>5</v>
      </c>
      <c r="E44">
        <f t="shared" ref="E44:N44" si="14">D44+1</f>
        <v>6</v>
      </c>
      <c r="F44">
        <f t="shared" si="14"/>
        <v>7</v>
      </c>
      <c r="G44">
        <f t="shared" si="14"/>
        <v>8</v>
      </c>
      <c r="H44">
        <f t="shared" si="14"/>
        <v>9</v>
      </c>
      <c r="I44">
        <f t="shared" si="14"/>
        <v>10</v>
      </c>
      <c r="J44">
        <f t="shared" si="14"/>
        <v>11</v>
      </c>
      <c r="K44">
        <f t="shared" si="14"/>
        <v>12</v>
      </c>
      <c r="L44">
        <f t="shared" si="14"/>
        <v>13</v>
      </c>
      <c r="M44">
        <f t="shared" si="14"/>
        <v>14</v>
      </c>
      <c r="N44">
        <f t="shared" si="14"/>
        <v>15</v>
      </c>
      <c r="O44" s="303"/>
      <c r="P44" s="304"/>
    </row>
    <row r="46" spans="1:16">
      <c r="B46" s="42" t="s">
        <v>83</v>
      </c>
    </row>
    <row r="47" spans="1:16">
      <c r="A47" t="s">
        <v>122</v>
      </c>
      <c r="B47" s="43" t="s">
        <v>84</v>
      </c>
      <c r="C47" s="82">
        <f>VLOOKUP($A47&amp;"GCP",'E11 - 2012 09 Final'!$A$46:$P$2419,C$44,FALSE)</f>
        <v>379965</v>
      </c>
      <c r="D47" s="82">
        <f>VLOOKUP($A47&amp;"GCP",'E11 - 2012 09 Final'!$A$46:$P$2419,D$44,FALSE)</f>
        <v>374619</v>
      </c>
      <c r="E47" s="82">
        <f>VLOOKUP($A47&amp;"GCP",'E11 - 2012 09 Final'!$A$46:$P$2419,E$44,FALSE)</f>
        <v>366419</v>
      </c>
      <c r="F47" s="82">
        <f>VLOOKUP($A47&amp;"GCP",'E11 - 2012 09 Final'!$A$46:$P$2419,F$44,FALSE)</f>
        <v>389240</v>
      </c>
      <c r="G47" s="82">
        <f>VLOOKUP($A47&amp;"GCP",'E11 - 2012 09 Final'!$A$46:$P$2419,G$44,FALSE)</f>
        <v>362668</v>
      </c>
      <c r="H47" s="82">
        <f>VLOOKUP($A47&amp;"GCP",'E11 - 2012 09 Final'!$A$46:$P$2419,H$44,FALSE)</f>
        <v>402873</v>
      </c>
      <c r="I47" s="82">
        <f>VLOOKUP($A47&amp;"GCP",'E11 - 2012 09 Final'!$A$46:$P$2419,I$44,FALSE)</f>
        <v>386058</v>
      </c>
      <c r="J47" s="82">
        <f>VLOOKUP($A47&amp;"GCP",'E11 - 2012 09 Final'!$A$46:$P$2419,J$44,FALSE)</f>
        <v>392671</v>
      </c>
      <c r="K47" s="82">
        <f>VLOOKUP($A47&amp;"GCP",'E11 - 2012 09 Final'!$A$46:$P$2419,K$44,FALSE)</f>
        <v>403040</v>
      </c>
      <c r="L47" s="82">
        <f>VLOOKUP($A47&amp;"GCP",'E11 - 2012 09 Final'!$A$46:$P$2419,L$44,FALSE)</f>
        <v>386650</v>
      </c>
      <c r="M47" s="82">
        <f>VLOOKUP($A47&amp;"GCP",'E11 - 2012 09 Final'!$A$46:$P$2419,M$44,FALSE)</f>
        <v>377780</v>
      </c>
      <c r="N47" s="82">
        <f>VLOOKUP($A47&amp;"GCP",'E11 - 2012 09 Final'!$A$46:$P$2419,N$44,FALSE)</f>
        <v>370360</v>
      </c>
      <c r="O47" s="44">
        <f t="shared" ref="O47:O54" si="15">SUM(C47:N47)</f>
        <v>4592343</v>
      </c>
      <c r="P47" s="11">
        <f>MAX(C47:N47)</f>
        <v>403040</v>
      </c>
    </row>
    <row r="48" spans="1:16">
      <c r="A48" t="s">
        <v>177</v>
      </c>
      <c r="B48" s="43" t="s">
        <v>85</v>
      </c>
      <c r="C48" s="82">
        <f>VLOOKUP($A48&amp;"GCP",'E11 - 2012 09 Final'!$A$46:$P$2419,C$44,FALSE)</f>
        <v>25338</v>
      </c>
      <c r="D48" s="82">
        <f>VLOOKUP($A48&amp;"GCP",'E11 - 2012 09 Final'!$A$46:$P$2419,D$44,FALSE)</f>
        <v>24763</v>
      </c>
      <c r="E48" s="82">
        <f>VLOOKUP($A48&amp;"GCP",'E11 - 2012 09 Final'!$A$46:$P$2419,E$44,FALSE)</f>
        <v>22727</v>
      </c>
      <c r="F48" s="82">
        <f>VLOOKUP($A48&amp;"GCP",'E11 - 2012 09 Final'!$A$46:$P$2419,F$44,FALSE)</f>
        <v>26010</v>
      </c>
      <c r="G48" s="82">
        <f>VLOOKUP($A48&amp;"GCP",'E11 - 2012 09 Final'!$A$46:$P$2419,G$44,FALSE)</f>
        <v>24210</v>
      </c>
      <c r="H48" s="82">
        <f>VLOOKUP($A48&amp;"GCP",'E11 - 2012 09 Final'!$A$46:$P$2419,H$44,FALSE)</f>
        <v>26406</v>
      </c>
      <c r="I48" s="82">
        <f>VLOOKUP($A48&amp;"GCP",'E11 - 2012 09 Final'!$A$46:$P$2419,I$44,FALSE)</f>
        <v>25616</v>
      </c>
      <c r="J48" s="82">
        <f>VLOOKUP($A48&amp;"GCP",'E11 - 2012 09 Final'!$A$46:$P$2419,J$44,FALSE)</f>
        <v>26344</v>
      </c>
      <c r="K48" s="82">
        <f>VLOOKUP($A48&amp;"GCP",'E11 - 2012 09 Final'!$A$46:$P$2419,K$44,FALSE)</f>
        <v>27088</v>
      </c>
      <c r="L48" s="82">
        <f>VLOOKUP($A48&amp;"GCP",'E11 - 2012 09 Final'!$A$46:$P$2419,L$44,FALSE)</f>
        <v>26026</v>
      </c>
      <c r="M48" s="82">
        <f>VLOOKUP($A48&amp;"GCP",'E11 - 2012 09 Final'!$A$46:$P$2419,M$44,FALSE)</f>
        <v>24789</v>
      </c>
      <c r="N48" s="82">
        <f>VLOOKUP($A48&amp;"GCP",'E11 - 2012 09 Final'!$A$46:$P$2419,N$44,FALSE)</f>
        <v>23955</v>
      </c>
      <c r="O48" s="44">
        <f t="shared" si="15"/>
        <v>303272</v>
      </c>
      <c r="P48" s="11">
        <f t="shared" ref="P48:P63" si="16">MAX(C48:N48)</f>
        <v>27088</v>
      </c>
    </row>
    <row r="49" spans="1:16">
      <c r="A49" t="s">
        <v>185</v>
      </c>
      <c r="B49" s="43" t="s">
        <v>50</v>
      </c>
      <c r="C49" s="82">
        <f>VLOOKUP($A49&amp;"GCP",'E11 - 2012 09 Final'!$A$46:$P$2419,C$44,FALSE)</f>
        <v>185688</v>
      </c>
      <c r="D49" s="82">
        <f>VLOOKUP($A49&amp;"GCP",'E11 - 2012 09 Final'!$A$46:$P$2419,D$44,FALSE)</f>
        <v>160854</v>
      </c>
      <c r="E49" s="82">
        <f>VLOOKUP($A49&amp;"GCP",'E11 - 2012 09 Final'!$A$46:$P$2419,E$44,FALSE)</f>
        <v>180774</v>
      </c>
      <c r="F49" s="82">
        <f>VLOOKUP($A49&amp;"GCP",'E11 - 2012 09 Final'!$A$46:$P$2419,F$44,FALSE)</f>
        <v>168732</v>
      </c>
      <c r="G49" s="82">
        <f>VLOOKUP($A49&amp;"GCP",'E11 - 2012 09 Final'!$A$46:$P$2419,G$44,FALSE)</f>
        <v>184685</v>
      </c>
      <c r="H49" s="82">
        <f>VLOOKUP($A49&amp;"GCP",'E11 - 2012 09 Final'!$A$46:$P$2419,H$44,FALSE)</f>
        <v>176538</v>
      </c>
      <c r="I49" s="82">
        <f>VLOOKUP($A49&amp;"GCP",'E11 - 2012 09 Final'!$A$46:$P$2419,I$44,FALSE)</f>
        <v>185096</v>
      </c>
      <c r="J49" s="82">
        <f>VLOOKUP($A49&amp;"GCP",'E11 - 2012 09 Final'!$A$46:$P$2419,J$44,FALSE)</f>
        <v>183989</v>
      </c>
      <c r="K49" s="82">
        <f>VLOOKUP($A49&amp;"GCP",'E11 - 2012 09 Final'!$A$46:$P$2419,K$44,FALSE)</f>
        <v>186359</v>
      </c>
      <c r="L49" s="82">
        <f>VLOOKUP($A49&amp;"GCP",'E11 - 2012 09 Final'!$A$46:$P$2419,L$44,FALSE)</f>
        <v>196118</v>
      </c>
      <c r="M49" s="82">
        <f>VLOOKUP($A49&amp;"GCP",'E11 - 2012 09 Final'!$A$46:$P$2419,M$44,FALSE)</f>
        <v>176353</v>
      </c>
      <c r="N49" s="82">
        <f>VLOOKUP($A49&amp;"GCP",'E11 - 2012 09 Final'!$A$46:$P$2419,N$44,FALSE)</f>
        <v>175226</v>
      </c>
      <c r="O49" s="44">
        <f t="shared" si="15"/>
        <v>2160412</v>
      </c>
      <c r="P49" s="11">
        <f t="shared" si="16"/>
        <v>196118</v>
      </c>
    </row>
    <row r="50" spans="1:16">
      <c r="A50" t="s">
        <v>941</v>
      </c>
      <c r="B50" s="43" t="s">
        <v>49</v>
      </c>
      <c r="C50" s="82">
        <f>VLOOKUP($A50&amp;"GCP",'E11 - 2012 09 Final'!$A$46:$P$2419,C$44,FALSE)</f>
        <v>937949</v>
      </c>
      <c r="D50" s="82">
        <f>VLOOKUP($A50&amp;"GCP",'E11 - 2012 09 Final'!$A$46:$P$2419,D$44,FALSE)</f>
        <v>928858</v>
      </c>
      <c r="E50" s="82">
        <f>VLOOKUP($A50&amp;"GCP",'E11 - 2012 09 Final'!$A$46:$P$2419,E$44,FALSE)</f>
        <v>887784</v>
      </c>
      <c r="F50" s="82">
        <f>VLOOKUP($A50&amp;"GCP",'E11 - 2012 09 Final'!$A$46:$P$2419,F$44,FALSE)</f>
        <v>1071615</v>
      </c>
      <c r="G50" s="82">
        <f>VLOOKUP($A50&amp;"GCP",'E11 - 2012 09 Final'!$A$46:$P$2419,G$44,FALSE)</f>
        <v>1043117</v>
      </c>
      <c r="H50" s="82">
        <f>VLOOKUP($A50&amp;"GCP",'E11 - 2012 09 Final'!$A$46:$P$2419,H$44,FALSE)</f>
        <v>1184837</v>
      </c>
      <c r="I50" s="82">
        <f>VLOOKUP($A50&amp;"GCP",'E11 - 2012 09 Final'!$A$46:$P$2419,I$44,FALSE)</f>
        <v>1146447</v>
      </c>
      <c r="J50" s="82">
        <f>VLOOKUP($A50&amp;"GCP",'E11 - 2012 09 Final'!$A$46:$P$2419,J$44,FALSE)</f>
        <v>1199798</v>
      </c>
      <c r="K50" s="82">
        <f>VLOOKUP($A50&amp;"GCP",'E11 - 2012 09 Final'!$A$46:$P$2419,K$44,FALSE)</f>
        <v>1195183</v>
      </c>
      <c r="L50" s="82">
        <f>VLOOKUP($A50&amp;"GCP",'E11 - 2012 09 Final'!$A$46:$P$2419,L$44,FALSE)</f>
        <v>1145880</v>
      </c>
      <c r="M50" s="82">
        <f>VLOOKUP($A50&amp;"GCP",'E11 - 2012 09 Final'!$A$46:$P$2419,M$44,FALSE)</f>
        <v>942631</v>
      </c>
      <c r="N50" s="82">
        <f>VLOOKUP($A50&amp;"GCP",'E11 - 2012 09 Final'!$A$46:$P$2419,N$44,FALSE)</f>
        <v>934253</v>
      </c>
      <c r="O50" s="44">
        <f t="shared" si="15"/>
        <v>12618352</v>
      </c>
      <c r="P50" s="11">
        <f t="shared" si="16"/>
        <v>1199798</v>
      </c>
    </row>
    <row r="51" spans="1:16">
      <c r="A51" t="s">
        <v>944</v>
      </c>
      <c r="B51" s="46" t="s">
        <v>325</v>
      </c>
      <c r="C51" s="82">
        <f>VLOOKUP($A51&amp;"GCP",'E11 - 2012 09 Final'!$A$46:$P$2419,C$44,FALSE)</f>
        <v>3707</v>
      </c>
      <c r="D51" s="82">
        <f>VLOOKUP($A51&amp;"GCP",'E11 - 2012 09 Final'!$A$46:$P$2419,D$44,FALSE)</f>
        <v>3450</v>
      </c>
      <c r="E51" s="82">
        <f>VLOOKUP($A51&amp;"GCP",'E11 - 2012 09 Final'!$A$46:$P$2419,E$44,FALSE)</f>
        <v>3293</v>
      </c>
      <c r="F51" s="82">
        <f>VLOOKUP($A51&amp;"GCP",'E11 - 2012 09 Final'!$A$46:$P$2419,F$44,FALSE)</f>
        <v>3455</v>
      </c>
      <c r="G51" s="82">
        <f>VLOOKUP($A51&amp;"GCP",'E11 - 2012 09 Final'!$A$46:$P$2419,G$44,FALSE)</f>
        <v>3228</v>
      </c>
      <c r="H51" s="82">
        <f>VLOOKUP($A51&amp;"GCP",'E11 - 2012 09 Final'!$A$46:$P$2419,H$44,FALSE)</f>
        <v>3471</v>
      </c>
      <c r="I51" s="82">
        <f>VLOOKUP($A51&amp;"GCP",'E11 - 2012 09 Final'!$A$46:$P$2419,I$44,FALSE)</f>
        <v>3173</v>
      </c>
      <c r="J51" s="82">
        <f>VLOOKUP($A51&amp;"GCP",'E11 - 2012 09 Final'!$A$46:$P$2419,J$44,FALSE)</f>
        <v>3157</v>
      </c>
      <c r="K51" s="82">
        <f>VLOOKUP($A51&amp;"GCP",'E11 - 2012 09 Final'!$A$46:$P$2419,K$44,FALSE)</f>
        <v>3111</v>
      </c>
      <c r="L51" s="82">
        <f>VLOOKUP($A51&amp;"GCP",'E11 - 2012 09 Final'!$A$46:$P$2419,L$44,FALSE)</f>
        <v>2958</v>
      </c>
      <c r="M51" s="82">
        <f>VLOOKUP($A51&amp;"GCP",'E11 - 2012 09 Final'!$A$46:$P$2419,M$44,FALSE)</f>
        <v>3045</v>
      </c>
      <c r="N51" s="82">
        <f>VLOOKUP($A51&amp;"GCP",'E11 - 2012 09 Final'!$A$46:$P$2419,N$44,FALSE)</f>
        <v>2948</v>
      </c>
      <c r="O51" s="44">
        <f t="shared" si="15"/>
        <v>38996</v>
      </c>
      <c r="P51" s="11">
        <f t="shared" si="16"/>
        <v>3707</v>
      </c>
    </row>
    <row r="52" spans="1:16">
      <c r="A52" t="s">
        <v>994</v>
      </c>
      <c r="B52" s="43" t="s">
        <v>67</v>
      </c>
      <c r="C52" s="82">
        <f>VLOOKUP($A52&amp;"GCP",'E11 - 2012 09 Final'!$A$46:$P$2419,C$44,FALSE)</f>
        <v>3911017</v>
      </c>
      <c r="D52" s="82">
        <f>VLOOKUP($A52&amp;"GCP",'E11 - 2012 09 Final'!$A$46:$P$2419,D$44,FALSE)</f>
        <v>3709107</v>
      </c>
      <c r="E52" s="82">
        <f>VLOOKUP($A52&amp;"GCP",'E11 - 2012 09 Final'!$A$46:$P$2419,E$44,FALSE)</f>
        <v>3602955</v>
      </c>
      <c r="F52" s="82">
        <f>VLOOKUP($A52&amp;"GCP",'E11 - 2012 09 Final'!$A$46:$P$2419,F$44,FALSE)</f>
        <v>4068519</v>
      </c>
      <c r="G52" s="82">
        <f>VLOOKUP($A52&amp;"GCP",'E11 - 2012 09 Final'!$A$46:$P$2419,G$44,FALSE)</f>
        <v>3959026</v>
      </c>
      <c r="H52" s="82">
        <f>VLOOKUP($A52&amp;"GCP",'E11 - 2012 09 Final'!$A$46:$P$2419,H$44,FALSE)</f>
        <v>4397750</v>
      </c>
      <c r="I52" s="82">
        <f>VLOOKUP($A52&amp;"GCP",'E11 - 2012 09 Final'!$A$46:$P$2419,I$44,FALSE)</f>
        <v>4287978</v>
      </c>
      <c r="J52" s="82">
        <f>VLOOKUP($A52&amp;"GCP",'E11 - 2012 09 Final'!$A$46:$P$2419,J$44,FALSE)</f>
        <v>4360564</v>
      </c>
      <c r="K52" s="82">
        <f>VLOOKUP($A52&amp;"GCP",'E11 - 2012 09 Final'!$A$46:$P$2419,K$44,FALSE)</f>
        <v>4503487</v>
      </c>
      <c r="L52" s="82">
        <f>VLOOKUP($A52&amp;"GCP",'E11 - 2012 09 Final'!$A$46:$P$2419,L$44,FALSE)</f>
        <v>4390200</v>
      </c>
      <c r="M52" s="82">
        <f>VLOOKUP($A52&amp;"GCP",'E11 - 2012 09 Final'!$A$46:$P$2419,M$44,FALSE)</f>
        <v>3790525</v>
      </c>
      <c r="N52" s="82">
        <f>VLOOKUP($A52&amp;"GCP",'E11 - 2012 09 Final'!$A$46:$P$2419,N$44,FALSE)</f>
        <v>3814544</v>
      </c>
      <c r="O52" s="44">
        <f t="shared" si="15"/>
        <v>48795672</v>
      </c>
      <c r="P52" s="11">
        <f t="shared" si="16"/>
        <v>4503487</v>
      </c>
    </row>
    <row r="53" spans="1:16">
      <c r="A53" t="s">
        <v>997</v>
      </c>
      <c r="B53" s="43" t="s">
        <v>68</v>
      </c>
      <c r="C53" s="82">
        <f>VLOOKUP($A53&amp;"GCP",'E11 - 2012 09 Final'!$A$46:$P$2419,C$44,FALSE)</f>
        <v>1725139</v>
      </c>
      <c r="D53" s="82">
        <f>VLOOKUP($A53&amp;"GCP",'E11 - 2012 09 Final'!$A$46:$P$2419,D$44,FALSE)</f>
        <v>1724427</v>
      </c>
      <c r="E53" s="82">
        <f>VLOOKUP($A53&amp;"GCP",'E11 - 2012 09 Final'!$A$46:$P$2419,E$44,FALSE)</f>
        <v>1687140</v>
      </c>
      <c r="F53" s="82">
        <f>VLOOKUP($A53&amp;"GCP",'E11 - 2012 09 Final'!$A$46:$P$2419,F$44,FALSE)</f>
        <v>1793507</v>
      </c>
      <c r="G53" s="82">
        <f>VLOOKUP($A53&amp;"GCP",'E11 - 2012 09 Final'!$A$46:$P$2419,G$44,FALSE)</f>
        <v>1801109</v>
      </c>
      <c r="H53" s="82">
        <f>VLOOKUP($A53&amp;"GCP",'E11 - 2012 09 Final'!$A$46:$P$2419,H$44,FALSE)</f>
        <v>1929788</v>
      </c>
      <c r="I53" s="82">
        <f>VLOOKUP($A53&amp;"GCP",'E11 - 2012 09 Final'!$A$46:$P$2419,I$44,FALSE)</f>
        <v>1818688</v>
      </c>
      <c r="J53" s="82">
        <f>VLOOKUP($A53&amp;"GCP",'E11 - 2012 09 Final'!$A$46:$P$2419,J$44,FALSE)</f>
        <v>1885681</v>
      </c>
      <c r="K53" s="82">
        <f>VLOOKUP($A53&amp;"GCP",'E11 - 2012 09 Final'!$A$46:$P$2419,K$44,FALSE)</f>
        <v>2013462</v>
      </c>
      <c r="L53" s="82">
        <f>VLOOKUP($A53&amp;"GCP",'E11 - 2012 09 Final'!$A$46:$P$2419,L$44,FALSE)</f>
        <v>2072336</v>
      </c>
      <c r="M53" s="82">
        <f>VLOOKUP($A53&amp;"GCP",'E11 - 2012 09 Final'!$A$46:$P$2419,M$44,FALSE)</f>
        <v>1785896</v>
      </c>
      <c r="N53" s="82">
        <f>VLOOKUP($A53&amp;"GCP",'E11 - 2012 09 Final'!$A$46:$P$2419,N$44,FALSE)</f>
        <v>1836752</v>
      </c>
      <c r="O53" s="44">
        <f t="shared" si="15"/>
        <v>22073925</v>
      </c>
      <c r="P53" s="11">
        <f t="shared" si="16"/>
        <v>2072336</v>
      </c>
    </row>
    <row r="54" spans="1:16">
      <c r="A54" t="s">
        <v>713</v>
      </c>
      <c r="B54" s="43" t="s">
        <v>69</v>
      </c>
      <c r="C54" s="82">
        <f>VLOOKUP($A54&amp;"GCP",'E11 - 2012 09 Final'!$A$46:$P$2419,C$44,FALSE)</f>
        <v>334054</v>
      </c>
      <c r="D54" s="82">
        <f>VLOOKUP($A54&amp;"GCP",'E11 - 2012 09 Final'!$A$46:$P$2419,D$44,FALSE)</f>
        <v>323543</v>
      </c>
      <c r="E54" s="82">
        <f>VLOOKUP($A54&amp;"GCP",'E11 - 2012 09 Final'!$A$46:$P$2419,E$44,FALSE)</f>
        <v>325434</v>
      </c>
      <c r="F54" s="82">
        <f>VLOOKUP($A54&amp;"GCP",'E11 - 2012 09 Final'!$A$46:$P$2419,F$44,FALSE)</f>
        <v>334283</v>
      </c>
      <c r="G54" s="82">
        <f>VLOOKUP($A54&amp;"GCP",'E11 - 2012 09 Final'!$A$46:$P$2419,G$44,FALSE)</f>
        <v>325162</v>
      </c>
      <c r="H54" s="82">
        <f>VLOOKUP($A54&amp;"GCP",'E11 - 2012 09 Final'!$A$46:$P$2419,H$44,FALSE)</f>
        <v>358606</v>
      </c>
      <c r="I54" s="82">
        <f>VLOOKUP($A54&amp;"GCP",'E11 - 2012 09 Final'!$A$46:$P$2419,I$44,FALSE)</f>
        <v>351506</v>
      </c>
      <c r="J54" s="82">
        <f>VLOOKUP($A54&amp;"GCP",'E11 - 2012 09 Final'!$A$46:$P$2419,J$44,FALSE)</f>
        <v>355272</v>
      </c>
      <c r="K54" s="82">
        <f>VLOOKUP($A54&amp;"GCP",'E11 - 2012 09 Final'!$A$46:$P$2419,K$44,FALSE)</f>
        <v>365498</v>
      </c>
      <c r="L54" s="82">
        <f>VLOOKUP($A54&amp;"GCP",'E11 - 2012 09 Final'!$A$46:$P$2419,L$44,FALSE)</f>
        <v>361965</v>
      </c>
      <c r="M54" s="82">
        <f>VLOOKUP($A54&amp;"GCP",'E11 - 2012 09 Final'!$A$46:$P$2419,M$44,FALSE)</f>
        <v>348293</v>
      </c>
      <c r="N54" s="82">
        <f>VLOOKUP($A54&amp;"GCP",'E11 - 2012 09 Final'!$A$46:$P$2419,N$44,FALSE)</f>
        <v>332568</v>
      </c>
      <c r="O54" s="44">
        <f t="shared" si="15"/>
        <v>4116184</v>
      </c>
      <c r="P54" s="11">
        <f t="shared" si="16"/>
        <v>365498</v>
      </c>
    </row>
    <row r="55" spans="1:16">
      <c r="A55" t="s">
        <v>717</v>
      </c>
      <c r="B55" s="43" t="s">
        <v>52</v>
      </c>
      <c r="C55" s="82">
        <f>VLOOKUP($A55&amp;"GCP",'E11 - 2012 09 Final'!$A$46:$P$2419,C$44,FALSE)</f>
        <v>27522</v>
      </c>
      <c r="D55" s="82">
        <f>VLOOKUP($A55&amp;"GCP",'E11 - 2012 09 Final'!$A$46:$P$2419,D$44,FALSE)</f>
        <v>29770</v>
      </c>
      <c r="E55" s="82">
        <f>VLOOKUP($A55&amp;"GCP",'E11 - 2012 09 Final'!$A$46:$P$2419,E$44,FALSE)</f>
        <v>26797</v>
      </c>
      <c r="F55" s="82">
        <f>VLOOKUP($A55&amp;"GCP",'E11 - 2012 09 Final'!$A$46:$P$2419,F$44,FALSE)</f>
        <v>31692</v>
      </c>
      <c r="G55" s="82">
        <f>VLOOKUP($A55&amp;"GCP",'E11 - 2012 09 Final'!$A$46:$P$2419,G$44,FALSE)</f>
        <v>29061</v>
      </c>
      <c r="H55" s="82">
        <f>VLOOKUP($A55&amp;"GCP",'E11 - 2012 09 Final'!$A$46:$P$2419,H$44,FALSE)</f>
        <v>24028</v>
      </c>
      <c r="I55" s="82">
        <f>VLOOKUP($A55&amp;"GCP",'E11 - 2012 09 Final'!$A$46:$P$2419,I$44,FALSE)</f>
        <v>24104</v>
      </c>
      <c r="J55" s="82">
        <f>VLOOKUP($A55&amp;"GCP",'E11 - 2012 09 Final'!$A$46:$P$2419,J$44,FALSE)</f>
        <v>26885</v>
      </c>
      <c r="K55" s="82">
        <f>VLOOKUP($A55&amp;"GCP",'E11 - 2012 09 Final'!$A$46:$P$2419,K$44,FALSE)</f>
        <v>29287</v>
      </c>
      <c r="L55" s="82">
        <f>VLOOKUP($A55&amp;"GCP",'E11 - 2012 09 Final'!$A$46:$P$2419,L$44,FALSE)</f>
        <v>28471</v>
      </c>
      <c r="M55" s="82">
        <f>VLOOKUP($A55&amp;"GCP",'E11 - 2012 09 Final'!$A$46:$P$2419,M$44,FALSE)</f>
        <v>25482</v>
      </c>
      <c r="N55" s="82">
        <f>VLOOKUP($A55&amp;"GCP",'E11 - 2012 09 Final'!$A$46:$P$2419,N$44,FALSE)</f>
        <v>28451</v>
      </c>
      <c r="O55" s="44">
        <f>SUM(C55:N55)</f>
        <v>331550</v>
      </c>
      <c r="P55" s="11">
        <f t="shared" si="16"/>
        <v>31692</v>
      </c>
    </row>
    <row r="56" spans="1:16">
      <c r="A56" t="s">
        <v>15</v>
      </c>
      <c r="B56" s="206" t="s">
        <v>15</v>
      </c>
      <c r="C56" s="82">
        <f>VLOOKUP($A56&amp;"GCP",'E11 - 2012 09 Final'!$A$46:$P$2419,C$44,FALSE)</f>
        <v>13595</v>
      </c>
      <c r="D56" s="82">
        <f>VLOOKUP($A56&amp;"GCP",'E11 - 2012 09 Final'!$A$46:$P$2419,D$44,FALSE)</f>
        <v>13719</v>
      </c>
      <c r="E56" s="82">
        <f>VLOOKUP($A56&amp;"GCP",'E11 - 2012 09 Final'!$A$46:$P$2419,E$44,FALSE)</f>
        <v>14007</v>
      </c>
      <c r="F56" s="82">
        <f>VLOOKUP($A56&amp;"GCP",'E11 - 2012 09 Final'!$A$46:$P$2419,F$44,FALSE)</f>
        <v>13809</v>
      </c>
      <c r="G56" s="82">
        <f>VLOOKUP($A56&amp;"GCP",'E11 - 2012 09 Final'!$A$46:$P$2419,G$44,FALSE)</f>
        <v>13777</v>
      </c>
      <c r="H56" s="82">
        <f>VLOOKUP($A56&amp;"GCP",'E11 - 2012 09 Final'!$A$46:$P$2419,H$44,FALSE)</f>
        <v>14513</v>
      </c>
      <c r="I56" s="82">
        <f>VLOOKUP($A56&amp;"GCP",'E11 - 2012 09 Final'!$A$46:$P$2419,I$44,FALSE)</f>
        <v>13948</v>
      </c>
      <c r="J56" s="82">
        <f>VLOOKUP($A56&amp;"GCP",'E11 - 2012 09 Final'!$A$46:$P$2419,J$44,FALSE)</f>
        <v>13368</v>
      </c>
      <c r="K56" s="82">
        <f>VLOOKUP($A56&amp;"GCP",'E11 - 2012 09 Final'!$A$46:$P$2419,K$44,FALSE)</f>
        <v>13158</v>
      </c>
      <c r="L56" s="82">
        <f>VLOOKUP($A56&amp;"GCP",'E11 - 2012 09 Final'!$A$46:$P$2419,L$44,FALSE)</f>
        <v>14494</v>
      </c>
      <c r="M56" s="82">
        <f>VLOOKUP($A56&amp;"GCP",'E11 - 2012 09 Final'!$A$46:$P$2419,M$44,FALSE)</f>
        <v>14114</v>
      </c>
      <c r="N56" s="82">
        <f>VLOOKUP($A56&amp;"GCP",'E11 - 2012 09 Final'!$A$46:$P$2419,N$44,FALSE)</f>
        <v>14113</v>
      </c>
      <c r="O56" s="44">
        <f>SUM(C56:N56)</f>
        <v>166615</v>
      </c>
      <c r="P56" s="11">
        <f t="shared" si="16"/>
        <v>14513</v>
      </c>
    </row>
    <row r="57" spans="1:16">
      <c r="A57" t="s">
        <v>19</v>
      </c>
      <c r="B57" s="43" t="s">
        <v>56</v>
      </c>
      <c r="C57" s="82">
        <f>VLOOKUP($A57&amp;"GCP",'E11 - 2012 09 Final'!$A$46:$P$2419,C$44,FALSE)</f>
        <v>20334</v>
      </c>
      <c r="D57" s="82">
        <f>VLOOKUP($A57&amp;"GCP",'E11 - 2012 09 Final'!$A$46:$P$2419,D$44,FALSE)</f>
        <v>22670</v>
      </c>
      <c r="E57" s="82">
        <f>VLOOKUP($A57&amp;"GCP",'E11 - 2012 09 Final'!$A$46:$P$2419,E$44,FALSE)</f>
        <v>22559</v>
      </c>
      <c r="F57" s="82">
        <f>VLOOKUP($A57&amp;"GCP",'E11 - 2012 09 Final'!$A$46:$P$2419,F$44,FALSE)</f>
        <v>24862</v>
      </c>
      <c r="G57" s="82">
        <f>VLOOKUP($A57&amp;"GCP",'E11 - 2012 09 Final'!$A$46:$P$2419,G$44,FALSE)</f>
        <v>25513</v>
      </c>
      <c r="H57" s="82">
        <f>VLOOKUP($A57&amp;"GCP",'E11 - 2012 09 Final'!$A$46:$P$2419,H$44,FALSE)</f>
        <v>27122</v>
      </c>
      <c r="I57" s="82">
        <f>VLOOKUP($A57&amp;"GCP",'E11 - 2012 09 Final'!$A$46:$P$2419,I$44,FALSE)</f>
        <v>25641</v>
      </c>
      <c r="J57" s="82">
        <f>VLOOKUP($A57&amp;"GCP",'E11 - 2012 09 Final'!$A$46:$P$2419,J$44,FALSE)</f>
        <v>24696</v>
      </c>
      <c r="K57" s="82">
        <f>VLOOKUP($A57&amp;"GCP",'E11 - 2012 09 Final'!$A$46:$P$2419,K$44,FALSE)</f>
        <v>23927</v>
      </c>
      <c r="L57" s="82">
        <f>VLOOKUP($A57&amp;"GCP",'E11 - 2012 09 Final'!$A$46:$P$2419,L$44,FALSE)</f>
        <v>21698</v>
      </c>
      <c r="M57" s="82">
        <f>VLOOKUP($A57&amp;"GCP",'E11 - 2012 09 Final'!$A$46:$P$2419,M$44,FALSE)</f>
        <v>21198</v>
      </c>
      <c r="N57" s="82">
        <f>VLOOKUP($A57&amp;"GCP",'E11 - 2012 09 Final'!$A$46:$P$2419,N$44,FALSE)</f>
        <v>20160</v>
      </c>
      <c r="O57" s="44">
        <f>SUM(C57:N57)</f>
        <v>280380</v>
      </c>
      <c r="P57" s="11">
        <f t="shared" si="16"/>
        <v>27122</v>
      </c>
    </row>
    <row r="58" spans="1:16">
      <c r="A58" t="s">
        <v>22</v>
      </c>
      <c r="B58" s="43" t="s">
        <v>57</v>
      </c>
      <c r="C58" s="82">
        <f>VLOOKUP($A58&amp;"GCP",'E11 - 2012 09 Final'!$A$46:$P$2419,C$44,FALSE)</f>
        <v>9482</v>
      </c>
      <c r="D58" s="82">
        <f>VLOOKUP($A58&amp;"GCP",'E11 - 2012 09 Final'!$A$46:$P$2419,D$44,FALSE)</f>
        <v>11364</v>
      </c>
      <c r="E58" s="82">
        <f>VLOOKUP($A58&amp;"GCP",'E11 - 2012 09 Final'!$A$46:$P$2419,E$44,FALSE)</f>
        <v>12039</v>
      </c>
      <c r="F58" s="82">
        <f>VLOOKUP($A58&amp;"GCP",'E11 - 2012 09 Final'!$A$46:$P$2419,F$44,FALSE)</f>
        <v>10789</v>
      </c>
      <c r="G58" s="82">
        <f>VLOOKUP($A58&amp;"GCP",'E11 - 2012 09 Final'!$A$46:$P$2419,G$44,FALSE)</f>
        <v>7933</v>
      </c>
      <c r="H58" s="82">
        <f>VLOOKUP($A58&amp;"GCP",'E11 - 2012 09 Final'!$A$46:$P$2419,H$44,FALSE)</f>
        <v>6759</v>
      </c>
      <c r="I58" s="82">
        <f>VLOOKUP($A58&amp;"GCP",'E11 - 2012 09 Final'!$A$46:$P$2419,I$44,FALSE)</f>
        <v>5244</v>
      </c>
      <c r="J58" s="82">
        <f>VLOOKUP($A58&amp;"GCP",'E11 - 2012 09 Final'!$A$46:$P$2419,J$44,FALSE)</f>
        <v>6382</v>
      </c>
      <c r="K58" s="82">
        <f>VLOOKUP($A58&amp;"GCP",'E11 - 2012 09 Final'!$A$46:$P$2419,K$44,FALSE)</f>
        <v>9393</v>
      </c>
      <c r="L58" s="82">
        <f>VLOOKUP($A58&amp;"GCP",'E11 - 2012 09 Final'!$A$46:$P$2419,L$44,FALSE)</f>
        <v>10818</v>
      </c>
      <c r="M58" s="82">
        <f>VLOOKUP($A58&amp;"GCP",'E11 - 2012 09 Final'!$A$46:$P$2419,M$44,FALSE)</f>
        <v>11047</v>
      </c>
      <c r="N58" s="82">
        <f>VLOOKUP($A58&amp;"GCP",'E11 - 2012 09 Final'!$A$46:$P$2419,N$44,FALSE)</f>
        <v>10729</v>
      </c>
      <c r="O58" s="44">
        <f t="shared" ref="O58:O63" si="17">SUM(C58:N58)</f>
        <v>111979</v>
      </c>
      <c r="P58" s="11">
        <f t="shared" si="16"/>
        <v>12039</v>
      </c>
    </row>
    <row r="59" spans="1:16">
      <c r="A59" t="s">
        <v>687</v>
      </c>
      <c r="B59" s="43" t="s">
        <v>48</v>
      </c>
      <c r="C59" s="82">
        <f>VLOOKUP($A59&amp;"GCP",'E11 - 2012 09 Final'!$A$46:$P$2419,C$44,FALSE)</f>
        <v>11904320</v>
      </c>
      <c r="D59" s="82">
        <f>VLOOKUP($A59&amp;"GCP",'E11 - 2012 09 Final'!$A$46:$P$2419,D$44,FALSE)</f>
        <v>9568420</v>
      </c>
      <c r="E59" s="82">
        <f>VLOOKUP($A59&amp;"GCP",'E11 - 2012 09 Final'!$A$46:$P$2419,E$44,FALSE)</f>
        <v>8116901</v>
      </c>
      <c r="F59" s="82">
        <f>VLOOKUP($A59&amp;"GCP",'E11 - 2012 09 Final'!$A$46:$P$2419,F$44,FALSE)</f>
        <v>9975203</v>
      </c>
      <c r="G59" s="82">
        <f>VLOOKUP($A59&amp;"GCP",'E11 - 2012 09 Final'!$A$46:$P$2419,G$44,FALSE)</f>
        <v>9298234</v>
      </c>
      <c r="H59" s="82">
        <f>VLOOKUP($A59&amp;"GCP",'E11 - 2012 09 Final'!$A$46:$P$2419,H$44,FALSE)</f>
        <v>11363172</v>
      </c>
      <c r="I59" s="82">
        <f>VLOOKUP($A59&amp;"GCP",'E11 - 2012 09 Final'!$A$46:$P$2419,I$44,FALSE)</f>
        <v>11558790</v>
      </c>
      <c r="J59" s="82">
        <f>VLOOKUP($A59&amp;"GCP",'E11 - 2012 09 Final'!$A$46:$P$2419,J$44,FALSE)</f>
        <v>12090717</v>
      </c>
      <c r="K59" s="82">
        <f>VLOOKUP($A59&amp;"GCP",'E11 - 2012 09 Final'!$A$46:$P$2419,K$44,FALSE)</f>
        <v>12298113</v>
      </c>
      <c r="L59" s="82">
        <f>VLOOKUP($A59&amp;"GCP",'E11 - 2012 09 Final'!$A$46:$P$2419,L$44,FALSE)</f>
        <v>11077417</v>
      </c>
      <c r="M59" s="82">
        <f>VLOOKUP($A59&amp;"GCP",'E11 - 2012 09 Final'!$A$46:$P$2419,M$44,FALSE)</f>
        <v>8366554</v>
      </c>
      <c r="N59" s="82">
        <f>VLOOKUP($A59&amp;"GCP",'E11 - 2012 09 Final'!$A$46:$P$2419,N$44,FALSE)</f>
        <v>7438988</v>
      </c>
      <c r="O59" s="44">
        <f t="shared" si="17"/>
        <v>123056829</v>
      </c>
      <c r="P59" s="11">
        <f t="shared" si="16"/>
        <v>12298113</v>
      </c>
    </row>
    <row r="60" spans="1:16">
      <c r="A60" s="307" t="s">
        <v>35</v>
      </c>
      <c r="B60" s="43" t="s">
        <v>53</v>
      </c>
      <c r="C60" s="82">
        <f>VLOOKUP($A60&amp;"GCP",'E11 - 2012 09 Final'!$A$46:$P$2419,C$44,FALSE)</f>
        <v>101421</v>
      </c>
      <c r="D60" s="82">
        <f>VLOOKUP($A60&amp;"GCP",'E11 - 2012 09 Final'!$A$46:$P$2419,D$44,FALSE)</f>
        <v>113971</v>
      </c>
      <c r="E60" s="82">
        <f>VLOOKUP($A60&amp;"GCP",'E11 - 2012 09 Final'!$A$46:$P$2419,E$44,FALSE)</f>
        <v>116110</v>
      </c>
      <c r="F60" s="82">
        <f>VLOOKUP($A60&amp;"GCP",'E11 - 2012 09 Final'!$A$46:$P$2419,F$44,FALSE)</f>
        <v>126781</v>
      </c>
      <c r="G60" s="82">
        <f>VLOOKUP($A60&amp;"GCP",'E11 - 2012 09 Final'!$A$46:$P$2419,G$44,FALSE)</f>
        <v>125952</v>
      </c>
      <c r="H60" s="82">
        <f>VLOOKUP($A60&amp;"GCP",'E11 - 2012 09 Final'!$A$46:$P$2419,H$44,FALSE)</f>
        <v>144305</v>
      </c>
      <c r="I60" s="82">
        <f>VLOOKUP($A60&amp;"GCP",'E11 - 2012 09 Final'!$A$46:$P$2419,I$44,FALSE)</f>
        <v>125150</v>
      </c>
      <c r="J60" s="82">
        <f>VLOOKUP($A60&amp;"GCP",'E11 - 2012 09 Final'!$A$46:$P$2419,J$44,FALSE)</f>
        <v>129358</v>
      </c>
      <c r="K60" s="82">
        <f>VLOOKUP($A60&amp;"GCP",'E11 - 2012 09 Final'!$A$46:$P$2419,K$44,FALSE)</f>
        <v>121260</v>
      </c>
      <c r="L60" s="82">
        <f>VLOOKUP($A60&amp;"GCP",'E11 - 2012 09 Final'!$A$46:$P$2419,L$44,FALSE)</f>
        <v>96470</v>
      </c>
      <c r="M60" s="82">
        <f>VLOOKUP($A60&amp;"GCP",'E11 - 2012 09 Final'!$A$46:$P$2419,M$44,FALSE)</f>
        <v>121343</v>
      </c>
      <c r="N60" s="82">
        <f>VLOOKUP($A60&amp;"GCP",'E11 - 2012 09 Final'!$A$46:$P$2419,N$44,FALSE)</f>
        <v>102654</v>
      </c>
      <c r="O60" s="44">
        <f t="shared" si="17"/>
        <v>1424775</v>
      </c>
      <c r="P60" s="11">
        <f t="shared" si="16"/>
        <v>144305</v>
      </c>
    </row>
    <row r="61" spans="1:16">
      <c r="A61" s="307" t="s">
        <v>38</v>
      </c>
      <c r="B61" s="43" t="s">
        <v>55</v>
      </c>
      <c r="C61" s="82">
        <f>VLOOKUP($A61&amp;"GCP",'E11 - 2012 09 Final'!$A$46:$P$2419,C$44,FALSE)</f>
        <v>3522</v>
      </c>
      <c r="D61" s="82">
        <f>VLOOKUP($A61&amp;"GCP",'E11 - 2012 09 Final'!$A$46:$P$2419,D$44,FALSE)</f>
        <v>3768</v>
      </c>
      <c r="E61" s="82">
        <f>VLOOKUP($A61&amp;"GCP",'E11 - 2012 09 Final'!$A$46:$P$2419,E$44,FALSE)</f>
        <v>3537</v>
      </c>
      <c r="F61" s="82">
        <f>VLOOKUP($A61&amp;"GCP",'E11 - 2012 09 Final'!$A$46:$P$2419,F$44,FALSE)</f>
        <v>3659</v>
      </c>
      <c r="G61" s="82">
        <f>VLOOKUP($A61&amp;"GCP",'E11 - 2012 09 Final'!$A$46:$P$2419,G$44,FALSE)</f>
        <v>3501</v>
      </c>
      <c r="H61" s="82">
        <f>VLOOKUP($A61&amp;"GCP",'E11 - 2012 09 Final'!$A$46:$P$2419,H$44,FALSE)</f>
        <v>3622</v>
      </c>
      <c r="I61" s="82">
        <f>VLOOKUP($A61&amp;"GCP",'E11 - 2012 09 Final'!$A$46:$P$2419,I$44,FALSE)</f>
        <v>3518</v>
      </c>
      <c r="J61" s="82">
        <f>VLOOKUP($A61&amp;"GCP",'E11 - 2012 09 Final'!$A$46:$P$2419,J$44,FALSE)</f>
        <v>3518</v>
      </c>
      <c r="K61" s="82">
        <f>VLOOKUP($A61&amp;"GCP",'E11 - 2012 09 Final'!$A$46:$P$2419,K$44,FALSE)</f>
        <v>3637</v>
      </c>
      <c r="L61" s="82">
        <f>VLOOKUP($A61&amp;"GCP",'E11 - 2012 09 Final'!$A$46:$P$2419,L$44,FALSE)</f>
        <v>3518</v>
      </c>
      <c r="M61" s="82">
        <f>VLOOKUP($A61&amp;"GCP",'E11 - 2012 09 Final'!$A$46:$P$2419,M$44,FALSE)</f>
        <v>3634</v>
      </c>
      <c r="N61" s="82">
        <f>VLOOKUP($A61&amp;"GCP",'E11 - 2012 09 Final'!$A$46:$P$2419,N$44,FALSE)</f>
        <v>3524</v>
      </c>
      <c r="O61" s="44">
        <f t="shared" si="17"/>
        <v>42958</v>
      </c>
      <c r="P61" s="11">
        <f t="shared" si="16"/>
        <v>3768</v>
      </c>
    </row>
    <row r="62" spans="1:16">
      <c r="A62" t="s">
        <v>40</v>
      </c>
      <c r="B62" s="43" t="s">
        <v>87</v>
      </c>
      <c r="C62" s="82">
        <f>VLOOKUP($A62&amp;"GCP",'E11 - 2012 09 Final'!$A$46:$P$2419,C$44,FALSE)</f>
        <v>173</v>
      </c>
      <c r="D62" s="82">
        <f>VLOOKUP($A62&amp;"GCP",'E11 - 2012 09 Final'!$A$46:$P$2419,D$44,FALSE)</f>
        <v>3093</v>
      </c>
      <c r="E62" s="82">
        <f>VLOOKUP($A62&amp;"GCP",'E11 - 2012 09 Final'!$A$46:$P$2419,E$44,FALSE)</f>
        <v>3259</v>
      </c>
      <c r="F62" s="82">
        <f>VLOOKUP($A62&amp;"GCP",'E11 - 2012 09 Final'!$A$46:$P$2419,F$44,FALSE)</f>
        <v>1479</v>
      </c>
      <c r="G62" s="82">
        <f>VLOOKUP($A62&amp;"GCP",'E11 - 2012 09 Final'!$A$46:$P$2419,G$44,FALSE)</f>
        <v>1473</v>
      </c>
      <c r="H62" s="82">
        <f>VLOOKUP($A62&amp;"GCP",'E11 - 2012 09 Final'!$A$46:$P$2419,H$44,FALSE)</f>
        <v>1473</v>
      </c>
      <c r="I62" s="82">
        <f>VLOOKUP($A62&amp;"GCP",'E11 - 2012 09 Final'!$A$46:$P$2419,I$44,FALSE)</f>
        <v>2632</v>
      </c>
      <c r="J62" s="82">
        <f>VLOOKUP($A62&amp;"GCP",'E11 - 2012 09 Final'!$A$46:$P$2419,J$44,FALSE)</f>
        <v>2934</v>
      </c>
      <c r="K62" s="82">
        <f>VLOOKUP($A62&amp;"GCP",'E11 - 2012 09 Final'!$A$46:$P$2419,K$44,FALSE)</f>
        <v>3077</v>
      </c>
      <c r="L62" s="82">
        <f>VLOOKUP($A62&amp;"GCP",'E11 - 2012 09 Final'!$A$46:$P$2419,L$44,FALSE)</f>
        <v>4084</v>
      </c>
      <c r="M62" s="82">
        <f>VLOOKUP($A62&amp;"GCP",'E11 - 2012 09 Final'!$A$46:$P$2419,M$44,FALSE)</f>
        <v>3250</v>
      </c>
      <c r="N62" s="82">
        <f>VLOOKUP($A62&amp;"GCP",'E11 - 2012 09 Final'!$A$46:$P$2419,N$44,FALSE)</f>
        <v>3691</v>
      </c>
      <c r="O62" s="44">
        <f t="shared" si="17"/>
        <v>30618</v>
      </c>
      <c r="P62" s="11">
        <f t="shared" si="16"/>
        <v>4084</v>
      </c>
    </row>
    <row r="63" spans="1:16">
      <c r="A63" t="s">
        <v>45</v>
      </c>
      <c r="B63" s="43" t="s">
        <v>88</v>
      </c>
      <c r="C63" s="82">
        <f>VLOOKUP($A63&amp;"GCP",'E11 - 2012 09 Final'!$A$46:$P$2419,C$44,FALSE)</f>
        <v>33869</v>
      </c>
      <c r="D63" s="82">
        <f>VLOOKUP($A63&amp;"GCP",'E11 - 2012 09 Final'!$A$46:$P$2419,D$44,FALSE)</f>
        <v>24419</v>
      </c>
      <c r="E63" s="82">
        <f>VLOOKUP($A63&amp;"GCP",'E11 - 2012 09 Final'!$A$46:$P$2419,E$44,FALSE)</f>
        <v>27335</v>
      </c>
      <c r="F63" s="82">
        <f>VLOOKUP($A63&amp;"GCP",'E11 - 2012 09 Final'!$A$46:$P$2419,F$44,FALSE)</f>
        <v>38857</v>
      </c>
      <c r="G63" s="82">
        <f>VLOOKUP($A63&amp;"GCP",'E11 - 2012 09 Final'!$A$46:$P$2419,G$44,FALSE)</f>
        <v>32854</v>
      </c>
      <c r="H63" s="82">
        <f>VLOOKUP($A63&amp;"GCP",'E11 - 2012 09 Final'!$A$46:$P$2419,H$44,FALSE)</f>
        <v>23756</v>
      </c>
      <c r="I63" s="82">
        <f>VLOOKUP($A63&amp;"GCP",'E11 - 2012 09 Final'!$A$46:$P$2419,I$44,FALSE)</f>
        <v>15599</v>
      </c>
      <c r="J63" s="82">
        <f>VLOOKUP($A63&amp;"GCP",'E11 - 2012 09 Final'!$A$46:$P$2419,J$44,FALSE)</f>
        <v>36764</v>
      </c>
      <c r="K63" s="82">
        <f>VLOOKUP($A63&amp;"GCP",'E11 - 2012 09 Final'!$A$46:$P$2419,K$44,FALSE)</f>
        <v>37986</v>
      </c>
      <c r="L63" s="82">
        <f>VLOOKUP($A63&amp;"GCP",'E11 - 2012 09 Final'!$A$46:$P$2419,L$44,FALSE)</f>
        <v>44487</v>
      </c>
      <c r="M63" s="82">
        <f>VLOOKUP($A63&amp;"GCP",'E11 - 2012 09 Final'!$A$46:$P$2419,M$44,FALSE)</f>
        <v>32486</v>
      </c>
      <c r="N63" s="82">
        <f>VLOOKUP($A63&amp;"GCP",'E11 - 2012 09 Final'!$A$46:$P$2419,N$44,FALSE)</f>
        <v>36138</v>
      </c>
      <c r="O63" s="44">
        <f t="shared" si="17"/>
        <v>384550</v>
      </c>
      <c r="P63" s="11">
        <f t="shared" si="16"/>
        <v>44487</v>
      </c>
    </row>
    <row r="64" spans="1:16">
      <c r="C64" s="48"/>
      <c r="D64" s="48"/>
      <c r="E64" s="48"/>
      <c r="F64" s="48"/>
      <c r="G64" s="48"/>
      <c r="H64" s="48"/>
      <c r="I64" s="48"/>
      <c r="J64" s="48"/>
      <c r="K64" s="48"/>
      <c r="L64" s="48"/>
      <c r="M64" s="48"/>
      <c r="N64" s="48"/>
      <c r="O64" s="44"/>
      <c r="P64" s="11"/>
    </row>
    <row r="65" spans="1:16">
      <c r="C65" s="48"/>
      <c r="D65" s="48"/>
      <c r="E65" s="48"/>
      <c r="F65" s="48"/>
      <c r="G65" s="48"/>
      <c r="H65" s="48"/>
      <c r="I65" s="48"/>
      <c r="J65" s="48"/>
      <c r="K65" s="48"/>
      <c r="L65" s="48"/>
      <c r="M65" s="48"/>
      <c r="N65" s="48"/>
      <c r="O65" s="44"/>
      <c r="P65" s="11"/>
    </row>
    <row r="66" spans="1:16">
      <c r="B66" s="42" t="s">
        <v>86</v>
      </c>
      <c r="C66" s="10"/>
      <c r="D66" s="10"/>
      <c r="E66" s="10"/>
      <c r="F66" s="10"/>
      <c r="G66" s="10"/>
      <c r="H66" s="10"/>
      <c r="I66" s="10"/>
      <c r="J66" s="10"/>
      <c r="K66" s="10"/>
      <c r="L66" s="10"/>
      <c r="M66" s="10"/>
      <c r="N66" s="10"/>
    </row>
    <row r="67" spans="1:16">
      <c r="A67" t="s">
        <v>603</v>
      </c>
      <c r="B67" s="43" t="s">
        <v>603</v>
      </c>
      <c r="C67" s="82">
        <f>VLOOKUP($A67&amp;"GCP",'E11 - 2012 09 Final'!$A$46:$P$2419,C$44,FALSE)</f>
        <v>0</v>
      </c>
      <c r="D67" s="82">
        <f>VLOOKUP($A67&amp;"GCP",'E11 - 2012 09 Final'!$A$46:$P$2419,D$44,FALSE)</f>
        <v>0</v>
      </c>
      <c r="E67" s="82">
        <f>VLOOKUP($A67&amp;"GCP",'E11 - 2012 09 Final'!$A$46:$P$2419,E$44,FALSE)</f>
        <v>0</v>
      </c>
      <c r="F67" s="82">
        <f>VLOOKUP($A67&amp;"GCP",'E11 - 2012 09 Final'!$A$46:$P$2419,F$44,FALSE)</f>
        <v>0</v>
      </c>
      <c r="G67" s="82">
        <f>VLOOKUP($A67&amp;"GCP",'E11 - 2012 09 Final'!$A$46:$P$2419,G$44,FALSE)</f>
        <v>8313</v>
      </c>
      <c r="H67" s="82">
        <f>VLOOKUP($A67&amp;"GCP",'E11 - 2012 09 Final'!$A$46:$P$2419,H$44,FALSE)</f>
        <v>8105</v>
      </c>
      <c r="I67" s="82">
        <f>VLOOKUP($A67&amp;"GCP",'E11 - 2012 09 Final'!$A$46:$P$2419,I$44,FALSE)</f>
        <v>8571</v>
      </c>
      <c r="J67" s="82">
        <f>VLOOKUP($A67&amp;"GCP",'E11 - 2012 09 Final'!$A$46:$P$2419,J$44,FALSE)</f>
        <v>8455</v>
      </c>
      <c r="K67" s="82">
        <f>VLOOKUP($A67&amp;"GCP",'E11 - 2012 09 Final'!$A$46:$P$2419,K$44,FALSE)</f>
        <v>7681</v>
      </c>
      <c r="L67" s="82">
        <f>VLOOKUP($A67&amp;"GCP",'E11 - 2012 09 Final'!$A$46:$P$2419,L$44,FALSE)</f>
        <v>6442</v>
      </c>
      <c r="M67" s="82">
        <f>VLOOKUP($A67&amp;"GCP",'E11 - 2012 09 Final'!$A$46:$P$2419,M$44,FALSE)</f>
        <v>6021</v>
      </c>
      <c r="N67" s="82">
        <f>VLOOKUP($A67&amp;"GCP",'E11 - 2012 09 Final'!$A$46:$P$2419,N$44,FALSE)</f>
        <v>6464</v>
      </c>
      <c r="O67" s="44">
        <f t="shared" ref="O67:O72" si="18">SUM(C67:N67)</f>
        <v>60052</v>
      </c>
      <c r="P67" s="11">
        <f t="shared" ref="P67:P72" si="19">MAX(C67:N67)</f>
        <v>8571</v>
      </c>
    </row>
    <row r="68" spans="1:16">
      <c r="A68" t="s">
        <v>245</v>
      </c>
      <c r="B68" s="43" t="s">
        <v>983</v>
      </c>
      <c r="C68" s="82">
        <f>VLOOKUP($A68&amp;"GCP",'E11 - 2012 09 Final'!$A$46:$P$2419,C$44,FALSE)</f>
        <v>102096</v>
      </c>
      <c r="D68" s="82">
        <f>VLOOKUP($A68&amp;"GCP",'E11 - 2012 09 Final'!$A$46:$P$2419,D$44,FALSE)</f>
        <v>111487</v>
      </c>
      <c r="E68" s="82">
        <f>VLOOKUP($A68&amp;"GCP",'E11 - 2012 09 Final'!$A$46:$P$2419,E$44,FALSE)</f>
        <v>112607</v>
      </c>
      <c r="F68" s="82">
        <f>VLOOKUP($A68&amp;"GCP",'E11 - 2012 09 Final'!$A$46:$P$2419,F$44,FALSE)</f>
        <v>126051</v>
      </c>
      <c r="G68" s="82">
        <f>VLOOKUP($A68&amp;"GCP",'E11 - 2012 09 Final'!$A$46:$P$2419,G$44,FALSE)</f>
        <v>135351</v>
      </c>
      <c r="H68" s="82">
        <f>VLOOKUP($A68&amp;"GCP",'E11 - 2012 09 Final'!$A$46:$P$2419,H$44,FALSE)</f>
        <v>137906</v>
      </c>
      <c r="I68" s="82">
        <f>VLOOKUP($A68&amp;"GCP",'E11 - 2012 09 Final'!$A$46:$P$2419,I$44,FALSE)</f>
        <v>148604</v>
      </c>
      <c r="J68" s="82">
        <f>VLOOKUP($A68&amp;"GCP",'E11 - 2012 09 Final'!$A$46:$P$2419,J$44,FALSE)</f>
        <v>144516</v>
      </c>
      <c r="K68" s="82">
        <f>VLOOKUP($A68&amp;"GCP",'E11 - 2012 09 Final'!$A$46:$P$2419,K$44,FALSE)</f>
        <v>135020</v>
      </c>
      <c r="L68" s="82">
        <f>VLOOKUP($A68&amp;"GCP",'E11 - 2012 09 Final'!$A$46:$P$2419,L$44,FALSE)</f>
        <v>125289</v>
      </c>
      <c r="M68" s="82">
        <f>VLOOKUP($A68&amp;"GCP",'E11 - 2012 09 Final'!$A$46:$P$2419,M$44,FALSE)</f>
        <v>86408</v>
      </c>
      <c r="N68" s="82">
        <f>VLOOKUP($A68&amp;"GCP",'E11 - 2012 09 Final'!$A$46:$P$2419,N$44,FALSE)</f>
        <v>111909</v>
      </c>
      <c r="O68" s="44">
        <f t="shared" si="18"/>
        <v>1477244</v>
      </c>
      <c r="P68" s="11">
        <f t="shared" si="19"/>
        <v>148604</v>
      </c>
    </row>
    <row r="69" spans="1:16">
      <c r="A69" t="s">
        <v>242</v>
      </c>
      <c r="B69" s="43" t="s">
        <v>491</v>
      </c>
      <c r="C69" s="82">
        <f>VLOOKUP($A69&amp;"GCP",'E11 - 2012 09 Final'!$A$46:$P$2419,C$44,FALSE)</f>
        <v>45000</v>
      </c>
      <c r="D69" s="82">
        <f>VLOOKUP($A69&amp;"GCP",'E11 - 2012 09 Final'!$A$46:$P$2419,D$44,FALSE)</f>
        <v>45000</v>
      </c>
      <c r="E69" s="82">
        <f>VLOOKUP($A69&amp;"GCP",'E11 - 2012 09 Final'!$A$46:$P$2419,E$44,FALSE)</f>
        <v>45000</v>
      </c>
      <c r="F69" s="82">
        <f>VLOOKUP($A69&amp;"GCP",'E11 - 2012 09 Final'!$A$46:$P$2419,F$44,FALSE)</f>
        <v>45000</v>
      </c>
      <c r="G69" s="82">
        <f>VLOOKUP($A69&amp;"GCP",'E11 - 2012 09 Final'!$A$46:$P$2419,G$44,FALSE)</f>
        <v>45000</v>
      </c>
      <c r="H69" s="82">
        <f>VLOOKUP($A69&amp;"GCP",'E11 - 2012 09 Final'!$A$46:$P$2419,H$44,FALSE)</f>
        <v>45000</v>
      </c>
      <c r="I69" s="82">
        <f>VLOOKUP($A69&amp;"GCP",'E11 - 2012 09 Final'!$A$46:$P$2419,I$44,FALSE)</f>
        <v>45000</v>
      </c>
      <c r="J69" s="82">
        <f>VLOOKUP($A69&amp;"GCP",'E11 - 2012 09 Final'!$A$46:$P$2419,J$44,FALSE)</f>
        <v>45000</v>
      </c>
      <c r="K69" s="82">
        <f>VLOOKUP($A69&amp;"GCP",'E11 - 2012 09 Final'!$A$46:$P$2419,K$44,FALSE)</f>
        <v>45000</v>
      </c>
      <c r="L69" s="82">
        <f>VLOOKUP($A69&amp;"GCP",'E11 - 2012 09 Final'!$A$46:$P$2419,L$44,FALSE)</f>
        <v>45000</v>
      </c>
      <c r="M69" s="82">
        <f>VLOOKUP($A69&amp;"GCP",'E11 - 2012 09 Final'!$A$46:$P$2419,M$44,FALSE)</f>
        <v>45000</v>
      </c>
      <c r="N69" s="82">
        <f>VLOOKUP($A69&amp;"GCP",'E11 - 2012 09 Final'!$A$46:$P$2419,N$44,FALSE)</f>
        <v>45000</v>
      </c>
      <c r="O69" s="44">
        <f t="shared" si="18"/>
        <v>540000</v>
      </c>
      <c r="P69" s="11">
        <f t="shared" si="19"/>
        <v>45000</v>
      </c>
    </row>
    <row r="70" spans="1:16" ht="409.6">
      <c r="A70" t="s">
        <v>661</v>
      </c>
      <c r="B70" s="43" t="s">
        <v>984</v>
      </c>
      <c r="C70" s="82">
        <f>VLOOKUP($A70&amp;"GCP",'E11 - 2012 09 Final'!$A$46:$P$2419,C$44,FALSE)</f>
        <v>224965</v>
      </c>
      <c r="D70" s="82">
        <f>VLOOKUP($A70&amp;"GCP",'E11 - 2012 09 Final'!$A$46:$P$2419,D$44,FALSE)</f>
        <v>207234</v>
      </c>
      <c r="E70" s="82">
        <f>VLOOKUP($A70&amp;"GCP",'E11 - 2012 09 Final'!$A$46:$P$2419,E$44,FALSE)</f>
        <v>189386</v>
      </c>
      <c r="F70" s="82">
        <f>VLOOKUP($A70&amp;"GCP",'E11 - 2012 09 Final'!$A$46:$P$2419,F$44,FALSE)</f>
        <v>207338</v>
      </c>
      <c r="G70" s="82">
        <f>VLOOKUP($A70&amp;"GCP",'E11 - 2012 09 Final'!$A$46:$P$2419,G$44,FALSE)</f>
        <v>217637</v>
      </c>
      <c r="H70" s="82">
        <f>VLOOKUP($A70&amp;"GCP",'E11 - 2012 09 Final'!$A$46:$P$2419,H$44,FALSE)</f>
        <v>217981</v>
      </c>
      <c r="I70" s="82">
        <f>VLOOKUP($A70&amp;"GCP",'E11 - 2012 09 Final'!$A$46:$P$2419,I$44,FALSE)</f>
        <v>229570</v>
      </c>
      <c r="J70" s="82">
        <f>VLOOKUP($A70&amp;"GCP",'E11 - 2012 09 Final'!$A$46:$P$2419,J$44,FALSE)</f>
        <v>238022</v>
      </c>
      <c r="K70" s="82">
        <f>VLOOKUP($A70&amp;"GCP",'E11 - 2012 09 Final'!$A$46:$P$2419,K$44,FALSE)</f>
        <v>216824</v>
      </c>
      <c r="L70" s="82">
        <f>VLOOKUP($A70&amp;"GCP",'E11 - 2012 09 Final'!$A$46:$P$2419,L$44,FALSE)</f>
        <v>214833</v>
      </c>
      <c r="M70" s="82">
        <f>VLOOKUP($A70&amp;"GCP",'E11 - 2012 09 Final'!$A$46:$P$2419,M$44,FALSE)</f>
        <v>151505</v>
      </c>
      <c r="N70" s="82">
        <f>VLOOKUP($A70&amp;"GCP",'E11 - 2012 09 Final'!$A$46:$P$2419,N$44,FALSE)</f>
        <v>174495</v>
      </c>
      <c r="O70" s="44">
        <f t="shared" si="18"/>
        <v>2489790</v>
      </c>
      <c r="P70" s="11">
        <f t="shared" si="19"/>
        <v>238022</v>
      </c>
    </row>
    <row r="71" spans="1:16">
      <c r="A71" t="s">
        <v>7</v>
      </c>
      <c r="B71" s="43" t="s">
        <v>987</v>
      </c>
      <c r="C71" s="82">
        <f>VLOOKUP($A71&amp;"GCP",'E11 - 2012 09 Final'!$A$46:$P$2419,C$44,FALSE)</f>
        <v>1058</v>
      </c>
      <c r="D71" s="82">
        <f>VLOOKUP($A71&amp;"GCP",'E11 - 2012 09 Final'!$A$46:$P$2419,D$44,FALSE)</f>
        <v>1007</v>
      </c>
      <c r="E71" s="82">
        <f>VLOOKUP($A71&amp;"GCP",'E11 - 2012 09 Final'!$A$46:$P$2419,E$44,FALSE)</f>
        <v>990</v>
      </c>
      <c r="F71" s="82">
        <f>VLOOKUP($A71&amp;"GCP",'E11 - 2012 09 Final'!$A$46:$P$2419,F$44,FALSE)</f>
        <v>973</v>
      </c>
      <c r="G71" s="82">
        <f>VLOOKUP($A71&amp;"GCP",'E11 - 2012 09 Final'!$A$46:$P$2419,G$44,FALSE)</f>
        <v>975</v>
      </c>
      <c r="H71" s="82">
        <f>VLOOKUP($A71&amp;"GCP",'E11 - 2012 09 Final'!$A$46:$P$2419,H$44,FALSE)</f>
        <v>972</v>
      </c>
      <c r="I71" s="82">
        <f>VLOOKUP($A71&amp;"GCP",'E11 - 2012 09 Final'!$A$46:$P$2419,I$44,FALSE)</f>
        <v>986</v>
      </c>
      <c r="J71" s="82">
        <f>VLOOKUP($A71&amp;"GCP",'E11 - 2012 09 Final'!$A$46:$P$2419,J$44,FALSE)</f>
        <v>950</v>
      </c>
      <c r="K71" s="82">
        <f>VLOOKUP($A71&amp;"GCP",'E11 - 2012 09 Final'!$A$46:$P$2419,K$44,FALSE)</f>
        <v>949</v>
      </c>
      <c r="L71" s="82">
        <f>VLOOKUP($A71&amp;"GCP",'E11 - 2012 09 Final'!$A$46:$P$2419,L$44,FALSE)</f>
        <v>879</v>
      </c>
      <c r="M71" s="82">
        <f>VLOOKUP($A71&amp;"GCP",'E11 - 2012 09 Final'!$A$46:$P$2419,M$44,FALSE)</f>
        <v>1010</v>
      </c>
      <c r="N71" s="82">
        <f>VLOOKUP($A71&amp;"GCP",'E11 - 2012 09 Final'!$A$46:$P$2419,N$44,FALSE)</f>
        <v>1015</v>
      </c>
      <c r="O71" s="44">
        <f t="shared" si="18"/>
        <v>11764</v>
      </c>
      <c r="P71" s="11">
        <f t="shared" si="19"/>
        <v>1058</v>
      </c>
    </row>
    <row r="72" spans="1:16">
      <c r="A72" t="s">
        <v>724</v>
      </c>
      <c r="B72" s="43" t="s">
        <v>724</v>
      </c>
      <c r="C72" s="82">
        <f>VLOOKUP($A72&amp;"GCP",'E11 - 2012 09 Final'!$A$46:$P$2419,C$44,FALSE)</f>
        <v>13129</v>
      </c>
      <c r="D72" s="82">
        <f>VLOOKUP($A72&amp;"GCP",'E11 - 2012 09 Final'!$A$46:$P$2419,D$44,FALSE)</f>
        <v>11883</v>
      </c>
      <c r="E72" s="82">
        <f>VLOOKUP($A72&amp;"GCP",'E11 - 2012 09 Final'!$A$46:$P$2419,E$44,FALSE)</f>
        <v>10638</v>
      </c>
      <c r="F72" s="82">
        <f>VLOOKUP($A72&amp;"GCP",'E11 - 2012 09 Final'!$A$46:$P$2419,F$44,FALSE)</f>
        <v>11650</v>
      </c>
      <c r="G72" s="82">
        <f>VLOOKUP($A72&amp;"GCP",'E11 - 2012 09 Final'!$A$46:$P$2419,G$44,FALSE)</f>
        <v>13132</v>
      </c>
      <c r="H72" s="82">
        <f>VLOOKUP($A72&amp;"GCP",'E11 - 2012 09 Final'!$A$46:$P$2419,H$44,FALSE)</f>
        <v>13054</v>
      </c>
      <c r="I72" s="82">
        <f>VLOOKUP($A72&amp;"GCP",'E11 - 2012 09 Final'!$A$46:$P$2419,I$44,FALSE)</f>
        <v>13417</v>
      </c>
      <c r="J72" s="82">
        <f>VLOOKUP($A72&amp;"GCP",'E11 - 2012 09 Final'!$A$46:$P$2419,J$44,FALSE)</f>
        <v>13650</v>
      </c>
      <c r="K72" s="82">
        <f>VLOOKUP($A72&amp;"GCP",'E11 - 2012 09 Final'!$A$46:$P$2419,K$44,FALSE)</f>
        <v>12873</v>
      </c>
      <c r="L72" s="82">
        <f>VLOOKUP($A72&amp;"GCP",'E11 - 2012 09 Final'!$A$46:$P$2419,L$44,FALSE)</f>
        <v>12111</v>
      </c>
      <c r="M72" s="82">
        <f>VLOOKUP($A72&amp;"GCP",'E11 - 2012 09 Final'!$A$46:$P$2419,M$44,FALSE)</f>
        <v>8158</v>
      </c>
      <c r="N72" s="82">
        <f>VLOOKUP($A72&amp;"GCP",'E11 - 2012 09 Final'!$A$46:$P$2419,N$44,FALSE)</f>
        <v>10033</v>
      </c>
      <c r="O72" s="44">
        <f t="shared" si="18"/>
        <v>143728</v>
      </c>
      <c r="P72" s="11">
        <f t="shared" si="19"/>
        <v>13650</v>
      </c>
    </row>
    <row r="74" spans="1:16" ht="21">
      <c r="B74" s="611" t="s">
        <v>90</v>
      </c>
      <c r="C74" s="611"/>
      <c r="D74" s="611"/>
      <c r="E74" s="611"/>
      <c r="F74" s="611"/>
      <c r="G74" s="611"/>
      <c r="H74" s="611"/>
      <c r="I74" s="611"/>
      <c r="J74" s="611"/>
      <c r="K74" s="611"/>
      <c r="L74" s="611"/>
      <c r="M74" s="611"/>
      <c r="N74" s="611"/>
      <c r="O74" s="611"/>
      <c r="P74" s="611"/>
    </row>
    <row r="75" spans="1:16" ht="17.399999999999999">
      <c r="B75" s="610" t="str">
        <f>+MANUAL!$B$6 &amp;" as Calculated by LodeStar Except as Noted"</f>
        <v>2013 as Calculated by LodeStar Except as Noted</v>
      </c>
      <c r="C75" s="610"/>
      <c r="D75" s="610"/>
      <c r="E75" s="610"/>
      <c r="F75" s="610"/>
      <c r="G75" s="610"/>
      <c r="H75" s="610"/>
      <c r="I75" s="610"/>
      <c r="J75" s="610"/>
      <c r="K75" s="610"/>
      <c r="L75" s="610"/>
      <c r="M75" s="610"/>
      <c r="N75" s="610"/>
      <c r="O75" s="610"/>
      <c r="P75" s="610"/>
    </row>
    <row r="76" spans="1:16" ht="13.8" thickBot="1">
      <c r="B76" s="84"/>
      <c r="C76" s="84"/>
      <c r="D76" s="84"/>
      <c r="E76" s="84"/>
      <c r="F76" s="84"/>
      <c r="G76" s="84"/>
      <c r="H76" s="84"/>
      <c r="I76" s="84"/>
      <c r="J76" s="84"/>
      <c r="K76" s="84"/>
      <c r="L76" s="84"/>
      <c r="M76" s="84"/>
      <c r="N76" s="84"/>
      <c r="O76" s="84"/>
      <c r="P76" s="84"/>
    </row>
    <row r="77" spans="1:16" ht="409.6">
      <c r="C77" s="14"/>
      <c r="D77" s="15"/>
      <c r="E77" s="16"/>
      <c r="F77" s="17"/>
      <c r="G77" s="18"/>
      <c r="H77" s="19"/>
      <c r="I77" s="20"/>
      <c r="J77" s="21"/>
      <c r="K77" s="22"/>
      <c r="L77" s="23"/>
      <c r="M77" s="24"/>
      <c r="N77" s="25"/>
      <c r="O77" s="26"/>
      <c r="P77" s="27" t="s">
        <v>576</v>
      </c>
    </row>
    <row r="78" spans="1:16" ht="13.8" thickBot="1">
      <c r="C78" s="28" t="s">
        <v>70</v>
      </c>
      <c r="D78" s="29" t="s">
        <v>71</v>
      </c>
      <c r="E78" s="30" t="s">
        <v>72</v>
      </c>
      <c r="F78" s="31" t="s">
        <v>73</v>
      </c>
      <c r="G78" s="32" t="s">
        <v>74</v>
      </c>
      <c r="H78" s="33" t="s">
        <v>75</v>
      </c>
      <c r="I78" s="34" t="s">
        <v>76</v>
      </c>
      <c r="J78" s="35" t="s">
        <v>77</v>
      </c>
      <c r="K78" s="36" t="s">
        <v>78</v>
      </c>
      <c r="L78" s="37" t="s">
        <v>79</v>
      </c>
      <c r="M78" s="38" t="s">
        <v>80</v>
      </c>
      <c r="N78" s="39" t="s">
        <v>81</v>
      </c>
      <c r="O78" s="40" t="s">
        <v>60</v>
      </c>
      <c r="P78" s="41" t="s">
        <v>82</v>
      </c>
    </row>
    <row r="79" spans="1:16" hidden="1">
      <c r="C79">
        <v>4</v>
      </c>
      <c r="D79">
        <f>C79+1</f>
        <v>5</v>
      </c>
      <c r="E79">
        <f t="shared" ref="E79:N79" si="20">D79+1</f>
        <v>6</v>
      </c>
      <c r="F79">
        <f t="shared" si="20"/>
        <v>7</v>
      </c>
      <c r="G79">
        <f t="shared" si="20"/>
        <v>8</v>
      </c>
      <c r="H79">
        <f t="shared" si="20"/>
        <v>9</v>
      </c>
      <c r="I79">
        <f t="shared" si="20"/>
        <v>10</v>
      </c>
      <c r="J79">
        <f t="shared" si="20"/>
        <v>11</v>
      </c>
      <c r="K79">
        <f t="shared" si="20"/>
        <v>12</v>
      </c>
      <c r="L79">
        <f t="shared" si="20"/>
        <v>13</v>
      </c>
      <c r="M79">
        <f t="shared" si="20"/>
        <v>14</v>
      </c>
      <c r="N79">
        <f t="shared" si="20"/>
        <v>15</v>
      </c>
      <c r="O79" s="303"/>
      <c r="P79" s="304"/>
    </row>
    <row r="81" spans="1:16">
      <c r="B81" s="42" t="s">
        <v>83</v>
      </c>
    </row>
    <row r="82" spans="1:16">
      <c r="A82" t="s">
        <v>122</v>
      </c>
      <c r="B82" s="43" t="s">
        <v>84</v>
      </c>
      <c r="C82" s="82">
        <f>VLOOKUP($A82&amp;"GCP",'E11 - 2013 09 Final'!$A$46:$P$1775,C$79,FALSE)</f>
        <v>374886</v>
      </c>
      <c r="D82" s="82">
        <f>VLOOKUP($A82&amp;"GCP",'E11 - 2013 09 Final'!$A$46:$P$1775,D$79,FALSE)</f>
        <v>398989</v>
      </c>
      <c r="E82" s="82">
        <f>VLOOKUP($A82&amp;"GCP",'E11 - 2013 09 Final'!$A$46:$P$1775,E$79,FALSE)</f>
        <v>342129</v>
      </c>
      <c r="F82" s="82">
        <f>VLOOKUP($A82&amp;"GCP",'E11 - 2013 09 Final'!$A$46:$P$1775,F$79,FALSE)</f>
        <v>373383</v>
      </c>
      <c r="G82" s="82">
        <f>VLOOKUP($A82&amp;"GCP",'E11 - 2013 09 Final'!$A$46:$P$1775,G$79,FALSE)</f>
        <v>379168</v>
      </c>
      <c r="H82" s="82">
        <f>VLOOKUP($A82&amp;"GCP",'E11 - 2013 09 Final'!$A$46:$P$1775,H$79,FALSE)</f>
        <v>386503</v>
      </c>
      <c r="I82" s="82">
        <f>VLOOKUP($A82&amp;"GCP",'E11 - 2013 09 Final'!$A$46:$P$1775,I$79,FALSE)</f>
        <v>381032</v>
      </c>
      <c r="J82" s="82">
        <f>VLOOKUP($A82&amp;"GCP",'E11 - 2013 09 Final'!$A$46:$P$1775,J$79,FALSE)</f>
        <v>392308</v>
      </c>
      <c r="K82" s="82">
        <f>VLOOKUP($A82&amp;"GCP",'E11 - 2013 09 Final'!$A$46:$P$1775,K$79,FALSE)</f>
        <v>416826</v>
      </c>
      <c r="L82" s="82">
        <f>VLOOKUP($A82&amp;"GCP",'E11 - 2013 09 Final'!$A$46:$P$1775,L$79,FALSE)</f>
        <v>368642</v>
      </c>
      <c r="M82" s="82">
        <f>VLOOKUP($A82&amp;"GCP",'E11 - 2013 09 Final'!$A$46:$P$1775,M$79,FALSE)</f>
        <v>373453</v>
      </c>
      <c r="N82" s="82">
        <f>VLOOKUP($A82&amp;"GCP",'E11 - 2013 09 Final'!$A$46:$P$1775,N$79,FALSE)</f>
        <v>374946</v>
      </c>
      <c r="O82" s="44">
        <f t="shared" ref="O82:O89" si="21">SUM(C82:N82)</f>
        <v>4562265</v>
      </c>
      <c r="P82" s="11">
        <f>MAX(C82:N82)</f>
        <v>416826</v>
      </c>
    </row>
    <row r="83" spans="1:16">
      <c r="A83" t="s">
        <v>177</v>
      </c>
      <c r="B83" s="43" t="s">
        <v>85</v>
      </c>
      <c r="C83" s="82">
        <f>VLOOKUP($A83&amp;"GCP",'E11 - 2013 09 Final'!$A$46:$P$1775,C$79,FALSE)</f>
        <v>24910</v>
      </c>
      <c r="D83" s="82">
        <f>VLOOKUP($A83&amp;"GCP",'E11 - 2013 09 Final'!$A$46:$P$1775,D$79,FALSE)</f>
        <v>26264</v>
      </c>
      <c r="E83" s="82">
        <f>VLOOKUP($A83&amp;"GCP",'E11 - 2013 09 Final'!$A$46:$P$1775,E$79,FALSE)</f>
        <v>22751</v>
      </c>
      <c r="F83" s="82">
        <f>VLOOKUP($A83&amp;"GCP",'E11 - 2013 09 Final'!$A$46:$P$1775,F$79,FALSE)</f>
        <v>25352</v>
      </c>
      <c r="G83" s="82">
        <f>VLOOKUP($A83&amp;"GCP",'E11 - 2013 09 Final'!$A$46:$P$1775,G$79,FALSE)</f>
        <v>25091</v>
      </c>
      <c r="H83" s="82">
        <f>VLOOKUP($A83&amp;"GCP",'E11 - 2013 09 Final'!$A$46:$P$1775,H$79,FALSE)</f>
        <v>26367</v>
      </c>
      <c r="I83" s="82">
        <f>VLOOKUP($A83&amp;"GCP",'E11 - 2013 09 Final'!$A$46:$P$1775,I$79,FALSE)</f>
        <v>25681</v>
      </c>
      <c r="J83" s="82">
        <f>VLOOKUP($A83&amp;"GCP",'E11 - 2013 09 Final'!$A$46:$P$1775,J$79,FALSE)</f>
        <v>26051</v>
      </c>
      <c r="K83" s="82">
        <f>VLOOKUP($A83&amp;"GCP",'E11 - 2013 09 Final'!$A$46:$P$1775,K$79,FALSE)</f>
        <v>28011</v>
      </c>
      <c r="L83" s="82">
        <f>VLOOKUP($A83&amp;"GCP",'E11 - 2013 09 Final'!$A$46:$P$1775,L$79,FALSE)</f>
        <v>25175</v>
      </c>
      <c r="M83" s="82">
        <f>VLOOKUP($A83&amp;"GCP",'E11 - 2013 09 Final'!$A$46:$P$1775,M$79,FALSE)</f>
        <v>25271</v>
      </c>
      <c r="N83" s="82">
        <f>VLOOKUP($A83&amp;"GCP",'E11 - 2013 09 Final'!$A$46:$P$1775,N$79,FALSE)</f>
        <v>25532</v>
      </c>
      <c r="O83" s="44">
        <f t="shared" si="21"/>
        <v>306456</v>
      </c>
      <c r="P83" s="11">
        <f t="shared" ref="P83:P98" si="22">MAX(C83:N83)</f>
        <v>28011</v>
      </c>
    </row>
    <row r="84" spans="1:16">
      <c r="A84" t="s">
        <v>185</v>
      </c>
      <c r="B84" s="43" t="s">
        <v>50</v>
      </c>
      <c r="C84" s="82">
        <f>VLOOKUP($A84&amp;"GCP",'E11 - 2013 09 Final'!$A$46:$P$1775,C$79,FALSE)</f>
        <v>172733</v>
      </c>
      <c r="D84" s="82">
        <f>VLOOKUP($A84&amp;"GCP",'E11 - 2013 09 Final'!$A$46:$P$1775,D$79,FALSE)</f>
        <v>171789</v>
      </c>
      <c r="E84" s="82">
        <f>VLOOKUP($A84&amp;"GCP",'E11 - 2013 09 Final'!$A$46:$P$1775,E$79,FALSE)</f>
        <v>166606</v>
      </c>
      <c r="F84" s="82">
        <f>VLOOKUP($A84&amp;"GCP",'E11 - 2013 09 Final'!$A$46:$P$1775,F$79,FALSE)</f>
        <v>166730</v>
      </c>
      <c r="G84" s="82">
        <f>VLOOKUP($A84&amp;"GCP",'E11 - 2013 09 Final'!$A$46:$P$1775,G$79,FALSE)</f>
        <v>175094</v>
      </c>
      <c r="H84" s="82">
        <f>VLOOKUP($A84&amp;"GCP",'E11 - 2013 09 Final'!$A$46:$P$1775,H$79,FALSE)</f>
        <v>181842</v>
      </c>
      <c r="I84" s="82">
        <f>VLOOKUP($A84&amp;"GCP",'E11 - 2013 09 Final'!$A$46:$P$1775,I$79,FALSE)</f>
        <v>180847</v>
      </c>
      <c r="J84" s="82">
        <f>VLOOKUP($A84&amp;"GCP",'E11 - 2013 09 Final'!$A$46:$P$1775,J$79,FALSE)</f>
        <v>190332</v>
      </c>
      <c r="K84" s="82">
        <f>VLOOKUP($A84&amp;"GCP",'E11 - 2013 09 Final'!$A$46:$P$1775,K$79,FALSE)</f>
        <v>184543</v>
      </c>
      <c r="L84" s="82">
        <f>VLOOKUP($A84&amp;"GCP",'E11 - 2013 09 Final'!$A$46:$P$1775,L$79,FALSE)</f>
        <v>167631</v>
      </c>
      <c r="M84" s="82">
        <f>VLOOKUP($A84&amp;"GCP",'E11 - 2013 09 Final'!$A$46:$P$1775,M$79,FALSE)</f>
        <v>177380</v>
      </c>
      <c r="N84" s="82">
        <f>VLOOKUP($A84&amp;"GCP",'E11 - 2013 09 Final'!$A$46:$P$1775,N$79,FALSE)</f>
        <v>168654</v>
      </c>
      <c r="O84" s="44">
        <f t="shared" si="21"/>
        <v>2104181</v>
      </c>
      <c r="P84" s="11">
        <f t="shared" si="22"/>
        <v>190332</v>
      </c>
    </row>
    <row r="85" spans="1:16">
      <c r="A85" t="s">
        <v>632</v>
      </c>
      <c r="B85" s="43" t="s">
        <v>49</v>
      </c>
      <c r="C85" s="82">
        <f>VLOOKUP($A85&amp;"GCP",'E11 - 2013 09 Final'!$A$46:$P$1775,C$79,FALSE)</f>
        <v>979569</v>
      </c>
      <c r="D85" s="82">
        <f>VLOOKUP($A85&amp;"GCP",'E11 - 2013 09 Final'!$A$46:$P$1775,D$79,FALSE)</f>
        <v>1054849</v>
      </c>
      <c r="E85" s="82">
        <f>VLOOKUP($A85&amp;"GCP",'E11 - 2013 09 Final'!$A$46:$P$1775,E$79,FALSE)</f>
        <v>886639</v>
      </c>
      <c r="F85" s="82">
        <f>VLOOKUP($A85&amp;"GCP",'E11 - 2013 09 Final'!$A$46:$P$1775,F$79,FALSE)</f>
        <v>1081166</v>
      </c>
      <c r="G85" s="82">
        <f>VLOOKUP($A85&amp;"GCP",'E11 - 2013 09 Final'!$A$46:$P$1775,G$79,FALSE)</f>
        <v>1135987</v>
      </c>
      <c r="H85" s="82">
        <f>VLOOKUP($A85&amp;"GCP",'E11 - 2013 09 Final'!$A$46:$P$1775,H$79,FALSE)</f>
        <v>1188137</v>
      </c>
      <c r="I85" s="82">
        <f>VLOOKUP($A85&amp;"GCP",'E11 - 2013 09 Final'!$A$46:$P$1775,I$79,FALSE)</f>
        <v>1215462</v>
      </c>
      <c r="J85" s="82">
        <f>VLOOKUP($A85&amp;"GCP",'E11 - 2013 09 Final'!$A$46:$P$1775,J$79,FALSE)</f>
        <v>1234954</v>
      </c>
      <c r="K85" s="82">
        <f>VLOOKUP($A85&amp;"GCP",'E11 - 2013 09 Final'!$A$46:$P$1775,K$79,FALSE)</f>
        <v>1363722</v>
      </c>
      <c r="L85" s="82">
        <f>VLOOKUP($A85&amp;"GCP",'E11 - 2013 09 Final'!$A$46:$P$1775,L$79,FALSE)</f>
        <v>1173059</v>
      </c>
      <c r="M85" s="82">
        <f>VLOOKUP($A85&amp;"GCP",'E11 - 2013 09 Final'!$A$46:$P$1775,M$79,FALSE)</f>
        <v>1141850</v>
      </c>
      <c r="N85" s="82">
        <f>VLOOKUP($A85&amp;"GCP",'E11 - 2013 09 Final'!$A$46:$P$1775,N$79,FALSE)</f>
        <v>1106222</v>
      </c>
      <c r="O85" s="44">
        <f t="shared" si="21"/>
        <v>13561616</v>
      </c>
      <c r="P85" s="11">
        <f t="shared" si="22"/>
        <v>1363722</v>
      </c>
    </row>
    <row r="86" spans="1:16">
      <c r="A86" t="s">
        <v>640</v>
      </c>
      <c r="B86" s="46" t="s">
        <v>325</v>
      </c>
      <c r="C86" s="82">
        <f>VLOOKUP($A86&amp;"GCP",'E11 - 2013 09 Final'!$A$46:$P$1775,C$79,FALSE)</f>
        <v>2993</v>
      </c>
      <c r="D86" s="82">
        <f>VLOOKUP($A86&amp;"GCP",'E11 - 2013 09 Final'!$A$46:$P$1775,D$79,FALSE)</f>
        <v>3078</v>
      </c>
      <c r="E86" s="82">
        <f>VLOOKUP($A86&amp;"GCP",'E11 - 2013 09 Final'!$A$46:$P$1775,E$79,FALSE)</f>
        <v>2685</v>
      </c>
      <c r="F86" s="82">
        <f>VLOOKUP($A86&amp;"GCP",'E11 - 2013 09 Final'!$A$46:$P$1775,F$79,FALSE)</f>
        <v>2865</v>
      </c>
      <c r="G86" s="82">
        <f>VLOOKUP($A86&amp;"GCP",'E11 - 2013 09 Final'!$A$46:$P$1775,G$79,FALSE)</f>
        <v>2759</v>
      </c>
      <c r="H86" s="82">
        <f>VLOOKUP($A86&amp;"GCP",'E11 - 2013 09 Final'!$A$46:$P$1775,H$79,FALSE)</f>
        <v>5888</v>
      </c>
      <c r="I86" s="82">
        <f>VLOOKUP($A86&amp;"GCP",'E11 - 2013 09 Final'!$A$46:$P$1775,I$79,FALSE)</f>
        <v>6576</v>
      </c>
      <c r="J86" s="82">
        <f>VLOOKUP($A86&amp;"GCP",'E11 - 2013 09 Final'!$A$46:$P$1775,J$79,FALSE)</f>
        <v>6672</v>
      </c>
      <c r="K86" s="82">
        <f>VLOOKUP($A86&amp;"GCP",'E11 - 2013 09 Final'!$A$46:$P$1775,K$79,FALSE)</f>
        <v>6841</v>
      </c>
      <c r="L86" s="82">
        <f>VLOOKUP($A86&amp;"GCP",'E11 - 2013 09 Final'!$A$46:$P$1775,L$79,FALSE)</f>
        <v>1215</v>
      </c>
      <c r="M86" s="82">
        <f>VLOOKUP($A86&amp;"GCP",'E11 - 2013 09 Final'!$A$46:$P$1775,M$79,FALSE)</f>
        <v>1204</v>
      </c>
      <c r="N86" s="82">
        <f>VLOOKUP($A86&amp;"GCP",'E11 - 2013 09 Final'!$A$46:$P$1775,N$79,FALSE)</f>
        <v>1222</v>
      </c>
      <c r="O86" s="44">
        <f t="shared" si="21"/>
        <v>43998</v>
      </c>
      <c r="P86" s="11">
        <f t="shared" si="22"/>
        <v>6841</v>
      </c>
    </row>
    <row r="87" spans="1:16">
      <c r="A87" t="s">
        <v>994</v>
      </c>
      <c r="B87" s="43" t="s">
        <v>67</v>
      </c>
      <c r="C87" s="82">
        <f>VLOOKUP($A87&amp;"GCP",'E11 - 2013 09 Final'!$A$46:$P$1775,C$79,FALSE)</f>
        <v>3718687</v>
      </c>
      <c r="D87" s="82">
        <f>VLOOKUP($A87&amp;"GCP",'E11 - 2013 09 Final'!$A$46:$P$1775,D$79,FALSE)</f>
        <v>4029480</v>
      </c>
      <c r="E87" s="82">
        <f>VLOOKUP($A87&amp;"GCP",'E11 - 2013 09 Final'!$A$46:$P$1775,E$79,FALSE)</f>
        <v>3443746</v>
      </c>
      <c r="F87" s="82">
        <f>VLOOKUP($A87&amp;"GCP",'E11 - 2013 09 Final'!$A$46:$P$1775,F$79,FALSE)</f>
        <v>3834841</v>
      </c>
      <c r="G87" s="82">
        <f>VLOOKUP($A87&amp;"GCP",'E11 - 2013 09 Final'!$A$46:$P$1775,G$79,FALSE)</f>
        <v>4056388</v>
      </c>
      <c r="H87" s="82">
        <f>VLOOKUP($A87&amp;"GCP",'E11 - 2013 09 Final'!$A$46:$P$1775,H$79,FALSE)</f>
        <v>4252129</v>
      </c>
      <c r="I87" s="82">
        <f>VLOOKUP($A87&amp;"GCP",'E11 - 2013 09 Final'!$A$46:$P$1775,I$79,FALSE)</f>
        <v>4222956</v>
      </c>
      <c r="J87" s="82">
        <f>VLOOKUP($A87&amp;"GCP",'E11 - 2013 09 Final'!$A$46:$P$1775,J$79,FALSE)</f>
        <v>4408520</v>
      </c>
      <c r="K87" s="82">
        <f>VLOOKUP($A87&amp;"GCP",'E11 - 2013 09 Final'!$A$46:$P$1775,K$79,FALSE)</f>
        <v>4754302</v>
      </c>
      <c r="L87" s="82">
        <f>VLOOKUP($A87&amp;"GCP",'E11 - 2013 09 Final'!$A$46:$P$1775,L$79,FALSE)</f>
        <v>4139363</v>
      </c>
      <c r="M87" s="82">
        <f>VLOOKUP($A87&amp;"GCP",'E11 - 2013 09 Final'!$A$46:$P$1775,M$79,FALSE)</f>
        <v>4138085</v>
      </c>
      <c r="N87" s="82">
        <f>VLOOKUP($A87&amp;"GCP",'E11 - 2013 09 Final'!$A$46:$P$1775,N$79,FALSE)</f>
        <v>3954194</v>
      </c>
      <c r="O87" s="44">
        <f t="shared" si="21"/>
        <v>48952691</v>
      </c>
      <c r="P87" s="11">
        <f t="shared" si="22"/>
        <v>4754302</v>
      </c>
    </row>
    <row r="88" spans="1:16">
      <c r="A88" t="s">
        <v>997</v>
      </c>
      <c r="B88" s="43" t="s">
        <v>68</v>
      </c>
      <c r="C88" s="82">
        <f>VLOOKUP($A88&amp;"GCP",'E11 - 2013 09 Final'!$A$46:$P$1775,C$79,FALSE)</f>
        <v>1717389</v>
      </c>
      <c r="D88" s="82">
        <f>VLOOKUP($A88&amp;"GCP",'E11 - 2013 09 Final'!$A$46:$P$1775,D$79,FALSE)</f>
        <v>1854537</v>
      </c>
      <c r="E88" s="82">
        <f>VLOOKUP($A88&amp;"GCP",'E11 - 2013 09 Final'!$A$46:$P$1775,E$79,FALSE)</f>
        <v>1620765</v>
      </c>
      <c r="F88" s="82">
        <f>VLOOKUP($A88&amp;"GCP",'E11 - 2013 09 Final'!$A$46:$P$1775,F$79,FALSE)</f>
        <v>1681831</v>
      </c>
      <c r="G88" s="82">
        <f>VLOOKUP($A88&amp;"GCP",'E11 - 2013 09 Final'!$A$46:$P$1775,G$79,FALSE)</f>
        <v>1788105</v>
      </c>
      <c r="H88" s="82">
        <f>VLOOKUP($A88&amp;"GCP",'E11 - 2013 09 Final'!$A$46:$P$1775,H$79,FALSE)</f>
        <v>1786484</v>
      </c>
      <c r="I88" s="82">
        <f>VLOOKUP($A88&amp;"GCP",'E11 - 2013 09 Final'!$A$46:$P$1775,I$79,FALSE)</f>
        <v>1741315</v>
      </c>
      <c r="J88" s="82">
        <f>VLOOKUP($A88&amp;"GCP",'E11 - 2013 09 Final'!$A$46:$P$1775,J$79,FALSE)</f>
        <v>1872146</v>
      </c>
      <c r="K88" s="82">
        <f>VLOOKUP($A88&amp;"GCP",'E11 - 2013 09 Final'!$A$46:$P$1775,K$79,FALSE)</f>
        <v>2065260</v>
      </c>
      <c r="L88" s="82">
        <f>VLOOKUP($A88&amp;"GCP",'E11 - 2013 09 Final'!$A$46:$P$1775,L$79,FALSE)</f>
        <v>1793082</v>
      </c>
      <c r="M88" s="82">
        <f>VLOOKUP($A88&amp;"GCP",'E11 - 2013 09 Final'!$A$46:$P$1775,M$79,FALSE)</f>
        <v>1841255</v>
      </c>
      <c r="N88" s="82">
        <f>VLOOKUP($A88&amp;"GCP",'E11 - 2013 09 Final'!$A$46:$P$1775,N$79,FALSE)</f>
        <v>1841312</v>
      </c>
      <c r="O88" s="44">
        <f t="shared" si="21"/>
        <v>21603481</v>
      </c>
      <c r="P88" s="11">
        <f t="shared" si="22"/>
        <v>2065260</v>
      </c>
    </row>
    <row r="89" spans="1:16">
      <c r="A89" t="s">
        <v>713</v>
      </c>
      <c r="B89" s="43" t="s">
        <v>69</v>
      </c>
      <c r="C89" s="82">
        <f>VLOOKUP($A89&amp;"GCP",'E11 - 2013 09 Final'!$A$46:$P$1775,C$79,FALSE)</f>
        <v>335977</v>
      </c>
      <c r="D89" s="82">
        <f>VLOOKUP($A89&amp;"GCP",'E11 - 2013 09 Final'!$A$46:$P$1775,D$79,FALSE)</f>
        <v>357286</v>
      </c>
      <c r="E89" s="82">
        <f>VLOOKUP($A89&amp;"GCP",'E11 - 2013 09 Final'!$A$46:$P$1775,E$79,FALSE)</f>
        <v>307137</v>
      </c>
      <c r="F89" s="82">
        <f>VLOOKUP($A89&amp;"GCP",'E11 - 2013 09 Final'!$A$46:$P$1775,F$79,FALSE)</f>
        <v>331800</v>
      </c>
      <c r="G89" s="82">
        <f>VLOOKUP($A89&amp;"GCP",'E11 - 2013 09 Final'!$A$46:$P$1775,G$79,FALSE)</f>
        <v>336676</v>
      </c>
      <c r="H89" s="82">
        <f>VLOOKUP($A89&amp;"GCP",'E11 - 2013 09 Final'!$A$46:$P$1775,H$79,FALSE)</f>
        <v>358396</v>
      </c>
      <c r="I89" s="82">
        <f>VLOOKUP($A89&amp;"GCP",'E11 - 2013 09 Final'!$A$46:$P$1775,I$79,FALSE)</f>
        <v>350386</v>
      </c>
      <c r="J89" s="82">
        <f>VLOOKUP($A89&amp;"GCP",'E11 - 2013 09 Final'!$A$46:$P$1775,J$79,FALSE)</f>
        <v>364018</v>
      </c>
      <c r="K89" s="82">
        <f>VLOOKUP($A89&amp;"GCP",'E11 - 2013 09 Final'!$A$46:$P$1775,K$79,FALSE)</f>
        <v>377895</v>
      </c>
      <c r="L89" s="82">
        <f>VLOOKUP($A89&amp;"GCP",'E11 - 2013 09 Final'!$A$46:$P$1775,L$79,FALSE)</f>
        <v>334595</v>
      </c>
      <c r="M89" s="82">
        <f>VLOOKUP($A89&amp;"GCP",'E11 - 2013 09 Final'!$A$46:$P$1775,M$79,FALSE)</f>
        <v>345990</v>
      </c>
      <c r="N89" s="82">
        <f>VLOOKUP($A89&amp;"GCP",'E11 - 2013 09 Final'!$A$46:$P$1775,N$79,FALSE)</f>
        <v>344823</v>
      </c>
      <c r="O89" s="44">
        <f t="shared" si="21"/>
        <v>4144979</v>
      </c>
      <c r="P89" s="11">
        <f t="shared" si="22"/>
        <v>377895</v>
      </c>
    </row>
    <row r="90" spans="1:16">
      <c r="A90" t="s">
        <v>717</v>
      </c>
      <c r="B90" s="43" t="s">
        <v>52</v>
      </c>
      <c r="C90" s="82">
        <f>VLOOKUP($A90&amp;"GCP",'E11 - 2013 09 Final'!$A$46:$P$1775,C$79,FALSE)</f>
        <v>31544</v>
      </c>
      <c r="D90" s="82">
        <f>VLOOKUP($A90&amp;"GCP",'E11 - 2013 09 Final'!$A$46:$P$1775,D$79,FALSE)</f>
        <v>29139</v>
      </c>
      <c r="E90" s="82">
        <f>VLOOKUP($A90&amp;"GCP",'E11 - 2013 09 Final'!$A$46:$P$1775,E$79,FALSE)</f>
        <v>29955</v>
      </c>
      <c r="F90" s="82">
        <f>VLOOKUP($A90&amp;"GCP",'E11 - 2013 09 Final'!$A$46:$P$1775,F$79,FALSE)</f>
        <v>31101</v>
      </c>
      <c r="G90" s="82">
        <f>VLOOKUP($A90&amp;"GCP",'E11 - 2013 09 Final'!$A$46:$P$1775,G$79,FALSE)</f>
        <v>26108</v>
      </c>
      <c r="H90" s="82">
        <f>VLOOKUP($A90&amp;"GCP",'E11 - 2013 09 Final'!$A$46:$P$1775,H$79,FALSE)</f>
        <v>28619</v>
      </c>
      <c r="I90" s="82">
        <f>VLOOKUP($A90&amp;"GCP",'E11 - 2013 09 Final'!$A$46:$P$1775,I$79,FALSE)</f>
        <v>23434</v>
      </c>
      <c r="J90" s="82">
        <f>VLOOKUP($A90&amp;"GCP",'E11 - 2013 09 Final'!$A$46:$P$1775,J$79,FALSE)</f>
        <v>26355</v>
      </c>
      <c r="K90" s="82">
        <f>VLOOKUP($A90&amp;"GCP",'E11 - 2013 09 Final'!$A$46:$P$1775,K$79,FALSE)</f>
        <v>23617</v>
      </c>
      <c r="L90" s="82">
        <f>VLOOKUP($A90&amp;"GCP",'E11 - 2013 09 Final'!$A$46:$P$1775,L$79,FALSE)</f>
        <v>22934</v>
      </c>
      <c r="M90" s="82">
        <f>VLOOKUP($A90&amp;"GCP",'E11 - 2013 09 Final'!$A$46:$P$1775,M$79,FALSE)</f>
        <v>21354</v>
      </c>
      <c r="N90" s="82">
        <f>VLOOKUP($A90&amp;"GCP",'E11 - 2013 09 Final'!$A$46:$P$1775,N$79,FALSE)</f>
        <v>25855</v>
      </c>
      <c r="O90" s="44">
        <f>SUM(C90:N90)</f>
        <v>320015</v>
      </c>
      <c r="P90" s="11">
        <f t="shared" si="22"/>
        <v>31544</v>
      </c>
    </row>
    <row r="91" spans="1:16">
      <c r="A91" t="s">
        <v>15</v>
      </c>
      <c r="B91" s="206" t="s">
        <v>15</v>
      </c>
      <c r="C91" s="82">
        <f>VLOOKUP($A91&amp;"GCP",'E11 - 2013 09 Final'!$A$46:$P$1775,C$79,FALSE)</f>
        <v>14286</v>
      </c>
      <c r="D91" s="82">
        <f>VLOOKUP($A91&amp;"GCP",'E11 - 2013 09 Final'!$A$46:$P$1775,D$79,FALSE)</f>
        <v>14969</v>
      </c>
      <c r="E91" s="82">
        <f>VLOOKUP($A91&amp;"GCP",'E11 - 2013 09 Final'!$A$46:$P$1775,E$79,FALSE)</f>
        <v>14705</v>
      </c>
      <c r="F91" s="82">
        <f>VLOOKUP($A91&amp;"GCP",'E11 - 2013 09 Final'!$A$46:$P$1775,F$79,FALSE)</f>
        <v>15329</v>
      </c>
      <c r="G91" s="82">
        <f>VLOOKUP($A91&amp;"GCP",'E11 - 2013 09 Final'!$A$46:$P$1775,G$79,FALSE)</f>
        <v>15435</v>
      </c>
      <c r="H91" s="82">
        <f>VLOOKUP($A91&amp;"GCP",'E11 - 2013 09 Final'!$A$46:$P$1775,H$79,FALSE)</f>
        <v>16812</v>
      </c>
      <c r="I91" s="82">
        <f>VLOOKUP($A91&amp;"GCP",'E11 - 2013 09 Final'!$A$46:$P$1775,I$79,FALSE)</f>
        <v>16534</v>
      </c>
      <c r="J91" s="82">
        <f>VLOOKUP($A91&amp;"GCP",'E11 - 2013 09 Final'!$A$46:$P$1775,J$79,FALSE)</f>
        <v>16130</v>
      </c>
      <c r="K91" s="82">
        <f>VLOOKUP($A91&amp;"GCP",'E11 - 2013 09 Final'!$A$46:$P$1775,K$79,FALSE)</f>
        <v>16209</v>
      </c>
      <c r="L91" s="82">
        <f>VLOOKUP($A91&amp;"GCP",'E11 - 2013 09 Final'!$A$46:$P$1775,L$79,FALSE)</f>
        <v>15763</v>
      </c>
      <c r="M91" s="82">
        <f>VLOOKUP($A91&amp;"GCP",'E11 - 2013 09 Final'!$A$46:$P$1775,M$79,FALSE)</f>
        <v>15498</v>
      </c>
      <c r="N91" s="82">
        <f>VLOOKUP($A91&amp;"GCP",'E11 - 2013 09 Final'!$A$46:$P$1775,N$79,FALSE)</f>
        <v>15727</v>
      </c>
      <c r="O91" s="44">
        <f>SUM(C91:N91)</f>
        <v>187397</v>
      </c>
      <c r="P91" s="11">
        <f t="shared" si="22"/>
        <v>16812</v>
      </c>
    </row>
    <row r="92" spans="1:16">
      <c r="A92" t="s">
        <v>19</v>
      </c>
      <c r="B92" s="43" t="s">
        <v>56</v>
      </c>
      <c r="C92" s="82">
        <f>VLOOKUP($A92&amp;"GCP",'E11 - 2013 09 Final'!$A$46:$P$1775,C$79,FALSE)</f>
        <v>20401</v>
      </c>
      <c r="D92" s="82">
        <f>VLOOKUP($A92&amp;"GCP",'E11 - 2013 09 Final'!$A$46:$P$1775,D$79,FALSE)</f>
        <v>23508</v>
      </c>
      <c r="E92" s="82">
        <f>VLOOKUP($A92&amp;"GCP",'E11 - 2013 09 Final'!$A$46:$P$1775,E$79,FALSE)</f>
        <v>22720</v>
      </c>
      <c r="F92" s="82">
        <f>VLOOKUP($A92&amp;"GCP",'E11 - 2013 09 Final'!$A$46:$P$1775,F$79,FALSE)</f>
        <v>24943</v>
      </c>
      <c r="G92" s="82">
        <f>VLOOKUP($A92&amp;"GCP",'E11 - 2013 09 Final'!$A$46:$P$1775,G$79,FALSE)</f>
        <v>25372</v>
      </c>
      <c r="H92" s="82">
        <f>VLOOKUP($A92&amp;"GCP",'E11 - 2013 09 Final'!$A$46:$P$1775,H$79,FALSE)</f>
        <v>27183</v>
      </c>
      <c r="I92" s="82">
        <f>VLOOKUP($A92&amp;"GCP",'E11 - 2013 09 Final'!$A$46:$P$1775,I$79,FALSE)</f>
        <v>25980</v>
      </c>
      <c r="J92" s="82">
        <f>VLOOKUP($A92&amp;"GCP",'E11 - 2013 09 Final'!$A$46:$P$1775,J$79,FALSE)</f>
        <v>24928</v>
      </c>
      <c r="K92" s="82">
        <f>VLOOKUP($A92&amp;"GCP",'E11 - 2013 09 Final'!$A$46:$P$1775,K$79,FALSE)</f>
        <v>23906</v>
      </c>
      <c r="L92" s="82">
        <f>VLOOKUP($A92&amp;"GCP",'E11 - 2013 09 Final'!$A$46:$P$1775,L$79,FALSE)</f>
        <v>21779</v>
      </c>
      <c r="M92" s="82">
        <f>VLOOKUP($A92&amp;"GCP",'E11 - 2013 09 Final'!$A$46:$P$1775,M$79,FALSE)</f>
        <v>21313</v>
      </c>
      <c r="N92" s="82">
        <f>VLOOKUP($A92&amp;"GCP",'E11 - 2013 09 Final'!$A$46:$P$1775,N$79,FALSE)</f>
        <v>20130</v>
      </c>
      <c r="O92" s="44">
        <f>SUM(C92:N92)</f>
        <v>282163</v>
      </c>
      <c r="P92" s="11">
        <f t="shared" si="22"/>
        <v>27183</v>
      </c>
    </row>
    <row r="93" spans="1:16">
      <c r="A93" t="s">
        <v>22</v>
      </c>
      <c r="B93" s="43" t="s">
        <v>57</v>
      </c>
      <c r="C93" s="82">
        <f>VLOOKUP($A93&amp;"GCP",'E11 - 2013 09 Final'!$A$46:$P$1775,C$79,FALSE)</f>
        <v>8085</v>
      </c>
      <c r="D93" s="82">
        <f>VLOOKUP($A93&amp;"GCP",'E11 - 2013 09 Final'!$A$46:$P$1775,D$79,FALSE)</f>
        <v>11996</v>
      </c>
      <c r="E93" s="82">
        <f>VLOOKUP($A93&amp;"GCP",'E11 - 2013 09 Final'!$A$46:$P$1775,E$79,FALSE)</f>
        <v>12719</v>
      </c>
      <c r="F93" s="82">
        <f>VLOOKUP($A93&amp;"GCP",'E11 - 2013 09 Final'!$A$46:$P$1775,F$79,FALSE)</f>
        <v>9543</v>
      </c>
      <c r="G93" s="82">
        <f>VLOOKUP($A93&amp;"GCP",'E11 - 2013 09 Final'!$A$46:$P$1775,G$79,FALSE)</f>
        <v>8577</v>
      </c>
      <c r="H93" s="82">
        <f>VLOOKUP($A93&amp;"GCP",'E11 - 2013 09 Final'!$A$46:$P$1775,H$79,FALSE)</f>
        <v>6160</v>
      </c>
      <c r="I93" s="82">
        <f>VLOOKUP($A93&amp;"GCP",'E11 - 2013 09 Final'!$A$46:$P$1775,I$79,FALSE)</f>
        <v>5574</v>
      </c>
      <c r="J93" s="82">
        <f>VLOOKUP($A93&amp;"GCP",'E11 - 2013 09 Final'!$A$46:$P$1775,J$79,FALSE)</f>
        <v>6435</v>
      </c>
      <c r="K93" s="82">
        <f>VLOOKUP($A93&amp;"GCP",'E11 - 2013 09 Final'!$A$46:$P$1775,K$79,FALSE)</f>
        <v>9318</v>
      </c>
      <c r="L93" s="82">
        <f>VLOOKUP($A93&amp;"GCP",'E11 - 2013 09 Final'!$A$46:$P$1775,L$79,FALSE)</f>
        <v>9720</v>
      </c>
      <c r="M93" s="82">
        <f>VLOOKUP($A93&amp;"GCP",'E11 - 2013 09 Final'!$A$46:$P$1775,M$79,FALSE)</f>
        <v>12201</v>
      </c>
      <c r="N93" s="82">
        <f>VLOOKUP($A93&amp;"GCP",'E11 - 2013 09 Final'!$A$46:$P$1775,N$79,FALSE)</f>
        <v>10220</v>
      </c>
      <c r="O93" s="44">
        <f t="shared" ref="O93:O98" si="23">SUM(C93:N93)</f>
        <v>110548</v>
      </c>
      <c r="P93" s="11">
        <f t="shared" si="22"/>
        <v>12719</v>
      </c>
    </row>
    <row r="94" spans="1:16">
      <c r="A94" t="s">
        <v>687</v>
      </c>
      <c r="B94" s="43" t="s">
        <v>48</v>
      </c>
      <c r="C94" s="82">
        <f>VLOOKUP($A94&amp;"GCP",'E11 - 2013 09 Final'!$A$46:$P$1775,C$79,FALSE)</f>
        <v>8291154</v>
      </c>
      <c r="D94" s="82">
        <f>VLOOKUP($A94&amp;"GCP",'E11 - 2013 09 Final'!$A$46:$P$1775,D$79,FALSE)</f>
        <v>9241469</v>
      </c>
      <c r="E94" s="82">
        <f>VLOOKUP($A94&amp;"GCP",'E11 - 2013 09 Final'!$A$46:$P$1775,E$79,FALSE)</f>
        <v>8720911</v>
      </c>
      <c r="F94" s="82">
        <f>VLOOKUP($A94&amp;"GCP",'E11 - 2013 09 Final'!$A$46:$P$1775,F$79,FALSE)</f>
        <v>9049227</v>
      </c>
      <c r="G94" s="82">
        <f>VLOOKUP($A94&amp;"GCP",'E11 - 2013 09 Final'!$A$46:$P$1775,G$79,FALSE)</f>
        <v>10398686</v>
      </c>
      <c r="H94" s="82">
        <f>VLOOKUP($A94&amp;"GCP",'E11 - 2013 09 Final'!$A$46:$P$1775,H$79,FALSE)</f>
        <v>10930175</v>
      </c>
      <c r="I94" s="82">
        <f>VLOOKUP($A94&amp;"GCP",'E11 - 2013 09 Final'!$A$46:$P$1775,I$79,FALSE)</f>
        <v>11297498</v>
      </c>
      <c r="J94" s="82">
        <f>VLOOKUP($A94&amp;"GCP",'E11 - 2013 09 Final'!$A$46:$P$1775,J$79,FALSE)</f>
        <v>12065227</v>
      </c>
      <c r="K94" s="82">
        <f>VLOOKUP($A94&amp;"GCP",'E11 - 2013 09 Final'!$A$46:$P$1775,K$79,FALSE)</f>
        <v>12887259</v>
      </c>
      <c r="L94" s="82">
        <f>VLOOKUP($A94&amp;"GCP",'E11 - 2013 09 Final'!$A$46:$P$1775,L$79,FALSE)</f>
        <v>10915857</v>
      </c>
      <c r="M94" s="82">
        <f>VLOOKUP($A94&amp;"GCP",'E11 - 2013 09 Final'!$A$46:$P$1775,M$79,FALSE)</f>
        <v>9718972</v>
      </c>
      <c r="N94" s="82">
        <f>VLOOKUP($A94&amp;"GCP",'E11 - 2013 09 Final'!$A$46:$P$1775,N$79,FALSE)</f>
        <v>8585304</v>
      </c>
      <c r="O94" s="44">
        <f t="shared" si="23"/>
        <v>122101739</v>
      </c>
      <c r="P94" s="11">
        <f t="shared" si="22"/>
        <v>12887259</v>
      </c>
    </row>
    <row r="95" spans="1:16">
      <c r="A95" t="s">
        <v>35</v>
      </c>
      <c r="B95" s="43" t="s">
        <v>53</v>
      </c>
      <c r="C95" s="82">
        <f>VLOOKUP($A95&amp;"GCP",'E11 - 2013 09 Final'!$A$46:$P$1775,C$79,FALSE)</f>
        <v>101427</v>
      </c>
      <c r="D95" s="82">
        <f>VLOOKUP($A95&amp;"GCP",'E11 - 2013 09 Final'!$A$46:$P$1775,D$79,FALSE)</f>
        <v>122596</v>
      </c>
      <c r="E95" s="82">
        <f>VLOOKUP($A95&amp;"GCP",'E11 - 2013 09 Final'!$A$46:$P$1775,E$79,FALSE)</f>
        <v>113568</v>
      </c>
      <c r="F95" s="82">
        <f>VLOOKUP($A95&amp;"GCP",'E11 - 2013 09 Final'!$A$46:$P$1775,F$79,FALSE)</f>
        <v>124832</v>
      </c>
      <c r="G95" s="82">
        <f>VLOOKUP($A95&amp;"GCP",'E11 - 2013 09 Final'!$A$46:$P$1775,G$79,FALSE)</f>
        <v>131319</v>
      </c>
      <c r="H95" s="82">
        <f>VLOOKUP($A95&amp;"GCP",'E11 - 2013 09 Final'!$A$46:$P$1775,H$79,FALSE)</f>
        <v>137234</v>
      </c>
      <c r="I95" s="82">
        <f>VLOOKUP($A95&amp;"GCP",'E11 - 2013 09 Final'!$A$46:$P$1775,I$79,FALSE)</f>
        <v>112257</v>
      </c>
      <c r="J95" s="82">
        <f>VLOOKUP($A95&amp;"GCP",'E11 - 2013 09 Final'!$A$46:$P$1775,J$79,FALSE)</f>
        <v>143265</v>
      </c>
      <c r="K95" s="82">
        <f>VLOOKUP($A95&amp;"GCP",'E11 - 2013 09 Final'!$A$46:$P$1775,K$79,FALSE)</f>
        <v>124161</v>
      </c>
      <c r="L95" s="82">
        <f>VLOOKUP($A95&amp;"GCP",'E11 - 2013 09 Final'!$A$46:$P$1775,L$79,FALSE)</f>
        <v>109060</v>
      </c>
      <c r="M95" s="82">
        <f>VLOOKUP($A95&amp;"GCP",'E11 - 2013 09 Final'!$A$46:$P$1775,M$79,FALSE)</f>
        <v>109373</v>
      </c>
      <c r="N95" s="82">
        <f>VLOOKUP($A95&amp;"GCP",'E11 - 2013 09 Final'!$A$46:$P$1775,N$79,FALSE)</f>
        <v>102154</v>
      </c>
      <c r="O95" s="44">
        <f t="shared" si="23"/>
        <v>1431246</v>
      </c>
      <c r="P95" s="11">
        <f t="shared" si="22"/>
        <v>143265</v>
      </c>
    </row>
    <row r="96" spans="1:16">
      <c r="A96" t="s">
        <v>38</v>
      </c>
      <c r="B96" s="43" t="s">
        <v>55</v>
      </c>
      <c r="C96" s="82">
        <f>VLOOKUP($A96&amp;"GCP",'E11 - 2013 09 Final'!$A$46:$P$1775,C$79,FALSE)</f>
        <v>3527</v>
      </c>
      <c r="D96" s="82">
        <f>VLOOKUP($A96&amp;"GCP",'E11 - 2013 09 Final'!$A$46:$P$1775,D$79,FALSE)</f>
        <v>3908</v>
      </c>
      <c r="E96" s="82">
        <f>VLOOKUP($A96&amp;"GCP",'E11 - 2013 09 Final'!$A$46:$P$1775,E$79,FALSE)</f>
        <v>3544</v>
      </c>
      <c r="F96" s="82">
        <f>VLOOKUP($A96&amp;"GCP",'E11 - 2013 09 Final'!$A$46:$P$1775,F$79,FALSE)</f>
        <v>3655</v>
      </c>
      <c r="G96" s="82">
        <f>VLOOKUP($A96&amp;"GCP",'E11 - 2013 09 Final'!$A$46:$P$1775,G$79,FALSE)</f>
        <v>3542</v>
      </c>
      <c r="H96" s="82">
        <f>VLOOKUP($A96&amp;"GCP",'E11 - 2013 09 Final'!$A$46:$P$1775,H$79,FALSE)</f>
        <v>3199</v>
      </c>
      <c r="I96" s="82">
        <f>VLOOKUP($A96&amp;"GCP",'E11 - 2013 09 Final'!$A$46:$P$1775,I$79,FALSE)</f>
        <v>3506</v>
      </c>
      <c r="J96" s="82">
        <f>VLOOKUP($A96&amp;"GCP",'E11 - 2013 09 Final'!$A$46:$P$1775,J$79,FALSE)</f>
        <v>3512</v>
      </c>
      <c r="K96" s="82">
        <f>VLOOKUP($A96&amp;"GCP",'E11 - 2013 09 Final'!$A$46:$P$1775,K$79,FALSE)</f>
        <v>3473</v>
      </c>
      <c r="L96" s="82">
        <f>VLOOKUP($A96&amp;"GCP",'E11 - 2013 09 Final'!$A$46:$P$1775,L$79,FALSE)</f>
        <v>3507</v>
      </c>
      <c r="M96" s="82">
        <f>VLOOKUP($A96&amp;"GCP",'E11 - 2013 09 Final'!$A$46:$P$1775,M$79,FALSE)</f>
        <v>3625</v>
      </c>
      <c r="N96" s="82">
        <f>VLOOKUP($A96&amp;"GCP",'E11 - 2013 09 Final'!$A$46:$P$1775,N$79,FALSE)</f>
        <v>3517</v>
      </c>
      <c r="O96" s="44">
        <f t="shared" si="23"/>
        <v>42515</v>
      </c>
      <c r="P96" s="11">
        <f t="shared" si="22"/>
        <v>3908</v>
      </c>
    </row>
    <row r="97" spans="1:16">
      <c r="A97" t="s">
        <v>40</v>
      </c>
      <c r="B97" s="43" t="s">
        <v>87</v>
      </c>
      <c r="C97" s="82">
        <f>VLOOKUP($A97&amp;"GCP",'E11 - 2013 09 Final'!$A$46:$P$1775,C$79,FALSE)</f>
        <v>937</v>
      </c>
      <c r="D97" s="82">
        <f>VLOOKUP($A97&amp;"GCP",'E11 - 2013 09 Final'!$A$46:$P$1775,D$79,FALSE)</f>
        <v>1088</v>
      </c>
      <c r="E97" s="82">
        <f>VLOOKUP($A97&amp;"GCP",'E11 - 2013 09 Final'!$A$46:$P$1775,E$79,FALSE)</f>
        <v>3356</v>
      </c>
      <c r="F97" s="82">
        <f>VLOOKUP($A97&amp;"GCP",'E11 - 2013 09 Final'!$A$46:$P$1775,F$79,FALSE)</f>
        <v>3908</v>
      </c>
      <c r="G97" s="82">
        <f>VLOOKUP($A97&amp;"GCP",'E11 - 2013 09 Final'!$A$46:$P$1775,G$79,FALSE)</f>
        <v>3652</v>
      </c>
      <c r="H97" s="82">
        <f>VLOOKUP($A97&amp;"GCP",'E11 - 2013 09 Final'!$A$46:$P$1775,H$79,FALSE)</f>
        <v>3334</v>
      </c>
      <c r="I97" s="82">
        <f>VLOOKUP($A97&amp;"GCP",'E11 - 2013 09 Final'!$A$46:$P$1775,I$79,FALSE)</f>
        <v>4452</v>
      </c>
      <c r="J97" s="82">
        <f>VLOOKUP($A97&amp;"GCP",'E11 - 2013 09 Final'!$A$46:$P$1775,J$79,FALSE)</f>
        <v>4367</v>
      </c>
      <c r="K97" s="82">
        <f>VLOOKUP($A97&amp;"GCP",'E11 - 2013 09 Final'!$A$46:$P$1775,K$79,FALSE)</f>
        <v>4112</v>
      </c>
      <c r="L97" s="82">
        <f>VLOOKUP($A97&amp;"GCP",'E11 - 2013 09 Final'!$A$46:$P$1775,L$79,FALSE)</f>
        <v>5073</v>
      </c>
      <c r="M97" s="82">
        <f>VLOOKUP($A97&amp;"GCP",'E11 - 2013 09 Final'!$A$46:$P$1775,M$79,FALSE)</f>
        <v>3720</v>
      </c>
      <c r="N97" s="82">
        <f>VLOOKUP($A97&amp;"GCP",'E11 - 2013 09 Final'!$A$46:$P$1775,N$79,FALSE)</f>
        <v>4038</v>
      </c>
      <c r="O97" s="44">
        <f t="shared" si="23"/>
        <v>42037</v>
      </c>
      <c r="P97" s="11">
        <f t="shared" si="22"/>
        <v>5073</v>
      </c>
    </row>
    <row r="98" spans="1:16">
      <c r="A98" t="s">
        <v>45</v>
      </c>
      <c r="B98" s="43" t="s">
        <v>88</v>
      </c>
      <c r="C98" s="82">
        <f>VLOOKUP($A98&amp;"GCP",'E11 - 2013 09 Final'!$A$46:$P$1775,C$79,FALSE)</f>
        <v>21812</v>
      </c>
      <c r="D98" s="82">
        <f>VLOOKUP($A98&amp;"GCP",'E11 - 2013 09 Final'!$A$46:$P$1775,D$79,FALSE)</f>
        <v>27775</v>
      </c>
      <c r="E98" s="82">
        <f>VLOOKUP($A98&amp;"GCP",'E11 - 2013 09 Final'!$A$46:$P$1775,E$79,FALSE)</f>
        <v>40711</v>
      </c>
      <c r="F98" s="82">
        <f>VLOOKUP($A98&amp;"GCP",'E11 - 2013 09 Final'!$A$46:$P$1775,F$79,FALSE)</f>
        <v>48668</v>
      </c>
      <c r="G98" s="82">
        <f>VLOOKUP($A98&amp;"GCP",'E11 - 2013 09 Final'!$A$46:$P$1775,G$79,FALSE)</f>
        <v>37593</v>
      </c>
      <c r="H98" s="82">
        <f>VLOOKUP($A98&amp;"GCP",'E11 - 2013 09 Final'!$A$46:$P$1775,H$79,FALSE)</f>
        <v>27751</v>
      </c>
      <c r="I98" s="82">
        <f>VLOOKUP($A98&amp;"GCP",'E11 - 2013 09 Final'!$A$46:$P$1775,I$79,FALSE)</f>
        <v>22338</v>
      </c>
      <c r="J98" s="82">
        <f>VLOOKUP($A98&amp;"GCP",'E11 - 2013 09 Final'!$A$46:$P$1775,J$79,FALSE)</f>
        <v>28376</v>
      </c>
      <c r="K98" s="82">
        <f>VLOOKUP($A98&amp;"GCP",'E11 - 2013 09 Final'!$A$46:$P$1775,K$79,FALSE)</f>
        <v>49044</v>
      </c>
      <c r="L98" s="82">
        <f>VLOOKUP($A98&amp;"GCP",'E11 - 2013 09 Final'!$A$46:$P$1775,L$79,FALSE)</f>
        <v>42570</v>
      </c>
      <c r="M98" s="82">
        <f>VLOOKUP($A98&amp;"GCP",'E11 - 2013 09 Final'!$A$46:$P$1775,M$79,FALSE)</f>
        <v>34740</v>
      </c>
      <c r="N98" s="82">
        <f>VLOOKUP($A98&amp;"GCP",'E11 - 2013 09 Final'!$A$46:$P$1775,N$79,FALSE)</f>
        <v>30298</v>
      </c>
      <c r="O98" s="44">
        <f t="shared" si="23"/>
        <v>411676</v>
      </c>
      <c r="P98" s="11">
        <f t="shared" si="22"/>
        <v>49044</v>
      </c>
    </row>
    <row r="99" spans="1:16">
      <c r="C99" s="48"/>
      <c r="D99" s="48"/>
      <c r="E99" s="48"/>
      <c r="F99" s="48"/>
      <c r="G99" s="48"/>
      <c r="H99" s="48"/>
      <c r="I99" s="48"/>
      <c r="J99" s="48"/>
      <c r="K99" s="48"/>
      <c r="L99" s="48"/>
      <c r="M99" s="48"/>
      <c r="N99" s="48"/>
      <c r="O99" s="44"/>
      <c r="P99" s="11"/>
    </row>
    <row r="100" spans="1:16">
      <c r="C100" s="48"/>
      <c r="D100" s="48"/>
      <c r="E100" s="48"/>
      <c r="F100" s="48"/>
      <c r="G100" s="48"/>
      <c r="H100" s="48"/>
      <c r="I100" s="48"/>
      <c r="J100" s="48"/>
      <c r="K100" s="48"/>
      <c r="L100" s="48"/>
      <c r="M100" s="48"/>
      <c r="N100" s="48"/>
      <c r="O100" s="44"/>
      <c r="P100" s="11"/>
    </row>
    <row r="101" spans="1:16">
      <c r="B101" s="42" t="s">
        <v>86</v>
      </c>
      <c r="C101" s="10"/>
      <c r="D101" s="10"/>
      <c r="E101" s="10"/>
      <c r="F101" s="10"/>
      <c r="G101" s="10"/>
      <c r="H101" s="10"/>
      <c r="I101" s="10"/>
      <c r="J101" s="10"/>
      <c r="K101" s="10"/>
      <c r="L101" s="10"/>
      <c r="M101" s="10"/>
      <c r="N101" s="10"/>
    </row>
    <row r="102" spans="1:16">
      <c r="A102" t="s">
        <v>603</v>
      </c>
      <c r="B102" t="s">
        <v>603</v>
      </c>
      <c r="C102" s="82">
        <f>VLOOKUP($A102&amp;"GCP",'E11 - 2013 09 Final'!$A$46:$P$1775,C$79,FALSE)</f>
        <v>6529</v>
      </c>
      <c r="D102" s="82">
        <f>VLOOKUP($A102&amp;"GCP",'E11 - 2013 09 Final'!$A$46:$P$1775,D$79,FALSE)</f>
        <v>6727</v>
      </c>
      <c r="E102" s="82">
        <f>VLOOKUP($A102&amp;"GCP",'E11 - 2013 09 Final'!$A$46:$P$1775,E$79,FALSE)</f>
        <v>6742</v>
      </c>
      <c r="F102" s="82">
        <f>VLOOKUP($A102&amp;"GCP",'E11 - 2013 09 Final'!$A$46:$P$1775,F$79,FALSE)</f>
        <v>6324</v>
      </c>
      <c r="G102" s="82">
        <f>VLOOKUP($A102&amp;"GCP",'E11 - 2013 09 Final'!$A$46:$P$1775,G$79,FALSE)</f>
        <v>7555</v>
      </c>
      <c r="H102" s="82">
        <f>VLOOKUP($A102&amp;"GCP",'E11 - 2013 09 Final'!$A$46:$P$1775,H$79,FALSE)</f>
        <v>7987</v>
      </c>
      <c r="I102" s="82">
        <f>VLOOKUP($A102&amp;"GCP",'E11 - 2013 09 Final'!$A$46:$P$1775,I$79,FALSE)</f>
        <v>8255</v>
      </c>
      <c r="J102" s="82">
        <f>VLOOKUP($A102&amp;"GCP",'E11 - 2013 09 Final'!$A$46:$P$1775,J$79,FALSE)</f>
        <v>8389</v>
      </c>
      <c r="K102" s="82">
        <f>VLOOKUP($A102&amp;"GCP",'E11 - 2013 09 Final'!$A$46:$P$1775,K$79,FALSE)</f>
        <v>8163</v>
      </c>
      <c r="L102" s="82">
        <f>VLOOKUP($A102&amp;"GCP",'E11 - 2013 09 Final'!$A$46:$P$1775,L$79,FALSE)</f>
        <v>7220</v>
      </c>
      <c r="M102" s="82">
        <f>VLOOKUP($A102&amp;"GCP",'E11 - 2013 09 Final'!$A$46:$P$1775,M$79,FALSE)</f>
        <v>5707</v>
      </c>
      <c r="N102" s="82">
        <f>VLOOKUP($A102&amp;"GCP",'E11 - 2013 09 Final'!$A$46:$P$1775,N$79,FALSE)</f>
        <v>6401</v>
      </c>
      <c r="O102" s="44">
        <f t="shared" ref="O102:O107" si="24">SUM(C102:N102)</f>
        <v>85999</v>
      </c>
      <c r="P102" s="11">
        <f t="shared" ref="P102:P107" si="25">MAX(C102:N102)</f>
        <v>8389</v>
      </c>
    </row>
    <row r="103" spans="1:16">
      <c r="A103" t="s">
        <v>245</v>
      </c>
      <c r="B103" t="s">
        <v>983</v>
      </c>
      <c r="C103" s="82">
        <f>VLOOKUP($A103&amp;"GCP",'E11 - 2013 09 Final'!$A$46:$P$1775,C$79,FALSE)</f>
        <v>104213</v>
      </c>
      <c r="D103" s="82">
        <f>VLOOKUP($A103&amp;"GCP",'E11 - 2013 09 Final'!$A$46:$P$1775,D$79,FALSE)</f>
        <v>114437</v>
      </c>
      <c r="E103" s="82">
        <f>VLOOKUP($A103&amp;"GCP",'E11 - 2013 09 Final'!$A$46:$P$1775,E$79,FALSE)</f>
        <v>126051</v>
      </c>
      <c r="F103" s="82">
        <f>VLOOKUP($A103&amp;"GCP",'E11 - 2013 09 Final'!$A$46:$P$1775,F$79,FALSE)</f>
        <v>126807</v>
      </c>
      <c r="G103" s="82">
        <f>VLOOKUP($A103&amp;"GCP",'E11 - 2013 09 Final'!$A$46:$P$1775,G$79,FALSE)</f>
        <v>139147</v>
      </c>
      <c r="H103" s="82">
        <f>VLOOKUP($A103&amp;"GCP",'E11 - 2013 09 Final'!$A$46:$P$1775,H$79,FALSE)</f>
        <v>141451</v>
      </c>
      <c r="I103" s="82">
        <f>VLOOKUP($A103&amp;"GCP",'E11 - 2013 09 Final'!$A$46:$P$1775,I$79,FALSE)</f>
        <v>147695</v>
      </c>
      <c r="J103" s="82">
        <f>VLOOKUP($A103&amp;"GCP",'E11 - 2013 09 Final'!$A$46:$P$1775,J$79,FALSE)</f>
        <v>143002</v>
      </c>
      <c r="K103" s="82">
        <f>VLOOKUP($A103&amp;"GCP",'E11 - 2013 09 Final'!$A$46:$P$1775,K$79,FALSE)</f>
        <v>140826</v>
      </c>
      <c r="L103" s="82">
        <f>VLOOKUP($A103&amp;"GCP",'E11 - 2013 09 Final'!$A$46:$P$1775,L$79,FALSE)</f>
        <v>129638</v>
      </c>
      <c r="M103" s="82">
        <f>VLOOKUP($A103&amp;"GCP",'E11 - 2013 09 Final'!$A$46:$P$1775,M$79,FALSE)</f>
        <v>114961</v>
      </c>
      <c r="N103" s="82">
        <f>VLOOKUP($A103&amp;"GCP",'E11 - 2013 09 Final'!$A$46:$P$1775,N$79,FALSE)</f>
        <v>115885</v>
      </c>
      <c r="O103" s="44">
        <f t="shared" si="24"/>
        <v>1544113</v>
      </c>
      <c r="P103" s="11">
        <f t="shared" si="25"/>
        <v>147695</v>
      </c>
    </row>
    <row r="104" spans="1:16">
      <c r="A104" t="s">
        <v>242</v>
      </c>
      <c r="B104" t="s">
        <v>491</v>
      </c>
      <c r="C104" s="82">
        <f>VLOOKUP($A104&amp;"GCP",'E11 - 2013 09 Final'!$A$46:$P$1775,C$79,FALSE)</f>
        <v>45000</v>
      </c>
      <c r="D104" s="82">
        <f>VLOOKUP($A104&amp;"GCP",'E11 - 2013 09 Final'!$A$46:$P$1775,D$79,FALSE)</f>
        <v>45000</v>
      </c>
      <c r="E104" s="82">
        <f>VLOOKUP($A104&amp;"GCP",'E11 - 2013 09 Final'!$A$46:$P$1775,E$79,FALSE)</f>
        <v>45000</v>
      </c>
      <c r="F104" s="82">
        <f>VLOOKUP($A104&amp;"GCP",'E11 - 2013 09 Final'!$A$46:$P$1775,F$79,FALSE)</f>
        <v>45000</v>
      </c>
      <c r="G104" s="82">
        <f>VLOOKUP($A104&amp;"GCP",'E11 - 2013 09 Final'!$A$46:$P$1775,G$79,FALSE)</f>
        <v>45000</v>
      </c>
      <c r="H104" s="82">
        <f>VLOOKUP($A104&amp;"GCP",'E11 - 2013 09 Final'!$A$46:$P$1775,H$79,FALSE)</f>
        <v>0</v>
      </c>
      <c r="I104" s="82">
        <f>VLOOKUP($A104&amp;"GCP",'E11 - 2013 09 Final'!$A$46:$P$1775,I$79,FALSE)</f>
        <v>0</v>
      </c>
      <c r="J104" s="82">
        <f>VLOOKUP($A104&amp;"GCP",'E11 - 2013 09 Final'!$A$46:$P$1775,J$79,FALSE)</f>
        <v>0</v>
      </c>
      <c r="K104" s="82">
        <f>VLOOKUP($A104&amp;"GCP",'E11 - 2013 09 Final'!$A$46:$P$1775,K$79,FALSE)</f>
        <v>0</v>
      </c>
      <c r="L104" s="82">
        <f>VLOOKUP($A104&amp;"GCP",'E11 - 2013 09 Final'!$A$46:$P$1775,L$79,FALSE)</f>
        <v>0</v>
      </c>
      <c r="M104" s="82">
        <f>VLOOKUP($A104&amp;"GCP",'E11 - 2013 09 Final'!$A$46:$P$1775,M$79,FALSE)</f>
        <v>0</v>
      </c>
      <c r="N104" s="82">
        <f>VLOOKUP($A104&amp;"GCP",'E11 - 2013 09 Final'!$A$46:$P$1775,N$79,FALSE)</f>
        <v>0</v>
      </c>
      <c r="O104" s="44">
        <f t="shared" si="24"/>
        <v>225000</v>
      </c>
      <c r="P104" s="11">
        <f t="shared" si="25"/>
        <v>45000</v>
      </c>
    </row>
    <row r="105" spans="1:16" ht="409.6">
      <c r="A105" t="s">
        <v>661</v>
      </c>
      <c r="B105" t="s">
        <v>984</v>
      </c>
      <c r="C105" s="82">
        <f>VLOOKUP($A105&amp;"GCP",'E11 - 2013 09 Final'!$A$46:$P$1775,C$79,FALSE)</f>
        <v>172867</v>
      </c>
      <c r="D105" s="82">
        <f>VLOOKUP($A105&amp;"GCP",'E11 - 2013 09 Final'!$A$46:$P$1775,D$79,FALSE)</f>
        <v>194639</v>
      </c>
      <c r="E105" s="82">
        <f>VLOOKUP($A105&amp;"GCP",'E11 - 2013 09 Final'!$A$46:$P$1775,E$79,FALSE)</f>
        <v>196069</v>
      </c>
      <c r="F105" s="82">
        <f>VLOOKUP($A105&amp;"GCP",'E11 - 2013 09 Final'!$A$46:$P$1775,F$79,FALSE)</f>
        <v>223880</v>
      </c>
      <c r="G105" s="82">
        <f>VLOOKUP($A105&amp;"GCP",'E11 - 2013 09 Final'!$A$46:$P$1775,G$79,FALSE)</f>
        <v>224198</v>
      </c>
      <c r="H105" s="82">
        <f>VLOOKUP($A105&amp;"GCP",'E11 - 2013 09 Final'!$A$46:$P$1775,H$79,FALSE)</f>
        <v>231785</v>
      </c>
      <c r="I105" s="82">
        <f>VLOOKUP($A105&amp;"GCP",'E11 - 2013 09 Final'!$A$46:$P$1775,I$79,FALSE)</f>
        <v>226251</v>
      </c>
      <c r="J105" s="82">
        <f>VLOOKUP($A105&amp;"GCP",'E11 - 2013 09 Final'!$A$46:$P$1775,J$79,FALSE)</f>
        <v>236361</v>
      </c>
      <c r="K105" s="82">
        <f>VLOOKUP($A105&amp;"GCP",'E11 - 2013 09 Final'!$A$46:$P$1775,K$79,FALSE)</f>
        <v>227263</v>
      </c>
      <c r="L105" s="82">
        <f>VLOOKUP($A105&amp;"GCP",'E11 - 2013 09 Final'!$A$46:$P$1775,L$79,FALSE)</f>
        <v>220995</v>
      </c>
      <c r="M105" s="82">
        <f>VLOOKUP($A105&amp;"GCP",'E11 - 2013 09 Final'!$A$46:$P$1775,M$79,FALSE)</f>
        <v>200240</v>
      </c>
      <c r="N105" s="82">
        <f>VLOOKUP($A105&amp;"GCP",'E11 - 2013 09 Final'!$A$46:$P$1775,N$79,FALSE)</f>
        <v>186591</v>
      </c>
      <c r="O105" s="44">
        <f t="shared" si="24"/>
        <v>2541139</v>
      </c>
      <c r="P105" s="11">
        <f t="shared" si="25"/>
        <v>236361</v>
      </c>
    </row>
    <row r="106" spans="1:16" ht="409.6">
      <c r="A106" t="s">
        <v>7</v>
      </c>
      <c r="B106" t="s">
        <v>987</v>
      </c>
      <c r="C106" s="82">
        <f>VLOOKUP($A106&amp;"GCP",'E11 - 2013 09 Final'!$A$46:$P$1775,C$79,FALSE)</f>
        <v>986</v>
      </c>
      <c r="D106" s="82">
        <f>VLOOKUP($A106&amp;"GCP",'E11 - 2013 09 Final'!$A$46:$P$1775,D$79,FALSE)</f>
        <v>602</v>
      </c>
      <c r="E106" s="82">
        <f>VLOOKUP($A106&amp;"GCP",'E11 - 2013 09 Final'!$A$46:$P$1775,E$79,FALSE)</f>
        <v>980</v>
      </c>
      <c r="F106" s="82">
        <f>VLOOKUP($A106&amp;"GCP",'E11 - 2013 09 Final'!$A$46:$P$1775,F$79,FALSE)</f>
        <v>978</v>
      </c>
      <c r="G106" s="82">
        <f>VLOOKUP($A106&amp;"GCP",'E11 - 2013 09 Final'!$A$46:$P$1775,G$79,FALSE)</f>
        <v>1001</v>
      </c>
      <c r="H106" s="82">
        <f>VLOOKUP($A106&amp;"GCP",'E11 - 2013 09 Final'!$A$46:$P$1775,H$79,FALSE)</f>
        <v>972</v>
      </c>
      <c r="I106" s="82">
        <f>VLOOKUP($A106&amp;"GCP",'E11 - 2013 09 Final'!$A$46:$P$1775,I$79,FALSE)</f>
        <v>951</v>
      </c>
      <c r="J106" s="82">
        <f>VLOOKUP($A106&amp;"GCP",'E11 - 2013 09 Final'!$A$46:$P$1775,J$79,FALSE)</f>
        <v>949</v>
      </c>
      <c r="K106" s="82">
        <f>VLOOKUP($A106&amp;"GCP",'E11 - 2013 09 Final'!$A$46:$P$1775,K$79,FALSE)</f>
        <v>919</v>
      </c>
      <c r="L106" s="82">
        <f>VLOOKUP($A106&amp;"GCP",'E11 - 2013 09 Final'!$A$46:$P$1775,L$79,FALSE)</f>
        <v>960</v>
      </c>
      <c r="M106" s="82">
        <f>VLOOKUP($A106&amp;"GCP",'E11 - 2013 09 Final'!$A$46:$P$1775,M$79,FALSE)</f>
        <v>947</v>
      </c>
      <c r="N106" s="82">
        <f>VLOOKUP($A106&amp;"GCP",'E11 - 2013 09 Final'!$A$46:$P$1775,N$79,FALSE)</f>
        <v>0</v>
      </c>
      <c r="O106" s="44">
        <f t="shared" si="24"/>
        <v>10245</v>
      </c>
      <c r="P106" s="11">
        <f t="shared" si="25"/>
        <v>1001</v>
      </c>
    </row>
    <row r="107" spans="1:16" ht="409.6">
      <c r="A107" t="s">
        <v>724</v>
      </c>
      <c r="B107" t="s">
        <v>724</v>
      </c>
      <c r="C107" s="82">
        <f>VLOOKUP($A107&amp;"GCP",'E11 - 2013 09 Final'!$A$46:$P$1775,C$79,FALSE)</f>
        <v>8962</v>
      </c>
      <c r="D107" s="82">
        <f>VLOOKUP($A107&amp;"GCP",'E11 - 2013 09 Final'!$A$46:$P$1775,D$79,FALSE)</f>
        <v>10853</v>
      </c>
      <c r="E107" s="82">
        <f>VLOOKUP($A107&amp;"GCP",'E11 - 2013 09 Final'!$A$46:$P$1775,E$79,FALSE)</f>
        <v>11363</v>
      </c>
      <c r="F107" s="82">
        <f>VLOOKUP($A107&amp;"GCP",'E11 - 2013 09 Final'!$A$46:$P$1775,F$79,FALSE)</f>
        <v>11581</v>
      </c>
      <c r="G107" s="82">
        <f>VLOOKUP($A107&amp;"GCP",'E11 - 2013 09 Final'!$A$46:$P$1775,G$79,FALSE)</f>
        <v>12367</v>
      </c>
      <c r="H107" s="82">
        <f>VLOOKUP($A107&amp;"GCP",'E11 - 2013 09 Final'!$A$46:$P$1775,H$79,FALSE)</f>
        <v>13187</v>
      </c>
      <c r="I107" s="82">
        <f>VLOOKUP($A107&amp;"GCP",'E11 - 2013 09 Final'!$A$46:$P$1775,I$79,FALSE)</f>
        <v>12500</v>
      </c>
      <c r="J107" s="82">
        <f>VLOOKUP($A107&amp;"GCP",'E11 - 2013 09 Final'!$A$46:$P$1775,J$79,FALSE)</f>
        <v>13557</v>
      </c>
      <c r="K107" s="82">
        <f>VLOOKUP($A107&amp;"GCP",'E11 - 2013 09 Final'!$A$46:$P$1775,K$79,FALSE)</f>
        <v>13021</v>
      </c>
      <c r="L107" s="82">
        <f>VLOOKUP($A107&amp;"GCP",'E11 - 2013 09 Final'!$A$46:$P$1775,L$79,FALSE)</f>
        <v>11905</v>
      </c>
      <c r="M107" s="82">
        <f>VLOOKUP($A107&amp;"GCP",'E11 - 2013 09 Final'!$A$46:$P$1775,M$79,FALSE)</f>
        <v>10309</v>
      </c>
      <c r="N107" s="82">
        <f>VLOOKUP($A107&amp;"GCP",'E11 - 2013 09 Final'!$A$46:$P$1775,N$79,FALSE)</f>
        <v>9574</v>
      </c>
      <c r="O107" s="44">
        <f t="shared" si="24"/>
        <v>139179</v>
      </c>
      <c r="P107" s="11">
        <f t="shared" si="25"/>
        <v>13557</v>
      </c>
    </row>
    <row r="116" spans="1:16" ht="21">
      <c r="B116" s="611" t="s">
        <v>90</v>
      </c>
      <c r="C116" s="611"/>
      <c r="D116" s="611"/>
      <c r="E116" s="611"/>
      <c r="F116" s="611"/>
      <c r="G116" s="611"/>
      <c r="H116" s="611"/>
      <c r="I116" s="611"/>
      <c r="J116" s="611"/>
      <c r="K116" s="611"/>
      <c r="L116" s="611"/>
      <c r="M116" s="611"/>
      <c r="N116" s="611"/>
      <c r="O116" s="611"/>
      <c r="P116" s="611"/>
    </row>
    <row r="117" spans="1:16" ht="17.399999999999999">
      <c r="B117" s="610" t="str">
        <f>+MANUAL!$B$7 &amp;" as Calculated by LodeStar Except as Noted"</f>
        <v>2014 as Calculated by LodeStar Except as Noted</v>
      </c>
      <c r="C117" s="610"/>
      <c r="D117" s="610"/>
      <c r="E117" s="610"/>
      <c r="F117" s="610"/>
      <c r="G117" s="610"/>
      <c r="H117" s="610"/>
      <c r="I117" s="610"/>
      <c r="J117" s="610"/>
      <c r="K117" s="610"/>
      <c r="L117" s="610"/>
      <c r="M117" s="610"/>
      <c r="N117" s="610"/>
      <c r="O117" s="610"/>
      <c r="P117" s="610"/>
    </row>
    <row r="118" spans="1:16" ht="13.8" thickBot="1">
      <c r="B118" s="84"/>
      <c r="C118" s="84"/>
      <c r="D118" s="84"/>
      <c r="E118" s="84"/>
      <c r="F118" s="84"/>
      <c r="G118" s="84"/>
      <c r="H118" s="84"/>
      <c r="I118" s="84"/>
      <c r="J118" s="84"/>
      <c r="K118" s="84"/>
      <c r="L118" s="84"/>
      <c r="M118" s="84"/>
      <c r="N118" s="84"/>
      <c r="O118" s="84"/>
      <c r="P118" s="84"/>
    </row>
    <row r="119" spans="1:16" ht="409.6">
      <c r="C119" s="14"/>
      <c r="D119" s="15"/>
      <c r="E119" s="16"/>
      <c r="F119" s="17"/>
      <c r="G119" s="18"/>
      <c r="H119" s="19"/>
      <c r="I119" s="20"/>
      <c r="J119" s="21"/>
      <c r="K119" s="22"/>
      <c r="L119" s="23"/>
      <c r="M119" s="24"/>
      <c r="N119" s="25"/>
      <c r="O119" s="26"/>
      <c r="P119" s="27" t="s">
        <v>576</v>
      </c>
    </row>
    <row r="120" spans="1:16" ht="13.8" thickBot="1">
      <c r="C120" s="28" t="s">
        <v>70</v>
      </c>
      <c r="D120" s="29" t="s">
        <v>71</v>
      </c>
      <c r="E120" s="30" t="s">
        <v>72</v>
      </c>
      <c r="F120" s="31" t="s">
        <v>73</v>
      </c>
      <c r="G120" s="32" t="s">
        <v>74</v>
      </c>
      <c r="H120" s="33" t="s">
        <v>75</v>
      </c>
      <c r="I120" s="34" t="s">
        <v>76</v>
      </c>
      <c r="J120" s="35" t="s">
        <v>77</v>
      </c>
      <c r="K120" s="36" t="s">
        <v>78</v>
      </c>
      <c r="L120" s="37" t="s">
        <v>79</v>
      </c>
      <c r="M120" s="38" t="s">
        <v>80</v>
      </c>
      <c r="N120" s="39" t="s">
        <v>81</v>
      </c>
      <c r="O120" s="40" t="s">
        <v>60</v>
      </c>
      <c r="P120" s="41" t="s">
        <v>82</v>
      </c>
    </row>
    <row r="121" spans="1:16" hidden="1">
      <c r="C121">
        <v>4</v>
      </c>
      <c r="D121">
        <f>C121+1</f>
        <v>5</v>
      </c>
      <c r="E121">
        <f t="shared" ref="E121:N121" si="26">D121+1</f>
        <v>6</v>
      </c>
      <c r="F121">
        <f t="shared" si="26"/>
        <v>7</v>
      </c>
      <c r="G121">
        <f t="shared" si="26"/>
        <v>8</v>
      </c>
      <c r="H121">
        <f t="shared" si="26"/>
        <v>9</v>
      </c>
      <c r="I121">
        <f t="shared" si="26"/>
        <v>10</v>
      </c>
      <c r="J121">
        <f t="shared" si="26"/>
        <v>11</v>
      </c>
      <c r="K121">
        <f t="shared" si="26"/>
        <v>12</v>
      </c>
      <c r="L121">
        <f t="shared" si="26"/>
        <v>13</v>
      </c>
      <c r="M121">
        <f t="shared" si="26"/>
        <v>14</v>
      </c>
      <c r="N121">
        <f t="shared" si="26"/>
        <v>15</v>
      </c>
      <c r="O121" s="303"/>
      <c r="P121" s="304"/>
    </row>
    <row r="123" spans="1:16">
      <c r="B123" s="42" t="s">
        <v>83</v>
      </c>
    </row>
    <row r="124" spans="1:16">
      <c r="A124" t="s">
        <v>122</v>
      </c>
      <c r="B124" s="43" t="s">
        <v>84</v>
      </c>
      <c r="C124" s="82">
        <f>VLOOKUP($A124&amp;"GCP",'E11 - 2014 09 Final'!$A$46:$Q$1704,C$121,FALSE)</f>
        <v>379547</v>
      </c>
      <c r="D124" s="82">
        <f>VLOOKUP($A124&amp;"GCP",'E11 - 2014 09 Final'!$A$46:$Q$1704,D$121,FALSE)</f>
        <v>382269</v>
      </c>
      <c r="E124" s="82">
        <f>VLOOKUP($A124&amp;"GCP",'E11 - 2014 09 Final'!$A$46:$Q$1704,E$121,FALSE)</f>
        <v>344528</v>
      </c>
      <c r="F124" s="82">
        <f>VLOOKUP($A124&amp;"GCP",'E11 - 2014 09 Final'!$A$46:$Q$1704,F$121,FALSE)</f>
        <v>375042</v>
      </c>
      <c r="G124" s="82">
        <f>VLOOKUP($A124&amp;"GCP",'E11 - 2014 09 Final'!$A$46:$Q$1704,G$121,FALSE)</f>
        <v>362582</v>
      </c>
      <c r="H124" s="82">
        <f>VLOOKUP($A124&amp;"GCP",'E11 - 2014 09 Final'!$A$46:$Q$1704,H$121,FALSE)</f>
        <v>372897</v>
      </c>
      <c r="I124" s="82">
        <f>VLOOKUP($A124&amp;"GCP",'E11 - 2014 09 Final'!$A$46:$Q$1704,I$121,FALSE)</f>
        <v>368770</v>
      </c>
      <c r="J124" s="82">
        <f>VLOOKUP($A124&amp;"GCP",'E11 - 2014 09 Final'!$A$46:$Q$1704,J$121,FALSE)</f>
        <v>376342</v>
      </c>
      <c r="K124" s="82">
        <f>VLOOKUP($A124&amp;"GCP",'E11 - 2014 09 Final'!$A$46:$Q$1704,K$121,FALSE)</f>
        <v>387428</v>
      </c>
      <c r="L124" s="82">
        <f>VLOOKUP($A124&amp;"GCP",'E11 - 2014 09 Final'!$A$46:$Q$1704,L$121,FALSE)</f>
        <v>363279</v>
      </c>
      <c r="M124" s="82">
        <f>VLOOKUP($A124&amp;"GCP",'E11 - 2014 09 Final'!$A$46:$Q$1704,M$121,FALSE)</f>
        <v>379131</v>
      </c>
      <c r="N124" s="82">
        <f>VLOOKUP($A124&amp;"GCP",'E11 - 2014 09 Final'!$A$46:$Q$1704,N$121,FALSE)</f>
        <v>345387</v>
      </c>
      <c r="O124" s="44">
        <f t="shared" ref="O124:O131" si="27">SUM(C124:N124)</f>
        <v>4437202</v>
      </c>
      <c r="P124" s="11">
        <f>MAX(C124:N124)</f>
        <v>387428</v>
      </c>
    </row>
    <row r="125" spans="1:16">
      <c r="A125" t="s">
        <v>177</v>
      </c>
      <c r="B125" s="43" t="s">
        <v>85</v>
      </c>
      <c r="C125" s="82">
        <f>VLOOKUP($A125&amp;"GCP",'E11 - 2014 09 Final'!$A$46:$Q$1704,C$121,FALSE)</f>
        <v>25511</v>
      </c>
      <c r="D125" s="82">
        <f>VLOOKUP($A125&amp;"GCP",'E11 - 2014 09 Final'!$A$46:$Q$1704,D$121,FALSE)</f>
        <v>26507</v>
      </c>
      <c r="E125" s="82">
        <f>VLOOKUP($A125&amp;"GCP",'E11 - 2014 09 Final'!$A$46:$Q$1704,E$121,FALSE)</f>
        <v>23547</v>
      </c>
      <c r="F125" s="82">
        <f>VLOOKUP($A125&amp;"GCP",'E11 - 2014 09 Final'!$A$46:$Q$1704,F$121,FALSE)</f>
        <v>25426</v>
      </c>
      <c r="G125" s="82">
        <f>VLOOKUP($A125&amp;"GCP",'E11 - 2014 09 Final'!$A$46:$Q$1704,G$121,FALSE)</f>
        <v>17549</v>
      </c>
      <c r="H125" s="82">
        <f>VLOOKUP($A125&amp;"GCP",'E11 - 2014 09 Final'!$A$46:$Q$1704,H$121,FALSE)</f>
        <v>18673</v>
      </c>
      <c r="I125" s="82">
        <f>VLOOKUP($A125&amp;"GCP",'E11 - 2014 09 Final'!$A$46:$Q$1704,I$121,FALSE)</f>
        <v>18246</v>
      </c>
      <c r="J125" s="82">
        <f>VLOOKUP($A125&amp;"GCP",'E11 - 2014 09 Final'!$A$46:$Q$1704,J$121,FALSE)</f>
        <v>17883</v>
      </c>
      <c r="K125" s="82">
        <f>VLOOKUP($A125&amp;"GCP",'E11 - 2014 09 Final'!$A$46:$Q$1704,K$121,FALSE)</f>
        <v>18434</v>
      </c>
      <c r="L125" s="82">
        <f>VLOOKUP($A125&amp;"GCP",'E11 - 2014 09 Final'!$A$46:$Q$1704,L$121,FALSE)</f>
        <v>17067</v>
      </c>
      <c r="M125" s="82">
        <f>VLOOKUP($A125&amp;"GCP",'E11 - 2014 09 Final'!$A$46:$Q$1704,M$121,FALSE)</f>
        <v>17204</v>
      </c>
      <c r="N125" s="82">
        <f>VLOOKUP($A125&amp;"GCP",'E11 - 2014 09 Final'!$A$46:$Q$1704,N$121,FALSE)</f>
        <v>15812</v>
      </c>
      <c r="O125" s="44">
        <f t="shared" si="27"/>
        <v>241859</v>
      </c>
      <c r="P125" s="11">
        <f t="shared" ref="P125:P140" si="28">MAX(C125:N125)</f>
        <v>26507</v>
      </c>
    </row>
    <row r="126" spans="1:16">
      <c r="A126" t="s">
        <v>185</v>
      </c>
      <c r="B126" s="43" t="s">
        <v>50</v>
      </c>
      <c r="C126" s="82">
        <f>VLOOKUP($A126&amp;"GCP",'E11 - 2014 09 Final'!$A$46:$Q$1704,C$121,FALSE)</f>
        <v>170267</v>
      </c>
      <c r="D126" s="82">
        <f>VLOOKUP($A126&amp;"GCP",'E11 - 2014 09 Final'!$A$46:$Q$1704,D$121,FALSE)</f>
        <v>171842</v>
      </c>
      <c r="E126" s="82">
        <f>VLOOKUP($A126&amp;"GCP",'E11 - 2014 09 Final'!$A$46:$Q$1704,E$121,FALSE)</f>
        <v>178811</v>
      </c>
      <c r="F126" s="82">
        <f>VLOOKUP($A126&amp;"GCP",'E11 - 2014 09 Final'!$A$46:$Q$1704,F$121,FALSE)</f>
        <v>187233</v>
      </c>
      <c r="G126" s="82">
        <f>VLOOKUP($A126&amp;"GCP",'E11 - 2014 09 Final'!$A$46:$Q$1704,G$121,FALSE)</f>
        <v>191114</v>
      </c>
      <c r="H126" s="82">
        <f>VLOOKUP($A126&amp;"GCP",'E11 - 2014 09 Final'!$A$46:$Q$1704,H$121,FALSE)</f>
        <v>185371</v>
      </c>
      <c r="I126" s="82">
        <f>VLOOKUP($A126&amp;"GCP",'E11 - 2014 09 Final'!$A$46:$Q$1704,I$121,FALSE)</f>
        <v>189900</v>
      </c>
      <c r="J126" s="82">
        <f>VLOOKUP($A126&amp;"GCP",'E11 - 2014 09 Final'!$A$46:$Q$1704,J$121,FALSE)</f>
        <v>185458</v>
      </c>
      <c r="K126" s="82">
        <f>VLOOKUP($A126&amp;"GCP",'E11 - 2014 09 Final'!$A$46:$Q$1704,K$121,FALSE)</f>
        <v>190694</v>
      </c>
      <c r="L126" s="82">
        <f>VLOOKUP($A126&amp;"GCP",'E11 - 2014 09 Final'!$A$46:$Q$1704,L$121,FALSE)</f>
        <v>193326</v>
      </c>
      <c r="M126" s="82">
        <f>VLOOKUP($A126&amp;"GCP",'E11 - 2014 09 Final'!$A$46:$Q$1704,M$121,FALSE)</f>
        <v>178305</v>
      </c>
      <c r="N126" s="82">
        <f>VLOOKUP($A126&amp;"GCP",'E11 - 2014 09 Final'!$A$46:$Q$1704,N$121,FALSE)</f>
        <v>184525</v>
      </c>
      <c r="O126" s="44">
        <f t="shared" si="27"/>
        <v>2206846</v>
      </c>
      <c r="P126" s="11">
        <f t="shared" si="28"/>
        <v>193326</v>
      </c>
    </row>
    <row r="127" spans="1:16">
      <c r="A127" t="s">
        <v>632</v>
      </c>
      <c r="B127" s="43" t="s">
        <v>49</v>
      </c>
      <c r="C127" s="82">
        <f>VLOOKUP($A127&amp;"GCP",'E11 - 2014 09 Final'!$A$46:$Q$1704,C$121,FALSE)</f>
        <v>1231551</v>
      </c>
      <c r="D127" s="82">
        <f>VLOOKUP($A127&amp;"GCP",'E11 - 2014 09 Final'!$A$46:$Q$1704,D$121,FALSE)</f>
        <v>1313378</v>
      </c>
      <c r="E127" s="82">
        <f>VLOOKUP($A127&amp;"GCP",'E11 - 2014 09 Final'!$A$46:$Q$1704,E$121,FALSE)</f>
        <v>1182539</v>
      </c>
      <c r="F127" s="82">
        <f>VLOOKUP($A127&amp;"GCP",'E11 - 2014 09 Final'!$A$46:$Q$1704,F$121,FALSE)</f>
        <v>1384291</v>
      </c>
      <c r="G127" s="82">
        <f>VLOOKUP($A127&amp;"GCP",'E11 - 2014 09 Final'!$A$46:$Q$1704,G$121,FALSE)</f>
        <v>1434550</v>
      </c>
      <c r="H127" s="82">
        <f>VLOOKUP($A127&amp;"GCP",'E11 - 2014 09 Final'!$A$46:$Q$1704,H$121,FALSE)</f>
        <v>1605649</v>
      </c>
      <c r="I127" s="82">
        <f>VLOOKUP($A127&amp;"GCP",'E11 - 2014 09 Final'!$A$46:$Q$1704,I$121,FALSE)</f>
        <v>1543768</v>
      </c>
      <c r="J127" s="82">
        <f>VLOOKUP($A127&amp;"GCP",'E11 - 2014 09 Final'!$A$46:$Q$1704,J$121,FALSE)</f>
        <v>1293480</v>
      </c>
      <c r="K127" s="82">
        <f>VLOOKUP($A127&amp;"GCP",'E11 - 2014 09 Final'!$A$46:$Q$1704,K$121,FALSE)</f>
        <v>1398431</v>
      </c>
      <c r="L127" s="82">
        <f>VLOOKUP($A127&amp;"GCP",'E11 - 2014 09 Final'!$A$46:$Q$1704,L$121,FALSE)</f>
        <v>1241796</v>
      </c>
      <c r="M127" s="82">
        <f>VLOOKUP($A127&amp;"GCP",'E11 - 2014 09 Final'!$A$46:$Q$1704,M$121,FALSE)</f>
        <v>1211747</v>
      </c>
      <c r="N127" s="82">
        <f>VLOOKUP($A127&amp;"GCP",'E11 - 2014 09 Final'!$A$46:$Q$1704,N$121,FALSE)</f>
        <v>954068</v>
      </c>
      <c r="O127" s="44">
        <f t="shared" si="27"/>
        <v>15795248</v>
      </c>
      <c r="P127" s="11">
        <f t="shared" si="28"/>
        <v>1605649</v>
      </c>
    </row>
    <row r="128" spans="1:16">
      <c r="A128" t="s">
        <v>640</v>
      </c>
      <c r="B128" s="46" t="s">
        <v>325</v>
      </c>
      <c r="C128" s="82">
        <f>VLOOKUP($A128&amp;"GCP",'E11 - 2014 09 Final'!$A$46:$Q$1704,C$121,FALSE)</f>
        <v>11473</v>
      </c>
      <c r="D128" s="82">
        <f>VLOOKUP($A128&amp;"GCP",'E11 - 2014 09 Final'!$A$46:$Q$1704,D$121,FALSE)</f>
        <v>11409</v>
      </c>
      <c r="E128" s="82">
        <f>VLOOKUP($A128&amp;"GCP",'E11 - 2014 09 Final'!$A$46:$Q$1704,E$121,FALSE)</f>
        <v>10046</v>
      </c>
      <c r="F128" s="82">
        <f>VLOOKUP($A128&amp;"GCP",'E11 - 2014 09 Final'!$A$46:$Q$1704,F$121,FALSE)</f>
        <v>10666</v>
      </c>
      <c r="G128" s="82">
        <f>VLOOKUP($A128&amp;"GCP",'E11 - 2014 09 Final'!$A$46:$Q$1704,G$121,FALSE)</f>
        <v>10712</v>
      </c>
      <c r="H128" s="82">
        <f>VLOOKUP($A128&amp;"GCP",'E11 - 2014 09 Final'!$A$46:$Q$1704,H$121,FALSE)</f>
        <v>11291</v>
      </c>
      <c r="I128" s="82">
        <f>VLOOKUP($A128&amp;"GCP",'E11 - 2014 09 Final'!$A$46:$Q$1704,I$121,FALSE)</f>
        <v>10819</v>
      </c>
      <c r="J128" s="82">
        <f>VLOOKUP($A128&amp;"GCP",'E11 - 2014 09 Final'!$A$46:$Q$1704,J$121,FALSE)</f>
        <v>9338</v>
      </c>
      <c r="K128" s="82">
        <f>VLOOKUP($A128&amp;"GCP",'E11 - 2014 09 Final'!$A$46:$Q$1704,K$121,FALSE)</f>
        <v>9488</v>
      </c>
      <c r="L128" s="82">
        <f>VLOOKUP($A128&amp;"GCP",'E11 - 2014 09 Final'!$A$46:$Q$1704,L$121,FALSE)</f>
        <v>8854</v>
      </c>
      <c r="M128" s="82">
        <f>VLOOKUP($A128&amp;"GCP",'E11 - 2014 09 Final'!$A$46:$Q$1704,M$121,FALSE)</f>
        <v>8999</v>
      </c>
      <c r="N128" s="82">
        <f>VLOOKUP($A128&amp;"GCP",'E11 - 2014 09 Final'!$A$46:$Q$1704,N$121,FALSE)</f>
        <v>9115</v>
      </c>
      <c r="O128" s="44">
        <f t="shared" si="27"/>
        <v>122210</v>
      </c>
      <c r="P128" s="11">
        <f t="shared" si="28"/>
        <v>11473</v>
      </c>
    </row>
    <row r="129" spans="1:16">
      <c r="A129" t="s">
        <v>651</v>
      </c>
      <c r="B129" s="43" t="s">
        <v>67</v>
      </c>
      <c r="C129" s="82">
        <f>VLOOKUP($A129&amp;"GCP",'E11 - 2014 09 Final'!$A$46:$Q$1704,C$121,FALSE)</f>
        <v>3888033</v>
      </c>
      <c r="D129" s="82">
        <f>VLOOKUP($A129&amp;"GCP",'E11 - 2014 09 Final'!$A$46:$Q$1704,D$121,FALSE)</f>
        <v>3967306</v>
      </c>
      <c r="E129" s="82">
        <f>VLOOKUP($A129&amp;"GCP",'E11 - 2014 09 Final'!$A$46:$Q$1704,E$121,FALSE)</f>
        <v>3590660</v>
      </c>
      <c r="F129" s="82">
        <f>VLOOKUP($A129&amp;"GCP",'E11 - 2014 09 Final'!$A$46:$Q$1704,F$121,FALSE)</f>
        <v>4103300</v>
      </c>
      <c r="G129" s="82">
        <f>VLOOKUP($A129&amp;"GCP",'E11 - 2014 09 Final'!$A$46:$Q$1704,G$121,FALSE)</f>
        <v>4223266</v>
      </c>
      <c r="H129" s="82">
        <f>VLOOKUP($A129&amp;"GCP",'E11 - 2014 09 Final'!$A$46:$Q$1704,H$121,FALSE)</f>
        <v>4442457</v>
      </c>
      <c r="I129" s="82">
        <f>VLOOKUP($A129&amp;"GCP",'E11 - 2014 09 Final'!$A$46:$Q$1704,I$121,FALSE)</f>
        <v>4347017</v>
      </c>
      <c r="J129" s="82">
        <f>VLOOKUP($A129&amp;"GCP",'E11 - 2014 09 Final'!$A$46:$Q$1704,J$121,FALSE)</f>
        <v>4508362</v>
      </c>
      <c r="K129" s="82">
        <f>VLOOKUP($A129&amp;"GCP",'E11 - 2014 09 Final'!$A$46:$Q$1704,K$121,FALSE)</f>
        <v>4772110</v>
      </c>
      <c r="L129" s="82">
        <f>VLOOKUP($A129&amp;"GCP",'E11 - 2014 09 Final'!$A$46:$Q$1704,L$121,FALSE)</f>
        <v>4327672</v>
      </c>
      <c r="M129" s="82">
        <f>VLOOKUP($A129&amp;"GCP",'E11 - 2014 09 Final'!$A$46:$Q$1704,M$121,FALSE)</f>
        <v>4453263</v>
      </c>
      <c r="N129" s="82">
        <f>VLOOKUP($A129&amp;"GCP",'E11 - 2014 09 Final'!$A$46:$Q$1704,N$121,FALSE)</f>
        <v>3712640</v>
      </c>
      <c r="O129" s="44">
        <f t="shared" si="27"/>
        <v>50336086</v>
      </c>
      <c r="P129" s="11">
        <f t="shared" si="28"/>
        <v>4772110</v>
      </c>
    </row>
    <row r="130" spans="1:16">
      <c r="A130" t="s">
        <v>656</v>
      </c>
      <c r="B130" s="43" t="s">
        <v>68</v>
      </c>
      <c r="C130" s="82">
        <f>VLOOKUP($A130&amp;"GCP",'E11 - 2014 09 Final'!$A$46:$Q$1704,C$121,FALSE)</f>
        <v>1587181</v>
      </c>
      <c r="D130" s="82">
        <f>VLOOKUP($A130&amp;"GCP",'E11 - 2014 09 Final'!$A$46:$Q$1704,D$121,FALSE)</f>
        <v>1635866</v>
      </c>
      <c r="E130" s="82">
        <f>VLOOKUP($A130&amp;"GCP",'E11 - 2014 09 Final'!$A$46:$Q$1704,E$121,FALSE)</f>
        <v>1481351</v>
      </c>
      <c r="F130" s="82">
        <f>VLOOKUP($A130&amp;"GCP",'E11 - 2014 09 Final'!$A$46:$Q$1704,F$121,FALSE)</f>
        <v>1607753</v>
      </c>
      <c r="G130" s="82">
        <f>VLOOKUP($A130&amp;"GCP",'E11 - 2014 09 Final'!$A$46:$Q$1704,G$121,FALSE)</f>
        <v>1696002</v>
      </c>
      <c r="H130" s="82">
        <f>VLOOKUP($A130&amp;"GCP",'E11 - 2014 09 Final'!$A$46:$Q$1704,H$121,FALSE)</f>
        <v>1685675</v>
      </c>
      <c r="I130" s="82">
        <f>VLOOKUP($A130&amp;"GCP",'E11 - 2014 09 Final'!$A$46:$Q$1704,I$121,FALSE)</f>
        <v>1675900</v>
      </c>
      <c r="J130" s="82">
        <f>VLOOKUP($A130&amp;"GCP",'E11 - 2014 09 Final'!$A$46:$Q$1704,J$121,FALSE)</f>
        <v>1801163</v>
      </c>
      <c r="K130" s="82">
        <f>VLOOKUP($A130&amp;"GCP",'E11 - 2014 09 Final'!$A$46:$Q$1704,K$121,FALSE)</f>
        <v>1892928</v>
      </c>
      <c r="L130" s="82">
        <f>VLOOKUP($A130&amp;"GCP",'E11 - 2014 09 Final'!$A$46:$Q$1704,L$121,FALSE)</f>
        <v>1755255</v>
      </c>
      <c r="M130" s="82">
        <f>VLOOKUP($A130&amp;"GCP",'E11 - 2014 09 Final'!$A$46:$Q$1704,M$121,FALSE)</f>
        <v>1810063</v>
      </c>
      <c r="N130" s="82">
        <f>VLOOKUP($A130&amp;"GCP",'E11 - 2014 09 Final'!$A$46:$Q$1704,N$121,FALSE)</f>
        <v>1614253</v>
      </c>
      <c r="O130" s="44">
        <f t="shared" si="27"/>
        <v>20243390</v>
      </c>
      <c r="P130" s="11">
        <f t="shared" si="28"/>
        <v>1892928</v>
      </c>
    </row>
    <row r="131" spans="1:16">
      <c r="A131" t="s">
        <v>713</v>
      </c>
      <c r="B131" s="43" t="s">
        <v>69</v>
      </c>
      <c r="C131" s="82">
        <f>VLOOKUP($A131&amp;"GCP",'E11 - 2014 09 Final'!$A$46:$Q$1704,C$121,FALSE)</f>
        <v>354006</v>
      </c>
      <c r="D131" s="82">
        <f>VLOOKUP($A131&amp;"GCP",'E11 - 2014 09 Final'!$A$46:$Q$1704,D$121,FALSE)</f>
        <v>346208</v>
      </c>
      <c r="E131" s="82">
        <f>VLOOKUP($A131&amp;"GCP",'E11 - 2014 09 Final'!$A$46:$Q$1704,E$121,FALSE)</f>
        <v>316709</v>
      </c>
      <c r="F131" s="82">
        <f>VLOOKUP($A131&amp;"GCP",'E11 - 2014 09 Final'!$A$46:$Q$1704,F$121,FALSE)</f>
        <v>337405</v>
      </c>
      <c r="G131" s="82">
        <f>VLOOKUP($A131&amp;"GCP",'E11 - 2014 09 Final'!$A$46:$Q$1704,G$121,FALSE)</f>
        <v>338744</v>
      </c>
      <c r="H131" s="82">
        <f>VLOOKUP($A131&amp;"GCP",'E11 - 2014 09 Final'!$A$46:$Q$1704,H$121,FALSE)</f>
        <v>360551</v>
      </c>
      <c r="I131" s="82">
        <f>VLOOKUP($A131&amp;"GCP",'E11 - 2014 09 Final'!$A$46:$Q$1704,I$121,FALSE)</f>
        <v>343410</v>
      </c>
      <c r="J131" s="82">
        <f>VLOOKUP($A131&amp;"GCP",'E11 - 2014 09 Final'!$A$46:$Q$1704,J$121,FALSE)</f>
        <v>365959</v>
      </c>
      <c r="K131" s="82">
        <f>VLOOKUP($A131&amp;"GCP",'E11 - 2014 09 Final'!$A$46:$Q$1704,K$121,FALSE)</f>
        <v>384908</v>
      </c>
      <c r="L131" s="82">
        <f>VLOOKUP($A131&amp;"GCP",'E11 - 2014 09 Final'!$A$46:$Q$1704,L$121,FALSE)</f>
        <v>351669</v>
      </c>
      <c r="M131" s="82">
        <f>VLOOKUP($A131&amp;"GCP",'E11 - 2014 09 Final'!$A$46:$Q$1704,M$121,FALSE)</f>
        <v>373929</v>
      </c>
      <c r="N131" s="82">
        <f>VLOOKUP($A131&amp;"GCP",'E11 - 2014 09 Final'!$A$46:$Q$1704,N$121,FALSE)</f>
        <v>334840</v>
      </c>
      <c r="O131" s="44">
        <f t="shared" si="27"/>
        <v>4208338</v>
      </c>
      <c r="P131" s="11">
        <f t="shared" si="28"/>
        <v>384908</v>
      </c>
    </row>
    <row r="132" spans="1:16">
      <c r="A132" t="s">
        <v>717</v>
      </c>
      <c r="B132" s="43" t="s">
        <v>52</v>
      </c>
      <c r="C132" s="82">
        <f>VLOOKUP($A132&amp;"GCP",'E11 - 2014 09 Final'!$A$46:$Q$1704,C$121,FALSE)</f>
        <v>24808</v>
      </c>
      <c r="D132" s="82">
        <f>VLOOKUP($A132&amp;"GCP",'E11 - 2014 09 Final'!$A$46:$Q$1704,D$121,FALSE)</f>
        <v>26358</v>
      </c>
      <c r="E132" s="82">
        <f>VLOOKUP($A132&amp;"GCP",'E11 - 2014 09 Final'!$A$46:$Q$1704,E$121,FALSE)</f>
        <v>26008</v>
      </c>
      <c r="F132" s="82">
        <f>VLOOKUP($A132&amp;"GCP",'E11 - 2014 09 Final'!$A$46:$Q$1704,F$121,FALSE)</f>
        <v>32321</v>
      </c>
      <c r="G132" s="82">
        <f>VLOOKUP($A132&amp;"GCP",'E11 - 2014 09 Final'!$A$46:$Q$1704,G$121,FALSE)</f>
        <v>33464</v>
      </c>
      <c r="H132" s="82">
        <f>VLOOKUP($A132&amp;"GCP",'E11 - 2014 09 Final'!$A$46:$Q$1704,H$121,FALSE)</f>
        <v>24514</v>
      </c>
      <c r="I132" s="82">
        <f>VLOOKUP($A132&amp;"GCP",'E11 - 2014 09 Final'!$A$46:$Q$1704,I$121,FALSE)</f>
        <v>23763</v>
      </c>
      <c r="J132" s="82">
        <f>VLOOKUP($A132&amp;"GCP",'E11 - 2014 09 Final'!$A$46:$Q$1704,J$121,FALSE)</f>
        <v>28206</v>
      </c>
      <c r="K132" s="82">
        <f>VLOOKUP($A132&amp;"GCP",'E11 - 2014 09 Final'!$A$46:$Q$1704,K$121,FALSE)</f>
        <v>24664</v>
      </c>
      <c r="L132" s="82">
        <f>VLOOKUP($A132&amp;"GCP",'E11 - 2014 09 Final'!$A$46:$Q$1704,L$121,FALSE)</f>
        <v>27435</v>
      </c>
      <c r="M132" s="82">
        <f>VLOOKUP($A132&amp;"GCP",'E11 - 2014 09 Final'!$A$46:$Q$1704,M$121,FALSE)</f>
        <v>26489</v>
      </c>
      <c r="N132" s="82">
        <f>VLOOKUP($A132&amp;"GCP",'E11 - 2014 09 Final'!$A$46:$Q$1704,N$121,FALSE)</f>
        <v>28713</v>
      </c>
      <c r="O132" s="44">
        <f>SUM(C132:N132)</f>
        <v>326743</v>
      </c>
      <c r="P132" s="11">
        <f t="shared" si="28"/>
        <v>33464</v>
      </c>
    </row>
    <row r="133" spans="1:16">
      <c r="A133" t="s">
        <v>15</v>
      </c>
      <c r="B133" s="206" t="s">
        <v>15</v>
      </c>
      <c r="C133" s="82">
        <f>VLOOKUP($A133&amp;"GCP",'E11 - 2014 09 Final'!$A$46:$Q$1704,C$121,FALSE)</f>
        <v>15931</v>
      </c>
      <c r="D133" s="82">
        <f>VLOOKUP($A133&amp;"GCP",'E11 - 2014 09 Final'!$A$46:$Q$1704,D$121,FALSE)</f>
        <v>16334</v>
      </c>
      <c r="E133" s="82">
        <f>VLOOKUP($A133&amp;"GCP",'E11 - 2014 09 Final'!$A$46:$Q$1704,E$121,FALSE)</f>
        <v>16009</v>
      </c>
      <c r="F133" s="82">
        <f>VLOOKUP($A133&amp;"GCP",'E11 - 2014 09 Final'!$A$46:$Q$1704,F$121,FALSE)</f>
        <v>15901</v>
      </c>
      <c r="G133" s="82">
        <f>VLOOKUP($A133&amp;"GCP",'E11 - 2014 09 Final'!$A$46:$Q$1704,G$121,FALSE)</f>
        <v>16016</v>
      </c>
      <c r="H133" s="82">
        <f>VLOOKUP($A133&amp;"GCP",'E11 - 2014 09 Final'!$A$46:$Q$1704,H$121,FALSE)</f>
        <v>16493</v>
      </c>
      <c r="I133" s="82">
        <f>VLOOKUP($A133&amp;"GCP",'E11 - 2014 09 Final'!$A$46:$Q$1704,I$121,FALSE)</f>
        <v>16494</v>
      </c>
      <c r="J133" s="82">
        <f>VLOOKUP($A133&amp;"GCP",'E11 - 2014 09 Final'!$A$46:$Q$1704,J$121,FALSE)</f>
        <v>16573</v>
      </c>
      <c r="K133" s="82">
        <f>VLOOKUP($A133&amp;"GCP",'E11 - 2014 09 Final'!$A$46:$Q$1704,K$121,FALSE)</f>
        <v>16315</v>
      </c>
      <c r="L133" s="82">
        <f>VLOOKUP($A133&amp;"GCP",'E11 - 2014 09 Final'!$A$46:$Q$1704,L$121,FALSE)</f>
        <v>16308</v>
      </c>
      <c r="M133" s="82">
        <f>VLOOKUP($A133&amp;"GCP",'E11 - 2014 09 Final'!$A$46:$Q$1704,M$121,FALSE)</f>
        <v>16525</v>
      </c>
      <c r="N133" s="82">
        <f>VLOOKUP($A133&amp;"GCP",'E11 - 2014 09 Final'!$A$46:$Q$1704,N$121,FALSE)</f>
        <v>15723</v>
      </c>
      <c r="O133" s="44">
        <f>SUM(C133:N133)</f>
        <v>194622</v>
      </c>
      <c r="P133" s="11">
        <f t="shared" si="28"/>
        <v>16573</v>
      </c>
    </row>
    <row r="134" spans="1:16">
      <c r="A134" t="s">
        <v>19</v>
      </c>
      <c r="B134" s="43" t="s">
        <v>56</v>
      </c>
      <c r="C134" s="82">
        <f>VLOOKUP($A134&amp;"GCP",'E11 - 2014 09 Final'!$A$46:$Q$1704,C$121,FALSE)</f>
        <v>20308</v>
      </c>
      <c r="D134" s="82">
        <f>VLOOKUP($A134&amp;"GCP",'E11 - 2014 09 Final'!$A$46:$Q$1704,D$121,FALSE)</f>
        <v>23536</v>
      </c>
      <c r="E134" s="82">
        <f>VLOOKUP($A134&amp;"GCP",'E11 - 2014 09 Final'!$A$46:$Q$1704,E$121,FALSE)</f>
        <v>22679</v>
      </c>
      <c r="F134" s="82">
        <f>VLOOKUP($A134&amp;"GCP",'E11 - 2014 09 Final'!$A$46:$Q$1704,F$121,FALSE)</f>
        <v>24797</v>
      </c>
      <c r="G134" s="82">
        <f>VLOOKUP($A134&amp;"GCP",'E11 - 2014 09 Final'!$A$46:$Q$1704,G$121,FALSE)</f>
        <v>25707</v>
      </c>
      <c r="H134" s="82">
        <f>VLOOKUP($A134&amp;"GCP",'E11 - 2014 09 Final'!$A$46:$Q$1704,H$121,FALSE)</f>
        <v>27201</v>
      </c>
      <c r="I134" s="82">
        <f>VLOOKUP($A134&amp;"GCP",'E11 - 2014 09 Final'!$A$46:$Q$1704,I$121,FALSE)</f>
        <v>26082</v>
      </c>
      <c r="J134" s="82">
        <f>VLOOKUP($A134&amp;"GCP",'E11 - 2014 09 Final'!$A$46:$Q$1704,J$121,FALSE)</f>
        <v>24714</v>
      </c>
      <c r="K134" s="82">
        <f>VLOOKUP($A134&amp;"GCP",'E11 - 2014 09 Final'!$A$46:$Q$1704,K$121,FALSE)</f>
        <v>23891</v>
      </c>
      <c r="L134" s="82">
        <f>VLOOKUP($A134&amp;"GCP",'E11 - 2014 09 Final'!$A$46:$Q$1704,L$121,FALSE)</f>
        <v>21754</v>
      </c>
      <c r="M134" s="82">
        <f>VLOOKUP($A134&amp;"GCP",'E11 - 2014 09 Final'!$A$46:$Q$1704,M$121,FALSE)</f>
        <v>21117</v>
      </c>
      <c r="N134" s="82">
        <f>VLOOKUP($A134&amp;"GCP",'E11 - 2014 09 Final'!$A$46:$Q$1704,N$121,FALSE)</f>
        <v>20192</v>
      </c>
      <c r="O134" s="44">
        <f>SUM(C134:N134)</f>
        <v>281978</v>
      </c>
      <c r="P134" s="11">
        <f>MAX(C134:N134)</f>
        <v>27201</v>
      </c>
    </row>
    <row r="135" spans="1:16">
      <c r="A135" t="s">
        <v>22</v>
      </c>
      <c r="B135" s="43" t="s">
        <v>57</v>
      </c>
      <c r="C135" s="82">
        <f>VLOOKUP($A135&amp;"GCP",'E11 - 2014 09 Final'!$A$46:$Q$1704,C$121,FALSE)</f>
        <v>9128</v>
      </c>
      <c r="D135" s="82">
        <f>VLOOKUP($A135&amp;"GCP",'E11 - 2014 09 Final'!$A$46:$Q$1704,D$121,FALSE)</f>
        <v>11286</v>
      </c>
      <c r="E135" s="82">
        <f>VLOOKUP($A135&amp;"GCP",'E11 - 2014 09 Final'!$A$46:$Q$1704,E$121,FALSE)</f>
        <v>12949</v>
      </c>
      <c r="F135" s="82">
        <f>VLOOKUP($A135&amp;"GCP",'E11 - 2014 09 Final'!$A$46:$Q$1704,F$121,FALSE)</f>
        <v>8683</v>
      </c>
      <c r="G135" s="82">
        <f>VLOOKUP($A135&amp;"GCP",'E11 - 2014 09 Final'!$A$46:$Q$1704,G$121,FALSE)</f>
        <v>8170</v>
      </c>
      <c r="H135" s="82">
        <f>VLOOKUP($A135&amp;"GCP",'E11 - 2014 09 Final'!$A$46:$Q$1704,H$121,FALSE)</f>
        <v>7644</v>
      </c>
      <c r="I135" s="82">
        <f>VLOOKUP($A135&amp;"GCP",'E11 - 2014 09 Final'!$A$46:$Q$1704,I$121,FALSE)</f>
        <v>5191</v>
      </c>
      <c r="J135" s="82">
        <f>VLOOKUP($A135&amp;"GCP",'E11 - 2014 09 Final'!$A$46:$Q$1704,J$121,FALSE)</f>
        <v>5634</v>
      </c>
      <c r="K135" s="82">
        <f>VLOOKUP($A135&amp;"GCP",'E11 - 2014 09 Final'!$A$46:$Q$1704,K$121,FALSE)</f>
        <v>8161</v>
      </c>
      <c r="L135" s="82">
        <f>VLOOKUP($A135&amp;"GCP",'E11 - 2014 09 Final'!$A$46:$Q$1704,L$121,FALSE)</f>
        <v>9538</v>
      </c>
      <c r="M135" s="82">
        <f>VLOOKUP($A135&amp;"GCP",'E11 - 2014 09 Final'!$A$46:$Q$1704,M$121,FALSE)</f>
        <v>11457</v>
      </c>
      <c r="N135" s="82">
        <f>VLOOKUP($A135&amp;"GCP",'E11 - 2014 09 Final'!$A$46:$Q$1704,N$121,FALSE)</f>
        <v>9996</v>
      </c>
      <c r="O135" s="44">
        <f t="shared" ref="O135:O140" si="29">SUM(C135:N135)</f>
        <v>107837</v>
      </c>
      <c r="P135" s="11">
        <f t="shared" si="28"/>
        <v>12949</v>
      </c>
    </row>
    <row r="136" spans="1:16">
      <c r="A136" t="s">
        <v>687</v>
      </c>
      <c r="B136" s="43" t="s">
        <v>48</v>
      </c>
      <c r="C136" s="82">
        <f>VLOOKUP($A136&amp;"GCP",'E11 - 2014 09 Final'!$A$46:$Q$1704,C$121,FALSE)</f>
        <v>11077038</v>
      </c>
      <c r="D136" s="82">
        <f>VLOOKUP($A136&amp;"GCP",'E11 - 2014 09 Final'!$A$46:$Q$1704,D$121,FALSE)</f>
        <v>9753860</v>
      </c>
      <c r="E136" s="82">
        <f>VLOOKUP($A136&amp;"GCP",'E11 - 2014 09 Final'!$A$46:$Q$1704,E$121,FALSE)</f>
        <v>9243748</v>
      </c>
      <c r="F136" s="82">
        <f>VLOOKUP($A136&amp;"GCP",'E11 - 2014 09 Final'!$A$46:$Q$1704,F$121,FALSE)</f>
        <v>9768230</v>
      </c>
      <c r="G136" s="82">
        <f>VLOOKUP($A136&amp;"GCP",'E11 - 2014 09 Final'!$A$46:$Q$1704,G$121,FALSE)</f>
        <v>10678156</v>
      </c>
      <c r="H136" s="82">
        <f>VLOOKUP($A136&amp;"GCP",'E11 - 2014 09 Final'!$A$46:$Q$1704,H$121,FALSE)</f>
        <v>11881815</v>
      </c>
      <c r="I136" s="82">
        <f>VLOOKUP($A136&amp;"GCP",'E11 - 2014 09 Final'!$A$46:$Q$1704,I$121,FALSE)</f>
        <v>12367046</v>
      </c>
      <c r="J136" s="82">
        <f>VLOOKUP($A136&amp;"GCP",'E11 - 2014 09 Final'!$A$46:$Q$1704,J$121,FALSE)</f>
        <v>12241609</v>
      </c>
      <c r="K136" s="82">
        <f>VLOOKUP($A136&amp;"GCP",'E11 - 2014 09 Final'!$A$46:$Q$1704,K$121,FALSE)</f>
        <v>14177423</v>
      </c>
      <c r="L136" s="82">
        <f>VLOOKUP($A136&amp;"GCP",'E11 - 2014 09 Final'!$A$46:$Q$1704,L$121,FALSE)</f>
        <v>11505260</v>
      </c>
      <c r="M136" s="82">
        <f>VLOOKUP($A136&amp;"GCP",'E11 - 2014 09 Final'!$A$46:$Q$1704,M$121,FALSE)</f>
        <v>9678526</v>
      </c>
      <c r="N136" s="82">
        <f>VLOOKUP($A136&amp;"GCP",'E11 - 2014 09 Final'!$A$46:$Q$1704,N$121,FALSE)</f>
        <v>8995446</v>
      </c>
      <c r="O136" s="44">
        <f t="shared" si="29"/>
        <v>131368157</v>
      </c>
      <c r="P136" s="11">
        <f t="shared" si="28"/>
        <v>14177423</v>
      </c>
    </row>
    <row r="137" spans="1:16">
      <c r="A137" t="s">
        <v>35</v>
      </c>
      <c r="B137" s="43" t="s">
        <v>53</v>
      </c>
      <c r="C137" s="82">
        <f>VLOOKUP($A137&amp;"GCP",'E11 - 2014 09 Final'!$A$46:$Q$1704,C$121,FALSE)</f>
        <v>98671</v>
      </c>
      <c r="D137" s="82">
        <f>VLOOKUP($A137&amp;"GCP",'E11 - 2014 09 Final'!$A$46:$Q$1704,D$121,FALSE)</f>
        <v>111238</v>
      </c>
      <c r="E137" s="82">
        <f>VLOOKUP($A137&amp;"GCP",'E11 - 2014 09 Final'!$A$46:$Q$1704,E$121,FALSE)</f>
        <v>132005</v>
      </c>
      <c r="F137" s="82">
        <f>VLOOKUP($A137&amp;"GCP",'E11 - 2014 09 Final'!$A$46:$Q$1704,F$121,FALSE)</f>
        <v>126507</v>
      </c>
      <c r="G137" s="82">
        <f>VLOOKUP($A137&amp;"GCP",'E11 - 2014 09 Final'!$A$46:$Q$1704,G$121,FALSE)</f>
        <v>132850</v>
      </c>
      <c r="H137" s="82">
        <f>VLOOKUP($A137&amp;"GCP",'E11 - 2014 09 Final'!$A$46:$Q$1704,H$121,FALSE)</f>
        <v>129852</v>
      </c>
      <c r="I137" s="82">
        <f>VLOOKUP($A137&amp;"GCP",'E11 - 2014 09 Final'!$A$46:$Q$1704,I$121,FALSE)</f>
        <v>140741</v>
      </c>
      <c r="J137" s="82">
        <f>VLOOKUP($A137&amp;"GCP",'E11 - 2014 09 Final'!$A$46:$Q$1704,J$121,FALSE)</f>
        <v>125898</v>
      </c>
      <c r="K137" s="82">
        <f>VLOOKUP($A137&amp;"GCP",'E11 - 2014 09 Final'!$A$46:$Q$1704,K$121,FALSE)</f>
        <v>124291</v>
      </c>
      <c r="L137" s="82">
        <f>VLOOKUP($A137&amp;"GCP",'E11 - 2014 09 Final'!$A$46:$Q$1704,L$121,FALSE)</f>
        <v>98173</v>
      </c>
      <c r="M137" s="82">
        <f>VLOOKUP($A137&amp;"GCP",'E11 - 2014 09 Final'!$A$46:$Q$1704,M$121,FALSE)</f>
        <v>108524</v>
      </c>
      <c r="N137" s="82">
        <f>VLOOKUP($A137&amp;"GCP",'E11 - 2014 09 Final'!$A$46:$Q$1704,N$121,FALSE)</f>
        <v>118061</v>
      </c>
      <c r="O137" s="44">
        <f t="shared" si="29"/>
        <v>1446811</v>
      </c>
      <c r="P137" s="11">
        <f t="shared" si="28"/>
        <v>140741</v>
      </c>
    </row>
    <row r="138" spans="1:16">
      <c r="A138" t="s">
        <v>38</v>
      </c>
      <c r="B138" s="43" t="s">
        <v>55</v>
      </c>
      <c r="C138" s="82">
        <f>VLOOKUP($A138&amp;"GCP",'E11 - 2014 09 Final'!$A$46:$Q$1704,C$121,FALSE)</f>
        <v>3473</v>
      </c>
      <c r="D138" s="82">
        <f>VLOOKUP($A138&amp;"GCP",'E11 - 2014 09 Final'!$A$46:$Q$1704,D$121,FALSE)</f>
        <v>3853</v>
      </c>
      <c r="E138" s="82">
        <f>VLOOKUP($A138&amp;"GCP",'E11 - 2014 09 Final'!$A$46:$Q$1704,E$121,FALSE)</f>
        <v>3488</v>
      </c>
      <c r="F138" s="82">
        <f>VLOOKUP($A138&amp;"GCP",'E11 - 2014 09 Final'!$A$46:$Q$1704,F$121,FALSE)</f>
        <v>3597</v>
      </c>
      <c r="G138" s="82">
        <f>VLOOKUP($A138&amp;"GCP",'E11 - 2014 09 Final'!$A$46:$Q$1704,G$121,FALSE)</f>
        <v>3481</v>
      </c>
      <c r="H138" s="82">
        <f>VLOOKUP($A138&amp;"GCP",'E11 - 2014 09 Final'!$A$46:$Q$1704,H$121,FALSE)</f>
        <v>3601</v>
      </c>
      <c r="I138" s="82">
        <f>VLOOKUP($A138&amp;"GCP",'E11 - 2014 09 Final'!$A$46:$Q$1704,I$121,FALSE)</f>
        <v>3484</v>
      </c>
      <c r="J138" s="82">
        <f>VLOOKUP($A138&amp;"GCP",'E11 - 2014 09 Final'!$A$46:$Q$1704,J$121,FALSE)</f>
        <v>3499</v>
      </c>
      <c r="K138" s="82">
        <f>VLOOKUP($A138&amp;"GCP",'E11 - 2014 09 Final'!$A$46:$Q$1704,K$121,FALSE)</f>
        <v>3381</v>
      </c>
      <c r="L138" s="82">
        <f>VLOOKUP($A138&amp;"GCP",'E11 - 2014 09 Final'!$A$46:$Q$1704,L$121,FALSE)</f>
        <v>3483</v>
      </c>
      <c r="M138" s="82">
        <f>VLOOKUP($A138&amp;"GCP",'E11 - 2014 09 Final'!$A$46:$Q$1704,M$121,FALSE)</f>
        <v>3566</v>
      </c>
      <c r="N138" s="82">
        <f>VLOOKUP($A138&amp;"GCP",'E11 - 2014 09 Final'!$A$46:$Q$1704,N$121,FALSE)</f>
        <v>3503</v>
      </c>
      <c r="O138" s="44">
        <f t="shared" si="29"/>
        <v>42409</v>
      </c>
      <c r="P138" s="11">
        <f t="shared" si="28"/>
        <v>3853</v>
      </c>
    </row>
    <row r="139" spans="1:16">
      <c r="A139" t="s">
        <v>40</v>
      </c>
      <c r="B139" s="43" t="s">
        <v>87</v>
      </c>
      <c r="C139" s="82">
        <f>VLOOKUP($A139&amp;"GCP",'E11 - 2014 09 Final'!$A$46:$Q$1704,C$121,FALSE)</f>
        <v>3083</v>
      </c>
      <c r="D139" s="82">
        <f>VLOOKUP($A139&amp;"GCP",'E11 - 2014 09 Final'!$A$46:$Q$1704,D$121,FALSE)</f>
        <v>4470</v>
      </c>
      <c r="E139" s="82">
        <f>VLOOKUP($A139&amp;"GCP",'E11 - 2014 09 Final'!$A$46:$Q$1704,E$121,FALSE)</f>
        <v>5550</v>
      </c>
      <c r="F139" s="82">
        <f>VLOOKUP($A139&amp;"GCP",'E11 - 2014 09 Final'!$A$46:$Q$1704,F$121,FALSE)</f>
        <v>4126</v>
      </c>
      <c r="G139" s="82">
        <f>VLOOKUP($A139&amp;"GCP",'E11 - 2014 09 Final'!$A$46:$Q$1704,G$121,FALSE)</f>
        <v>5238</v>
      </c>
      <c r="H139" s="82">
        <f>VLOOKUP($A139&amp;"GCP",'E11 - 2014 09 Final'!$A$46:$Q$1704,H$121,FALSE)</f>
        <v>3018</v>
      </c>
      <c r="I139" s="82">
        <f>VLOOKUP($A139&amp;"GCP",'E11 - 2014 09 Final'!$A$46:$Q$1704,I$121,FALSE)</f>
        <v>3591</v>
      </c>
      <c r="J139" s="82">
        <f>VLOOKUP($A139&amp;"GCP",'E11 - 2014 09 Final'!$A$46:$Q$1704,J$121,FALSE)</f>
        <v>4705</v>
      </c>
      <c r="K139" s="82">
        <f>VLOOKUP($A139&amp;"GCP",'E11 - 2014 09 Final'!$A$46:$Q$1704,K$121,FALSE)</f>
        <v>3722</v>
      </c>
      <c r="L139" s="82">
        <f>VLOOKUP($A139&amp;"GCP",'E11 - 2014 09 Final'!$A$46:$Q$1704,L$121,FALSE)</f>
        <v>2842</v>
      </c>
      <c r="M139" s="82">
        <f>VLOOKUP($A139&amp;"GCP",'E11 - 2014 09 Final'!$A$46:$Q$1704,M$121,FALSE)</f>
        <v>4342</v>
      </c>
      <c r="N139" s="82">
        <f>VLOOKUP($A139&amp;"GCP",'E11 - 2014 09 Final'!$A$46:$Q$1704,N$121,FALSE)</f>
        <v>1124</v>
      </c>
      <c r="O139" s="44">
        <f t="shared" si="29"/>
        <v>45811</v>
      </c>
      <c r="P139" s="11">
        <f t="shared" si="28"/>
        <v>5550</v>
      </c>
    </row>
    <row r="140" spans="1:16">
      <c r="A140" t="s">
        <v>45</v>
      </c>
      <c r="B140" s="43" t="s">
        <v>88</v>
      </c>
      <c r="C140" s="82">
        <f>VLOOKUP($A140&amp;"GCP",'E11 - 2014 09 Final'!$A$46:$Q$1704,C$121,FALSE)</f>
        <v>23786</v>
      </c>
      <c r="D140" s="82">
        <f>VLOOKUP($A140&amp;"GCP",'E11 - 2014 09 Final'!$A$46:$Q$1704,D$121,FALSE)</f>
        <v>28525</v>
      </c>
      <c r="E140" s="82">
        <f>VLOOKUP($A140&amp;"GCP",'E11 - 2014 09 Final'!$A$46:$Q$1704,E$121,FALSE)</f>
        <v>26449</v>
      </c>
      <c r="F140" s="82">
        <f>VLOOKUP($A140&amp;"GCP",'E11 - 2014 09 Final'!$A$46:$Q$1704,F$121,FALSE)</f>
        <v>21693</v>
      </c>
      <c r="G140" s="82">
        <f>VLOOKUP($A140&amp;"GCP",'E11 - 2014 09 Final'!$A$46:$Q$1704,G$121,FALSE)</f>
        <v>33037</v>
      </c>
      <c r="H140" s="82">
        <f>VLOOKUP($A140&amp;"GCP",'E11 - 2014 09 Final'!$A$46:$Q$1704,H$121,FALSE)</f>
        <v>34118</v>
      </c>
      <c r="I140" s="82">
        <f>VLOOKUP($A140&amp;"GCP",'E11 - 2014 09 Final'!$A$46:$Q$1704,I$121,FALSE)</f>
        <v>15725</v>
      </c>
      <c r="J140" s="82">
        <f>VLOOKUP($A140&amp;"GCP",'E11 - 2014 09 Final'!$A$46:$Q$1704,J$121,FALSE)</f>
        <v>20400</v>
      </c>
      <c r="K140" s="82">
        <f>VLOOKUP($A140&amp;"GCP",'E11 - 2014 09 Final'!$A$46:$Q$1704,K$121,FALSE)</f>
        <v>39259</v>
      </c>
      <c r="L140" s="82">
        <f>VLOOKUP($A140&amp;"GCP",'E11 - 2014 09 Final'!$A$46:$Q$1704,L$121,FALSE)</f>
        <v>24496</v>
      </c>
      <c r="M140" s="82">
        <f>VLOOKUP($A140&amp;"GCP",'E11 - 2014 09 Final'!$A$46:$Q$1704,M$121,FALSE)</f>
        <v>36623</v>
      </c>
      <c r="N140" s="82">
        <f>VLOOKUP($A140&amp;"GCP",'E11 - 2014 09 Final'!$A$46:$Q$1704,N$121,FALSE)</f>
        <v>29585</v>
      </c>
      <c r="O140" s="44">
        <f t="shared" si="29"/>
        <v>333696</v>
      </c>
      <c r="P140" s="11">
        <f t="shared" si="28"/>
        <v>39259</v>
      </c>
    </row>
    <row r="141" spans="1:16">
      <c r="C141" s="48"/>
      <c r="D141" s="48"/>
      <c r="E141" s="48"/>
      <c r="F141" s="48"/>
      <c r="G141" s="48"/>
      <c r="H141" s="48"/>
      <c r="I141" s="48"/>
      <c r="J141" s="48"/>
      <c r="K141" s="48"/>
      <c r="L141" s="48"/>
      <c r="M141" s="48"/>
      <c r="N141" s="48"/>
      <c r="O141" s="44"/>
      <c r="P141" s="11"/>
    </row>
    <row r="142" spans="1:16">
      <c r="C142" s="48"/>
      <c r="D142" s="48"/>
      <c r="E142" s="48"/>
      <c r="F142" s="48"/>
      <c r="G142" s="48"/>
      <c r="H142" s="48"/>
      <c r="I142" s="48"/>
      <c r="J142" s="48"/>
      <c r="K142" s="48"/>
      <c r="L142" s="48"/>
      <c r="M142" s="48"/>
      <c r="N142" s="48"/>
      <c r="O142" s="44"/>
      <c r="P142" s="11"/>
    </row>
    <row r="143" spans="1:16">
      <c r="B143" s="42" t="s">
        <v>86</v>
      </c>
      <c r="C143" s="10"/>
      <c r="D143" s="10"/>
      <c r="E143" s="10"/>
      <c r="F143" s="10"/>
      <c r="G143" s="10"/>
      <c r="H143" s="10"/>
      <c r="I143" s="10"/>
      <c r="J143" s="10"/>
      <c r="K143" s="10"/>
      <c r="L143" s="10"/>
      <c r="M143" s="10"/>
      <c r="N143" s="10"/>
    </row>
    <row r="144" spans="1:16">
      <c r="A144" t="s">
        <v>603</v>
      </c>
      <c r="B144" t="s">
        <v>603</v>
      </c>
      <c r="C144" s="82">
        <f>VLOOKUP($A144&amp;"GCP",'E11 - 2014 09 Final'!$A$46:$Q$1704,C$121,FALSE)</f>
        <v>8505</v>
      </c>
      <c r="D144" s="82">
        <f>VLOOKUP($A144&amp;"GCP",'E11 - 2014 09 Final'!$A$46:$Q$1704,D$121,FALSE)</f>
        <v>6861</v>
      </c>
      <c r="E144" s="82">
        <f>VLOOKUP($A144&amp;"GCP",'E11 - 2014 09 Final'!$A$46:$Q$1704,E$121,FALSE)</f>
        <v>5883</v>
      </c>
      <c r="F144" s="82">
        <f>VLOOKUP($A144&amp;"GCP",'E11 - 2014 09 Final'!$A$46:$Q$1704,F$121,FALSE)</f>
        <v>6515</v>
      </c>
      <c r="G144" s="82">
        <f>VLOOKUP($A144&amp;"GCP",'E11 - 2014 09 Final'!$A$46:$Q$1704,G$121,FALSE)</f>
        <v>7297</v>
      </c>
      <c r="H144" s="82">
        <f>VLOOKUP($A144&amp;"GCP",'E11 - 2014 09 Final'!$A$46:$Q$1704,H$121,FALSE)</f>
        <v>8300</v>
      </c>
      <c r="I144" s="82">
        <f>VLOOKUP($A144&amp;"GCP",'E11 - 2014 09 Final'!$A$46:$Q$1704,I$121,FALSE)</f>
        <v>8358</v>
      </c>
      <c r="J144" s="82">
        <f>VLOOKUP($A144&amp;"GCP",'E11 - 2014 09 Final'!$A$46:$Q$1704,J$121,FALSE)</f>
        <v>8658</v>
      </c>
      <c r="K144" s="82">
        <f>VLOOKUP($A144&amp;"GCP",'E11 - 2014 09 Final'!$A$46:$Q$1704,K$121,FALSE)</f>
        <v>8237</v>
      </c>
      <c r="L144" s="82">
        <f>VLOOKUP($A144&amp;"GCP",'E11 - 2014 09 Final'!$A$46:$Q$1704,L$121,FALSE)</f>
        <v>6928</v>
      </c>
      <c r="M144" s="82">
        <f>VLOOKUP($A144&amp;"GCP",'E11 - 2014 09 Final'!$A$46:$Q$1704,M$121,FALSE)</f>
        <v>7506</v>
      </c>
      <c r="N144" s="82">
        <f>VLOOKUP($A144&amp;"GCP",'E11 - 2014 09 Final'!$A$46:$Q$1704,N$121,FALSE)</f>
        <v>6384</v>
      </c>
      <c r="O144" s="44">
        <f t="shared" ref="O144:O150" si="30">SUM(C144:N144)</f>
        <v>89432</v>
      </c>
      <c r="P144" s="11">
        <f t="shared" ref="P144:P150" si="31">MAX(C144:N144)</f>
        <v>8658</v>
      </c>
    </row>
    <row r="145" spans="1:16">
      <c r="A145" t="s">
        <v>245</v>
      </c>
      <c r="B145" t="s">
        <v>983</v>
      </c>
      <c r="C145" s="82">
        <f>VLOOKUP($A145&amp;"GCP",'E11 - 2014 09 Final'!$A$46:$Q$1704,C$121,FALSE)</f>
        <v>119648</v>
      </c>
      <c r="D145" s="82">
        <f>VLOOKUP($A145&amp;"GCP",'E11 - 2014 09 Final'!$A$46:$Q$1704,D$121,FALSE)</f>
        <v>118724</v>
      </c>
      <c r="E145" s="82">
        <f>VLOOKUP($A145&amp;"GCP",'E11 - 2014 09 Final'!$A$46:$Q$1704,E$121,FALSE)</f>
        <v>124969</v>
      </c>
      <c r="F145" s="82">
        <f>VLOOKUP($A145&amp;"GCP",'E11 - 2014 09 Final'!$A$46:$Q$1704,F$121,FALSE)</f>
        <v>130649</v>
      </c>
      <c r="G145" s="82">
        <f>VLOOKUP($A145&amp;"GCP",'E11 - 2014 09 Final'!$A$46:$Q$1704,G$121,FALSE)</f>
        <v>135618</v>
      </c>
      <c r="H145" s="82">
        <f>VLOOKUP($A145&amp;"GCP",'E11 - 2014 09 Final'!$A$46:$Q$1704,H$121,FALSE)</f>
        <v>144202</v>
      </c>
      <c r="I145" s="82">
        <f>VLOOKUP($A145&amp;"GCP",'E11 - 2014 09 Final'!$A$46:$Q$1704,I$121,FALSE)</f>
        <v>158706</v>
      </c>
      <c r="J145" s="82">
        <f>VLOOKUP($A145&amp;"GCP",'E11 - 2014 09 Final'!$A$46:$Q$1704,J$121,FALSE)</f>
        <v>156563</v>
      </c>
      <c r="K145" s="82">
        <f>VLOOKUP($A145&amp;"GCP",'E11 - 2014 09 Final'!$A$46:$Q$1704,K$121,FALSE)</f>
        <v>143516</v>
      </c>
      <c r="L145" s="82">
        <f>VLOOKUP($A145&amp;"GCP",'E11 - 2014 09 Final'!$A$46:$Q$1704,L$121,FALSE)</f>
        <v>136857</v>
      </c>
      <c r="M145" s="82">
        <f>VLOOKUP($A145&amp;"GCP",'E11 - 2014 09 Final'!$A$46:$Q$1704,M$121,FALSE)</f>
        <v>115289</v>
      </c>
      <c r="N145" s="82">
        <f>VLOOKUP($A145&amp;"GCP",'E11 - 2014 09 Final'!$A$46:$Q$1704,N$121,FALSE)</f>
        <v>118302</v>
      </c>
      <c r="O145" s="44">
        <f t="shared" si="30"/>
        <v>1603043</v>
      </c>
      <c r="P145" s="11">
        <f t="shared" si="31"/>
        <v>158706</v>
      </c>
    </row>
    <row r="146" spans="1:16">
      <c r="A146" t="s">
        <v>661</v>
      </c>
      <c r="B146" t="s">
        <v>984</v>
      </c>
      <c r="C146" s="82">
        <f>VLOOKUP($A146&amp;"GCP",'E11 - 2014 09 Final'!$A$46:$Q$1704,C$121,FALSE)</f>
        <v>759818</v>
      </c>
      <c r="D146" s="82">
        <f>VLOOKUP($A146&amp;"GCP",'E11 - 2014 09 Final'!$A$46:$Q$1704,D$121,FALSE)</f>
        <v>607977</v>
      </c>
      <c r="E146" s="82">
        <f>VLOOKUP($A146&amp;"GCP",'E11 - 2014 09 Final'!$A$46:$Q$1704,E$121,FALSE)</f>
        <v>587761</v>
      </c>
      <c r="F146" s="82">
        <f>VLOOKUP($A146&amp;"GCP",'E11 - 2014 09 Final'!$A$46:$Q$1704,F$121,FALSE)</f>
        <v>720832</v>
      </c>
      <c r="G146" s="82">
        <f>VLOOKUP($A146&amp;"GCP",'E11 - 2014 09 Final'!$A$46:$Q$1704,G$121,FALSE)</f>
        <v>754990</v>
      </c>
      <c r="H146" s="82">
        <f>VLOOKUP($A146&amp;"GCP",'E11 - 2014 09 Final'!$A$46:$Q$1704,H$121,FALSE)</f>
        <v>810713</v>
      </c>
      <c r="I146" s="82">
        <f>VLOOKUP($A146&amp;"GCP",'E11 - 2014 09 Final'!$A$46:$Q$1704,I$121,FALSE)</f>
        <v>805670</v>
      </c>
      <c r="J146" s="82">
        <f>VLOOKUP($A146&amp;"GCP",'E11 - 2014 09 Final'!$A$46:$Q$1704,J$121,FALSE)</f>
        <v>837392</v>
      </c>
      <c r="K146" s="82">
        <f>VLOOKUP($A146&amp;"GCP",'E11 - 2014 09 Final'!$A$46:$Q$1704,K$121,FALSE)</f>
        <v>788046</v>
      </c>
      <c r="L146" s="82">
        <f>VLOOKUP($A146&amp;"GCP",'E11 - 2014 09 Final'!$A$46:$Q$1704,L$121,FALSE)</f>
        <v>761167</v>
      </c>
      <c r="M146" s="82">
        <f>VLOOKUP($A146&amp;"GCP",'E11 - 2014 09 Final'!$A$46:$Q$1704,M$121,FALSE)</f>
        <v>598817</v>
      </c>
      <c r="N146" s="82">
        <f>VLOOKUP($A146&amp;"GCP",'E11 - 2014 09 Final'!$A$46:$Q$1704,N$121,FALSE)</f>
        <v>561480</v>
      </c>
      <c r="O146" s="44">
        <f t="shared" si="30"/>
        <v>8594663</v>
      </c>
      <c r="P146" s="11">
        <f t="shared" si="31"/>
        <v>837392</v>
      </c>
    </row>
    <row r="147" spans="1:16">
      <c r="A147" t="s">
        <v>673</v>
      </c>
      <c r="B147" t="s">
        <v>985</v>
      </c>
      <c r="C147" s="82">
        <f>VLOOKUP($A147&amp;"GCP",'E11 - 2014 09 Final'!$A$46:$Q$1704,C$121,FALSE)</f>
        <v>0</v>
      </c>
      <c r="D147" s="82">
        <f>VLOOKUP($A147&amp;"GCP",'E11 - 2014 09 Final'!$A$46:$Q$1704,D$121,FALSE)</f>
        <v>35000</v>
      </c>
      <c r="E147" s="82">
        <f>VLOOKUP($A147&amp;"GCP",'E11 - 2014 09 Final'!$A$46:$Q$1704,E$121,FALSE)</f>
        <v>20000</v>
      </c>
      <c r="F147" s="82">
        <f>VLOOKUP($A147&amp;"GCP",'E11 - 2014 09 Final'!$A$46:$Q$1704,F$121,FALSE)</f>
        <v>10000</v>
      </c>
      <c r="G147" s="82">
        <f>VLOOKUP($A147&amp;"GCP",'E11 - 2014 09 Final'!$A$46:$Q$1704,G$121,FALSE)</f>
        <v>20000</v>
      </c>
      <c r="H147" s="82">
        <f>VLOOKUP($A147&amp;"GCP",'E11 - 2014 09 Final'!$A$46:$Q$1704,H$121,FALSE)</f>
        <v>35000</v>
      </c>
      <c r="I147" s="82">
        <f>VLOOKUP($A147&amp;"GCP",'E11 - 2014 09 Final'!$A$46:$Q$1704,I$121,FALSE)</f>
        <v>35000</v>
      </c>
      <c r="J147" s="82">
        <f>VLOOKUP($A147&amp;"GCP",'E11 - 2014 09 Final'!$A$46:$Q$1704,J$121,FALSE)</f>
        <v>35000</v>
      </c>
      <c r="K147" s="82">
        <f>VLOOKUP($A147&amp;"GCP",'E11 - 2014 09 Final'!$A$46:$Q$1704,K$121,FALSE)</f>
        <v>25000</v>
      </c>
      <c r="L147" s="82">
        <f>VLOOKUP($A147&amp;"GCP",'E11 - 2014 09 Final'!$A$46:$Q$1704,L$121,FALSE)</f>
        <v>20000</v>
      </c>
      <c r="M147" s="82">
        <f>VLOOKUP($A147&amp;"GCP",'E11 - 2014 09 Final'!$A$46:$Q$1704,M$121,FALSE)</f>
        <v>10000</v>
      </c>
      <c r="N147" s="82">
        <f>VLOOKUP($A147&amp;"GCP",'E11 - 2014 09 Final'!$A$46:$Q$1704,N$121,FALSE)</f>
        <v>20000</v>
      </c>
      <c r="O147" s="44">
        <f t="shared" si="30"/>
        <v>265000</v>
      </c>
      <c r="P147" s="11">
        <f t="shared" si="31"/>
        <v>35000</v>
      </c>
    </row>
    <row r="148" spans="1:16" ht="409.6">
      <c r="A148" t="s">
        <v>691</v>
      </c>
      <c r="B148" t="s">
        <v>691</v>
      </c>
      <c r="C148" s="82">
        <f>VLOOKUP($A148&amp;"GCP",'E11 - 2014 09 Final'!$A$46:$Q$1704,C$121,FALSE)</f>
        <v>0</v>
      </c>
      <c r="D148" s="82">
        <f>VLOOKUP($A148&amp;"GCP",'E11 - 2014 09 Final'!$A$46:$Q$1704,D$121,FALSE)</f>
        <v>0</v>
      </c>
      <c r="E148" s="82">
        <f>VLOOKUP($A148&amp;"GCP",'E11 - 2014 09 Final'!$A$46:$Q$1704,E$121,FALSE)</f>
        <v>0</v>
      </c>
      <c r="F148" s="82">
        <f>VLOOKUP($A148&amp;"GCP",'E11 - 2014 09 Final'!$A$46:$Q$1704,F$121,FALSE)</f>
        <v>0</v>
      </c>
      <c r="G148" s="82">
        <f>VLOOKUP($A148&amp;"GCP",'E11 - 2014 09 Final'!$A$46:$Q$1704,G$121,FALSE)</f>
        <v>0</v>
      </c>
      <c r="H148" s="82">
        <f>VLOOKUP($A148&amp;"GCP",'E11 - 2014 09 Final'!$A$46:$Q$1704,H$121,FALSE)</f>
        <v>200000</v>
      </c>
      <c r="I148" s="82">
        <f>VLOOKUP($A148&amp;"GCP",'E11 - 2014 09 Final'!$A$46:$Q$1704,I$121,FALSE)</f>
        <v>200000</v>
      </c>
      <c r="J148" s="82">
        <f>VLOOKUP($A148&amp;"GCP",'E11 - 2014 09 Final'!$A$46:$Q$1704,J$121,FALSE)</f>
        <v>200000</v>
      </c>
      <c r="K148" s="82">
        <f>VLOOKUP($A148&amp;"GCP",'E11 - 2014 09 Final'!$A$46:$Q$1704,K$121,FALSE)</f>
        <v>200000</v>
      </c>
      <c r="L148" s="82">
        <f>VLOOKUP($A148&amp;"GCP",'E11 - 2014 09 Final'!$A$46:$Q$1704,L$121,FALSE)</f>
        <v>200000</v>
      </c>
      <c r="M148" s="82">
        <f>VLOOKUP($A148&amp;"GCP",'E11 - 2014 09 Final'!$A$46:$Q$1704,M$121,FALSE)</f>
        <v>225000</v>
      </c>
      <c r="N148" s="82">
        <f>VLOOKUP($A148&amp;"GCP",'E11 - 2014 09 Final'!$A$46:$Q$1704,N$121,FALSE)</f>
        <v>200000</v>
      </c>
      <c r="O148" s="44">
        <f t="shared" si="30"/>
        <v>1425000</v>
      </c>
      <c r="P148" s="11">
        <f t="shared" si="31"/>
        <v>225000</v>
      </c>
    </row>
    <row r="149" spans="1:16" ht="409.6">
      <c r="A149" t="s">
        <v>724</v>
      </c>
      <c r="B149" t="s">
        <v>724</v>
      </c>
      <c r="C149" s="82">
        <f>VLOOKUP($A149&amp;"GCP",'E11 - 2014 09 Final'!$A$46:$Q$1704,C$121,FALSE)</f>
        <v>12444</v>
      </c>
      <c r="D149" s="82">
        <f>VLOOKUP($A149&amp;"GCP",'E11 - 2014 09 Final'!$A$46:$Q$1704,D$121,FALSE)</f>
        <v>9408</v>
      </c>
      <c r="E149" s="82">
        <f>VLOOKUP($A149&amp;"GCP",'E11 - 2014 09 Final'!$A$46:$Q$1704,E$121,FALSE)</f>
        <v>9018</v>
      </c>
      <c r="F149" s="82">
        <f>VLOOKUP($A149&amp;"GCP",'E11 - 2014 09 Final'!$A$46:$Q$1704,F$121,FALSE)</f>
        <v>12473</v>
      </c>
      <c r="G149" s="82">
        <f>VLOOKUP($A149&amp;"GCP",'E11 - 2014 09 Final'!$A$46:$Q$1704,G$121,FALSE)</f>
        <v>12655</v>
      </c>
      <c r="H149" s="82">
        <f>VLOOKUP($A149&amp;"GCP",'E11 - 2014 09 Final'!$A$46:$Q$1704,H$121,FALSE)</f>
        <v>13244</v>
      </c>
      <c r="I149" s="82">
        <f>VLOOKUP($A149&amp;"GCP",'E11 - 2014 09 Final'!$A$46:$Q$1704,I$121,FALSE)</f>
        <v>12957</v>
      </c>
      <c r="J149" s="82">
        <f>VLOOKUP($A149&amp;"GCP",'E11 - 2014 09 Final'!$A$46:$Q$1704,J$121,FALSE)</f>
        <v>13556</v>
      </c>
      <c r="K149" s="82">
        <f>VLOOKUP($A149&amp;"GCP",'E11 - 2014 09 Final'!$A$46:$Q$1704,K$121,FALSE)</f>
        <v>13084</v>
      </c>
      <c r="L149" s="82">
        <f>VLOOKUP($A149&amp;"GCP",'E11 - 2014 09 Final'!$A$46:$Q$1704,L$121,FALSE)</f>
        <v>12339</v>
      </c>
      <c r="M149" s="82">
        <f>VLOOKUP($A149&amp;"GCP",'E11 - 2014 09 Final'!$A$46:$Q$1704,M$121,FALSE)</f>
        <v>9516</v>
      </c>
      <c r="N149" s="82">
        <f>VLOOKUP($A149&amp;"GCP",'E11 - 2014 09 Final'!$A$46:$Q$1704,N$121,FALSE)</f>
        <v>9621</v>
      </c>
      <c r="O149" s="44">
        <f t="shared" si="30"/>
        <v>140315</v>
      </c>
      <c r="P149" s="11">
        <f t="shared" si="31"/>
        <v>13556</v>
      </c>
    </row>
    <row r="150" spans="1:16">
      <c r="A150" t="s">
        <v>727</v>
      </c>
      <c r="B150" t="s">
        <v>986</v>
      </c>
      <c r="C150" s="82">
        <f>VLOOKUP($A150&amp;"GCP",'E11 - 2014 09 Final'!$A$46:$Q$1704,C$121,FALSE)</f>
        <v>23000</v>
      </c>
      <c r="D150" s="82">
        <f>VLOOKUP($A150&amp;"GCP",'E11 - 2014 09 Final'!$A$46:$Q$1704,D$121,FALSE)</f>
        <v>23000</v>
      </c>
      <c r="E150" s="82">
        <f>VLOOKUP($A150&amp;"GCP",'E11 - 2014 09 Final'!$A$46:$Q$1704,E$121,FALSE)</f>
        <v>23000</v>
      </c>
      <c r="F150" s="82">
        <f>VLOOKUP($A150&amp;"GCP",'E11 - 2014 09 Final'!$A$46:$Q$1704,F$121,FALSE)</f>
        <v>23000</v>
      </c>
      <c r="G150" s="82">
        <f>VLOOKUP($A150&amp;"GCP",'E11 - 2014 09 Final'!$A$46:$Q$1704,G$121,FALSE)</f>
        <v>23000</v>
      </c>
      <c r="H150" s="82">
        <f>VLOOKUP($A150&amp;"GCP",'E11 - 2014 09 Final'!$A$46:$Q$1704,H$121,FALSE)</f>
        <v>23000</v>
      </c>
      <c r="I150" s="82">
        <f>VLOOKUP($A150&amp;"GCP",'E11 - 2014 09 Final'!$A$46:$Q$1704,I$121,FALSE)</f>
        <v>23000</v>
      </c>
      <c r="J150" s="82">
        <f>VLOOKUP($A150&amp;"GCP",'E11 - 2014 09 Final'!$A$46:$Q$1704,J$121,FALSE)</f>
        <v>23000</v>
      </c>
      <c r="K150" s="82">
        <f>VLOOKUP($A150&amp;"GCP",'E11 - 2014 09 Final'!$A$46:$Q$1704,K$121,FALSE)</f>
        <v>23000</v>
      </c>
      <c r="L150" s="82">
        <f>VLOOKUP($A150&amp;"GCP",'E11 - 2014 09 Final'!$A$46:$Q$1704,L$121,FALSE)</f>
        <v>23000</v>
      </c>
      <c r="M150" s="82">
        <f>VLOOKUP($A150&amp;"GCP",'E11 - 2014 09 Final'!$A$46:$Q$1704,M$121,FALSE)</f>
        <v>23000</v>
      </c>
      <c r="N150" s="82">
        <f>VLOOKUP($A150&amp;"GCP",'E11 - 2014 09 Final'!$A$46:$Q$1704,N$121,FALSE)</f>
        <v>23000</v>
      </c>
      <c r="O150" s="44">
        <f t="shared" si="30"/>
        <v>276000</v>
      </c>
      <c r="P150" s="11">
        <f t="shared" si="31"/>
        <v>23000</v>
      </c>
    </row>
  </sheetData>
  <mergeCells count="8">
    <mergeCell ref="B75:P75"/>
    <mergeCell ref="B116:P116"/>
    <mergeCell ref="B117:P117"/>
    <mergeCell ref="B4:P4"/>
    <mergeCell ref="B5:P5"/>
    <mergeCell ref="B39:P39"/>
    <mergeCell ref="B40:P40"/>
    <mergeCell ref="B74:P74"/>
  </mergeCells>
  <phoneticPr fontId="9" type="noConversion"/>
  <pageMargins left="0" right="0" top="0.75" bottom="0.5" header="0.5" footer="0.5"/>
  <pageSetup scale="80" orientation="landscape" r:id="rId1"/>
  <headerFooter alignWithMargins="0"/>
  <rowBreaks count="3" manualBreakCount="3">
    <brk id="38" max="16383" man="1"/>
    <brk id="73" max="16383" man="1"/>
    <brk id="11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Q158"/>
  <sheetViews>
    <sheetView showGridLines="0" zoomScale="75" zoomScaleNormal="75" workbookViewId="0">
      <selection activeCell="A2" sqref="A1:A2"/>
    </sheetView>
  </sheetViews>
  <sheetFormatPr defaultColWidth="9.109375" defaultRowHeight="13.2"/>
  <cols>
    <col min="1" max="1" width="26.109375" style="350" customWidth="1"/>
    <col min="2" max="2" width="24.109375" style="350" customWidth="1"/>
    <col min="3" max="14" width="12.44140625" style="350" bestFit="1" customWidth="1"/>
    <col min="15" max="15" width="13.5546875" style="350" bestFit="1" customWidth="1"/>
    <col min="16" max="16" width="13.6640625" style="350" bestFit="1" customWidth="1"/>
    <col min="17" max="16384" width="9.109375" style="350"/>
  </cols>
  <sheetData>
    <row r="1" spans="1:16" s="618" customFormat="1">
      <c r="A1" s="618" t="s">
        <v>1320</v>
      </c>
    </row>
    <row r="2" spans="1:16" s="618" customFormat="1">
      <c r="A2" s="618" t="s">
        <v>1267</v>
      </c>
    </row>
    <row r="3" spans="1:16" s="618" customFormat="1"/>
    <row r="4" spans="1:16" ht="21">
      <c r="B4" s="613" t="s">
        <v>1119</v>
      </c>
      <c r="C4" s="613"/>
      <c r="D4" s="613"/>
      <c r="E4" s="613"/>
      <c r="F4" s="613"/>
      <c r="G4" s="613"/>
      <c r="H4" s="613"/>
      <c r="I4" s="613"/>
      <c r="J4" s="613"/>
      <c r="K4" s="613"/>
      <c r="L4" s="613"/>
      <c r="M4" s="613"/>
      <c r="N4" s="613"/>
      <c r="O4" s="613"/>
      <c r="P4" s="613"/>
    </row>
    <row r="5" spans="1:16">
      <c r="B5" s="615" t="s">
        <v>89</v>
      </c>
      <c r="C5" s="615"/>
      <c r="D5" s="615"/>
      <c r="E5" s="615"/>
      <c r="F5" s="615"/>
      <c r="G5" s="615"/>
      <c r="H5" s="615"/>
      <c r="I5" s="615"/>
      <c r="J5" s="615"/>
      <c r="K5" s="615"/>
      <c r="L5" s="615"/>
      <c r="M5" s="615"/>
      <c r="N5" s="615"/>
      <c r="O5" s="615"/>
      <c r="P5" s="615"/>
    </row>
    <row r="6" spans="1:16" ht="13.8" thickBot="1">
      <c r="B6" s="351"/>
      <c r="C6" s="351"/>
      <c r="D6" s="351"/>
      <c r="E6" s="351"/>
      <c r="F6" s="351"/>
      <c r="G6" s="351"/>
      <c r="H6" s="351"/>
      <c r="I6" s="351"/>
      <c r="J6" s="351"/>
      <c r="K6" s="351"/>
      <c r="L6" s="351"/>
      <c r="M6" s="351"/>
      <c r="N6" s="351"/>
      <c r="O6" s="351"/>
      <c r="P6" s="351"/>
    </row>
    <row r="7" spans="1:16">
      <c r="C7" s="352"/>
      <c r="D7" s="353"/>
      <c r="E7" s="354"/>
      <c r="F7" s="355"/>
      <c r="G7" s="356"/>
      <c r="H7" s="357"/>
      <c r="I7" s="358"/>
      <c r="J7" s="359"/>
      <c r="K7" s="360"/>
      <c r="L7" s="361"/>
      <c r="M7" s="362"/>
      <c r="N7" s="363"/>
      <c r="O7" s="364"/>
      <c r="P7" s="365" t="s">
        <v>576</v>
      </c>
    </row>
    <row r="8" spans="1:16" ht="13.8" thickBot="1">
      <c r="C8" s="366" t="s">
        <v>70</v>
      </c>
      <c r="D8" s="367" t="s">
        <v>71</v>
      </c>
      <c r="E8" s="368" t="s">
        <v>72</v>
      </c>
      <c r="F8" s="369" t="s">
        <v>73</v>
      </c>
      <c r="G8" s="370" t="s">
        <v>74</v>
      </c>
      <c r="H8" s="371" t="s">
        <v>75</v>
      </c>
      <c r="I8" s="372" t="s">
        <v>76</v>
      </c>
      <c r="J8" s="373" t="s">
        <v>77</v>
      </c>
      <c r="K8" s="374" t="s">
        <v>78</v>
      </c>
      <c r="L8" s="375" t="s">
        <v>79</v>
      </c>
      <c r="M8" s="376" t="s">
        <v>80</v>
      </c>
      <c r="N8" s="377" t="s">
        <v>81</v>
      </c>
      <c r="O8" s="378" t="s">
        <v>60</v>
      </c>
      <c r="P8" s="379" t="s">
        <v>82</v>
      </c>
    </row>
    <row r="9" spans="1:16" hidden="1">
      <c r="C9" s="350">
        <v>2</v>
      </c>
      <c r="D9" s="350">
        <v>3</v>
      </c>
      <c r="E9" s="350">
        <v>4</v>
      </c>
      <c r="F9" s="350">
        <v>5</v>
      </c>
      <c r="G9" s="350">
        <v>6</v>
      </c>
      <c r="H9" s="350">
        <v>7</v>
      </c>
      <c r="I9" s="350">
        <v>8</v>
      </c>
      <c r="J9" s="350">
        <v>9</v>
      </c>
      <c r="K9" s="350">
        <v>10</v>
      </c>
      <c r="L9" s="350">
        <v>11</v>
      </c>
      <c r="M9" s="350">
        <v>12</v>
      </c>
      <c r="N9" s="350">
        <v>13</v>
      </c>
    </row>
    <row r="11" spans="1:16">
      <c r="B11" s="380" t="s">
        <v>83</v>
      </c>
    </row>
    <row r="12" spans="1:16">
      <c r="A12" s="381" t="s">
        <v>122</v>
      </c>
      <c r="B12" s="382" t="s">
        <v>84</v>
      </c>
      <c r="C12" s="383">
        <f t="shared" ref="C12:N21" si="0">AVERAGE(VLOOKUP($B12,$B$48:$P$73,C$9,FALSE),VLOOKUP($B12,$B$83:$N$108,C$9,FALSE),VLOOKUP($B12,$B$118:$N$144,C$9,FALSE))</f>
        <v>436674.33333333331</v>
      </c>
      <c r="D12" s="383">
        <f t="shared" si="0"/>
        <v>439557.33333333331</v>
      </c>
      <c r="E12" s="383">
        <f t="shared" si="0"/>
        <v>401319</v>
      </c>
      <c r="F12" s="383">
        <f t="shared" si="0"/>
        <v>438017.66666666669</v>
      </c>
      <c r="G12" s="383">
        <f t="shared" si="0"/>
        <v>426016.33333333331</v>
      </c>
      <c r="H12" s="383">
        <f t="shared" si="0"/>
        <v>448512.66666666669</v>
      </c>
      <c r="I12" s="383">
        <f t="shared" si="0"/>
        <v>439955.33333333331</v>
      </c>
      <c r="J12" s="383">
        <f t="shared" si="0"/>
        <v>446269</v>
      </c>
      <c r="K12" s="383">
        <f t="shared" si="0"/>
        <v>462945.66666666669</v>
      </c>
      <c r="L12" s="383">
        <f t="shared" si="0"/>
        <v>431064.33333333331</v>
      </c>
      <c r="M12" s="383">
        <f t="shared" si="0"/>
        <v>429039.66666666669</v>
      </c>
      <c r="N12" s="383">
        <f t="shared" si="0"/>
        <v>417991.66666666669</v>
      </c>
      <c r="O12" s="384">
        <f t="shared" ref="O12:O28" si="1">SUM(C12:N12)</f>
        <v>5217363</v>
      </c>
      <c r="P12" s="385">
        <f>MAX(C12:N12)</f>
        <v>462945.66666666669</v>
      </c>
    </row>
    <row r="13" spans="1:16">
      <c r="A13" s="381" t="s">
        <v>177</v>
      </c>
      <c r="B13" s="382" t="s">
        <v>85</v>
      </c>
      <c r="C13" s="383">
        <f t="shared" si="0"/>
        <v>29741.333333333332</v>
      </c>
      <c r="D13" s="383">
        <f t="shared" si="0"/>
        <v>29934</v>
      </c>
      <c r="E13" s="383">
        <f t="shared" si="0"/>
        <v>26935.666666666668</v>
      </c>
      <c r="F13" s="383">
        <f t="shared" si="0"/>
        <v>29705.666666666668</v>
      </c>
      <c r="G13" s="383">
        <f t="shared" si="0"/>
        <v>26639.666666666668</v>
      </c>
      <c r="H13" s="383">
        <f t="shared" si="0"/>
        <v>28428</v>
      </c>
      <c r="I13" s="383">
        <f t="shared" si="0"/>
        <v>27187</v>
      </c>
      <c r="J13" s="383">
        <f t="shared" si="0"/>
        <v>27974.666666666668</v>
      </c>
      <c r="K13" s="383">
        <f t="shared" si="0"/>
        <v>28666.333333333332</v>
      </c>
      <c r="L13" s="383">
        <f t="shared" si="0"/>
        <v>26459.666666666668</v>
      </c>
      <c r="M13" s="383">
        <f t="shared" si="0"/>
        <v>26147.333333333332</v>
      </c>
      <c r="N13" s="383">
        <f t="shared" si="0"/>
        <v>25553</v>
      </c>
      <c r="O13" s="384">
        <f t="shared" si="1"/>
        <v>333372.33333333331</v>
      </c>
      <c r="P13" s="385">
        <f t="shared" ref="P13:P28" si="2">MAX(C13:N13)</f>
        <v>29934</v>
      </c>
    </row>
    <row r="14" spans="1:16">
      <c r="A14" s="381" t="s">
        <v>185</v>
      </c>
      <c r="B14" s="382" t="s">
        <v>50</v>
      </c>
      <c r="C14" s="383">
        <f t="shared" si="0"/>
        <v>195139.66666666666</v>
      </c>
      <c r="D14" s="383">
        <f t="shared" si="0"/>
        <v>187211</v>
      </c>
      <c r="E14" s="383">
        <f t="shared" si="0"/>
        <v>195266.66666666666</v>
      </c>
      <c r="F14" s="383">
        <f t="shared" si="0"/>
        <v>193932.33333333334</v>
      </c>
      <c r="G14" s="383">
        <f t="shared" si="0"/>
        <v>204162.33333333334</v>
      </c>
      <c r="H14" s="383">
        <f t="shared" si="0"/>
        <v>203010.66666666666</v>
      </c>
      <c r="I14" s="383">
        <f t="shared" si="0"/>
        <v>208439.66666666666</v>
      </c>
      <c r="J14" s="383">
        <f t="shared" si="0"/>
        <v>207068.66666666666</v>
      </c>
      <c r="K14" s="383">
        <f t="shared" si="0"/>
        <v>210531.33333333334</v>
      </c>
      <c r="L14" s="383">
        <f t="shared" si="0"/>
        <v>208764.33333333334</v>
      </c>
      <c r="M14" s="383">
        <f t="shared" si="0"/>
        <v>199936.33333333334</v>
      </c>
      <c r="N14" s="383">
        <f t="shared" si="0"/>
        <v>193900.66666666666</v>
      </c>
      <c r="O14" s="384">
        <f t="shared" si="1"/>
        <v>2407363.6666666665</v>
      </c>
      <c r="P14" s="385">
        <f t="shared" si="2"/>
        <v>210531.33333333334</v>
      </c>
    </row>
    <row r="15" spans="1:16">
      <c r="A15" s="381" t="s">
        <v>632</v>
      </c>
      <c r="B15" s="382" t="s">
        <v>49</v>
      </c>
      <c r="C15" s="383">
        <f t="shared" si="0"/>
        <v>1826786.6666666667</v>
      </c>
      <c r="D15" s="383">
        <f t="shared" si="0"/>
        <v>1782771.3333333333</v>
      </c>
      <c r="E15" s="383">
        <f t="shared" si="0"/>
        <v>1653746</v>
      </c>
      <c r="F15" s="383">
        <f t="shared" si="0"/>
        <v>1885171</v>
      </c>
      <c r="G15" s="383">
        <f t="shared" si="0"/>
        <v>1935325.3333333333</v>
      </c>
      <c r="H15" s="383">
        <f t="shared" si="0"/>
        <v>2068944.6666666667</v>
      </c>
      <c r="I15" s="383">
        <f t="shared" si="0"/>
        <v>2029164.3333333333</v>
      </c>
      <c r="J15" s="383">
        <f t="shared" si="0"/>
        <v>1928654</v>
      </c>
      <c r="K15" s="383">
        <f t="shared" si="0"/>
        <v>2035362.3333333333</v>
      </c>
      <c r="L15" s="383">
        <f t="shared" si="0"/>
        <v>1880749</v>
      </c>
      <c r="M15" s="383">
        <f t="shared" si="0"/>
        <v>1750646.6666666667</v>
      </c>
      <c r="N15" s="383">
        <f t="shared" si="0"/>
        <v>1632467.6666666667</v>
      </c>
      <c r="O15" s="384">
        <f t="shared" si="1"/>
        <v>22409789.000000004</v>
      </c>
      <c r="P15" s="385">
        <f t="shared" si="2"/>
        <v>2068944.6666666667</v>
      </c>
    </row>
    <row r="16" spans="1:16">
      <c r="A16" s="381" t="s">
        <v>640</v>
      </c>
      <c r="B16" s="381" t="s">
        <v>325</v>
      </c>
      <c r="C16" s="383">
        <f t="shared" si="0"/>
        <v>6150</v>
      </c>
      <c r="D16" s="383">
        <f t="shared" si="0"/>
        <v>6099.333333333333</v>
      </c>
      <c r="E16" s="383">
        <f t="shared" si="0"/>
        <v>5390.666666666667</v>
      </c>
      <c r="F16" s="383">
        <f t="shared" si="0"/>
        <v>5772.666666666667</v>
      </c>
      <c r="G16" s="383">
        <f t="shared" si="0"/>
        <v>5683.333333333333</v>
      </c>
      <c r="H16" s="383">
        <f t="shared" si="0"/>
        <v>7160.666666666667</v>
      </c>
      <c r="I16" s="383">
        <f t="shared" si="0"/>
        <v>7030.666666666667</v>
      </c>
      <c r="J16" s="383">
        <f t="shared" si="0"/>
        <v>6607</v>
      </c>
      <c r="K16" s="383">
        <f t="shared" si="0"/>
        <v>6684.333333333333</v>
      </c>
      <c r="L16" s="383">
        <f t="shared" si="0"/>
        <v>4550.666666666667</v>
      </c>
      <c r="M16" s="383">
        <f t="shared" si="0"/>
        <v>4486.333333333333</v>
      </c>
      <c r="N16" s="383">
        <f t="shared" si="0"/>
        <v>4428.666666666667</v>
      </c>
      <c r="O16" s="384">
        <f t="shared" si="1"/>
        <v>70044.333333333328</v>
      </c>
      <c r="P16" s="385">
        <f t="shared" si="2"/>
        <v>7160.666666666667</v>
      </c>
    </row>
    <row r="17" spans="1:16">
      <c r="A17" s="381" t="s">
        <v>651</v>
      </c>
      <c r="B17" s="382" t="s">
        <v>67</v>
      </c>
      <c r="C17" s="383">
        <f t="shared" si="0"/>
        <v>5176043.666666667</v>
      </c>
      <c r="D17" s="383">
        <f t="shared" si="0"/>
        <v>5167205</v>
      </c>
      <c r="E17" s="383">
        <f t="shared" si="0"/>
        <v>4705681.666666667</v>
      </c>
      <c r="F17" s="383">
        <f t="shared" si="0"/>
        <v>5235803</v>
      </c>
      <c r="G17" s="383">
        <f t="shared" si="0"/>
        <v>5269534.666666667</v>
      </c>
      <c r="H17" s="383">
        <f t="shared" si="0"/>
        <v>5602133.666666667</v>
      </c>
      <c r="I17" s="383">
        <f t="shared" si="0"/>
        <v>5470645.666666667</v>
      </c>
      <c r="J17" s="383">
        <f t="shared" si="0"/>
        <v>5629954.666666667</v>
      </c>
      <c r="K17" s="383">
        <f t="shared" si="0"/>
        <v>5928182.333333333</v>
      </c>
      <c r="L17" s="383">
        <f t="shared" si="0"/>
        <v>5570393.333333333</v>
      </c>
      <c r="M17" s="383">
        <f t="shared" si="0"/>
        <v>5359787</v>
      </c>
      <c r="N17" s="383">
        <f t="shared" si="0"/>
        <v>4979403.333333333</v>
      </c>
      <c r="O17" s="384">
        <f t="shared" si="1"/>
        <v>64094768.000000007</v>
      </c>
      <c r="P17" s="385">
        <f t="shared" si="2"/>
        <v>5928182.333333333</v>
      </c>
    </row>
    <row r="18" spans="1:16">
      <c r="A18" s="381" t="s">
        <v>656</v>
      </c>
      <c r="B18" s="382" t="s">
        <v>68</v>
      </c>
      <c r="C18" s="383">
        <f t="shared" si="0"/>
        <v>1860668.6666666667</v>
      </c>
      <c r="D18" s="383">
        <f t="shared" si="0"/>
        <v>1888735.3333333333</v>
      </c>
      <c r="E18" s="383">
        <f t="shared" si="0"/>
        <v>1754129.6666666667</v>
      </c>
      <c r="F18" s="383">
        <f t="shared" si="0"/>
        <v>1907749.6666666667</v>
      </c>
      <c r="G18" s="383">
        <f t="shared" si="0"/>
        <v>1990363</v>
      </c>
      <c r="H18" s="383">
        <f t="shared" si="0"/>
        <v>2092915.6666666667</v>
      </c>
      <c r="I18" s="383">
        <f t="shared" si="0"/>
        <v>2002805.6666666667</v>
      </c>
      <c r="J18" s="383">
        <f t="shared" si="0"/>
        <v>2068656.6666666667</v>
      </c>
      <c r="K18" s="383">
        <f t="shared" si="0"/>
        <v>2217209.6666666665</v>
      </c>
      <c r="L18" s="383">
        <f t="shared" si="0"/>
        <v>2083659.6666666667</v>
      </c>
      <c r="M18" s="383">
        <f t="shared" si="0"/>
        <v>1957290</v>
      </c>
      <c r="N18" s="383">
        <f t="shared" si="0"/>
        <v>1895992.3333333333</v>
      </c>
      <c r="O18" s="384">
        <f t="shared" si="1"/>
        <v>23720176</v>
      </c>
      <c r="P18" s="385">
        <f t="shared" si="2"/>
        <v>2217209.6666666665</v>
      </c>
    </row>
    <row r="19" spans="1:16">
      <c r="A19" s="381" t="s">
        <v>713</v>
      </c>
      <c r="B19" s="382" t="s">
        <v>69</v>
      </c>
      <c r="C19" s="383">
        <f t="shared" si="0"/>
        <v>362662</v>
      </c>
      <c r="D19" s="383">
        <f t="shared" si="0"/>
        <v>362529.33333333331</v>
      </c>
      <c r="E19" s="383">
        <f t="shared" si="0"/>
        <v>327691</v>
      </c>
      <c r="F19" s="383">
        <f t="shared" si="0"/>
        <v>352711.33333333331</v>
      </c>
      <c r="G19" s="383">
        <f t="shared" si="0"/>
        <v>354082</v>
      </c>
      <c r="H19" s="383">
        <f t="shared" si="0"/>
        <v>386768.66666666669</v>
      </c>
      <c r="I19" s="383">
        <f t="shared" si="0"/>
        <v>380096.33333333331</v>
      </c>
      <c r="J19" s="383">
        <f t="shared" si="0"/>
        <v>397075.66666666669</v>
      </c>
      <c r="K19" s="383">
        <f t="shared" si="0"/>
        <v>405971</v>
      </c>
      <c r="L19" s="383">
        <f t="shared" si="0"/>
        <v>377372</v>
      </c>
      <c r="M19" s="383">
        <f t="shared" si="0"/>
        <v>367323</v>
      </c>
      <c r="N19" s="383">
        <f t="shared" si="0"/>
        <v>351564.66666666669</v>
      </c>
      <c r="O19" s="384">
        <f t="shared" si="1"/>
        <v>4425847</v>
      </c>
      <c r="P19" s="385">
        <f t="shared" si="2"/>
        <v>405971</v>
      </c>
    </row>
    <row r="20" spans="1:16">
      <c r="A20" s="381" t="s">
        <v>717</v>
      </c>
      <c r="B20" s="382" t="s">
        <v>52</v>
      </c>
      <c r="C20" s="383">
        <f t="shared" si="0"/>
        <v>28857.333333333332</v>
      </c>
      <c r="D20" s="383">
        <f t="shared" si="0"/>
        <v>27422</v>
      </c>
      <c r="E20" s="383">
        <f t="shared" si="0"/>
        <v>27402.333333333332</v>
      </c>
      <c r="F20" s="383">
        <f t="shared" si="0"/>
        <v>33960</v>
      </c>
      <c r="G20" s="383">
        <f t="shared" si="0"/>
        <v>31071.666666666668</v>
      </c>
      <c r="H20" s="383">
        <f t="shared" si="0"/>
        <v>23474</v>
      </c>
      <c r="I20" s="383">
        <f t="shared" si="0"/>
        <v>26256.666666666668</v>
      </c>
      <c r="J20" s="383">
        <f t="shared" si="0"/>
        <v>28569.666666666668</v>
      </c>
      <c r="K20" s="383">
        <f t="shared" si="0"/>
        <v>21741.333333333332</v>
      </c>
      <c r="L20" s="383">
        <f t="shared" si="0"/>
        <v>24627</v>
      </c>
      <c r="M20" s="383">
        <f t="shared" si="0"/>
        <v>22015.333333333332</v>
      </c>
      <c r="N20" s="383">
        <f t="shared" si="0"/>
        <v>27150.333333333332</v>
      </c>
      <c r="O20" s="384">
        <f t="shared" si="1"/>
        <v>322547.66666666663</v>
      </c>
      <c r="P20" s="385">
        <f t="shared" si="2"/>
        <v>33960</v>
      </c>
    </row>
    <row r="21" spans="1:16">
      <c r="A21" s="381" t="s">
        <v>15</v>
      </c>
      <c r="B21" s="381" t="s">
        <v>15</v>
      </c>
      <c r="C21" s="383">
        <f t="shared" si="0"/>
        <v>10263.666666666666</v>
      </c>
      <c r="D21" s="383">
        <f t="shared" si="0"/>
        <v>10736.333333333334</v>
      </c>
      <c r="E21" s="383">
        <f t="shared" si="0"/>
        <v>10739.666666666666</v>
      </c>
      <c r="F21" s="383">
        <f t="shared" si="0"/>
        <v>11184.333333333334</v>
      </c>
      <c r="G21" s="383">
        <f t="shared" si="0"/>
        <v>11097.666666666666</v>
      </c>
      <c r="H21" s="383">
        <f t="shared" si="0"/>
        <v>11978</v>
      </c>
      <c r="I21" s="383">
        <f t="shared" si="0"/>
        <v>12031</v>
      </c>
      <c r="J21" s="383">
        <f t="shared" si="0"/>
        <v>11476</v>
      </c>
      <c r="K21" s="383">
        <f t="shared" si="0"/>
        <v>11466</v>
      </c>
      <c r="L21" s="383">
        <f t="shared" si="0"/>
        <v>12055.333333333334</v>
      </c>
      <c r="M21" s="383">
        <f t="shared" si="0"/>
        <v>10741.333333333334</v>
      </c>
      <c r="N21" s="383">
        <f t="shared" si="0"/>
        <v>10776.333333333334</v>
      </c>
      <c r="O21" s="384">
        <f t="shared" si="1"/>
        <v>134545.66666666666</v>
      </c>
      <c r="P21" s="385">
        <f t="shared" si="2"/>
        <v>12055.333333333334</v>
      </c>
    </row>
    <row r="22" spans="1:16">
      <c r="A22" s="381" t="s">
        <v>19</v>
      </c>
      <c r="B22" s="382" t="s">
        <v>56</v>
      </c>
      <c r="C22" s="383">
        <f t="shared" ref="C22:N28" si="3">AVERAGE(VLOOKUP($B22,$B$48:$P$73,C$9,FALSE),VLOOKUP($B22,$B$83:$N$108,C$9,FALSE),VLOOKUP($B22,$B$118:$N$144,C$9,FALSE))</f>
        <v>20347.666666666668</v>
      </c>
      <c r="D22" s="383">
        <f t="shared" si="3"/>
        <v>23238</v>
      </c>
      <c r="E22" s="383">
        <f t="shared" si="3"/>
        <v>22652.666666666668</v>
      </c>
      <c r="F22" s="383">
        <f t="shared" si="3"/>
        <v>24867.333333333332</v>
      </c>
      <c r="G22" s="383">
        <f t="shared" si="3"/>
        <v>25530.666666666668</v>
      </c>
      <c r="H22" s="383">
        <f t="shared" si="3"/>
        <v>23989.333333333332</v>
      </c>
      <c r="I22" s="383">
        <f t="shared" si="3"/>
        <v>22735.333333333332</v>
      </c>
      <c r="J22" s="383">
        <f t="shared" si="3"/>
        <v>24779.333333333332</v>
      </c>
      <c r="K22" s="383">
        <f t="shared" si="3"/>
        <v>23908</v>
      </c>
      <c r="L22" s="383">
        <f t="shared" si="3"/>
        <v>21743.666666666668</v>
      </c>
      <c r="M22" s="383">
        <f t="shared" si="3"/>
        <v>21209.333333333332</v>
      </c>
      <c r="N22" s="383">
        <f t="shared" si="3"/>
        <v>20160.666666666668</v>
      </c>
      <c r="O22" s="384">
        <f t="shared" si="1"/>
        <v>275162.00000000006</v>
      </c>
      <c r="P22" s="385">
        <f t="shared" si="2"/>
        <v>25530.666666666668</v>
      </c>
    </row>
    <row r="23" spans="1:16">
      <c r="A23" s="381" t="s">
        <v>22</v>
      </c>
      <c r="B23" s="382" t="s">
        <v>57</v>
      </c>
      <c r="C23" s="383">
        <f t="shared" si="3"/>
        <v>12646.666666666666</v>
      </c>
      <c r="D23" s="383">
        <f t="shared" si="3"/>
        <v>14577</v>
      </c>
      <c r="E23" s="383">
        <f t="shared" si="3"/>
        <v>15493.666666666666</v>
      </c>
      <c r="F23" s="383">
        <f t="shared" si="3"/>
        <v>14670</v>
      </c>
      <c r="G23" s="383">
        <f t="shared" si="3"/>
        <v>13653.333333333334</v>
      </c>
      <c r="H23" s="383">
        <f t="shared" si="3"/>
        <v>11530.333333333334</v>
      </c>
      <c r="I23" s="383">
        <f t="shared" si="3"/>
        <v>9289.6666666666661</v>
      </c>
      <c r="J23" s="383">
        <f t="shared" si="3"/>
        <v>10302</v>
      </c>
      <c r="K23" s="383">
        <f t="shared" si="3"/>
        <v>13986.666666666666</v>
      </c>
      <c r="L23" s="383">
        <f t="shared" si="3"/>
        <v>13841</v>
      </c>
      <c r="M23" s="383">
        <f t="shared" si="3"/>
        <v>15172.666666666666</v>
      </c>
      <c r="N23" s="383">
        <f t="shared" si="3"/>
        <v>14918.666666666666</v>
      </c>
      <c r="O23" s="384">
        <f t="shared" si="1"/>
        <v>160081.66666666666</v>
      </c>
      <c r="P23" s="385">
        <f t="shared" si="2"/>
        <v>15493.666666666666</v>
      </c>
    </row>
    <row r="24" spans="1:16">
      <c r="A24" s="381" t="s">
        <v>687</v>
      </c>
      <c r="B24" s="382" t="s">
        <v>48</v>
      </c>
      <c r="C24" s="383">
        <f t="shared" si="3"/>
        <v>25695643.333333332</v>
      </c>
      <c r="D24" s="383">
        <f t="shared" si="3"/>
        <v>22935635.333333332</v>
      </c>
      <c r="E24" s="383">
        <f t="shared" si="3"/>
        <v>20707902</v>
      </c>
      <c r="F24" s="383">
        <f t="shared" si="3"/>
        <v>21526383</v>
      </c>
      <c r="G24" s="383">
        <f t="shared" si="3"/>
        <v>20749379.666666668</v>
      </c>
      <c r="H24" s="383">
        <f t="shared" si="3"/>
        <v>22040998</v>
      </c>
      <c r="I24" s="383">
        <f t="shared" si="3"/>
        <v>22499617.333333332</v>
      </c>
      <c r="J24" s="383">
        <f t="shared" si="3"/>
        <v>23114638.666666668</v>
      </c>
      <c r="K24" s="383">
        <f t="shared" si="3"/>
        <v>24624823.333333332</v>
      </c>
      <c r="L24" s="383">
        <f t="shared" si="3"/>
        <v>23431498</v>
      </c>
      <c r="M24" s="383">
        <f t="shared" si="3"/>
        <v>22566796.666666668</v>
      </c>
      <c r="N24" s="383">
        <f t="shared" si="3"/>
        <v>21857381</v>
      </c>
      <c r="O24" s="384">
        <f t="shared" si="1"/>
        <v>271750696.33333331</v>
      </c>
      <c r="P24" s="385">
        <f t="shared" si="2"/>
        <v>25695643.333333332</v>
      </c>
    </row>
    <row r="25" spans="1:16">
      <c r="A25" s="381" t="s">
        <v>35</v>
      </c>
      <c r="B25" s="382" t="s">
        <v>53</v>
      </c>
      <c r="C25" s="383">
        <f t="shared" si="3"/>
        <v>100506.33333333333</v>
      </c>
      <c r="D25" s="383">
        <f t="shared" si="3"/>
        <v>115935</v>
      </c>
      <c r="E25" s="383">
        <f t="shared" si="3"/>
        <v>120561</v>
      </c>
      <c r="F25" s="383">
        <f t="shared" si="3"/>
        <v>126040</v>
      </c>
      <c r="G25" s="383">
        <f t="shared" si="3"/>
        <v>130040.33333333333</v>
      </c>
      <c r="H25" s="383">
        <f t="shared" si="3"/>
        <v>121163.66666666667</v>
      </c>
      <c r="I25" s="383">
        <f t="shared" si="3"/>
        <v>110567.66666666667</v>
      </c>
      <c r="J25" s="383">
        <f t="shared" si="3"/>
        <v>132840.33333333334</v>
      </c>
      <c r="K25" s="383">
        <f t="shared" si="3"/>
        <v>123237.33333333333</v>
      </c>
      <c r="L25" s="383">
        <f t="shared" si="3"/>
        <v>101234.33333333333</v>
      </c>
      <c r="M25" s="383">
        <f t="shared" si="3"/>
        <v>113080</v>
      </c>
      <c r="N25" s="383">
        <f t="shared" si="3"/>
        <v>107623</v>
      </c>
      <c r="O25" s="384">
        <f t="shared" si="1"/>
        <v>1402828.9999999998</v>
      </c>
      <c r="P25" s="385">
        <f t="shared" si="2"/>
        <v>132840.33333333334</v>
      </c>
    </row>
    <row r="26" spans="1:16">
      <c r="A26" s="381" t="s">
        <v>38</v>
      </c>
      <c r="B26" s="382" t="s">
        <v>55</v>
      </c>
      <c r="C26" s="383">
        <f t="shared" si="3"/>
        <v>3507.3333333333335</v>
      </c>
      <c r="D26" s="383">
        <f t="shared" si="3"/>
        <v>3843</v>
      </c>
      <c r="E26" s="383">
        <f t="shared" si="3"/>
        <v>3523</v>
      </c>
      <c r="F26" s="383">
        <f t="shared" si="3"/>
        <v>3637</v>
      </c>
      <c r="G26" s="383">
        <f t="shared" si="3"/>
        <v>3508</v>
      </c>
      <c r="H26" s="383">
        <f t="shared" si="3"/>
        <v>3474</v>
      </c>
      <c r="I26" s="383">
        <f t="shared" si="3"/>
        <v>3502.6666666666665</v>
      </c>
      <c r="J26" s="383">
        <f t="shared" si="3"/>
        <v>3509.6666666666665</v>
      </c>
      <c r="K26" s="383">
        <f t="shared" si="3"/>
        <v>3497</v>
      </c>
      <c r="L26" s="383">
        <f t="shared" si="3"/>
        <v>3502.6666666666665</v>
      </c>
      <c r="M26" s="383">
        <f t="shared" si="3"/>
        <v>3608.3333333333335</v>
      </c>
      <c r="N26" s="383">
        <f t="shared" si="3"/>
        <v>3514.6666666666665</v>
      </c>
      <c r="O26" s="384">
        <f t="shared" si="1"/>
        <v>42627.333333333336</v>
      </c>
      <c r="P26" s="385">
        <f t="shared" si="2"/>
        <v>3843</v>
      </c>
    </row>
    <row r="27" spans="1:16">
      <c r="A27" s="381" t="s">
        <v>40</v>
      </c>
      <c r="B27" s="382" t="s">
        <v>87</v>
      </c>
      <c r="C27" s="383">
        <f t="shared" si="3"/>
        <v>1437</v>
      </c>
      <c r="D27" s="383">
        <f t="shared" si="3"/>
        <v>2851.3333333333335</v>
      </c>
      <c r="E27" s="383">
        <f t="shared" si="3"/>
        <v>4413.666666666667</v>
      </c>
      <c r="F27" s="383">
        <f t="shared" si="3"/>
        <v>3543</v>
      </c>
      <c r="G27" s="383">
        <f t="shared" si="3"/>
        <v>3689.6666666666665</v>
      </c>
      <c r="H27" s="383">
        <f t="shared" si="3"/>
        <v>3041</v>
      </c>
      <c r="I27" s="383">
        <f t="shared" si="3"/>
        <v>4072.3333333333335</v>
      </c>
      <c r="J27" s="383">
        <f t="shared" si="3"/>
        <v>4142.333333333333</v>
      </c>
      <c r="K27" s="383">
        <f t="shared" si="3"/>
        <v>3813.3333333333335</v>
      </c>
      <c r="L27" s="383">
        <f t="shared" si="3"/>
        <v>5449</v>
      </c>
      <c r="M27" s="383">
        <f t="shared" si="3"/>
        <v>2316.6666666666665</v>
      </c>
      <c r="N27" s="383">
        <f t="shared" si="3"/>
        <v>3411.6666666666665</v>
      </c>
      <c r="O27" s="384">
        <f t="shared" si="1"/>
        <v>42180.999999999985</v>
      </c>
      <c r="P27" s="385">
        <f t="shared" si="2"/>
        <v>5449</v>
      </c>
    </row>
    <row r="28" spans="1:16">
      <c r="A28" s="381" t="s">
        <v>45</v>
      </c>
      <c r="B28" s="382" t="s">
        <v>88</v>
      </c>
      <c r="C28" s="383">
        <f t="shared" si="3"/>
        <v>45994.666666666664</v>
      </c>
      <c r="D28" s="383">
        <f t="shared" si="3"/>
        <v>40763</v>
      </c>
      <c r="E28" s="383">
        <f t="shared" si="3"/>
        <v>42554.333333333336</v>
      </c>
      <c r="F28" s="383">
        <f t="shared" si="3"/>
        <v>62524.666666666664</v>
      </c>
      <c r="G28" s="383">
        <f t="shared" si="3"/>
        <v>51190.333333333336</v>
      </c>
      <c r="H28" s="383">
        <f t="shared" si="3"/>
        <v>49284</v>
      </c>
      <c r="I28" s="383">
        <f t="shared" si="3"/>
        <v>33323.333333333336</v>
      </c>
      <c r="J28" s="383">
        <f t="shared" si="3"/>
        <v>37131.333333333336</v>
      </c>
      <c r="K28" s="383">
        <f t="shared" si="3"/>
        <v>65864.333333333328</v>
      </c>
      <c r="L28" s="383">
        <f t="shared" si="3"/>
        <v>68233.333333333328</v>
      </c>
      <c r="M28" s="383">
        <f t="shared" si="3"/>
        <v>57118.333333333336</v>
      </c>
      <c r="N28" s="383">
        <f t="shared" si="3"/>
        <v>44228</v>
      </c>
      <c r="O28" s="384">
        <f t="shared" si="1"/>
        <v>598209.66666666663</v>
      </c>
      <c r="P28" s="385">
        <f t="shared" si="2"/>
        <v>68233.333333333328</v>
      </c>
    </row>
    <row r="29" spans="1:16">
      <c r="C29" s="383"/>
      <c r="D29" s="383"/>
      <c r="E29" s="383"/>
      <c r="F29" s="383"/>
      <c r="G29" s="383"/>
      <c r="H29" s="383"/>
      <c r="I29" s="383"/>
      <c r="J29" s="383"/>
      <c r="K29" s="383"/>
      <c r="L29" s="383"/>
      <c r="M29" s="383"/>
      <c r="N29" s="383"/>
      <c r="O29" s="384"/>
      <c r="P29" s="385"/>
    </row>
    <row r="30" spans="1:16">
      <c r="C30" s="383"/>
      <c r="D30" s="383"/>
      <c r="E30" s="383"/>
      <c r="F30" s="383"/>
      <c r="G30" s="383"/>
      <c r="H30" s="383"/>
      <c r="I30" s="383"/>
      <c r="J30" s="383"/>
      <c r="K30" s="383"/>
      <c r="L30" s="383"/>
      <c r="M30" s="383"/>
      <c r="N30" s="383"/>
      <c r="O30" s="384"/>
      <c r="P30" s="385"/>
    </row>
    <row r="31" spans="1:16">
      <c r="B31" s="380" t="s">
        <v>86</v>
      </c>
      <c r="C31" s="386"/>
      <c r="D31" s="386"/>
      <c r="E31" s="386"/>
      <c r="F31" s="386"/>
      <c r="G31" s="386"/>
      <c r="H31" s="386"/>
      <c r="I31" s="386"/>
      <c r="J31" s="386"/>
      <c r="K31" s="386"/>
      <c r="L31" s="386"/>
      <c r="M31" s="386"/>
      <c r="N31" s="386"/>
    </row>
    <row r="32" spans="1:16">
      <c r="A32" s="381" t="s">
        <v>603</v>
      </c>
      <c r="B32" s="350" t="s">
        <v>603</v>
      </c>
      <c r="C32" s="383">
        <f>AVERAGE(VLOOKUP($B32,$B$83:$N$108,C$9,FALSE),VLOOKUP($B32,$B$118:$N$144,C$9,FALSE))</f>
        <v>7517</v>
      </c>
      <c r="D32" s="383">
        <f>AVERAGE(VLOOKUP($B32,$B$83:$N$108,D$9,FALSE),VLOOKUP($B32,$B$118:$N$144,D$9,FALSE))</f>
        <v>6794</v>
      </c>
      <c r="E32" s="383">
        <f>AVERAGE(VLOOKUP($B32,$B$83:$N$108,E$9,FALSE),VLOOKUP($B32,$B$118:$N$144,E$9,FALSE))</f>
        <v>6312.5</v>
      </c>
      <c r="F32" s="383">
        <f>AVERAGE(VLOOKUP($B32,$B$83:$N$108,F$9,FALSE),VLOOKUP($B32,$B$118:$N$144,F$9,FALSE))</f>
        <v>6419.5</v>
      </c>
      <c r="G32" s="383">
        <f t="shared" ref="G32:N34" si="4">AVERAGE(VLOOKUP($B32,$B$48:$P$73,G$9,FALSE),VLOOKUP($B32,$B$83:$N$108,G$9,FALSE),VLOOKUP($B32,$B$118:$N$144,G$9,FALSE))</f>
        <v>7721.666666666667</v>
      </c>
      <c r="H32" s="383">
        <f t="shared" si="4"/>
        <v>8130.666666666667</v>
      </c>
      <c r="I32" s="383">
        <f t="shared" si="4"/>
        <v>8394.6666666666661</v>
      </c>
      <c r="J32" s="383">
        <f t="shared" si="4"/>
        <v>8500.6666666666661</v>
      </c>
      <c r="K32" s="383">
        <f t="shared" si="4"/>
        <v>8027</v>
      </c>
      <c r="L32" s="383">
        <f t="shared" si="4"/>
        <v>6863.333333333333</v>
      </c>
      <c r="M32" s="383">
        <f t="shared" si="4"/>
        <v>6411.333333333333</v>
      </c>
      <c r="N32" s="383">
        <f t="shared" si="4"/>
        <v>6328.333333333333</v>
      </c>
      <c r="O32" s="384">
        <f t="shared" ref="O32:O38" si="5">SUM(C32:N32)</f>
        <v>87420.666666666642</v>
      </c>
      <c r="P32" s="385">
        <f t="shared" ref="P32:P38" si="6">MAX(C32:N32)</f>
        <v>8500.6666666666661</v>
      </c>
    </row>
    <row r="33" spans="1:16">
      <c r="A33" s="381" t="s">
        <v>245</v>
      </c>
      <c r="B33" s="350" t="s">
        <v>983</v>
      </c>
      <c r="C33" s="383">
        <f t="shared" ref="C33:F34" si="7">AVERAGE(VLOOKUP($B33,$B$48:$P$73,C$9,FALSE),VLOOKUP($B33,$B$83:$N$108,C$9,FALSE),VLOOKUP($B33,$B$118:$N$144,C$9,FALSE))</f>
        <v>107549.33333333333</v>
      </c>
      <c r="D33" s="383">
        <f t="shared" si="7"/>
        <v>109182.33333333333</v>
      </c>
      <c r="E33" s="383">
        <f t="shared" si="7"/>
        <v>105213.33333333333</v>
      </c>
      <c r="F33" s="383">
        <f t="shared" si="7"/>
        <v>127835.66666666667</v>
      </c>
      <c r="G33" s="383">
        <f t="shared" si="4"/>
        <v>132581.66666666666</v>
      </c>
      <c r="H33" s="383">
        <f t="shared" si="4"/>
        <v>140494</v>
      </c>
      <c r="I33" s="383">
        <f t="shared" si="4"/>
        <v>151668.33333333334</v>
      </c>
      <c r="J33" s="383">
        <f t="shared" si="4"/>
        <v>146956.33333333334</v>
      </c>
      <c r="K33" s="383">
        <f t="shared" si="4"/>
        <v>134298.66666666666</v>
      </c>
      <c r="L33" s="383">
        <f t="shared" si="4"/>
        <v>130594.66666666667</v>
      </c>
      <c r="M33" s="383">
        <f t="shared" si="4"/>
        <v>100412.33333333333</v>
      </c>
      <c r="N33" s="383">
        <f t="shared" si="4"/>
        <v>113150.66666666667</v>
      </c>
      <c r="O33" s="384">
        <f t="shared" si="5"/>
        <v>1499937.3333333335</v>
      </c>
      <c r="P33" s="385">
        <f t="shared" si="6"/>
        <v>151668.33333333334</v>
      </c>
    </row>
    <row r="34" spans="1:16">
      <c r="A34" s="381" t="s">
        <v>661</v>
      </c>
      <c r="B34" s="350" t="s">
        <v>984</v>
      </c>
      <c r="C34" s="383">
        <f t="shared" si="7"/>
        <v>385883.33333333331</v>
      </c>
      <c r="D34" s="383">
        <f t="shared" si="7"/>
        <v>313264.66666666669</v>
      </c>
      <c r="E34" s="383">
        <f t="shared" si="7"/>
        <v>305639</v>
      </c>
      <c r="F34" s="383">
        <f t="shared" si="7"/>
        <v>384016.66666666669</v>
      </c>
      <c r="G34" s="383">
        <f t="shared" si="4"/>
        <v>390378.66666666669</v>
      </c>
      <c r="H34" s="383">
        <f t="shared" si="4"/>
        <v>420159.66666666669</v>
      </c>
      <c r="I34" s="383">
        <f t="shared" si="4"/>
        <v>416487.33333333331</v>
      </c>
      <c r="J34" s="383">
        <f t="shared" si="4"/>
        <v>436906.33333333331</v>
      </c>
      <c r="K34" s="383">
        <f t="shared" si="4"/>
        <v>402512</v>
      </c>
      <c r="L34" s="383">
        <f t="shared" si="4"/>
        <v>398998.33333333331</v>
      </c>
      <c r="M34" s="383">
        <f t="shared" si="4"/>
        <v>300319.33333333331</v>
      </c>
      <c r="N34" s="383">
        <f t="shared" si="4"/>
        <v>299370.66666666669</v>
      </c>
      <c r="O34" s="384">
        <f t="shared" si="5"/>
        <v>4453936.0000000009</v>
      </c>
      <c r="P34" s="385">
        <f t="shared" si="6"/>
        <v>436906.33333333331</v>
      </c>
    </row>
    <row r="35" spans="1:16">
      <c r="A35" s="381" t="s">
        <v>673</v>
      </c>
      <c r="B35" s="350" t="s">
        <v>985</v>
      </c>
      <c r="C35" s="383">
        <f t="shared" ref="C35:N36" si="8">AVERAGE(VLOOKUP($B35,$B$118:$N$144,C$9,FALSE))</f>
        <v>0</v>
      </c>
      <c r="D35" s="383">
        <f t="shared" si="8"/>
        <v>35000</v>
      </c>
      <c r="E35" s="383">
        <f t="shared" si="8"/>
        <v>20000</v>
      </c>
      <c r="F35" s="383">
        <f t="shared" si="8"/>
        <v>10000</v>
      </c>
      <c r="G35" s="383">
        <f t="shared" si="8"/>
        <v>20000</v>
      </c>
      <c r="H35" s="383">
        <f t="shared" si="8"/>
        <v>35000</v>
      </c>
      <c r="I35" s="383">
        <f t="shared" si="8"/>
        <v>35000</v>
      </c>
      <c r="J35" s="383">
        <f t="shared" si="8"/>
        <v>35000</v>
      </c>
      <c r="K35" s="383">
        <f t="shared" si="8"/>
        <v>25000</v>
      </c>
      <c r="L35" s="383">
        <f t="shared" si="8"/>
        <v>20000</v>
      </c>
      <c r="M35" s="383">
        <f t="shared" si="8"/>
        <v>10000</v>
      </c>
      <c r="N35" s="383">
        <f t="shared" si="8"/>
        <v>20000</v>
      </c>
      <c r="O35" s="384">
        <f t="shared" si="5"/>
        <v>265000</v>
      </c>
      <c r="P35" s="385">
        <f t="shared" si="6"/>
        <v>35000</v>
      </c>
    </row>
    <row r="36" spans="1:16">
      <c r="A36" s="381" t="s">
        <v>691</v>
      </c>
      <c r="B36" s="350" t="s">
        <v>691</v>
      </c>
      <c r="C36" s="383">
        <f t="shared" si="8"/>
        <v>0</v>
      </c>
      <c r="D36" s="383">
        <f t="shared" si="8"/>
        <v>0</v>
      </c>
      <c r="E36" s="383">
        <f t="shared" si="8"/>
        <v>0</v>
      </c>
      <c r="F36" s="383">
        <f t="shared" si="8"/>
        <v>0</v>
      </c>
      <c r="G36" s="383">
        <f t="shared" si="8"/>
        <v>0</v>
      </c>
      <c r="H36" s="383">
        <f t="shared" si="8"/>
        <v>200000</v>
      </c>
      <c r="I36" s="383">
        <f t="shared" si="8"/>
        <v>200000</v>
      </c>
      <c r="J36" s="383">
        <f t="shared" si="8"/>
        <v>200000</v>
      </c>
      <c r="K36" s="383">
        <f t="shared" si="8"/>
        <v>200000</v>
      </c>
      <c r="L36" s="383">
        <f t="shared" si="8"/>
        <v>200000</v>
      </c>
      <c r="M36" s="383">
        <f t="shared" si="8"/>
        <v>200000</v>
      </c>
      <c r="N36" s="383">
        <f t="shared" si="8"/>
        <v>200000</v>
      </c>
      <c r="O36" s="384">
        <f t="shared" si="5"/>
        <v>1400000</v>
      </c>
      <c r="P36" s="385">
        <f t="shared" si="6"/>
        <v>200000</v>
      </c>
    </row>
    <row r="37" spans="1:16">
      <c r="A37" s="381" t="s">
        <v>724</v>
      </c>
      <c r="B37" s="350" t="s">
        <v>724</v>
      </c>
      <c r="C37" s="383">
        <f t="shared" ref="C37:N37" si="9">AVERAGE(VLOOKUP($B37,$B$48:$P$73,C$9,FALSE),VLOOKUP($B37,$B$83:$N$108,C$9,FALSE),VLOOKUP($B37,$B$118:$N$144,C$9,FALSE))</f>
        <v>11427</v>
      </c>
      <c r="D37" s="383">
        <f t="shared" si="9"/>
        <v>10575.666666666666</v>
      </c>
      <c r="E37" s="383">
        <f t="shared" si="9"/>
        <v>9800</v>
      </c>
      <c r="F37" s="383">
        <f t="shared" si="9"/>
        <v>11901.333333333334</v>
      </c>
      <c r="G37" s="383">
        <f t="shared" si="9"/>
        <v>12718</v>
      </c>
      <c r="H37" s="383">
        <f t="shared" si="9"/>
        <v>13161.666666666666</v>
      </c>
      <c r="I37" s="383">
        <f t="shared" si="9"/>
        <v>12958</v>
      </c>
      <c r="J37" s="383">
        <f t="shared" si="9"/>
        <v>13587.666666666666</v>
      </c>
      <c r="K37" s="383">
        <f t="shared" si="9"/>
        <v>12992.666666666666</v>
      </c>
      <c r="L37" s="383">
        <f t="shared" si="9"/>
        <v>12118.333333333334</v>
      </c>
      <c r="M37" s="383">
        <f t="shared" si="9"/>
        <v>8911</v>
      </c>
      <c r="N37" s="383">
        <f t="shared" si="9"/>
        <v>9435.6666666666661</v>
      </c>
      <c r="O37" s="384">
        <f t="shared" si="5"/>
        <v>139587</v>
      </c>
      <c r="P37" s="385">
        <f t="shared" si="6"/>
        <v>13587.666666666666</v>
      </c>
    </row>
    <row r="38" spans="1:16">
      <c r="A38" s="381" t="s">
        <v>727</v>
      </c>
      <c r="B38" s="350" t="s">
        <v>986</v>
      </c>
      <c r="C38" s="383">
        <f t="shared" ref="C38:N38" si="10">AVERAGE(VLOOKUP($B38,$B$118:$N$144,C$9,FALSE))</f>
        <v>23000</v>
      </c>
      <c r="D38" s="383">
        <f t="shared" si="10"/>
        <v>23000</v>
      </c>
      <c r="E38" s="383">
        <f t="shared" si="10"/>
        <v>23000</v>
      </c>
      <c r="F38" s="383">
        <f t="shared" si="10"/>
        <v>23000</v>
      </c>
      <c r="G38" s="383">
        <f t="shared" si="10"/>
        <v>23000</v>
      </c>
      <c r="H38" s="383">
        <f t="shared" si="10"/>
        <v>23000</v>
      </c>
      <c r="I38" s="383">
        <f t="shared" si="10"/>
        <v>23000</v>
      </c>
      <c r="J38" s="383">
        <f t="shared" si="10"/>
        <v>23000</v>
      </c>
      <c r="K38" s="383">
        <f t="shared" si="10"/>
        <v>23000</v>
      </c>
      <c r="L38" s="383">
        <f t="shared" si="10"/>
        <v>23000</v>
      </c>
      <c r="M38" s="383">
        <f t="shared" si="10"/>
        <v>23000</v>
      </c>
      <c r="N38" s="383">
        <f t="shared" si="10"/>
        <v>23000</v>
      </c>
      <c r="O38" s="384">
        <f t="shared" si="5"/>
        <v>276000</v>
      </c>
      <c r="P38" s="385">
        <f t="shared" si="6"/>
        <v>23000</v>
      </c>
    </row>
    <row r="39" spans="1:16">
      <c r="B39" s="382"/>
    </row>
    <row r="40" spans="1:16" ht="21">
      <c r="B40" s="613" t="s">
        <v>989</v>
      </c>
      <c r="C40" s="613"/>
      <c r="D40" s="613"/>
      <c r="E40" s="613"/>
      <c r="F40" s="613"/>
      <c r="G40" s="613"/>
      <c r="H40" s="613"/>
      <c r="I40" s="613"/>
      <c r="J40" s="613"/>
      <c r="K40" s="613"/>
      <c r="L40" s="613"/>
      <c r="M40" s="613"/>
      <c r="N40" s="613"/>
      <c r="O40" s="613"/>
      <c r="P40" s="613"/>
    </row>
    <row r="41" spans="1:16" ht="17.399999999999999">
      <c r="B41" s="614" t="str">
        <f>+MANUAL!$B$5 &amp;" as Calculated by LodeStar Except as Noted"</f>
        <v>2012 as Calculated by LodeStar Except as Noted</v>
      </c>
      <c r="C41" s="614"/>
      <c r="D41" s="614"/>
      <c r="E41" s="614"/>
      <c r="F41" s="614"/>
      <c r="G41" s="614"/>
      <c r="H41" s="614"/>
      <c r="I41" s="614"/>
      <c r="J41" s="614"/>
      <c r="K41" s="614"/>
      <c r="L41" s="614"/>
      <c r="M41" s="614"/>
      <c r="N41" s="614"/>
      <c r="O41" s="614"/>
      <c r="P41" s="614"/>
    </row>
    <row r="42" spans="1:16" ht="13.8" thickBot="1">
      <c r="B42" s="351"/>
      <c r="C42" s="351"/>
      <c r="D42" s="351"/>
      <c r="E42" s="351"/>
      <c r="F42" s="351"/>
      <c r="G42" s="351"/>
      <c r="H42" s="351"/>
      <c r="I42" s="351"/>
      <c r="J42" s="351"/>
      <c r="K42" s="351"/>
      <c r="L42" s="351"/>
      <c r="M42" s="351"/>
      <c r="N42" s="351"/>
      <c r="O42" s="351"/>
      <c r="P42" s="351"/>
    </row>
    <row r="43" spans="1:16" ht="409.6">
      <c r="C43" s="352"/>
      <c r="D43" s="353"/>
      <c r="E43" s="354"/>
      <c r="F43" s="355"/>
      <c r="G43" s="356"/>
      <c r="H43" s="357"/>
      <c r="I43" s="358"/>
      <c r="J43" s="359"/>
      <c r="K43" s="360"/>
      <c r="L43" s="361"/>
      <c r="M43" s="362"/>
      <c r="N43" s="363"/>
      <c r="O43" s="364"/>
      <c r="P43" s="365" t="s">
        <v>576</v>
      </c>
    </row>
    <row r="44" spans="1:16" ht="13.8" thickBot="1">
      <c r="C44" s="366" t="s">
        <v>70</v>
      </c>
      <c r="D44" s="367" t="s">
        <v>71</v>
      </c>
      <c r="E44" s="368" t="s">
        <v>72</v>
      </c>
      <c r="F44" s="369" t="s">
        <v>73</v>
      </c>
      <c r="G44" s="370" t="s">
        <v>74</v>
      </c>
      <c r="H44" s="371" t="s">
        <v>75</v>
      </c>
      <c r="I44" s="372" t="s">
        <v>76</v>
      </c>
      <c r="J44" s="373" t="s">
        <v>77</v>
      </c>
      <c r="K44" s="374" t="s">
        <v>78</v>
      </c>
      <c r="L44" s="375" t="s">
        <v>79</v>
      </c>
      <c r="M44" s="376" t="s">
        <v>80</v>
      </c>
      <c r="N44" s="377" t="s">
        <v>81</v>
      </c>
      <c r="O44" s="378" t="s">
        <v>60</v>
      </c>
      <c r="P44" s="379" t="s">
        <v>82</v>
      </c>
    </row>
    <row r="45" spans="1:16" hidden="1">
      <c r="C45" s="350">
        <v>4</v>
      </c>
      <c r="D45" s="350">
        <f>C45+1</f>
        <v>5</v>
      </c>
      <c r="E45" s="350">
        <f t="shared" ref="E45:N45" si="11">D45+1</f>
        <v>6</v>
      </c>
      <c r="F45" s="350">
        <f t="shared" si="11"/>
        <v>7</v>
      </c>
      <c r="G45" s="350">
        <f t="shared" si="11"/>
        <v>8</v>
      </c>
      <c r="H45" s="350">
        <f t="shared" si="11"/>
        <v>9</v>
      </c>
      <c r="I45" s="350">
        <f t="shared" si="11"/>
        <v>10</v>
      </c>
      <c r="J45" s="350">
        <f t="shared" si="11"/>
        <v>11</v>
      </c>
      <c r="K45" s="350">
        <f t="shared" si="11"/>
        <v>12</v>
      </c>
      <c r="L45" s="350">
        <f t="shared" si="11"/>
        <v>13</v>
      </c>
      <c r="M45" s="350">
        <f t="shared" si="11"/>
        <v>14</v>
      </c>
      <c r="N45" s="350">
        <f t="shared" si="11"/>
        <v>15</v>
      </c>
    </row>
    <row r="47" spans="1:16">
      <c r="B47" s="380" t="s">
        <v>83</v>
      </c>
    </row>
    <row r="48" spans="1:16">
      <c r="A48" s="350" t="s">
        <v>122</v>
      </c>
      <c r="B48" s="382" t="s">
        <v>84</v>
      </c>
      <c r="C48" s="387">
        <f>VLOOKUP($A48&amp;"NCP ONPK",'E11 - 2012 09 Final'!$A$46:$P$2419,$C$45,FALSE)</f>
        <v>441437</v>
      </c>
      <c r="D48" s="387">
        <f>VLOOKUP($A48&amp;"NCP ONPK",'E11 - 2012 09 Final'!$A$46:$P$2419,$D$45,FALSE)</f>
        <v>426518</v>
      </c>
      <c r="E48" s="387">
        <f>VLOOKUP($A48&amp;"NCP ONPK",'E11 - 2012 09 Final'!$A$46:$P$2419,$E$45,FALSE)</f>
        <v>411585</v>
      </c>
      <c r="F48" s="387">
        <f>VLOOKUP($A48&amp;"NCP ONPK",'E11 - 2012 09 Final'!$A$46:$P$2419,$F$45,FALSE)</f>
        <v>451577</v>
      </c>
      <c r="G48" s="387">
        <f>VLOOKUP($A48&amp;"NCP ONPK",'E11 - 2012 09 Final'!$A$46:$P$2419,$G$45,FALSE)</f>
        <v>422677</v>
      </c>
      <c r="H48" s="387">
        <f>VLOOKUP($A48&amp;"NCP ONPK",'E11 - 2012 09 Final'!$A$46:$P$2419,$H$45,FALSE)</f>
        <v>464538</v>
      </c>
      <c r="I48" s="387">
        <f>VLOOKUP($A48&amp;"NCP ONPK",'E11 - 2012 09 Final'!$A$46:$P$2419,$I$45,FALSE)</f>
        <v>446510</v>
      </c>
      <c r="J48" s="387">
        <f>VLOOKUP($A48&amp;"NCP ONPK",'E11 - 2012 09 Final'!$A$46:$P$2419,$J$45,FALSE)</f>
        <v>462127</v>
      </c>
      <c r="K48" s="387">
        <f>VLOOKUP($A48&amp;"NCP ONPK",'E11 - 2012 09 Final'!$A$46:$P$2419,$K$45,FALSE)</f>
        <v>463058</v>
      </c>
      <c r="L48" s="387">
        <f>VLOOKUP($A48&amp;"NCP ONPK",'E11 - 2012 09 Final'!$A$46:$P$2419,$L$45,FALSE)</f>
        <v>448595</v>
      </c>
      <c r="M48" s="387">
        <f>VLOOKUP($A48&amp;"NCP ONPK",'E11 - 2012 09 Final'!$A$46:$P$2419,$M$45,FALSE)</f>
        <v>426872</v>
      </c>
      <c r="N48" s="387">
        <f>VLOOKUP($A48&amp;"NCP ONPK",'E11 - 2012 09 Final'!$A$46:$P$2419,$N$45,FALSE)</f>
        <v>422615</v>
      </c>
      <c r="O48" s="384">
        <f t="shared" ref="O48:O64" si="12">SUM(C48:N48)</f>
        <v>5288109</v>
      </c>
      <c r="P48" s="385">
        <f t="shared" ref="P48:P64" si="13">MAX(C48:N48)</f>
        <v>464538</v>
      </c>
    </row>
    <row r="49" spans="1:16">
      <c r="A49" s="350" t="s">
        <v>177</v>
      </c>
      <c r="B49" s="382" t="s">
        <v>85</v>
      </c>
      <c r="C49" s="387">
        <f>VLOOKUP($A49&amp;"NCP ONPK",'E11 - 2012 09 Final'!$A$46:$P$2419,$C$45,FALSE)</f>
        <v>29964</v>
      </c>
      <c r="D49" s="387">
        <f>VLOOKUP($A49&amp;"NCP ONPK",'E11 - 2012 09 Final'!$A$46:$P$2419,$D$45,FALSE)</f>
        <v>28624</v>
      </c>
      <c r="E49" s="387">
        <f>VLOOKUP($A49&amp;"NCP ONPK",'E11 - 2012 09 Final'!$A$46:$P$2419,$E$45,FALSE)</f>
        <v>26441</v>
      </c>
      <c r="F49" s="387">
        <f>VLOOKUP($A49&amp;"NCP ONPK",'E11 - 2012 09 Final'!$A$46:$P$2419,$F$45,FALSE)</f>
        <v>30075</v>
      </c>
      <c r="G49" s="387">
        <f>VLOOKUP($A49&amp;"NCP ONPK",'E11 - 2012 09 Final'!$A$46:$P$2419,$G$45,FALSE)</f>
        <v>28966</v>
      </c>
      <c r="H49" s="387">
        <f>VLOOKUP($A49&amp;"NCP ONPK",'E11 - 2012 09 Final'!$A$46:$P$2419,$H$45,FALSE)</f>
        <v>31318</v>
      </c>
      <c r="I49" s="387">
        <f>VLOOKUP($A49&amp;"NCP ONPK",'E11 - 2012 09 Final'!$A$46:$P$2419,$I$45,FALSE)</f>
        <v>29581</v>
      </c>
      <c r="J49" s="387">
        <f>VLOOKUP($A49&amp;"NCP ONPK",'E11 - 2012 09 Final'!$A$46:$P$2419,$J$45,FALSE)</f>
        <v>30948</v>
      </c>
      <c r="K49" s="387">
        <f>VLOOKUP($A49&amp;"NCP ONPK",'E11 - 2012 09 Final'!$A$46:$P$2419,$K$45,FALSE)</f>
        <v>31377</v>
      </c>
      <c r="L49" s="387">
        <f>VLOOKUP($A49&amp;"NCP ONPK",'E11 - 2012 09 Final'!$A$46:$P$2419,$L$45,FALSE)</f>
        <v>30078</v>
      </c>
      <c r="M49" s="387">
        <f>VLOOKUP($A49&amp;"NCP ONPK",'E11 - 2012 09 Final'!$A$46:$P$2419,$M$45,FALSE)</f>
        <v>28638</v>
      </c>
      <c r="N49" s="387">
        <f>VLOOKUP($A49&amp;"NCP ONPK",'E11 - 2012 09 Final'!$A$46:$P$2419,$N$45,FALSE)</f>
        <v>27931</v>
      </c>
      <c r="O49" s="384">
        <f t="shared" si="12"/>
        <v>353941</v>
      </c>
      <c r="P49" s="385">
        <f t="shared" si="13"/>
        <v>31377</v>
      </c>
    </row>
    <row r="50" spans="1:16">
      <c r="A50" s="350" t="s">
        <v>185</v>
      </c>
      <c r="B50" s="382" t="s">
        <v>50</v>
      </c>
      <c r="C50" s="387">
        <f>VLOOKUP($A50&amp;"NCP ONPK",'E11 - 2012 09 Final'!$A$46:$P$2419,$C$45,FALSE)</f>
        <v>203142</v>
      </c>
      <c r="D50" s="387">
        <f>VLOOKUP($A50&amp;"NCP ONPK",'E11 - 2012 09 Final'!$A$46:$P$2419,$D$45,FALSE)</f>
        <v>172148</v>
      </c>
      <c r="E50" s="387">
        <f>VLOOKUP($A50&amp;"NCP ONPK",'E11 - 2012 09 Final'!$A$46:$P$2419,$E$45,FALSE)</f>
        <v>198042</v>
      </c>
      <c r="F50" s="387">
        <f>VLOOKUP($A50&amp;"NCP ONPK",'E11 - 2012 09 Final'!$A$46:$P$2419,$F$45,FALSE)</f>
        <v>183601</v>
      </c>
      <c r="G50" s="387">
        <f>VLOOKUP($A50&amp;"NCP ONPK",'E11 - 2012 09 Final'!$A$46:$P$2419,$G$45,FALSE)</f>
        <v>201807</v>
      </c>
      <c r="H50" s="387">
        <f>VLOOKUP($A50&amp;"NCP ONPK",'E11 - 2012 09 Final'!$A$46:$P$2419,$H$45,FALSE)</f>
        <v>189828</v>
      </c>
      <c r="I50" s="387">
        <f>VLOOKUP($A50&amp;"NCP ONPK",'E11 - 2012 09 Final'!$A$46:$P$2419,$I$45,FALSE)</f>
        <v>207822</v>
      </c>
      <c r="J50" s="387">
        <f>VLOOKUP($A50&amp;"NCP ONPK",'E11 - 2012 09 Final'!$A$46:$P$2419,$J$45,FALSE)</f>
        <v>200631</v>
      </c>
      <c r="K50" s="387">
        <f>VLOOKUP($A50&amp;"NCP ONPK",'E11 - 2012 09 Final'!$A$46:$P$2419,$K$45,FALSE)</f>
        <v>212745</v>
      </c>
      <c r="L50" s="387">
        <f>VLOOKUP($A50&amp;"NCP ONPK",'E11 - 2012 09 Final'!$A$46:$P$2419,$L$45,FALSE)</f>
        <v>219939</v>
      </c>
      <c r="M50" s="387">
        <f>VLOOKUP($A50&amp;"NCP ONPK",'E11 - 2012 09 Final'!$A$46:$P$2419,$M$45,FALSE)</f>
        <v>198119</v>
      </c>
      <c r="N50" s="387">
        <f>VLOOKUP($A50&amp;"NCP ONPK",'E11 - 2012 09 Final'!$A$46:$P$2419,$N$45,FALSE)</f>
        <v>191171</v>
      </c>
      <c r="O50" s="384">
        <f t="shared" si="12"/>
        <v>2378995</v>
      </c>
      <c r="P50" s="385">
        <f t="shared" si="13"/>
        <v>219939</v>
      </c>
    </row>
    <row r="51" spans="1:16">
      <c r="A51" s="350" t="s">
        <v>941</v>
      </c>
      <c r="B51" s="382" t="s">
        <v>49</v>
      </c>
      <c r="C51" s="387">
        <f>VLOOKUP($A51&amp;"NCP ONPK",'E11 - 2012 09 Final'!$A$46:$P$2419,$C$45,FALSE)</f>
        <v>1734985</v>
      </c>
      <c r="D51" s="387">
        <f>VLOOKUP($A51&amp;"NCP ONPK",'E11 - 2012 09 Final'!$A$46:$P$2419,$D$45,FALSE)</f>
        <v>1664145</v>
      </c>
      <c r="E51" s="387">
        <f>VLOOKUP($A51&amp;"NCP ONPK",'E11 - 2012 09 Final'!$A$46:$P$2419,$E$45,FALSE)</f>
        <v>1558237</v>
      </c>
      <c r="F51" s="387">
        <f>VLOOKUP($A51&amp;"NCP ONPK",'E11 - 2012 09 Final'!$A$46:$P$2419,$F$45,FALSE)</f>
        <v>1848489</v>
      </c>
      <c r="G51" s="387">
        <f>VLOOKUP($A51&amp;"NCP ONPK",'E11 - 2012 09 Final'!$A$46:$P$2419,$G$45,FALSE)</f>
        <v>1690171</v>
      </c>
      <c r="H51" s="387">
        <f>VLOOKUP($A51&amp;"NCP ONPK",'E11 - 2012 09 Final'!$A$46:$P$2419,$H$45,FALSE)</f>
        <v>1897489</v>
      </c>
      <c r="I51" s="387">
        <f>VLOOKUP($A51&amp;"NCP ONPK",'E11 - 2012 09 Final'!$A$46:$P$2419,$I$45,FALSE)</f>
        <v>1831491</v>
      </c>
      <c r="J51" s="387">
        <f>VLOOKUP($A51&amp;"NCP ONPK",'E11 - 2012 09 Final'!$A$46:$P$2419,$J$45,FALSE)</f>
        <v>1900238</v>
      </c>
      <c r="K51" s="387">
        <f>VLOOKUP($A51&amp;"NCP ONPK",'E11 - 2012 09 Final'!$A$46:$P$2419,$K$45,FALSE)</f>
        <v>1941676</v>
      </c>
      <c r="L51" s="387">
        <f>VLOOKUP($A51&amp;"NCP ONPK",'E11 - 2012 09 Final'!$A$46:$P$2419,$L$45,FALSE)</f>
        <v>1893710</v>
      </c>
      <c r="M51" s="387">
        <f>VLOOKUP($A51&amp;"NCP ONPK",'E11 - 2012 09 Final'!$A$46:$P$2419,$M$45,FALSE)</f>
        <v>1704974</v>
      </c>
      <c r="N51" s="387">
        <f>VLOOKUP($A51&amp;"NCP ONPK",'E11 - 2012 09 Final'!$A$46:$P$2419,$N$45,FALSE)</f>
        <v>1598218</v>
      </c>
      <c r="O51" s="384">
        <f t="shared" si="12"/>
        <v>21263823</v>
      </c>
      <c r="P51" s="385">
        <f t="shared" si="13"/>
        <v>1941676</v>
      </c>
    </row>
    <row r="52" spans="1:16">
      <c r="A52" s="350" t="s">
        <v>944</v>
      </c>
      <c r="B52" s="381" t="s">
        <v>325</v>
      </c>
      <c r="C52" s="387">
        <f>VLOOKUP($A52&amp;"NCP ONPK",'E11 - 2012 09 Final'!$A$46:$P$2419,$C$45,FALSE)</f>
        <v>3786</v>
      </c>
      <c r="D52" s="387">
        <f>VLOOKUP($A52&amp;"NCP ONPK",'E11 - 2012 09 Final'!$A$46:$P$2419,$D$45,FALSE)</f>
        <v>3499</v>
      </c>
      <c r="E52" s="387">
        <f>VLOOKUP($A52&amp;"NCP ONPK",'E11 - 2012 09 Final'!$A$46:$P$2419,$E$45,FALSE)</f>
        <v>3339</v>
      </c>
      <c r="F52" s="387">
        <f>VLOOKUP($A52&amp;"NCP ONPK",'E11 - 2012 09 Final'!$A$46:$P$2419,$F$45,FALSE)</f>
        <v>3466</v>
      </c>
      <c r="G52" s="387">
        <f>VLOOKUP($A52&amp;"NCP ONPK",'E11 - 2012 09 Final'!$A$46:$P$2419,$G$45,FALSE)</f>
        <v>3275</v>
      </c>
      <c r="H52" s="387">
        <f>VLOOKUP($A52&amp;"NCP ONPK",'E11 - 2012 09 Final'!$A$46:$P$2419,$H$45,FALSE)</f>
        <v>3477</v>
      </c>
      <c r="I52" s="387">
        <f>VLOOKUP($A52&amp;"NCP ONPK",'E11 - 2012 09 Final'!$A$46:$P$2419,$I$45,FALSE)</f>
        <v>3229</v>
      </c>
      <c r="J52" s="387">
        <f>VLOOKUP($A52&amp;"NCP ONPK",'E11 - 2012 09 Final'!$A$46:$P$2419,$J$45,FALSE)</f>
        <v>3297</v>
      </c>
      <c r="K52" s="387">
        <f>VLOOKUP($A52&amp;"NCP ONPK",'E11 - 2012 09 Final'!$A$46:$P$2419,$K$45,FALSE)</f>
        <v>3180</v>
      </c>
      <c r="L52" s="387">
        <f>VLOOKUP($A52&amp;"NCP ONPK",'E11 - 2012 09 Final'!$A$46:$P$2419,$L$45,FALSE)</f>
        <v>3010</v>
      </c>
      <c r="M52" s="387">
        <f>VLOOKUP($A52&amp;"NCP ONPK",'E11 - 2012 09 Final'!$A$46:$P$2419,$M$45,FALSE)</f>
        <v>3103</v>
      </c>
      <c r="N52" s="387">
        <f>VLOOKUP($A52&amp;"NCP ONPK",'E11 - 2012 09 Final'!$A$46:$P$2419,$N$45,FALSE)</f>
        <v>3018</v>
      </c>
      <c r="O52" s="384">
        <f t="shared" si="12"/>
        <v>39679</v>
      </c>
      <c r="P52" s="385">
        <f t="shared" si="13"/>
        <v>3786</v>
      </c>
    </row>
    <row r="53" spans="1:16">
      <c r="A53" s="350" t="s">
        <v>994</v>
      </c>
      <c r="B53" s="382" t="s">
        <v>67</v>
      </c>
      <c r="C53" s="387">
        <f>VLOOKUP($A53&amp;"NCP ONPK",'E11 - 2012 09 Final'!$A$46:$P$2419,$C$45,FALSE)</f>
        <v>5042120</v>
      </c>
      <c r="D53" s="387">
        <f>VLOOKUP($A53&amp;"NCP ONPK",'E11 - 2012 09 Final'!$A$46:$P$2419,$D$45,FALSE)</f>
        <v>4942083</v>
      </c>
      <c r="E53" s="387">
        <f>VLOOKUP($A53&amp;"NCP ONPK",'E11 - 2012 09 Final'!$A$46:$P$2419,$E$45,FALSE)</f>
        <v>4674562</v>
      </c>
      <c r="F53" s="387">
        <f>VLOOKUP($A53&amp;"NCP ONPK",'E11 - 2012 09 Final'!$A$46:$P$2419,$F$45,FALSE)</f>
        <v>5369044</v>
      </c>
      <c r="G53" s="387">
        <f>VLOOKUP($A53&amp;"NCP ONPK",'E11 - 2012 09 Final'!$A$46:$P$2419,$G$45,FALSE)</f>
        <v>5011082</v>
      </c>
      <c r="H53" s="387">
        <f>VLOOKUP($A53&amp;"NCP ONPK",'E11 - 2012 09 Final'!$A$46:$P$2419,$H$45,FALSE)</f>
        <v>5656713</v>
      </c>
      <c r="I53" s="387">
        <f>VLOOKUP($A53&amp;"NCP ONPK",'E11 - 2012 09 Final'!$A$46:$P$2419,$I$45,FALSE)</f>
        <v>5423661</v>
      </c>
      <c r="J53" s="387">
        <f>VLOOKUP($A53&amp;"NCP ONPK",'E11 - 2012 09 Final'!$A$46:$P$2419,$J$45,FALSE)</f>
        <v>5563081</v>
      </c>
      <c r="K53" s="387">
        <f>VLOOKUP($A53&amp;"NCP ONPK",'E11 - 2012 09 Final'!$A$46:$P$2419,$K$45,FALSE)</f>
        <v>5681447</v>
      </c>
      <c r="L53" s="387">
        <f>VLOOKUP($A53&amp;"NCP ONPK",'E11 - 2012 09 Final'!$A$46:$P$2419,$L$45,FALSE)</f>
        <v>5665186</v>
      </c>
      <c r="M53" s="387">
        <f>VLOOKUP($A53&amp;"NCP ONPK",'E11 - 2012 09 Final'!$A$46:$P$2419,$M$45,FALSE)</f>
        <v>5057528</v>
      </c>
      <c r="N53" s="387">
        <f>VLOOKUP($A53&amp;"NCP ONPK",'E11 - 2012 09 Final'!$A$46:$P$2419,$N$45,FALSE)</f>
        <v>4813221</v>
      </c>
      <c r="O53" s="384">
        <f t="shared" si="12"/>
        <v>62899728</v>
      </c>
      <c r="P53" s="385">
        <f t="shared" si="13"/>
        <v>5681447</v>
      </c>
    </row>
    <row r="54" spans="1:16">
      <c r="A54" s="350" t="s">
        <v>997</v>
      </c>
      <c r="B54" s="382" t="s">
        <v>68</v>
      </c>
      <c r="C54" s="387">
        <f>VLOOKUP($A54&amp;"NCP ONPK",'E11 - 2012 09 Final'!$A$46:$P$2419,$C$45,FALSE)</f>
        <v>1951158</v>
      </c>
      <c r="D54" s="387">
        <f>VLOOKUP($A54&amp;"NCP ONPK",'E11 - 2012 09 Final'!$A$46:$P$2419,$D$45,FALSE)</f>
        <v>1895057</v>
      </c>
      <c r="E54" s="387">
        <f>VLOOKUP($A54&amp;"NCP ONPK",'E11 - 2012 09 Final'!$A$46:$P$2419,$E$45,FALSE)</f>
        <v>1846535</v>
      </c>
      <c r="F54" s="387">
        <f>VLOOKUP($A54&amp;"NCP ONPK",'E11 - 2012 09 Final'!$A$46:$P$2419,$F$45,FALSE)</f>
        <v>2048015</v>
      </c>
      <c r="G54" s="387">
        <f>VLOOKUP($A54&amp;"NCP ONPK",'E11 - 2012 09 Final'!$A$46:$P$2419,$G$45,FALSE)</f>
        <v>2036273</v>
      </c>
      <c r="H54" s="387">
        <f>VLOOKUP($A54&amp;"NCP ONPK",'E11 - 2012 09 Final'!$A$46:$P$2419,$H$45,FALSE)</f>
        <v>2219523</v>
      </c>
      <c r="I54" s="387">
        <f>VLOOKUP($A54&amp;"NCP ONPK",'E11 - 2012 09 Final'!$A$46:$P$2419,$I$45,FALSE)</f>
        <v>2116757</v>
      </c>
      <c r="J54" s="387">
        <f>VLOOKUP($A54&amp;"NCP ONPK",'E11 - 2012 09 Final'!$A$46:$P$2419,$J$45,FALSE)</f>
        <v>2115292</v>
      </c>
      <c r="K54" s="387">
        <f>VLOOKUP($A54&amp;"NCP ONPK",'E11 - 2012 09 Final'!$A$46:$P$2419,$K$45,FALSE)</f>
        <v>2245160</v>
      </c>
      <c r="L54" s="387">
        <f>VLOOKUP($A54&amp;"NCP ONPK",'E11 - 2012 09 Final'!$A$46:$P$2419,$L$45,FALSE)</f>
        <v>2295038</v>
      </c>
      <c r="M54" s="387">
        <f>VLOOKUP($A54&amp;"NCP ONPK",'E11 - 2012 09 Final'!$A$46:$P$2419,$M$45,FALSE)</f>
        <v>1919986</v>
      </c>
      <c r="N54" s="387">
        <f>VLOOKUP($A54&amp;"NCP ONPK",'E11 - 2012 09 Final'!$A$46:$P$2419,$N$45,FALSE)</f>
        <v>1923268</v>
      </c>
      <c r="O54" s="384">
        <f t="shared" si="12"/>
        <v>24612062</v>
      </c>
      <c r="P54" s="385">
        <f t="shared" si="13"/>
        <v>2295038</v>
      </c>
    </row>
    <row r="55" spans="1:16">
      <c r="A55" s="350" t="s">
        <v>713</v>
      </c>
      <c r="B55" s="382" t="s">
        <v>69</v>
      </c>
      <c r="C55" s="387">
        <f>VLOOKUP($A55&amp;"NCP ONPK",'E11 - 2012 09 Final'!$A$46:$P$2419,$C$45,FALSE)</f>
        <v>353779</v>
      </c>
      <c r="D55" s="387">
        <f>VLOOKUP($A55&amp;"NCP ONPK",'E11 - 2012 09 Final'!$A$46:$P$2419,$D$45,FALSE)</f>
        <v>353856</v>
      </c>
      <c r="E55" s="387">
        <f>VLOOKUP($A55&amp;"NCP ONPK",'E11 - 2012 09 Final'!$A$46:$P$2419,$E$45,FALSE)</f>
        <v>334273</v>
      </c>
      <c r="F55" s="387">
        <f>VLOOKUP($A55&amp;"NCP ONPK",'E11 - 2012 09 Final'!$A$46:$P$2419,$F$45,FALSE)</f>
        <v>358493</v>
      </c>
      <c r="G55" s="387">
        <f>VLOOKUP($A55&amp;"NCP ONPK",'E11 - 2012 09 Final'!$A$46:$P$2419,$G$45,FALSE)</f>
        <v>343798</v>
      </c>
      <c r="H55" s="387">
        <f>VLOOKUP($A55&amp;"NCP ONPK",'E11 - 2012 09 Final'!$A$46:$P$2419,$H$45,FALSE)</f>
        <v>389387</v>
      </c>
      <c r="I55" s="387">
        <f>VLOOKUP($A55&amp;"NCP ONPK",'E11 - 2012 09 Final'!$A$46:$P$2419,$I$45,FALSE)</f>
        <v>376418</v>
      </c>
      <c r="J55" s="387">
        <f>VLOOKUP($A55&amp;"NCP ONPK",'E11 - 2012 09 Final'!$A$46:$P$2419,$J$45,FALSE)</f>
        <v>397479</v>
      </c>
      <c r="K55" s="387">
        <f>VLOOKUP($A55&amp;"NCP ONPK",'E11 - 2012 09 Final'!$A$46:$P$2419,$K$45,FALSE)</f>
        <v>392638</v>
      </c>
      <c r="L55" s="387">
        <f>VLOOKUP($A55&amp;"NCP ONPK",'E11 - 2012 09 Final'!$A$46:$P$2419,$L$45,FALSE)</f>
        <v>398385</v>
      </c>
      <c r="M55" s="387">
        <f>VLOOKUP($A55&amp;"NCP ONPK",'E11 - 2012 09 Final'!$A$46:$P$2419,$M$45,FALSE)</f>
        <v>359584</v>
      </c>
      <c r="N55" s="387">
        <f>VLOOKUP($A55&amp;"NCP ONPK",'E11 - 2012 09 Final'!$A$46:$P$2419,$N$45,FALSE)</f>
        <v>353852</v>
      </c>
      <c r="O55" s="384">
        <f t="shared" si="12"/>
        <v>4411942</v>
      </c>
      <c r="P55" s="385">
        <f t="shared" si="13"/>
        <v>398385</v>
      </c>
    </row>
    <row r="56" spans="1:16">
      <c r="A56" s="350" t="s">
        <v>717</v>
      </c>
      <c r="B56" s="382" t="s">
        <v>52</v>
      </c>
      <c r="C56" s="387">
        <f>VLOOKUP($A56&amp;"NCP ONPK",'E11 - 2012 09 Final'!$A$46:$P$2419,$C$45,FALSE)</f>
        <v>29409</v>
      </c>
      <c r="D56" s="387">
        <f>VLOOKUP($A56&amp;"NCP ONPK",'E11 - 2012 09 Final'!$A$46:$P$2419,$D$45,FALSE)</f>
        <v>27850</v>
      </c>
      <c r="E56" s="387">
        <f>VLOOKUP($A56&amp;"NCP ONPK",'E11 - 2012 09 Final'!$A$46:$P$2419,$E$45,FALSE)</f>
        <v>26568</v>
      </c>
      <c r="F56" s="387">
        <f>VLOOKUP($A56&amp;"NCP ONPK",'E11 - 2012 09 Final'!$A$46:$P$2419,$F$45,FALSE)</f>
        <v>28130</v>
      </c>
      <c r="G56" s="387">
        <f>VLOOKUP($A56&amp;"NCP ONPK",'E11 - 2012 09 Final'!$A$46:$P$2419,$G$45,FALSE)</f>
        <v>29809</v>
      </c>
      <c r="H56" s="387">
        <f>VLOOKUP($A56&amp;"NCP ONPK",'E11 - 2012 09 Final'!$A$46:$P$2419,$H$45,FALSE)</f>
        <v>23120</v>
      </c>
      <c r="I56" s="387">
        <f>VLOOKUP($A56&amp;"NCP ONPK",'E11 - 2012 09 Final'!$A$46:$P$2419,$I$45,FALSE)</f>
        <v>22737</v>
      </c>
      <c r="J56" s="387">
        <f>VLOOKUP($A56&amp;"NCP ONPK",'E11 - 2012 09 Final'!$A$46:$P$2419,$J$45,FALSE)</f>
        <v>23404</v>
      </c>
      <c r="K56" s="387">
        <f>VLOOKUP($A56&amp;"NCP ONPK",'E11 - 2012 09 Final'!$A$46:$P$2419,$K$45,FALSE)</f>
        <v>22490</v>
      </c>
      <c r="L56" s="387">
        <f>VLOOKUP($A56&amp;"NCP ONPK",'E11 - 2012 09 Final'!$A$46:$P$2419,$L$45,FALSE)</f>
        <v>21995</v>
      </c>
      <c r="M56" s="387">
        <f>VLOOKUP($A56&amp;"NCP ONPK",'E11 - 2012 09 Final'!$A$46:$P$2419,$M$45,FALSE)</f>
        <v>25136</v>
      </c>
      <c r="N56" s="387">
        <f>VLOOKUP($A56&amp;"NCP ONPK",'E11 - 2012 09 Final'!$A$46:$P$2419,$N$45,FALSE)</f>
        <v>25776</v>
      </c>
      <c r="O56" s="384">
        <f t="shared" si="12"/>
        <v>306424</v>
      </c>
      <c r="P56" s="385">
        <f t="shared" si="13"/>
        <v>29809</v>
      </c>
    </row>
    <row r="57" spans="1:16">
      <c r="A57" s="350" t="s">
        <v>15</v>
      </c>
      <c r="B57" s="381" t="s">
        <v>15</v>
      </c>
      <c r="C57" s="387">
        <f>VLOOKUP($A57&amp;"NCP ONPK",'E11 - 2012 09 Final'!$A$46:$P$2419,$C$45,FALSE)</f>
        <v>14990</v>
      </c>
      <c r="D57" s="387">
        <f>VLOOKUP($A57&amp;"NCP ONPK",'E11 - 2012 09 Final'!$A$46:$P$2419,$D$45,FALSE)</f>
        <v>15177</v>
      </c>
      <c r="E57" s="387">
        <f>VLOOKUP($A57&amp;"NCP ONPK",'E11 - 2012 09 Final'!$A$46:$P$2419,$E$45,FALSE)</f>
        <v>15335</v>
      </c>
      <c r="F57" s="387">
        <f>VLOOKUP($A57&amp;"NCP ONPK",'E11 - 2012 09 Final'!$A$46:$P$2419,$F$45,FALSE)</f>
        <v>15558</v>
      </c>
      <c r="G57" s="387">
        <f>VLOOKUP($A57&amp;"NCP ONPK",'E11 - 2012 09 Final'!$A$46:$P$2419,$G$45,FALSE)</f>
        <v>15611</v>
      </c>
      <c r="H57" s="387">
        <f>VLOOKUP($A57&amp;"NCP ONPK",'E11 - 2012 09 Final'!$A$46:$P$2419,$H$45,FALSE)</f>
        <v>16957</v>
      </c>
      <c r="I57" s="387">
        <f>VLOOKUP($A57&amp;"NCP ONPK",'E11 - 2012 09 Final'!$A$46:$P$2419,$I$45,FALSE)</f>
        <v>16285</v>
      </c>
      <c r="J57" s="387">
        <f>VLOOKUP($A57&amp;"NCP ONPK",'E11 - 2012 09 Final'!$A$46:$P$2419,$J$45,FALSE)</f>
        <v>14505</v>
      </c>
      <c r="K57" s="387">
        <f>VLOOKUP($A57&amp;"NCP ONPK",'E11 - 2012 09 Final'!$A$46:$P$2419,$K$45,FALSE)</f>
        <v>14376</v>
      </c>
      <c r="L57" s="387">
        <f>VLOOKUP($A57&amp;"NCP ONPK",'E11 - 2012 09 Final'!$A$46:$P$2419,$L$45,FALSE)</f>
        <v>17264</v>
      </c>
      <c r="M57" s="387">
        <f>VLOOKUP($A57&amp;"NCP ONPK",'E11 - 2012 09 Final'!$A$46:$P$2419,$M$45,FALSE)</f>
        <v>15115</v>
      </c>
      <c r="N57" s="387">
        <f>VLOOKUP($A57&amp;"NCP ONPK",'E11 - 2012 09 Final'!$A$46:$P$2419,$N$45,FALSE)</f>
        <v>15630</v>
      </c>
      <c r="O57" s="384">
        <f t="shared" si="12"/>
        <v>186803</v>
      </c>
      <c r="P57" s="385">
        <f t="shared" si="13"/>
        <v>17264</v>
      </c>
    </row>
    <row r="58" spans="1:16">
      <c r="A58" s="350" t="s">
        <v>19</v>
      </c>
      <c r="B58" s="382" t="s">
        <v>56</v>
      </c>
      <c r="C58" s="387">
        <f>VLOOKUP($A58&amp;"NCP ONPK",'E11 - 2012 09 Final'!$A$46:$P$2419,$C$45,FALSE)</f>
        <v>20334</v>
      </c>
      <c r="D58" s="387">
        <f>VLOOKUP($A58&amp;"NCP ONPK",'E11 - 2012 09 Final'!$A$46:$P$2419,$D$45,FALSE)</f>
        <v>22670</v>
      </c>
      <c r="E58" s="387">
        <f>VLOOKUP($A58&amp;"NCP ONPK",'E11 - 2012 09 Final'!$A$46:$P$2419,$E$45,FALSE)</f>
        <v>22559</v>
      </c>
      <c r="F58" s="387">
        <f>VLOOKUP($A58&amp;"NCP ONPK",'E11 - 2012 09 Final'!$A$46:$P$2419,$F$45,FALSE)</f>
        <v>24862</v>
      </c>
      <c r="G58" s="387">
        <f>VLOOKUP($A58&amp;"NCP ONPK",'E11 - 2012 09 Final'!$A$46:$P$2419,$G$45,FALSE)</f>
        <v>25513</v>
      </c>
      <c r="H58" s="387">
        <f>VLOOKUP($A58&amp;"NCP ONPK",'E11 - 2012 09 Final'!$A$46:$P$2419,$H$45,FALSE)</f>
        <v>24379</v>
      </c>
      <c r="I58" s="387">
        <f>VLOOKUP($A58&amp;"NCP ONPK",'E11 - 2012 09 Final'!$A$46:$P$2419,$I$45,FALSE)</f>
        <v>22649</v>
      </c>
      <c r="J58" s="387">
        <f>VLOOKUP($A58&amp;"NCP ONPK",'E11 - 2012 09 Final'!$A$46:$P$2419,$J$45,FALSE)</f>
        <v>24696</v>
      </c>
      <c r="K58" s="387">
        <f>VLOOKUP($A58&amp;"NCP ONPK",'E11 - 2012 09 Final'!$A$46:$P$2419,$K$45,FALSE)</f>
        <v>23927</v>
      </c>
      <c r="L58" s="387">
        <f>VLOOKUP($A58&amp;"NCP ONPK",'E11 - 2012 09 Final'!$A$46:$P$2419,$L$45,FALSE)</f>
        <v>21698</v>
      </c>
      <c r="M58" s="387">
        <f>VLOOKUP($A58&amp;"NCP ONPK",'E11 - 2012 09 Final'!$A$46:$P$2419,$M$45,FALSE)</f>
        <v>21198</v>
      </c>
      <c r="N58" s="387">
        <f>VLOOKUP($A58&amp;"NCP ONPK",'E11 - 2012 09 Final'!$A$46:$P$2419,$N$45,FALSE)</f>
        <v>20160</v>
      </c>
      <c r="O58" s="384">
        <f t="shared" si="12"/>
        <v>274645</v>
      </c>
      <c r="P58" s="385">
        <f t="shared" si="13"/>
        <v>25513</v>
      </c>
    </row>
    <row r="59" spans="1:16">
      <c r="A59" s="350" t="s">
        <v>22</v>
      </c>
      <c r="B59" s="382" t="s">
        <v>57</v>
      </c>
      <c r="C59" s="387">
        <f>VLOOKUP($A59&amp;"NCP ONPK",'E11 - 2012 09 Final'!$A$46:$P$2419,$C$45,FALSE)</f>
        <v>13669</v>
      </c>
      <c r="D59" s="387">
        <f>VLOOKUP($A59&amp;"NCP ONPK",'E11 - 2012 09 Final'!$A$46:$P$2419,$D$45,FALSE)</f>
        <v>14203</v>
      </c>
      <c r="E59" s="387">
        <f>VLOOKUP($A59&amp;"NCP ONPK",'E11 - 2012 09 Final'!$A$46:$P$2419,$E$45,FALSE)</f>
        <v>15135</v>
      </c>
      <c r="F59" s="387">
        <f>VLOOKUP($A59&amp;"NCP ONPK",'E11 - 2012 09 Final'!$A$46:$P$2419,$F$45,FALSE)</f>
        <v>16296</v>
      </c>
      <c r="G59" s="387">
        <f>VLOOKUP($A59&amp;"NCP ONPK",'E11 - 2012 09 Final'!$A$46:$P$2419,$G$45,FALSE)</f>
        <v>13605</v>
      </c>
      <c r="H59" s="387">
        <f>VLOOKUP($A59&amp;"NCP ONPK",'E11 - 2012 09 Final'!$A$46:$P$2419,$H$45,FALSE)</f>
        <v>12159</v>
      </c>
      <c r="I59" s="387">
        <f>VLOOKUP($A59&amp;"NCP ONPK",'E11 - 2012 09 Final'!$A$46:$P$2419,$I$45,FALSE)</f>
        <v>9596</v>
      </c>
      <c r="J59" s="387">
        <f>VLOOKUP($A59&amp;"NCP ONPK",'E11 - 2012 09 Final'!$A$46:$P$2419,$J$45,FALSE)</f>
        <v>10525</v>
      </c>
      <c r="K59" s="387">
        <f>VLOOKUP($A59&amp;"NCP ONPK",'E11 - 2012 09 Final'!$A$46:$P$2419,$K$45,FALSE)</f>
        <v>13692</v>
      </c>
      <c r="L59" s="387">
        <f>VLOOKUP($A59&amp;"NCP ONPK",'E11 - 2012 09 Final'!$A$46:$P$2419,$L$45,FALSE)</f>
        <v>14964</v>
      </c>
      <c r="M59" s="387">
        <f>VLOOKUP($A59&amp;"NCP ONPK",'E11 - 2012 09 Final'!$A$46:$P$2419,$M$45,FALSE)</f>
        <v>14348</v>
      </c>
      <c r="N59" s="387">
        <f>VLOOKUP($A59&amp;"NCP ONPK",'E11 - 2012 09 Final'!$A$46:$P$2419,$N$45,FALSE)</f>
        <v>15507</v>
      </c>
      <c r="O59" s="384">
        <f t="shared" si="12"/>
        <v>163699</v>
      </c>
      <c r="P59" s="385">
        <f t="shared" si="13"/>
        <v>16296</v>
      </c>
    </row>
    <row r="60" spans="1:16">
      <c r="A60" s="350" t="s">
        <v>687</v>
      </c>
      <c r="B60" s="382" t="s">
        <v>48</v>
      </c>
      <c r="C60" s="387">
        <f>VLOOKUP($A60&amp;"NCP ONPK",'E11 - 2012 09 Final'!$A$46:$P$2419,$C$45,FALSE)</f>
        <v>26776739</v>
      </c>
      <c r="D60" s="387">
        <f>VLOOKUP($A60&amp;"NCP ONPK",'E11 - 2012 09 Final'!$A$46:$P$2419,$D$45,FALSE)</f>
        <v>21679685</v>
      </c>
      <c r="E60" s="387">
        <f>VLOOKUP($A60&amp;"NCP ONPK",'E11 - 2012 09 Final'!$A$46:$P$2419,$E$45,FALSE)</f>
        <v>19092841</v>
      </c>
      <c r="F60" s="387">
        <f>VLOOKUP($A60&amp;"NCP ONPK",'E11 - 2012 09 Final'!$A$46:$P$2419,$F$45,FALSE)</f>
        <v>22459165</v>
      </c>
      <c r="G60" s="387">
        <f>VLOOKUP($A60&amp;"NCP ONPK",'E11 - 2012 09 Final'!$A$46:$P$2419,$G$45,FALSE)</f>
        <v>18955370</v>
      </c>
      <c r="H60" s="387">
        <f>VLOOKUP($A60&amp;"NCP ONPK",'E11 - 2012 09 Final'!$A$46:$P$2419,$H$45,FALSE)</f>
        <v>22719469</v>
      </c>
      <c r="I60" s="387">
        <f>VLOOKUP($A60&amp;"NCP ONPK",'E11 - 2012 09 Final'!$A$46:$P$2419,$I$45,FALSE)</f>
        <v>22094891</v>
      </c>
      <c r="J60" s="387">
        <f>VLOOKUP($A60&amp;"NCP ONPK",'E11 - 2012 09 Final'!$A$46:$P$2419,$J$45,FALSE)</f>
        <v>23310359</v>
      </c>
      <c r="K60" s="387">
        <f>VLOOKUP($A60&amp;"NCP ONPK",'E11 - 2012 09 Final'!$A$46:$P$2419,$K$45,FALSE)</f>
        <v>23168665</v>
      </c>
      <c r="L60" s="387">
        <f>VLOOKUP($A60&amp;"NCP ONPK",'E11 - 2012 09 Final'!$A$46:$P$2419,$L$45,FALSE)</f>
        <v>23892543</v>
      </c>
      <c r="M60" s="387">
        <f>VLOOKUP($A60&amp;"NCP ONPK",'E11 - 2012 09 Final'!$A$46:$P$2419,$M$45,FALSE)</f>
        <v>22727161</v>
      </c>
      <c r="N60" s="387">
        <f>VLOOKUP($A60&amp;"NCP ONPK",'E11 - 2012 09 Final'!$A$46:$P$2419,$N$45,FALSE)</f>
        <v>20086453</v>
      </c>
      <c r="O60" s="384">
        <f t="shared" si="12"/>
        <v>266963341</v>
      </c>
      <c r="P60" s="385">
        <f t="shared" si="13"/>
        <v>26776739</v>
      </c>
    </row>
    <row r="61" spans="1:16">
      <c r="A61" s="388" t="s">
        <v>35</v>
      </c>
      <c r="B61" s="382" t="s">
        <v>53</v>
      </c>
      <c r="C61" s="387">
        <f>VLOOKUP($A61&amp;"NCP ONPK",'E11 - 2012 09 Final'!$A$46:$P$2419,$C$45,FALSE)</f>
        <v>101421</v>
      </c>
      <c r="D61" s="387">
        <f>VLOOKUP($A61&amp;"NCP ONPK",'E11 - 2012 09 Final'!$A$46:$P$2419,$D$45,FALSE)</f>
        <v>113971</v>
      </c>
      <c r="E61" s="387">
        <f>VLOOKUP($A61&amp;"NCP ONPK",'E11 - 2012 09 Final'!$A$46:$P$2419,$E$45,FALSE)</f>
        <v>116110</v>
      </c>
      <c r="F61" s="387">
        <f>VLOOKUP($A61&amp;"NCP ONPK",'E11 - 2012 09 Final'!$A$46:$P$2419,$F$45,FALSE)</f>
        <v>126781</v>
      </c>
      <c r="G61" s="387">
        <f>VLOOKUP($A61&amp;"NCP ONPK",'E11 - 2012 09 Final'!$A$46:$P$2419,$G$45,FALSE)</f>
        <v>125952</v>
      </c>
      <c r="H61" s="387">
        <f>VLOOKUP($A61&amp;"NCP ONPK",'E11 - 2012 09 Final'!$A$46:$P$2419,$H$45,FALSE)</f>
        <v>129712</v>
      </c>
      <c r="I61" s="387">
        <f>VLOOKUP($A61&amp;"NCP ONPK",'E11 - 2012 09 Final'!$A$46:$P$2419,$I$45,FALSE)</f>
        <v>110548</v>
      </c>
      <c r="J61" s="387">
        <f>VLOOKUP($A61&amp;"NCP ONPK",'E11 - 2012 09 Final'!$A$46:$P$2419,$J$45,FALSE)</f>
        <v>129358</v>
      </c>
      <c r="K61" s="387">
        <f>VLOOKUP($A61&amp;"NCP ONPK",'E11 - 2012 09 Final'!$A$46:$P$2419,$K$45,FALSE)</f>
        <v>121260</v>
      </c>
      <c r="L61" s="387">
        <f>VLOOKUP($A61&amp;"NCP ONPK",'E11 - 2012 09 Final'!$A$46:$P$2419,$L$45,FALSE)</f>
        <v>96470</v>
      </c>
      <c r="M61" s="387">
        <f>VLOOKUP($A61&amp;"NCP ONPK",'E11 - 2012 09 Final'!$A$46:$P$2419,$M$45,FALSE)</f>
        <v>121343</v>
      </c>
      <c r="N61" s="387">
        <f>VLOOKUP($A61&amp;"NCP ONPK",'E11 - 2012 09 Final'!$A$46:$P$2419,$N$45,FALSE)</f>
        <v>102654</v>
      </c>
      <c r="O61" s="384">
        <f t="shared" si="12"/>
        <v>1395580</v>
      </c>
      <c r="P61" s="385">
        <f t="shared" si="13"/>
        <v>129712</v>
      </c>
    </row>
    <row r="62" spans="1:16">
      <c r="A62" s="388" t="s">
        <v>38</v>
      </c>
      <c r="B62" s="382" t="s">
        <v>55</v>
      </c>
      <c r="C62" s="387">
        <f>VLOOKUP($A62&amp;"NCP ONPK",'E11 - 2012 09 Final'!$A$46:$P$2419,$C$45,FALSE)</f>
        <v>3522</v>
      </c>
      <c r="D62" s="387">
        <f>VLOOKUP($A62&amp;"NCP ONPK",'E11 - 2012 09 Final'!$A$46:$P$2419,$D$45,FALSE)</f>
        <v>3768</v>
      </c>
      <c r="E62" s="387">
        <f>VLOOKUP($A62&amp;"NCP ONPK",'E11 - 2012 09 Final'!$A$46:$P$2419,$E$45,FALSE)</f>
        <v>3537</v>
      </c>
      <c r="F62" s="387">
        <f>VLOOKUP($A62&amp;"NCP ONPK",'E11 - 2012 09 Final'!$A$46:$P$2419,$F$45,FALSE)</f>
        <v>3659</v>
      </c>
      <c r="G62" s="387">
        <f>VLOOKUP($A62&amp;"NCP ONPK",'E11 - 2012 09 Final'!$A$46:$P$2419,$G$45,FALSE)</f>
        <v>3501</v>
      </c>
      <c r="H62" s="387">
        <f>VLOOKUP($A62&amp;"NCP ONPK",'E11 - 2012 09 Final'!$A$46:$P$2419,$H$45,FALSE)</f>
        <v>3622</v>
      </c>
      <c r="I62" s="387">
        <f>VLOOKUP($A62&amp;"NCP ONPK",'E11 - 2012 09 Final'!$A$46:$P$2419,$I$45,FALSE)</f>
        <v>3518</v>
      </c>
      <c r="J62" s="387">
        <f>VLOOKUP($A62&amp;"NCP ONPK",'E11 - 2012 09 Final'!$A$46:$P$2419,$J$45,FALSE)</f>
        <v>3518</v>
      </c>
      <c r="K62" s="387">
        <f>VLOOKUP($A62&amp;"NCP ONPK",'E11 - 2012 09 Final'!$A$46:$P$2419,$K$45,FALSE)</f>
        <v>3637</v>
      </c>
      <c r="L62" s="387">
        <f>VLOOKUP($A62&amp;"NCP ONPK",'E11 - 2012 09 Final'!$A$46:$P$2419,$L$45,FALSE)</f>
        <v>3518</v>
      </c>
      <c r="M62" s="387">
        <f>VLOOKUP($A62&amp;"NCP ONPK",'E11 - 2012 09 Final'!$A$46:$P$2419,$M$45,FALSE)</f>
        <v>3634</v>
      </c>
      <c r="N62" s="387">
        <f>VLOOKUP($A62&amp;"NCP ONPK",'E11 - 2012 09 Final'!$A$46:$P$2419,$N$45,FALSE)</f>
        <v>3524</v>
      </c>
      <c r="O62" s="384">
        <f t="shared" si="12"/>
        <v>42958</v>
      </c>
      <c r="P62" s="385">
        <f t="shared" si="13"/>
        <v>3768</v>
      </c>
    </row>
    <row r="63" spans="1:16">
      <c r="A63" s="350" t="s">
        <v>40</v>
      </c>
      <c r="B63" s="382" t="s">
        <v>87</v>
      </c>
      <c r="C63" s="387">
        <f>VLOOKUP($A63&amp;"NCP ONPK",'E11 - 2012 09 Final'!$A$46:$P$2419,$C$45,FALSE)</f>
        <v>150</v>
      </c>
      <c r="D63" s="387">
        <f>VLOOKUP($A63&amp;"NCP ONPK",'E11 - 2012 09 Final'!$A$46:$P$2419,$D$45,FALSE)</f>
        <v>3239</v>
      </c>
      <c r="E63" s="387">
        <f>VLOOKUP($A63&amp;"NCP ONPK",'E11 - 2012 09 Final'!$A$46:$P$2419,$E$45,FALSE)</f>
        <v>3569</v>
      </c>
      <c r="F63" s="387">
        <f>VLOOKUP($A63&amp;"NCP ONPK",'E11 - 2012 09 Final'!$A$46:$P$2419,$F$45,FALSE)</f>
        <v>1735</v>
      </c>
      <c r="G63" s="387">
        <f>VLOOKUP($A63&amp;"NCP ONPK",'E11 - 2012 09 Final'!$A$46:$P$2419,$G$45,FALSE)</f>
        <v>1684</v>
      </c>
      <c r="H63" s="387">
        <f>VLOOKUP($A63&amp;"NCP ONPK",'E11 - 2012 09 Final'!$A$46:$P$2419,$H$45,FALSE)</f>
        <v>1789</v>
      </c>
      <c r="I63" s="387">
        <f>VLOOKUP($A63&amp;"NCP ONPK",'E11 - 2012 09 Final'!$A$46:$P$2419,$I$45,FALSE)</f>
        <v>3162</v>
      </c>
      <c r="J63" s="387">
        <f>VLOOKUP($A63&amp;"NCP ONPK",'E11 - 2012 09 Final'!$A$46:$P$2419,$J$45,FALSE)</f>
        <v>3670</v>
      </c>
      <c r="K63" s="387">
        <f>VLOOKUP($A63&amp;"NCP ONPK",'E11 - 2012 09 Final'!$A$46:$P$2419,$K$45,FALSE)</f>
        <v>3612</v>
      </c>
      <c r="L63" s="387">
        <f>VLOOKUP($A63&amp;"NCP ONPK",'E11 - 2012 09 Final'!$A$46:$P$2419,$L$45,FALSE)</f>
        <v>5739</v>
      </c>
      <c r="M63" s="387">
        <f>VLOOKUP($A63&amp;"NCP ONPK",'E11 - 2012 09 Final'!$A$46:$P$2419,$M$45,FALSE)</f>
        <v>3542</v>
      </c>
      <c r="N63" s="387">
        <f>VLOOKUP($A63&amp;"NCP ONPK",'E11 - 2012 09 Final'!$A$46:$P$2419,$N$45,FALSE)</f>
        <v>2750</v>
      </c>
      <c r="O63" s="384">
        <f t="shared" si="12"/>
        <v>34641</v>
      </c>
      <c r="P63" s="385">
        <f t="shared" si="13"/>
        <v>5739</v>
      </c>
    </row>
    <row r="64" spans="1:16">
      <c r="A64" s="350" t="s">
        <v>45</v>
      </c>
      <c r="B64" s="382" t="s">
        <v>88</v>
      </c>
      <c r="C64" s="387">
        <f>VLOOKUP($A64&amp;"NCP ONPK",'E11 - 2012 09 Final'!$A$46:$P$2419,$C$45,FALSE)</f>
        <v>52116</v>
      </c>
      <c r="D64" s="387">
        <f>VLOOKUP($A64&amp;"NCP ONPK",'E11 - 2012 09 Final'!$A$46:$P$2419,$D$45,FALSE)</f>
        <v>27500</v>
      </c>
      <c r="E64" s="387">
        <f>VLOOKUP($A64&amp;"NCP ONPK",'E11 - 2012 09 Final'!$A$46:$P$2419,$E$45,FALSE)</f>
        <v>35234</v>
      </c>
      <c r="F64" s="387">
        <f>VLOOKUP($A64&amp;"NCP ONPK",'E11 - 2012 09 Final'!$A$46:$P$2419,$F$45,FALSE)</f>
        <v>66234</v>
      </c>
      <c r="G64" s="387">
        <f>VLOOKUP($A64&amp;"NCP ONPK",'E11 - 2012 09 Final'!$A$46:$P$2419,$G$45,FALSE)</f>
        <v>35184</v>
      </c>
      <c r="H64" s="387">
        <f>VLOOKUP($A64&amp;"NCP ONPK",'E11 - 2012 09 Final'!$A$46:$P$2419,$H$45,FALSE)</f>
        <v>45271</v>
      </c>
      <c r="I64" s="387">
        <f>VLOOKUP($A64&amp;"NCP ONPK",'E11 - 2012 09 Final'!$A$46:$P$2419,$I$45,FALSE)</f>
        <v>29464</v>
      </c>
      <c r="J64" s="387">
        <f>VLOOKUP($A64&amp;"NCP ONPK",'E11 - 2012 09 Final'!$A$46:$P$2419,$J$45,FALSE)</f>
        <v>48077</v>
      </c>
      <c r="K64" s="387">
        <f>VLOOKUP($A64&amp;"NCP ONPK",'E11 - 2012 09 Final'!$A$46:$P$2419,$K$45,FALSE)</f>
        <v>46645</v>
      </c>
      <c r="L64" s="387">
        <f>VLOOKUP($A64&amp;"NCP ONPK",'E11 - 2012 09 Final'!$A$46:$P$2419,$L$45,FALSE)</f>
        <v>85708</v>
      </c>
      <c r="M64" s="387">
        <f>VLOOKUP($A64&amp;"NCP ONPK",'E11 - 2012 09 Final'!$A$46:$P$2419,$M$45,FALSE)</f>
        <v>36285</v>
      </c>
      <c r="N64" s="387">
        <f>VLOOKUP($A64&amp;"NCP ONPK",'E11 - 2012 09 Final'!$A$46:$P$2419,$N$45,FALSE)</f>
        <v>38975</v>
      </c>
      <c r="O64" s="384">
        <f t="shared" si="12"/>
        <v>546693</v>
      </c>
      <c r="P64" s="385">
        <f t="shared" si="13"/>
        <v>85708</v>
      </c>
    </row>
    <row r="65" spans="1:16">
      <c r="C65" s="383"/>
      <c r="D65" s="383"/>
      <c r="E65" s="383"/>
      <c r="F65" s="383"/>
      <c r="G65" s="383"/>
      <c r="H65" s="383"/>
      <c r="I65" s="383"/>
      <c r="J65" s="383"/>
      <c r="K65" s="383"/>
      <c r="L65" s="383"/>
      <c r="M65" s="383"/>
      <c r="N65" s="383"/>
      <c r="O65" s="384"/>
      <c r="P65" s="385"/>
    </row>
    <row r="66" spans="1:16">
      <c r="C66" s="383"/>
      <c r="D66" s="383"/>
      <c r="E66" s="383"/>
      <c r="F66" s="383"/>
      <c r="G66" s="383"/>
      <c r="H66" s="383"/>
      <c r="I66" s="383"/>
      <c r="J66" s="383"/>
      <c r="K66" s="383"/>
      <c r="L66" s="383"/>
      <c r="M66" s="383"/>
      <c r="N66" s="383"/>
      <c r="O66" s="384"/>
      <c r="P66" s="385"/>
    </row>
    <row r="67" spans="1:16">
      <c r="B67" s="380" t="s">
        <v>86</v>
      </c>
      <c r="C67" s="386"/>
      <c r="D67" s="386"/>
      <c r="E67" s="386"/>
      <c r="F67" s="386"/>
      <c r="G67" s="386"/>
      <c r="H67" s="386"/>
      <c r="I67" s="386"/>
      <c r="J67" s="386"/>
      <c r="K67" s="386"/>
      <c r="L67" s="386"/>
      <c r="M67" s="386"/>
      <c r="N67" s="386"/>
    </row>
    <row r="68" spans="1:16">
      <c r="A68" s="350" t="s">
        <v>603</v>
      </c>
      <c r="B68" s="382" t="s">
        <v>603</v>
      </c>
      <c r="C68" s="387">
        <f>VLOOKUP($A68&amp;"NCP ONPK",'E11 - 2012 09 Final'!$A$46:$P$2419,$C$45,FALSE)</f>
        <v>0</v>
      </c>
      <c r="D68" s="387">
        <f>VLOOKUP($A68&amp;"NCP ONPK",'E11 - 2012 09 Final'!$A$46:$P$2419,$D$45,FALSE)</f>
        <v>0</v>
      </c>
      <c r="E68" s="387">
        <f>VLOOKUP($A68&amp;"NCP ONPK",'E11 - 2012 09 Final'!$A$46:$P$2419,$E$45,FALSE)</f>
        <v>0</v>
      </c>
      <c r="F68" s="387">
        <f>VLOOKUP($A68&amp;"NCP ONPK",'E11 - 2012 09 Final'!$A$46:$P$2419,$F$45,FALSE)</f>
        <v>0</v>
      </c>
      <c r="G68" s="387">
        <f>VLOOKUP($A68&amp;"NCP ONPK",'E11 - 2012 09 Final'!$A$46:$P$2419,$G$45,FALSE)</f>
        <v>8313</v>
      </c>
      <c r="H68" s="387">
        <f>VLOOKUP($A68&amp;"NCP ONPK",'E11 - 2012 09 Final'!$A$46:$P$2419,$H$45,FALSE)</f>
        <v>8105</v>
      </c>
      <c r="I68" s="387">
        <f>VLOOKUP($A68&amp;"NCP ONPK",'E11 - 2012 09 Final'!$A$46:$P$2419,$I$45,FALSE)</f>
        <v>8571</v>
      </c>
      <c r="J68" s="387">
        <f>VLOOKUP($A68&amp;"NCP ONPK",'E11 - 2012 09 Final'!$A$46:$P$2419,$J$45,FALSE)</f>
        <v>8455</v>
      </c>
      <c r="K68" s="387">
        <f>VLOOKUP($A68&amp;"NCP ONPK",'E11 - 2012 09 Final'!$A$46:$P$2419,$K$45,FALSE)</f>
        <v>7681</v>
      </c>
      <c r="L68" s="387">
        <f>VLOOKUP($A68&amp;"NCP ONPK",'E11 - 2012 09 Final'!$A$46:$P$2419,$L$45,FALSE)</f>
        <v>6442</v>
      </c>
      <c r="M68" s="387">
        <f>VLOOKUP($A68&amp;"NCP ONPK",'E11 - 2012 09 Final'!$A$46:$P$2419,$M$45,FALSE)</f>
        <v>6021</v>
      </c>
      <c r="N68" s="387">
        <f>VLOOKUP($A68&amp;"NCP ONPK",'E11 - 2012 09 Final'!$A$46:$P$2419,$N$45,FALSE)</f>
        <v>6200</v>
      </c>
      <c r="O68" s="384">
        <f t="shared" ref="O68:O73" si="14">SUM(C68:N68)</f>
        <v>59788</v>
      </c>
      <c r="P68" s="385">
        <f t="shared" ref="P68:P73" si="15">MAX(C68:N68)</f>
        <v>8571</v>
      </c>
    </row>
    <row r="69" spans="1:16">
      <c r="A69" s="350" t="s">
        <v>245</v>
      </c>
      <c r="B69" s="382" t="s">
        <v>983</v>
      </c>
      <c r="C69" s="387">
        <f>VLOOKUP($A69&amp;"NCP ONPK",'E11 - 2012 09 Final'!$A$46:$P$2419,$C$45,FALSE)</f>
        <v>102096</v>
      </c>
      <c r="D69" s="387">
        <f>VLOOKUP($A69&amp;"NCP ONPK",'E11 - 2012 09 Final'!$A$46:$P$2419,$D$45,FALSE)</f>
        <v>107003</v>
      </c>
      <c r="E69" s="387">
        <f>VLOOKUP($A69&amp;"NCP ONPK",'E11 - 2012 09 Final'!$A$46:$P$2419,$E$45,FALSE)</f>
        <v>104613</v>
      </c>
      <c r="F69" s="387">
        <f>VLOOKUP($A69&amp;"NCP ONPK",'E11 - 2012 09 Final'!$A$46:$P$2419,$F$45,FALSE)</f>
        <v>126051</v>
      </c>
      <c r="G69" s="387">
        <f>VLOOKUP($A69&amp;"NCP ONPK",'E11 - 2012 09 Final'!$A$46:$P$2419,$G$45,FALSE)</f>
        <v>129326</v>
      </c>
      <c r="H69" s="387">
        <f>VLOOKUP($A69&amp;"NCP ONPK",'E11 - 2012 09 Final'!$A$46:$P$2419,$H$45,FALSE)</f>
        <v>137847</v>
      </c>
      <c r="I69" s="387">
        <f>VLOOKUP($A69&amp;"NCP ONPK",'E11 - 2012 09 Final'!$A$46:$P$2419,$I$45,FALSE)</f>
        <v>148604</v>
      </c>
      <c r="J69" s="387">
        <f>VLOOKUP($A69&amp;"NCP ONPK",'E11 - 2012 09 Final'!$A$46:$P$2419,$J$45,FALSE)</f>
        <v>143829</v>
      </c>
      <c r="K69" s="387">
        <f>VLOOKUP($A69&amp;"NCP ONPK",'E11 - 2012 09 Final'!$A$46:$P$2419,$K$45,FALSE)</f>
        <v>127756</v>
      </c>
      <c r="L69" s="387">
        <f>VLOOKUP($A69&amp;"NCP ONPK",'E11 - 2012 09 Final'!$A$46:$P$2419,$L$45,FALSE)</f>
        <v>125289</v>
      </c>
      <c r="M69" s="387">
        <f>VLOOKUP($A69&amp;"NCP ONPK",'E11 - 2012 09 Final'!$A$46:$P$2419,$M$45,FALSE)</f>
        <v>84874</v>
      </c>
      <c r="N69" s="387">
        <f>VLOOKUP($A69&amp;"NCP ONPK",'E11 - 2012 09 Final'!$A$46:$P$2419,$N$45,FALSE)</f>
        <v>105265</v>
      </c>
      <c r="O69" s="384">
        <f t="shared" si="14"/>
        <v>1442553</v>
      </c>
      <c r="P69" s="385">
        <f t="shared" si="15"/>
        <v>148604</v>
      </c>
    </row>
    <row r="70" spans="1:16">
      <c r="A70" s="350" t="s">
        <v>242</v>
      </c>
      <c r="B70" s="382" t="s">
        <v>491</v>
      </c>
      <c r="C70" s="387">
        <f>VLOOKUP($A70&amp;"NCP ONPK",'E11 - 2012 09 Final'!$A$46:$P$2419,$C$45,FALSE)</f>
        <v>45000</v>
      </c>
      <c r="D70" s="387">
        <f>VLOOKUP($A70&amp;"NCP ONPK",'E11 - 2012 09 Final'!$A$46:$P$2419,$D$45,FALSE)</f>
        <v>45000</v>
      </c>
      <c r="E70" s="387">
        <f>VLOOKUP($A70&amp;"NCP ONPK",'E11 - 2012 09 Final'!$A$46:$P$2419,$E$45,FALSE)</f>
        <v>45000</v>
      </c>
      <c r="F70" s="387">
        <f>VLOOKUP($A70&amp;"NCP ONPK",'E11 - 2012 09 Final'!$A$46:$P$2419,$F$45,FALSE)</f>
        <v>45000</v>
      </c>
      <c r="G70" s="387">
        <f>VLOOKUP($A70&amp;"NCP ONPK",'E11 - 2012 09 Final'!$A$46:$P$2419,$G$45,FALSE)</f>
        <v>45000</v>
      </c>
      <c r="H70" s="387">
        <f>VLOOKUP($A70&amp;"NCP ONPK",'E11 - 2012 09 Final'!$A$46:$P$2419,$H$45,FALSE)</f>
        <v>45000</v>
      </c>
      <c r="I70" s="387">
        <f>VLOOKUP($A70&amp;"NCP ONPK",'E11 - 2012 09 Final'!$A$46:$P$2419,$I$45,FALSE)</f>
        <v>45000</v>
      </c>
      <c r="J70" s="387">
        <f>VLOOKUP($A70&amp;"NCP ONPK",'E11 - 2012 09 Final'!$A$46:$P$2419,$J$45,FALSE)</f>
        <v>45000</v>
      </c>
      <c r="K70" s="387">
        <f>VLOOKUP($A70&amp;"NCP ONPK",'E11 - 2012 09 Final'!$A$46:$P$2419,$K$45,FALSE)</f>
        <v>45000</v>
      </c>
      <c r="L70" s="387">
        <f>VLOOKUP($A70&amp;"NCP ONPK",'E11 - 2012 09 Final'!$A$46:$P$2419,$L$45,FALSE)</f>
        <v>45000</v>
      </c>
      <c r="M70" s="387">
        <f>VLOOKUP($A70&amp;"NCP ONPK",'E11 - 2012 09 Final'!$A$46:$P$2419,$M$45,FALSE)</f>
        <v>45000</v>
      </c>
      <c r="N70" s="387">
        <f>VLOOKUP($A70&amp;"NCP ONPK",'E11 - 2012 09 Final'!$A$46:$P$2419,$N$45,FALSE)</f>
        <v>45000</v>
      </c>
      <c r="O70" s="384">
        <f t="shared" si="14"/>
        <v>540000</v>
      </c>
      <c r="P70" s="385">
        <f t="shared" si="15"/>
        <v>45000</v>
      </c>
    </row>
    <row r="71" spans="1:16" ht="409.6">
      <c r="A71" s="350" t="s">
        <v>661</v>
      </c>
      <c r="B71" s="382" t="s">
        <v>984</v>
      </c>
      <c r="C71" s="387">
        <f>VLOOKUP($A71&amp;"NCP ONPK",'E11 - 2012 09 Final'!$A$46:$P$2419,$C$45,FALSE)</f>
        <v>224965</v>
      </c>
      <c r="D71" s="387">
        <f>VLOOKUP($A71&amp;"NCP ONPK",'E11 - 2012 09 Final'!$A$46:$P$2419,$D$45,FALSE)</f>
        <v>207234</v>
      </c>
      <c r="E71" s="387">
        <f>VLOOKUP($A71&amp;"NCP ONPK",'E11 - 2012 09 Final'!$A$46:$P$2419,$E$45,FALSE)</f>
        <v>183138</v>
      </c>
      <c r="F71" s="387">
        <f>VLOOKUP($A71&amp;"NCP ONPK",'E11 - 2012 09 Final'!$A$46:$P$2419,$F$45,FALSE)</f>
        <v>207338</v>
      </c>
      <c r="G71" s="387">
        <f>VLOOKUP($A71&amp;"NCP ONPK",'E11 - 2012 09 Final'!$A$46:$P$2419,$G$45,FALSE)</f>
        <v>217637</v>
      </c>
      <c r="H71" s="387">
        <f>VLOOKUP($A71&amp;"NCP ONPK",'E11 - 2012 09 Final'!$A$46:$P$2419,$H$45,FALSE)</f>
        <v>217981</v>
      </c>
      <c r="I71" s="387">
        <f>VLOOKUP($A71&amp;"NCP ONPK",'E11 - 2012 09 Final'!$A$46:$P$2419,$I$45,FALSE)</f>
        <v>229570</v>
      </c>
      <c r="J71" s="387">
        <f>VLOOKUP($A71&amp;"NCP ONPK",'E11 - 2012 09 Final'!$A$46:$P$2419,$J$45,FALSE)</f>
        <v>238022</v>
      </c>
      <c r="K71" s="387">
        <f>VLOOKUP($A71&amp;"NCP ONPK",'E11 - 2012 09 Final'!$A$46:$P$2419,$K$45,FALSE)</f>
        <v>211763</v>
      </c>
      <c r="L71" s="387">
        <f>VLOOKUP($A71&amp;"NCP ONPK",'E11 - 2012 09 Final'!$A$46:$P$2419,$L$45,FALSE)</f>
        <v>214833</v>
      </c>
      <c r="M71" s="387">
        <f>VLOOKUP($A71&amp;"NCP ONPK",'E11 - 2012 09 Final'!$A$46:$P$2419,$M$45,FALSE)</f>
        <v>151505</v>
      </c>
      <c r="N71" s="387">
        <f>VLOOKUP($A71&amp;"NCP ONPK",'E11 - 2012 09 Final'!$A$46:$P$2419,$N$45,FALSE)</f>
        <v>174495</v>
      </c>
      <c r="O71" s="384">
        <f t="shared" si="14"/>
        <v>2478481</v>
      </c>
      <c r="P71" s="385">
        <f t="shared" si="15"/>
        <v>238022</v>
      </c>
    </row>
    <row r="72" spans="1:16">
      <c r="A72" s="350" t="s">
        <v>7</v>
      </c>
      <c r="B72" s="382" t="s">
        <v>987</v>
      </c>
      <c r="C72" s="387">
        <f>VLOOKUP($A72&amp;"NCP ONPK",'E11 - 2012 09 Final'!$A$46:$P$2419,$C$45,FALSE)</f>
        <v>1025</v>
      </c>
      <c r="D72" s="387">
        <f>VLOOKUP($A72&amp;"NCP ONPK",'E11 - 2012 09 Final'!$A$46:$P$2419,$D$45,FALSE)</f>
        <v>990</v>
      </c>
      <c r="E72" s="387">
        <f>VLOOKUP($A72&amp;"NCP ONPK",'E11 - 2012 09 Final'!$A$46:$P$2419,$E$45,FALSE)</f>
        <v>955</v>
      </c>
      <c r="F72" s="387">
        <f>VLOOKUP($A72&amp;"NCP ONPK",'E11 - 2012 09 Final'!$A$46:$P$2419,$F$45,FALSE)</f>
        <v>973</v>
      </c>
      <c r="G72" s="387">
        <f>VLOOKUP($A72&amp;"NCP ONPK",'E11 - 2012 09 Final'!$A$46:$P$2419,$G$45,FALSE)</f>
        <v>975</v>
      </c>
      <c r="H72" s="387">
        <f>VLOOKUP($A72&amp;"NCP ONPK",'E11 - 2012 09 Final'!$A$46:$P$2419,$H$45,FALSE)</f>
        <v>944</v>
      </c>
      <c r="I72" s="387">
        <f>VLOOKUP($A72&amp;"NCP ONPK",'E11 - 2012 09 Final'!$A$46:$P$2419,$I$45,FALSE)</f>
        <v>986</v>
      </c>
      <c r="J72" s="387">
        <f>VLOOKUP($A72&amp;"NCP ONPK",'E11 - 2012 09 Final'!$A$46:$P$2419,$J$45,FALSE)</f>
        <v>916</v>
      </c>
      <c r="K72" s="387">
        <f>VLOOKUP($A72&amp;"NCP ONPK",'E11 - 2012 09 Final'!$A$46:$P$2419,$K$45,FALSE)</f>
        <v>923</v>
      </c>
      <c r="L72" s="387">
        <f>VLOOKUP($A72&amp;"NCP ONPK",'E11 - 2012 09 Final'!$A$46:$P$2419,$L$45,FALSE)</f>
        <v>879</v>
      </c>
      <c r="M72" s="387">
        <f>VLOOKUP($A72&amp;"NCP ONPK",'E11 - 2012 09 Final'!$A$46:$P$2419,$M$45,FALSE)</f>
        <v>979</v>
      </c>
      <c r="N72" s="387">
        <f>VLOOKUP($A72&amp;"NCP ONPK",'E11 - 2012 09 Final'!$A$46:$P$2419,$N$45,FALSE)</f>
        <v>995</v>
      </c>
      <c r="O72" s="384">
        <f t="shared" si="14"/>
        <v>11540</v>
      </c>
      <c r="P72" s="385">
        <f t="shared" si="15"/>
        <v>1025</v>
      </c>
    </row>
    <row r="73" spans="1:16">
      <c r="A73" s="350" t="s">
        <v>724</v>
      </c>
      <c r="B73" s="382" t="s">
        <v>724</v>
      </c>
      <c r="C73" s="387">
        <f>VLOOKUP($A73&amp;"NCP ONPK",'E11 - 2012 09 Final'!$A$46:$P$2419,$C$45,FALSE)</f>
        <v>13129</v>
      </c>
      <c r="D73" s="387">
        <f>VLOOKUP($A73&amp;"NCP ONPK",'E11 - 2012 09 Final'!$A$46:$P$2419,$D$45,FALSE)</f>
        <v>11883</v>
      </c>
      <c r="E73" s="387">
        <f>VLOOKUP($A73&amp;"NCP ONPK",'E11 - 2012 09 Final'!$A$46:$P$2419,$E$45,FALSE)</f>
        <v>9418</v>
      </c>
      <c r="F73" s="387">
        <f>VLOOKUP($A73&amp;"NCP ONPK",'E11 - 2012 09 Final'!$A$46:$P$2419,$F$45,FALSE)</f>
        <v>11650</v>
      </c>
      <c r="G73" s="387">
        <f>VLOOKUP($A73&amp;"NCP ONPK",'E11 - 2012 09 Final'!$A$46:$P$2419,$G$45,FALSE)</f>
        <v>13132</v>
      </c>
      <c r="H73" s="387">
        <f>VLOOKUP($A73&amp;"NCP ONPK",'E11 - 2012 09 Final'!$A$46:$P$2419,$H$45,FALSE)</f>
        <v>13054</v>
      </c>
      <c r="I73" s="387">
        <f>VLOOKUP($A73&amp;"NCP ONPK",'E11 - 2012 09 Final'!$A$46:$P$2419,$I$45,FALSE)</f>
        <v>13417</v>
      </c>
      <c r="J73" s="387">
        <f>VLOOKUP($A73&amp;"NCP ONPK",'E11 - 2012 09 Final'!$A$46:$P$2419,$J$45,FALSE)</f>
        <v>13650</v>
      </c>
      <c r="K73" s="387">
        <f>VLOOKUP($A73&amp;"NCP ONPK",'E11 - 2012 09 Final'!$A$46:$P$2419,$K$45,FALSE)</f>
        <v>12873</v>
      </c>
      <c r="L73" s="387">
        <f>VLOOKUP($A73&amp;"NCP ONPK",'E11 - 2012 09 Final'!$A$46:$P$2419,$L$45,FALSE)</f>
        <v>12111</v>
      </c>
      <c r="M73" s="387">
        <f>VLOOKUP($A73&amp;"NCP ONPK",'E11 - 2012 09 Final'!$A$46:$P$2419,$M$45,FALSE)</f>
        <v>7902</v>
      </c>
      <c r="N73" s="387">
        <f>VLOOKUP($A73&amp;"NCP ONPK",'E11 - 2012 09 Final'!$A$46:$P$2419,$N$45,FALSE)</f>
        <v>9140</v>
      </c>
      <c r="O73" s="384">
        <f t="shared" si="14"/>
        <v>141359</v>
      </c>
      <c r="P73" s="385">
        <f t="shared" si="15"/>
        <v>13650</v>
      </c>
    </row>
    <row r="75" spans="1:16" ht="21">
      <c r="B75" s="613" t="s">
        <v>989</v>
      </c>
      <c r="C75" s="613"/>
      <c r="D75" s="613"/>
      <c r="E75" s="613"/>
      <c r="F75" s="613"/>
      <c r="G75" s="613"/>
      <c r="H75" s="613"/>
      <c r="I75" s="613"/>
      <c r="J75" s="613"/>
      <c r="K75" s="613"/>
      <c r="L75" s="613"/>
      <c r="M75" s="613"/>
      <c r="N75" s="613"/>
      <c r="O75" s="613"/>
      <c r="P75" s="613"/>
    </row>
    <row r="76" spans="1:16" ht="17.399999999999999">
      <c r="B76" s="614" t="str">
        <f>+MANUAL!$B$6 &amp;" as Calculated by LodeStar Except as Noted"</f>
        <v>2013 as Calculated by LodeStar Except as Noted</v>
      </c>
      <c r="C76" s="614"/>
      <c r="D76" s="614"/>
      <c r="E76" s="614"/>
      <c r="F76" s="614"/>
      <c r="G76" s="614"/>
      <c r="H76" s="614"/>
      <c r="I76" s="614"/>
      <c r="J76" s="614"/>
      <c r="K76" s="614"/>
      <c r="L76" s="614"/>
      <c r="M76" s="614"/>
      <c r="N76" s="614"/>
      <c r="O76" s="614"/>
      <c r="P76" s="614"/>
    </row>
    <row r="77" spans="1:16" ht="13.8" thickBot="1">
      <c r="B77" s="351"/>
      <c r="C77" s="351"/>
      <c r="D77" s="351"/>
      <c r="E77" s="351"/>
      <c r="F77" s="351"/>
      <c r="G77" s="351"/>
      <c r="H77" s="351"/>
      <c r="I77" s="351"/>
      <c r="J77" s="351"/>
      <c r="K77" s="351"/>
      <c r="L77" s="351"/>
      <c r="M77" s="351"/>
      <c r="N77" s="351"/>
      <c r="O77" s="351"/>
      <c r="P77" s="351"/>
    </row>
    <row r="78" spans="1:16" ht="409.6">
      <c r="C78" s="352"/>
      <c r="D78" s="353"/>
      <c r="E78" s="354"/>
      <c r="F78" s="355"/>
      <c r="G78" s="356"/>
      <c r="H78" s="357"/>
      <c r="I78" s="358"/>
      <c r="J78" s="359"/>
      <c r="K78" s="360"/>
      <c r="L78" s="361"/>
      <c r="M78" s="362"/>
      <c r="N78" s="363"/>
      <c r="O78" s="364"/>
      <c r="P78" s="365" t="s">
        <v>576</v>
      </c>
    </row>
    <row r="79" spans="1:16" ht="13.8" thickBot="1">
      <c r="C79" s="366" t="s">
        <v>70</v>
      </c>
      <c r="D79" s="367" t="s">
        <v>71</v>
      </c>
      <c r="E79" s="368" t="s">
        <v>72</v>
      </c>
      <c r="F79" s="369" t="s">
        <v>73</v>
      </c>
      <c r="G79" s="370" t="s">
        <v>74</v>
      </c>
      <c r="H79" s="371" t="s">
        <v>75</v>
      </c>
      <c r="I79" s="372" t="s">
        <v>76</v>
      </c>
      <c r="J79" s="373" t="s">
        <v>77</v>
      </c>
      <c r="K79" s="374" t="s">
        <v>78</v>
      </c>
      <c r="L79" s="375" t="s">
        <v>79</v>
      </c>
      <c r="M79" s="376" t="s">
        <v>80</v>
      </c>
      <c r="N79" s="377" t="s">
        <v>81</v>
      </c>
      <c r="O79" s="378" t="s">
        <v>60</v>
      </c>
      <c r="P79" s="379" t="s">
        <v>82</v>
      </c>
    </row>
    <row r="80" spans="1:16" hidden="1">
      <c r="C80" s="350">
        <v>4</v>
      </c>
      <c r="D80" s="350">
        <f>C80+1</f>
        <v>5</v>
      </c>
      <c r="E80" s="350">
        <f t="shared" ref="E80:N80" si="16">D80+1</f>
        <v>6</v>
      </c>
      <c r="F80" s="350">
        <f t="shared" si="16"/>
        <v>7</v>
      </c>
      <c r="G80" s="350">
        <f t="shared" si="16"/>
        <v>8</v>
      </c>
      <c r="H80" s="350">
        <f t="shared" si="16"/>
        <v>9</v>
      </c>
      <c r="I80" s="350">
        <f t="shared" si="16"/>
        <v>10</v>
      </c>
      <c r="J80" s="350">
        <f t="shared" si="16"/>
        <v>11</v>
      </c>
      <c r="K80" s="350">
        <f t="shared" si="16"/>
        <v>12</v>
      </c>
      <c r="L80" s="350">
        <f t="shared" si="16"/>
        <v>13</v>
      </c>
      <c r="M80" s="350">
        <f t="shared" si="16"/>
        <v>14</v>
      </c>
      <c r="N80" s="350">
        <f t="shared" si="16"/>
        <v>15</v>
      </c>
    </row>
    <row r="82" spans="1:16">
      <c r="B82" s="380" t="s">
        <v>83</v>
      </c>
    </row>
    <row r="83" spans="1:16">
      <c r="A83" s="350" t="s">
        <v>122</v>
      </c>
      <c r="B83" s="382" t="s">
        <v>84</v>
      </c>
      <c r="C83" s="387">
        <f>VLOOKUP($A83&amp;"NCP ONPK",'E11 - 2013 09 Final'!$A$46:$P$1775,$C$80,FALSE)</f>
        <v>426057</v>
      </c>
      <c r="D83" s="387">
        <f>VLOOKUP($A83&amp;"NCP ONPK",'E11 - 2013 09 Final'!$A$46:$P$1775,$D$80,FALSE)</f>
        <v>453423</v>
      </c>
      <c r="E83" s="387">
        <f>VLOOKUP($A83&amp;"NCP ONPK",'E11 - 2013 09 Final'!$A$46:$P$1775,$E$80,FALSE)</f>
        <v>394583</v>
      </c>
      <c r="F83" s="387">
        <f>VLOOKUP($A83&amp;"NCP ONPK",'E11 - 2013 09 Final'!$A$46:$P$1775,$F$80,FALSE)</f>
        <v>435855</v>
      </c>
      <c r="G83" s="387">
        <f>VLOOKUP($A83&amp;"NCP ONPK",'E11 - 2013 09 Final'!$A$46:$P$1775,$G$80,FALSE)</f>
        <v>442473</v>
      </c>
      <c r="H83" s="387">
        <f>VLOOKUP($A83&amp;"NCP ONPK",'E11 - 2013 09 Final'!$A$46:$P$1775,$H$80,FALSE)</f>
        <v>446884</v>
      </c>
      <c r="I83" s="387">
        <f>VLOOKUP($A83&amp;"NCP ONPK",'E11 - 2013 09 Final'!$A$46:$P$1775,$I$80,FALSE)</f>
        <v>448733</v>
      </c>
      <c r="J83" s="387">
        <f>VLOOKUP($A83&amp;"NCP ONPK",'E11 - 2013 09 Final'!$A$46:$P$1775,$J$80,FALSE)</f>
        <v>447260</v>
      </c>
      <c r="K83" s="387">
        <f>VLOOKUP($A83&amp;"NCP ONPK",'E11 - 2013 09 Final'!$A$46:$P$1775,$K$80,FALSE)</f>
        <v>481269</v>
      </c>
      <c r="L83" s="387">
        <f>VLOOKUP($A83&amp;"NCP ONPK",'E11 - 2013 09 Final'!$A$46:$P$1775,$L$80,FALSE)</f>
        <v>426826</v>
      </c>
      <c r="M83" s="387">
        <f>VLOOKUP($A83&amp;"NCP ONPK",'E11 - 2013 09 Final'!$A$46:$P$1775,$M$80,FALSE)</f>
        <v>428929</v>
      </c>
      <c r="N83" s="387">
        <f>VLOOKUP($A83&amp;"NCP ONPK",'E11 - 2013 09 Final'!$A$46:$P$1775,$N$80,FALSE)</f>
        <v>425706</v>
      </c>
      <c r="O83" s="384">
        <f t="shared" ref="O83:O99" si="17">SUM(C83:N83)</f>
        <v>5257998</v>
      </c>
      <c r="P83" s="385">
        <f t="shared" ref="P83:P108" si="18">MAX(C83:N83)</f>
        <v>481269</v>
      </c>
    </row>
    <row r="84" spans="1:16">
      <c r="A84" s="350" t="s">
        <v>177</v>
      </c>
      <c r="B84" s="382" t="s">
        <v>85</v>
      </c>
      <c r="C84" s="387">
        <f>VLOOKUP($A84&amp;"NCP ONPK",'E11 - 2013 09 Final'!$A$46:$P$1775,$C$80,FALSE)</f>
        <v>28882</v>
      </c>
      <c r="D84" s="387">
        <f>VLOOKUP($A84&amp;"NCP ONPK",'E11 - 2013 09 Final'!$A$46:$P$1775,$D$80,FALSE)</f>
        <v>30509</v>
      </c>
      <c r="E84" s="387">
        <f>VLOOKUP($A84&amp;"NCP ONPK",'E11 - 2013 09 Final'!$A$46:$P$1775,$E$80,FALSE)</f>
        <v>27239</v>
      </c>
      <c r="F84" s="387">
        <f>VLOOKUP($A84&amp;"NCP ONPK",'E11 - 2013 09 Final'!$A$46:$P$1775,$F$80,FALSE)</f>
        <v>29653</v>
      </c>
      <c r="G84" s="387">
        <f>VLOOKUP($A84&amp;"NCP ONPK",'E11 - 2013 09 Final'!$A$46:$P$1775,$G$80,FALSE)</f>
        <v>29675</v>
      </c>
      <c r="H84" s="387">
        <f>VLOOKUP($A84&amp;"NCP ONPK",'E11 - 2013 09 Final'!$A$46:$P$1775,$H$80,FALSE)</f>
        <v>30672</v>
      </c>
      <c r="I84" s="387">
        <f>VLOOKUP($A84&amp;"NCP ONPK",'E11 - 2013 09 Final'!$A$46:$P$1775,$I$80,FALSE)</f>
        <v>29925</v>
      </c>
      <c r="J84" s="387">
        <f>VLOOKUP($A84&amp;"NCP ONPK",'E11 - 2013 09 Final'!$A$46:$P$1775,$J$80,FALSE)</f>
        <v>31039</v>
      </c>
      <c r="K84" s="387">
        <f>VLOOKUP($A84&amp;"NCP ONPK",'E11 - 2013 09 Final'!$A$46:$P$1775,$K$80,FALSE)</f>
        <v>32436</v>
      </c>
      <c r="L84" s="387">
        <f>VLOOKUP($A84&amp;"NCP ONPK",'E11 - 2013 09 Final'!$A$46:$P$1775,$L$80,FALSE)</f>
        <v>29129</v>
      </c>
      <c r="M84" s="387">
        <f>VLOOKUP($A84&amp;"NCP ONPK",'E11 - 2013 09 Final'!$A$46:$P$1775,$M$80,FALSE)</f>
        <v>29359</v>
      </c>
      <c r="N84" s="387">
        <f>VLOOKUP($A84&amp;"NCP ONPK",'E11 - 2013 09 Final'!$A$46:$P$1775,$N$80,FALSE)</f>
        <v>29575</v>
      </c>
      <c r="O84" s="384">
        <f t="shared" si="17"/>
        <v>358093</v>
      </c>
      <c r="P84" s="385">
        <f t="shared" si="18"/>
        <v>32436</v>
      </c>
    </row>
    <row r="85" spans="1:16">
      <c r="A85" s="350" t="s">
        <v>185</v>
      </c>
      <c r="B85" s="382" t="s">
        <v>50</v>
      </c>
      <c r="C85" s="387">
        <f>VLOOKUP($A85&amp;"NCP ONPK",'E11 - 2013 09 Final'!$A$46:$P$1775,$C$80,FALSE)</f>
        <v>189878</v>
      </c>
      <c r="D85" s="387">
        <f>VLOOKUP($A85&amp;"NCP ONPK",'E11 - 2013 09 Final'!$A$46:$P$1775,$D$80,FALSE)</f>
        <v>194806</v>
      </c>
      <c r="E85" s="387">
        <f>VLOOKUP($A85&amp;"NCP ONPK",'E11 - 2013 09 Final'!$A$46:$P$1775,$E$80,FALSE)</f>
        <v>189614</v>
      </c>
      <c r="F85" s="387">
        <f>VLOOKUP($A85&amp;"NCP ONPK",'E11 - 2013 09 Final'!$A$46:$P$1775,$F$80,FALSE)</f>
        <v>189687</v>
      </c>
      <c r="G85" s="387">
        <f>VLOOKUP($A85&amp;"NCP ONPK",'E11 - 2013 09 Final'!$A$46:$P$1775,$G$80,FALSE)</f>
        <v>195021</v>
      </c>
      <c r="H85" s="387">
        <f>VLOOKUP($A85&amp;"NCP ONPK",'E11 - 2013 09 Final'!$A$46:$P$1775,$H$80,FALSE)</f>
        <v>202409</v>
      </c>
      <c r="I85" s="387">
        <f>VLOOKUP($A85&amp;"NCP ONPK",'E11 - 2013 09 Final'!$A$46:$P$1775,$I$80,FALSE)</f>
        <v>202569</v>
      </c>
      <c r="J85" s="387">
        <f>VLOOKUP($A85&amp;"NCP ONPK",'E11 - 2013 09 Final'!$A$46:$P$1775,$J$80,FALSE)</f>
        <v>207295</v>
      </c>
      <c r="K85" s="387">
        <f>VLOOKUP($A85&amp;"NCP ONPK",'E11 - 2013 09 Final'!$A$46:$P$1775,$K$80,FALSE)</f>
        <v>203769</v>
      </c>
      <c r="L85" s="387">
        <f>VLOOKUP($A85&amp;"NCP ONPK",'E11 - 2013 09 Final'!$A$46:$P$1775,$L$80,FALSE)</f>
        <v>195558</v>
      </c>
      <c r="M85" s="387">
        <f>VLOOKUP($A85&amp;"NCP ONPK",'E11 - 2013 09 Final'!$A$46:$P$1775,$M$80,FALSE)</f>
        <v>194565</v>
      </c>
      <c r="N85" s="387">
        <f>VLOOKUP($A85&amp;"NCP ONPK",'E11 - 2013 09 Final'!$A$46:$P$1775,$N$80,FALSE)</f>
        <v>189967</v>
      </c>
      <c r="O85" s="384">
        <f t="shared" si="17"/>
        <v>2355138</v>
      </c>
      <c r="P85" s="385">
        <f t="shared" si="18"/>
        <v>207295</v>
      </c>
    </row>
    <row r="86" spans="1:16">
      <c r="A86" s="350" t="s">
        <v>632</v>
      </c>
      <c r="B86" s="382" t="s">
        <v>49</v>
      </c>
      <c r="C86" s="387">
        <f>VLOOKUP($A86&amp;"NCP ONPK",'E11 - 2013 09 Final'!$A$46:$P$1775,$C$80,FALSE)</f>
        <v>1583300</v>
      </c>
      <c r="D86" s="387">
        <f>VLOOKUP($A86&amp;"NCP ONPK",'E11 - 2013 09 Final'!$A$46:$P$1775,$D$80,FALSE)</f>
        <v>1692110</v>
      </c>
      <c r="E86" s="387">
        <f>VLOOKUP($A86&amp;"NCP ONPK",'E11 - 2013 09 Final'!$A$46:$P$1775,$E$80,FALSE)</f>
        <v>1551288</v>
      </c>
      <c r="F86" s="387">
        <f>VLOOKUP($A86&amp;"NCP ONPK",'E11 - 2013 09 Final'!$A$46:$P$1775,$F$80,FALSE)</f>
        <v>1681507</v>
      </c>
      <c r="G86" s="387">
        <f>VLOOKUP($A86&amp;"NCP ONPK",'E11 - 2013 09 Final'!$A$46:$P$1775,$G$80,FALSE)</f>
        <v>1837444</v>
      </c>
      <c r="H86" s="387">
        <f>VLOOKUP($A86&amp;"NCP ONPK",'E11 - 2013 09 Final'!$A$46:$P$1775,$H$80,FALSE)</f>
        <v>1858609</v>
      </c>
      <c r="I86" s="387">
        <f>VLOOKUP($A86&amp;"NCP ONPK",'E11 - 2013 09 Final'!$A$46:$P$1775,$I$80,FALSE)</f>
        <v>1912487</v>
      </c>
      <c r="J86" s="387">
        <f>VLOOKUP($A86&amp;"NCP ONPK",'E11 - 2013 09 Final'!$A$46:$P$1775,$J$80,FALSE)</f>
        <v>1898890</v>
      </c>
      <c r="K86" s="387">
        <f>VLOOKUP($A86&amp;"NCP ONPK",'E11 - 2013 09 Final'!$A$46:$P$1775,$K$80,FALSE)</f>
        <v>2087064</v>
      </c>
      <c r="L86" s="387">
        <f>VLOOKUP($A86&amp;"NCP ONPK",'E11 - 2013 09 Final'!$A$46:$P$1775,$L$80,FALSE)</f>
        <v>1851217</v>
      </c>
      <c r="M86" s="387">
        <f>VLOOKUP($A86&amp;"NCP ONPK",'E11 - 2013 09 Final'!$A$46:$P$1775,$M$80,FALSE)</f>
        <v>1743531</v>
      </c>
      <c r="N86" s="387">
        <f>VLOOKUP($A86&amp;"NCP ONPK",'E11 - 2013 09 Final'!$A$46:$P$1775,$N$80,FALSE)</f>
        <v>1645851</v>
      </c>
      <c r="O86" s="384">
        <f t="shared" si="17"/>
        <v>21343298</v>
      </c>
      <c r="P86" s="385">
        <f t="shared" si="18"/>
        <v>2087064</v>
      </c>
    </row>
    <row r="87" spans="1:16">
      <c r="A87" s="350" t="s">
        <v>640</v>
      </c>
      <c r="B87" s="381" t="s">
        <v>325</v>
      </c>
      <c r="C87" s="387">
        <f>VLOOKUP($A87&amp;"NCP ONPK",'E11 - 2013 09 Final'!$A$46:$P$1775,$C$80,FALSE)</f>
        <v>3052</v>
      </c>
      <c r="D87" s="387">
        <f>VLOOKUP($A87&amp;"NCP ONPK",'E11 - 2013 09 Final'!$A$46:$P$1775,$D$80,FALSE)</f>
        <v>3116</v>
      </c>
      <c r="E87" s="387">
        <f>VLOOKUP($A87&amp;"NCP ONPK",'E11 - 2013 09 Final'!$A$46:$P$1775,$E$80,FALSE)</f>
        <v>2709</v>
      </c>
      <c r="F87" s="387">
        <f>VLOOKUP($A87&amp;"NCP ONPK",'E11 - 2013 09 Final'!$A$46:$P$1775,$F$80,FALSE)</f>
        <v>2937</v>
      </c>
      <c r="G87" s="387">
        <f>VLOOKUP($A87&amp;"NCP ONPK",'E11 - 2013 09 Final'!$A$46:$P$1775,$G$80,FALSE)</f>
        <v>2867</v>
      </c>
      <c r="H87" s="387">
        <f>VLOOKUP($A87&amp;"NCP ONPK",'E11 - 2013 09 Final'!$A$46:$P$1775,$H$80,FALSE)</f>
        <v>6186</v>
      </c>
      <c r="I87" s="387">
        <f>VLOOKUP($A87&amp;"NCP ONPK",'E11 - 2013 09 Final'!$A$46:$P$1775,$I$80,FALSE)</f>
        <v>6802</v>
      </c>
      <c r="J87" s="387">
        <f>VLOOKUP($A87&amp;"NCP ONPK",'E11 - 2013 09 Final'!$A$46:$P$1775,$J$80,FALSE)</f>
        <v>6848</v>
      </c>
      <c r="K87" s="387">
        <f>VLOOKUP($A87&amp;"NCP ONPK",'E11 - 2013 09 Final'!$A$46:$P$1775,$K$80,FALSE)</f>
        <v>6996</v>
      </c>
      <c r="L87" s="387">
        <f>VLOOKUP($A87&amp;"NCP ONPK",'E11 - 2013 09 Final'!$A$46:$P$1775,$L$80,FALSE)</f>
        <v>1262</v>
      </c>
      <c r="M87" s="387">
        <f>VLOOKUP($A87&amp;"NCP ONPK",'E11 - 2013 09 Final'!$A$46:$P$1775,$M$80,FALSE)</f>
        <v>1232</v>
      </c>
      <c r="N87" s="387">
        <f>VLOOKUP($A87&amp;"NCP ONPK",'E11 - 2013 09 Final'!$A$46:$P$1775,$N$80,FALSE)</f>
        <v>1234</v>
      </c>
      <c r="O87" s="384">
        <f t="shared" si="17"/>
        <v>45241</v>
      </c>
      <c r="P87" s="385">
        <f t="shared" si="18"/>
        <v>6996</v>
      </c>
    </row>
    <row r="88" spans="1:16">
      <c r="A88" s="350" t="s">
        <v>994</v>
      </c>
      <c r="B88" s="382" t="s">
        <v>67</v>
      </c>
      <c r="C88" s="387">
        <f>VLOOKUP($A88&amp;"NCP ONPK",'E11 - 2013 09 Final'!$A$46:$P$1775,$C$80,FALSE)</f>
        <v>4769510</v>
      </c>
      <c r="D88" s="387">
        <f>VLOOKUP($A88&amp;"NCP ONPK",'E11 - 2013 09 Final'!$A$46:$P$1775,$D$80,FALSE)</f>
        <v>5182799</v>
      </c>
      <c r="E88" s="387">
        <f>VLOOKUP($A88&amp;"NCP ONPK",'E11 - 2013 09 Final'!$A$46:$P$1775,$E$80,FALSE)</f>
        <v>4493076</v>
      </c>
      <c r="F88" s="387">
        <f>VLOOKUP($A88&amp;"NCP ONPK",'E11 - 2013 09 Final'!$A$46:$P$1775,$F$80,FALSE)</f>
        <v>4978790</v>
      </c>
      <c r="G88" s="387">
        <f>VLOOKUP($A88&amp;"NCP ONPK",'E11 - 2013 09 Final'!$A$46:$P$1775,$G$80,FALSE)</f>
        <v>5262781</v>
      </c>
      <c r="H88" s="387">
        <f>VLOOKUP($A88&amp;"NCP ONPK",'E11 - 2013 09 Final'!$A$46:$P$1775,$H$80,FALSE)</f>
        <v>5403223</v>
      </c>
      <c r="I88" s="387">
        <f>VLOOKUP($A88&amp;"NCP ONPK",'E11 - 2013 09 Final'!$A$46:$P$1775,$I$80,FALSE)</f>
        <v>5317378</v>
      </c>
      <c r="J88" s="387">
        <f>VLOOKUP($A88&amp;"NCP ONPK",'E11 - 2013 09 Final'!$A$46:$P$1775,$J$80,FALSE)</f>
        <v>5527849</v>
      </c>
      <c r="K88" s="387">
        <f>VLOOKUP($A88&amp;"NCP ONPK",'E11 - 2013 09 Final'!$A$46:$P$1775,$K$80,FALSE)</f>
        <v>5988471</v>
      </c>
      <c r="L88" s="387">
        <f>VLOOKUP($A88&amp;"NCP ONPK",'E11 - 2013 09 Final'!$A$46:$P$1775,$L$80,FALSE)</f>
        <v>5349545</v>
      </c>
      <c r="M88" s="387">
        <f>VLOOKUP($A88&amp;"NCP ONPK",'E11 - 2013 09 Final'!$A$46:$P$1775,$M$80,FALSE)</f>
        <v>5251355</v>
      </c>
      <c r="N88" s="387">
        <f>VLOOKUP($A88&amp;"NCP ONPK",'E11 - 2013 09 Final'!$A$46:$P$1775,$N$80,FALSE)</f>
        <v>5043766</v>
      </c>
      <c r="O88" s="384">
        <f t="shared" si="17"/>
        <v>62568543</v>
      </c>
      <c r="P88" s="385">
        <f t="shared" si="18"/>
        <v>5988471</v>
      </c>
    </row>
    <row r="89" spans="1:16">
      <c r="A89" s="350" t="s">
        <v>997</v>
      </c>
      <c r="B89" s="382" t="s">
        <v>68</v>
      </c>
      <c r="C89" s="387">
        <f>VLOOKUP($A89&amp;"NCP ONPK",'E11 - 2013 09 Final'!$A$46:$P$1775,$C$80,FALSE)</f>
        <v>1840673</v>
      </c>
      <c r="D89" s="387">
        <f>VLOOKUP($A89&amp;"NCP ONPK",'E11 - 2013 09 Final'!$A$46:$P$1775,$D$80,FALSE)</f>
        <v>2001866</v>
      </c>
      <c r="E89" s="387">
        <f>VLOOKUP($A89&amp;"NCP ONPK",'E11 - 2013 09 Final'!$A$46:$P$1775,$E$80,FALSE)</f>
        <v>1795822</v>
      </c>
      <c r="F89" s="387">
        <f>VLOOKUP($A89&amp;"NCP ONPK",'E11 - 2013 09 Final'!$A$46:$P$1775,$F$80,FALSE)</f>
        <v>1903101</v>
      </c>
      <c r="G89" s="387">
        <f>VLOOKUP($A89&amp;"NCP ONPK",'E11 - 2013 09 Final'!$A$46:$P$1775,$G$80,FALSE)</f>
        <v>2046765</v>
      </c>
      <c r="H89" s="387">
        <f>VLOOKUP($A89&amp;"NCP ONPK",'E11 - 2013 09 Final'!$A$46:$P$1775,$H$80,FALSE)</f>
        <v>2085874</v>
      </c>
      <c r="I89" s="387">
        <f>VLOOKUP($A89&amp;"NCP ONPK",'E11 - 2013 09 Final'!$A$46:$P$1775,$I$80,FALSE)</f>
        <v>2003043</v>
      </c>
      <c r="J89" s="387">
        <f>VLOOKUP($A89&amp;"NCP ONPK",'E11 - 2013 09 Final'!$A$46:$P$1775,$J$80,FALSE)</f>
        <v>2080677</v>
      </c>
      <c r="K89" s="387">
        <f>VLOOKUP($A89&amp;"NCP ONPK",'E11 - 2013 09 Final'!$A$46:$P$1775,$K$80,FALSE)</f>
        <v>2285255</v>
      </c>
      <c r="L89" s="387">
        <f>VLOOKUP($A89&amp;"NCP ONPK",'E11 - 2013 09 Final'!$A$46:$P$1775,$L$80,FALSE)</f>
        <v>2003571</v>
      </c>
      <c r="M89" s="387">
        <f>VLOOKUP($A89&amp;"NCP ONPK",'E11 - 2013 09 Final'!$A$46:$P$1775,$M$80,FALSE)</f>
        <v>1988751</v>
      </c>
      <c r="N89" s="387">
        <f>VLOOKUP($A89&amp;"NCP ONPK",'E11 - 2013 09 Final'!$A$46:$P$1775,$N$80,FALSE)</f>
        <v>1980803</v>
      </c>
      <c r="O89" s="384">
        <f t="shared" si="17"/>
        <v>24016201</v>
      </c>
      <c r="P89" s="385">
        <f t="shared" si="18"/>
        <v>2285255</v>
      </c>
    </row>
    <row r="90" spans="1:16">
      <c r="A90" s="350" t="s">
        <v>713</v>
      </c>
      <c r="B90" s="382" t="s">
        <v>69</v>
      </c>
      <c r="C90" s="387">
        <f>VLOOKUP($A90&amp;"NCP ONPK",'E11 - 2013 09 Final'!$A$46:$P$1775,$C$80,FALSE)</f>
        <v>354768</v>
      </c>
      <c r="D90" s="387">
        <f>VLOOKUP($A90&amp;"NCP ONPK",'E11 - 2013 09 Final'!$A$46:$P$1775,$D$80,FALSE)</f>
        <v>375553</v>
      </c>
      <c r="E90" s="387">
        <f>VLOOKUP($A90&amp;"NCP ONPK",'E11 - 2013 09 Final'!$A$46:$P$1775,$E$80,FALSE)</f>
        <v>323104</v>
      </c>
      <c r="F90" s="387">
        <f>VLOOKUP($A90&amp;"NCP ONPK",'E11 - 2013 09 Final'!$A$46:$P$1775,$F$80,FALSE)</f>
        <v>350715</v>
      </c>
      <c r="G90" s="387">
        <f>VLOOKUP($A90&amp;"NCP ONPK",'E11 - 2013 09 Final'!$A$46:$P$1775,$G$80,FALSE)</f>
        <v>361246</v>
      </c>
      <c r="H90" s="387">
        <f>VLOOKUP($A90&amp;"NCP ONPK",'E11 - 2013 09 Final'!$A$46:$P$1775,$H$80,FALSE)</f>
        <v>384711</v>
      </c>
      <c r="I90" s="387">
        <f>VLOOKUP($A90&amp;"NCP ONPK",'E11 - 2013 09 Final'!$A$46:$P$1775,$I$80,FALSE)</f>
        <v>389252</v>
      </c>
      <c r="J90" s="387">
        <f>VLOOKUP($A90&amp;"NCP ONPK",'E11 - 2013 09 Final'!$A$46:$P$1775,$J$80,FALSE)</f>
        <v>395665</v>
      </c>
      <c r="K90" s="387">
        <f>VLOOKUP($A90&amp;"NCP ONPK",'E11 - 2013 09 Final'!$A$46:$P$1775,$K$80,FALSE)</f>
        <v>410407</v>
      </c>
      <c r="L90" s="387">
        <f>VLOOKUP($A90&amp;"NCP ONPK",'E11 - 2013 09 Final'!$A$46:$P$1775,$L$80,FALSE)</f>
        <v>367005</v>
      </c>
      <c r="M90" s="387">
        <f>VLOOKUP($A90&amp;"NCP ONPK",'E11 - 2013 09 Final'!$A$46:$P$1775,$M$80,FALSE)</f>
        <v>362172</v>
      </c>
      <c r="N90" s="387">
        <f>VLOOKUP($A90&amp;"NCP ONPK",'E11 - 2013 09 Final'!$A$46:$P$1775,$N$80,FALSE)</f>
        <v>352522</v>
      </c>
      <c r="O90" s="384">
        <f t="shared" si="17"/>
        <v>4427120</v>
      </c>
      <c r="P90" s="385">
        <f t="shared" si="18"/>
        <v>410407</v>
      </c>
    </row>
    <row r="91" spans="1:16">
      <c r="A91" s="350" t="s">
        <v>717</v>
      </c>
      <c r="B91" s="382" t="s">
        <v>52</v>
      </c>
      <c r="C91" s="387">
        <f>VLOOKUP($A91&amp;"NCP ONPK",'E11 - 2013 09 Final'!$A$46:$P$1775,$C$80,FALSE)</f>
        <v>33409</v>
      </c>
      <c r="D91" s="387">
        <f>VLOOKUP($A91&amp;"NCP ONPK",'E11 - 2013 09 Final'!$A$46:$P$1775,$D$80,FALSE)</f>
        <v>30703</v>
      </c>
      <c r="E91" s="387">
        <f>VLOOKUP($A91&amp;"NCP ONPK",'E11 - 2013 09 Final'!$A$46:$P$1775,$E$80,FALSE)</f>
        <v>32828</v>
      </c>
      <c r="F91" s="387">
        <f>VLOOKUP($A91&amp;"NCP ONPK",'E11 - 2013 09 Final'!$A$46:$P$1775,$F$80,FALSE)</f>
        <v>36999</v>
      </c>
      <c r="G91" s="387">
        <f>VLOOKUP($A91&amp;"NCP ONPK",'E11 - 2013 09 Final'!$A$46:$P$1775,$G$80,FALSE)</f>
        <v>26134</v>
      </c>
      <c r="H91" s="387">
        <f>VLOOKUP($A91&amp;"NCP ONPK",'E11 - 2013 09 Final'!$A$46:$P$1775,$H$80,FALSE)</f>
        <v>24607</v>
      </c>
      <c r="I91" s="387">
        <f>VLOOKUP($A91&amp;"NCP ONPK",'E11 - 2013 09 Final'!$A$46:$P$1775,$I$80,FALSE)</f>
        <v>32799</v>
      </c>
      <c r="J91" s="387">
        <f>VLOOKUP($A91&amp;"NCP ONPK",'E11 - 2013 09 Final'!$A$46:$P$1775,$J$80,FALSE)</f>
        <v>32189</v>
      </c>
      <c r="K91" s="387">
        <f>VLOOKUP($A91&amp;"NCP ONPK",'E11 - 2013 09 Final'!$A$46:$P$1775,$K$80,FALSE)</f>
        <v>19488</v>
      </c>
      <c r="L91" s="387">
        <f>VLOOKUP($A91&amp;"NCP ONPK",'E11 - 2013 09 Final'!$A$46:$P$1775,$L$80,FALSE)</f>
        <v>23042</v>
      </c>
      <c r="M91" s="387">
        <f>VLOOKUP($A91&amp;"NCP ONPK",'E11 - 2013 09 Final'!$A$46:$P$1775,$M$80,FALSE)</f>
        <v>19258</v>
      </c>
      <c r="N91" s="387">
        <f>VLOOKUP($A91&amp;"NCP ONPK",'E11 - 2013 09 Final'!$A$46:$P$1775,$N$80,FALSE)</f>
        <v>27413</v>
      </c>
      <c r="O91" s="384">
        <f t="shared" si="17"/>
        <v>338869</v>
      </c>
      <c r="P91" s="385">
        <f t="shared" si="18"/>
        <v>36999</v>
      </c>
    </row>
    <row r="92" spans="1:16">
      <c r="A92" s="350" t="s">
        <v>15</v>
      </c>
      <c r="B92" s="381" t="s">
        <v>15</v>
      </c>
      <c r="C92" s="387">
        <f>VLOOKUP($A92&amp;"NCP ONPK",'E11 - 2013 09 Final'!$A$46:$P$1775,$C$80,FALSE)</f>
        <v>15801</v>
      </c>
      <c r="D92" s="387">
        <f>VLOOKUP($A92&amp;"NCP ONPK",'E11 - 2013 09 Final'!$A$46:$P$1775,$D$80,FALSE)</f>
        <v>17032</v>
      </c>
      <c r="E92" s="387">
        <f>VLOOKUP($A92&amp;"NCP ONPK",'E11 - 2013 09 Final'!$A$46:$P$1775,$E$80,FALSE)</f>
        <v>16884</v>
      </c>
      <c r="F92" s="387">
        <f>VLOOKUP($A92&amp;"NCP ONPK",'E11 - 2013 09 Final'!$A$46:$P$1775,$F$80,FALSE)</f>
        <v>17995</v>
      </c>
      <c r="G92" s="387">
        <f>VLOOKUP($A92&amp;"NCP ONPK",'E11 - 2013 09 Final'!$A$46:$P$1775,$G$80,FALSE)</f>
        <v>17682</v>
      </c>
      <c r="H92" s="387">
        <f>VLOOKUP($A92&amp;"NCP ONPK",'E11 - 2013 09 Final'!$A$46:$P$1775,$H$80,FALSE)</f>
        <v>18977</v>
      </c>
      <c r="I92" s="387">
        <f>VLOOKUP($A92&amp;"NCP ONPK",'E11 - 2013 09 Final'!$A$46:$P$1775,$I$80,FALSE)</f>
        <v>19808</v>
      </c>
      <c r="J92" s="387">
        <f>VLOOKUP($A92&amp;"NCP ONPK",'E11 - 2013 09 Final'!$A$46:$P$1775,$J$80,FALSE)</f>
        <v>19923</v>
      </c>
      <c r="K92" s="387">
        <f>VLOOKUP($A92&amp;"NCP ONPK",'E11 - 2013 09 Final'!$A$46:$P$1775,$K$80,FALSE)</f>
        <v>20022</v>
      </c>
      <c r="L92" s="387">
        <f>VLOOKUP($A92&amp;"NCP ONPK",'E11 - 2013 09 Final'!$A$46:$P$1775,$L$80,FALSE)</f>
        <v>18902</v>
      </c>
      <c r="M92" s="387">
        <f>VLOOKUP($A92&amp;"NCP ONPK",'E11 - 2013 09 Final'!$A$46:$P$1775,$M$80,FALSE)</f>
        <v>17109</v>
      </c>
      <c r="N92" s="387">
        <f>VLOOKUP($A92&amp;"NCP ONPK",'E11 - 2013 09 Final'!$A$46:$P$1775,$N$80,FALSE)</f>
        <v>16699</v>
      </c>
      <c r="O92" s="384">
        <f t="shared" si="17"/>
        <v>216834</v>
      </c>
      <c r="P92" s="385">
        <f t="shared" si="18"/>
        <v>20022</v>
      </c>
    </row>
    <row r="93" spans="1:16">
      <c r="A93" s="350" t="s">
        <v>19</v>
      </c>
      <c r="B93" s="382" t="s">
        <v>56</v>
      </c>
      <c r="C93" s="387">
        <f>VLOOKUP($A93&amp;"NCP ONPK",'E11 - 2013 09 Final'!$A$46:$P$1775,$C$80,FALSE)</f>
        <v>20401</v>
      </c>
      <c r="D93" s="387">
        <f>VLOOKUP($A93&amp;"NCP ONPK",'E11 - 2013 09 Final'!$A$46:$P$1775,$D$80,FALSE)</f>
        <v>23508</v>
      </c>
      <c r="E93" s="387">
        <f>VLOOKUP($A93&amp;"NCP ONPK",'E11 - 2013 09 Final'!$A$46:$P$1775,$E$80,FALSE)</f>
        <v>22720</v>
      </c>
      <c r="F93" s="387">
        <f>VLOOKUP($A93&amp;"NCP ONPK",'E11 - 2013 09 Final'!$A$46:$P$1775,$F$80,FALSE)</f>
        <v>24943</v>
      </c>
      <c r="G93" s="387">
        <f>VLOOKUP($A93&amp;"NCP ONPK",'E11 - 2013 09 Final'!$A$46:$P$1775,$G$80,FALSE)</f>
        <v>25372</v>
      </c>
      <c r="H93" s="387">
        <f>VLOOKUP($A93&amp;"NCP ONPK",'E11 - 2013 09 Final'!$A$46:$P$1775,$H$80,FALSE)</f>
        <v>24011</v>
      </c>
      <c r="I93" s="387">
        <f>VLOOKUP($A93&amp;"NCP ONPK",'E11 - 2013 09 Final'!$A$46:$P$1775,$I$80,FALSE)</f>
        <v>22949</v>
      </c>
      <c r="J93" s="387">
        <f>VLOOKUP($A93&amp;"NCP ONPK",'E11 - 2013 09 Final'!$A$46:$P$1775,$J$80,FALSE)</f>
        <v>24928</v>
      </c>
      <c r="K93" s="387">
        <f>VLOOKUP($A93&amp;"NCP ONPK",'E11 - 2013 09 Final'!$A$46:$P$1775,$K$80,FALSE)</f>
        <v>23906</v>
      </c>
      <c r="L93" s="387">
        <f>VLOOKUP($A93&amp;"NCP ONPK",'E11 - 2013 09 Final'!$A$46:$P$1775,$L$80,FALSE)</f>
        <v>21779</v>
      </c>
      <c r="M93" s="387">
        <f>VLOOKUP($A93&amp;"NCP ONPK",'E11 - 2013 09 Final'!$A$46:$P$1775,$M$80,FALSE)</f>
        <v>21313</v>
      </c>
      <c r="N93" s="387">
        <f>VLOOKUP($A93&amp;"NCP ONPK",'E11 - 2013 09 Final'!$A$46:$P$1775,$N$80,FALSE)</f>
        <v>20130</v>
      </c>
      <c r="O93" s="384">
        <f t="shared" si="17"/>
        <v>275960</v>
      </c>
      <c r="P93" s="385">
        <f t="shared" si="18"/>
        <v>25372</v>
      </c>
    </row>
    <row r="94" spans="1:16">
      <c r="A94" s="350" t="s">
        <v>22</v>
      </c>
      <c r="B94" s="382" t="s">
        <v>57</v>
      </c>
      <c r="C94" s="387">
        <f>VLOOKUP($A94&amp;"NCP ONPK",'E11 - 2013 09 Final'!$A$46:$P$1775,$C$80,FALSE)</f>
        <v>11812</v>
      </c>
      <c r="D94" s="387">
        <f>VLOOKUP($A94&amp;"NCP ONPK",'E11 - 2013 09 Final'!$A$46:$P$1775,$D$80,FALSE)</f>
        <v>15508</v>
      </c>
      <c r="E94" s="387">
        <f>VLOOKUP($A94&amp;"NCP ONPK",'E11 - 2013 09 Final'!$A$46:$P$1775,$E$80,FALSE)</f>
        <v>16171</v>
      </c>
      <c r="F94" s="387">
        <f>VLOOKUP($A94&amp;"NCP ONPK",'E11 - 2013 09 Final'!$A$46:$P$1775,$F$80,FALSE)</f>
        <v>14113</v>
      </c>
      <c r="G94" s="387">
        <f>VLOOKUP($A94&amp;"NCP ONPK",'E11 - 2013 09 Final'!$A$46:$P$1775,$G$80,FALSE)</f>
        <v>13871</v>
      </c>
      <c r="H94" s="387">
        <f>VLOOKUP($A94&amp;"NCP ONPK",'E11 - 2013 09 Final'!$A$46:$P$1775,$H$80,FALSE)</f>
        <v>10455</v>
      </c>
      <c r="I94" s="387">
        <f>VLOOKUP($A94&amp;"NCP ONPK",'E11 - 2013 09 Final'!$A$46:$P$1775,$I$80,FALSE)</f>
        <v>9250</v>
      </c>
      <c r="J94" s="387">
        <f>VLOOKUP($A94&amp;"NCP ONPK",'E11 - 2013 09 Final'!$A$46:$P$1775,$J$80,FALSE)</f>
        <v>10513</v>
      </c>
      <c r="K94" s="387">
        <f>VLOOKUP($A94&amp;"NCP ONPK",'E11 - 2013 09 Final'!$A$46:$P$1775,$K$80,FALSE)</f>
        <v>14527</v>
      </c>
      <c r="L94" s="387">
        <f>VLOOKUP($A94&amp;"NCP ONPK",'E11 - 2013 09 Final'!$A$46:$P$1775,$L$80,FALSE)</f>
        <v>13518</v>
      </c>
      <c r="M94" s="387">
        <f>VLOOKUP($A94&amp;"NCP ONPK",'E11 - 2013 09 Final'!$A$46:$P$1775,$M$80,FALSE)</f>
        <v>15686</v>
      </c>
      <c r="N94" s="387">
        <f>VLOOKUP($A94&amp;"NCP ONPK",'E11 - 2013 09 Final'!$A$46:$P$1775,$N$80,FALSE)</f>
        <v>14931</v>
      </c>
      <c r="O94" s="384">
        <f t="shared" si="17"/>
        <v>160355</v>
      </c>
      <c r="P94" s="385">
        <f t="shared" si="18"/>
        <v>16171</v>
      </c>
    </row>
    <row r="95" spans="1:16">
      <c r="A95" s="350" t="s">
        <v>687</v>
      </c>
      <c r="B95" s="382" t="s">
        <v>48</v>
      </c>
      <c r="C95" s="387">
        <f>VLOOKUP($A95&amp;"NCP ONPK",'E11 - 2013 09 Final'!$A$46:$P$1775,$C$80,FALSE)</f>
        <v>22918309</v>
      </c>
      <c r="D95" s="387">
        <f>VLOOKUP($A95&amp;"NCP ONPK",'E11 - 2013 09 Final'!$A$46:$P$1775,$D$80,FALSE)</f>
        <v>23633507</v>
      </c>
      <c r="E95" s="387">
        <f>VLOOKUP($A95&amp;"NCP ONPK",'E11 - 2013 09 Final'!$A$46:$P$1775,$E$80,FALSE)</f>
        <v>22821210</v>
      </c>
      <c r="F95" s="387">
        <f>VLOOKUP($A95&amp;"NCP ONPK",'E11 - 2013 09 Final'!$A$46:$P$1775,$F$80,FALSE)</f>
        <v>21083839</v>
      </c>
      <c r="G95" s="387">
        <f>VLOOKUP($A95&amp;"NCP ONPK",'E11 - 2013 09 Final'!$A$46:$P$1775,$G$80,FALSE)</f>
        <v>21711226</v>
      </c>
      <c r="H95" s="387">
        <f>VLOOKUP($A95&amp;"NCP ONPK",'E11 - 2013 09 Final'!$A$46:$P$1775,$H$80,FALSE)</f>
        <v>20730393</v>
      </c>
      <c r="I95" s="387">
        <f>VLOOKUP($A95&amp;"NCP ONPK",'E11 - 2013 09 Final'!$A$46:$P$1775,$I$80,FALSE)</f>
        <v>22815104</v>
      </c>
      <c r="J95" s="387">
        <f>VLOOKUP($A95&amp;"NCP ONPK",'E11 - 2013 09 Final'!$A$46:$P$1775,$J$80,FALSE)</f>
        <v>23086236</v>
      </c>
      <c r="K95" s="387">
        <f>VLOOKUP($A95&amp;"NCP ONPK",'E11 - 2013 09 Final'!$A$46:$P$1775,$K$80,FALSE)</f>
        <v>25004123</v>
      </c>
      <c r="L95" s="387">
        <f>VLOOKUP($A95&amp;"NCP ONPK",'E11 - 2013 09 Final'!$A$46:$P$1775,$L$80,FALSE)</f>
        <v>22959271</v>
      </c>
      <c r="M95" s="387">
        <f>VLOOKUP($A95&amp;"NCP ONPK",'E11 - 2013 09 Final'!$A$46:$P$1775,$M$80,FALSE)</f>
        <v>21743276</v>
      </c>
      <c r="N95" s="387">
        <f>VLOOKUP($A95&amp;"NCP ONPK",'E11 - 2013 09 Final'!$A$46:$P$1775,$N$80,FALSE)</f>
        <v>21666049</v>
      </c>
      <c r="O95" s="384">
        <f t="shared" si="17"/>
        <v>270172543</v>
      </c>
      <c r="P95" s="385">
        <f t="shared" si="18"/>
        <v>25004123</v>
      </c>
    </row>
    <row r="96" spans="1:16">
      <c r="A96" s="350" t="s">
        <v>35</v>
      </c>
      <c r="B96" s="382" t="s">
        <v>53</v>
      </c>
      <c r="C96" s="387">
        <f>VLOOKUP($A96&amp;"NCP ONPK",'E11 - 2013 09 Final'!$A$46:$P$1775,$C$80,FALSE)</f>
        <v>101427</v>
      </c>
      <c r="D96" s="387">
        <f>VLOOKUP($A96&amp;"NCP ONPK",'E11 - 2013 09 Final'!$A$46:$P$1775,$D$80,FALSE)</f>
        <v>122596</v>
      </c>
      <c r="E96" s="387">
        <f>VLOOKUP($A96&amp;"NCP ONPK",'E11 - 2013 09 Final'!$A$46:$P$1775,$E$80,FALSE)</f>
        <v>113568</v>
      </c>
      <c r="F96" s="387">
        <f>VLOOKUP($A96&amp;"NCP ONPK",'E11 - 2013 09 Final'!$A$46:$P$1775,$F$80,FALSE)</f>
        <v>124832</v>
      </c>
      <c r="G96" s="387">
        <f>VLOOKUP($A96&amp;"NCP ONPK",'E11 - 2013 09 Final'!$A$46:$P$1775,$G$80,FALSE)</f>
        <v>131319</v>
      </c>
      <c r="H96" s="387">
        <f>VLOOKUP($A96&amp;"NCP ONPK",'E11 - 2013 09 Final'!$A$46:$P$1775,$H$80,FALSE)</f>
        <v>121223</v>
      </c>
      <c r="I96" s="387">
        <f>VLOOKUP($A96&amp;"NCP ONPK",'E11 - 2013 09 Final'!$A$46:$P$1775,$I$80,FALSE)</f>
        <v>99160</v>
      </c>
      <c r="J96" s="387">
        <f>VLOOKUP($A96&amp;"NCP ONPK",'E11 - 2013 09 Final'!$A$46:$P$1775,$J$80,FALSE)</f>
        <v>143265</v>
      </c>
      <c r="K96" s="387">
        <f>VLOOKUP($A96&amp;"NCP ONPK",'E11 - 2013 09 Final'!$A$46:$P$1775,$K$80,FALSE)</f>
        <v>124161</v>
      </c>
      <c r="L96" s="387">
        <f>VLOOKUP($A96&amp;"NCP ONPK",'E11 - 2013 09 Final'!$A$46:$P$1775,$L$80,FALSE)</f>
        <v>109060</v>
      </c>
      <c r="M96" s="387">
        <f>VLOOKUP($A96&amp;"NCP ONPK",'E11 - 2013 09 Final'!$A$46:$P$1775,$M$80,FALSE)</f>
        <v>109373</v>
      </c>
      <c r="N96" s="387">
        <f>VLOOKUP($A96&amp;"NCP ONPK",'E11 - 2013 09 Final'!$A$46:$P$1775,$N$80,FALSE)</f>
        <v>102154</v>
      </c>
      <c r="O96" s="384">
        <f t="shared" si="17"/>
        <v>1402138</v>
      </c>
      <c r="P96" s="385">
        <f t="shared" si="18"/>
        <v>143265</v>
      </c>
    </row>
    <row r="97" spans="1:16">
      <c r="A97" s="350" t="s">
        <v>38</v>
      </c>
      <c r="B97" s="382" t="s">
        <v>55</v>
      </c>
      <c r="C97" s="387">
        <f>VLOOKUP($A97&amp;"NCP ONPK",'E11 - 2013 09 Final'!$A$46:$P$1775,$C$80,FALSE)</f>
        <v>3527</v>
      </c>
      <c r="D97" s="387">
        <f>VLOOKUP($A97&amp;"NCP ONPK",'E11 - 2013 09 Final'!$A$46:$P$1775,$D$80,FALSE)</f>
        <v>3908</v>
      </c>
      <c r="E97" s="387">
        <f>VLOOKUP($A97&amp;"NCP ONPK",'E11 - 2013 09 Final'!$A$46:$P$1775,$E$80,FALSE)</f>
        <v>3544</v>
      </c>
      <c r="F97" s="387">
        <f>VLOOKUP($A97&amp;"NCP ONPK",'E11 - 2013 09 Final'!$A$46:$P$1775,$F$80,FALSE)</f>
        <v>3655</v>
      </c>
      <c r="G97" s="387">
        <f>VLOOKUP($A97&amp;"NCP ONPK",'E11 - 2013 09 Final'!$A$46:$P$1775,$G$80,FALSE)</f>
        <v>3542</v>
      </c>
      <c r="H97" s="387">
        <f>VLOOKUP($A97&amp;"NCP ONPK",'E11 - 2013 09 Final'!$A$46:$P$1775,$H$80,FALSE)</f>
        <v>3199</v>
      </c>
      <c r="I97" s="387">
        <f>VLOOKUP($A97&amp;"NCP ONPK",'E11 - 2013 09 Final'!$A$46:$P$1775,$I$80,FALSE)</f>
        <v>3506</v>
      </c>
      <c r="J97" s="387">
        <f>VLOOKUP($A97&amp;"NCP ONPK",'E11 - 2013 09 Final'!$A$46:$P$1775,$J$80,FALSE)</f>
        <v>3512</v>
      </c>
      <c r="K97" s="387">
        <f>VLOOKUP($A97&amp;"NCP ONPK",'E11 - 2013 09 Final'!$A$46:$P$1775,$K$80,FALSE)</f>
        <v>3473</v>
      </c>
      <c r="L97" s="387">
        <f>VLOOKUP($A97&amp;"NCP ONPK",'E11 - 2013 09 Final'!$A$46:$P$1775,$L$80,FALSE)</f>
        <v>3507</v>
      </c>
      <c r="M97" s="387">
        <f>VLOOKUP($A97&amp;"NCP ONPK",'E11 - 2013 09 Final'!$A$46:$P$1775,$M$80,FALSE)</f>
        <v>3625</v>
      </c>
      <c r="N97" s="387">
        <f>VLOOKUP($A97&amp;"NCP ONPK",'E11 - 2013 09 Final'!$A$46:$P$1775,$N$80,FALSE)</f>
        <v>3517</v>
      </c>
      <c r="O97" s="384">
        <f t="shared" si="17"/>
        <v>42515</v>
      </c>
      <c r="P97" s="385">
        <f t="shared" si="18"/>
        <v>3908</v>
      </c>
    </row>
    <row r="98" spans="1:16">
      <c r="A98" s="350" t="s">
        <v>40</v>
      </c>
      <c r="B98" s="382" t="s">
        <v>87</v>
      </c>
      <c r="C98" s="387">
        <f>VLOOKUP($A98&amp;"NCP ONPK",'E11 - 2013 09 Final'!$A$46:$P$1775,$C$80,FALSE)</f>
        <v>1047</v>
      </c>
      <c r="D98" s="387">
        <f>VLOOKUP($A98&amp;"NCP ONPK",'E11 - 2013 09 Final'!$A$46:$P$1775,$D$80,FALSE)</f>
        <v>1413</v>
      </c>
      <c r="E98" s="387">
        <f>VLOOKUP($A98&amp;"NCP ONPK",'E11 - 2013 09 Final'!$A$46:$P$1775,$E$80,FALSE)</f>
        <v>3854</v>
      </c>
      <c r="F98" s="387">
        <f>VLOOKUP($A98&amp;"NCP ONPK",'E11 - 2013 09 Final'!$A$46:$P$1775,$F$80,FALSE)</f>
        <v>4355</v>
      </c>
      <c r="G98" s="387">
        <f>VLOOKUP($A98&amp;"NCP ONPK",'E11 - 2013 09 Final'!$A$46:$P$1775,$G$80,FALSE)</f>
        <v>3897</v>
      </c>
      <c r="H98" s="387">
        <f>VLOOKUP($A98&amp;"NCP ONPK",'E11 - 2013 09 Final'!$A$46:$P$1775,$H$80,FALSE)</f>
        <v>3603</v>
      </c>
      <c r="I98" s="387">
        <f>VLOOKUP($A98&amp;"NCP ONPK",'E11 - 2013 09 Final'!$A$46:$P$1775,$I$80,FALSE)</f>
        <v>4611</v>
      </c>
      <c r="J98" s="387">
        <f>VLOOKUP($A98&amp;"NCP ONPK",'E11 - 2013 09 Final'!$A$46:$P$1775,$J$80,FALSE)</f>
        <v>3534</v>
      </c>
      <c r="K98" s="387">
        <f>VLOOKUP($A98&amp;"NCP ONPK",'E11 - 2013 09 Final'!$A$46:$P$1775,$K$80,FALSE)</f>
        <v>4425</v>
      </c>
      <c r="L98" s="387">
        <f>VLOOKUP($A98&amp;"NCP ONPK",'E11 - 2013 09 Final'!$A$46:$P$1775,$L$80,FALSE)</f>
        <v>5705</v>
      </c>
      <c r="M98" s="387">
        <f>VLOOKUP($A98&amp;"NCP ONPK",'E11 - 2013 09 Final'!$A$46:$P$1775,$M$80,FALSE)</f>
        <v>2480</v>
      </c>
      <c r="N98" s="387">
        <f>VLOOKUP($A98&amp;"NCP ONPK",'E11 - 2013 09 Final'!$A$46:$P$1775,$N$80,FALSE)</f>
        <v>6479</v>
      </c>
      <c r="O98" s="384">
        <f t="shared" si="17"/>
        <v>45403</v>
      </c>
      <c r="P98" s="385">
        <f t="shared" si="18"/>
        <v>6479</v>
      </c>
    </row>
    <row r="99" spans="1:16">
      <c r="A99" s="350" t="s">
        <v>45</v>
      </c>
      <c r="B99" s="382" t="s">
        <v>88</v>
      </c>
      <c r="C99" s="387">
        <f>VLOOKUP($A99&amp;"NCP ONPK",'E11 - 2013 09 Final'!$A$46:$P$1775,$C$80,FALSE)</f>
        <v>39626</v>
      </c>
      <c r="D99" s="387">
        <f>VLOOKUP($A99&amp;"NCP ONPK",'E11 - 2013 09 Final'!$A$46:$P$1775,$D$80,FALSE)</f>
        <v>50301</v>
      </c>
      <c r="E99" s="387">
        <f>VLOOKUP($A99&amp;"NCP ONPK",'E11 - 2013 09 Final'!$A$46:$P$1775,$E$80,FALSE)</f>
        <v>55848</v>
      </c>
      <c r="F99" s="387">
        <f>VLOOKUP($A99&amp;"NCP ONPK",'E11 - 2013 09 Final'!$A$46:$P$1775,$F$80,FALSE)</f>
        <v>78379</v>
      </c>
      <c r="G99" s="387">
        <f>VLOOKUP($A99&amp;"NCP ONPK",'E11 - 2013 09 Final'!$A$46:$P$1775,$G$80,FALSE)</f>
        <v>64357</v>
      </c>
      <c r="H99" s="387">
        <f>VLOOKUP($A99&amp;"NCP ONPK",'E11 - 2013 09 Final'!$A$46:$P$1775,$H$80,FALSE)</f>
        <v>42074</v>
      </c>
      <c r="I99" s="387">
        <f>VLOOKUP($A99&amp;"NCP ONPK",'E11 - 2013 09 Final'!$A$46:$P$1775,$I$80,FALSE)</f>
        <v>34527</v>
      </c>
      <c r="J99" s="387">
        <f>VLOOKUP($A99&amp;"NCP ONPK",'E11 - 2013 09 Final'!$A$46:$P$1775,$J$80,FALSE)</f>
        <v>33408</v>
      </c>
      <c r="K99" s="387">
        <f>VLOOKUP($A99&amp;"NCP ONPK",'E11 - 2013 09 Final'!$A$46:$P$1775,$K$80,FALSE)</f>
        <v>89105</v>
      </c>
      <c r="L99" s="387">
        <f>VLOOKUP($A99&amp;"NCP ONPK",'E11 - 2013 09 Final'!$A$46:$P$1775,$L$80,FALSE)</f>
        <v>70602</v>
      </c>
      <c r="M99" s="387">
        <f>VLOOKUP($A99&amp;"NCP ONPK",'E11 - 2013 09 Final'!$A$46:$P$1775,$M$80,FALSE)</f>
        <v>80931</v>
      </c>
      <c r="N99" s="387">
        <f>VLOOKUP($A99&amp;"NCP ONPK",'E11 - 2013 09 Final'!$A$46:$P$1775,$N$80,FALSE)</f>
        <v>61096</v>
      </c>
      <c r="O99" s="384">
        <f t="shared" si="17"/>
        <v>700254</v>
      </c>
      <c r="P99" s="385">
        <f t="shared" si="18"/>
        <v>89105</v>
      </c>
    </row>
    <row r="100" spans="1:16">
      <c r="C100" s="383"/>
      <c r="D100" s="383"/>
      <c r="E100" s="383"/>
      <c r="F100" s="383"/>
      <c r="G100" s="383"/>
      <c r="H100" s="383"/>
      <c r="I100" s="383"/>
      <c r="J100" s="383"/>
      <c r="K100" s="383"/>
      <c r="L100" s="383"/>
      <c r="M100" s="383"/>
      <c r="N100" s="383"/>
      <c r="O100" s="384"/>
      <c r="P100" s="385"/>
    </row>
    <row r="101" spans="1:16">
      <c r="C101" s="383"/>
      <c r="D101" s="383"/>
      <c r="E101" s="383"/>
      <c r="F101" s="383"/>
      <c r="G101" s="383"/>
      <c r="H101" s="383"/>
      <c r="I101" s="383"/>
      <c r="J101" s="383"/>
      <c r="K101" s="383"/>
      <c r="L101" s="383"/>
      <c r="M101" s="383"/>
      <c r="N101" s="383"/>
      <c r="O101" s="384"/>
      <c r="P101" s="385"/>
    </row>
    <row r="102" spans="1:16">
      <c r="B102" s="380" t="s">
        <v>86</v>
      </c>
      <c r="C102" s="386"/>
      <c r="D102" s="386"/>
      <c r="E102" s="386"/>
      <c r="F102" s="386"/>
      <c r="G102" s="386"/>
      <c r="H102" s="386"/>
      <c r="I102" s="386"/>
      <c r="J102" s="386"/>
      <c r="K102" s="386"/>
      <c r="L102" s="386"/>
      <c r="M102" s="386"/>
      <c r="N102" s="386"/>
      <c r="P102" s="385"/>
    </row>
    <row r="103" spans="1:16">
      <c r="A103" s="350" t="s">
        <v>603</v>
      </c>
      <c r="B103" s="350" t="s">
        <v>603</v>
      </c>
      <c r="C103" s="387">
        <f>VLOOKUP($A103&amp;"NCP ONPK",'E11 - 2013 09 Final'!$A$46:$P$1775,$C$80,FALSE)</f>
        <v>6529</v>
      </c>
      <c r="D103" s="387">
        <f>VLOOKUP($A103&amp;"NCP ONPK",'E11 - 2013 09 Final'!$A$46:$P$1775,$D$80,FALSE)</f>
        <v>6727</v>
      </c>
      <c r="E103" s="387">
        <f>VLOOKUP($A103&amp;"NCP ONPK",'E11 - 2013 09 Final'!$A$46:$P$1775,$E$80,FALSE)</f>
        <v>6742</v>
      </c>
      <c r="F103" s="387">
        <f>VLOOKUP($A103&amp;"NCP ONPK",'E11 - 2013 09 Final'!$A$46:$P$1775,$F$80,FALSE)</f>
        <v>6324</v>
      </c>
      <c r="G103" s="387">
        <f>VLOOKUP($A103&amp;"NCP ONPK",'E11 - 2013 09 Final'!$A$46:$P$1775,$G$80,FALSE)</f>
        <v>7555</v>
      </c>
      <c r="H103" s="387">
        <f>VLOOKUP($A103&amp;"NCP ONPK",'E11 - 2013 09 Final'!$A$46:$P$1775,$H$80,FALSE)</f>
        <v>7987</v>
      </c>
      <c r="I103" s="387">
        <f>VLOOKUP($A103&amp;"NCP ONPK",'E11 - 2013 09 Final'!$A$46:$P$1775,$I$80,FALSE)</f>
        <v>8255</v>
      </c>
      <c r="J103" s="387">
        <f>VLOOKUP($A103&amp;"NCP ONPK",'E11 - 2013 09 Final'!$A$46:$P$1775,$J$80,FALSE)</f>
        <v>8389</v>
      </c>
      <c r="K103" s="387">
        <f>VLOOKUP($A103&amp;"NCP ONPK",'E11 - 2013 09 Final'!$A$46:$P$1775,$K$80,FALSE)</f>
        <v>8163</v>
      </c>
      <c r="L103" s="387">
        <f>VLOOKUP($A103&amp;"NCP ONPK",'E11 - 2013 09 Final'!$A$46:$P$1775,$L$80,FALSE)</f>
        <v>7220</v>
      </c>
      <c r="M103" s="387">
        <f>VLOOKUP($A103&amp;"NCP ONPK",'E11 - 2013 09 Final'!$A$46:$P$1775,$M$80,FALSE)</f>
        <v>5707</v>
      </c>
      <c r="N103" s="387">
        <f>VLOOKUP($A103&amp;"NCP ONPK",'E11 - 2013 09 Final'!$A$46:$P$1775,$N$80,FALSE)</f>
        <v>6401</v>
      </c>
      <c r="O103" s="384">
        <f t="shared" ref="O103:O108" si="19">SUM(C103:N103)</f>
        <v>85999</v>
      </c>
      <c r="P103" s="385">
        <f t="shared" si="18"/>
        <v>8389</v>
      </c>
    </row>
    <row r="104" spans="1:16">
      <c r="A104" s="350" t="s">
        <v>245</v>
      </c>
      <c r="B104" s="350" t="s">
        <v>983</v>
      </c>
      <c r="C104" s="387">
        <f>VLOOKUP($A104&amp;"NCP ONPK",'E11 - 2013 09 Final'!$A$46:$P$1775,$C$80,FALSE)</f>
        <v>104213</v>
      </c>
      <c r="D104" s="387">
        <f>VLOOKUP($A104&amp;"NCP ONPK",'E11 - 2013 09 Final'!$A$46:$P$1775,$D$80,FALSE)</f>
        <v>108678</v>
      </c>
      <c r="E104" s="387">
        <f>VLOOKUP($A104&amp;"NCP ONPK",'E11 - 2013 09 Final'!$A$46:$P$1775,$E$80,FALSE)</f>
        <v>98374</v>
      </c>
      <c r="F104" s="387">
        <f>VLOOKUP($A104&amp;"NCP ONPK",'E11 - 2013 09 Final'!$A$46:$P$1775,$F$80,FALSE)</f>
        <v>126807</v>
      </c>
      <c r="G104" s="387">
        <f>VLOOKUP($A104&amp;"NCP ONPK",'E11 - 2013 09 Final'!$A$46:$P$1775,$G$80,FALSE)</f>
        <v>139147</v>
      </c>
      <c r="H104" s="387">
        <f>VLOOKUP($A104&amp;"NCP ONPK",'E11 - 2013 09 Final'!$A$46:$P$1775,$H$80,FALSE)</f>
        <v>139433</v>
      </c>
      <c r="I104" s="387">
        <f>VLOOKUP($A104&amp;"NCP ONPK",'E11 - 2013 09 Final'!$A$46:$P$1775,$I$80,FALSE)</f>
        <v>147695</v>
      </c>
      <c r="J104" s="387">
        <f>VLOOKUP($A104&amp;"NCP ONPK",'E11 - 2013 09 Final'!$A$46:$P$1775,$J$80,FALSE)</f>
        <v>140477</v>
      </c>
      <c r="K104" s="387">
        <f>VLOOKUP($A104&amp;"NCP ONPK",'E11 - 2013 09 Final'!$A$46:$P$1775,$K$80,FALSE)</f>
        <v>133456</v>
      </c>
      <c r="L104" s="387">
        <f>VLOOKUP($A104&amp;"NCP ONPK",'E11 - 2013 09 Final'!$A$46:$P$1775,$L$80,FALSE)</f>
        <v>129638</v>
      </c>
      <c r="M104" s="387">
        <f>VLOOKUP($A104&amp;"NCP ONPK",'E11 - 2013 09 Final'!$A$46:$P$1775,$M$80,FALSE)</f>
        <v>105406</v>
      </c>
      <c r="N104" s="387">
        <f>VLOOKUP($A104&amp;"NCP ONPK",'E11 - 2013 09 Final'!$A$46:$P$1775,$N$80,FALSE)</f>
        <v>115885</v>
      </c>
      <c r="O104" s="384">
        <f t="shared" si="19"/>
        <v>1489209</v>
      </c>
      <c r="P104" s="385">
        <f t="shared" si="18"/>
        <v>147695</v>
      </c>
    </row>
    <row r="105" spans="1:16">
      <c r="A105" s="350" t="s">
        <v>242</v>
      </c>
      <c r="B105" s="350" t="s">
        <v>491</v>
      </c>
      <c r="C105" s="387">
        <f>VLOOKUP($A105&amp;"NCP ONPK",'E11 - 2013 09 Final'!$A$46:$P$1775,$C$80,FALSE)</f>
        <v>45000</v>
      </c>
      <c r="D105" s="387">
        <f>VLOOKUP($A105&amp;"NCP ONPK",'E11 - 2013 09 Final'!$A$46:$P$1775,$D$80,FALSE)</f>
        <v>45000</v>
      </c>
      <c r="E105" s="387">
        <f>VLOOKUP($A105&amp;"NCP ONPK",'E11 - 2013 09 Final'!$A$46:$P$1775,$E$80,FALSE)</f>
        <v>45000</v>
      </c>
      <c r="F105" s="387">
        <f>VLOOKUP($A105&amp;"NCP ONPK",'E11 - 2013 09 Final'!$A$46:$P$1775,$F$80,FALSE)</f>
        <v>45000</v>
      </c>
      <c r="G105" s="387">
        <f>VLOOKUP($A105&amp;"NCP ONPK",'E11 - 2013 09 Final'!$A$46:$P$1775,$G$80,FALSE)</f>
        <v>45000</v>
      </c>
      <c r="H105" s="387">
        <f>VLOOKUP($A105&amp;"NCP ONPK",'E11 - 2013 09 Final'!$A$46:$P$1775,$H$80,FALSE)</f>
        <v>0</v>
      </c>
      <c r="I105" s="387">
        <f>VLOOKUP($A105&amp;"NCP ONPK",'E11 - 2013 09 Final'!$A$46:$P$1775,$I$80,FALSE)</f>
        <v>0</v>
      </c>
      <c r="J105" s="387">
        <f>VLOOKUP($A105&amp;"NCP ONPK",'E11 - 2013 09 Final'!$A$46:$P$1775,$J$80,FALSE)</f>
        <v>0</v>
      </c>
      <c r="K105" s="387">
        <f>VLOOKUP($A105&amp;"NCP ONPK",'E11 - 2013 09 Final'!$A$46:$P$1775,$K$80,FALSE)</f>
        <v>0</v>
      </c>
      <c r="L105" s="387">
        <f>VLOOKUP($A105&amp;"NCP ONPK",'E11 - 2013 09 Final'!$A$46:$P$1775,$L$80,FALSE)</f>
        <v>0</v>
      </c>
      <c r="M105" s="387">
        <f>VLOOKUP($A105&amp;"NCP ONPK",'E11 - 2013 09 Final'!$A$46:$P$1775,$M$80,FALSE)</f>
        <v>0</v>
      </c>
      <c r="N105" s="387">
        <f>VLOOKUP($A105&amp;"NCP ONPK",'E11 - 2013 09 Final'!$A$46:$P$1775,$N$80,FALSE)</f>
        <v>0</v>
      </c>
      <c r="O105" s="384">
        <f t="shared" si="19"/>
        <v>225000</v>
      </c>
      <c r="P105" s="385">
        <f t="shared" si="18"/>
        <v>45000</v>
      </c>
    </row>
    <row r="106" spans="1:16" ht="409.6">
      <c r="A106" s="350" t="s">
        <v>661</v>
      </c>
      <c r="B106" s="350" t="s">
        <v>984</v>
      </c>
      <c r="C106" s="387">
        <f>VLOOKUP($A106&amp;"NCP ONPK",'E11 - 2013 09 Final'!$A$46:$P$1775,$C$80,FALSE)</f>
        <v>172867</v>
      </c>
      <c r="D106" s="387">
        <f>VLOOKUP($A106&amp;"NCP ONPK",'E11 - 2013 09 Final'!$A$46:$P$1775,$D$80,FALSE)</f>
        <v>194639</v>
      </c>
      <c r="E106" s="387">
        <f>VLOOKUP($A106&amp;"NCP ONPK",'E11 - 2013 09 Final'!$A$46:$P$1775,$E$80,FALSE)</f>
        <v>196069</v>
      </c>
      <c r="F106" s="387">
        <f>VLOOKUP($A106&amp;"NCP ONPK",'E11 - 2013 09 Final'!$A$46:$P$1775,$F$80,FALSE)</f>
        <v>223880</v>
      </c>
      <c r="G106" s="387">
        <f>VLOOKUP($A106&amp;"NCP ONPK",'E11 - 2013 09 Final'!$A$46:$P$1775,$G$80,FALSE)</f>
        <v>224198</v>
      </c>
      <c r="H106" s="387">
        <f>VLOOKUP($A106&amp;"NCP ONPK",'E11 - 2013 09 Final'!$A$46:$P$1775,$H$80,FALSE)</f>
        <v>231785</v>
      </c>
      <c r="I106" s="387">
        <f>VLOOKUP($A106&amp;"NCP ONPK",'E11 - 2013 09 Final'!$A$46:$P$1775,$I$80,FALSE)</f>
        <v>226251</v>
      </c>
      <c r="J106" s="387">
        <f>VLOOKUP($A106&amp;"NCP ONPK",'E11 - 2013 09 Final'!$A$46:$P$1775,$J$80,FALSE)</f>
        <v>236361</v>
      </c>
      <c r="K106" s="387">
        <f>VLOOKUP($A106&amp;"NCP ONPK",'E11 - 2013 09 Final'!$A$46:$P$1775,$K$80,FALSE)</f>
        <v>227263</v>
      </c>
      <c r="L106" s="387">
        <f>VLOOKUP($A106&amp;"NCP ONPK",'E11 - 2013 09 Final'!$A$46:$P$1775,$L$80,FALSE)</f>
        <v>220995</v>
      </c>
      <c r="M106" s="387">
        <f>VLOOKUP($A106&amp;"NCP ONPK",'E11 - 2013 09 Final'!$A$46:$P$1775,$M$80,FALSE)</f>
        <v>187306</v>
      </c>
      <c r="N106" s="387">
        <f>VLOOKUP($A106&amp;"NCP ONPK",'E11 - 2013 09 Final'!$A$46:$P$1775,$N$80,FALSE)</f>
        <v>183623</v>
      </c>
      <c r="O106" s="384">
        <f t="shared" si="19"/>
        <v>2525237</v>
      </c>
      <c r="P106" s="385">
        <f t="shared" si="18"/>
        <v>236361</v>
      </c>
    </row>
    <row r="107" spans="1:16">
      <c r="A107" s="350" t="s">
        <v>7</v>
      </c>
      <c r="B107" s="350" t="s">
        <v>987</v>
      </c>
      <c r="C107" s="387">
        <f>VLOOKUP($A107&amp;"NCP ONPK",'E11 - 2013 09 Final'!$A$46:$P$1775,$C$80,FALSE)</f>
        <v>986</v>
      </c>
      <c r="D107" s="387">
        <f>VLOOKUP($A107&amp;"NCP ONPK",'E11 - 2013 09 Final'!$A$46:$P$1775,$D$80,FALSE)</f>
        <v>587</v>
      </c>
      <c r="E107" s="387">
        <f>VLOOKUP($A107&amp;"NCP ONPK",'E11 - 2013 09 Final'!$A$46:$P$1775,$E$80,FALSE)</f>
        <v>974</v>
      </c>
      <c r="F107" s="387">
        <f>VLOOKUP($A107&amp;"NCP ONPK",'E11 - 2013 09 Final'!$A$46:$P$1775,$F$80,FALSE)</f>
        <v>978</v>
      </c>
      <c r="G107" s="387">
        <f>VLOOKUP($A107&amp;"NCP ONPK",'E11 - 2013 09 Final'!$A$46:$P$1775,$G$80,FALSE)</f>
        <v>1001</v>
      </c>
      <c r="H107" s="387">
        <f>VLOOKUP($A107&amp;"NCP ONPK",'E11 - 2013 09 Final'!$A$46:$P$1775,$H$80,FALSE)</f>
        <v>939</v>
      </c>
      <c r="I107" s="387">
        <f>VLOOKUP($A107&amp;"NCP ONPK",'E11 - 2013 09 Final'!$A$46:$P$1775,$I$80,FALSE)</f>
        <v>900</v>
      </c>
      <c r="J107" s="387">
        <f>VLOOKUP($A107&amp;"NCP ONPK",'E11 - 2013 09 Final'!$A$46:$P$1775,$J$80,FALSE)</f>
        <v>890</v>
      </c>
      <c r="K107" s="387">
        <f>VLOOKUP($A107&amp;"NCP ONPK",'E11 - 2013 09 Final'!$A$46:$P$1775,$K$80,FALSE)</f>
        <v>919</v>
      </c>
      <c r="L107" s="387">
        <f>VLOOKUP($A107&amp;"NCP ONPK",'E11 - 2013 09 Final'!$A$46:$P$1775,$L$80,FALSE)</f>
        <v>944</v>
      </c>
      <c r="M107" s="387">
        <f>VLOOKUP($A107&amp;"NCP ONPK",'E11 - 2013 09 Final'!$A$46:$P$1775,$M$80,FALSE)</f>
        <v>923</v>
      </c>
      <c r="N107" s="387">
        <f>VLOOKUP($A107&amp;"NCP ONPK",'E11 - 2013 09 Final'!$A$46:$P$1775,$N$80,FALSE)</f>
        <v>0</v>
      </c>
      <c r="O107" s="384">
        <f t="shared" si="19"/>
        <v>10041</v>
      </c>
      <c r="P107" s="385">
        <f t="shared" si="18"/>
        <v>1001</v>
      </c>
    </row>
    <row r="108" spans="1:16">
      <c r="A108" s="350" t="s">
        <v>724</v>
      </c>
      <c r="B108" s="350" t="s">
        <v>724</v>
      </c>
      <c r="C108" s="387">
        <f>VLOOKUP($A108&amp;"NCP ONPK",'E11 - 2013 09 Final'!$A$46:$P$1775,$C$80,FALSE)</f>
        <v>8708</v>
      </c>
      <c r="D108" s="387">
        <f>VLOOKUP($A108&amp;"NCP ONPK",'E11 - 2013 09 Final'!$A$46:$P$1775,$D$80,FALSE)</f>
        <v>10853</v>
      </c>
      <c r="E108" s="387">
        <f>VLOOKUP($A108&amp;"NCP ONPK",'E11 - 2013 09 Final'!$A$46:$P$1775,$E$80,FALSE)</f>
        <v>11363</v>
      </c>
      <c r="F108" s="387">
        <f>VLOOKUP($A108&amp;"NCP ONPK",'E11 - 2013 09 Final'!$A$46:$P$1775,$F$80,FALSE)</f>
        <v>11581</v>
      </c>
      <c r="G108" s="387">
        <f>VLOOKUP($A108&amp;"NCP ONPK",'E11 - 2013 09 Final'!$A$46:$P$1775,$G$80,FALSE)</f>
        <v>12367</v>
      </c>
      <c r="H108" s="387">
        <f>VLOOKUP($A108&amp;"NCP ONPK",'E11 - 2013 09 Final'!$A$46:$P$1775,$H$80,FALSE)</f>
        <v>13187</v>
      </c>
      <c r="I108" s="387">
        <f>VLOOKUP($A108&amp;"NCP ONPK",'E11 - 2013 09 Final'!$A$46:$P$1775,$I$80,FALSE)</f>
        <v>12500</v>
      </c>
      <c r="J108" s="387">
        <f>VLOOKUP($A108&amp;"NCP ONPK",'E11 - 2013 09 Final'!$A$46:$P$1775,$J$80,FALSE)</f>
        <v>13557</v>
      </c>
      <c r="K108" s="387">
        <f>VLOOKUP($A108&amp;"NCP ONPK",'E11 - 2013 09 Final'!$A$46:$P$1775,$K$80,FALSE)</f>
        <v>13021</v>
      </c>
      <c r="L108" s="387">
        <f>VLOOKUP($A108&amp;"NCP ONPK",'E11 - 2013 09 Final'!$A$46:$P$1775,$L$80,FALSE)</f>
        <v>11905</v>
      </c>
      <c r="M108" s="387">
        <f>VLOOKUP($A108&amp;"NCP ONPK",'E11 - 2013 09 Final'!$A$46:$P$1775,$M$80,FALSE)</f>
        <v>9634</v>
      </c>
      <c r="N108" s="387">
        <f>VLOOKUP($A108&amp;"NCP ONPK",'E11 - 2013 09 Final'!$A$46:$P$1775,$N$80,FALSE)</f>
        <v>9546</v>
      </c>
      <c r="O108" s="384">
        <f t="shared" si="19"/>
        <v>138222</v>
      </c>
      <c r="P108" s="385">
        <f t="shared" si="18"/>
        <v>13557</v>
      </c>
    </row>
    <row r="110" spans="1:16" ht="21">
      <c r="B110" s="613" t="s">
        <v>989</v>
      </c>
      <c r="C110" s="613"/>
      <c r="D110" s="613"/>
      <c r="E110" s="613"/>
      <c r="F110" s="613"/>
      <c r="G110" s="613"/>
      <c r="H110" s="613"/>
      <c r="I110" s="613"/>
      <c r="J110" s="613"/>
      <c r="K110" s="613"/>
      <c r="L110" s="613"/>
      <c r="M110" s="613"/>
      <c r="N110" s="613"/>
      <c r="O110" s="613"/>
      <c r="P110" s="613"/>
    </row>
    <row r="111" spans="1:16" ht="17.399999999999999">
      <c r="B111" s="614" t="str">
        <f>+MANUAL!$B$7 &amp;" as Calculated by LodeStar Except as Noted"</f>
        <v>2014 as Calculated by LodeStar Except as Noted</v>
      </c>
      <c r="C111" s="614"/>
      <c r="D111" s="614"/>
      <c r="E111" s="614"/>
      <c r="F111" s="614"/>
      <c r="G111" s="614"/>
      <c r="H111" s="614"/>
      <c r="I111" s="614"/>
      <c r="J111" s="614"/>
      <c r="K111" s="614"/>
      <c r="L111" s="614"/>
      <c r="M111" s="614"/>
      <c r="N111" s="614"/>
      <c r="O111" s="614"/>
      <c r="P111" s="614"/>
    </row>
    <row r="112" spans="1:16" ht="13.8" thickBot="1">
      <c r="B112" s="351"/>
      <c r="C112" s="351"/>
      <c r="D112" s="351"/>
      <c r="E112" s="351"/>
      <c r="F112" s="351"/>
      <c r="G112" s="351"/>
      <c r="H112" s="351"/>
      <c r="I112" s="351"/>
      <c r="J112" s="351"/>
      <c r="K112" s="351"/>
      <c r="L112" s="351"/>
      <c r="M112" s="351"/>
      <c r="N112" s="351"/>
      <c r="O112" s="351"/>
      <c r="P112" s="351"/>
    </row>
    <row r="113" spans="1:16">
      <c r="C113" s="352"/>
      <c r="D113" s="353"/>
      <c r="E113" s="354"/>
      <c r="F113" s="355"/>
      <c r="G113" s="356"/>
      <c r="H113" s="357"/>
      <c r="I113" s="358"/>
      <c r="J113" s="359"/>
      <c r="K113" s="360"/>
      <c r="L113" s="361"/>
      <c r="M113" s="362"/>
      <c r="N113" s="363"/>
      <c r="O113" s="364"/>
      <c r="P113" s="365" t="s">
        <v>576</v>
      </c>
    </row>
    <row r="114" spans="1:16" ht="13.8" thickBot="1">
      <c r="C114" s="366" t="s">
        <v>70</v>
      </c>
      <c r="D114" s="367" t="s">
        <v>71</v>
      </c>
      <c r="E114" s="368" t="s">
        <v>72</v>
      </c>
      <c r="F114" s="369" t="s">
        <v>73</v>
      </c>
      <c r="G114" s="370" t="s">
        <v>74</v>
      </c>
      <c r="H114" s="371" t="s">
        <v>75</v>
      </c>
      <c r="I114" s="372" t="s">
        <v>76</v>
      </c>
      <c r="J114" s="373" t="s">
        <v>77</v>
      </c>
      <c r="K114" s="374" t="s">
        <v>78</v>
      </c>
      <c r="L114" s="375" t="s">
        <v>79</v>
      </c>
      <c r="M114" s="376" t="s">
        <v>80</v>
      </c>
      <c r="N114" s="377" t="s">
        <v>81</v>
      </c>
      <c r="O114" s="378" t="s">
        <v>60</v>
      </c>
      <c r="P114" s="379" t="s">
        <v>82</v>
      </c>
    </row>
    <row r="115" spans="1:16" hidden="1">
      <c r="C115" s="350">
        <v>4</v>
      </c>
      <c r="D115" s="350">
        <f>C115+1</f>
        <v>5</v>
      </c>
      <c r="E115" s="350">
        <f t="shared" ref="E115:N115" si="20">D115+1</f>
        <v>6</v>
      </c>
      <c r="F115" s="350">
        <f t="shared" si="20"/>
        <v>7</v>
      </c>
      <c r="G115" s="350">
        <f t="shared" si="20"/>
        <v>8</v>
      </c>
      <c r="H115" s="350">
        <f t="shared" si="20"/>
        <v>9</v>
      </c>
      <c r="I115" s="350">
        <f t="shared" si="20"/>
        <v>10</v>
      </c>
      <c r="J115" s="350">
        <f t="shared" si="20"/>
        <v>11</v>
      </c>
      <c r="K115" s="350">
        <f t="shared" si="20"/>
        <v>12</v>
      </c>
      <c r="L115" s="350">
        <f t="shared" si="20"/>
        <v>13</v>
      </c>
      <c r="M115" s="350">
        <f t="shared" si="20"/>
        <v>14</v>
      </c>
      <c r="N115" s="350">
        <f t="shared" si="20"/>
        <v>15</v>
      </c>
      <c r="O115" s="389"/>
      <c r="P115" s="389"/>
    </row>
    <row r="117" spans="1:16">
      <c r="B117" s="380" t="s">
        <v>83</v>
      </c>
    </row>
    <row r="118" spans="1:16">
      <c r="A118" s="350" t="s">
        <v>122</v>
      </c>
      <c r="B118" s="382" t="s">
        <v>84</v>
      </c>
      <c r="C118" s="387">
        <f>VLOOKUP($A118&amp;"NCP ONPK",'E11 - 2014 09 Final'!$A$46:$Q$1704,$C$115,FALSE)</f>
        <v>442529</v>
      </c>
      <c r="D118" s="387">
        <f>VLOOKUP($A118&amp;"NCP ONPK",'E11 - 2014 09 Final'!$A$46:$Q$1704,$D$115,FALSE)</f>
        <v>438731</v>
      </c>
      <c r="E118" s="387">
        <f>VLOOKUP($A118&amp;"NCP ONPK",'E11 - 2014 09 Final'!$A$46:$Q$1704,$E$115,FALSE)</f>
        <v>397789</v>
      </c>
      <c r="F118" s="387">
        <f>VLOOKUP($A118&amp;"NCP ONPK",'E11 - 2014 09 Final'!$A$46:$Q$1704,$F$115,FALSE)</f>
        <v>426621</v>
      </c>
      <c r="G118" s="387">
        <f>VLOOKUP($A118&amp;"NCP ONPK",'E11 - 2014 09 Final'!$A$46:$Q$1704,$G$115,FALSE)</f>
        <v>412899</v>
      </c>
      <c r="H118" s="387">
        <f>VLOOKUP($A118&amp;"NCP ONPK",'E11 - 2014 09 Final'!$A$46:$Q$1704,$H$115,FALSE)</f>
        <v>434116</v>
      </c>
      <c r="I118" s="387">
        <f>VLOOKUP($A118&amp;"NCP ONPK",'E11 - 2014 09 Final'!$A$46:$Q$1704,$I$115,FALSE)</f>
        <v>424623</v>
      </c>
      <c r="J118" s="387">
        <f>VLOOKUP($A118&amp;"NCP ONPK",'E11 - 2014 09 Final'!$A$46:$Q$1704,$J$115,FALSE)</f>
        <v>429420</v>
      </c>
      <c r="K118" s="387">
        <f>VLOOKUP($A118&amp;"NCP ONPK",'E11 - 2014 09 Final'!$A$46:$Q$1704,$K$115,FALSE)</f>
        <v>444510</v>
      </c>
      <c r="L118" s="387">
        <f>VLOOKUP($A118&amp;"NCP ONPK",'E11 - 2014 09 Final'!$A$46:$Q$1704,$L$115,FALSE)</f>
        <v>417772</v>
      </c>
      <c r="M118" s="387">
        <f>VLOOKUP($A118&amp;"NCP ONPK",'E11 - 2014 09 Final'!$A$46:$Q$1704,$M$115,FALSE)</f>
        <v>431318</v>
      </c>
      <c r="N118" s="387">
        <f>VLOOKUP($A118&amp;"NCP ONPK",'E11 - 2014 09 Final'!$A$46:$Q$1704,$N$115,FALSE)</f>
        <v>405654</v>
      </c>
      <c r="O118" s="384">
        <f t="shared" ref="O118:O134" si="21">SUM(C118:N118)</f>
        <v>5105982</v>
      </c>
      <c r="P118" s="385">
        <f t="shared" ref="P118:P134" si="22">MAX(C118:N118)</f>
        <v>444510</v>
      </c>
    </row>
    <row r="119" spans="1:16">
      <c r="A119" s="350" t="s">
        <v>177</v>
      </c>
      <c r="B119" s="382" t="s">
        <v>85</v>
      </c>
      <c r="C119" s="387">
        <f>VLOOKUP($A119&amp;"NCP ONPK",'E11 - 2014 09 Final'!$A$46:$Q$1704,$C$115,FALSE)</f>
        <v>30378</v>
      </c>
      <c r="D119" s="387">
        <f>VLOOKUP($A119&amp;"NCP ONPK",'E11 - 2014 09 Final'!$A$46:$Q$1704,$D$115,FALSE)</f>
        <v>30669</v>
      </c>
      <c r="E119" s="387">
        <f>VLOOKUP($A119&amp;"NCP ONPK",'E11 - 2014 09 Final'!$A$46:$Q$1704,$E$115,FALSE)</f>
        <v>27127</v>
      </c>
      <c r="F119" s="387">
        <f>VLOOKUP($A119&amp;"NCP ONPK",'E11 - 2014 09 Final'!$A$46:$Q$1704,$F$115,FALSE)</f>
        <v>29389</v>
      </c>
      <c r="G119" s="387">
        <f>VLOOKUP($A119&amp;"NCP ONPK",'E11 - 2014 09 Final'!$A$46:$Q$1704,$G$115,FALSE)</f>
        <v>21278</v>
      </c>
      <c r="H119" s="387">
        <f>VLOOKUP($A119&amp;"NCP ONPK",'E11 - 2014 09 Final'!$A$46:$Q$1704,$H$115,FALSE)</f>
        <v>23294</v>
      </c>
      <c r="I119" s="387">
        <f>VLOOKUP($A119&amp;"NCP ONPK",'E11 - 2014 09 Final'!$A$46:$Q$1704,$I$115,FALSE)</f>
        <v>22055</v>
      </c>
      <c r="J119" s="387">
        <f>VLOOKUP($A119&amp;"NCP ONPK",'E11 - 2014 09 Final'!$A$46:$Q$1704,$J$115,FALSE)</f>
        <v>21937</v>
      </c>
      <c r="K119" s="387">
        <f>VLOOKUP($A119&amp;"NCP ONPK",'E11 - 2014 09 Final'!$A$46:$Q$1704,$K$115,FALSE)</f>
        <v>22186</v>
      </c>
      <c r="L119" s="387">
        <f>VLOOKUP($A119&amp;"NCP ONPK",'E11 - 2014 09 Final'!$A$46:$Q$1704,$L$115,FALSE)</f>
        <v>20172</v>
      </c>
      <c r="M119" s="387">
        <f>VLOOKUP($A119&amp;"NCP ONPK",'E11 - 2014 09 Final'!$A$46:$Q$1704,$M$115,FALSE)</f>
        <v>20445</v>
      </c>
      <c r="N119" s="387">
        <f>VLOOKUP($A119&amp;"NCP ONPK",'E11 - 2014 09 Final'!$A$46:$Q$1704,$N$115,FALSE)</f>
        <v>19153</v>
      </c>
      <c r="O119" s="384">
        <f t="shared" si="21"/>
        <v>288083</v>
      </c>
      <c r="P119" s="385">
        <f t="shared" si="22"/>
        <v>30669</v>
      </c>
    </row>
    <row r="120" spans="1:16">
      <c r="A120" s="350" t="s">
        <v>185</v>
      </c>
      <c r="B120" s="382" t="s">
        <v>50</v>
      </c>
      <c r="C120" s="387">
        <f>VLOOKUP($A120&amp;"NCP ONPK",'E11 - 2014 09 Final'!$A$46:$Q$1704,$C$115,FALSE)</f>
        <v>192399</v>
      </c>
      <c r="D120" s="387">
        <f>VLOOKUP($A120&amp;"NCP ONPK",'E11 - 2014 09 Final'!$A$46:$Q$1704,$D$115,FALSE)</f>
        <v>194679</v>
      </c>
      <c r="E120" s="387">
        <f>VLOOKUP($A120&amp;"NCP ONPK",'E11 - 2014 09 Final'!$A$46:$Q$1704,$E$115,FALSE)</f>
        <v>198144</v>
      </c>
      <c r="F120" s="387">
        <f>VLOOKUP($A120&amp;"NCP ONPK",'E11 - 2014 09 Final'!$A$46:$Q$1704,$F$115,FALSE)</f>
        <v>208509</v>
      </c>
      <c r="G120" s="387">
        <f>VLOOKUP($A120&amp;"NCP ONPK",'E11 - 2014 09 Final'!$A$46:$Q$1704,$G$115,FALSE)</f>
        <v>215659</v>
      </c>
      <c r="H120" s="387">
        <f>VLOOKUP($A120&amp;"NCP ONPK",'E11 - 2014 09 Final'!$A$46:$Q$1704,$H$115,FALSE)</f>
        <v>216795</v>
      </c>
      <c r="I120" s="387">
        <f>VLOOKUP($A120&amp;"NCP ONPK",'E11 - 2014 09 Final'!$A$46:$Q$1704,$I$115,FALSE)</f>
        <v>214928</v>
      </c>
      <c r="J120" s="387">
        <f>VLOOKUP($A120&amp;"NCP ONPK",'E11 - 2014 09 Final'!$A$46:$Q$1704,$J$115,FALSE)</f>
        <v>213280</v>
      </c>
      <c r="K120" s="387">
        <f>VLOOKUP($A120&amp;"NCP ONPK",'E11 - 2014 09 Final'!$A$46:$Q$1704,$K$115,FALSE)</f>
        <v>215080</v>
      </c>
      <c r="L120" s="387">
        <f>VLOOKUP($A120&amp;"NCP ONPK",'E11 - 2014 09 Final'!$A$46:$Q$1704,$L$115,FALSE)</f>
        <v>210796</v>
      </c>
      <c r="M120" s="387">
        <f>VLOOKUP($A120&amp;"NCP ONPK",'E11 - 2014 09 Final'!$A$46:$Q$1704,$M$115,FALSE)</f>
        <v>207125</v>
      </c>
      <c r="N120" s="387">
        <f>VLOOKUP($A120&amp;"NCP ONPK",'E11 - 2014 09 Final'!$A$46:$Q$1704,$N$115,FALSE)</f>
        <v>200564</v>
      </c>
      <c r="O120" s="384">
        <f t="shared" si="21"/>
        <v>2487958</v>
      </c>
      <c r="P120" s="385">
        <f t="shared" si="22"/>
        <v>216795</v>
      </c>
    </row>
    <row r="121" spans="1:16">
      <c r="A121" s="350" t="s">
        <v>632</v>
      </c>
      <c r="B121" s="382" t="s">
        <v>49</v>
      </c>
      <c r="C121" s="387">
        <f>VLOOKUP($A121&amp;"NCP ONPK",'E11 - 2014 09 Final'!$A$46:$Q$1704,$C$115,FALSE)</f>
        <v>2162075</v>
      </c>
      <c r="D121" s="387">
        <f>VLOOKUP($A121&amp;"NCP ONPK",'E11 - 2014 09 Final'!$A$46:$Q$1704,$D$115,FALSE)</f>
        <v>1992059</v>
      </c>
      <c r="E121" s="387">
        <f>VLOOKUP($A121&amp;"NCP ONPK",'E11 - 2014 09 Final'!$A$46:$Q$1704,$E$115,FALSE)</f>
        <v>1851713</v>
      </c>
      <c r="F121" s="387">
        <f>VLOOKUP($A121&amp;"NCP ONPK",'E11 - 2014 09 Final'!$A$46:$Q$1704,$F$115,FALSE)</f>
        <v>2125517</v>
      </c>
      <c r="G121" s="387">
        <f>VLOOKUP($A121&amp;"NCP ONPK",'E11 - 2014 09 Final'!$A$46:$Q$1704,$G$115,FALSE)</f>
        <v>2278361</v>
      </c>
      <c r="H121" s="387">
        <f>VLOOKUP($A121&amp;"NCP ONPK",'E11 - 2014 09 Final'!$A$46:$Q$1704,$H$115,FALSE)</f>
        <v>2450736</v>
      </c>
      <c r="I121" s="387">
        <f>VLOOKUP($A121&amp;"NCP ONPK",'E11 - 2014 09 Final'!$A$46:$Q$1704,$I$115,FALSE)</f>
        <v>2343515</v>
      </c>
      <c r="J121" s="387">
        <f>VLOOKUP($A121&amp;"NCP ONPK",'E11 - 2014 09 Final'!$A$46:$Q$1704,$J$115,FALSE)</f>
        <v>1986834</v>
      </c>
      <c r="K121" s="387">
        <f>VLOOKUP($A121&amp;"NCP ONPK",'E11 - 2014 09 Final'!$A$46:$Q$1704,$K$115,FALSE)</f>
        <v>2077347</v>
      </c>
      <c r="L121" s="387">
        <f>VLOOKUP($A121&amp;"NCP ONPK",'E11 - 2014 09 Final'!$A$46:$Q$1704,$L$115,FALSE)</f>
        <v>1897320</v>
      </c>
      <c r="M121" s="387">
        <f>VLOOKUP($A121&amp;"NCP ONPK",'E11 - 2014 09 Final'!$A$46:$Q$1704,$M$115,FALSE)</f>
        <v>1803435</v>
      </c>
      <c r="N121" s="387">
        <f>VLOOKUP($A121&amp;"NCP ONPK",'E11 - 2014 09 Final'!$A$46:$Q$1704,$N$115,FALSE)</f>
        <v>1653334</v>
      </c>
      <c r="O121" s="384">
        <f t="shared" si="21"/>
        <v>24622246</v>
      </c>
      <c r="P121" s="385">
        <f t="shared" si="22"/>
        <v>2450736</v>
      </c>
    </row>
    <row r="122" spans="1:16">
      <c r="A122" s="350" t="s">
        <v>640</v>
      </c>
      <c r="B122" s="381" t="s">
        <v>325</v>
      </c>
      <c r="C122" s="387">
        <f>VLOOKUP($A122&amp;"NCP ONPK",'E11 - 2014 09 Final'!$A$46:$Q$1704,$C$115,FALSE)</f>
        <v>11612</v>
      </c>
      <c r="D122" s="387">
        <f>VLOOKUP($A122&amp;"NCP ONPK",'E11 - 2014 09 Final'!$A$46:$Q$1704,$D$115,FALSE)</f>
        <v>11683</v>
      </c>
      <c r="E122" s="387">
        <f>VLOOKUP($A122&amp;"NCP ONPK",'E11 - 2014 09 Final'!$A$46:$Q$1704,$E$115,FALSE)</f>
        <v>10124</v>
      </c>
      <c r="F122" s="387">
        <f>VLOOKUP($A122&amp;"NCP ONPK",'E11 - 2014 09 Final'!$A$46:$Q$1704,$F$115,FALSE)</f>
        <v>10915</v>
      </c>
      <c r="G122" s="387">
        <f>VLOOKUP($A122&amp;"NCP ONPK",'E11 - 2014 09 Final'!$A$46:$Q$1704,$G$115,FALSE)</f>
        <v>10908</v>
      </c>
      <c r="H122" s="387">
        <f>VLOOKUP($A122&amp;"NCP ONPK",'E11 - 2014 09 Final'!$A$46:$Q$1704,$H$115,FALSE)</f>
        <v>11819</v>
      </c>
      <c r="I122" s="387">
        <f>VLOOKUP($A122&amp;"NCP ONPK",'E11 - 2014 09 Final'!$A$46:$Q$1704,$I$115,FALSE)</f>
        <v>11061</v>
      </c>
      <c r="J122" s="387">
        <f>VLOOKUP($A122&amp;"NCP ONPK",'E11 - 2014 09 Final'!$A$46:$Q$1704,$J$115,FALSE)</f>
        <v>9676</v>
      </c>
      <c r="K122" s="387">
        <f>VLOOKUP($A122&amp;"NCP ONPK",'E11 - 2014 09 Final'!$A$46:$Q$1704,$K$115,FALSE)</f>
        <v>9877</v>
      </c>
      <c r="L122" s="387">
        <f>VLOOKUP($A122&amp;"NCP ONPK",'E11 - 2014 09 Final'!$A$46:$Q$1704,$L$115,FALSE)</f>
        <v>9380</v>
      </c>
      <c r="M122" s="387">
        <f>VLOOKUP($A122&amp;"NCP ONPK",'E11 - 2014 09 Final'!$A$46:$Q$1704,$M$115,FALSE)</f>
        <v>9124</v>
      </c>
      <c r="N122" s="387">
        <f>VLOOKUP($A122&amp;"NCP ONPK",'E11 - 2014 09 Final'!$A$46:$Q$1704,$N$115,FALSE)</f>
        <v>9034</v>
      </c>
      <c r="O122" s="384">
        <f t="shared" si="21"/>
        <v>125213</v>
      </c>
      <c r="P122" s="385">
        <f t="shared" si="22"/>
        <v>11819</v>
      </c>
    </row>
    <row r="123" spans="1:16">
      <c r="A123" s="350" t="s">
        <v>651</v>
      </c>
      <c r="B123" s="382" t="s">
        <v>67</v>
      </c>
      <c r="C123" s="387">
        <f>VLOOKUP($A123&amp;"NCP ONPK",'E11 - 2014 09 Final'!$A$46:$Q$1704,$C$115,FALSE)</f>
        <v>5716501</v>
      </c>
      <c r="D123" s="387">
        <f>VLOOKUP($A123&amp;"NCP ONPK",'E11 - 2014 09 Final'!$A$46:$Q$1704,$D$115,FALSE)</f>
        <v>5376733</v>
      </c>
      <c r="E123" s="387">
        <f>VLOOKUP($A123&amp;"NCP ONPK",'E11 - 2014 09 Final'!$A$46:$Q$1704,$E$115,FALSE)</f>
        <v>4949407</v>
      </c>
      <c r="F123" s="387">
        <f>VLOOKUP($A123&amp;"NCP ONPK",'E11 - 2014 09 Final'!$A$46:$Q$1704,$F$115,FALSE)</f>
        <v>5359575</v>
      </c>
      <c r="G123" s="387">
        <f>VLOOKUP($A123&amp;"NCP ONPK",'E11 - 2014 09 Final'!$A$46:$Q$1704,$G$115,FALSE)</f>
        <v>5534741</v>
      </c>
      <c r="H123" s="387">
        <f>VLOOKUP($A123&amp;"NCP ONPK",'E11 - 2014 09 Final'!$A$46:$Q$1704,$H$115,FALSE)</f>
        <v>5746465</v>
      </c>
      <c r="I123" s="387">
        <f>VLOOKUP($A123&amp;"NCP ONPK",'E11 - 2014 09 Final'!$A$46:$Q$1704,$I$115,FALSE)</f>
        <v>5670898</v>
      </c>
      <c r="J123" s="387">
        <f>VLOOKUP($A123&amp;"NCP ONPK",'E11 - 2014 09 Final'!$A$46:$Q$1704,$J$115,FALSE)</f>
        <v>5798934</v>
      </c>
      <c r="K123" s="387">
        <f>VLOOKUP($A123&amp;"NCP ONPK",'E11 - 2014 09 Final'!$A$46:$Q$1704,$K$115,FALSE)</f>
        <v>6114629</v>
      </c>
      <c r="L123" s="387">
        <f>VLOOKUP($A123&amp;"NCP ONPK",'E11 - 2014 09 Final'!$A$46:$Q$1704,$L$115,FALSE)</f>
        <v>5696449</v>
      </c>
      <c r="M123" s="387">
        <f>VLOOKUP($A123&amp;"NCP ONPK",'E11 - 2014 09 Final'!$A$46:$Q$1704,$M$115,FALSE)</f>
        <v>5770478</v>
      </c>
      <c r="N123" s="387">
        <f>VLOOKUP($A123&amp;"NCP ONPK",'E11 - 2014 09 Final'!$A$46:$Q$1704,$N$115,FALSE)</f>
        <v>5081223</v>
      </c>
      <c r="O123" s="384">
        <f t="shared" si="21"/>
        <v>66816033</v>
      </c>
      <c r="P123" s="385">
        <f t="shared" si="22"/>
        <v>6114629</v>
      </c>
    </row>
    <row r="124" spans="1:16">
      <c r="A124" s="350" t="s">
        <v>656</v>
      </c>
      <c r="B124" s="382" t="s">
        <v>68</v>
      </c>
      <c r="C124" s="387">
        <f>VLOOKUP($A124&amp;"NCP ONPK",'E11 - 2014 09 Final'!$A$46:$Q$1704,$C$115,FALSE)</f>
        <v>1790175</v>
      </c>
      <c r="D124" s="387">
        <f>VLOOKUP($A124&amp;"NCP ONPK",'E11 - 2014 09 Final'!$A$46:$Q$1704,$D$115,FALSE)</f>
        <v>1769283</v>
      </c>
      <c r="E124" s="387">
        <f>VLOOKUP($A124&amp;"NCP ONPK",'E11 - 2014 09 Final'!$A$46:$Q$1704,$E$115,FALSE)</f>
        <v>1620032</v>
      </c>
      <c r="F124" s="387">
        <f>VLOOKUP($A124&amp;"NCP ONPK",'E11 - 2014 09 Final'!$A$46:$Q$1704,$F$115,FALSE)</f>
        <v>1772133</v>
      </c>
      <c r="G124" s="387">
        <f>VLOOKUP($A124&amp;"NCP ONPK",'E11 - 2014 09 Final'!$A$46:$Q$1704,$G$115,FALSE)</f>
        <v>1888051</v>
      </c>
      <c r="H124" s="387">
        <f>VLOOKUP($A124&amp;"NCP ONPK",'E11 - 2014 09 Final'!$A$46:$Q$1704,$H$115,FALSE)</f>
        <v>1973350</v>
      </c>
      <c r="I124" s="387">
        <f>VLOOKUP($A124&amp;"NCP ONPK",'E11 - 2014 09 Final'!$A$46:$Q$1704,$I$115,FALSE)</f>
        <v>1888617</v>
      </c>
      <c r="J124" s="387">
        <f>VLOOKUP($A124&amp;"NCP ONPK",'E11 - 2014 09 Final'!$A$46:$Q$1704,$J$115,FALSE)</f>
        <v>2010001</v>
      </c>
      <c r="K124" s="387">
        <f>VLOOKUP($A124&amp;"NCP ONPK",'E11 - 2014 09 Final'!$A$46:$Q$1704,$K$115,FALSE)</f>
        <v>2121214</v>
      </c>
      <c r="L124" s="387">
        <f>VLOOKUP($A124&amp;"NCP ONPK",'E11 - 2014 09 Final'!$A$46:$Q$1704,$L$115,FALSE)</f>
        <v>1952370</v>
      </c>
      <c r="M124" s="387">
        <f>VLOOKUP($A124&amp;"NCP ONPK",'E11 - 2014 09 Final'!$A$46:$Q$1704,$M$115,FALSE)</f>
        <v>1963133</v>
      </c>
      <c r="N124" s="387">
        <f>VLOOKUP($A124&amp;"NCP ONPK",'E11 - 2014 09 Final'!$A$46:$Q$1704,$N$115,FALSE)</f>
        <v>1783906</v>
      </c>
      <c r="O124" s="384">
        <f t="shared" si="21"/>
        <v>22532265</v>
      </c>
      <c r="P124" s="385">
        <f t="shared" si="22"/>
        <v>2121214</v>
      </c>
    </row>
    <row r="125" spans="1:16">
      <c r="A125" s="350" t="s">
        <v>713</v>
      </c>
      <c r="B125" s="382" t="s">
        <v>69</v>
      </c>
      <c r="C125" s="387">
        <f>VLOOKUP($A125&amp;"NCP ONPK",'E11 - 2014 09 Final'!$A$46:$Q$1704,$C$115,FALSE)</f>
        <v>379439</v>
      </c>
      <c r="D125" s="387">
        <f>VLOOKUP($A125&amp;"NCP ONPK",'E11 - 2014 09 Final'!$A$46:$Q$1704,$D$115,FALSE)</f>
        <v>358179</v>
      </c>
      <c r="E125" s="387">
        <f>VLOOKUP($A125&amp;"NCP ONPK",'E11 - 2014 09 Final'!$A$46:$Q$1704,$E$115,FALSE)</f>
        <v>325696</v>
      </c>
      <c r="F125" s="387">
        <f>VLOOKUP($A125&amp;"NCP ONPK",'E11 - 2014 09 Final'!$A$46:$Q$1704,$F$115,FALSE)</f>
        <v>348926</v>
      </c>
      <c r="G125" s="387">
        <f>VLOOKUP($A125&amp;"NCP ONPK",'E11 - 2014 09 Final'!$A$46:$Q$1704,$G$115,FALSE)</f>
        <v>357202</v>
      </c>
      <c r="H125" s="387">
        <f>VLOOKUP($A125&amp;"NCP ONPK",'E11 - 2014 09 Final'!$A$46:$Q$1704,$H$115,FALSE)</f>
        <v>386208</v>
      </c>
      <c r="I125" s="387">
        <f>VLOOKUP($A125&amp;"NCP ONPK",'E11 - 2014 09 Final'!$A$46:$Q$1704,$I$115,FALSE)</f>
        <v>374619</v>
      </c>
      <c r="J125" s="387">
        <f>VLOOKUP($A125&amp;"NCP ONPK",'E11 - 2014 09 Final'!$A$46:$Q$1704,$J$115,FALSE)</f>
        <v>398083</v>
      </c>
      <c r="K125" s="387">
        <f>VLOOKUP($A125&amp;"NCP ONPK",'E11 - 2014 09 Final'!$A$46:$Q$1704,$K$115,FALSE)</f>
        <v>414868</v>
      </c>
      <c r="L125" s="387">
        <f>VLOOKUP($A125&amp;"NCP ONPK",'E11 - 2014 09 Final'!$A$46:$Q$1704,$L$115,FALSE)</f>
        <v>366726</v>
      </c>
      <c r="M125" s="387">
        <f>VLOOKUP($A125&amp;"NCP ONPK",'E11 - 2014 09 Final'!$A$46:$Q$1704,$M$115,FALSE)</f>
        <v>380213</v>
      </c>
      <c r="N125" s="387">
        <f>VLOOKUP($A125&amp;"NCP ONPK",'E11 - 2014 09 Final'!$A$46:$Q$1704,$N$115,FALSE)</f>
        <v>348320</v>
      </c>
      <c r="O125" s="384">
        <f t="shared" si="21"/>
        <v>4438479</v>
      </c>
      <c r="P125" s="385">
        <f t="shared" si="22"/>
        <v>414868</v>
      </c>
    </row>
    <row r="126" spans="1:16">
      <c r="A126" s="350" t="s">
        <v>717</v>
      </c>
      <c r="B126" s="382" t="s">
        <v>52</v>
      </c>
      <c r="C126" s="387">
        <f>VLOOKUP($A126&amp;"NCP ONPK",'E11 - 2014 09 Final'!$A$46:$Q$1704,$C$115,FALSE)</f>
        <v>23754</v>
      </c>
      <c r="D126" s="387">
        <f>VLOOKUP($A126&amp;"NCP ONPK",'E11 - 2014 09 Final'!$A$46:$Q$1704,$D$115,FALSE)</f>
        <v>23713</v>
      </c>
      <c r="E126" s="387">
        <f>VLOOKUP($A126&amp;"NCP ONPK",'E11 - 2014 09 Final'!$A$46:$Q$1704,$E$115,FALSE)</f>
        <v>22811</v>
      </c>
      <c r="F126" s="387">
        <f>VLOOKUP($A126&amp;"NCP ONPK",'E11 - 2014 09 Final'!$A$46:$Q$1704,$F$115,FALSE)</f>
        <v>36751</v>
      </c>
      <c r="G126" s="387">
        <f>VLOOKUP($A126&amp;"NCP ONPK",'E11 - 2014 09 Final'!$A$46:$Q$1704,$G$115,FALSE)</f>
        <v>37272</v>
      </c>
      <c r="H126" s="387">
        <f>VLOOKUP($A126&amp;"NCP ONPK",'E11 - 2014 09 Final'!$A$46:$Q$1704,$H$115,FALSE)</f>
        <v>22695</v>
      </c>
      <c r="I126" s="387">
        <f>VLOOKUP($A126&amp;"NCP ONPK",'E11 - 2014 09 Final'!$A$46:$Q$1704,$I$115,FALSE)</f>
        <v>23234</v>
      </c>
      <c r="J126" s="387">
        <f>VLOOKUP($A126&amp;"NCP ONPK",'E11 - 2014 09 Final'!$A$46:$Q$1704,$J$115,FALSE)</f>
        <v>30116</v>
      </c>
      <c r="K126" s="387">
        <f>VLOOKUP($A126&amp;"NCP ONPK",'E11 - 2014 09 Final'!$A$46:$Q$1704,$K$115,FALSE)</f>
        <v>23246</v>
      </c>
      <c r="L126" s="387">
        <f>VLOOKUP($A126&amp;"NCP ONPK",'E11 - 2014 09 Final'!$A$46:$Q$1704,$L$115,FALSE)</f>
        <v>28844</v>
      </c>
      <c r="M126" s="387">
        <f>VLOOKUP($A126&amp;"NCP ONPK",'E11 - 2014 09 Final'!$A$46:$Q$1704,$M$115,FALSE)</f>
        <v>21652</v>
      </c>
      <c r="N126" s="387">
        <f>VLOOKUP($A126&amp;"NCP ONPK",'E11 - 2014 09 Final'!$A$46:$Q$1704,$N$115,FALSE)</f>
        <v>28262</v>
      </c>
      <c r="O126" s="384">
        <f t="shared" si="21"/>
        <v>322350</v>
      </c>
      <c r="P126" s="385">
        <f t="shared" si="22"/>
        <v>37272</v>
      </c>
    </row>
    <row r="127" spans="1:16">
      <c r="A127" s="350" t="s">
        <v>15</v>
      </c>
      <c r="B127" s="381" t="s">
        <v>15</v>
      </c>
      <c r="C127" s="387"/>
      <c r="D127" s="387"/>
      <c r="E127" s="387"/>
      <c r="F127" s="387"/>
      <c r="G127" s="387"/>
      <c r="H127" s="387"/>
      <c r="I127" s="387"/>
      <c r="J127" s="387"/>
      <c r="K127" s="387"/>
      <c r="L127" s="387"/>
      <c r="M127" s="387"/>
      <c r="N127" s="387"/>
      <c r="O127" s="384"/>
      <c r="P127" s="385">
        <f t="shared" si="22"/>
        <v>0</v>
      </c>
    </row>
    <row r="128" spans="1:16">
      <c r="A128" s="350" t="s">
        <v>19</v>
      </c>
      <c r="B128" s="382" t="s">
        <v>56</v>
      </c>
      <c r="C128" s="387">
        <f>VLOOKUP($A128&amp;"NCP ONPK",'E11 - 2014 09 Final'!$A$46:$Q$1704,$C$115,FALSE)</f>
        <v>20308</v>
      </c>
      <c r="D128" s="387">
        <f>VLOOKUP($A128&amp;"NCP ONPK",'E11 - 2014 09 Final'!$A$46:$Q$1704,$D$115,FALSE)</f>
        <v>23536</v>
      </c>
      <c r="E128" s="387">
        <f>VLOOKUP($A128&amp;"NCP ONPK",'E11 - 2014 09 Final'!$A$46:$Q$1704,$E$115,FALSE)</f>
        <v>22679</v>
      </c>
      <c r="F128" s="387">
        <f>VLOOKUP($A128&amp;"NCP ONPK",'E11 - 2014 09 Final'!$A$46:$Q$1704,$F$115,FALSE)</f>
        <v>24797</v>
      </c>
      <c r="G128" s="387">
        <f>VLOOKUP($A128&amp;"NCP ONPK",'E11 - 2014 09 Final'!$A$46:$Q$1704,$G$115,FALSE)</f>
        <v>25707</v>
      </c>
      <c r="H128" s="387">
        <f>VLOOKUP($A128&amp;"NCP ONPK",'E11 - 2014 09 Final'!$A$46:$Q$1704,$H$115,FALSE)</f>
        <v>23578</v>
      </c>
      <c r="I128" s="387">
        <f>VLOOKUP($A128&amp;"NCP ONPK",'E11 - 2014 09 Final'!$A$46:$Q$1704,$I$115,FALSE)</f>
        <v>22608</v>
      </c>
      <c r="J128" s="387">
        <f>VLOOKUP($A128&amp;"NCP ONPK",'E11 - 2014 09 Final'!$A$46:$Q$1704,$J$115,FALSE)</f>
        <v>24714</v>
      </c>
      <c r="K128" s="387">
        <f>VLOOKUP($A128&amp;"NCP ONPK",'E11 - 2014 09 Final'!$A$46:$Q$1704,$K$115,FALSE)</f>
        <v>23891</v>
      </c>
      <c r="L128" s="387">
        <f>VLOOKUP($A128&amp;"NCP ONPK",'E11 - 2014 09 Final'!$A$46:$Q$1704,$L$115,FALSE)</f>
        <v>21754</v>
      </c>
      <c r="M128" s="387">
        <f>VLOOKUP($A128&amp;"NCP ONPK",'E11 - 2014 09 Final'!$A$46:$Q$1704,$M$115,FALSE)</f>
        <v>21117</v>
      </c>
      <c r="N128" s="387">
        <f>VLOOKUP($A128&amp;"NCP ONPK",'E11 - 2014 09 Final'!$A$46:$Q$1704,$N$115,FALSE)</f>
        <v>20192</v>
      </c>
      <c r="O128" s="384">
        <f t="shared" si="21"/>
        <v>274881</v>
      </c>
      <c r="P128" s="385">
        <f t="shared" si="22"/>
        <v>25707</v>
      </c>
    </row>
    <row r="129" spans="1:16">
      <c r="A129" s="350" t="s">
        <v>22</v>
      </c>
      <c r="B129" s="382" t="s">
        <v>57</v>
      </c>
      <c r="C129" s="387">
        <f>VLOOKUP($A129&amp;"NCP ONPK",'E11 - 2014 09 Final'!$A$46:$Q$1704,$C$115,FALSE)</f>
        <v>12459</v>
      </c>
      <c r="D129" s="387">
        <f>VLOOKUP($A129&amp;"NCP ONPK",'E11 - 2014 09 Final'!$A$46:$Q$1704,$D$115,FALSE)</f>
        <v>14020</v>
      </c>
      <c r="E129" s="387">
        <f>VLOOKUP($A129&amp;"NCP ONPK",'E11 - 2014 09 Final'!$A$46:$Q$1704,$E$115,FALSE)</f>
        <v>15175</v>
      </c>
      <c r="F129" s="387">
        <f>VLOOKUP($A129&amp;"NCP ONPK",'E11 - 2014 09 Final'!$A$46:$Q$1704,$F$115,FALSE)</f>
        <v>13601</v>
      </c>
      <c r="G129" s="387">
        <f>VLOOKUP($A129&amp;"NCP ONPK",'E11 - 2014 09 Final'!$A$46:$Q$1704,$G$115,FALSE)</f>
        <v>13484</v>
      </c>
      <c r="H129" s="387">
        <f>VLOOKUP($A129&amp;"NCP ONPK",'E11 - 2014 09 Final'!$A$46:$Q$1704,$H$115,FALSE)</f>
        <v>11977</v>
      </c>
      <c r="I129" s="387">
        <f>VLOOKUP($A129&amp;"NCP ONPK",'E11 - 2014 09 Final'!$A$46:$Q$1704,$I$115,FALSE)</f>
        <v>9023</v>
      </c>
      <c r="J129" s="387">
        <f>VLOOKUP($A129&amp;"NCP ONPK",'E11 - 2014 09 Final'!$A$46:$Q$1704,$J$115,FALSE)</f>
        <v>9868</v>
      </c>
      <c r="K129" s="387">
        <f>VLOOKUP($A129&amp;"NCP ONPK",'E11 - 2014 09 Final'!$A$46:$Q$1704,$K$115,FALSE)</f>
        <v>13741</v>
      </c>
      <c r="L129" s="387">
        <f>VLOOKUP($A129&amp;"NCP ONPK",'E11 - 2014 09 Final'!$A$46:$Q$1704,$L$115,FALSE)</f>
        <v>13041</v>
      </c>
      <c r="M129" s="387">
        <f>VLOOKUP($A129&amp;"NCP ONPK",'E11 - 2014 09 Final'!$A$46:$Q$1704,$M$115,FALSE)</f>
        <v>15484</v>
      </c>
      <c r="N129" s="387">
        <f>VLOOKUP($A129&amp;"NCP ONPK",'E11 - 2014 09 Final'!$A$46:$Q$1704,$N$115,FALSE)</f>
        <v>14318</v>
      </c>
      <c r="O129" s="384">
        <f t="shared" si="21"/>
        <v>156191</v>
      </c>
      <c r="P129" s="385">
        <f t="shared" si="22"/>
        <v>15484</v>
      </c>
    </row>
    <row r="130" spans="1:16">
      <c r="A130" s="350" t="s">
        <v>687</v>
      </c>
      <c r="B130" s="382" t="s">
        <v>48</v>
      </c>
      <c r="C130" s="387">
        <f>VLOOKUP($A130&amp;"NCP ONPK",'E11 - 2014 09 Final'!$A$46:$Q$1704,$C$115,FALSE)</f>
        <v>27391882</v>
      </c>
      <c r="D130" s="387">
        <f>VLOOKUP($A130&amp;"NCP ONPK",'E11 - 2014 09 Final'!$A$46:$Q$1704,$D$115,FALSE)</f>
        <v>23493714</v>
      </c>
      <c r="E130" s="387">
        <f>VLOOKUP($A130&amp;"NCP ONPK",'E11 - 2014 09 Final'!$A$46:$Q$1704,$E$115,FALSE)</f>
        <v>20209655</v>
      </c>
      <c r="F130" s="387">
        <f>VLOOKUP($A130&amp;"NCP ONPK",'E11 - 2014 09 Final'!$A$46:$Q$1704,$F$115,FALSE)</f>
        <v>21036145</v>
      </c>
      <c r="G130" s="387">
        <f>VLOOKUP($A130&amp;"NCP ONPK",'E11 - 2014 09 Final'!$A$46:$Q$1704,$G$115,FALSE)</f>
        <v>21581543</v>
      </c>
      <c r="H130" s="387">
        <f>VLOOKUP($A130&amp;"NCP ONPK",'E11 - 2014 09 Final'!$A$46:$Q$1704,$H$115,FALSE)</f>
        <v>22673132</v>
      </c>
      <c r="I130" s="387">
        <f>VLOOKUP($A130&amp;"NCP ONPK",'E11 - 2014 09 Final'!$A$46:$Q$1704,$I$115,FALSE)</f>
        <v>22588857</v>
      </c>
      <c r="J130" s="387">
        <f>VLOOKUP($A130&amp;"NCP ONPK",'E11 - 2014 09 Final'!$A$46:$Q$1704,$J$115,FALSE)</f>
        <v>22947321</v>
      </c>
      <c r="K130" s="387">
        <f>VLOOKUP($A130&amp;"NCP ONPK",'E11 - 2014 09 Final'!$A$46:$Q$1704,$K$115,FALSE)</f>
        <v>25701682</v>
      </c>
      <c r="L130" s="387">
        <f>VLOOKUP($A130&amp;"NCP ONPK",'E11 - 2014 09 Final'!$A$46:$Q$1704,$L$115,FALSE)</f>
        <v>23442680</v>
      </c>
      <c r="M130" s="387">
        <f>VLOOKUP($A130&amp;"NCP ONPK",'E11 - 2014 09 Final'!$A$46:$Q$1704,$M$115,FALSE)</f>
        <v>23229953</v>
      </c>
      <c r="N130" s="387">
        <f>VLOOKUP($A130&amp;"NCP ONPK",'E11 - 2014 09 Final'!$A$46:$Q$1704,$N$115,FALSE)</f>
        <v>23819641</v>
      </c>
      <c r="O130" s="384">
        <f t="shared" si="21"/>
        <v>278116205</v>
      </c>
      <c r="P130" s="385">
        <f t="shared" si="22"/>
        <v>27391882</v>
      </c>
    </row>
    <row r="131" spans="1:16">
      <c r="A131" s="350" t="s">
        <v>35</v>
      </c>
      <c r="B131" s="382" t="s">
        <v>53</v>
      </c>
      <c r="C131" s="387">
        <f>VLOOKUP($A131&amp;"NCP ONPK",'E11 - 2014 09 Final'!$A$46:$Q$1704,$C$115,FALSE)</f>
        <v>98671</v>
      </c>
      <c r="D131" s="387">
        <f>VLOOKUP($A131&amp;"NCP ONPK",'E11 - 2014 09 Final'!$A$46:$Q$1704,$D$115,FALSE)</f>
        <v>111238</v>
      </c>
      <c r="E131" s="387">
        <f>VLOOKUP($A131&amp;"NCP ONPK",'E11 - 2014 09 Final'!$A$46:$Q$1704,$E$115,FALSE)</f>
        <v>132005</v>
      </c>
      <c r="F131" s="387">
        <f>VLOOKUP($A131&amp;"NCP ONPK",'E11 - 2014 09 Final'!$A$46:$Q$1704,$F$115,FALSE)</f>
        <v>126507</v>
      </c>
      <c r="G131" s="387">
        <f>VLOOKUP($A131&amp;"NCP ONPK",'E11 - 2014 09 Final'!$A$46:$Q$1704,$G$115,FALSE)</f>
        <v>132850</v>
      </c>
      <c r="H131" s="387">
        <f>VLOOKUP($A131&amp;"NCP ONPK",'E11 - 2014 09 Final'!$A$46:$Q$1704,$H$115,FALSE)</f>
        <v>112556</v>
      </c>
      <c r="I131" s="387">
        <f>VLOOKUP($A131&amp;"NCP ONPK",'E11 - 2014 09 Final'!$A$46:$Q$1704,$I$115,FALSE)</f>
        <v>121995</v>
      </c>
      <c r="J131" s="387">
        <f>VLOOKUP($A131&amp;"NCP ONPK",'E11 - 2014 09 Final'!$A$46:$Q$1704,$J$115,FALSE)</f>
        <v>125898</v>
      </c>
      <c r="K131" s="387">
        <f>VLOOKUP($A131&amp;"NCP ONPK",'E11 - 2014 09 Final'!$A$46:$Q$1704,$K$115,FALSE)</f>
        <v>124291</v>
      </c>
      <c r="L131" s="387">
        <f>VLOOKUP($A131&amp;"NCP ONPK",'E11 - 2014 09 Final'!$A$46:$Q$1704,$L$115,FALSE)</f>
        <v>98173</v>
      </c>
      <c r="M131" s="387">
        <f>VLOOKUP($A131&amp;"NCP ONPK",'E11 - 2014 09 Final'!$A$46:$Q$1704,$M$115,FALSE)</f>
        <v>108524</v>
      </c>
      <c r="N131" s="387">
        <f>VLOOKUP($A131&amp;"NCP ONPK",'E11 - 2014 09 Final'!$A$46:$Q$1704,$N$115,FALSE)</f>
        <v>118061</v>
      </c>
      <c r="O131" s="384">
        <f t="shared" si="21"/>
        <v>1410769</v>
      </c>
      <c r="P131" s="385">
        <f t="shared" si="22"/>
        <v>132850</v>
      </c>
    </row>
    <row r="132" spans="1:16">
      <c r="A132" s="350" t="s">
        <v>38</v>
      </c>
      <c r="B132" s="382" t="s">
        <v>55</v>
      </c>
      <c r="C132" s="387">
        <f>VLOOKUP($A132&amp;"NCP ONPK",'E11 - 2014 09 Final'!$A$46:$Q$1704,$C$115,FALSE)</f>
        <v>3473</v>
      </c>
      <c r="D132" s="387">
        <f>VLOOKUP($A132&amp;"NCP ONPK",'E11 - 2014 09 Final'!$A$46:$Q$1704,$D$115,FALSE)</f>
        <v>3853</v>
      </c>
      <c r="E132" s="387">
        <f>VLOOKUP($A132&amp;"NCP ONPK",'E11 - 2014 09 Final'!$A$46:$Q$1704,$E$115,FALSE)</f>
        <v>3488</v>
      </c>
      <c r="F132" s="387">
        <f>VLOOKUP($A132&amp;"NCP ONPK",'E11 - 2014 09 Final'!$A$46:$Q$1704,$F$115,FALSE)</f>
        <v>3597</v>
      </c>
      <c r="G132" s="387">
        <f>VLOOKUP($A132&amp;"NCP ONPK",'E11 - 2014 09 Final'!$A$46:$Q$1704,$G$115,FALSE)</f>
        <v>3481</v>
      </c>
      <c r="H132" s="387">
        <f>VLOOKUP($A132&amp;"NCP ONPK",'E11 - 2014 09 Final'!$A$46:$Q$1704,$H$115,FALSE)</f>
        <v>3601</v>
      </c>
      <c r="I132" s="387">
        <f>VLOOKUP($A132&amp;"NCP ONPK",'E11 - 2014 09 Final'!$A$46:$Q$1704,$I$115,FALSE)</f>
        <v>3484</v>
      </c>
      <c r="J132" s="387">
        <f>VLOOKUP($A132&amp;"NCP ONPK",'E11 - 2014 09 Final'!$A$46:$Q$1704,$J$115,FALSE)</f>
        <v>3499</v>
      </c>
      <c r="K132" s="387">
        <f>VLOOKUP($A132&amp;"NCP ONPK",'E11 - 2014 09 Final'!$A$46:$Q$1704,$K$115,FALSE)</f>
        <v>3381</v>
      </c>
      <c r="L132" s="387">
        <f>VLOOKUP($A132&amp;"NCP ONPK",'E11 - 2014 09 Final'!$A$46:$Q$1704,$L$115,FALSE)</f>
        <v>3483</v>
      </c>
      <c r="M132" s="387">
        <f>VLOOKUP($A132&amp;"NCP ONPK",'E11 - 2014 09 Final'!$A$46:$Q$1704,$M$115,FALSE)</f>
        <v>3566</v>
      </c>
      <c r="N132" s="387">
        <f>VLOOKUP($A132&amp;"NCP ONPK",'E11 - 2014 09 Final'!$A$46:$Q$1704,$N$115,FALSE)</f>
        <v>3503</v>
      </c>
      <c r="O132" s="384">
        <f t="shared" si="21"/>
        <v>42409</v>
      </c>
      <c r="P132" s="385">
        <f t="shared" si="22"/>
        <v>3853</v>
      </c>
    </row>
    <row r="133" spans="1:16">
      <c r="A133" s="350" t="s">
        <v>40</v>
      </c>
      <c r="B133" s="382" t="s">
        <v>87</v>
      </c>
      <c r="C133" s="387">
        <f>VLOOKUP($A133&amp;"NCP ONPK",'E11 - 2014 09 Final'!$A$46:$Q$1704,$C$115,FALSE)</f>
        <v>3114</v>
      </c>
      <c r="D133" s="387">
        <f>VLOOKUP($A133&amp;"NCP ONPK",'E11 - 2014 09 Final'!$A$46:$Q$1704,$D$115,FALSE)</f>
        <v>3902</v>
      </c>
      <c r="E133" s="387">
        <f>VLOOKUP($A133&amp;"NCP ONPK",'E11 - 2014 09 Final'!$A$46:$Q$1704,$E$115,FALSE)</f>
        <v>5818</v>
      </c>
      <c r="F133" s="387">
        <f>VLOOKUP($A133&amp;"NCP ONPK",'E11 - 2014 09 Final'!$A$46:$Q$1704,$F$115,FALSE)</f>
        <v>4539</v>
      </c>
      <c r="G133" s="387">
        <f>VLOOKUP($A133&amp;"NCP ONPK",'E11 - 2014 09 Final'!$A$46:$Q$1704,$G$115,FALSE)</f>
        <v>5488</v>
      </c>
      <c r="H133" s="387">
        <f>VLOOKUP($A133&amp;"NCP ONPK",'E11 - 2014 09 Final'!$A$46:$Q$1704,$H$115,FALSE)</f>
        <v>3731</v>
      </c>
      <c r="I133" s="387">
        <f>VLOOKUP($A133&amp;"NCP ONPK",'E11 - 2014 09 Final'!$A$46:$Q$1704,$I$115,FALSE)</f>
        <v>4444</v>
      </c>
      <c r="J133" s="387">
        <f>VLOOKUP($A133&amp;"NCP ONPK",'E11 - 2014 09 Final'!$A$46:$Q$1704,$J$115,FALSE)</f>
        <v>5223</v>
      </c>
      <c r="K133" s="387">
        <f>VLOOKUP($A133&amp;"NCP ONPK",'E11 - 2014 09 Final'!$A$46:$Q$1704,$K$115,FALSE)</f>
        <v>3403</v>
      </c>
      <c r="L133" s="387">
        <f>VLOOKUP($A133&amp;"NCP ONPK",'E11 - 2014 09 Final'!$A$46:$Q$1704,$L$115,FALSE)</f>
        <v>4903</v>
      </c>
      <c r="M133" s="387">
        <f>VLOOKUP($A133&amp;"NCP ONPK",'E11 - 2014 09 Final'!$A$46:$Q$1704,$M$115,FALSE)</f>
        <v>928</v>
      </c>
      <c r="N133" s="387">
        <f>VLOOKUP($A133&amp;"NCP ONPK",'E11 - 2014 09 Final'!$A$46:$Q$1704,$N$115,FALSE)</f>
        <v>1006</v>
      </c>
      <c r="O133" s="384">
        <f t="shared" si="21"/>
        <v>46499</v>
      </c>
      <c r="P133" s="385">
        <f t="shared" si="22"/>
        <v>5818</v>
      </c>
    </row>
    <row r="134" spans="1:16">
      <c r="A134" s="350" t="s">
        <v>45</v>
      </c>
      <c r="B134" s="382" t="s">
        <v>88</v>
      </c>
      <c r="C134" s="387">
        <f>VLOOKUP($A134&amp;"NCP ONPK",'E11 - 2014 09 Final'!$A$46:$Q$1704,$C$115,FALSE)</f>
        <v>46242</v>
      </c>
      <c r="D134" s="387">
        <f>VLOOKUP($A134&amp;"NCP ONPK",'E11 - 2014 09 Final'!$A$46:$Q$1704,$D$115,FALSE)</f>
        <v>44488</v>
      </c>
      <c r="E134" s="387">
        <f>VLOOKUP($A134&amp;"NCP ONPK",'E11 - 2014 09 Final'!$A$46:$Q$1704,$E$115,FALSE)</f>
        <v>36581</v>
      </c>
      <c r="F134" s="387">
        <f>VLOOKUP($A134&amp;"NCP ONPK",'E11 - 2014 09 Final'!$A$46:$Q$1704,$F$115,FALSE)</f>
        <v>42961</v>
      </c>
      <c r="G134" s="387">
        <f>VLOOKUP($A134&amp;"NCP ONPK",'E11 - 2014 09 Final'!$A$46:$Q$1704,$G$115,FALSE)</f>
        <v>54030</v>
      </c>
      <c r="H134" s="387">
        <f>VLOOKUP($A134&amp;"NCP ONPK",'E11 - 2014 09 Final'!$A$46:$Q$1704,$H$115,FALSE)</f>
        <v>60507</v>
      </c>
      <c r="I134" s="387">
        <f>VLOOKUP($A134&amp;"NCP ONPK",'E11 - 2014 09 Final'!$A$46:$Q$1704,$I$115,FALSE)</f>
        <v>35979</v>
      </c>
      <c r="J134" s="387">
        <f>VLOOKUP($A134&amp;"NCP ONPK",'E11 - 2014 09 Final'!$A$46:$Q$1704,$J$115,FALSE)</f>
        <v>29909</v>
      </c>
      <c r="K134" s="387">
        <f>VLOOKUP($A134&amp;"NCP ONPK",'E11 - 2014 09 Final'!$A$46:$Q$1704,$K$115,FALSE)</f>
        <v>61843</v>
      </c>
      <c r="L134" s="387">
        <f>VLOOKUP($A134&amp;"NCP ONPK",'E11 - 2014 09 Final'!$A$46:$Q$1704,$L$115,FALSE)</f>
        <v>48390</v>
      </c>
      <c r="M134" s="387">
        <f>VLOOKUP($A134&amp;"NCP ONPK",'E11 - 2014 09 Final'!$A$46:$Q$1704,$M$115,FALSE)</f>
        <v>54139</v>
      </c>
      <c r="N134" s="387">
        <f>VLOOKUP($A134&amp;"NCP ONPK",'E11 - 2014 09 Final'!$A$46:$Q$1704,$N$115,FALSE)</f>
        <v>32613</v>
      </c>
      <c r="O134" s="384">
        <f t="shared" si="21"/>
        <v>547682</v>
      </c>
      <c r="P134" s="385">
        <f t="shared" si="22"/>
        <v>61843</v>
      </c>
    </row>
    <row r="135" spans="1:16">
      <c r="C135" s="383"/>
      <c r="D135" s="383"/>
      <c r="E135" s="383"/>
      <c r="F135" s="383"/>
      <c r="G135" s="383"/>
      <c r="H135" s="383"/>
      <c r="I135" s="383"/>
      <c r="J135" s="383"/>
      <c r="K135" s="383"/>
      <c r="L135" s="383"/>
      <c r="M135" s="383"/>
      <c r="N135" s="383"/>
      <c r="O135" s="384"/>
      <c r="P135" s="385"/>
    </row>
    <row r="136" spans="1:16">
      <c r="C136" s="383"/>
      <c r="D136" s="383"/>
      <c r="E136" s="383"/>
      <c r="F136" s="383"/>
      <c r="G136" s="383"/>
      <c r="H136" s="383"/>
      <c r="I136" s="383"/>
      <c r="J136" s="383"/>
      <c r="K136" s="383"/>
      <c r="L136" s="383"/>
      <c r="M136" s="383"/>
      <c r="N136" s="383"/>
      <c r="O136" s="384"/>
      <c r="P136" s="385"/>
    </row>
    <row r="137" spans="1:16">
      <c r="B137" s="380" t="s">
        <v>86</v>
      </c>
      <c r="C137" s="386"/>
      <c r="D137" s="386"/>
      <c r="E137" s="386"/>
      <c r="F137" s="386"/>
      <c r="G137" s="386"/>
      <c r="H137" s="386"/>
      <c r="I137" s="386"/>
      <c r="J137" s="386"/>
      <c r="K137" s="386"/>
      <c r="L137" s="386"/>
      <c r="M137" s="386"/>
      <c r="N137" s="386"/>
    </row>
    <row r="138" spans="1:16">
      <c r="A138" s="350" t="s">
        <v>603</v>
      </c>
      <c r="B138" s="350" t="s">
        <v>603</v>
      </c>
      <c r="C138" s="387">
        <f>VLOOKUP($A138&amp;"NCP ONPK",'E11 - 2014 09 Final'!$A$46:$Q$1704,$C$115,FALSE)</f>
        <v>8505</v>
      </c>
      <c r="D138" s="387">
        <f>VLOOKUP($A138&amp;"NCP ONPK",'E11 - 2014 09 Final'!$A$46:$Q$1704,$D$115,FALSE)</f>
        <v>6861</v>
      </c>
      <c r="E138" s="387">
        <f>VLOOKUP($A138&amp;"NCP ONPK",'E11 - 2014 09 Final'!$A$46:$Q$1704,$E$115,FALSE)</f>
        <v>5883</v>
      </c>
      <c r="F138" s="387">
        <f>VLOOKUP($A138&amp;"NCP ONPK",'E11 - 2014 09 Final'!$A$46:$Q$1704,$F$115,FALSE)</f>
        <v>6515</v>
      </c>
      <c r="G138" s="387">
        <f>VLOOKUP($A138&amp;"NCP ONPK",'E11 - 2014 09 Final'!$A$46:$Q$1704,$G$115,FALSE)</f>
        <v>7297</v>
      </c>
      <c r="H138" s="387">
        <f>VLOOKUP($A138&amp;"NCP ONPK",'E11 - 2014 09 Final'!$A$46:$Q$1704,$H$115,FALSE)</f>
        <v>8300</v>
      </c>
      <c r="I138" s="387">
        <f>VLOOKUP($A138&amp;"NCP ONPK",'E11 - 2014 09 Final'!$A$46:$Q$1704,$I$115,FALSE)</f>
        <v>8358</v>
      </c>
      <c r="J138" s="387">
        <f>VLOOKUP($A138&amp;"NCP ONPK",'E11 - 2014 09 Final'!$A$46:$Q$1704,$J$115,FALSE)</f>
        <v>8658</v>
      </c>
      <c r="K138" s="387">
        <f>VLOOKUP($A138&amp;"NCP ONPK",'E11 - 2014 09 Final'!$A$46:$Q$1704,$K$115,FALSE)</f>
        <v>8237</v>
      </c>
      <c r="L138" s="387">
        <f>VLOOKUP($A138&amp;"NCP ONPK",'E11 - 2014 09 Final'!$A$46:$Q$1704,$L$115,FALSE)</f>
        <v>6928</v>
      </c>
      <c r="M138" s="387">
        <f>VLOOKUP($A138&amp;"NCP ONPK",'E11 - 2014 09 Final'!$A$46:$Q$1704,$M$115,FALSE)</f>
        <v>7506</v>
      </c>
      <c r="N138" s="387">
        <f>VLOOKUP($A138&amp;"NCP ONPK",'E11 - 2014 09 Final'!$A$46:$Q$1704,$N$115,FALSE)</f>
        <v>6384</v>
      </c>
      <c r="O138" s="384">
        <f>SUM(C138:N138)</f>
        <v>89432</v>
      </c>
      <c r="P138" s="385">
        <f t="shared" ref="P138:P144" si="23">MAX(C138:N138)</f>
        <v>8658</v>
      </c>
    </row>
    <row r="139" spans="1:16">
      <c r="A139" s="350" t="s">
        <v>245</v>
      </c>
      <c r="B139" s="350" t="s">
        <v>983</v>
      </c>
      <c r="C139" s="387">
        <f>VLOOKUP($A139&amp;"NCP ONPK",'E11 - 2014 09 Final'!$A$46:$Q$1704,$C$115,FALSE)</f>
        <v>116339</v>
      </c>
      <c r="D139" s="387">
        <f>VLOOKUP($A139&amp;"NCP ONPK",'E11 - 2014 09 Final'!$A$46:$Q$1704,$D$115,FALSE)</f>
        <v>111866</v>
      </c>
      <c r="E139" s="387">
        <f>VLOOKUP($A139&amp;"NCP ONPK",'E11 - 2014 09 Final'!$A$46:$Q$1704,$E$115,FALSE)</f>
        <v>112653</v>
      </c>
      <c r="F139" s="387">
        <f>VLOOKUP($A139&amp;"NCP ONPK",'E11 - 2014 09 Final'!$A$46:$Q$1704,$F$115,FALSE)</f>
        <v>130649</v>
      </c>
      <c r="G139" s="387">
        <f>VLOOKUP($A139&amp;"NCP ONPK",'E11 - 2014 09 Final'!$A$46:$Q$1704,$G$115,FALSE)</f>
        <v>129272</v>
      </c>
      <c r="H139" s="387">
        <f>VLOOKUP($A139&amp;"NCP ONPK",'E11 - 2014 09 Final'!$A$46:$Q$1704,$H$115,FALSE)</f>
        <v>144202</v>
      </c>
      <c r="I139" s="387">
        <f>VLOOKUP($A139&amp;"NCP ONPK",'E11 - 2014 09 Final'!$A$46:$Q$1704,$I$115,FALSE)</f>
        <v>158706</v>
      </c>
      <c r="J139" s="387">
        <f>VLOOKUP($A139&amp;"NCP ONPK",'E11 - 2014 09 Final'!$A$46:$Q$1704,$J$115,FALSE)</f>
        <v>156563</v>
      </c>
      <c r="K139" s="387">
        <f>VLOOKUP($A139&amp;"NCP ONPK",'E11 - 2014 09 Final'!$A$46:$Q$1704,$K$115,FALSE)</f>
        <v>141684</v>
      </c>
      <c r="L139" s="387">
        <f>VLOOKUP($A139&amp;"NCP ONPK",'E11 - 2014 09 Final'!$A$46:$Q$1704,$L$115,FALSE)</f>
        <v>136857</v>
      </c>
      <c r="M139" s="387">
        <f>VLOOKUP($A139&amp;"NCP ONPK",'E11 - 2014 09 Final'!$A$46:$Q$1704,$M$115,FALSE)</f>
        <v>110957</v>
      </c>
      <c r="N139" s="387">
        <f>VLOOKUP($A139&amp;"NCP ONPK",'E11 - 2014 09 Final'!$A$46:$Q$1704,$N$115,FALSE)</f>
        <v>118302</v>
      </c>
      <c r="O139" s="384">
        <f t="shared" ref="O139:O144" si="24">SUM(C139:N139)</f>
        <v>1568050</v>
      </c>
      <c r="P139" s="385">
        <f t="shared" si="23"/>
        <v>158706</v>
      </c>
    </row>
    <row r="140" spans="1:16">
      <c r="A140" s="350" t="s">
        <v>661</v>
      </c>
      <c r="B140" s="350" t="s">
        <v>984</v>
      </c>
      <c r="C140" s="387">
        <f>VLOOKUP($A140&amp;"NCP ONPK",'E11 - 2014 09 Final'!$A$46:$Q$1704,$C$115,FALSE)</f>
        <v>759818</v>
      </c>
      <c r="D140" s="387">
        <f>VLOOKUP($A140&amp;"NCP ONPK",'E11 - 2014 09 Final'!$A$46:$Q$1704,$D$115,FALSE)</f>
        <v>537921</v>
      </c>
      <c r="E140" s="387">
        <f>VLOOKUP($A140&amp;"NCP ONPK",'E11 - 2014 09 Final'!$A$46:$Q$1704,$E$115,FALSE)</f>
        <v>537710</v>
      </c>
      <c r="F140" s="387">
        <f>VLOOKUP($A140&amp;"NCP ONPK",'E11 - 2014 09 Final'!$A$46:$Q$1704,$F$115,FALSE)</f>
        <v>720832</v>
      </c>
      <c r="G140" s="387">
        <f>VLOOKUP($A140&amp;"NCP ONPK",'E11 - 2014 09 Final'!$A$46:$Q$1704,$G$115,FALSE)</f>
        <v>729301</v>
      </c>
      <c r="H140" s="387">
        <f>VLOOKUP($A140&amp;"NCP ONPK",'E11 - 2014 09 Final'!$A$46:$Q$1704,$H$115,FALSE)</f>
        <v>810713</v>
      </c>
      <c r="I140" s="387">
        <f>VLOOKUP($A140&amp;"NCP ONPK",'E11 - 2014 09 Final'!$A$46:$Q$1704,$I$115,FALSE)</f>
        <v>793641</v>
      </c>
      <c r="J140" s="387">
        <f>VLOOKUP($A140&amp;"NCP ONPK",'E11 - 2014 09 Final'!$A$46:$Q$1704,$J$115,FALSE)</f>
        <v>836336</v>
      </c>
      <c r="K140" s="387">
        <f>VLOOKUP($A140&amp;"NCP ONPK",'E11 - 2014 09 Final'!$A$46:$Q$1704,$K$115,FALSE)</f>
        <v>768510</v>
      </c>
      <c r="L140" s="387">
        <f>VLOOKUP($A140&amp;"NCP ONPK",'E11 - 2014 09 Final'!$A$46:$Q$1704,$L$115,FALSE)</f>
        <v>761167</v>
      </c>
      <c r="M140" s="387">
        <f>VLOOKUP($A140&amp;"NCP ONPK",'E11 - 2014 09 Final'!$A$46:$Q$1704,$M$115,FALSE)</f>
        <v>562147</v>
      </c>
      <c r="N140" s="387">
        <f>VLOOKUP($A140&amp;"NCP ONPK",'E11 - 2014 09 Final'!$A$46:$Q$1704,$N$115,FALSE)</f>
        <v>539994</v>
      </c>
      <c r="O140" s="384">
        <f t="shared" si="24"/>
        <v>8358090</v>
      </c>
      <c r="P140" s="385">
        <f t="shared" si="23"/>
        <v>836336</v>
      </c>
    </row>
    <row r="141" spans="1:16">
      <c r="A141" s="350" t="s">
        <v>673</v>
      </c>
      <c r="B141" s="350" t="s">
        <v>985</v>
      </c>
      <c r="C141" s="387">
        <f>VLOOKUP($A141&amp;"NCP ONPK",'E11 - 2014 09 Final'!$A$46:$Q$1704,$C$115,FALSE)</f>
        <v>0</v>
      </c>
      <c r="D141" s="387">
        <f>VLOOKUP($A141&amp;"NCP ONPK",'E11 - 2014 09 Final'!$A$46:$Q$1704,$D$115,FALSE)</f>
        <v>35000</v>
      </c>
      <c r="E141" s="387">
        <f>VLOOKUP($A141&amp;"NCP ONPK",'E11 - 2014 09 Final'!$A$46:$Q$1704,$E$115,FALSE)</f>
        <v>20000</v>
      </c>
      <c r="F141" s="387">
        <f>VLOOKUP($A141&amp;"NCP ONPK",'E11 - 2014 09 Final'!$A$46:$Q$1704,$F$115,FALSE)</f>
        <v>10000</v>
      </c>
      <c r="G141" s="387">
        <f>VLOOKUP($A141&amp;"NCP ONPK",'E11 - 2014 09 Final'!$A$46:$Q$1704,$G$115,FALSE)</f>
        <v>20000</v>
      </c>
      <c r="H141" s="387">
        <f>VLOOKUP($A141&amp;"NCP ONPK",'E11 - 2014 09 Final'!$A$46:$Q$1704,$H$115,FALSE)</f>
        <v>35000</v>
      </c>
      <c r="I141" s="387">
        <f>VLOOKUP($A141&amp;"NCP ONPK",'E11 - 2014 09 Final'!$A$46:$Q$1704,$I$115,FALSE)</f>
        <v>35000</v>
      </c>
      <c r="J141" s="387">
        <f>VLOOKUP($A141&amp;"NCP ONPK",'E11 - 2014 09 Final'!$A$46:$Q$1704,$J$115,FALSE)</f>
        <v>35000</v>
      </c>
      <c r="K141" s="387">
        <f>VLOOKUP($A141&amp;"NCP ONPK",'E11 - 2014 09 Final'!$A$46:$Q$1704,$K$115,FALSE)</f>
        <v>25000</v>
      </c>
      <c r="L141" s="387">
        <f>VLOOKUP($A141&amp;"NCP ONPK",'E11 - 2014 09 Final'!$A$46:$Q$1704,$L$115,FALSE)</f>
        <v>20000</v>
      </c>
      <c r="M141" s="387">
        <f>VLOOKUP($A141&amp;"NCP ONPK",'E11 - 2014 09 Final'!$A$46:$Q$1704,$M$115,FALSE)</f>
        <v>10000</v>
      </c>
      <c r="N141" s="387">
        <f>VLOOKUP($A141&amp;"NCP ONPK",'E11 - 2014 09 Final'!$A$46:$Q$1704,$N$115,FALSE)</f>
        <v>20000</v>
      </c>
      <c r="O141" s="384">
        <f t="shared" si="24"/>
        <v>265000</v>
      </c>
      <c r="P141" s="385">
        <f t="shared" si="23"/>
        <v>35000</v>
      </c>
    </row>
    <row r="142" spans="1:16">
      <c r="A142" s="350" t="s">
        <v>691</v>
      </c>
      <c r="B142" s="350" t="s">
        <v>691</v>
      </c>
      <c r="C142" s="387">
        <f>VLOOKUP($A142&amp;"NCP ONPK",'E11 - 2014 09 Final'!$A$46:$Q$1704,$C$115,FALSE)</f>
        <v>0</v>
      </c>
      <c r="D142" s="387">
        <f>VLOOKUP($A142&amp;"NCP ONPK",'E11 - 2014 09 Final'!$A$46:$Q$1704,$D$115,FALSE)</f>
        <v>0</v>
      </c>
      <c r="E142" s="387">
        <f>VLOOKUP($A142&amp;"NCP ONPK",'E11 - 2014 09 Final'!$A$46:$Q$1704,$E$115,FALSE)</f>
        <v>0</v>
      </c>
      <c r="F142" s="387">
        <f>VLOOKUP($A142&amp;"NCP ONPK",'E11 - 2014 09 Final'!$A$46:$Q$1704,$F$115,FALSE)</f>
        <v>0</v>
      </c>
      <c r="G142" s="387">
        <f>VLOOKUP($A142&amp;"NCP ONPK",'E11 - 2014 09 Final'!$A$46:$Q$1704,$G$115,FALSE)</f>
        <v>0</v>
      </c>
      <c r="H142" s="387">
        <f>VLOOKUP($A142&amp;"NCP ONPK",'E11 - 2014 09 Final'!$A$46:$Q$1704,$H$115,FALSE)</f>
        <v>200000</v>
      </c>
      <c r="I142" s="387">
        <f>VLOOKUP($A142&amp;"NCP ONPK",'E11 - 2014 09 Final'!$A$46:$Q$1704,$I$115,FALSE)</f>
        <v>200000</v>
      </c>
      <c r="J142" s="387">
        <f>VLOOKUP($A142&amp;"NCP ONPK",'E11 - 2014 09 Final'!$A$46:$Q$1704,$J$115,FALSE)</f>
        <v>200000</v>
      </c>
      <c r="K142" s="387">
        <f>VLOOKUP($A142&amp;"NCP ONPK",'E11 - 2014 09 Final'!$A$46:$Q$1704,$K$115,FALSE)</f>
        <v>200000</v>
      </c>
      <c r="L142" s="387">
        <f>VLOOKUP($A142&amp;"NCP ONPK",'E11 - 2014 09 Final'!$A$46:$Q$1704,$L$115,FALSE)</f>
        <v>200000</v>
      </c>
      <c r="M142" s="387">
        <f>VLOOKUP($A142&amp;"NCP ONPK",'E11 - 2014 09 Final'!$A$46:$Q$1704,$M$115,FALSE)</f>
        <v>200000</v>
      </c>
      <c r="N142" s="387">
        <f>VLOOKUP($A142&amp;"NCP ONPK",'E11 - 2014 09 Final'!$A$46:$Q$1704,$N$115,FALSE)</f>
        <v>200000</v>
      </c>
      <c r="O142" s="384">
        <f t="shared" si="24"/>
        <v>1400000</v>
      </c>
      <c r="P142" s="385">
        <f t="shared" si="23"/>
        <v>200000</v>
      </c>
    </row>
    <row r="143" spans="1:16">
      <c r="A143" s="350" t="s">
        <v>724</v>
      </c>
      <c r="B143" s="350" t="s">
        <v>724</v>
      </c>
      <c r="C143" s="387">
        <f>VLOOKUP($A143&amp;"NCP ONPK",'E11 - 2014 09 Final'!$A$46:$Q$1704,$C$115,FALSE)</f>
        <v>12444</v>
      </c>
      <c r="D143" s="387">
        <f>VLOOKUP($A143&amp;"NCP ONPK",'E11 - 2014 09 Final'!$A$46:$Q$1704,$D$115,FALSE)</f>
        <v>8991</v>
      </c>
      <c r="E143" s="387">
        <f>VLOOKUP($A143&amp;"NCP ONPK",'E11 - 2014 09 Final'!$A$46:$Q$1704,$E$115,FALSE)</f>
        <v>8619</v>
      </c>
      <c r="F143" s="387">
        <f>VLOOKUP($A143&amp;"NCP ONPK",'E11 - 2014 09 Final'!$A$46:$Q$1704,$F$115,FALSE)</f>
        <v>12473</v>
      </c>
      <c r="G143" s="387">
        <f>VLOOKUP($A143&amp;"NCP ONPK",'E11 - 2014 09 Final'!$A$46:$Q$1704,$G$115,FALSE)</f>
        <v>12655</v>
      </c>
      <c r="H143" s="387">
        <f>VLOOKUP($A143&amp;"NCP ONPK",'E11 - 2014 09 Final'!$A$46:$Q$1704,$H$115,FALSE)</f>
        <v>13244</v>
      </c>
      <c r="I143" s="387">
        <f>VLOOKUP($A143&amp;"NCP ONPK",'E11 - 2014 09 Final'!$A$46:$Q$1704,$I$115,FALSE)</f>
        <v>12957</v>
      </c>
      <c r="J143" s="387">
        <f>VLOOKUP($A143&amp;"NCP ONPK",'E11 - 2014 09 Final'!$A$46:$Q$1704,$J$115,FALSE)</f>
        <v>13556</v>
      </c>
      <c r="K143" s="387">
        <f>VLOOKUP($A143&amp;"NCP ONPK",'E11 - 2014 09 Final'!$A$46:$Q$1704,$K$115,FALSE)</f>
        <v>13084</v>
      </c>
      <c r="L143" s="387">
        <f>VLOOKUP($A143&amp;"NCP ONPK",'E11 - 2014 09 Final'!$A$46:$Q$1704,$L$115,FALSE)</f>
        <v>12339</v>
      </c>
      <c r="M143" s="387">
        <f>VLOOKUP($A143&amp;"NCP ONPK",'E11 - 2014 09 Final'!$A$46:$Q$1704,$M$115,FALSE)</f>
        <v>9197</v>
      </c>
      <c r="N143" s="387">
        <f>VLOOKUP($A143&amp;"NCP ONPK",'E11 - 2014 09 Final'!$A$46:$Q$1704,$N$115,FALSE)</f>
        <v>9621</v>
      </c>
      <c r="O143" s="384">
        <f t="shared" si="24"/>
        <v>139180</v>
      </c>
      <c r="P143" s="385">
        <f t="shared" si="23"/>
        <v>13556</v>
      </c>
    </row>
    <row r="144" spans="1:16">
      <c r="A144" s="350" t="s">
        <v>727</v>
      </c>
      <c r="B144" s="350" t="s">
        <v>986</v>
      </c>
      <c r="C144" s="387">
        <f>VLOOKUP($A144&amp;"NCP ONPK",'E11 - 2014 09 Final'!$A$46:$Q$1704,$C$115,FALSE)</f>
        <v>23000</v>
      </c>
      <c r="D144" s="387">
        <f>VLOOKUP($A144&amp;"NCP ONPK",'E11 - 2014 09 Final'!$A$46:$Q$1704,$D$115,FALSE)</f>
        <v>23000</v>
      </c>
      <c r="E144" s="387">
        <f>VLOOKUP($A144&amp;"NCP ONPK",'E11 - 2014 09 Final'!$A$46:$Q$1704,$E$115,FALSE)</f>
        <v>23000</v>
      </c>
      <c r="F144" s="387">
        <f>VLOOKUP($A144&amp;"NCP ONPK",'E11 - 2014 09 Final'!$A$46:$Q$1704,$F$115,FALSE)</f>
        <v>23000</v>
      </c>
      <c r="G144" s="387">
        <f>VLOOKUP($A144&amp;"NCP ONPK",'E11 - 2014 09 Final'!$A$46:$Q$1704,$G$115,FALSE)</f>
        <v>23000</v>
      </c>
      <c r="H144" s="387">
        <f>VLOOKUP($A144&amp;"NCP ONPK",'E11 - 2014 09 Final'!$A$46:$Q$1704,$H$115,FALSE)</f>
        <v>23000</v>
      </c>
      <c r="I144" s="387">
        <f>VLOOKUP($A144&amp;"NCP ONPK",'E11 - 2014 09 Final'!$A$46:$Q$1704,$I$115,FALSE)</f>
        <v>23000</v>
      </c>
      <c r="J144" s="387">
        <f>VLOOKUP($A144&amp;"NCP ONPK",'E11 - 2014 09 Final'!$A$46:$Q$1704,$J$115,FALSE)</f>
        <v>23000</v>
      </c>
      <c r="K144" s="387">
        <f>VLOOKUP($A144&amp;"NCP ONPK",'E11 - 2014 09 Final'!$A$46:$Q$1704,$K$115,FALSE)</f>
        <v>23000</v>
      </c>
      <c r="L144" s="387">
        <f>VLOOKUP($A144&amp;"NCP ONPK",'E11 - 2014 09 Final'!$A$46:$Q$1704,$L$115,FALSE)</f>
        <v>23000</v>
      </c>
      <c r="M144" s="387">
        <f>VLOOKUP($A144&amp;"NCP ONPK",'E11 - 2014 09 Final'!$A$46:$Q$1704,$M$115,FALSE)</f>
        <v>23000</v>
      </c>
      <c r="N144" s="387">
        <f>VLOOKUP($A144&amp;"NCP ONPK",'E11 - 2014 09 Final'!$A$46:$Q$1704,$N$115,FALSE)</f>
        <v>23000</v>
      </c>
      <c r="O144" s="384">
        <f t="shared" si="24"/>
        <v>276000</v>
      </c>
      <c r="P144" s="385">
        <f t="shared" si="23"/>
        <v>23000</v>
      </c>
    </row>
    <row r="145" spans="2:17">
      <c r="B145" s="390"/>
      <c r="C145" s="383"/>
      <c r="D145" s="383"/>
      <c r="E145" s="383"/>
      <c r="F145" s="383"/>
      <c r="G145" s="383"/>
      <c r="H145" s="383"/>
      <c r="I145" s="383"/>
      <c r="J145" s="383"/>
      <c r="K145" s="383"/>
      <c r="L145" s="383"/>
      <c r="M145" s="383"/>
      <c r="N145" s="383"/>
      <c r="O145" s="391"/>
      <c r="P145" s="383"/>
      <c r="Q145" s="386"/>
    </row>
    <row r="146" spans="2:17">
      <c r="B146" s="390"/>
      <c r="C146" s="383"/>
      <c r="D146" s="383"/>
      <c r="E146" s="383"/>
      <c r="F146" s="383"/>
      <c r="G146" s="383"/>
      <c r="H146" s="383"/>
      <c r="I146" s="383"/>
      <c r="J146" s="383"/>
      <c r="K146" s="383"/>
      <c r="L146" s="383"/>
      <c r="M146" s="383"/>
      <c r="N146" s="383"/>
      <c r="O146" s="391"/>
      <c r="P146" s="383"/>
      <c r="Q146" s="386"/>
    </row>
    <row r="147" spans="2:17">
      <c r="B147" s="390"/>
      <c r="C147" s="383"/>
      <c r="D147" s="383"/>
      <c r="E147" s="383"/>
      <c r="F147" s="383"/>
      <c r="G147" s="383"/>
      <c r="H147" s="383"/>
      <c r="I147" s="383"/>
      <c r="J147" s="383"/>
      <c r="K147" s="383"/>
      <c r="L147" s="383"/>
      <c r="M147" s="383"/>
      <c r="N147" s="383"/>
      <c r="O147" s="391"/>
      <c r="P147" s="383"/>
      <c r="Q147" s="386"/>
    </row>
    <row r="148" spans="2:17">
      <c r="B148" s="390"/>
      <c r="C148" s="383"/>
      <c r="D148" s="383"/>
      <c r="E148" s="383"/>
      <c r="F148" s="383"/>
      <c r="G148" s="383"/>
      <c r="H148" s="383"/>
      <c r="I148" s="383"/>
      <c r="J148" s="383"/>
      <c r="K148" s="383"/>
      <c r="L148" s="383"/>
      <c r="M148" s="383"/>
      <c r="N148" s="383"/>
      <c r="O148" s="391"/>
      <c r="P148" s="383"/>
      <c r="Q148" s="386"/>
    </row>
    <row r="149" spans="2:17">
      <c r="B149" s="390"/>
      <c r="C149" s="383"/>
      <c r="D149" s="383"/>
      <c r="E149" s="383"/>
      <c r="F149" s="383"/>
      <c r="G149" s="383"/>
      <c r="H149" s="383"/>
      <c r="I149" s="383"/>
      <c r="J149" s="383"/>
      <c r="K149" s="383"/>
      <c r="L149" s="383"/>
      <c r="M149" s="383"/>
      <c r="N149" s="383"/>
      <c r="O149" s="391"/>
      <c r="P149" s="383"/>
      <c r="Q149" s="386"/>
    </row>
    <row r="150" spans="2:17">
      <c r="B150" s="390"/>
      <c r="C150" s="383"/>
      <c r="D150" s="383"/>
      <c r="E150" s="383"/>
      <c r="F150" s="383"/>
      <c r="G150" s="383"/>
      <c r="H150" s="383"/>
      <c r="I150" s="383"/>
      <c r="J150" s="383"/>
      <c r="K150" s="383"/>
      <c r="L150" s="383"/>
      <c r="M150" s="383"/>
      <c r="N150" s="383"/>
      <c r="O150" s="391"/>
      <c r="P150" s="383"/>
      <c r="Q150" s="386"/>
    </row>
    <row r="151" spans="2:17">
      <c r="B151" s="386"/>
      <c r="C151" s="383"/>
      <c r="D151" s="383"/>
      <c r="E151" s="383"/>
      <c r="F151" s="383"/>
      <c r="G151" s="383"/>
      <c r="H151" s="383"/>
      <c r="I151" s="383"/>
      <c r="J151" s="383"/>
      <c r="K151" s="383"/>
      <c r="L151" s="383"/>
      <c r="M151" s="383"/>
      <c r="N151" s="383"/>
      <c r="O151" s="391"/>
      <c r="P151" s="383"/>
      <c r="Q151" s="386"/>
    </row>
    <row r="152" spans="2:17">
      <c r="B152" s="386"/>
      <c r="C152" s="383"/>
      <c r="D152" s="383"/>
      <c r="E152" s="383"/>
      <c r="F152" s="383"/>
      <c r="G152" s="383"/>
      <c r="H152" s="383"/>
      <c r="I152" s="383"/>
      <c r="J152" s="383"/>
      <c r="K152" s="383"/>
      <c r="L152" s="383"/>
      <c r="M152" s="383"/>
      <c r="N152" s="383"/>
      <c r="O152" s="391"/>
      <c r="P152" s="383"/>
      <c r="Q152" s="386"/>
    </row>
    <row r="153" spans="2:17">
      <c r="B153" s="392"/>
      <c r="C153" s="386"/>
      <c r="D153" s="386"/>
      <c r="E153" s="386"/>
      <c r="F153" s="386"/>
      <c r="G153" s="386"/>
      <c r="H153" s="386"/>
      <c r="I153" s="386"/>
      <c r="J153" s="386"/>
      <c r="K153" s="386"/>
      <c r="L153" s="386"/>
      <c r="M153" s="386"/>
      <c r="N153" s="386"/>
      <c r="O153" s="386"/>
      <c r="P153" s="386"/>
      <c r="Q153" s="386"/>
    </row>
    <row r="154" spans="2:17">
      <c r="B154" s="390"/>
      <c r="C154" s="383"/>
      <c r="D154" s="383"/>
      <c r="E154" s="383"/>
      <c r="F154" s="383"/>
      <c r="G154" s="383"/>
      <c r="H154" s="383"/>
      <c r="I154" s="383"/>
      <c r="J154" s="383"/>
      <c r="K154" s="383"/>
      <c r="L154" s="383"/>
      <c r="M154" s="383"/>
      <c r="N154" s="383"/>
      <c r="O154" s="391"/>
      <c r="P154" s="383"/>
      <c r="Q154" s="386"/>
    </row>
    <row r="155" spans="2:17">
      <c r="B155" s="390"/>
      <c r="C155" s="383"/>
      <c r="D155" s="383"/>
      <c r="E155" s="383"/>
      <c r="F155" s="383"/>
      <c r="G155" s="383"/>
      <c r="H155" s="383"/>
      <c r="I155" s="383"/>
      <c r="J155" s="383"/>
      <c r="K155" s="383"/>
      <c r="L155" s="383"/>
      <c r="M155" s="383"/>
      <c r="N155" s="383"/>
      <c r="O155" s="391"/>
      <c r="P155" s="383"/>
      <c r="Q155" s="386"/>
    </row>
    <row r="156" spans="2:17" ht="409.6">
      <c r="B156" s="390"/>
      <c r="C156" s="383"/>
      <c r="D156" s="383"/>
      <c r="E156" s="383"/>
      <c r="F156" s="383"/>
      <c r="G156" s="383"/>
      <c r="H156" s="383"/>
      <c r="I156" s="383"/>
      <c r="J156" s="383"/>
      <c r="K156" s="383"/>
      <c r="L156" s="383"/>
      <c r="M156" s="383"/>
      <c r="N156" s="383"/>
      <c r="O156" s="391"/>
      <c r="P156" s="383"/>
      <c r="Q156" s="386"/>
    </row>
    <row r="157" spans="2:17" ht="409.6">
      <c r="B157" s="386"/>
      <c r="C157" s="386"/>
      <c r="D157" s="386"/>
      <c r="E157" s="386"/>
      <c r="F157" s="386"/>
      <c r="G157" s="386"/>
      <c r="H157" s="386"/>
      <c r="I157" s="386"/>
      <c r="J157" s="386"/>
      <c r="K157" s="386"/>
      <c r="L157" s="386"/>
      <c r="M157" s="386"/>
      <c r="N157" s="386"/>
      <c r="O157" s="386"/>
      <c r="P157" s="386"/>
      <c r="Q157" s="386"/>
    </row>
    <row r="158" spans="2:17">
      <c r="B158" s="386"/>
      <c r="C158" s="386"/>
      <c r="D158" s="386"/>
      <c r="E158" s="386"/>
      <c r="F158" s="386"/>
      <c r="G158" s="386"/>
      <c r="H158" s="386"/>
      <c r="I158" s="386"/>
      <c r="J158" s="386"/>
      <c r="K158" s="386"/>
      <c r="L158" s="386"/>
      <c r="M158" s="386"/>
      <c r="N158" s="386"/>
      <c r="O158" s="386"/>
      <c r="P158" s="386"/>
      <c r="Q158" s="386"/>
    </row>
  </sheetData>
  <mergeCells count="8">
    <mergeCell ref="B110:P110"/>
    <mergeCell ref="B111:P111"/>
    <mergeCell ref="B4:P4"/>
    <mergeCell ref="B5:P5"/>
    <mergeCell ref="B40:P40"/>
    <mergeCell ref="B41:P41"/>
    <mergeCell ref="B75:P75"/>
    <mergeCell ref="B76:P76"/>
  </mergeCells>
  <pageMargins left="0" right="0" top="1" bottom="1" header="0.5" footer="0.5"/>
  <pageSetup scale="70" orientation="landscape" r:id="rId1"/>
  <headerFooter alignWithMargins="0"/>
  <rowBreaks count="3" manualBreakCount="3">
    <brk id="48" max="16383" man="1"/>
    <brk id="83" max="16383" man="1"/>
    <brk id="11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FF0000"/>
  </sheetPr>
  <dimension ref="A1:Q158"/>
  <sheetViews>
    <sheetView showGridLines="0" topLeftCell="A2" zoomScale="75" zoomScaleNormal="75" workbookViewId="0">
      <selection activeCell="F36" sqref="F36"/>
    </sheetView>
  </sheetViews>
  <sheetFormatPr defaultRowHeight="13.2"/>
  <cols>
    <col min="1" max="1" width="26.109375" customWidth="1"/>
    <col min="2" max="2" width="24.109375" customWidth="1"/>
    <col min="3" max="14" width="12.44140625" bestFit="1" customWidth="1"/>
    <col min="15" max="15" width="13.5546875" bestFit="1" customWidth="1"/>
    <col min="16" max="16" width="13.6640625" bestFit="1" customWidth="1"/>
  </cols>
  <sheetData>
    <row r="1" spans="1:16" s="8" customFormat="1"/>
    <row r="2" spans="1:16" s="8" customFormat="1">
      <c r="A2" s="8" t="s">
        <v>1321</v>
      </c>
    </row>
    <row r="3" spans="1:16" s="8" customFormat="1">
      <c r="A3" s="8" t="s">
        <v>1267</v>
      </c>
    </row>
    <row r="4" spans="1:16" ht="21">
      <c r="B4" s="611" t="s">
        <v>989</v>
      </c>
      <c r="C4" s="611"/>
      <c r="D4" s="611"/>
      <c r="E4" s="611"/>
      <c r="F4" s="611"/>
      <c r="G4" s="611"/>
      <c r="H4" s="611"/>
      <c r="I4" s="611"/>
      <c r="J4" s="611"/>
      <c r="K4" s="611"/>
      <c r="L4" s="611"/>
      <c r="M4" s="611"/>
      <c r="N4" s="611"/>
      <c r="O4" s="611"/>
      <c r="P4" s="611"/>
    </row>
    <row r="5" spans="1:16">
      <c r="B5" s="612" t="s">
        <v>89</v>
      </c>
      <c r="C5" s="612"/>
      <c r="D5" s="612"/>
      <c r="E5" s="612"/>
      <c r="F5" s="612"/>
      <c r="G5" s="612"/>
      <c r="H5" s="612"/>
      <c r="I5" s="612"/>
      <c r="J5" s="612"/>
      <c r="K5" s="612"/>
      <c r="L5" s="612"/>
      <c r="M5" s="612"/>
      <c r="N5" s="612"/>
      <c r="O5" s="612"/>
      <c r="P5" s="612"/>
    </row>
    <row r="6" spans="1:16" ht="13.8" thickBot="1">
      <c r="B6" s="300"/>
      <c r="C6" s="300"/>
      <c r="D6" s="300"/>
      <c r="E6" s="300"/>
      <c r="F6" s="300"/>
      <c r="G6" s="300"/>
      <c r="H6" s="300"/>
      <c r="I6" s="300"/>
      <c r="J6" s="300"/>
      <c r="K6" s="300"/>
      <c r="L6" s="300"/>
      <c r="M6" s="300"/>
      <c r="N6" s="300"/>
      <c r="O6" s="300"/>
      <c r="P6" s="300"/>
    </row>
    <row r="7" spans="1:16">
      <c r="C7" s="14"/>
      <c r="D7" s="15"/>
      <c r="E7" s="16"/>
      <c r="F7" s="17"/>
      <c r="G7" s="18"/>
      <c r="H7" s="19"/>
      <c r="I7" s="20"/>
      <c r="J7" s="21"/>
      <c r="K7" s="22"/>
      <c r="L7" s="23"/>
      <c r="M7" s="24"/>
      <c r="N7" s="25"/>
      <c r="O7" s="26"/>
      <c r="P7" s="27" t="s">
        <v>576</v>
      </c>
    </row>
    <row r="8" spans="1:16"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16" hidden="1">
      <c r="C9">
        <v>2</v>
      </c>
      <c r="D9">
        <v>3</v>
      </c>
      <c r="E9">
        <v>4</v>
      </c>
      <c r="F9">
        <v>5</v>
      </c>
      <c r="G9">
        <v>6</v>
      </c>
      <c r="H9">
        <v>7</v>
      </c>
      <c r="I9">
        <v>8</v>
      </c>
      <c r="J9">
        <v>9</v>
      </c>
      <c r="K9">
        <v>10</v>
      </c>
      <c r="L9">
        <v>11</v>
      </c>
      <c r="M9">
        <v>12</v>
      </c>
      <c r="N9">
        <v>13</v>
      </c>
    </row>
    <row r="11" spans="1:16">
      <c r="B11" s="42" t="s">
        <v>83</v>
      </c>
    </row>
    <row r="12" spans="1:16">
      <c r="A12" s="206" t="s">
        <v>122</v>
      </c>
      <c r="B12" s="43" t="s">
        <v>84</v>
      </c>
      <c r="C12" s="48">
        <f t="shared" ref="C12:N21" si="0">AVERAGE(VLOOKUP($B12,$B$48:$P$73,C$9,FALSE),VLOOKUP($B12,$B$83:$N$108,C$9,FALSE),VLOOKUP($B12,$B$118:$N$144,C$9,FALSE))</f>
        <v>455972</v>
      </c>
      <c r="D12" s="48">
        <f t="shared" si="0"/>
        <v>460691</v>
      </c>
      <c r="E12" s="48">
        <f t="shared" si="0"/>
        <v>421451.33333333331</v>
      </c>
      <c r="F12" s="48">
        <f t="shared" si="0"/>
        <v>456044</v>
      </c>
      <c r="G12" s="48">
        <f t="shared" si="0"/>
        <v>446319</v>
      </c>
      <c r="H12" s="48">
        <f t="shared" si="0"/>
        <v>468671.66666666669</v>
      </c>
      <c r="I12" s="48">
        <f t="shared" si="0"/>
        <v>457274.33333333331</v>
      </c>
      <c r="J12" s="48">
        <f t="shared" si="0"/>
        <v>464046.33333333331</v>
      </c>
      <c r="K12" s="48">
        <f t="shared" si="0"/>
        <v>483509.66666666669</v>
      </c>
      <c r="L12" s="48">
        <f t="shared" si="0"/>
        <v>447825.66666666669</v>
      </c>
      <c r="M12" s="48">
        <f t="shared" si="0"/>
        <v>450076.33333333331</v>
      </c>
      <c r="N12" s="48">
        <f t="shared" si="0"/>
        <v>436228.33333333331</v>
      </c>
      <c r="O12" s="44">
        <f t="shared" ref="O12:O28" si="1">SUM(C12:N12)</f>
        <v>5448109.666666666</v>
      </c>
      <c r="P12" s="11">
        <f>MAX(C12:N12)</f>
        <v>483509.66666666669</v>
      </c>
    </row>
    <row r="13" spans="1:16">
      <c r="A13" s="206" t="s">
        <v>177</v>
      </c>
      <c r="B13" s="43" t="s">
        <v>85</v>
      </c>
      <c r="C13" s="48">
        <f t="shared" si="0"/>
        <v>31423.333333333332</v>
      </c>
      <c r="D13" s="48">
        <f t="shared" si="0"/>
        <v>31497.333333333332</v>
      </c>
      <c r="E13" s="48">
        <f t="shared" si="0"/>
        <v>28338.333333333332</v>
      </c>
      <c r="F13" s="48">
        <f t="shared" si="0"/>
        <v>31128.333333333332</v>
      </c>
      <c r="G13" s="48">
        <f t="shared" si="0"/>
        <v>28040.333333333332</v>
      </c>
      <c r="H13" s="48">
        <f t="shared" si="0"/>
        <v>29791.333333333332</v>
      </c>
      <c r="I13" s="48">
        <f t="shared" si="0"/>
        <v>28680</v>
      </c>
      <c r="J13" s="48">
        <f t="shared" si="0"/>
        <v>29285</v>
      </c>
      <c r="K13" s="48">
        <f t="shared" si="0"/>
        <v>30192.333333333332</v>
      </c>
      <c r="L13" s="48">
        <f t="shared" si="0"/>
        <v>27768.666666666668</v>
      </c>
      <c r="M13" s="48">
        <f t="shared" si="0"/>
        <v>27728.333333333332</v>
      </c>
      <c r="N13" s="48">
        <f t="shared" si="0"/>
        <v>27029.333333333332</v>
      </c>
      <c r="O13" s="44">
        <f t="shared" si="1"/>
        <v>350902.66666666663</v>
      </c>
      <c r="P13" s="11">
        <f t="shared" ref="P13:P28" si="2">MAX(C13:N13)</f>
        <v>31497.333333333332</v>
      </c>
    </row>
    <row r="14" spans="1:16">
      <c r="A14" s="206" t="s">
        <v>185</v>
      </c>
      <c r="B14" s="43" t="s">
        <v>50</v>
      </c>
      <c r="C14" s="48">
        <f t="shared" si="0"/>
        <v>204244.33333333334</v>
      </c>
      <c r="D14" s="48">
        <f t="shared" si="0"/>
        <v>195618</v>
      </c>
      <c r="E14" s="48">
        <f t="shared" si="0"/>
        <v>205068.66666666666</v>
      </c>
      <c r="F14" s="48">
        <f t="shared" si="0"/>
        <v>202403.33333333334</v>
      </c>
      <c r="G14" s="48">
        <f t="shared" si="0"/>
        <v>210544.66666666666</v>
      </c>
      <c r="H14" s="48">
        <f t="shared" si="0"/>
        <v>212989.33333333334</v>
      </c>
      <c r="I14" s="48">
        <f t="shared" si="0"/>
        <v>214519.33333333334</v>
      </c>
      <c r="J14" s="48">
        <f t="shared" si="0"/>
        <v>215307.33333333334</v>
      </c>
      <c r="K14" s="48">
        <f t="shared" si="0"/>
        <v>216232.66666666666</v>
      </c>
      <c r="L14" s="48">
        <f t="shared" si="0"/>
        <v>212792</v>
      </c>
      <c r="M14" s="48">
        <f t="shared" si="0"/>
        <v>204966</v>
      </c>
      <c r="N14" s="48">
        <f t="shared" si="0"/>
        <v>199336.33333333334</v>
      </c>
      <c r="O14" s="44">
        <f t="shared" si="1"/>
        <v>2494022</v>
      </c>
      <c r="P14" s="11">
        <f t="shared" si="2"/>
        <v>216232.66666666666</v>
      </c>
    </row>
    <row r="15" spans="1:16">
      <c r="A15" s="206" t="s">
        <v>632</v>
      </c>
      <c r="B15" s="43" t="s">
        <v>49</v>
      </c>
      <c r="C15" s="48">
        <f t="shared" si="0"/>
        <v>2139160.3333333335</v>
      </c>
      <c r="D15" s="48">
        <f t="shared" si="0"/>
        <v>2090793</v>
      </c>
      <c r="E15" s="48">
        <f t="shared" si="0"/>
        <v>1920300.6666666667</v>
      </c>
      <c r="F15" s="48">
        <f t="shared" si="0"/>
        <v>2000103.6666666667</v>
      </c>
      <c r="G15" s="48">
        <f t="shared" si="0"/>
        <v>2037519.3333333333</v>
      </c>
      <c r="H15" s="48">
        <f t="shared" si="0"/>
        <v>2199841</v>
      </c>
      <c r="I15" s="48">
        <f t="shared" si="0"/>
        <v>2127829.3333333335</v>
      </c>
      <c r="J15" s="48">
        <f t="shared" si="0"/>
        <v>2027238.3333333333</v>
      </c>
      <c r="K15" s="48">
        <f t="shared" si="0"/>
        <v>2176257</v>
      </c>
      <c r="L15" s="48">
        <f t="shared" si="0"/>
        <v>2000597.3333333333</v>
      </c>
      <c r="M15" s="48">
        <f t="shared" si="0"/>
        <v>2039329</v>
      </c>
      <c r="N15" s="48">
        <f t="shared" si="0"/>
        <v>1895084.6666666667</v>
      </c>
      <c r="O15" s="44">
        <f t="shared" si="1"/>
        <v>24654053.666666672</v>
      </c>
      <c r="P15" s="11">
        <f t="shared" si="2"/>
        <v>2199841</v>
      </c>
    </row>
    <row r="16" spans="1:16">
      <c r="A16" s="206" t="s">
        <v>640</v>
      </c>
      <c r="B16" s="46" t="s">
        <v>325</v>
      </c>
      <c r="C16" s="48">
        <f t="shared" si="0"/>
        <v>6419.333333333333</v>
      </c>
      <c r="D16" s="48">
        <f t="shared" si="0"/>
        <v>6255.666666666667</v>
      </c>
      <c r="E16" s="48">
        <f t="shared" si="0"/>
        <v>5591.666666666667</v>
      </c>
      <c r="F16" s="48">
        <f t="shared" si="0"/>
        <v>5903.333333333333</v>
      </c>
      <c r="G16" s="48">
        <f t="shared" si="0"/>
        <v>5749.333333333333</v>
      </c>
      <c r="H16" s="48">
        <f t="shared" si="0"/>
        <v>7342.666666666667</v>
      </c>
      <c r="I16" s="48">
        <f t="shared" si="0"/>
        <v>7156.666666666667</v>
      </c>
      <c r="J16" s="48">
        <f t="shared" si="0"/>
        <v>6863.333333333333</v>
      </c>
      <c r="K16" s="48">
        <f t="shared" si="0"/>
        <v>6936</v>
      </c>
      <c r="L16" s="48">
        <f t="shared" si="0"/>
        <v>4758</v>
      </c>
      <c r="M16" s="48">
        <f t="shared" si="0"/>
        <v>4631.333333333333</v>
      </c>
      <c r="N16" s="48">
        <f t="shared" si="0"/>
        <v>4706.333333333333</v>
      </c>
      <c r="O16" s="44">
        <f t="shared" si="1"/>
        <v>72313.666666666657</v>
      </c>
      <c r="P16" s="11">
        <f t="shared" si="2"/>
        <v>7342.666666666667</v>
      </c>
    </row>
    <row r="17" spans="1:16">
      <c r="A17" s="206" t="s">
        <v>651</v>
      </c>
      <c r="B17" s="43" t="s">
        <v>67</v>
      </c>
      <c r="C17" s="48">
        <f t="shared" si="0"/>
        <v>5577503.333333333</v>
      </c>
      <c r="D17" s="48">
        <f t="shared" si="0"/>
        <v>5590977.666666667</v>
      </c>
      <c r="E17" s="48">
        <f t="shared" si="0"/>
        <v>5138894</v>
      </c>
      <c r="F17" s="48">
        <f t="shared" si="0"/>
        <v>5480882.333333333</v>
      </c>
      <c r="G17" s="48">
        <f t="shared" si="0"/>
        <v>5539198.333333333</v>
      </c>
      <c r="H17" s="48">
        <f t="shared" si="0"/>
        <v>5873932.333333333</v>
      </c>
      <c r="I17" s="48">
        <f t="shared" si="0"/>
        <v>5696281</v>
      </c>
      <c r="J17" s="48">
        <f t="shared" si="0"/>
        <v>5875040</v>
      </c>
      <c r="K17" s="48">
        <f t="shared" si="0"/>
        <v>6233972</v>
      </c>
      <c r="L17" s="48">
        <f t="shared" si="0"/>
        <v>5799544</v>
      </c>
      <c r="M17" s="48">
        <f t="shared" si="0"/>
        <v>5779477.333333333</v>
      </c>
      <c r="N17" s="48">
        <f t="shared" si="0"/>
        <v>5371276.666666667</v>
      </c>
      <c r="O17" s="44">
        <f t="shared" si="1"/>
        <v>67956979</v>
      </c>
      <c r="P17" s="11">
        <f t="shared" si="2"/>
        <v>6233972</v>
      </c>
    </row>
    <row r="18" spans="1:16">
      <c r="A18" s="206" t="s">
        <v>656</v>
      </c>
      <c r="B18" s="43" t="s">
        <v>68</v>
      </c>
      <c r="C18" s="48">
        <f t="shared" si="0"/>
        <v>2002154</v>
      </c>
      <c r="D18" s="48">
        <f t="shared" si="0"/>
        <v>2041633.6666666667</v>
      </c>
      <c r="E18" s="48">
        <f t="shared" si="0"/>
        <v>1906803</v>
      </c>
      <c r="F18" s="48">
        <f t="shared" si="0"/>
        <v>1999552.6666666667</v>
      </c>
      <c r="G18" s="48">
        <f t="shared" si="0"/>
        <v>2099822.3333333335</v>
      </c>
      <c r="H18" s="48">
        <f t="shared" si="0"/>
        <v>2208555.3333333335</v>
      </c>
      <c r="I18" s="48">
        <f t="shared" si="0"/>
        <v>2110666.3333333335</v>
      </c>
      <c r="J18" s="48">
        <f t="shared" si="0"/>
        <v>2176896.6666666665</v>
      </c>
      <c r="K18" s="48">
        <f t="shared" si="0"/>
        <v>2343664.6666666665</v>
      </c>
      <c r="L18" s="48">
        <f t="shared" si="0"/>
        <v>2195681</v>
      </c>
      <c r="M18" s="48">
        <f t="shared" si="0"/>
        <v>2105058.6666666665</v>
      </c>
      <c r="N18" s="48">
        <f t="shared" si="0"/>
        <v>2047090</v>
      </c>
      <c r="O18" s="44">
        <f t="shared" si="1"/>
        <v>25237578.333333336</v>
      </c>
      <c r="P18" s="11">
        <f t="shared" si="2"/>
        <v>2343664.6666666665</v>
      </c>
    </row>
    <row r="19" spans="1:16">
      <c r="A19" s="206" t="s">
        <v>713</v>
      </c>
      <c r="B19" s="43" t="s">
        <v>69</v>
      </c>
      <c r="C19" s="48">
        <f t="shared" si="0"/>
        <v>421669.33333333331</v>
      </c>
      <c r="D19" s="48">
        <f t="shared" si="0"/>
        <v>424341.33333333331</v>
      </c>
      <c r="E19" s="48">
        <f t="shared" si="0"/>
        <v>393423.66666666669</v>
      </c>
      <c r="F19" s="48">
        <f t="shared" si="0"/>
        <v>414446</v>
      </c>
      <c r="G19" s="48">
        <f t="shared" si="0"/>
        <v>415720.33333333331</v>
      </c>
      <c r="H19" s="48">
        <f t="shared" si="0"/>
        <v>446797.33333333331</v>
      </c>
      <c r="I19" s="48">
        <f t="shared" si="0"/>
        <v>434822.33333333331</v>
      </c>
      <c r="J19" s="48">
        <f t="shared" si="0"/>
        <v>452207</v>
      </c>
      <c r="K19" s="48">
        <f t="shared" si="0"/>
        <v>469582</v>
      </c>
      <c r="L19" s="48">
        <f t="shared" si="0"/>
        <v>440011.33333333331</v>
      </c>
      <c r="M19" s="48">
        <f t="shared" si="0"/>
        <v>436574.66666666669</v>
      </c>
      <c r="N19" s="48">
        <f t="shared" si="0"/>
        <v>416126.33333333331</v>
      </c>
      <c r="O19" s="44">
        <f t="shared" si="1"/>
        <v>5165721.666666667</v>
      </c>
      <c r="P19" s="11">
        <f t="shared" si="2"/>
        <v>469582</v>
      </c>
    </row>
    <row r="20" spans="1:16">
      <c r="A20" s="206" t="s">
        <v>717</v>
      </c>
      <c r="B20" s="43" t="s">
        <v>52</v>
      </c>
      <c r="C20" s="48">
        <f t="shared" si="0"/>
        <v>35669</v>
      </c>
      <c r="D20" s="48">
        <f t="shared" si="0"/>
        <v>33633</v>
      </c>
      <c r="E20" s="48">
        <f t="shared" si="0"/>
        <v>34760</v>
      </c>
      <c r="F20" s="48">
        <f t="shared" si="0"/>
        <v>37458.333333333336</v>
      </c>
      <c r="G20" s="48">
        <f t="shared" si="0"/>
        <v>36162.666666666664</v>
      </c>
      <c r="H20" s="48">
        <f t="shared" si="0"/>
        <v>31489.333333333332</v>
      </c>
      <c r="I20" s="48">
        <f t="shared" si="0"/>
        <v>30759.333333333332</v>
      </c>
      <c r="J20" s="48">
        <f t="shared" si="0"/>
        <v>30692.333333333332</v>
      </c>
      <c r="K20" s="48">
        <f t="shared" si="0"/>
        <v>31195.666666666668</v>
      </c>
      <c r="L20" s="48">
        <f t="shared" si="0"/>
        <v>31754.333333333332</v>
      </c>
      <c r="M20" s="48">
        <f t="shared" si="0"/>
        <v>32940.333333333336</v>
      </c>
      <c r="N20" s="48">
        <f t="shared" si="0"/>
        <v>35144.666666666664</v>
      </c>
      <c r="O20" s="44">
        <f t="shared" si="1"/>
        <v>401659</v>
      </c>
      <c r="P20" s="11">
        <f t="shared" si="2"/>
        <v>37458.333333333336</v>
      </c>
    </row>
    <row r="21" spans="1:16">
      <c r="A21" s="206" t="s">
        <v>15</v>
      </c>
      <c r="B21" s="206" t="s">
        <v>15</v>
      </c>
      <c r="C21" s="48">
        <f t="shared" si="0"/>
        <v>16720</v>
      </c>
      <c r="D21" s="48">
        <f t="shared" si="0"/>
        <v>17796.333333333332</v>
      </c>
      <c r="E21" s="48">
        <f t="shared" si="0"/>
        <v>17521</v>
      </c>
      <c r="F21" s="48">
        <f t="shared" si="0"/>
        <v>18028.666666666668</v>
      </c>
      <c r="G21" s="48">
        <f t="shared" si="0"/>
        <v>17993</v>
      </c>
      <c r="H21" s="48">
        <f t="shared" si="0"/>
        <v>19150.333333333332</v>
      </c>
      <c r="I21" s="48">
        <f t="shared" si="0"/>
        <v>19486</v>
      </c>
      <c r="J21" s="48">
        <f t="shared" si="0"/>
        <v>19080</v>
      </c>
      <c r="K21" s="48">
        <f t="shared" si="0"/>
        <v>18800.666666666668</v>
      </c>
      <c r="L21" s="48">
        <f t="shared" si="0"/>
        <v>19023</v>
      </c>
      <c r="M21" s="48">
        <f t="shared" si="0"/>
        <v>17616</v>
      </c>
      <c r="N21" s="48">
        <f t="shared" si="0"/>
        <v>17173.666666666668</v>
      </c>
      <c r="O21" s="44">
        <f t="shared" si="1"/>
        <v>218388.66666666663</v>
      </c>
      <c r="P21" s="11">
        <f t="shared" si="2"/>
        <v>19486</v>
      </c>
    </row>
    <row r="22" spans="1:16">
      <c r="A22" s="206" t="s">
        <v>19</v>
      </c>
      <c r="B22" s="43" t="s">
        <v>56</v>
      </c>
      <c r="C22" s="48">
        <f t="shared" ref="C22:N28" si="3">AVERAGE(VLOOKUP($B22,$B$48:$P$73,C$9,FALSE),VLOOKUP($B22,$B$83:$N$108,C$9,FALSE),VLOOKUP($B22,$B$118:$N$144,C$9,FALSE))</f>
        <v>20347.666666666668</v>
      </c>
      <c r="D22" s="48">
        <f t="shared" si="3"/>
        <v>23238</v>
      </c>
      <c r="E22" s="48">
        <f t="shared" si="3"/>
        <v>22652.666666666668</v>
      </c>
      <c r="F22" s="48">
        <f t="shared" si="3"/>
        <v>24867.333333333332</v>
      </c>
      <c r="G22" s="48">
        <f t="shared" si="3"/>
        <v>25530.666666666668</v>
      </c>
      <c r="H22" s="48">
        <f t="shared" si="3"/>
        <v>27168.666666666668</v>
      </c>
      <c r="I22" s="48">
        <f t="shared" si="3"/>
        <v>25901</v>
      </c>
      <c r="J22" s="48">
        <f t="shared" si="3"/>
        <v>24779.333333333332</v>
      </c>
      <c r="K22" s="48">
        <f t="shared" si="3"/>
        <v>23908</v>
      </c>
      <c r="L22" s="48">
        <f t="shared" si="3"/>
        <v>21743.666666666668</v>
      </c>
      <c r="M22" s="48">
        <f t="shared" si="3"/>
        <v>21209.333333333332</v>
      </c>
      <c r="N22" s="48">
        <f t="shared" si="3"/>
        <v>20160.666666666668</v>
      </c>
      <c r="O22" s="44">
        <f t="shared" si="1"/>
        <v>281507</v>
      </c>
      <c r="P22" s="11">
        <f t="shared" si="2"/>
        <v>27168.666666666668</v>
      </c>
    </row>
    <row r="23" spans="1:16">
      <c r="A23" s="206" t="s">
        <v>22</v>
      </c>
      <c r="B23" s="43" t="s">
        <v>57</v>
      </c>
      <c r="C23" s="48">
        <f t="shared" si="3"/>
        <v>12983</v>
      </c>
      <c r="D23" s="48">
        <f t="shared" si="3"/>
        <v>14925</v>
      </c>
      <c r="E23" s="48">
        <f t="shared" si="3"/>
        <v>15825.333333333334</v>
      </c>
      <c r="F23" s="48">
        <f t="shared" si="3"/>
        <v>15131</v>
      </c>
      <c r="G23" s="48">
        <f t="shared" si="3"/>
        <v>14015.333333333334</v>
      </c>
      <c r="H23" s="48">
        <f t="shared" si="3"/>
        <v>12335.666666666666</v>
      </c>
      <c r="I23" s="48">
        <f t="shared" si="3"/>
        <v>9845.3333333333339</v>
      </c>
      <c r="J23" s="48">
        <f t="shared" si="3"/>
        <v>10775.666666666666</v>
      </c>
      <c r="K23" s="48">
        <f t="shared" si="3"/>
        <v>14729.333333333334</v>
      </c>
      <c r="L23" s="48">
        <f t="shared" si="3"/>
        <v>13991.333333333334</v>
      </c>
      <c r="M23" s="48">
        <f t="shared" si="3"/>
        <v>15532.666666666666</v>
      </c>
      <c r="N23" s="48">
        <f t="shared" si="3"/>
        <v>15535</v>
      </c>
      <c r="O23" s="44">
        <f t="shared" si="1"/>
        <v>165624.66666666666</v>
      </c>
      <c r="P23" s="11">
        <f t="shared" si="2"/>
        <v>15825.333333333334</v>
      </c>
    </row>
    <row r="24" spans="1:16">
      <c r="A24" s="206" t="s">
        <v>687</v>
      </c>
      <c r="B24" s="43" t="s">
        <v>48</v>
      </c>
      <c r="C24" s="48">
        <f t="shared" si="3"/>
        <v>30072080.333333332</v>
      </c>
      <c r="D24" s="48">
        <f t="shared" si="3"/>
        <v>27468514.666666668</v>
      </c>
      <c r="E24" s="48">
        <f t="shared" si="3"/>
        <v>24986451.666666668</v>
      </c>
      <c r="F24" s="48">
        <f t="shared" si="3"/>
        <v>24027886</v>
      </c>
      <c r="G24" s="48">
        <f t="shared" si="3"/>
        <v>23302354</v>
      </c>
      <c r="H24" s="48">
        <f t="shared" si="3"/>
        <v>24331787</v>
      </c>
      <c r="I24" s="48">
        <f t="shared" si="3"/>
        <v>24663181</v>
      </c>
      <c r="J24" s="48">
        <f t="shared" si="3"/>
        <v>25280643</v>
      </c>
      <c r="K24" s="48">
        <f t="shared" si="3"/>
        <v>27489512.666666668</v>
      </c>
      <c r="L24" s="48">
        <f t="shared" si="3"/>
        <v>25862162.666666668</v>
      </c>
      <c r="M24" s="48">
        <f t="shared" si="3"/>
        <v>27757161.666666668</v>
      </c>
      <c r="N24" s="48">
        <f t="shared" si="3"/>
        <v>26071962</v>
      </c>
      <c r="O24" s="44">
        <f t="shared" si="1"/>
        <v>311313696.66666669</v>
      </c>
      <c r="P24" s="11">
        <f t="shared" si="2"/>
        <v>30072080.333333332</v>
      </c>
    </row>
    <row r="25" spans="1:16">
      <c r="A25" s="206" t="s">
        <v>35</v>
      </c>
      <c r="B25" s="43" t="s">
        <v>53</v>
      </c>
      <c r="C25" s="48">
        <f t="shared" si="3"/>
        <v>100506.33333333333</v>
      </c>
      <c r="D25" s="48">
        <f t="shared" si="3"/>
        <v>115935</v>
      </c>
      <c r="E25" s="48">
        <f t="shared" si="3"/>
        <v>120561</v>
      </c>
      <c r="F25" s="48">
        <f t="shared" si="3"/>
        <v>126040</v>
      </c>
      <c r="G25" s="48">
        <f t="shared" si="3"/>
        <v>130040.33333333333</v>
      </c>
      <c r="H25" s="48">
        <f t="shared" si="3"/>
        <v>137130.33333333334</v>
      </c>
      <c r="I25" s="48">
        <f t="shared" si="3"/>
        <v>126049.33333333333</v>
      </c>
      <c r="J25" s="48">
        <f t="shared" si="3"/>
        <v>132840.33333333334</v>
      </c>
      <c r="K25" s="48">
        <f t="shared" si="3"/>
        <v>123237.33333333333</v>
      </c>
      <c r="L25" s="48">
        <f t="shared" si="3"/>
        <v>101234.33333333333</v>
      </c>
      <c r="M25" s="48">
        <f t="shared" si="3"/>
        <v>113080</v>
      </c>
      <c r="N25" s="48">
        <f t="shared" si="3"/>
        <v>107623</v>
      </c>
      <c r="O25" s="44">
        <f t="shared" si="1"/>
        <v>1434277.3333333333</v>
      </c>
      <c r="P25" s="11">
        <f t="shared" si="2"/>
        <v>137130.33333333334</v>
      </c>
    </row>
    <row r="26" spans="1:16">
      <c r="A26" s="206" t="s">
        <v>38</v>
      </c>
      <c r="B26" s="43" t="s">
        <v>55</v>
      </c>
      <c r="C26" s="48">
        <f t="shared" si="3"/>
        <v>3507.3333333333335</v>
      </c>
      <c r="D26" s="48">
        <f t="shared" si="3"/>
        <v>3843</v>
      </c>
      <c r="E26" s="48">
        <f t="shared" si="3"/>
        <v>3523</v>
      </c>
      <c r="F26" s="48">
        <f t="shared" si="3"/>
        <v>3637</v>
      </c>
      <c r="G26" s="48">
        <f t="shared" si="3"/>
        <v>3508</v>
      </c>
      <c r="H26" s="48">
        <f t="shared" si="3"/>
        <v>3474</v>
      </c>
      <c r="I26" s="48">
        <f t="shared" si="3"/>
        <v>3502.6666666666665</v>
      </c>
      <c r="J26" s="48">
        <f t="shared" si="3"/>
        <v>3509.6666666666665</v>
      </c>
      <c r="K26" s="48">
        <f t="shared" si="3"/>
        <v>3497</v>
      </c>
      <c r="L26" s="48">
        <f t="shared" si="3"/>
        <v>3502.6666666666665</v>
      </c>
      <c r="M26" s="48">
        <f t="shared" si="3"/>
        <v>3608.3333333333335</v>
      </c>
      <c r="N26" s="48">
        <f t="shared" si="3"/>
        <v>3514.6666666666665</v>
      </c>
      <c r="O26" s="44">
        <f t="shared" si="1"/>
        <v>42627.333333333336</v>
      </c>
      <c r="P26" s="11">
        <f t="shared" si="2"/>
        <v>3843</v>
      </c>
    </row>
    <row r="27" spans="1:16">
      <c r="A27" s="206" t="s">
        <v>40</v>
      </c>
      <c r="B27" s="43" t="s">
        <v>87</v>
      </c>
      <c r="C27" s="48">
        <f t="shared" si="3"/>
        <v>1730.3333333333333</v>
      </c>
      <c r="D27" s="48">
        <f t="shared" si="3"/>
        <v>3279.6666666666665</v>
      </c>
      <c r="E27" s="48">
        <f t="shared" si="3"/>
        <v>5393.666666666667</v>
      </c>
      <c r="F27" s="48">
        <f t="shared" si="3"/>
        <v>3804.6666666666665</v>
      </c>
      <c r="G27" s="48">
        <f t="shared" si="3"/>
        <v>4006.3333333333335</v>
      </c>
      <c r="H27" s="48">
        <f t="shared" si="3"/>
        <v>3376.6666666666665</v>
      </c>
      <c r="I27" s="48">
        <f t="shared" si="3"/>
        <v>4269.333333333333</v>
      </c>
      <c r="J27" s="48">
        <f t="shared" si="3"/>
        <v>4932</v>
      </c>
      <c r="K27" s="48">
        <f t="shared" si="3"/>
        <v>4202.666666666667</v>
      </c>
      <c r="L27" s="48">
        <f t="shared" si="3"/>
        <v>5739.333333333333</v>
      </c>
      <c r="M27" s="48">
        <f t="shared" si="3"/>
        <v>4559</v>
      </c>
      <c r="N27" s="48">
        <f t="shared" si="3"/>
        <v>4594.333333333333</v>
      </c>
      <c r="O27" s="44">
        <f t="shared" si="1"/>
        <v>49888.000000000007</v>
      </c>
      <c r="P27" s="11">
        <f t="shared" si="2"/>
        <v>5739.333333333333</v>
      </c>
    </row>
    <row r="28" spans="1:16">
      <c r="A28" s="206" t="s">
        <v>45</v>
      </c>
      <c r="B28" s="43" t="s">
        <v>88</v>
      </c>
      <c r="C28" s="48">
        <f t="shared" si="3"/>
        <v>75256</v>
      </c>
      <c r="D28" s="48">
        <f t="shared" si="3"/>
        <v>59589.333333333336</v>
      </c>
      <c r="E28" s="48">
        <f t="shared" si="3"/>
        <v>77184.333333333328</v>
      </c>
      <c r="F28" s="48">
        <f t="shared" si="3"/>
        <v>81118</v>
      </c>
      <c r="G28" s="48">
        <f t="shared" si="3"/>
        <v>86539.333333333328</v>
      </c>
      <c r="H28" s="48">
        <f t="shared" si="3"/>
        <v>63756.666666666664</v>
      </c>
      <c r="I28" s="48">
        <f t="shared" si="3"/>
        <v>45557</v>
      </c>
      <c r="J28" s="48">
        <f t="shared" si="3"/>
        <v>69575.666666666672</v>
      </c>
      <c r="K28" s="48">
        <f t="shared" si="3"/>
        <v>88197.666666666672</v>
      </c>
      <c r="L28" s="48">
        <f t="shared" si="3"/>
        <v>79973</v>
      </c>
      <c r="M28" s="48">
        <f t="shared" si="3"/>
        <v>86321</v>
      </c>
      <c r="N28" s="48">
        <f t="shared" si="3"/>
        <v>72732</v>
      </c>
      <c r="O28" s="44">
        <f t="shared" si="1"/>
        <v>885800</v>
      </c>
      <c r="P28" s="11">
        <f t="shared" si="2"/>
        <v>88197.666666666672</v>
      </c>
    </row>
    <row r="29" spans="1:16">
      <c r="C29" s="48"/>
      <c r="D29" s="48"/>
      <c r="E29" s="48"/>
      <c r="F29" s="48"/>
      <c r="G29" s="48"/>
      <c r="H29" s="48"/>
      <c r="I29" s="48"/>
      <c r="J29" s="48"/>
      <c r="K29" s="48"/>
      <c r="L29" s="48"/>
      <c r="M29" s="48"/>
      <c r="N29" s="48"/>
      <c r="O29" s="44"/>
      <c r="P29" s="11"/>
    </row>
    <row r="30" spans="1:16">
      <c r="C30" s="48"/>
      <c r="D30" s="48"/>
      <c r="E30" s="48"/>
      <c r="F30" s="48"/>
      <c r="G30" s="48"/>
      <c r="H30" s="48"/>
      <c r="I30" s="48"/>
      <c r="J30" s="48"/>
      <c r="K30" s="48"/>
      <c r="L30" s="48"/>
      <c r="M30" s="48"/>
      <c r="N30" s="48"/>
      <c r="O30" s="44"/>
      <c r="P30" s="11"/>
    </row>
    <row r="31" spans="1:16">
      <c r="B31" s="42" t="s">
        <v>86</v>
      </c>
      <c r="C31" s="10"/>
      <c r="D31" s="10"/>
      <c r="E31" s="10"/>
      <c r="F31" s="10"/>
      <c r="G31" s="10"/>
      <c r="H31" s="10"/>
      <c r="I31" s="10"/>
      <c r="J31" s="10"/>
      <c r="K31" s="10"/>
      <c r="L31" s="10"/>
      <c r="M31" s="10"/>
      <c r="N31" s="10"/>
    </row>
    <row r="32" spans="1:16">
      <c r="A32" s="206" t="s">
        <v>603</v>
      </c>
      <c r="B32" t="s">
        <v>603</v>
      </c>
      <c r="C32" s="48">
        <f>AVERAGE(VLOOKUP($B32,$B$83:$N$108,C$9,FALSE),VLOOKUP($B32,$B$118:$N$144,C$9,FALSE))</f>
        <v>7517</v>
      </c>
      <c r="D32" s="48">
        <f>AVERAGE(VLOOKUP($B32,$B$83:$N$108,D$9,FALSE),VLOOKUP($B32,$B$118:$N$144,D$9,FALSE))</f>
        <v>6794</v>
      </c>
      <c r="E32" s="48">
        <f>AVERAGE(VLOOKUP($B32,$B$83:$N$108,E$9,FALSE),VLOOKUP($B32,$B$118:$N$144,E$9,FALSE))</f>
        <v>6312.5</v>
      </c>
      <c r="F32" s="48">
        <f>AVERAGE(VLOOKUP($B32,$B$83:$N$108,F$9,FALSE),VLOOKUP($B32,$B$118:$N$144,F$9,FALSE))</f>
        <v>6419.5</v>
      </c>
      <c r="G32" s="48">
        <f t="shared" ref="G32:N34" si="4">AVERAGE(VLOOKUP($B32,$B$48:$P$73,G$9,FALSE),VLOOKUP($B32,$B$83:$N$108,G$9,FALSE),VLOOKUP($B32,$B$118:$N$144,G$9,FALSE))</f>
        <v>7721.666666666667</v>
      </c>
      <c r="H32" s="48">
        <f t="shared" si="4"/>
        <v>8130.666666666667</v>
      </c>
      <c r="I32" s="48">
        <f t="shared" si="4"/>
        <v>8394.6666666666661</v>
      </c>
      <c r="J32" s="48">
        <f t="shared" si="4"/>
        <v>8500.6666666666661</v>
      </c>
      <c r="K32" s="48">
        <f t="shared" si="4"/>
        <v>8027</v>
      </c>
      <c r="L32" s="48">
        <f t="shared" si="4"/>
        <v>6863.333333333333</v>
      </c>
      <c r="M32" s="48">
        <f t="shared" si="4"/>
        <v>6411.333333333333</v>
      </c>
      <c r="N32" s="48">
        <f t="shared" si="4"/>
        <v>6416.333333333333</v>
      </c>
      <c r="O32" s="44">
        <f t="shared" ref="O32:O38" si="5">SUM(C32:N32)</f>
        <v>87508.666666666642</v>
      </c>
      <c r="P32" s="11">
        <f t="shared" ref="P32:P38" si="6">MAX(C32:N32)</f>
        <v>8500.6666666666661</v>
      </c>
    </row>
    <row r="33" spans="1:16">
      <c r="A33" s="206" t="s">
        <v>245</v>
      </c>
      <c r="B33" t="s">
        <v>983</v>
      </c>
      <c r="C33" s="48">
        <f t="shared" ref="C33:F34" si="7">AVERAGE(VLOOKUP($B33,$B$48:$P$73,C$9,FALSE),VLOOKUP($B33,$B$83:$N$108,C$9,FALSE),VLOOKUP($B33,$B$118:$N$144,C$9,FALSE))</f>
        <v>108652.33333333333</v>
      </c>
      <c r="D33" s="48">
        <f t="shared" si="7"/>
        <v>114882.66666666667</v>
      </c>
      <c r="E33" s="48">
        <f t="shared" si="7"/>
        <v>121209</v>
      </c>
      <c r="F33" s="48">
        <f t="shared" si="7"/>
        <v>127835.66666666667</v>
      </c>
      <c r="G33" s="48">
        <f t="shared" si="4"/>
        <v>136705.33333333334</v>
      </c>
      <c r="H33" s="48">
        <f t="shared" si="4"/>
        <v>141186.33333333334</v>
      </c>
      <c r="I33" s="48">
        <f t="shared" si="4"/>
        <v>151668.33333333334</v>
      </c>
      <c r="J33" s="48">
        <f t="shared" si="4"/>
        <v>148027</v>
      </c>
      <c r="K33" s="48">
        <f t="shared" si="4"/>
        <v>139787.33333333334</v>
      </c>
      <c r="L33" s="48">
        <f t="shared" si="4"/>
        <v>130594.66666666667</v>
      </c>
      <c r="M33" s="48">
        <f t="shared" si="4"/>
        <v>105552.66666666667</v>
      </c>
      <c r="N33" s="48">
        <f t="shared" si="4"/>
        <v>115365.33333333333</v>
      </c>
      <c r="O33" s="44">
        <f t="shared" si="5"/>
        <v>1541466.6666666667</v>
      </c>
      <c r="P33" s="11">
        <f t="shared" si="6"/>
        <v>151668.33333333334</v>
      </c>
    </row>
    <row r="34" spans="1:16">
      <c r="A34" s="206" t="s">
        <v>661</v>
      </c>
      <c r="B34" t="s">
        <v>984</v>
      </c>
      <c r="C34" s="48">
        <f t="shared" si="7"/>
        <v>385883.33333333331</v>
      </c>
      <c r="D34" s="48">
        <f t="shared" si="7"/>
        <v>336616.66666666669</v>
      </c>
      <c r="E34" s="48">
        <f t="shared" si="7"/>
        <v>324405.33333333331</v>
      </c>
      <c r="F34" s="48">
        <f t="shared" si="7"/>
        <v>384016.66666666669</v>
      </c>
      <c r="G34" s="48">
        <f t="shared" si="4"/>
        <v>398941.66666666669</v>
      </c>
      <c r="H34" s="48">
        <f t="shared" si="4"/>
        <v>420159.66666666669</v>
      </c>
      <c r="I34" s="48">
        <f t="shared" si="4"/>
        <v>420497</v>
      </c>
      <c r="J34" s="48">
        <f t="shared" si="4"/>
        <v>437258.33333333331</v>
      </c>
      <c r="K34" s="48">
        <f t="shared" si="4"/>
        <v>410711</v>
      </c>
      <c r="L34" s="48">
        <f t="shared" si="4"/>
        <v>398998.33333333331</v>
      </c>
      <c r="M34" s="48">
        <f t="shared" si="4"/>
        <v>316854</v>
      </c>
      <c r="N34" s="48">
        <f t="shared" si="4"/>
        <v>307522</v>
      </c>
      <c r="O34" s="44">
        <f t="shared" si="5"/>
        <v>4541864</v>
      </c>
      <c r="P34" s="11">
        <f t="shared" si="6"/>
        <v>437258.33333333331</v>
      </c>
    </row>
    <row r="35" spans="1:16">
      <c r="A35" s="206" t="s">
        <v>673</v>
      </c>
      <c r="B35" t="s">
        <v>985</v>
      </c>
      <c r="C35" s="48">
        <f t="shared" ref="C35:N36" si="8">AVERAGE(VLOOKUP($B35,$B$118:$N$144,C$9,FALSE))</f>
        <v>0</v>
      </c>
      <c r="D35" s="48">
        <f t="shared" si="8"/>
        <v>35000</v>
      </c>
      <c r="E35" s="48">
        <f t="shared" si="8"/>
        <v>20000</v>
      </c>
      <c r="F35" s="48">
        <f t="shared" si="8"/>
        <v>10000</v>
      </c>
      <c r="G35" s="48">
        <f t="shared" si="8"/>
        <v>20000</v>
      </c>
      <c r="H35" s="48">
        <f t="shared" si="8"/>
        <v>35000</v>
      </c>
      <c r="I35" s="48">
        <f t="shared" si="8"/>
        <v>35000</v>
      </c>
      <c r="J35" s="48">
        <f t="shared" si="8"/>
        <v>35000</v>
      </c>
      <c r="K35" s="48">
        <f t="shared" si="8"/>
        <v>25000</v>
      </c>
      <c r="L35" s="48">
        <f t="shared" si="8"/>
        <v>20000</v>
      </c>
      <c r="M35" s="48">
        <f t="shared" si="8"/>
        <v>10000</v>
      </c>
      <c r="N35" s="48">
        <f t="shared" si="8"/>
        <v>20000</v>
      </c>
      <c r="O35" s="44">
        <f t="shared" si="5"/>
        <v>265000</v>
      </c>
      <c r="P35" s="11">
        <f t="shared" si="6"/>
        <v>35000</v>
      </c>
    </row>
    <row r="36" spans="1:16">
      <c r="A36" s="206" t="s">
        <v>691</v>
      </c>
      <c r="B36" t="s">
        <v>691</v>
      </c>
      <c r="C36" s="48">
        <f t="shared" si="8"/>
        <v>0</v>
      </c>
      <c r="D36" s="48">
        <f t="shared" si="8"/>
        <v>0</v>
      </c>
      <c r="E36" s="48">
        <f t="shared" si="8"/>
        <v>0</v>
      </c>
      <c r="F36" s="48">
        <f t="shared" si="8"/>
        <v>0</v>
      </c>
      <c r="G36" s="48">
        <f t="shared" si="8"/>
        <v>0</v>
      </c>
      <c r="H36" s="48">
        <f t="shared" si="8"/>
        <v>200000</v>
      </c>
      <c r="I36" s="48">
        <f t="shared" si="8"/>
        <v>200000</v>
      </c>
      <c r="J36" s="48">
        <f t="shared" si="8"/>
        <v>200000</v>
      </c>
      <c r="K36" s="48">
        <f t="shared" si="8"/>
        <v>200000</v>
      </c>
      <c r="L36" s="48">
        <f t="shared" si="8"/>
        <v>200000</v>
      </c>
      <c r="M36" s="48">
        <f t="shared" si="8"/>
        <v>225000</v>
      </c>
      <c r="N36" s="48">
        <f t="shared" si="8"/>
        <v>200000</v>
      </c>
      <c r="O36" s="44">
        <f t="shared" si="5"/>
        <v>1425000</v>
      </c>
      <c r="P36" s="11">
        <f t="shared" si="6"/>
        <v>225000</v>
      </c>
    </row>
    <row r="37" spans="1:16">
      <c r="A37" s="206" t="s">
        <v>724</v>
      </c>
      <c r="B37" t="s">
        <v>724</v>
      </c>
      <c r="C37" s="48">
        <f t="shared" ref="C37:N37" si="9">AVERAGE(VLOOKUP($B37,$B$48:$P$73,C$9,FALSE),VLOOKUP($B37,$B$83:$N$108,C$9,FALSE),VLOOKUP($B37,$B$118:$N$144,C$9,FALSE))</f>
        <v>11511.666666666666</v>
      </c>
      <c r="D37" s="48">
        <f t="shared" si="9"/>
        <v>10714.666666666666</v>
      </c>
      <c r="E37" s="48">
        <f t="shared" si="9"/>
        <v>10339.666666666666</v>
      </c>
      <c r="F37" s="48">
        <f t="shared" si="9"/>
        <v>11901.333333333334</v>
      </c>
      <c r="G37" s="48">
        <f t="shared" si="9"/>
        <v>12718</v>
      </c>
      <c r="H37" s="48">
        <f t="shared" si="9"/>
        <v>13161.666666666666</v>
      </c>
      <c r="I37" s="48">
        <f t="shared" si="9"/>
        <v>12958</v>
      </c>
      <c r="J37" s="48">
        <f t="shared" si="9"/>
        <v>13587.666666666666</v>
      </c>
      <c r="K37" s="48">
        <f t="shared" si="9"/>
        <v>12992.666666666666</v>
      </c>
      <c r="L37" s="48">
        <f t="shared" si="9"/>
        <v>12118.333333333334</v>
      </c>
      <c r="M37" s="48">
        <f t="shared" si="9"/>
        <v>9327.6666666666661</v>
      </c>
      <c r="N37" s="48">
        <f t="shared" si="9"/>
        <v>9742.6666666666661</v>
      </c>
      <c r="O37" s="44">
        <f t="shared" si="5"/>
        <v>141074</v>
      </c>
      <c r="P37" s="11">
        <f t="shared" si="6"/>
        <v>13587.666666666666</v>
      </c>
    </row>
    <row r="38" spans="1:16">
      <c r="A38" s="206" t="s">
        <v>727</v>
      </c>
      <c r="B38" t="s">
        <v>986</v>
      </c>
      <c r="C38" s="48">
        <f t="shared" ref="C38:N38" si="10">AVERAGE(VLOOKUP($B38,$B$118:$N$144,C$9,FALSE))</f>
        <v>23000</v>
      </c>
      <c r="D38" s="48">
        <f t="shared" si="10"/>
        <v>23000</v>
      </c>
      <c r="E38" s="48">
        <f t="shared" si="10"/>
        <v>23000</v>
      </c>
      <c r="F38" s="48">
        <f t="shared" si="10"/>
        <v>23000</v>
      </c>
      <c r="G38" s="48">
        <f t="shared" si="10"/>
        <v>23000</v>
      </c>
      <c r="H38" s="48">
        <f t="shared" si="10"/>
        <v>23000</v>
      </c>
      <c r="I38" s="48">
        <f t="shared" si="10"/>
        <v>23000</v>
      </c>
      <c r="J38" s="48">
        <f t="shared" si="10"/>
        <v>23000</v>
      </c>
      <c r="K38" s="48">
        <f t="shared" si="10"/>
        <v>23000</v>
      </c>
      <c r="L38" s="48">
        <f t="shared" si="10"/>
        <v>23000</v>
      </c>
      <c r="M38" s="48">
        <f t="shared" si="10"/>
        <v>23000</v>
      </c>
      <c r="N38" s="48">
        <f t="shared" si="10"/>
        <v>23000</v>
      </c>
      <c r="O38" s="44">
        <f t="shared" si="5"/>
        <v>276000</v>
      </c>
      <c r="P38" s="11">
        <f t="shared" si="6"/>
        <v>23000</v>
      </c>
    </row>
    <row r="39" spans="1:16">
      <c r="B39" s="43"/>
    </row>
    <row r="40" spans="1:16" ht="21">
      <c r="B40" s="611" t="s">
        <v>989</v>
      </c>
      <c r="C40" s="611"/>
      <c r="D40" s="611"/>
      <c r="E40" s="611"/>
      <c r="F40" s="611"/>
      <c r="G40" s="611"/>
      <c r="H40" s="611"/>
      <c r="I40" s="611"/>
      <c r="J40" s="611"/>
      <c r="K40" s="611"/>
      <c r="L40" s="611"/>
      <c r="M40" s="611"/>
      <c r="N40" s="611"/>
      <c r="O40" s="611"/>
      <c r="P40" s="611"/>
    </row>
    <row r="41" spans="1:16" ht="17.399999999999999">
      <c r="B41" s="610" t="str">
        <f>+MANUAL!$B$5 &amp;" as Calculated by LodeStar Except as Noted"</f>
        <v>2012 as Calculated by LodeStar Except as Noted</v>
      </c>
      <c r="C41" s="610"/>
      <c r="D41" s="610"/>
      <c r="E41" s="610"/>
      <c r="F41" s="610"/>
      <c r="G41" s="610"/>
      <c r="H41" s="610"/>
      <c r="I41" s="610"/>
      <c r="J41" s="610"/>
      <c r="K41" s="610"/>
      <c r="L41" s="610"/>
      <c r="M41" s="610"/>
      <c r="N41" s="610"/>
      <c r="O41" s="610"/>
      <c r="P41" s="610"/>
    </row>
    <row r="42" spans="1:16" ht="13.8" thickBot="1">
      <c r="B42" s="300"/>
      <c r="C42" s="300"/>
      <c r="D42" s="300"/>
      <c r="E42" s="300"/>
      <c r="F42" s="300"/>
      <c r="G42" s="300"/>
      <c r="H42" s="300"/>
      <c r="I42" s="300"/>
      <c r="J42" s="300"/>
      <c r="K42" s="300"/>
      <c r="L42" s="300"/>
      <c r="M42" s="300"/>
      <c r="N42" s="300"/>
      <c r="O42" s="300"/>
      <c r="P42" s="300"/>
    </row>
    <row r="43" spans="1:16" ht="409.6">
      <c r="C43" s="14"/>
      <c r="D43" s="15"/>
      <c r="E43" s="16"/>
      <c r="F43" s="17"/>
      <c r="G43" s="18"/>
      <c r="H43" s="19"/>
      <c r="I43" s="20"/>
      <c r="J43" s="21"/>
      <c r="K43" s="22"/>
      <c r="L43" s="23"/>
      <c r="M43" s="24"/>
      <c r="N43" s="25"/>
      <c r="O43" s="26"/>
      <c r="P43" s="27" t="s">
        <v>576</v>
      </c>
    </row>
    <row r="44" spans="1:16" ht="13.8" thickBot="1">
      <c r="C44" s="28" t="s">
        <v>70</v>
      </c>
      <c r="D44" s="29" t="s">
        <v>71</v>
      </c>
      <c r="E44" s="30" t="s">
        <v>72</v>
      </c>
      <c r="F44" s="31" t="s">
        <v>73</v>
      </c>
      <c r="G44" s="32" t="s">
        <v>74</v>
      </c>
      <c r="H44" s="33" t="s">
        <v>75</v>
      </c>
      <c r="I44" s="34" t="s">
        <v>76</v>
      </c>
      <c r="J44" s="35" t="s">
        <v>77</v>
      </c>
      <c r="K44" s="36" t="s">
        <v>78</v>
      </c>
      <c r="L44" s="37" t="s">
        <v>79</v>
      </c>
      <c r="M44" s="38" t="s">
        <v>80</v>
      </c>
      <c r="N44" s="39" t="s">
        <v>81</v>
      </c>
      <c r="O44" s="40" t="s">
        <v>60</v>
      </c>
      <c r="P44" s="41" t="s">
        <v>82</v>
      </c>
    </row>
    <row r="45" spans="1:16" hidden="1">
      <c r="C45">
        <v>4</v>
      </c>
      <c r="D45">
        <f>C45+1</f>
        <v>5</v>
      </c>
      <c r="E45">
        <f t="shared" ref="E45:N45" si="11">D45+1</f>
        <v>6</v>
      </c>
      <c r="F45">
        <f t="shared" si="11"/>
        <v>7</v>
      </c>
      <c r="G45">
        <f t="shared" si="11"/>
        <v>8</v>
      </c>
      <c r="H45">
        <f t="shared" si="11"/>
        <v>9</v>
      </c>
      <c r="I45">
        <f t="shared" si="11"/>
        <v>10</v>
      </c>
      <c r="J45">
        <f t="shared" si="11"/>
        <v>11</v>
      </c>
      <c r="K45">
        <f t="shared" si="11"/>
        <v>12</v>
      </c>
      <c r="L45">
        <f t="shared" si="11"/>
        <v>13</v>
      </c>
      <c r="M45">
        <f t="shared" si="11"/>
        <v>14</v>
      </c>
      <c r="N45">
        <f t="shared" si="11"/>
        <v>15</v>
      </c>
    </row>
    <row r="47" spans="1:16">
      <c r="B47" s="42" t="s">
        <v>83</v>
      </c>
    </row>
    <row r="48" spans="1:16">
      <c r="A48" t="s">
        <v>122</v>
      </c>
      <c r="B48" s="43" t="s">
        <v>84</v>
      </c>
      <c r="C48" s="82">
        <f>VLOOKUP($A48&amp;"NCP",'E11 - 2012 09 Final'!$A$46:$P$2419,$C$45,FALSE)</f>
        <v>464891</v>
      </c>
      <c r="D48" s="82">
        <f>VLOOKUP($A48&amp;"NCP",'E11 - 2012 09 Final'!$A$46:$P$2419,$D$45,FALSE)</f>
        <v>450121</v>
      </c>
      <c r="E48" s="82">
        <f>VLOOKUP($A48&amp;"NCP",'E11 - 2012 09 Final'!$A$46:$P$2419,$E$45,FALSE)</f>
        <v>436741</v>
      </c>
      <c r="F48" s="82">
        <f>VLOOKUP($A48&amp;"NCP",'E11 - 2012 09 Final'!$A$46:$P$2419,$F$45,FALSE)</f>
        <v>472311</v>
      </c>
      <c r="G48" s="82">
        <f>VLOOKUP($A48&amp;"NCP",'E11 - 2012 09 Final'!$A$46:$P$2419,$G$45,FALSE)</f>
        <v>445083</v>
      </c>
      <c r="H48" s="82">
        <f>VLOOKUP($A48&amp;"NCP",'E11 - 2012 09 Final'!$A$46:$P$2419,$H$45,FALSE)</f>
        <v>489022</v>
      </c>
      <c r="I48" s="82">
        <f>VLOOKUP($A48&amp;"NCP",'E11 - 2012 09 Final'!$A$46:$P$2419,$I$45,FALSE)</f>
        <v>464823</v>
      </c>
      <c r="J48" s="82">
        <f>VLOOKUP($A48&amp;"NCP",'E11 - 2012 09 Final'!$A$46:$P$2419,$J$45,FALSE)</f>
        <v>479985</v>
      </c>
      <c r="K48" s="82">
        <f>VLOOKUP($A48&amp;"NCP",'E11 - 2012 09 Final'!$A$46:$P$2419,$K$45,FALSE)</f>
        <v>482019</v>
      </c>
      <c r="L48" s="82">
        <f>VLOOKUP($A48&amp;"NCP",'E11 - 2012 09 Final'!$A$46:$P$2419,$L$45,FALSE)</f>
        <v>466700</v>
      </c>
      <c r="M48" s="82">
        <f>VLOOKUP($A48&amp;"NCP",'E11 - 2012 09 Final'!$A$46:$P$2419,$M$45,FALSE)</f>
        <v>448728</v>
      </c>
      <c r="N48" s="82">
        <f>VLOOKUP($A48&amp;"NCP",'E11 - 2012 09 Final'!$A$46:$P$2419,$N$45,FALSE)</f>
        <v>443355</v>
      </c>
      <c r="O48" s="44">
        <f t="shared" ref="O48:O64" si="12">SUM(C48:N48)</f>
        <v>5543779</v>
      </c>
      <c r="P48" s="11">
        <f t="shared" ref="P48:P64" si="13">MAX(C48:N48)</f>
        <v>489022</v>
      </c>
    </row>
    <row r="49" spans="1:16">
      <c r="A49" t="s">
        <v>177</v>
      </c>
      <c r="B49" s="43" t="s">
        <v>85</v>
      </c>
      <c r="C49" s="82">
        <f>VLOOKUP($A49&amp;"NCP",'E11 - 2012 09 Final'!$A$46:$P$2419,$C$45,FALSE)</f>
        <v>31607</v>
      </c>
      <c r="D49" s="82">
        <f>VLOOKUP($A49&amp;"NCP",'E11 - 2012 09 Final'!$A$46:$P$2419,$D$45,FALSE)</f>
        <v>29796</v>
      </c>
      <c r="E49" s="82">
        <f>VLOOKUP($A49&amp;"NCP",'E11 - 2012 09 Final'!$A$46:$P$2419,$E$45,FALSE)</f>
        <v>27723</v>
      </c>
      <c r="F49" s="82">
        <f>VLOOKUP($A49&amp;"NCP",'E11 - 2012 09 Final'!$A$46:$P$2419,$F$45,FALSE)</f>
        <v>31416</v>
      </c>
      <c r="G49" s="82">
        <f>VLOOKUP($A49&amp;"NCP",'E11 - 2012 09 Final'!$A$46:$P$2419,$G$45,FALSE)</f>
        <v>29917</v>
      </c>
      <c r="H49" s="82">
        <f>VLOOKUP($A49&amp;"NCP",'E11 - 2012 09 Final'!$A$46:$P$2419,$H$45,FALSE)</f>
        <v>32318</v>
      </c>
      <c r="I49" s="82">
        <f>VLOOKUP($A49&amp;"NCP",'E11 - 2012 09 Final'!$A$46:$P$2419,$I$45,FALSE)</f>
        <v>31252</v>
      </c>
      <c r="J49" s="82">
        <f>VLOOKUP($A49&amp;"NCP",'E11 - 2012 09 Final'!$A$46:$P$2419,$J$45,FALSE)</f>
        <v>32184</v>
      </c>
      <c r="K49" s="82">
        <f>VLOOKUP($A49&amp;"NCP",'E11 - 2012 09 Final'!$A$46:$P$2419,$K$45,FALSE)</f>
        <v>33086</v>
      </c>
      <c r="L49" s="82">
        <f>VLOOKUP($A49&amp;"NCP",'E11 - 2012 09 Final'!$A$46:$P$2419,$L$45,FALSE)</f>
        <v>31548</v>
      </c>
      <c r="M49" s="82">
        <f>VLOOKUP($A49&amp;"NCP",'E11 - 2012 09 Final'!$A$46:$P$2419,$M$45,FALSE)</f>
        <v>30268</v>
      </c>
      <c r="N49" s="82">
        <f>VLOOKUP($A49&amp;"NCP",'E11 - 2012 09 Final'!$A$46:$P$2419,$N$45,FALSE)</f>
        <v>29476</v>
      </c>
      <c r="O49" s="44">
        <f t="shared" si="12"/>
        <v>370591</v>
      </c>
      <c r="P49" s="11">
        <f t="shared" si="13"/>
        <v>33086</v>
      </c>
    </row>
    <row r="50" spans="1:16">
      <c r="A50" t="s">
        <v>185</v>
      </c>
      <c r="B50" s="43" t="s">
        <v>50</v>
      </c>
      <c r="C50" s="82">
        <f>VLOOKUP($A50&amp;"NCP",'E11 - 2012 09 Final'!$A$46:$P$2419,$C$45,FALSE)</f>
        <v>217973</v>
      </c>
      <c r="D50" s="82">
        <f>VLOOKUP($A50&amp;"NCP",'E11 - 2012 09 Final'!$A$46:$P$2419,$D$45,FALSE)</f>
        <v>187035</v>
      </c>
      <c r="E50" s="82">
        <f>VLOOKUP($A50&amp;"NCP",'E11 - 2012 09 Final'!$A$46:$P$2419,$E$45,FALSE)</f>
        <v>215155</v>
      </c>
      <c r="F50" s="82">
        <f>VLOOKUP($A50&amp;"NCP",'E11 - 2012 09 Final'!$A$46:$P$2419,$F$45,FALSE)</f>
        <v>194563</v>
      </c>
      <c r="G50" s="82">
        <f>VLOOKUP($A50&amp;"NCP",'E11 - 2012 09 Final'!$A$46:$P$2419,$G$45,FALSE)</f>
        <v>211637</v>
      </c>
      <c r="H50" s="82">
        <f>VLOOKUP($A50&amp;"NCP",'E11 - 2012 09 Final'!$A$46:$P$2419,$H$45,FALSE)</f>
        <v>207944</v>
      </c>
      <c r="I50" s="82">
        <f>VLOOKUP($A50&amp;"NCP",'E11 - 2012 09 Final'!$A$46:$P$2419,$I$45,FALSE)</f>
        <v>219513</v>
      </c>
      <c r="J50" s="82">
        <f>VLOOKUP($A50&amp;"NCP",'E11 - 2012 09 Final'!$A$46:$P$2419,$J$45,FALSE)</f>
        <v>215704</v>
      </c>
      <c r="K50" s="82">
        <f>VLOOKUP($A50&amp;"NCP",'E11 - 2012 09 Final'!$A$46:$P$2419,$K$45,FALSE)</f>
        <v>217027</v>
      </c>
      <c r="L50" s="82">
        <f>VLOOKUP($A50&amp;"NCP",'E11 - 2012 09 Final'!$A$46:$P$2419,$L$45,FALSE)</f>
        <v>221144</v>
      </c>
      <c r="M50" s="82">
        <f>VLOOKUP($A50&amp;"NCP",'E11 - 2012 09 Final'!$A$46:$P$2419,$M$45,FALSE)</f>
        <v>203537</v>
      </c>
      <c r="N50" s="82">
        <f>VLOOKUP($A50&amp;"NCP",'E11 - 2012 09 Final'!$A$46:$P$2419,$N$45,FALSE)</f>
        <v>196475</v>
      </c>
      <c r="O50" s="44">
        <f t="shared" si="12"/>
        <v>2507707</v>
      </c>
      <c r="P50" s="11">
        <f t="shared" si="13"/>
        <v>221144</v>
      </c>
    </row>
    <row r="51" spans="1:16">
      <c r="A51" t="s">
        <v>941</v>
      </c>
      <c r="B51" s="43" t="s">
        <v>49</v>
      </c>
      <c r="C51" s="82">
        <f>VLOOKUP($A51&amp;"NCP",'E11 - 2012 09 Final'!$A$46:$P$2419,$C$45,FALSE)</f>
        <v>2050823</v>
      </c>
      <c r="D51" s="82">
        <f>VLOOKUP($A51&amp;"NCP",'E11 - 2012 09 Final'!$A$46:$P$2419,$D$45,FALSE)</f>
        <v>1881623</v>
      </c>
      <c r="E51" s="82">
        <f>VLOOKUP($A51&amp;"NCP",'E11 - 2012 09 Final'!$A$46:$P$2419,$E$45,FALSE)</f>
        <v>1787686</v>
      </c>
      <c r="F51" s="82">
        <f>VLOOKUP($A51&amp;"NCP",'E11 - 2012 09 Final'!$A$46:$P$2419,$F$45,FALSE)</f>
        <v>1974048</v>
      </c>
      <c r="G51" s="82">
        <f>VLOOKUP($A51&amp;"NCP",'E11 - 2012 09 Final'!$A$46:$P$2419,$G$45,FALSE)</f>
        <v>1808592</v>
      </c>
      <c r="H51" s="82">
        <f>VLOOKUP($A51&amp;"NCP",'E11 - 2012 09 Final'!$A$46:$P$2419,$H$45,FALSE)</f>
        <v>2059033</v>
      </c>
      <c r="I51" s="82">
        <f>VLOOKUP($A51&amp;"NCP",'E11 - 2012 09 Final'!$A$46:$P$2419,$I$45,FALSE)</f>
        <v>1945565</v>
      </c>
      <c r="J51" s="82">
        <f>VLOOKUP($A51&amp;"NCP",'E11 - 2012 09 Final'!$A$46:$P$2419,$J$45,FALSE)</f>
        <v>2015514</v>
      </c>
      <c r="K51" s="82">
        <f>VLOOKUP($A51&amp;"NCP",'E11 - 2012 09 Final'!$A$46:$P$2419,$K$45,FALSE)</f>
        <v>2127107</v>
      </c>
      <c r="L51" s="82">
        <f>VLOOKUP($A51&amp;"NCP",'E11 - 2012 09 Final'!$A$46:$P$2419,$L$45,FALSE)</f>
        <v>2054774</v>
      </c>
      <c r="M51" s="82">
        <f>VLOOKUP($A51&amp;"NCP",'E11 - 2012 09 Final'!$A$46:$P$2419,$M$45,FALSE)</f>
        <v>1948475</v>
      </c>
      <c r="N51" s="82">
        <f>VLOOKUP($A51&amp;"NCP",'E11 - 2012 09 Final'!$A$46:$P$2419,$N$45,FALSE)</f>
        <v>1846402</v>
      </c>
      <c r="O51" s="44">
        <f t="shared" si="12"/>
        <v>23499642</v>
      </c>
      <c r="P51" s="11">
        <f t="shared" si="13"/>
        <v>2127107</v>
      </c>
    </row>
    <row r="52" spans="1:16">
      <c r="A52" t="s">
        <v>944</v>
      </c>
      <c r="B52" s="46" t="s">
        <v>325</v>
      </c>
      <c r="C52" s="82">
        <f>VLOOKUP($A52&amp;"NCP",'E11 - 2012 09 Final'!$A$46:$P$2419,$C$45,FALSE)</f>
        <v>3859</v>
      </c>
      <c r="D52" s="82">
        <f>VLOOKUP($A52&amp;"NCP",'E11 - 2012 09 Final'!$A$46:$P$2419,$D$45,FALSE)</f>
        <v>3543</v>
      </c>
      <c r="E52" s="82">
        <f>VLOOKUP($A52&amp;"NCP",'E11 - 2012 09 Final'!$A$46:$P$2419,$E$45,FALSE)</f>
        <v>3394</v>
      </c>
      <c r="F52" s="82">
        <f>VLOOKUP($A52&amp;"NCP",'E11 - 2012 09 Final'!$A$46:$P$2419,$F$45,FALSE)</f>
        <v>3626</v>
      </c>
      <c r="G52" s="82">
        <f>VLOOKUP($A52&amp;"NCP",'E11 - 2012 09 Final'!$A$46:$P$2419,$G$45,FALSE)</f>
        <v>3322</v>
      </c>
      <c r="H52" s="82">
        <f>VLOOKUP($A52&amp;"NCP",'E11 - 2012 09 Final'!$A$46:$P$2419,$H$45,FALSE)</f>
        <v>3630</v>
      </c>
      <c r="I52" s="82">
        <f>VLOOKUP($A52&amp;"NCP",'E11 - 2012 09 Final'!$A$46:$P$2419,$I$45,FALSE)</f>
        <v>3266</v>
      </c>
      <c r="J52" s="82">
        <f>VLOOKUP($A52&amp;"NCP",'E11 - 2012 09 Final'!$A$46:$P$2419,$J$45,FALSE)</f>
        <v>3361</v>
      </c>
      <c r="K52" s="82">
        <f>VLOOKUP($A52&amp;"NCP",'E11 - 2012 09 Final'!$A$46:$P$2419,$K$45,FALSE)</f>
        <v>3258</v>
      </c>
      <c r="L52" s="82">
        <f>VLOOKUP($A52&amp;"NCP",'E11 - 2012 09 Final'!$A$46:$P$2419,$L$45,FALSE)</f>
        <v>3105</v>
      </c>
      <c r="M52" s="82">
        <f>VLOOKUP($A52&amp;"NCP",'E11 - 2012 09 Final'!$A$46:$P$2419,$M$45,FALSE)</f>
        <v>3212</v>
      </c>
      <c r="N52" s="82">
        <f>VLOOKUP($A52&amp;"NCP",'E11 - 2012 09 Final'!$A$46:$P$2419,$N$45,FALSE)</f>
        <v>3088</v>
      </c>
      <c r="O52" s="44">
        <f t="shared" si="12"/>
        <v>40664</v>
      </c>
      <c r="P52" s="11">
        <f t="shared" si="13"/>
        <v>3859</v>
      </c>
    </row>
    <row r="53" spans="1:16">
      <c r="A53" t="s">
        <v>994</v>
      </c>
      <c r="B53" s="43" t="s">
        <v>67</v>
      </c>
      <c r="C53" s="82">
        <f>VLOOKUP($A53&amp;"NCP",'E11 - 2012 09 Final'!$A$46:$P$2419,$C$45,FALSE)</f>
        <v>5374431</v>
      </c>
      <c r="D53" s="82">
        <f>VLOOKUP($A53&amp;"NCP",'E11 - 2012 09 Final'!$A$46:$P$2419,$D$45,FALSE)</f>
        <v>5274091</v>
      </c>
      <c r="E53" s="82">
        <f>VLOOKUP($A53&amp;"NCP",'E11 - 2012 09 Final'!$A$46:$P$2419,$E$45,FALSE)</f>
        <v>5008972</v>
      </c>
      <c r="F53" s="82">
        <f>VLOOKUP($A53&amp;"NCP",'E11 - 2012 09 Final'!$A$46:$P$2419,$F$45,FALSE)</f>
        <v>5521833</v>
      </c>
      <c r="G53" s="82">
        <f>VLOOKUP($A53&amp;"NCP",'E11 - 2012 09 Final'!$A$46:$P$2419,$G$45,FALSE)</f>
        <v>5193640</v>
      </c>
      <c r="H53" s="82">
        <f>VLOOKUP($A53&amp;"NCP",'E11 - 2012 09 Final'!$A$46:$P$2419,$H$45,FALSE)</f>
        <v>5882347</v>
      </c>
      <c r="I53" s="82">
        <f>VLOOKUP($A53&amp;"NCP",'E11 - 2012 09 Final'!$A$46:$P$2419,$I$45,FALSE)</f>
        <v>5601284</v>
      </c>
      <c r="J53" s="82">
        <f>VLOOKUP($A53&amp;"NCP",'E11 - 2012 09 Final'!$A$46:$P$2419,$J$45,FALSE)</f>
        <v>5747980</v>
      </c>
      <c r="K53" s="82">
        <f>VLOOKUP($A53&amp;"NCP",'E11 - 2012 09 Final'!$A$46:$P$2419,$K$45,FALSE)</f>
        <v>5914223</v>
      </c>
      <c r="L53" s="82">
        <f>VLOOKUP($A53&amp;"NCP",'E11 - 2012 09 Final'!$A$46:$P$2419,$L$45,FALSE)</f>
        <v>5836802</v>
      </c>
      <c r="M53" s="82">
        <f>VLOOKUP($A53&amp;"NCP",'E11 - 2012 09 Final'!$A$46:$P$2419,$M$45,FALSE)</f>
        <v>5457009</v>
      </c>
      <c r="N53" s="82">
        <f>VLOOKUP($A53&amp;"NCP",'E11 - 2012 09 Final'!$A$46:$P$2419,$N$45,FALSE)</f>
        <v>5185520</v>
      </c>
      <c r="O53" s="44">
        <f t="shared" si="12"/>
        <v>65998132</v>
      </c>
      <c r="P53" s="11">
        <f t="shared" si="13"/>
        <v>5914223</v>
      </c>
    </row>
    <row r="54" spans="1:16">
      <c r="A54" t="s">
        <v>997</v>
      </c>
      <c r="B54" s="43" t="s">
        <v>68</v>
      </c>
      <c r="C54" s="82">
        <f>VLOOKUP($A54&amp;"NCP",'E11 - 2012 09 Final'!$A$46:$P$2419,$C$45,FALSE)</f>
        <v>2098175</v>
      </c>
      <c r="D54" s="82">
        <f>VLOOKUP($A54&amp;"NCP",'E11 - 2012 09 Final'!$A$46:$P$2419,$D$45,FALSE)</f>
        <v>2057824</v>
      </c>
      <c r="E54" s="82">
        <f>VLOOKUP($A54&amp;"NCP",'E11 - 2012 09 Final'!$A$46:$P$2419,$E$45,FALSE)</f>
        <v>2013556</v>
      </c>
      <c r="F54" s="82">
        <f>VLOOKUP($A54&amp;"NCP",'E11 - 2012 09 Final'!$A$46:$P$2419,$F$45,FALSE)</f>
        <v>2150695</v>
      </c>
      <c r="G54" s="82">
        <f>VLOOKUP($A54&amp;"NCP",'E11 - 2012 09 Final'!$A$46:$P$2419,$G$45,FALSE)</f>
        <v>2145826</v>
      </c>
      <c r="H54" s="82">
        <f>VLOOKUP($A54&amp;"NCP",'E11 - 2012 09 Final'!$A$46:$P$2419,$H$45,FALSE)</f>
        <v>2348628</v>
      </c>
      <c r="I54" s="82">
        <f>VLOOKUP($A54&amp;"NCP",'E11 - 2012 09 Final'!$A$46:$P$2419,$I$45,FALSE)</f>
        <v>2239010</v>
      </c>
      <c r="J54" s="82">
        <f>VLOOKUP($A54&amp;"NCP",'E11 - 2012 09 Final'!$A$46:$P$2419,$J$45,FALSE)</f>
        <v>2245256</v>
      </c>
      <c r="K54" s="82">
        <f>VLOOKUP($A54&amp;"NCP",'E11 - 2012 09 Final'!$A$46:$P$2419,$K$45,FALSE)</f>
        <v>2395989</v>
      </c>
      <c r="L54" s="82">
        <f>VLOOKUP($A54&amp;"NCP",'E11 - 2012 09 Final'!$A$46:$P$2419,$L$45,FALSE)</f>
        <v>2438934</v>
      </c>
      <c r="M54" s="82">
        <f>VLOOKUP($A54&amp;"NCP",'E11 - 2012 09 Final'!$A$46:$P$2419,$M$45,FALSE)</f>
        <v>2078698</v>
      </c>
      <c r="N54" s="82">
        <f>VLOOKUP($A54&amp;"NCP",'E11 - 2012 09 Final'!$A$46:$P$2419,$N$45,FALSE)</f>
        <v>2101903</v>
      </c>
      <c r="O54" s="44">
        <f t="shared" si="12"/>
        <v>26314494</v>
      </c>
      <c r="P54" s="11">
        <f t="shared" si="13"/>
        <v>2438934</v>
      </c>
    </row>
    <row r="55" spans="1:16">
      <c r="A55" t="s">
        <v>713</v>
      </c>
      <c r="B55" s="43" t="s">
        <v>69</v>
      </c>
      <c r="C55" s="82">
        <f>VLOOKUP($A55&amp;"NCP",'E11 - 2012 09 Final'!$A$46:$P$2419,$C$45,FALSE)</f>
        <v>404433</v>
      </c>
      <c r="D55" s="82">
        <f>VLOOKUP($A55&amp;"NCP",'E11 - 2012 09 Final'!$A$46:$P$2419,$D$45,FALSE)</f>
        <v>403383</v>
      </c>
      <c r="E55" s="82">
        <f>VLOOKUP($A55&amp;"NCP",'E11 - 2012 09 Final'!$A$46:$P$2419,$E$45,FALSE)</f>
        <v>396749</v>
      </c>
      <c r="F55" s="82">
        <f>VLOOKUP($A55&amp;"NCP",'E11 - 2012 09 Final'!$A$46:$P$2419,$F$45,FALSE)</f>
        <v>416585</v>
      </c>
      <c r="G55" s="82">
        <f>VLOOKUP($A55&amp;"NCP",'E11 - 2012 09 Final'!$A$46:$P$2419,$G$45,FALSE)</f>
        <v>401592</v>
      </c>
      <c r="H55" s="82">
        <f>VLOOKUP($A55&amp;"NCP",'E11 - 2012 09 Final'!$A$46:$P$2419,$H$45,FALSE)</f>
        <v>453309</v>
      </c>
      <c r="I55" s="82">
        <f>VLOOKUP($A55&amp;"NCP",'E11 - 2012 09 Final'!$A$46:$P$2419,$I$45,FALSE)</f>
        <v>433698</v>
      </c>
      <c r="J55" s="82">
        <f>VLOOKUP($A55&amp;"NCP",'E11 - 2012 09 Final'!$A$46:$P$2419,$J$45,FALSE)</f>
        <v>451522</v>
      </c>
      <c r="K55" s="82">
        <f>VLOOKUP($A55&amp;"NCP",'E11 - 2012 09 Final'!$A$46:$P$2419,$K$45,FALSE)</f>
        <v>460146</v>
      </c>
      <c r="L55" s="82">
        <f>VLOOKUP($A55&amp;"NCP",'E11 - 2012 09 Final'!$A$46:$P$2419,$L$45,FALSE)</f>
        <v>461794</v>
      </c>
      <c r="M55" s="82">
        <f>VLOOKUP($A55&amp;"NCP",'E11 - 2012 09 Final'!$A$46:$P$2419,$M$45,FALSE)</f>
        <v>422550</v>
      </c>
      <c r="N55" s="82">
        <f>VLOOKUP($A55&amp;"NCP",'E11 - 2012 09 Final'!$A$46:$P$2419,$N$45,FALSE)</f>
        <v>413979</v>
      </c>
      <c r="O55" s="44">
        <f t="shared" si="12"/>
        <v>5119740</v>
      </c>
      <c r="P55" s="11">
        <f t="shared" si="13"/>
        <v>461794</v>
      </c>
    </row>
    <row r="56" spans="1:16">
      <c r="A56" t="s">
        <v>717</v>
      </c>
      <c r="B56" s="43" t="s">
        <v>52</v>
      </c>
      <c r="C56" s="82">
        <f>VLOOKUP($A56&amp;"NCP",'E11 - 2012 09 Final'!$A$46:$P$2419,$C$45,FALSE)</f>
        <v>36769</v>
      </c>
      <c r="D56" s="82">
        <f>VLOOKUP($A56&amp;"NCP",'E11 - 2012 09 Final'!$A$46:$P$2419,$D$45,FALSE)</f>
        <v>35955</v>
      </c>
      <c r="E56" s="82">
        <f>VLOOKUP($A56&amp;"NCP",'E11 - 2012 09 Final'!$A$46:$P$2419,$E$45,FALSE)</f>
        <v>36567</v>
      </c>
      <c r="F56" s="82">
        <f>VLOOKUP($A56&amp;"NCP",'E11 - 2012 09 Final'!$A$46:$P$2419,$F$45,FALSE)</f>
        <v>36171</v>
      </c>
      <c r="G56" s="82">
        <f>VLOOKUP($A56&amp;"NCP",'E11 - 2012 09 Final'!$A$46:$P$2419,$G$45,FALSE)</f>
        <v>37716</v>
      </c>
      <c r="H56" s="82">
        <f>VLOOKUP($A56&amp;"NCP",'E11 - 2012 09 Final'!$A$46:$P$2419,$H$45,FALSE)</f>
        <v>31012</v>
      </c>
      <c r="I56" s="82">
        <f>VLOOKUP($A56&amp;"NCP",'E11 - 2012 09 Final'!$A$46:$P$2419,$I$45,FALSE)</f>
        <v>31690</v>
      </c>
      <c r="J56" s="82">
        <f>VLOOKUP($A56&amp;"NCP",'E11 - 2012 09 Final'!$A$46:$P$2419,$J$45,FALSE)</f>
        <v>31593</v>
      </c>
      <c r="K56" s="82">
        <f>VLOOKUP($A56&amp;"NCP",'E11 - 2012 09 Final'!$A$46:$P$2419,$K$45,FALSE)</f>
        <v>35242</v>
      </c>
      <c r="L56" s="82">
        <f>VLOOKUP($A56&amp;"NCP",'E11 - 2012 09 Final'!$A$46:$P$2419,$L$45,FALSE)</f>
        <v>35476</v>
      </c>
      <c r="M56" s="82">
        <f>VLOOKUP($A56&amp;"NCP",'E11 - 2012 09 Final'!$A$46:$P$2419,$M$45,FALSE)</f>
        <v>36969</v>
      </c>
      <c r="N56" s="82">
        <f>VLOOKUP($A56&amp;"NCP",'E11 - 2012 09 Final'!$A$46:$P$2419,$N$45,FALSE)</f>
        <v>34145</v>
      </c>
      <c r="O56" s="44">
        <f t="shared" si="12"/>
        <v>419305</v>
      </c>
      <c r="P56" s="11">
        <f t="shared" si="13"/>
        <v>37716</v>
      </c>
    </row>
    <row r="57" spans="1:16">
      <c r="A57" t="s">
        <v>15</v>
      </c>
      <c r="B57" s="206" t="s">
        <v>15</v>
      </c>
      <c r="C57" s="82">
        <f>VLOOKUP($A57&amp;"NCP",'E11 - 2012 09 Final'!$A$46:$P$2419,$C$45,FALSE)</f>
        <v>15637</v>
      </c>
      <c r="D57" s="82">
        <f>VLOOKUP($A57&amp;"NCP",'E11 - 2012 09 Final'!$A$46:$P$2419,$D$45,FALSE)</f>
        <v>16041</v>
      </c>
      <c r="E57" s="82">
        <f>VLOOKUP($A57&amp;"NCP",'E11 - 2012 09 Final'!$A$46:$P$2419,$E$45,FALSE)</f>
        <v>16232</v>
      </c>
      <c r="F57" s="82">
        <f>VLOOKUP($A57&amp;"NCP",'E11 - 2012 09 Final'!$A$46:$P$2419,$F$45,FALSE)</f>
        <v>15754</v>
      </c>
      <c r="G57" s="82">
        <f>VLOOKUP($A57&amp;"NCP",'E11 - 2012 09 Final'!$A$46:$P$2419,$G$45,FALSE)</f>
        <v>16225</v>
      </c>
      <c r="H57" s="82">
        <f>VLOOKUP($A57&amp;"NCP",'E11 - 2012 09 Final'!$A$46:$P$2419,$H$45,FALSE)</f>
        <v>17746</v>
      </c>
      <c r="I57" s="82">
        <f>VLOOKUP($A57&amp;"NCP",'E11 - 2012 09 Final'!$A$46:$P$2419,$I$45,FALSE)</f>
        <v>17306</v>
      </c>
      <c r="J57" s="82">
        <f>VLOOKUP($A57&amp;"NCP",'E11 - 2012 09 Final'!$A$46:$P$2419,$J$45,FALSE)</f>
        <v>15471</v>
      </c>
      <c r="K57" s="82">
        <f>VLOOKUP($A57&amp;"NCP",'E11 - 2012 09 Final'!$A$46:$P$2419,$K$45,FALSE)</f>
        <v>15046</v>
      </c>
      <c r="L57" s="82">
        <f>VLOOKUP($A57&amp;"NCP",'E11 - 2012 09 Final'!$A$46:$P$2419,$L$45,FALSE)</f>
        <v>17727</v>
      </c>
      <c r="M57" s="82">
        <f>VLOOKUP($A57&amp;"NCP",'E11 - 2012 09 Final'!$A$46:$P$2419,$M$45,FALSE)</f>
        <v>15736</v>
      </c>
      <c r="N57" s="82">
        <f>VLOOKUP($A57&amp;"NCP",'E11 - 2012 09 Final'!$A$46:$P$2419,$N$45,FALSE)</f>
        <v>15983</v>
      </c>
      <c r="O57" s="44">
        <f t="shared" si="12"/>
        <v>194904</v>
      </c>
      <c r="P57" s="11">
        <f t="shared" si="13"/>
        <v>17746</v>
      </c>
    </row>
    <row r="58" spans="1:16">
      <c r="A58" t="s">
        <v>19</v>
      </c>
      <c r="B58" s="43" t="s">
        <v>56</v>
      </c>
      <c r="C58" s="82">
        <f>VLOOKUP($A58&amp;"NCP",'E11 - 2012 09 Final'!$A$46:$P$2419,$C$45,FALSE)</f>
        <v>20334</v>
      </c>
      <c r="D58" s="82">
        <f>VLOOKUP($A58&amp;"NCP",'E11 - 2012 09 Final'!$A$46:$P$2419,$D$45,FALSE)</f>
        <v>22670</v>
      </c>
      <c r="E58" s="82">
        <f>VLOOKUP($A58&amp;"NCP",'E11 - 2012 09 Final'!$A$46:$P$2419,$E$45,FALSE)</f>
        <v>22559</v>
      </c>
      <c r="F58" s="82">
        <f>VLOOKUP($A58&amp;"NCP",'E11 - 2012 09 Final'!$A$46:$P$2419,$F$45,FALSE)</f>
        <v>24862</v>
      </c>
      <c r="G58" s="82">
        <f>VLOOKUP($A58&amp;"NCP",'E11 - 2012 09 Final'!$A$46:$P$2419,$G$45,FALSE)</f>
        <v>25513</v>
      </c>
      <c r="H58" s="82">
        <f>VLOOKUP($A58&amp;"NCP",'E11 - 2012 09 Final'!$A$46:$P$2419,$H$45,FALSE)</f>
        <v>27122</v>
      </c>
      <c r="I58" s="82">
        <f>VLOOKUP($A58&amp;"NCP",'E11 - 2012 09 Final'!$A$46:$P$2419,$I$45,FALSE)</f>
        <v>25641</v>
      </c>
      <c r="J58" s="82">
        <f>VLOOKUP($A58&amp;"NCP",'E11 - 2012 09 Final'!$A$46:$P$2419,$J$45,FALSE)</f>
        <v>24696</v>
      </c>
      <c r="K58" s="82">
        <f>VLOOKUP($A58&amp;"NCP",'E11 - 2012 09 Final'!$A$46:$P$2419,$K$45,FALSE)</f>
        <v>23927</v>
      </c>
      <c r="L58" s="82">
        <f>VLOOKUP($A58&amp;"NCP",'E11 - 2012 09 Final'!$A$46:$P$2419,$L$45,FALSE)</f>
        <v>21698</v>
      </c>
      <c r="M58" s="82">
        <f>VLOOKUP($A58&amp;"NCP",'E11 - 2012 09 Final'!$A$46:$P$2419,$M$45,FALSE)</f>
        <v>21198</v>
      </c>
      <c r="N58" s="82">
        <f>VLOOKUP($A58&amp;"NCP",'E11 - 2012 09 Final'!$A$46:$P$2419,$N$45,FALSE)</f>
        <v>20160</v>
      </c>
      <c r="O58" s="44">
        <f t="shared" si="12"/>
        <v>280380</v>
      </c>
      <c r="P58" s="11">
        <f t="shared" si="13"/>
        <v>27122</v>
      </c>
    </row>
    <row r="59" spans="1:16">
      <c r="A59" t="s">
        <v>22</v>
      </c>
      <c r="B59" s="43" t="s">
        <v>57</v>
      </c>
      <c r="C59" s="82">
        <f>VLOOKUP($A59&amp;"NCP",'E11 - 2012 09 Final'!$A$46:$P$2419,$C$45,FALSE)</f>
        <v>14025</v>
      </c>
      <c r="D59" s="82">
        <f>VLOOKUP($A59&amp;"NCP",'E11 - 2012 09 Final'!$A$46:$P$2419,$D$45,FALSE)</f>
        <v>14580</v>
      </c>
      <c r="E59" s="82">
        <f>VLOOKUP($A59&amp;"NCP",'E11 - 2012 09 Final'!$A$46:$P$2419,$E$45,FALSE)</f>
        <v>15515</v>
      </c>
      <c r="F59" s="82">
        <f>VLOOKUP($A59&amp;"NCP",'E11 - 2012 09 Final'!$A$46:$P$2419,$F$45,FALSE)</f>
        <v>16881</v>
      </c>
      <c r="G59" s="82">
        <f>VLOOKUP($A59&amp;"NCP",'E11 - 2012 09 Final'!$A$46:$P$2419,$G$45,FALSE)</f>
        <v>14043</v>
      </c>
      <c r="H59" s="82">
        <f>VLOOKUP($A59&amp;"NCP",'E11 - 2012 09 Final'!$A$46:$P$2419,$H$45,FALSE)</f>
        <v>12790</v>
      </c>
      <c r="I59" s="82">
        <f>VLOOKUP($A59&amp;"NCP",'E11 - 2012 09 Final'!$A$46:$P$2419,$I$45,FALSE)</f>
        <v>9957</v>
      </c>
      <c r="J59" s="82">
        <f>VLOOKUP($A59&amp;"NCP",'E11 - 2012 09 Final'!$A$46:$P$2419,$J$45,FALSE)</f>
        <v>11026</v>
      </c>
      <c r="K59" s="82">
        <f>VLOOKUP($A59&amp;"NCP",'E11 - 2012 09 Final'!$A$46:$P$2419,$K$45,FALSE)</f>
        <v>14487</v>
      </c>
      <c r="L59" s="82">
        <f>VLOOKUP($A59&amp;"NCP",'E11 - 2012 09 Final'!$A$46:$P$2419,$L$45,FALSE)</f>
        <v>15125</v>
      </c>
      <c r="M59" s="82">
        <f>VLOOKUP($A59&amp;"NCP",'E11 - 2012 09 Final'!$A$46:$P$2419,$M$45,FALSE)</f>
        <v>14665</v>
      </c>
      <c r="N59" s="82">
        <f>VLOOKUP($A59&amp;"NCP",'E11 - 2012 09 Final'!$A$46:$P$2419,$N$45,FALSE)</f>
        <v>16497</v>
      </c>
      <c r="O59" s="44">
        <f t="shared" si="12"/>
        <v>169591</v>
      </c>
      <c r="P59" s="11">
        <f t="shared" si="13"/>
        <v>16881</v>
      </c>
    </row>
    <row r="60" spans="1:16">
      <c r="A60" t="s">
        <v>687</v>
      </c>
      <c r="B60" s="43" t="s">
        <v>48</v>
      </c>
      <c r="C60" s="82">
        <f>VLOOKUP($A60&amp;"NCP",'E11 - 2012 09 Final'!$A$46:$P$2419,$C$45,FALSE)</f>
        <v>31118474</v>
      </c>
      <c r="D60" s="82">
        <f>VLOOKUP($A60&amp;"NCP",'E11 - 2012 09 Final'!$A$46:$P$2419,$D$45,FALSE)</f>
        <v>25886873</v>
      </c>
      <c r="E60" s="82">
        <f>VLOOKUP($A60&amp;"NCP",'E11 - 2012 09 Final'!$A$46:$P$2419,$E$45,FALSE)</f>
        <v>23440701</v>
      </c>
      <c r="F60" s="82">
        <f>VLOOKUP($A60&amp;"NCP",'E11 - 2012 09 Final'!$A$46:$P$2419,$F$45,FALSE)</f>
        <v>25212065</v>
      </c>
      <c r="G60" s="82">
        <f>VLOOKUP($A60&amp;"NCP",'E11 - 2012 09 Final'!$A$46:$P$2419,$G$45,FALSE)</f>
        <v>21553115</v>
      </c>
      <c r="H60" s="82">
        <f>VLOOKUP($A60&amp;"NCP",'E11 - 2012 09 Final'!$A$46:$P$2419,$H$45,FALSE)</f>
        <v>25029198</v>
      </c>
      <c r="I60" s="82">
        <f>VLOOKUP($A60&amp;"NCP",'E11 - 2012 09 Final'!$A$46:$P$2419,$I$45,FALSE)</f>
        <v>24226593</v>
      </c>
      <c r="J60" s="82">
        <f>VLOOKUP($A60&amp;"NCP",'E11 - 2012 09 Final'!$A$46:$P$2419,$J$45,FALSE)</f>
        <v>25406883</v>
      </c>
      <c r="K60" s="82">
        <f>VLOOKUP($A60&amp;"NCP",'E11 - 2012 09 Final'!$A$46:$P$2419,$K$45,FALSE)</f>
        <v>25973806</v>
      </c>
      <c r="L60" s="82">
        <f>VLOOKUP($A60&amp;"NCP",'E11 - 2012 09 Final'!$A$46:$P$2419,$L$45,FALSE)</f>
        <v>26534798</v>
      </c>
      <c r="M60" s="82">
        <f>VLOOKUP($A60&amp;"NCP",'E11 - 2012 09 Final'!$A$46:$P$2419,$M$45,FALSE)</f>
        <v>27621089</v>
      </c>
      <c r="N60" s="82">
        <f>VLOOKUP($A60&amp;"NCP",'E11 - 2012 09 Final'!$A$46:$P$2419,$N$45,FALSE)</f>
        <v>25025983</v>
      </c>
      <c r="O60" s="44">
        <f t="shared" si="12"/>
        <v>307029578</v>
      </c>
      <c r="P60" s="11">
        <f t="shared" si="13"/>
        <v>31118474</v>
      </c>
    </row>
    <row r="61" spans="1:16">
      <c r="A61" s="307" t="s">
        <v>35</v>
      </c>
      <c r="B61" s="43" t="s">
        <v>53</v>
      </c>
      <c r="C61" s="82">
        <f>VLOOKUP($A61&amp;"NCP",'E11 - 2012 09 Final'!$A$46:$P$2419,$C$45,FALSE)</f>
        <v>101421</v>
      </c>
      <c r="D61" s="82">
        <f>VLOOKUP($A61&amp;"NCP",'E11 - 2012 09 Final'!$A$46:$P$2419,$D$45,FALSE)</f>
        <v>113971</v>
      </c>
      <c r="E61" s="82">
        <f>VLOOKUP($A61&amp;"NCP",'E11 - 2012 09 Final'!$A$46:$P$2419,$E$45,FALSE)</f>
        <v>116110</v>
      </c>
      <c r="F61" s="82">
        <f>VLOOKUP($A61&amp;"NCP",'E11 - 2012 09 Final'!$A$46:$P$2419,$F$45,FALSE)</f>
        <v>126781</v>
      </c>
      <c r="G61" s="82">
        <f>VLOOKUP($A61&amp;"NCP",'E11 - 2012 09 Final'!$A$46:$P$2419,$G$45,FALSE)</f>
        <v>125952</v>
      </c>
      <c r="H61" s="82">
        <f>VLOOKUP($A61&amp;"NCP",'E11 - 2012 09 Final'!$A$46:$P$2419,$H$45,FALSE)</f>
        <v>144305</v>
      </c>
      <c r="I61" s="82">
        <f>VLOOKUP($A61&amp;"NCP",'E11 - 2012 09 Final'!$A$46:$P$2419,$I$45,FALSE)</f>
        <v>125150</v>
      </c>
      <c r="J61" s="82">
        <f>VLOOKUP($A61&amp;"NCP",'E11 - 2012 09 Final'!$A$46:$P$2419,$J$45,FALSE)</f>
        <v>129358</v>
      </c>
      <c r="K61" s="82">
        <f>VLOOKUP($A61&amp;"NCP",'E11 - 2012 09 Final'!$A$46:$P$2419,$K$45,FALSE)</f>
        <v>121260</v>
      </c>
      <c r="L61" s="82">
        <f>VLOOKUP($A61&amp;"NCP",'E11 - 2012 09 Final'!$A$46:$P$2419,$L$45,FALSE)</f>
        <v>96470</v>
      </c>
      <c r="M61" s="82">
        <f>VLOOKUP($A61&amp;"NCP",'E11 - 2012 09 Final'!$A$46:$P$2419,$M$45,FALSE)</f>
        <v>121343</v>
      </c>
      <c r="N61" s="82">
        <f>VLOOKUP($A61&amp;"NCP",'E11 - 2012 09 Final'!$A$46:$P$2419,$N$45,FALSE)</f>
        <v>102654</v>
      </c>
      <c r="O61" s="44">
        <f t="shared" si="12"/>
        <v>1424775</v>
      </c>
      <c r="P61" s="11">
        <f t="shared" si="13"/>
        <v>144305</v>
      </c>
    </row>
    <row r="62" spans="1:16">
      <c r="A62" s="307" t="s">
        <v>38</v>
      </c>
      <c r="B62" s="43" t="s">
        <v>55</v>
      </c>
      <c r="C62" s="82">
        <f>VLOOKUP($A62&amp;"NCP",'E11 - 2012 09 Final'!$A$46:$P$2419,$C$45,FALSE)</f>
        <v>3522</v>
      </c>
      <c r="D62" s="82">
        <f>VLOOKUP($A62&amp;"NCP",'E11 - 2012 09 Final'!$A$46:$P$2419,$D$45,FALSE)</f>
        <v>3768</v>
      </c>
      <c r="E62" s="82">
        <f>VLOOKUP($A62&amp;"NCP",'E11 - 2012 09 Final'!$A$46:$P$2419,$E$45,FALSE)</f>
        <v>3537</v>
      </c>
      <c r="F62" s="82">
        <f>VLOOKUP($A62&amp;"NCP",'E11 - 2012 09 Final'!$A$46:$P$2419,$F$45,FALSE)</f>
        <v>3659</v>
      </c>
      <c r="G62" s="82">
        <f>VLOOKUP($A62&amp;"NCP",'E11 - 2012 09 Final'!$A$46:$P$2419,$G$45,FALSE)</f>
        <v>3501</v>
      </c>
      <c r="H62" s="82">
        <f>VLOOKUP($A62&amp;"NCP",'E11 - 2012 09 Final'!$A$46:$P$2419,$H$45,FALSE)</f>
        <v>3622</v>
      </c>
      <c r="I62" s="82">
        <f>VLOOKUP($A62&amp;"NCP",'E11 - 2012 09 Final'!$A$46:$P$2419,$I$45,FALSE)</f>
        <v>3518</v>
      </c>
      <c r="J62" s="82">
        <f>VLOOKUP($A62&amp;"NCP",'E11 - 2012 09 Final'!$A$46:$P$2419,$J$45,FALSE)</f>
        <v>3518</v>
      </c>
      <c r="K62" s="82">
        <f>VLOOKUP($A62&amp;"NCP",'E11 - 2012 09 Final'!$A$46:$P$2419,$K$45,FALSE)</f>
        <v>3637</v>
      </c>
      <c r="L62" s="82">
        <f>VLOOKUP($A62&amp;"NCP",'E11 - 2012 09 Final'!$A$46:$P$2419,$L$45,FALSE)</f>
        <v>3518</v>
      </c>
      <c r="M62" s="82">
        <f>VLOOKUP($A62&amp;"NCP",'E11 - 2012 09 Final'!$A$46:$P$2419,$M$45,FALSE)</f>
        <v>3634</v>
      </c>
      <c r="N62" s="82">
        <f>VLOOKUP($A62&amp;"NCP",'E11 - 2012 09 Final'!$A$46:$P$2419,$N$45,FALSE)</f>
        <v>3524</v>
      </c>
      <c r="O62" s="44">
        <f t="shared" si="12"/>
        <v>42958</v>
      </c>
      <c r="P62" s="11">
        <f t="shared" si="13"/>
        <v>3768</v>
      </c>
    </row>
    <row r="63" spans="1:16">
      <c r="A63" t="s">
        <v>40</v>
      </c>
      <c r="B63" s="43" t="s">
        <v>87</v>
      </c>
      <c r="C63" s="82">
        <f>VLOOKUP($A63&amp;"NCP",'E11 - 2012 09 Final'!$A$46:$P$2419,$C$45,FALSE)</f>
        <v>343</v>
      </c>
      <c r="D63" s="82">
        <f>VLOOKUP($A63&amp;"NCP",'E11 - 2012 09 Final'!$A$46:$P$2419,$D$45,FALSE)</f>
        <v>3476</v>
      </c>
      <c r="E63" s="82">
        <f>VLOOKUP($A63&amp;"NCP",'E11 - 2012 09 Final'!$A$46:$P$2419,$E$45,FALSE)</f>
        <v>3811</v>
      </c>
      <c r="F63" s="82">
        <f>VLOOKUP($A63&amp;"NCP",'E11 - 2012 09 Final'!$A$46:$P$2419,$F$45,FALSE)</f>
        <v>1881</v>
      </c>
      <c r="G63" s="82">
        <f>VLOOKUP($A63&amp;"NCP",'E11 - 2012 09 Final'!$A$46:$P$2419,$G$45,FALSE)</f>
        <v>1730</v>
      </c>
      <c r="H63" s="82">
        <f>VLOOKUP($A63&amp;"NCP",'E11 - 2012 09 Final'!$A$46:$P$2419,$H$45,FALSE)</f>
        <v>1870</v>
      </c>
      <c r="I63" s="82">
        <f>VLOOKUP($A63&amp;"NCP",'E11 - 2012 09 Final'!$A$46:$P$2419,$I$45,FALSE)</f>
        <v>3340</v>
      </c>
      <c r="J63" s="82">
        <f>VLOOKUP($A63&amp;"NCP",'E11 - 2012 09 Final'!$A$46:$P$2419,$J$45,FALSE)</f>
        <v>3730</v>
      </c>
      <c r="K63" s="82">
        <f>VLOOKUP($A63&amp;"NCP",'E11 - 2012 09 Final'!$A$46:$P$2419,$K$45,FALSE)</f>
        <v>3704</v>
      </c>
      <c r="L63" s="82">
        <f>VLOOKUP($A63&amp;"NCP",'E11 - 2012 09 Final'!$A$46:$P$2419,$L$45,FALSE)</f>
        <v>5932</v>
      </c>
      <c r="M63" s="82">
        <f>VLOOKUP($A63&amp;"NCP",'E11 - 2012 09 Final'!$A$46:$P$2419,$M$45,FALSE)</f>
        <v>5021</v>
      </c>
      <c r="N63" s="82">
        <f>VLOOKUP($A63&amp;"NCP",'E11 - 2012 09 Final'!$A$46:$P$2419,$N$45,FALSE)</f>
        <v>5687</v>
      </c>
      <c r="O63" s="44">
        <f t="shared" si="12"/>
        <v>40525</v>
      </c>
      <c r="P63" s="11">
        <f t="shared" si="13"/>
        <v>5932</v>
      </c>
    </row>
    <row r="64" spans="1:16">
      <c r="A64" t="s">
        <v>45</v>
      </c>
      <c r="B64" s="43" t="s">
        <v>88</v>
      </c>
      <c r="C64" s="82">
        <f>VLOOKUP($A64&amp;"NCP",'E11 - 2012 09 Final'!$A$46:$P$2419,$C$45,FALSE)</f>
        <v>95511</v>
      </c>
      <c r="D64" s="82">
        <f>VLOOKUP($A64&amp;"NCP",'E11 - 2012 09 Final'!$A$46:$P$2419,$D$45,FALSE)</f>
        <v>56730</v>
      </c>
      <c r="E64" s="82">
        <f>VLOOKUP($A64&amp;"NCP",'E11 - 2012 09 Final'!$A$46:$P$2419,$E$45,FALSE)</f>
        <v>62571</v>
      </c>
      <c r="F64" s="82">
        <f>VLOOKUP($A64&amp;"NCP",'E11 - 2012 09 Final'!$A$46:$P$2419,$F$45,FALSE)</f>
        <v>83426</v>
      </c>
      <c r="G64" s="82">
        <f>VLOOKUP($A64&amp;"NCP",'E11 - 2012 09 Final'!$A$46:$P$2419,$G$45,FALSE)</f>
        <v>65762</v>
      </c>
      <c r="H64" s="82">
        <f>VLOOKUP($A64&amp;"NCP",'E11 - 2012 09 Final'!$A$46:$P$2419,$H$45,FALSE)</f>
        <v>68651</v>
      </c>
      <c r="I64" s="82">
        <f>VLOOKUP($A64&amp;"NCP",'E11 - 2012 09 Final'!$A$46:$P$2419,$I$45,FALSE)</f>
        <v>42232</v>
      </c>
      <c r="J64" s="82">
        <f>VLOOKUP($A64&amp;"NCP",'E11 - 2012 09 Final'!$A$46:$P$2419,$J$45,FALSE)</f>
        <v>91235</v>
      </c>
      <c r="K64" s="82">
        <f>VLOOKUP($A64&amp;"NCP",'E11 - 2012 09 Final'!$A$46:$P$2419,$K$45,FALSE)</f>
        <v>68088</v>
      </c>
      <c r="L64" s="82">
        <f>VLOOKUP($A64&amp;"NCP",'E11 - 2012 09 Final'!$A$46:$P$2419,$L$45,FALSE)</f>
        <v>89054</v>
      </c>
      <c r="M64" s="82">
        <f>VLOOKUP($A64&amp;"NCP",'E11 - 2012 09 Final'!$A$46:$P$2419,$M$45,FALSE)</f>
        <v>70729</v>
      </c>
      <c r="N64" s="82">
        <f>VLOOKUP($A64&amp;"NCP",'E11 - 2012 09 Final'!$A$46:$P$2419,$N$45,FALSE)</f>
        <v>78262</v>
      </c>
      <c r="O64" s="44">
        <f t="shared" si="12"/>
        <v>872251</v>
      </c>
      <c r="P64" s="11">
        <f t="shared" si="13"/>
        <v>95511</v>
      </c>
    </row>
    <row r="65" spans="1:16">
      <c r="C65" s="48"/>
      <c r="D65" s="48"/>
      <c r="E65" s="48"/>
      <c r="F65" s="48"/>
      <c r="G65" s="48"/>
      <c r="H65" s="48"/>
      <c r="I65" s="48"/>
      <c r="J65" s="48"/>
      <c r="K65" s="48"/>
      <c r="L65" s="48"/>
      <c r="M65" s="48"/>
      <c r="N65" s="48"/>
      <c r="O65" s="44"/>
      <c r="P65" s="11"/>
    </row>
    <row r="66" spans="1:16">
      <c r="C66" s="48"/>
      <c r="D66" s="48"/>
      <c r="E66" s="48"/>
      <c r="F66" s="48"/>
      <c r="G66" s="48"/>
      <c r="H66" s="48"/>
      <c r="I66" s="48"/>
      <c r="J66" s="48"/>
      <c r="K66" s="48"/>
      <c r="L66" s="48"/>
      <c r="M66" s="48"/>
      <c r="N66" s="48"/>
      <c r="O66" s="44"/>
      <c r="P66" s="11"/>
    </row>
    <row r="67" spans="1:16">
      <c r="B67" s="42" t="s">
        <v>86</v>
      </c>
      <c r="C67" s="10"/>
      <c r="D67" s="10"/>
      <c r="E67" s="10"/>
      <c r="F67" s="10"/>
      <c r="G67" s="10"/>
      <c r="H67" s="10"/>
      <c r="I67" s="10"/>
      <c r="J67" s="10"/>
      <c r="K67" s="10"/>
      <c r="L67" s="10"/>
      <c r="M67" s="10"/>
      <c r="N67" s="10"/>
    </row>
    <row r="68" spans="1:16">
      <c r="A68" t="s">
        <v>603</v>
      </c>
      <c r="B68" s="43" t="s">
        <v>603</v>
      </c>
      <c r="C68" s="82">
        <f>VLOOKUP($A68&amp;"NCP",'E11 - 2012 09 Final'!$A$46:$P$2419,$C$45,FALSE)</f>
        <v>0</v>
      </c>
      <c r="D68" s="82">
        <f>VLOOKUP($A68&amp;"NCP",'E11 - 2012 09 Final'!$A$46:$P$2419,$D$45,FALSE)</f>
        <v>0</v>
      </c>
      <c r="E68" s="82">
        <f>VLOOKUP($A68&amp;"NCP",'E11 - 2012 09 Final'!$A$46:$P$2419,$E$45,FALSE)</f>
        <v>0</v>
      </c>
      <c r="F68" s="82">
        <f>VLOOKUP($A68&amp;"NCP",'E11 - 2012 09 Final'!$A$46:$P$2419,$F$45,FALSE)</f>
        <v>0</v>
      </c>
      <c r="G68" s="82">
        <f>VLOOKUP($A68&amp;"NCP",'E11 - 2012 09 Final'!$A$46:$P$2419,$G$45,FALSE)</f>
        <v>8313</v>
      </c>
      <c r="H68" s="82">
        <f>VLOOKUP($A68&amp;"NCP",'E11 - 2012 09 Final'!$A$46:$P$2419,$H$45,FALSE)</f>
        <v>8105</v>
      </c>
      <c r="I68" s="82">
        <f>VLOOKUP($A68&amp;"NCP",'E11 - 2012 09 Final'!$A$46:$P$2419,$I$45,FALSE)</f>
        <v>8571</v>
      </c>
      <c r="J68" s="82">
        <f>VLOOKUP($A68&amp;"NCP",'E11 - 2012 09 Final'!$A$46:$P$2419,$J$45,FALSE)</f>
        <v>8455</v>
      </c>
      <c r="K68" s="82">
        <f>VLOOKUP($A68&amp;"NCP",'E11 - 2012 09 Final'!$A$46:$P$2419,$K$45,FALSE)</f>
        <v>7681</v>
      </c>
      <c r="L68" s="82">
        <f>VLOOKUP($A68&amp;"NCP",'E11 - 2012 09 Final'!$A$46:$P$2419,$L$45,FALSE)</f>
        <v>6442</v>
      </c>
      <c r="M68" s="82">
        <f>VLOOKUP($A68&amp;"NCP",'E11 - 2012 09 Final'!$A$46:$P$2419,$M$45,FALSE)</f>
        <v>6021</v>
      </c>
      <c r="N68" s="82">
        <f>VLOOKUP($A68&amp;"NCP",'E11 - 2012 09 Final'!$A$46:$P$2419,$N$45,FALSE)</f>
        <v>6464</v>
      </c>
      <c r="O68" s="44">
        <f t="shared" ref="O68:O73" si="14">SUM(C68:N68)</f>
        <v>60052</v>
      </c>
      <c r="P68" s="11">
        <f t="shared" ref="P68:P73" si="15">MAX(C68:N68)</f>
        <v>8571</v>
      </c>
    </row>
    <row r="69" spans="1:16">
      <c r="A69" t="s">
        <v>245</v>
      </c>
      <c r="B69" s="43" t="s">
        <v>983</v>
      </c>
      <c r="C69" s="82">
        <f>VLOOKUP($A69&amp;"NCP",'E11 - 2012 09 Final'!$A$46:$P$2419,$C$45,FALSE)</f>
        <v>102096</v>
      </c>
      <c r="D69" s="82">
        <f>VLOOKUP($A69&amp;"NCP",'E11 - 2012 09 Final'!$A$46:$P$2419,$D$45,FALSE)</f>
        <v>111487</v>
      </c>
      <c r="E69" s="82">
        <f>VLOOKUP($A69&amp;"NCP",'E11 - 2012 09 Final'!$A$46:$P$2419,$E$45,FALSE)</f>
        <v>112607</v>
      </c>
      <c r="F69" s="82">
        <f>VLOOKUP($A69&amp;"NCP",'E11 - 2012 09 Final'!$A$46:$P$2419,$F$45,FALSE)</f>
        <v>126051</v>
      </c>
      <c r="G69" s="82">
        <f>VLOOKUP($A69&amp;"NCP",'E11 - 2012 09 Final'!$A$46:$P$2419,$G$45,FALSE)</f>
        <v>135351</v>
      </c>
      <c r="H69" s="82">
        <f>VLOOKUP($A69&amp;"NCP",'E11 - 2012 09 Final'!$A$46:$P$2419,$H$45,FALSE)</f>
        <v>137906</v>
      </c>
      <c r="I69" s="82">
        <f>VLOOKUP($A69&amp;"NCP",'E11 - 2012 09 Final'!$A$46:$P$2419,$I$45,FALSE)</f>
        <v>148604</v>
      </c>
      <c r="J69" s="82">
        <f>VLOOKUP($A69&amp;"NCP",'E11 - 2012 09 Final'!$A$46:$P$2419,$J$45,FALSE)</f>
        <v>144516</v>
      </c>
      <c r="K69" s="82">
        <f>VLOOKUP($A69&amp;"NCP",'E11 - 2012 09 Final'!$A$46:$P$2419,$K$45,FALSE)</f>
        <v>135020</v>
      </c>
      <c r="L69" s="82">
        <f>VLOOKUP($A69&amp;"NCP",'E11 - 2012 09 Final'!$A$46:$P$2419,$L$45,FALSE)</f>
        <v>125289</v>
      </c>
      <c r="M69" s="82">
        <f>VLOOKUP($A69&amp;"NCP",'E11 - 2012 09 Final'!$A$46:$P$2419,$M$45,FALSE)</f>
        <v>86408</v>
      </c>
      <c r="N69" s="82">
        <f>VLOOKUP($A69&amp;"NCP",'E11 - 2012 09 Final'!$A$46:$P$2419,$N$45,FALSE)</f>
        <v>111909</v>
      </c>
      <c r="O69" s="44">
        <f t="shared" si="14"/>
        <v>1477244</v>
      </c>
      <c r="P69" s="11">
        <f t="shared" si="15"/>
        <v>148604</v>
      </c>
    </row>
    <row r="70" spans="1:16">
      <c r="A70" t="s">
        <v>242</v>
      </c>
      <c r="B70" s="43" t="s">
        <v>491</v>
      </c>
      <c r="C70" s="82">
        <f>VLOOKUP($A70&amp;"NCP",'E11 - 2012 09 Final'!$A$46:$P$2419,$C$45,FALSE)</f>
        <v>45000</v>
      </c>
      <c r="D70" s="82">
        <f>VLOOKUP($A70&amp;"NCP",'E11 - 2012 09 Final'!$A$46:$P$2419,$D$45,FALSE)</f>
        <v>45000</v>
      </c>
      <c r="E70" s="82">
        <f>VLOOKUP($A70&amp;"NCP",'E11 - 2012 09 Final'!$A$46:$P$2419,$E$45,FALSE)</f>
        <v>45000</v>
      </c>
      <c r="F70" s="82">
        <f>VLOOKUP($A70&amp;"NCP",'E11 - 2012 09 Final'!$A$46:$P$2419,$F$45,FALSE)</f>
        <v>45000</v>
      </c>
      <c r="G70" s="82">
        <f>VLOOKUP($A70&amp;"NCP",'E11 - 2012 09 Final'!$A$46:$P$2419,$G$45,FALSE)</f>
        <v>45000</v>
      </c>
      <c r="H70" s="82">
        <f>VLOOKUP($A70&amp;"NCP",'E11 - 2012 09 Final'!$A$46:$P$2419,$H$45,FALSE)</f>
        <v>45000</v>
      </c>
      <c r="I70" s="82">
        <f>VLOOKUP($A70&amp;"NCP",'E11 - 2012 09 Final'!$A$46:$P$2419,$I$45,FALSE)</f>
        <v>45000</v>
      </c>
      <c r="J70" s="82">
        <f>VLOOKUP($A70&amp;"NCP",'E11 - 2012 09 Final'!$A$46:$P$2419,$J$45,FALSE)</f>
        <v>45000</v>
      </c>
      <c r="K70" s="82">
        <f>VLOOKUP($A70&amp;"NCP",'E11 - 2012 09 Final'!$A$46:$P$2419,$K$45,FALSE)</f>
        <v>45000</v>
      </c>
      <c r="L70" s="82">
        <f>VLOOKUP($A70&amp;"NCP",'E11 - 2012 09 Final'!$A$46:$P$2419,$L$45,FALSE)</f>
        <v>45000</v>
      </c>
      <c r="M70" s="82">
        <f>VLOOKUP($A70&amp;"NCP",'E11 - 2012 09 Final'!$A$46:$P$2419,$M$45,FALSE)</f>
        <v>45000</v>
      </c>
      <c r="N70" s="82">
        <f>VLOOKUP($A70&amp;"NCP",'E11 - 2012 09 Final'!$A$46:$P$2419,$N$45,FALSE)</f>
        <v>45000</v>
      </c>
      <c r="O70" s="44">
        <f t="shared" si="14"/>
        <v>540000</v>
      </c>
      <c r="P70" s="11">
        <f t="shared" si="15"/>
        <v>45000</v>
      </c>
    </row>
    <row r="71" spans="1:16" ht="409.6">
      <c r="A71" t="s">
        <v>661</v>
      </c>
      <c r="B71" s="43" t="s">
        <v>984</v>
      </c>
      <c r="C71" s="82">
        <f>VLOOKUP($A71&amp;"NCP",'E11 - 2012 09 Final'!$A$46:$P$2419,$C$45,FALSE)</f>
        <v>224965</v>
      </c>
      <c r="D71" s="82">
        <f>VLOOKUP($A71&amp;"NCP",'E11 - 2012 09 Final'!$A$46:$P$2419,$D$45,FALSE)</f>
        <v>207234</v>
      </c>
      <c r="E71" s="82">
        <f>VLOOKUP($A71&amp;"NCP",'E11 - 2012 09 Final'!$A$46:$P$2419,$E$45,FALSE)</f>
        <v>189386</v>
      </c>
      <c r="F71" s="82">
        <f>VLOOKUP($A71&amp;"NCP",'E11 - 2012 09 Final'!$A$46:$P$2419,$F$45,FALSE)</f>
        <v>207338</v>
      </c>
      <c r="G71" s="82">
        <f>VLOOKUP($A71&amp;"NCP",'E11 - 2012 09 Final'!$A$46:$P$2419,$G$45,FALSE)</f>
        <v>217637</v>
      </c>
      <c r="H71" s="82">
        <f>VLOOKUP($A71&amp;"NCP",'E11 - 2012 09 Final'!$A$46:$P$2419,$H$45,FALSE)</f>
        <v>217981</v>
      </c>
      <c r="I71" s="82">
        <f>VLOOKUP($A71&amp;"NCP",'E11 - 2012 09 Final'!$A$46:$P$2419,$I$45,FALSE)</f>
        <v>229570</v>
      </c>
      <c r="J71" s="82">
        <f>VLOOKUP($A71&amp;"NCP",'E11 - 2012 09 Final'!$A$46:$P$2419,$J$45,FALSE)</f>
        <v>238022</v>
      </c>
      <c r="K71" s="82">
        <f>VLOOKUP($A71&amp;"NCP",'E11 - 2012 09 Final'!$A$46:$P$2419,$K$45,FALSE)</f>
        <v>216824</v>
      </c>
      <c r="L71" s="82">
        <f>VLOOKUP($A71&amp;"NCP",'E11 - 2012 09 Final'!$A$46:$P$2419,$L$45,FALSE)</f>
        <v>214833</v>
      </c>
      <c r="M71" s="82">
        <f>VLOOKUP($A71&amp;"NCP",'E11 - 2012 09 Final'!$A$46:$P$2419,$M$45,FALSE)</f>
        <v>151505</v>
      </c>
      <c r="N71" s="82">
        <f>VLOOKUP($A71&amp;"NCP",'E11 - 2012 09 Final'!$A$46:$P$2419,$N$45,FALSE)</f>
        <v>174495</v>
      </c>
      <c r="O71" s="44">
        <f t="shared" si="14"/>
        <v>2489790</v>
      </c>
      <c r="P71" s="11">
        <f t="shared" si="15"/>
        <v>238022</v>
      </c>
    </row>
    <row r="72" spans="1:16">
      <c r="A72" t="s">
        <v>7</v>
      </c>
      <c r="B72" s="43" t="s">
        <v>987</v>
      </c>
      <c r="C72" s="82">
        <f>VLOOKUP($A72&amp;"NCP",'E11 - 2012 09 Final'!$A$46:$P$2419,$C$45,FALSE)</f>
        <v>1058</v>
      </c>
      <c r="D72" s="82">
        <f>VLOOKUP($A72&amp;"NCP",'E11 - 2012 09 Final'!$A$46:$P$2419,$D$45,FALSE)</f>
        <v>1007</v>
      </c>
      <c r="E72" s="82">
        <f>VLOOKUP($A72&amp;"NCP",'E11 - 2012 09 Final'!$A$46:$P$2419,$E$45,FALSE)</f>
        <v>990</v>
      </c>
      <c r="F72" s="82">
        <f>VLOOKUP($A72&amp;"NCP",'E11 - 2012 09 Final'!$A$46:$P$2419,$F$45,FALSE)</f>
        <v>973</v>
      </c>
      <c r="G72" s="82">
        <f>VLOOKUP($A72&amp;"NCP",'E11 - 2012 09 Final'!$A$46:$P$2419,$G$45,FALSE)</f>
        <v>975</v>
      </c>
      <c r="H72" s="82">
        <f>VLOOKUP($A72&amp;"NCP",'E11 - 2012 09 Final'!$A$46:$P$2419,$H$45,FALSE)</f>
        <v>972</v>
      </c>
      <c r="I72" s="82">
        <f>VLOOKUP($A72&amp;"NCP",'E11 - 2012 09 Final'!$A$46:$P$2419,$I$45,FALSE)</f>
        <v>986</v>
      </c>
      <c r="J72" s="82">
        <f>VLOOKUP($A72&amp;"NCP",'E11 - 2012 09 Final'!$A$46:$P$2419,$J$45,FALSE)</f>
        <v>950</v>
      </c>
      <c r="K72" s="82">
        <f>VLOOKUP($A72&amp;"NCP",'E11 - 2012 09 Final'!$A$46:$P$2419,$K$45,FALSE)</f>
        <v>949</v>
      </c>
      <c r="L72" s="82">
        <f>VLOOKUP($A72&amp;"NCP",'E11 - 2012 09 Final'!$A$46:$P$2419,$L$45,FALSE)</f>
        <v>879</v>
      </c>
      <c r="M72" s="82">
        <f>VLOOKUP($A72&amp;"NCP",'E11 - 2012 09 Final'!$A$46:$P$2419,$M$45,FALSE)</f>
        <v>1010</v>
      </c>
      <c r="N72" s="82">
        <f>VLOOKUP($A72&amp;"NCP",'E11 - 2012 09 Final'!$A$46:$P$2419,$N$45,FALSE)</f>
        <v>1015</v>
      </c>
      <c r="O72" s="44">
        <f t="shared" si="14"/>
        <v>11764</v>
      </c>
      <c r="P72" s="11">
        <f t="shared" si="15"/>
        <v>1058</v>
      </c>
    </row>
    <row r="73" spans="1:16">
      <c r="A73" t="s">
        <v>724</v>
      </c>
      <c r="B73" s="43" t="s">
        <v>724</v>
      </c>
      <c r="C73" s="82">
        <f>VLOOKUP($A73&amp;"NCP",'E11 - 2012 09 Final'!$A$46:$P$2419,$C$45,FALSE)</f>
        <v>13129</v>
      </c>
      <c r="D73" s="82">
        <f>VLOOKUP($A73&amp;"NCP",'E11 - 2012 09 Final'!$A$46:$P$2419,$D$45,FALSE)</f>
        <v>11883</v>
      </c>
      <c r="E73" s="82">
        <f>VLOOKUP($A73&amp;"NCP",'E11 - 2012 09 Final'!$A$46:$P$2419,$E$45,FALSE)</f>
        <v>10638</v>
      </c>
      <c r="F73" s="82">
        <f>VLOOKUP($A73&amp;"NCP",'E11 - 2012 09 Final'!$A$46:$P$2419,$F$45,FALSE)</f>
        <v>11650</v>
      </c>
      <c r="G73" s="82">
        <f>VLOOKUP($A73&amp;"NCP",'E11 - 2012 09 Final'!$A$46:$P$2419,$G$45,FALSE)</f>
        <v>13132</v>
      </c>
      <c r="H73" s="82">
        <f>VLOOKUP($A73&amp;"NCP",'E11 - 2012 09 Final'!$A$46:$P$2419,$H$45,FALSE)</f>
        <v>13054</v>
      </c>
      <c r="I73" s="82">
        <f>VLOOKUP($A73&amp;"NCP",'E11 - 2012 09 Final'!$A$46:$P$2419,$I$45,FALSE)</f>
        <v>13417</v>
      </c>
      <c r="J73" s="82">
        <f>VLOOKUP($A73&amp;"NCP",'E11 - 2012 09 Final'!$A$46:$P$2419,$J$45,FALSE)</f>
        <v>13650</v>
      </c>
      <c r="K73" s="82">
        <f>VLOOKUP($A73&amp;"NCP",'E11 - 2012 09 Final'!$A$46:$P$2419,$K$45,FALSE)</f>
        <v>12873</v>
      </c>
      <c r="L73" s="82">
        <f>VLOOKUP($A73&amp;"NCP",'E11 - 2012 09 Final'!$A$46:$P$2419,$L$45,FALSE)</f>
        <v>12111</v>
      </c>
      <c r="M73" s="82">
        <f>VLOOKUP($A73&amp;"NCP",'E11 - 2012 09 Final'!$A$46:$P$2419,$M$45,FALSE)</f>
        <v>8158</v>
      </c>
      <c r="N73" s="82">
        <f>VLOOKUP($A73&amp;"NCP",'E11 - 2012 09 Final'!$A$46:$P$2419,$N$45,FALSE)</f>
        <v>10033</v>
      </c>
      <c r="O73" s="44">
        <f t="shared" si="14"/>
        <v>143728</v>
      </c>
      <c r="P73" s="11">
        <f t="shared" si="15"/>
        <v>13650</v>
      </c>
    </row>
    <row r="75" spans="1:16" ht="21">
      <c r="B75" s="611" t="s">
        <v>989</v>
      </c>
      <c r="C75" s="611"/>
      <c r="D75" s="611"/>
      <c r="E75" s="611"/>
      <c r="F75" s="611"/>
      <c r="G75" s="611"/>
      <c r="H75" s="611"/>
      <c r="I75" s="611"/>
      <c r="J75" s="611"/>
      <c r="K75" s="611"/>
      <c r="L75" s="611"/>
      <c r="M75" s="611"/>
      <c r="N75" s="611"/>
      <c r="O75" s="611"/>
      <c r="P75" s="611"/>
    </row>
    <row r="76" spans="1:16" ht="17.399999999999999">
      <c r="B76" s="610" t="str">
        <f>+MANUAL!$B$6 &amp;" as Calculated by LodeStar Except as Noted"</f>
        <v>2013 as Calculated by LodeStar Except as Noted</v>
      </c>
      <c r="C76" s="610"/>
      <c r="D76" s="610"/>
      <c r="E76" s="610"/>
      <c r="F76" s="610"/>
      <c r="G76" s="610"/>
      <c r="H76" s="610"/>
      <c r="I76" s="610"/>
      <c r="J76" s="610"/>
      <c r="K76" s="610"/>
      <c r="L76" s="610"/>
      <c r="M76" s="610"/>
      <c r="N76" s="610"/>
      <c r="O76" s="610"/>
      <c r="P76" s="610"/>
    </row>
    <row r="77" spans="1:16" ht="13.8" thickBot="1">
      <c r="B77" s="300"/>
      <c r="C77" s="300"/>
      <c r="D77" s="300"/>
      <c r="E77" s="300"/>
      <c r="F77" s="300"/>
      <c r="G77" s="300"/>
      <c r="H77" s="300"/>
      <c r="I77" s="300"/>
      <c r="J77" s="300"/>
      <c r="K77" s="300"/>
      <c r="L77" s="300"/>
      <c r="M77" s="300"/>
      <c r="N77" s="300"/>
      <c r="O77" s="300"/>
      <c r="P77" s="300"/>
    </row>
    <row r="78" spans="1:16" ht="409.6">
      <c r="C78" s="14"/>
      <c r="D78" s="15"/>
      <c r="E78" s="16"/>
      <c r="F78" s="17"/>
      <c r="G78" s="18"/>
      <c r="H78" s="19"/>
      <c r="I78" s="20"/>
      <c r="J78" s="21"/>
      <c r="K78" s="22"/>
      <c r="L78" s="23"/>
      <c r="M78" s="24"/>
      <c r="N78" s="25"/>
      <c r="O78" s="26"/>
      <c r="P78" s="27" t="s">
        <v>576</v>
      </c>
    </row>
    <row r="79" spans="1:16" ht="13.8" thickBot="1">
      <c r="C79" s="28" t="s">
        <v>70</v>
      </c>
      <c r="D79" s="29" t="s">
        <v>71</v>
      </c>
      <c r="E79" s="30" t="s">
        <v>72</v>
      </c>
      <c r="F79" s="31" t="s">
        <v>73</v>
      </c>
      <c r="G79" s="32" t="s">
        <v>74</v>
      </c>
      <c r="H79" s="33" t="s">
        <v>75</v>
      </c>
      <c r="I79" s="34" t="s">
        <v>76</v>
      </c>
      <c r="J79" s="35" t="s">
        <v>77</v>
      </c>
      <c r="K79" s="36" t="s">
        <v>78</v>
      </c>
      <c r="L79" s="37" t="s">
        <v>79</v>
      </c>
      <c r="M79" s="38" t="s">
        <v>80</v>
      </c>
      <c r="N79" s="39" t="s">
        <v>81</v>
      </c>
      <c r="O79" s="40" t="s">
        <v>60</v>
      </c>
      <c r="P79" s="41" t="s">
        <v>82</v>
      </c>
    </row>
    <row r="80" spans="1:16" hidden="1">
      <c r="C80">
        <v>4</v>
      </c>
      <c r="D80">
        <f>C80+1</f>
        <v>5</v>
      </c>
      <c r="E80">
        <f t="shared" ref="E80:N80" si="16">D80+1</f>
        <v>6</v>
      </c>
      <c r="F80">
        <f t="shared" si="16"/>
        <v>7</v>
      </c>
      <c r="G80">
        <f t="shared" si="16"/>
        <v>8</v>
      </c>
      <c r="H80">
        <f t="shared" si="16"/>
        <v>9</v>
      </c>
      <c r="I80">
        <f t="shared" si="16"/>
        <v>10</v>
      </c>
      <c r="J80">
        <f t="shared" si="16"/>
        <v>11</v>
      </c>
      <c r="K80">
        <f t="shared" si="16"/>
        <v>12</v>
      </c>
      <c r="L80">
        <f t="shared" si="16"/>
        <v>13</v>
      </c>
      <c r="M80">
        <f t="shared" si="16"/>
        <v>14</v>
      </c>
      <c r="N80">
        <f t="shared" si="16"/>
        <v>15</v>
      </c>
    </row>
    <row r="82" spans="1:16">
      <c r="B82" s="42" t="s">
        <v>83</v>
      </c>
    </row>
    <row r="83" spans="1:16">
      <c r="A83" t="s">
        <v>122</v>
      </c>
      <c r="B83" s="43" t="s">
        <v>84</v>
      </c>
      <c r="C83" s="82">
        <f>VLOOKUP($A83&amp;"NCP",'E11 - 2013 09 Final'!$A$46:$P$1775,$C$80,FALSE)</f>
        <v>444782</v>
      </c>
      <c r="D83" s="82">
        <f>VLOOKUP($A83&amp;"NCP",'E11 - 2013 09 Final'!$A$46:$P$1775,$D$80,FALSE)</f>
        <v>472220</v>
      </c>
      <c r="E83" s="82">
        <f>VLOOKUP($A83&amp;"NCP",'E11 - 2013 09 Final'!$A$46:$P$1775,$E$80,FALSE)</f>
        <v>414095</v>
      </c>
      <c r="F83" s="82">
        <f>VLOOKUP($A83&amp;"NCP",'E11 - 2013 09 Final'!$A$46:$P$1775,$F$80,FALSE)</f>
        <v>452550</v>
      </c>
      <c r="G83" s="82">
        <f>VLOOKUP($A83&amp;"NCP",'E11 - 2013 09 Final'!$A$46:$P$1775,$G$80,FALSE)</f>
        <v>462553</v>
      </c>
      <c r="H83" s="82">
        <f>VLOOKUP($A83&amp;"NCP",'E11 - 2013 09 Final'!$A$46:$P$1775,$H$80,FALSE)</f>
        <v>466586</v>
      </c>
      <c r="I83" s="82">
        <f>VLOOKUP($A83&amp;"NCP",'E11 - 2013 09 Final'!$A$46:$P$1775,$I$80,FALSE)</f>
        <v>465006</v>
      </c>
      <c r="J83" s="82">
        <f>VLOOKUP($A83&amp;"NCP",'E11 - 2013 09 Final'!$A$46:$P$1775,$J$80,FALSE)</f>
        <v>463695</v>
      </c>
      <c r="K83" s="82">
        <f>VLOOKUP($A83&amp;"NCP",'E11 - 2013 09 Final'!$A$46:$P$1775,$K$80,FALSE)</f>
        <v>504734</v>
      </c>
      <c r="L83" s="82">
        <f>VLOOKUP($A83&amp;"NCP",'E11 - 2013 09 Final'!$A$46:$P$1775,$L$80,FALSE)</f>
        <v>441738</v>
      </c>
      <c r="M83" s="82">
        <f>VLOOKUP($A83&amp;"NCP",'E11 - 2013 09 Final'!$A$46:$P$1775,$M$80,FALSE)</f>
        <v>448957</v>
      </c>
      <c r="N83" s="82">
        <f>VLOOKUP($A83&amp;"NCP",'E11 - 2013 09 Final'!$A$46:$P$1775,$N$80,FALSE)</f>
        <v>445264</v>
      </c>
      <c r="O83" s="44">
        <f t="shared" ref="O83:O99" si="17">SUM(C83:N83)</f>
        <v>5482180</v>
      </c>
      <c r="P83" s="11">
        <f t="shared" ref="P83:P108" si="18">MAX(C83:N83)</f>
        <v>504734</v>
      </c>
    </row>
    <row r="84" spans="1:16">
      <c r="A84" t="s">
        <v>177</v>
      </c>
      <c r="B84" s="43" t="s">
        <v>85</v>
      </c>
      <c r="C84" s="82">
        <f>VLOOKUP($A84&amp;"NCP",'E11 - 2013 09 Final'!$A$46:$P$1775,$C$80,FALSE)</f>
        <v>30381</v>
      </c>
      <c r="D84" s="82">
        <f>VLOOKUP($A84&amp;"NCP",'E11 - 2013 09 Final'!$A$46:$P$1775,$D$80,FALSE)</f>
        <v>32149</v>
      </c>
      <c r="E84" s="82">
        <f>VLOOKUP($A84&amp;"NCP",'E11 - 2013 09 Final'!$A$46:$P$1775,$E$80,FALSE)</f>
        <v>28622</v>
      </c>
      <c r="F84" s="82">
        <f>VLOOKUP($A84&amp;"NCP",'E11 - 2013 09 Final'!$A$46:$P$1775,$F$80,FALSE)</f>
        <v>30971</v>
      </c>
      <c r="G84" s="82">
        <f>VLOOKUP($A84&amp;"NCP",'E11 - 2013 09 Final'!$A$46:$P$1775,$G$80,FALSE)</f>
        <v>31447</v>
      </c>
      <c r="H84" s="82">
        <f>VLOOKUP($A84&amp;"NCP",'E11 - 2013 09 Final'!$A$46:$P$1775,$H$80,FALSE)</f>
        <v>32356</v>
      </c>
      <c r="I84" s="82">
        <f>VLOOKUP($A84&amp;"NCP",'E11 - 2013 09 Final'!$A$46:$P$1775,$I$80,FALSE)</f>
        <v>31449</v>
      </c>
      <c r="J84" s="82">
        <f>VLOOKUP($A84&amp;"NCP",'E11 - 2013 09 Final'!$A$46:$P$1775,$J$80,FALSE)</f>
        <v>32503</v>
      </c>
      <c r="K84" s="82">
        <f>VLOOKUP($A84&amp;"NCP",'E11 - 2013 09 Final'!$A$46:$P$1775,$K$80,FALSE)</f>
        <v>33959</v>
      </c>
      <c r="L84" s="82">
        <f>VLOOKUP($A84&amp;"NCP",'E11 - 2013 09 Final'!$A$46:$P$1775,$L$80,FALSE)</f>
        <v>30459</v>
      </c>
      <c r="M84" s="82">
        <f>VLOOKUP($A84&amp;"NCP",'E11 - 2013 09 Final'!$A$46:$P$1775,$M$80,FALSE)</f>
        <v>31019</v>
      </c>
      <c r="N84" s="82">
        <f>VLOOKUP($A84&amp;"NCP",'E11 - 2013 09 Final'!$A$46:$P$1775,$N$80,FALSE)</f>
        <v>31289</v>
      </c>
      <c r="O84" s="44">
        <f t="shared" si="17"/>
        <v>376604</v>
      </c>
      <c r="P84" s="11">
        <f t="shared" si="18"/>
        <v>33959</v>
      </c>
    </row>
    <row r="85" spans="1:16">
      <c r="A85" t="s">
        <v>185</v>
      </c>
      <c r="B85" s="43" t="s">
        <v>50</v>
      </c>
      <c r="C85" s="82">
        <f>VLOOKUP($A85&amp;"NCP",'E11 - 2013 09 Final'!$A$46:$P$1775,$C$80,FALSE)</f>
        <v>198261</v>
      </c>
      <c r="D85" s="82">
        <f>VLOOKUP($A85&amp;"NCP",'E11 - 2013 09 Final'!$A$46:$P$1775,$D$80,FALSE)</f>
        <v>200653</v>
      </c>
      <c r="E85" s="82">
        <f>VLOOKUP($A85&amp;"NCP",'E11 - 2013 09 Final'!$A$46:$P$1775,$E$80,FALSE)</f>
        <v>197636</v>
      </c>
      <c r="F85" s="82">
        <f>VLOOKUP($A85&amp;"NCP",'E11 - 2013 09 Final'!$A$46:$P$1775,$F$80,FALSE)</f>
        <v>199707</v>
      </c>
      <c r="G85" s="82">
        <f>VLOOKUP($A85&amp;"NCP",'E11 - 2013 09 Final'!$A$46:$P$1775,$G$80,FALSE)</f>
        <v>202956</v>
      </c>
      <c r="H85" s="82">
        <f>VLOOKUP($A85&amp;"NCP",'E11 - 2013 09 Final'!$A$46:$P$1775,$H$80,FALSE)</f>
        <v>207432</v>
      </c>
      <c r="I85" s="82">
        <f>VLOOKUP($A85&amp;"NCP",'E11 - 2013 09 Final'!$A$46:$P$1775,$I$80,FALSE)</f>
        <v>206131</v>
      </c>
      <c r="J85" s="82">
        <f>VLOOKUP($A85&amp;"NCP",'E11 - 2013 09 Final'!$A$46:$P$1775,$J$80,FALSE)</f>
        <v>212712</v>
      </c>
      <c r="K85" s="82">
        <f>VLOOKUP($A85&amp;"NCP",'E11 - 2013 09 Final'!$A$46:$P$1775,$K$80,FALSE)</f>
        <v>212144</v>
      </c>
      <c r="L85" s="82">
        <f>VLOOKUP($A85&amp;"NCP",'E11 - 2013 09 Final'!$A$46:$P$1775,$L$80,FALSE)</f>
        <v>201003</v>
      </c>
      <c r="M85" s="82">
        <f>VLOOKUP($A85&amp;"NCP",'E11 - 2013 09 Final'!$A$46:$P$1775,$M$80,FALSE)</f>
        <v>200121</v>
      </c>
      <c r="N85" s="82">
        <f>VLOOKUP($A85&amp;"NCP",'E11 - 2013 09 Final'!$A$46:$P$1775,$N$80,FALSE)</f>
        <v>197069</v>
      </c>
      <c r="O85" s="44">
        <f t="shared" si="17"/>
        <v>2435825</v>
      </c>
      <c r="P85" s="11">
        <f t="shared" si="18"/>
        <v>212712</v>
      </c>
    </row>
    <row r="86" spans="1:16">
      <c r="A86" t="s">
        <v>632</v>
      </c>
      <c r="B86" s="43" t="s">
        <v>49</v>
      </c>
      <c r="C86" s="82">
        <f>VLOOKUP($A86&amp;"NCP",'E11 - 2013 09 Final'!$A$46:$P$1775,$C$80,FALSE)</f>
        <v>1822066</v>
      </c>
      <c r="D86" s="82">
        <f>VLOOKUP($A86&amp;"NCP",'E11 - 2013 09 Final'!$A$46:$P$1775,$D$80,FALSE)</f>
        <v>2032594</v>
      </c>
      <c r="E86" s="82">
        <f>VLOOKUP($A86&amp;"NCP",'E11 - 2013 09 Final'!$A$46:$P$1775,$E$80,FALSE)</f>
        <v>1819436</v>
      </c>
      <c r="F86" s="82">
        <f>VLOOKUP($A86&amp;"NCP",'E11 - 2013 09 Final'!$A$46:$P$1775,$F$80,FALSE)</f>
        <v>1772656</v>
      </c>
      <c r="G86" s="82">
        <f>VLOOKUP($A86&amp;"NCP",'E11 - 2013 09 Final'!$A$46:$P$1775,$G$80,FALSE)</f>
        <v>1928147</v>
      </c>
      <c r="H86" s="82">
        <f>VLOOKUP($A86&amp;"NCP",'E11 - 2013 09 Final'!$A$46:$P$1775,$H$80,FALSE)</f>
        <v>1949022</v>
      </c>
      <c r="I86" s="82">
        <f>VLOOKUP($A86&amp;"NCP",'E11 - 2013 09 Final'!$A$46:$P$1775,$I$80,FALSE)</f>
        <v>1984997</v>
      </c>
      <c r="J86" s="82">
        <f>VLOOKUP($A86&amp;"NCP",'E11 - 2013 09 Final'!$A$46:$P$1775,$J$80,FALSE)</f>
        <v>1984318</v>
      </c>
      <c r="K86" s="82">
        <f>VLOOKUP($A86&amp;"NCP",'E11 - 2013 09 Final'!$A$46:$P$1775,$K$80,FALSE)</f>
        <v>2199307</v>
      </c>
      <c r="L86" s="82">
        <f>VLOOKUP($A86&amp;"NCP",'E11 - 2013 09 Final'!$A$46:$P$1775,$L$80,FALSE)</f>
        <v>1947806</v>
      </c>
      <c r="M86" s="82">
        <f>VLOOKUP($A86&amp;"NCP",'E11 - 2013 09 Final'!$A$46:$P$1775,$M$80,FALSE)</f>
        <v>2049212</v>
      </c>
      <c r="N86" s="82">
        <f>VLOOKUP($A86&amp;"NCP",'E11 - 2013 09 Final'!$A$46:$P$1775,$N$80,FALSE)</f>
        <v>1933033</v>
      </c>
      <c r="O86" s="44">
        <f t="shared" si="17"/>
        <v>23422594</v>
      </c>
      <c r="P86" s="11">
        <f t="shared" si="18"/>
        <v>2199307</v>
      </c>
    </row>
    <row r="87" spans="1:16">
      <c r="A87" t="s">
        <v>640</v>
      </c>
      <c r="B87" s="46" t="s">
        <v>325</v>
      </c>
      <c r="C87" s="82">
        <f>VLOOKUP($A87&amp;"NCP",'E11 - 2013 09 Final'!$A$46:$P$1775,$C$80,FALSE)</f>
        <v>3135</v>
      </c>
      <c r="D87" s="82">
        <f>VLOOKUP($A87&amp;"NCP",'E11 - 2013 09 Final'!$A$46:$P$1775,$D$80,FALSE)</f>
        <v>3248</v>
      </c>
      <c r="E87" s="82">
        <f>VLOOKUP($A87&amp;"NCP",'E11 - 2013 09 Final'!$A$46:$P$1775,$E$80,FALSE)</f>
        <v>2845</v>
      </c>
      <c r="F87" s="82">
        <f>VLOOKUP($A87&amp;"NCP",'E11 - 2013 09 Final'!$A$46:$P$1775,$F$80,FALSE)</f>
        <v>3051</v>
      </c>
      <c r="G87" s="82">
        <f>VLOOKUP($A87&amp;"NCP",'E11 - 2013 09 Final'!$A$46:$P$1775,$G$80,FALSE)</f>
        <v>2966</v>
      </c>
      <c r="H87" s="82">
        <f>VLOOKUP($A87&amp;"NCP",'E11 - 2013 09 Final'!$A$46:$P$1775,$H$80,FALSE)</f>
        <v>6359</v>
      </c>
      <c r="I87" s="82">
        <f>VLOOKUP($A87&amp;"NCP",'E11 - 2013 09 Final'!$A$46:$P$1775,$I$80,FALSE)</f>
        <v>7002</v>
      </c>
      <c r="J87" s="82">
        <f>VLOOKUP($A87&amp;"NCP",'E11 - 2013 09 Final'!$A$46:$P$1775,$J$80,FALSE)</f>
        <v>7135</v>
      </c>
      <c r="K87" s="82">
        <f>VLOOKUP($A87&amp;"NCP",'E11 - 2013 09 Final'!$A$46:$P$1775,$K$80,FALSE)</f>
        <v>7163</v>
      </c>
      <c r="L87" s="82">
        <f>VLOOKUP($A87&amp;"NCP",'E11 - 2013 09 Final'!$A$46:$P$1775,$L$80,FALSE)</f>
        <v>1277</v>
      </c>
      <c r="M87" s="82">
        <f>VLOOKUP($A87&amp;"NCP",'E11 - 2013 09 Final'!$A$46:$P$1775,$M$80,FALSE)</f>
        <v>1257</v>
      </c>
      <c r="N87" s="82">
        <f>VLOOKUP($A87&amp;"NCP",'E11 - 2013 09 Final'!$A$46:$P$1775,$N$80,FALSE)</f>
        <v>1285</v>
      </c>
      <c r="O87" s="44">
        <f t="shared" si="17"/>
        <v>46723</v>
      </c>
      <c r="P87" s="11">
        <f t="shared" si="18"/>
        <v>7163</v>
      </c>
    </row>
    <row r="88" spans="1:16">
      <c r="A88" t="s">
        <v>994</v>
      </c>
      <c r="B88" s="43" t="s">
        <v>67</v>
      </c>
      <c r="C88" s="82">
        <f>VLOOKUP($A88&amp;"NCP",'E11 - 2013 09 Final'!$A$46:$P$1775,$C$80,FALSE)</f>
        <v>5075959</v>
      </c>
      <c r="D88" s="82">
        <f>VLOOKUP($A88&amp;"NCP",'E11 - 2013 09 Final'!$A$46:$P$1775,$D$80,FALSE)</f>
        <v>5560669</v>
      </c>
      <c r="E88" s="82">
        <f>VLOOKUP($A88&amp;"NCP",'E11 - 2013 09 Final'!$A$46:$P$1775,$E$80,FALSE)</f>
        <v>5040997</v>
      </c>
      <c r="F88" s="82">
        <f>VLOOKUP($A88&amp;"NCP",'E11 - 2013 09 Final'!$A$46:$P$1775,$F$80,FALSE)</f>
        <v>5227747</v>
      </c>
      <c r="G88" s="82">
        <f>VLOOKUP($A88&amp;"NCP",'E11 - 2013 09 Final'!$A$46:$P$1775,$G$80,FALSE)</f>
        <v>5571337</v>
      </c>
      <c r="H88" s="82">
        <f>VLOOKUP($A88&amp;"NCP",'E11 - 2013 09 Final'!$A$46:$P$1775,$H$80,FALSE)</f>
        <v>5616268</v>
      </c>
      <c r="I88" s="82">
        <f>VLOOKUP($A88&amp;"NCP",'E11 - 2013 09 Final'!$A$46:$P$1775,$I$80,FALSE)</f>
        <v>5486164</v>
      </c>
      <c r="J88" s="82">
        <f>VLOOKUP($A88&amp;"NCP",'E11 - 2013 09 Final'!$A$46:$P$1775,$J$80,FALSE)</f>
        <v>5769811</v>
      </c>
      <c r="K88" s="82">
        <f>VLOOKUP($A88&amp;"NCP",'E11 - 2013 09 Final'!$A$46:$P$1775,$K$80,FALSE)</f>
        <v>6302910</v>
      </c>
      <c r="L88" s="82">
        <f>VLOOKUP($A88&amp;"NCP",'E11 - 2013 09 Final'!$A$46:$P$1775,$L$80,FALSE)</f>
        <v>5523735</v>
      </c>
      <c r="M88" s="82">
        <f>VLOOKUP($A88&amp;"NCP",'E11 - 2013 09 Final'!$A$46:$P$1775,$M$80,FALSE)</f>
        <v>5582497</v>
      </c>
      <c r="N88" s="82">
        <f>VLOOKUP($A88&amp;"NCP",'E11 - 2013 09 Final'!$A$46:$P$1775,$N$80,FALSE)</f>
        <v>5424970</v>
      </c>
      <c r="O88" s="44">
        <f t="shared" si="17"/>
        <v>66183064</v>
      </c>
      <c r="P88" s="11">
        <f t="shared" si="18"/>
        <v>6302910</v>
      </c>
    </row>
    <row r="89" spans="1:16">
      <c r="A89" t="s">
        <v>997</v>
      </c>
      <c r="B89" s="43" t="s">
        <v>68</v>
      </c>
      <c r="C89" s="82">
        <f>VLOOKUP($A89&amp;"NCP",'E11 - 2013 09 Final'!$A$46:$P$1775,$C$80,FALSE)</f>
        <v>2006979</v>
      </c>
      <c r="D89" s="82">
        <f>VLOOKUP($A89&amp;"NCP",'E11 - 2013 09 Final'!$A$46:$P$1775,$D$80,FALSE)</f>
        <v>2174824</v>
      </c>
      <c r="E89" s="82">
        <f>VLOOKUP($A89&amp;"NCP",'E11 - 2013 09 Final'!$A$46:$P$1775,$E$80,FALSE)</f>
        <v>1977752</v>
      </c>
      <c r="F89" s="82">
        <f>VLOOKUP($A89&amp;"NCP",'E11 - 2013 09 Final'!$A$46:$P$1775,$F$80,FALSE)</f>
        <v>2017806</v>
      </c>
      <c r="G89" s="82">
        <f>VLOOKUP($A89&amp;"NCP",'E11 - 2013 09 Final'!$A$46:$P$1775,$G$80,FALSE)</f>
        <v>2188417</v>
      </c>
      <c r="H89" s="82">
        <f>VLOOKUP($A89&amp;"NCP",'E11 - 2013 09 Final'!$A$46:$P$1775,$H$80,FALSE)</f>
        <v>2227775</v>
      </c>
      <c r="I89" s="82">
        <f>VLOOKUP($A89&amp;"NCP",'E11 - 2013 09 Final'!$A$46:$P$1775,$I$80,FALSE)</f>
        <v>2105714</v>
      </c>
      <c r="J89" s="82">
        <f>VLOOKUP($A89&amp;"NCP",'E11 - 2013 09 Final'!$A$46:$P$1775,$J$80,FALSE)</f>
        <v>2207396</v>
      </c>
      <c r="K89" s="82">
        <f>VLOOKUP($A89&amp;"NCP",'E11 - 2013 09 Final'!$A$46:$P$1775,$K$80,FALSE)</f>
        <v>2436863</v>
      </c>
      <c r="L89" s="82">
        <f>VLOOKUP($A89&amp;"NCP",'E11 - 2013 09 Final'!$A$46:$P$1775,$L$80,FALSE)</f>
        <v>2134464</v>
      </c>
      <c r="M89" s="82">
        <f>VLOOKUP($A89&amp;"NCP",'E11 - 2013 09 Final'!$A$46:$P$1775,$M$80,FALSE)</f>
        <v>2162349</v>
      </c>
      <c r="N89" s="82">
        <f>VLOOKUP($A89&amp;"NCP",'E11 - 2013 09 Final'!$A$46:$P$1775,$N$80,FALSE)</f>
        <v>2159376</v>
      </c>
      <c r="O89" s="44">
        <f t="shared" si="17"/>
        <v>25799715</v>
      </c>
      <c r="P89" s="11">
        <f t="shared" si="18"/>
        <v>2436863</v>
      </c>
    </row>
    <row r="90" spans="1:16">
      <c r="A90" t="s">
        <v>713</v>
      </c>
      <c r="B90" s="43" t="s">
        <v>69</v>
      </c>
      <c r="C90" s="82">
        <f>VLOOKUP($A90&amp;"NCP",'E11 - 2013 09 Final'!$A$46:$P$1775,$C$80,FALSE)</f>
        <v>413634</v>
      </c>
      <c r="D90" s="82">
        <f>VLOOKUP($A90&amp;"NCP",'E11 - 2013 09 Final'!$A$46:$P$1775,$D$80,FALSE)</f>
        <v>442732</v>
      </c>
      <c r="E90" s="82">
        <f>VLOOKUP($A90&amp;"NCP",'E11 - 2013 09 Final'!$A$46:$P$1775,$E$80,FALSE)</f>
        <v>391085</v>
      </c>
      <c r="F90" s="82">
        <f>VLOOKUP($A90&amp;"NCP",'E11 - 2013 09 Final'!$A$46:$P$1775,$F$80,FALSE)</f>
        <v>413501</v>
      </c>
      <c r="G90" s="82">
        <f>VLOOKUP($A90&amp;"NCP",'E11 - 2013 09 Final'!$A$46:$P$1775,$G$80,FALSE)</f>
        <v>421937</v>
      </c>
      <c r="H90" s="82">
        <f>VLOOKUP($A90&amp;"NCP",'E11 - 2013 09 Final'!$A$46:$P$1775,$H$80,FALSE)</f>
        <v>434381</v>
      </c>
      <c r="I90" s="82">
        <f>VLOOKUP($A90&amp;"NCP",'E11 - 2013 09 Final'!$A$46:$P$1775,$I$80,FALSE)</f>
        <v>438336</v>
      </c>
      <c r="J90" s="82">
        <f>VLOOKUP($A90&amp;"NCP",'E11 - 2013 09 Final'!$A$46:$P$1775,$J$80,FALSE)</f>
        <v>444070</v>
      </c>
      <c r="K90" s="82">
        <f>VLOOKUP($A90&amp;"NCP",'E11 - 2013 09 Final'!$A$46:$P$1775,$K$80,FALSE)</f>
        <v>467940</v>
      </c>
      <c r="L90" s="82">
        <f>VLOOKUP($A90&amp;"NCP",'E11 - 2013 09 Final'!$A$46:$P$1775,$L$80,FALSE)</f>
        <v>421938</v>
      </c>
      <c r="M90" s="82">
        <f>VLOOKUP($A90&amp;"NCP",'E11 - 2013 09 Final'!$A$46:$P$1775,$M$80,FALSE)</f>
        <v>434236</v>
      </c>
      <c r="N90" s="82">
        <f>VLOOKUP($A90&amp;"NCP",'E11 - 2013 09 Final'!$A$46:$P$1775,$N$80,FALSE)</f>
        <v>420649</v>
      </c>
      <c r="O90" s="44">
        <f t="shared" si="17"/>
        <v>5144439</v>
      </c>
      <c r="P90" s="11">
        <f t="shared" si="18"/>
        <v>467940</v>
      </c>
    </row>
    <row r="91" spans="1:16">
      <c r="A91" t="s">
        <v>717</v>
      </c>
      <c r="B91" s="43" t="s">
        <v>52</v>
      </c>
      <c r="C91" s="82">
        <f>VLOOKUP($A91&amp;"NCP",'E11 - 2013 09 Final'!$A$46:$P$1775,$C$80,FALSE)</f>
        <v>38641</v>
      </c>
      <c r="D91" s="82">
        <f>VLOOKUP($A91&amp;"NCP",'E11 - 2013 09 Final'!$A$46:$P$1775,$D$80,FALSE)</f>
        <v>32524</v>
      </c>
      <c r="E91" s="82">
        <f>VLOOKUP($A91&amp;"NCP",'E11 - 2013 09 Final'!$A$46:$P$1775,$E$80,FALSE)</f>
        <v>36469</v>
      </c>
      <c r="F91" s="82">
        <f>VLOOKUP($A91&amp;"NCP",'E11 - 2013 09 Final'!$A$46:$P$1775,$F$80,FALSE)</f>
        <v>38875</v>
      </c>
      <c r="G91" s="82">
        <f>VLOOKUP($A91&amp;"NCP",'E11 - 2013 09 Final'!$A$46:$P$1775,$G$80,FALSE)</f>
        <v>33109</v>
      </c>
      <c r="H91" s="82">
        <f>VLOOKUP($A91&amp;"NCP",'E11 - 2013 09 Final'!$A$46:$P$1775,$H$80,FALSE)</f>
        <v>33596</v>
      </c>
      <c r="I91" s="82">
        <f>VLOOKUP($A91&amp;"NCP",'E11 - 2013 09 Final'!$A$46:$P$1775,$I$80,FALSE)</f>
        <v>30181</v>
      </c>
      <c r="J91" s="82">
        <f>VLOOKUP($A91&amp;"NCP",'E11 - 2013 09 Final'!$A$46:$P$1775,$J$80,FALSE)</f>
        <v>30019</v>
      </c>
      <c r="K91" s="82">
        <f>VLOOKUP($A91&amp;"NCP",'E11 - 2013 09 Final'!$A$46:$P$1775,$K$80,FALSE)</f>
        <v>27830</v>
      </c>
      <c r="L91" s="82">
        <f>VLOOKUP($A91&amp;"NCP",'E11 - 2013 09 Final'!$A$46:$P$1775,$L$80,FALSE)</f>
        <v>30532</v>
      </c>
      <c r="M91" s="82">
        <f>VLOOKUP($A91&amp;"NCP",'E11 - 2013 09 Final'!$A$46:$P$1775,$M$80,FALSE)</f>
        <v>27424</v>
      </c>
      <c r="N91" s="82">
        <f>VLOOKUP($A91&amp;"NCP",'E11 - 2013 09 Final'!$A$46:$P$1775,$N$80,FALSE)</f>
        <v>35760</v>
      </c>
      <c r="O91" s="44">
        <f t="shared" si="17"/>
        <v>394960</v>
      </c>
      <c r="P91" s="11">
        <f t="shared" si="18"/>
        <v>38875</v>
      </c>
    </row>
    <row r="92" spans="1:16">
      <c r="A92" t="s">
        <v>15</v>
      </c>
      <c r="B92" s="206" t="s">
        <v>15</v>
      </c>
      <c r="C92" s="82">
        <f>VLOOKUP($A92&amp;"NCP",'E11 - 2013 09 Final'!$A$46:$P$1775,$C$80,FALSE)</f>
        <v>16306</v>
      </c>
      <c r="D92" s="82">
        <f>VLOOKUP($A92&amp;"NCP",'E11 - 2013 09 Final'!$A$46:$P$1775,$D$80,FALSE)</f>
        <v>17819</v>
      </c>
      <c r="E92" s="82">
        <f>VLOOKUP($A92&amp;"NCP",'E11 - 2013 09 Final'!$A$46:$P$1775,$E$80,FALSE)</f>
        <v>17998</v>
      </c>
      <c r="F92" s="82">
        <f>VLOOKUP($A92&amp;"NCP",'E11 - 2013 09 Final'!$A$46:$P$1775,$F$80,FALSE)</f>
        <v>18696</v>
      </c>
      <c r="G92" s="82">
        <f>VLOOKUP($A92&amp;"NCP",'E11 - 2013 09 Final'!$A$46:$P$1775,$G$80,FALSE)</f>
        <v>18452</v>
      </c>
      <c r="H92" s="82">
        <f>VLOOKUP($A92&amp;"NCP",'E11 - 2013 09 Final'!$A$46:$P$1775,$H$80,FALSE)</f>
        <v>20116</v>
      </c>
      <c r="I92" s="82">
        <f>VLOOKUP($A92&amp;"NCP",'E11 - 2013 09 Final'!$A$46:$P$1775,$I$80,FALSE)</f>
        <v>20577</v>
      </c>
      <c r="J92" s="82">
        <f>VLOOKUP($A92&amp;"NCP",'E11 - 2013 09 Final'!$A$46:$P$1775,$J$80,FALSE)</f>
        <v>21020</v>
      </c>
      <c r="K92" s="82">
        <f>VLOOKUP($A92&amp;"NCP",'E11 - 2013 09 Final'!$A$46:$P$1775,$K$80,FALSE)</f>
        <v>20990</v>
      </c>
      <c r="L92" s="82">
        <f>VLOOKUP($A92&amp;"NCP",'E11 - 2013 09 Final'!$A$46:$P$1775,$L$80,FALSE)</f>
        <v>19594</v>
      </c>
      <c r="M92" s="82">
        <f>VLOOKUP($A92&amp;"NCP",'E11 - 2013 09 Final'!$A$46:$P$1775,$M$80,FALSE)</f>
        <v>18280</v>
      </c>
      <c r="N92" s="82">
        <f>VLOOKUP($A92&amp;"NCP",'E11 - 2013 09 Final'!$A$46:$P$1775,$N$80,FALSE)</f>
        <v>17733</v>
      </c>
      <c r="O92" s="44">
        <f t="shared" si="17"/>
        <v>227581</v>
      </c>
      <c r="P92" s="11">
        <f t="shared" si="18"/>
        <v>21020</v>
      </c>
    </row>
    <row r="93" spans="1:16">
      <c r="A93" t="s">
        <v>19</v>
      </c>
      <c r="B93" s="43" t="s">
        <v>56</v>
      </c>
      <c r="C93" s="82">
        <f>VLOOKUP($A93&amp;"NCP",'E11 - 2013 09 Final'!$A$46:$P$1775,$C$80,FALSE)</f>
        <v>20401</v>
      </c>
      <c r="D93" s="82">
        <f>VLOOKUP($A93&amp;"NCP",'E11 - 2013 09 Final'!$A$46:$P$1775,$D$80,FALSE)</f>
        <v>23508</v>
      </c>
      <c r="E93" s="82">
        <f>VLOOKUP($A93&amp;"NCP",'E11 - 2013 09 Final'!$A$46:$P$1775,$E$80,FALSE)</f>
        <v>22720</v>
      </c>
      <c r="F93" s="82">
        <f>VLOOKUP($A93&amp;"NCP",'E11 - 2013 09 Final'!$A$46:$P$1775,$F$80,FALSE)</f>
        <v>24943</v>
      </c>
      <c r="G93" s="82">
        <f>VLOOKUP($A93&amp;"NCP",'E11 - 2013 09 Final'!$A$46:$P$1775,$G$80,FALSE)</f>
        <v>25372</v>
      </c>
      <c r="H93" s="82">
        <f>VLOOKUP($A93&amp;"NCP",'E11 - 2013 09 Final'!$A$46:$P$1775,$H$80,FALSE)</f>
        <v>27183</v>
      </c>
      <c r="I93" s="82">
        <f>VLOOKUP($A93&amp;"NCP",'E11 - 2013 09 Final'!$A$46:$P$1775,$I$80,FALSE)</f>
        <v>25980</v>
      </c>
      <c r="J93" s="82">
        <f>VLOOKUP($A93&amp;"NCP",'E11 - 2013 09 Final'!$A$46:$P$1775,$J$80,FALSE)</f>
        <v>24928</v>
      </c>
      <c r="K93" s="82">
        <f>VLOOKUP($A93&amp;"NCP",'E11 - 2013 09 Final'!$A$46:$P$1775,$K$80,FALSE)</f>
        <v>23906</v>
      </c>
      <c r="L93" s="82">
        <f>VLOOKUP($A93&amp;"NCP",'E11 - 2013 09 Final'!$A$46:$P$1775,$L$80,FALSE)</f>
        <v>21779</v>
      </c>
      <c r="M93" s="82">
        <f>VLOOKUP($A93&amp;"NCP",'E11 - 2013 09 Final'!$A$46:$P$1775,$M$80,FALSE)</f>
        <v>21313</v>
      </c>
      <c r="N93" s="82">
        <f>VLOOKUP($A93&amp;"NCP",'E11 - 2013 09 Final'!$A$46:$P$1775,$N$80,FALSE)</f>
        <v>20130</v>
      </c>
      <c r="O93" s="44">
        <f t="shared" si="17"/>
        <v>282163</v>
      </c>
      <c r="P93" s="11">
        <f t="shared" si="18"/>
        <v>27183</v>
      </c>
    </row>
    <row r="94" spans="1:16">
      <c r="A94" t="s">
        <v>22</v>
      </c>
      <c r="B94" s="43" t="s">
        <v>57</v>
      </c>
      <c r="C94" s="82">
        <f>VLOOKUP($A94&amp;"NCP",'E11 - 2013 09 Final'!$A$46:$P$1775,$C$80,FALSE)</f>
        <v>12137</v>
      </c>
      <c r="D94" s="82">
        <f>VLOOKUP($A94&amp;"NCP",'E11 - 2013 09 Final'!$A$46:$P$1775,$D$80,FALSE)</f>
        <v>15897</v>
      </c>
      <c r="E94" s="82">
        <f>VLOOKUP($A94&amp;"NCP",'E11 - 2013 09 Final'!$A$46:$P$1775,$E$80,FALSE)</f>
        <v>16406</v>
      </c>
      <c r="F94" s="82">
        <f>VLOOKUP($A94&amp;"NCP",'E11 - 2013 09 Final'!$A$46:$P$1775,$F$80,FALSE)</f>
        <v>14536</v>
      </c>
      <c r="G94" s="82">
        <f>VLOOKUP($A94&amp;"NCP",'E11 - 2013 09 Final'!$A$46:$P$1775,$G$80,FALSE)</f>
        <v>14187</v>
      </c>
      <c r="H94" s="82">
        <f>VLOOKUP($A94&amp;"NCP",'E11 - 2013 09 Final'!$A$46:$P$1775,$H$80,FALSE)</f>
        <v>11423</v>
      </c>
      <c r="I94" s="82">
        <f>VLOOKUP($A94&amp;"NCP",'E11 - 2013 09 Final'!$A$46:$P$1775,$I$80,FALSE)</f>
        <v>9712</v>
      </c>
      <c r="J94" s="82">
        <f>VLOOKUP($A94&amp;"NCP",'E11 - 2013 09 Final'!$A$46:$P$1775,$J$80,FALSE)</f>
        <v>10989</v>
      </c>
      <c r="K94" s="82">
        <f>VLOOKUP($A94&amp;"NCP",'E11 - 2013 09 Final'!$A$46:$P$1775,$K$80,FALSE)</f>
        <v>15223</v>
      </c>
      <c r="L94" s="82">
        <f>VLOOKUP($A94&amp;"NCP",'E11 - 2013 09 Final'!$A$46:$P$1775,$L$80,FALSE)</f>
        <v>13668</v>
      </c>
      <c r="M94" s="82">
        <f>VLOOKUP($A94&amp;"NCP",'E11 - 2013 09 Final'!$A$46:$P$1775,$M$80,FALSE)</f>
        <v>16020</v>
      </c>
      <c r="N94" s="82">
        <f>VLOOKUP($A94&amp;"NCP",'E11 - 2013 09 Final'!$A$46:$P$1775,$N$80,FALSE)</f>
        <v>15474</v>
      </c>
      <c r="O94" s="44">
        <f t="shared" si="17"/>
        <v>165672</v>
      </c>
      <c r="P94" s="11">
        <f t="shared" si="18"/>
        <v>16406</v>
      </c>
    </row>
    <row r="95" spans="1:16">
      <c r="A95" t="s">
        <v>687</v>
      </c>
      <c r="B95" s="43" t="s">
        <v>48</v>
      </c>
      <c r="C95" s="82">
        <f>VLOOKUP($A95&amp;"NCP",'E11 - 2013 09 Final'!$A$46:$P$1775,$C$80,FALSE)</f>
        <v>27475476</v>
      </c>
      <c r="D95" s="82">
        <f>VLOOKUP($A95&amp;"NCP",'E11 - 2013 09 Final'!$A$46:$P$1775,$D$80,FALSE)</f>
        <v>27923233</v>
      </c>
      <c r="E95" s="82">
        <f>VLOOKUP($A95&amp;"NCP",'E11 - 2013 09 Final'!$A$46:$P$1775,$E$80,FALSE)</f>
        <v>27043129</v>
      </c>
      <c r="F95" s="82">
        <f>VLOOKUP($A95&amp;"NCP",'E11 - 2013 09 Final'!$A$46:$P$1775,$F$80,FALSE)</f>
        <v>23406572</v>
      </c>
      <c r="G95" s="82">
        <f>VLOOKUP($A95&amp;"NCP",'E11 - 2013 09 Final'!$A$46:$P$1775,$G$80,FALSE)</f>
        <v>24166010</v>
      </c>
      <c r="H95" s="82">
        <f>VLOOKUP($A95&amp;"NCP",'E11 - 2013 09 Final'!$A$46:$P$1775,$H$80,FALSE)</f>
        <v>23029873</v>
      </c>
      <c r="I95" s="82">
        <f>VLOOKUP($A95&amp;"NCP",'E11 - 2013 09 Final'!$A$46:$P$1775,$I$80,FALSE)</f>
        <v>25081511</v>
      </c>
      <c r="J95" s="82">
        <f>VLOOKUP($A95&amp;"NCP",'E11 - 2013 09 Final'!$A$46:$P$1775,$J$80,FALSE)</f>
        <v>25459602</v>
      </c>
      <c r="K95" s="82">
        <f>VLOOKUP($A95&amp;"NCP",'E11 - 2013 09 Final'!$A$46:$P$1775,$K$80,FALSE)</f>
        <v>28027482</v>
      </c>
      <c r="L95" s="82">
        <f>VLOOKUP($A95&amp;"NCP",'E11 - 2013 09 Final'!$A$46:$P$1775,$L$80,FALSE)</f>
        <v>25502217</v>
      </c>
      <c r="M95" s="82">
        <f>VLOOKUP($A95&amp;"NCP",'E11 - 2013 09 Final'!$A$46:$P$1775,$M$80,FALSE)</f>
        <v>27060209</v>
      </c>
      <c r="N95" s="82">
        <f>VLOOKUP($A95&amp;"NCP",'E11 - 2013 09 Final'!$A$46:$P$1775,$N$80,FALSE)</f>
        <v>25722581</v>
      </c>
      <c r="O95" s="44">
        <f t="shared" si="17"/>
        <v>309897895</v>
      </c>
      <c r="P95" s="11">
        <f t="shared" si="18"/>
        <v>28027482</v>
      </c>
    </row>
    <row r="96" spans="1:16">
      <c r="A96" t="s">
        <v>35</v>
      </c>
      <c r="B96" s="43" t="s">
        <v>53</v>
      </c>
      <c r="C96" s="82">
        <f>VLOOKUP($A96&amp;"NCP",'E11 - 2013 09 Final'!$A$46:$P$1775,$C$80,FALSE)</f>
        <v>101427</v>
      </c>
      <c r="D96" s="82">
        <f>VLOOKUP($A96&amp;"NCP",'E11 - 2013 09 Final'!$A$46:$P$1775,$D$80,FALSE)</f>
        <v>122596</v>
      </c>
      <c r="E96" s="82">
        <f>VLOOKUP($A96&amp;"NCP",'E11 - 2013 09 Final'!$A$46:$P$1775,$E$80,FALSE)</f>
        <v>113568</v>
      </c>
      <c r="F96" s="82">
        <f>VLOOKUP($A96&amp;"NCP",'E11 - 2013 09 Final'!$A$46:$P$1775,$F$80,FALSE)</f>
        <v>124832</v>
      </c>
      <c r="G96" s="82">
        <f>VLOOKUP($A96&amp;"NCP",'E11 - 2013 09 Final'!$A$46:$P$1775,$G$80,FALSE)</f>
        <v>131319</v>
      </c>
      <c r="H96" s="82">
        <f>VLOOKUP($A96&amp;"NCP",'E11 - 2013 09 Final'!$A$46:$P$1775,$H$80,FALSE)</f>
        <v>137234</v>
      </c>
      <c r="I96" s="82">
        <f>VLOOKUP($A96&amp;"NCP",'E11 - 2013 09 Final'!$A$46:$P$1775,$I$80,FALSE)</f>
        <v>112257</v>
      </c>
      <c r="J96" s="82">
        <f>VLOOKUP($A96&amp;"NCP",'E11 - 2013 09 Final'!$A$46:$P$1775,$J$80,FALSE)</f>
        <v>143265</v>
      </c>
      <c r="K96" s="82">
        <f>VLOOKUP($A96&amp;"NCP",'E11 - 2013 09 Final'!$A$46:$P$1775,$K$80,FALSE)</f>
        <v>124161</v>
      </c>
      <c r="L96" s="82">
        <f>VLOOKUP($A96&amp;"NCP",'E11 - 2013 09 Final'!$A$46:$P$1775,$L$80,FALSE)</f>
        <v>109060</v>
      </c>
      <c r="M96" s="82">
        <f>VLOOKUP($A96&amp;"NCP",'E11 - 2013 09 Final'!$A$46:$P$1775,$M$80,FALSE)</f>
        <v>109373</v>
      </c>
      <c r="N96" s="82">
        <f>VLOOKUP($A96&amp;"NCP",'E11 - 2013 09 Final'!$A$46:$P$1775,$N$80,FALSE)</f>
        <v>102154</v>
      </c>
      <c r="O96" s="44">
        <f t="shared" si="17"/>
        <v>1431246</v>
      </c>
      <c r="P96" s="11">
        <f t="shared" si="18"/>
        <v>143265</v>
      </c>
    </row>
    <row r="97" spans="1:16">
      <c r="A97" t="s">
        <v>38</v>
      </c>
      <c r="B97" s="43" t="s">
        <v>55</v>
      </c>
      <c r="C97" s="82">
        <f>VLOOKUP($A97&amp;"NCP",'E11 - 2013 09 Final'!$A$46:$P$1775,$C$80,FALSE)</f>
        <v>3527</v>
      </c>
      <c r="D97" s="82">
        <f>VLOOKUP($A97&amp;"NCP",'E11 - 2013 09 Final'!$A$46:$P$1775,$D$80,FALSE)</f>
        <v>3908</v>
      </c>
      <c r="E97" s="82">
        <f>VLOOKUP($A97&amp;"NCP",'E11 - 2013 09 Final'!$A$46:$P$1775,$E$80,FALSE)</f>
        <v>3544</v>
      </c>
      <c r="F97" s="82">
        <f>VLOOKUP($A97&amp;"NCP",'E11 - 2013 09 Final'!$A$46:$P$1775,$F$80,FALSE)</f>
        <v>3655</v>
      </c>
      <c r="G97" s="82">
        <f>VLOOKUP($A97&amp;"NCP",'E11 - 2013 09 Final'!$A$46:$P$1775,$G$80,FALSE)</f>
        <v>3542</v>
      </c>
      <c r="H97" s="82">
        <f>VLOOKUP($A97&amp;"NCP",'E11 - 2013 09 Final'!$A$46:$P$1775,$H$80,FALSE)</f>
        <v>3199</v>
      </c>
      <c r="I97" s="82">
        <f>VLOOKUP($A97&amp;"NCP",'E11 - 2013 09 Final'!$A$46:$P$1775,$I$80,FALSE)</f>
        <v>3506</v>
      </c>
      <c r="J97" s="82">
        <f>VLOOKUP($A97&amp;"NCP",'E11 - 2013 09 Final'!$A$46:$P$1775,$J$80,FALSE)</f>
        <v>3512</v>
      </c>
      <c r="K97" s="82">
        <f>VLOOKUP($A97&amp;"NCP",'E11 - 2013 09 Final'!$A$46:$P$1775,$K$80,FALSE)</f>
        <v>3473</v>
      </c>
      <c r="L97" s="82">
        <f>VLOOKUP($A97&amp;"NCP",'E11 - 2013 09 Final'!$A$46:$P$1775,$L$80,FALSE)</f>
        <v>3507</v>
      </c>
      <c r="M97" s="82">
        <f>VLOOKUP($A97&amp;"NCP",'E11 - 2013 09 Final'!$A$46:$P$1775,$M$80,FALSE)</f>
        <v>3625</v>
      </c>
      <c r="N97" s="82">
        <f>VLOOKUP($A97&amp;"NCP",'E11 - 2013 09 Final'!$A$46:$P$1775,$N$80,FALSE)</f>
        <v>3517</v>
      </c>
      <c r="O97" s="44">
        <f t="shared" si="17"/>
        <v>42515</v>
      </c>
      <c r="P97" s="11">
        <f t="shared" si="18"/>
        <v>3908</v>
      </c>
    </row>
    <row r="98" spans="1:16">
      <c r="A98" t="s">
        <v>40</v>
      </c>
      <c r="B98" s="43" t="s">
        <v>87</v>
      </c>
      <c r="C98" s="82">
        <f>VLOOKUP($A98&amp;"NCP",'E11 - 2013 09 Final'!$A$46:$P$1775,$C$80,FALSE)</f>
        <v>1397</v>
      </c>
      <c r="D98" s="82">
        <f>VLOOKUP($A98&amp;"NCP",'E11 - 2013 09 Final'!$A$46:$P$1775,$D$80,FALSE)</f>
        <v>1654</v>
      </c>
      <c r="E98" s="82">
        <f>VLOOKUP($A98&amp;"NCP",'E11 - 2013 09 Final'!$A$46:$P$1775,$E$80,FALSE)</f>
        <v>4875</v>
      </c>
      <c r="F98" s="82">
        <f>VLOOKUP($A98&amp;"NCP",'E11 - 2013 09 Final'!$A$46:$P$1775,$F$80,FALSE)</f>
        <v>4501</v>
      </c>
      <c r="G98" s="82">
        <f>VLOOKUP($A98&amp;"NCP",'E11 - 2013 09 Final'!$A$46:$P$1775,$G$80,FALSE)</f>
        <v>4240</v>
      </c>
      <c r="H98" s="82">
        <f>VLOOKUP($A98&amp;"NCP",'E11 - 2013 09 Final'!$A$46:$P$1775,$H$80,FALSE)</f>
        <v>4402</v>
      </c>
      <c r="I98" s="82">
        <f>VLOOKUP($A98&amp;"NCP",'E11 - 2013 09 Final'!$A$46:$P$1775,$I$80,FALSE)</f>
        <v>4910</v>
      </c>
      <c r="J98" s="82">
        <f>VLOOKUP($A98&amp;"NCP",'E11 - 2013 09 Final'!$A$46:$P$1775,$J$80,FALSE)</f>
        <v>5174</v>
      </c>
      <c r="K98" s="82">
        <f>VLOOKUP($A98&amp;"NCP",'E11 - 2013 09 Final'!$A$46:$P$1775,$K$80,FALSE)</f>
        <v>4549</v>
      </c>
      <c r="L98" s="82">
        <f>VLOOKUP($A98&amp;"NCP",'E11 - 2013 09 Final'!$A$46:$P$1775,$L$80,FALSE)</f>
        <v>6260</v>
      </c>
      <c r="M98" s="82">
        <f>VLOOKUP($A98&amp;"NCP",'E11 - 2013 09 Final'!$A$46:$P$1775,$M$80,FALSE)</f>
        <v>3911</v>
      </c>
      <c r="N98" s="82">
        <f>VLOOKUP($A98&amp;"NCP",'E11 - 2013 09 Final'!$A$46:$P$1775,$N$80,FALSE)</f>
        <v>6779</v>
      </c>
      <c r="O98" s="44">
        <f t="shared" si="17"/>
        <v>52652</v>
      </c>
      <c r="P98" s="11">
        <f t="shared" si="18"/>
        <v>6779</v>
      </c>
    </row>
    <row r="99" spans="1:16">
      <c r="A99" t="s">
        <v>45</v>
      </c>
      <c r="B99" s="43" t="s">
        <v>88</v>
      </c>
      <c r="C99" s="82">
        <f>VLOOKUP($A99&amp;"NCP",'E11 - 2013 09 Final'!$A$46:$P$1775,$C$80,FALSE)</f>
        <v>57647</v>
      </c>
      <c r="D99" s="82">
        <f>VLOOKUP($A99&amp;"NCP",'E11 - 2013 09 Final'!$A$46:$P$1775,$D$80,FALSE)</f>
        <v>55295</v>
      </c>
      <c r="E99" s="82">
        <f>VLOOKUP($A99&amp;"NCP",'E11 - 2013 09 Final'!$A$46:$P$1775,$E$80,FALSE)</f>
        <v>85041</v>
      </c>
      <c r="F99" s="82">
        <f>VLOOKUP($A99&amp;"NCP",'E11 - 2013 09 Final'!$A$46:$P$1775,$F$80,FALSE)</f>
        <v>93910</v>
      </c>
      <c r="G99" s="82">
        <f>VLOOKUP($A99&amp;"NCP",'E11 - 2013 09 Final'!$A$46:$P$1775,$G$80,FALSE)</f>
        <v>100347</v>
      </c>
      <c r="H99" s="82">
        <f>VLOOKUP($A99&amp;"NCP",'E11 - 2013 09 Final'!$A$46:$P$1775,$H$80,FALSE)</f>
        <v>56057</v>
      </c>
      <c r="I99" s="82">
        <f>VLOOKUP($A99&amp;"NCP",'E11 - 2013 09 Final'!$A$46:$P$1775,$I$80,FALSE)</f>
        <v>57792</v>
      </c>
      <c r="J99" s="82">
        <f>VLOOKUP($A99&amp;"NCP",'E11 - 2013 09 Final'!$A$46:$P$1775,$J$80,FALSE)</f>
        <v>63990</v>
      </c>
      <c r="K99" s="82">
        <f>VLOOKUP($A99&amp;"NCP",'E11 - 2013 09 Final'!$A$46:$P$1775,$K$80,FALSE)</f>
        <v>98828</v>
      </c>
      <c r="L99" s="82">
        <f>VLOOKUP($A99&amp;"NCP",'E11 - 2013 09 Final'!$A$46:$P$1775,$L$80,FALSE)</f>
        <v>84405</v>
      </c>
      <c r="M99" s="82">
        <f>VLOOKUP($A99&amp;"NCP",'E11 - 2013 09 Final'!$A$46:$P$1775,$M$80,FALSE)</f>
        <v>95466</v>
      </c>
      <c r="N99" s="82">
        <f>VLOOKUP($A99&amp;"NCP",'E11 - 2013 09 Final'!$A$46:$P$1775,$N$80,FALSE)</f>
        <v>75212</v>
      </c>
      <c r="O99" s="44">
        <f t="shared" si="17"/>
        <v>923990</v>
      </c>
      <c r="P99" s="11">
        <f t="shared" si="18"/>
        <v>100347</v>
      </c>
    </row>
    <row r="100" spans="1:16">
      <c r="C100" s="48"/>
      <c r="D100" s="48"/>
      <c r="E100" s="48"/>
      <c r="F100" s="48"/>
      <c r="G100" s="48"/>
      <c r="H100" s="48"/>
      <c r="I100" s="48"/>
      <c r="J100" s="48"/>
      <c r="K100" s="48"/>
      <c r="L100" s="48"/>
      <c r="M100" s="48"/>
      <c r="N100" s="48"/>
      <c r="O100" s="44"/>
      <c r="P100" s="11"/>
    </row>
    <row r="101" spans="1:16">
      <c r="C101" s="48"/>
      <c r="D101" s="48"/>
      <c r="E101" s="48"/>
      <c r="F101" s="48"/>
      <c r="G101" s="48"/>
      <c r="H101" s="48"/>
      <c r="I101" s="48"/>
      <c r="J101" s="48"/>
      <c r="K101" s="48"/>
      <c r="L101" s="48"/>
      <c r="M101" s="48"/>
      <c r="N101" s="48"/>
      <c r="O101" s="44"/>
      <c r="P101" s="11"/>
    </row>
    <row r="102" spans="1:16">
      <c r="B102" s="42" t="s">
        <v>86</v>
      </c>
      <c r="C102" s="10"/>
      <c r="D102" s="10"/>
      <c r="E102" s="10"/>
      <c r="F102" s="10"/>
      <c r="G102" s="10"/>
      <c r="H102" s="10"/>
      <c r="I102" s="10"/>
      <c r="J102" s="10"/>
      <c r="K102" s="10"/>
      <c r="L102" s="10"/>
      <c r="M102" s="10"/>
      <c r="N102" s="10"/>
      <c r="P102" s="11"/>
    </row>
    <row r="103" spans="1:16">
      <c r="A103" t="s">
        <v>603</v>
      </c>
      <c r="B103" t="s">
        <v>603</v>
      </c>
      <c r="C103" s="82">
        <f>VLOOKUP($A103&amp;"NCP",'E11 - 2013 09 Final'!$A$46:$P$1775,$C$80,FALSE)</f>
        <v>6529</v>
      </c>
      <c r="D103" s="82">
        <f>VLOOKUP($A103&amp;"NCP",'E11 - 2013 09 Final'!$A$46:$P$1775,$D$80,FALSE)</f>
        <v>6727</v>
      </c>
      <c r="E103" s="82">
        <f>VLOOKUP($A103&amp;"NCP",'E11 - 2013 09 Final'!$A$46:$P$1775,$E$80,FALSE)</f>
        <v>6742</v>
      </c>
      <c r="F103" s="82">
        <f>VLOOKUP($A103&amp;"NCP",'E11 - 2013 09 Final'!$A$46:$P$1775,$F$80,FALSE)</f>
        <v>6324</v>
      </c>
      <c r="G103" s="82">
        <f>VLOOKUP($A103&amp;"NCP",'E11 - 2013 09 Final'!$A$46:$P$1775,$G$80,FALSE)</f>
        <v>7555</v>
      </c>
      <c r="H103" s="82">
        <f>VLOOKUP($A103&amp;"NCP",'E11 - 2013 09 Final'!$A$46:$P$1775,$H$80,FALSE)</f>
        <v>7987</v>
      </c>
      <c r="I103" s="82">
        <f>VLOOKUP($A103&amp;"NCP",'E11 - 2013 09 Final'!$A$46:$P$1775,$I$80,FALSE)</f>
        <v>8255</v>
      </c>
      <c r="J103" s="82">
        <f>VLOOKUP($A103&amp;"NCP",'E11 - 2013 09 Final'!$A$46:$P$1775,$J$80,FALSE)</f>
        <v>8389</v>
      </c>
      <c r="K103" s="82">
        <f>VLOOKUP($A103&amp;"NCP",'E11 - 2013 09 Final'!$A$46:$P$1775,$K$80,FALSE)</f>
        <v>8163</v>
      </c>
      <c r="L103" s="82">
        <f>VLOOKUP($A103&amp;"NCP",'E11 - 2013 09 Final'!$A$46:$P$1775,$L$80,FALSE)</f>
        <v>7220</v>
      </c>
      <c r="M103" s="82">
        <f>VLOOKUP($A103&amp;"NCP",'E11 - 2013 09 Final'!$A$46:$P$1775,$M$80,FALSE)</f>
        <v>5707</v>
      </c>
      <c r="N103" s="82">
        <f>VLOOKUP($A103&amp;"NCP",'E11 - 2013 09 Final'!$A$46:$P$1775,$N$80,FALSE)</f>
        <v>6401</v>
      </c>
      <c r="O103" s="44">
        <f t="shared" ref="O103:O108" si="19">SUM(C103:N103)</f>
        <v>85999</v>
      </c>
      <c r="P103" s="11">
        <f t="shared" si="18"/>
        <v>8389</v>
      </c>
    </row>
    <row r="104" spans="1:16">
      <c r="A104" t="s">
        <v>245</v>
      </c>
      <c r="B104" t="s">
        <v>983</v>
      </c>
      <c r="C104" s="82">
        <f>VLOOKUP($A104&amp;"NCP",'E11 - 2013 09 Final'!$A$46:$P$1775,$C$80,FALSE)</f>
        <v>104213</v>
      </c>
      <c r="D104" s="82">
        <f>VLOOKUP($A104&amp;"NCP",'E11 - 2013 09 Final'!$A$46:$P$1775,$D$80,FALSE)</f>
        <v>114437</v>
      </c>
      <c r="E104" s="82">
        <f>VLOOKUP($A104&amp;"NCP",'E11 - 2013 09 Final'!$A$46:$P$1775,$E$80,FALSE)</f>
        <v>126051</v>
      </c>
      <c r="F104" s="82">
        <f>VLOOKUP($A104&amp;"NCP",'E11 - 2013 09 Final'!$A$46:$P$1775,$F$80,FALSE)</f>
        <v>126807</v>
      </c>
      <c r="G104" s="82">
        <f>VLOOKUP($A104&amp;"NCP",'E11 - 2013 09 Final'!$A$46:$P$1775,$G$80,FALSE)</f>
        <v>139147</v>
      </c>
      <c r="H104" s="82">
        <f>VLOOKUP($A104&amp;"NCP",'E11 - 2013 09 Final'!$A$46:$P$1775,$H$80,FALSE)</f>
        <v>141451</v>
      </c>
      <c r="I104" s="82">
        <f>VLOOKUP($A104&amp;"NCP",'E11 - 2013 09 Final'!$A$46:$P$1775,$I$80,FALSE)</f>
        <v>147695</v>
      </c>
      <c r="J104" s="82">
        <f>VLOOKUP($A104&amp;"NCP",'E11 - 2013 09 Final'!$A$46:$P$1775,$J$80,FALSE)</f>
        <v>143002</v>
      </c>
      <c r="K104" s="82">
        <f>VLOOKUP($A104&amp;"NCP",'E11 - 2013 09 Final'!$A$46:$P$1775,$K$80,FALSE)</f>
        <v>140826</v>
      </c>
      <c r="L104" s="82">
        <f>VLOOKUP($A104&amp;"NCP",'E11 - 2013 09 Final'!$A$46:$P$1775,$L$80,FALSE)</f>
        <v>129638</v>
      </c>
      <c r="M104" s="82">
        <f>VLOOKUP($A104&amp;"NCP",'E11 - 2013 09 Final'!$A$46:$P$1775,$M$80,FALSE)</f>
        <v>114961</v>
      </c>
      <c r="N104" s="82">
        <f>VLOOKUP($A104&amp;"NCP",'E11 - 2013 09 Final'!$A$46:$P$1775,$N$80,FALSE)</f>
        <v>115885</v>
      </c>
      <c r="O104" s="44">
        <f t="shared" si="19"/>
        <v>1544113</v>
      </c>
      <c r="P104" s="11">
        <f t="shared" si="18"/>
        <v>147695</v>
      </c>
    </row>
    <row r="105" spans="1:16">
      <c r="A105" t="s">
        <v>242</v>
      </c>
      <c r="B105" t="s">
        <v>491</v>
      </c>
      <c r="C105" s="82">
        <f>VLOOKUP($A105&amp;"NCP",'E11 - 2013 09 Final'!$A$46:$P$1775,$C$80,FALSE)</f>
        <v>45000</v>
      </c>
      <c r="D105" s="82">
        <f>VLOOKUP($A105&amp;"NCP",'E11 - 2013 09 Final'!$A$46:$P$1775,$D$80,FALSE)</f>
        <v>45000</v>
      </c>
      <c r="E105" s="82">
        <f>VLOOKUP($A105&amp;"NCP",'E11 - 2013 09 Final'!$A$46:$P$1775,$E$80,FALSE)</f>
        <v>45000</v>
      </c>
      <c r="F105" s="82">
        <f>VLOOKUP($A105&amp;"NCP",'E11 - 2013 09 Final'!$A$46:$P$1775,$F$80,FALSE)</f>
        <v>45000</v>
      </c>
      <c r="G105" s="82">
        <f>VLOOKUP($A105&amp;"NCP",'E11 - 2013 09 Final'!$A$46:$P$1775,$G$80,FALSE)</f>
        <v>45000</v>
      </c>
      <c r="H105" s="82">
        <f>VLOOKUP($A105&amp;"NCP",'E11 - 2013 09 Final'!$A$46:$P$1775,$H$80,FALSE)</f>
        <v>0</v>
      </c>
      <c r="I105" s="82">
        <f>VLOOKUP($A105&amp;"NCP",'E11 - 2013 09 Final'!$A$46:$P$1775,$I$80,FALSE)</f>
        <v>0</v>
      </c>
      <c r="J105" s="82">
        <f>VLOOKUP($A105&amp;"NCP",'E11 - 2013 09 Final'!$A$46:$P$1775,$J$80,FALSE)</f>
        <v>0</v>
      </c>
      <c r="K105" s="82">
        <f>VLOOKUP($A105&amp;"NCP",'E11 - 2013 09 Final'!$A$46:$P$1775,$K$80,FALSE)</f>
        <v>0</v>
      </c>
      <c r="L105" s="82">
        <f>VLOOKUP($A105&amp;"NCP",'E11 - 2013 09 Final'!$A$46:$P$1775,$L$80,FALSE)</f>
        <v>0</v>
      </c>
      <c r="M105" s="82">
        <f>VLOOKUP($A105&amp;"NCP",'E11 - 2013 09 Final'!$A$46:$P$1775,$M$80,FALSE)</f>
        <v>0</v>
      </c>
      <c r="N105" s="82">
        <f>VLOOKUP($A105&amp;"NCP",'E11 - 2013 09 Final'!$A$46:$P$1775,$N$80,FALSE)</f>
        <v>0</v>
      </c>
      <c r="O105" s="44">
        <f t="shared" si="19"/>
        <v>225000</v>
      </c>
      <c r="P105" s="11">
        <f t="shared" si="18"/>
        <v>45000</v>
      </c>
    </row>
    <row r="106" spans="1:16" ht="409.6">
      <c r="A106" t="s">
        <v>661</v>
      </c>
      <c r="B106" t="s">
        <v>984</v>
      </c>
      <c r="C106" s="82">
        <f>VLOOKUP($A106&amp;"NCP",'E11 - 2013 09 Final'!$A$46:$P$1775,$C$80,FALSE)</f>
        <v>172867</v>
      </c>
      <c r="D106" s="82">
        <f>VLOOKUP($A106&amp;"NCP",'E11 - 2013 09 Final'!$A$46:$P$1775,$D$80,FALSE)</f>
        <v>194639</v>
      </c>
      <c r="E106" s="82">
        <f>VLOOKUP($A106&amp;"NCP",'E11 - 2013 09 Final'!$A$46:$P$1775,$E$80,FALSE)</f>
        <v>196069</v>
      </c>
      <c r="F106" s="82">
        <f>VLOOKUP($A106&amp;"NCP",'E11 - 2013 09 Final'!$A$46:$P$1775,$F$80,FALSE)</f>
        <v>223880</v>
      </c>
      <c r="G106" s="82">
        <f>VLOOKUP($A106&amp;"NCP",'E11 - 2013 09 Final'!$A$46:$P$1775,$G$80,FALSE)</f>
        <v>224198</v>
      </c>
      <c r="H106" s="82">
        <f>VLOOKUP($A106&amp;"NCP",'E11 - 2013 09 Final'!$A$46:$P$1775,$H$80,FALSE)</f>
        <v>231785</v>
      </c>
      <c r="I106" s="82">
        <f>VLOOKUP($A106&amp;"NCP",'E11 - 2013 09 Final'!$A$46:$P$1775,$I$80,FALSE)</f>
        <v>226251</v>
      </c>
      <c r="J106" s="82">
        <f>VLOOKUP($A106&amp;"NCP",'E11 - 2013 09 Final'!$A$46:$P$1775,$J$80,FALSE)</f>
        <v>236361</v>
      </c>
      <c r="K106" s="82">
        <f>VLOOKUP($A106&amp;"NCP",'E11 - 2013 09 Final'!$A$46:$P$1775,$K$80,FALSE)</f>
        <v>227263</v>
      </c>
      <c r="L106" s="82">
        <f>VLOOKUP($A106&amp;"NCP",'E11 - 2013 09 Final'!$A$46:$P$1775,$L$80,FALSE)</f>
        <v>220995</v>
      </c>
      <c r="M106" s="82">
        <f>VLOOKUP($A106&amp;"NCP",'E11 - 2013 09 Final'!$A$46:$P$1775,$M$80,FALSE)</f>
        <v>200240</v>
      </c>
      <c r="N106" s="82">
        <f>VLOOKUP($A106&amp;"NCP",'E11 - 2013 09 Final'!$A$46:$P$1775,$N$80,FALSE)</f>
        <v>186591</v>
      </c>
      <c r="O106" s="44">
        <f t="shared" si="19"/>
        <v>2541139</v>
      </c>
      <c r="P106" s="11">
        <f t="shared" si="18"/>
        <v>236361</v>
      </c>
    </row>
    <row r="107" spans="1:16">
      <c r="A107" t="s">
        <v>7</v>
      </c>
      <c r="B107" t="s">
        <v>987</v>
      </c>
      <c r="C107" s="82">
        <f>VLOOKUP($A107&amp;"NCP",'E11 - 2013 09 Final'!$A$46:$P$1775,$C$80,FALSE)</f>
        <v>986</v>
      </c>
      <c r="D107" s="82">
        <f>VLOOKUP($A107&amp;"NCP",'E11 - 2013 09 Final'!$A$46:$P$1775,$D$80,FALSE)</f>
        <v>602</v>
      </c>
      <c r="E107" s="82">
        <f>VLOOKUP($A107&amp;"NCP",'E11 - 2013 09 Final'!$A$46:$P$1775,$E$80,FALSE)</f>
        <v>980</v>
      </c>
      <c r="F107" s="82">
        <f>VLOOKUP($A107&amp;"NCP",'E11 - 2013 09 Final'!$A$46:$P$1775,$F$80,FALSE)</f>
        <v>978</v>
      </c>
      <c r="G107" s="82">
        <f>VLOOKUP($A107&amp;"NCP",'E11 - 2013 09 Final'!$A$46:$P$1775,$G$80,FALSE)</f>
        <v>1001</v>
      </c>
      <c r="H107" s="82">
        <f>VLOOKUP($A107&amp;"NCP",'E11 - 2013 09 Final'!$A$46:$P$1775,$H$80,FALSE)</f>
        <v>972</v>
      </c>
      <c r="I107" s="82">
        <f>VLOOKUP($A107&amp;"NCP",'E11 - 2013 09 Final'!$A$46:$P$1775,$I$80,FALSE)</f>
        <v>951</v>
      </c>
      <c r="J107" s="82">
        <f>VLOOKUP($A107&amp;"NCP",'E11 - 2013 09 Final'!$A$46:$P$1775,$J$80,FALSE)</f>
        <v>949</v>
      </c>
      <c r="K107" s="82">
        <f>VLOOKUP($A107&amp;"NCP",'E11 - 2013 09 Final'!$A$46:$P$1775,$K$80,FALSE)</f>
        <v>919</v>
      </c>
      <c r="L107" s="82">
        <f>VLOOKUP($A107&amp;"NCP",'E11 - 2013 09 Final'!$A$46:$P$1775,$L$80,FALSE)</f>
        <v>960</v>
      </c>
      <c r="M107" s="82">
        <f>VLOOKUP($A107&amp;"NCP",'E11 - 2013 09 Final'!$A$46:$P$1775,$M$80,FALSE)</f>
        <v>947</v>
      </c>
      <c r="N107" s="82">
        <f>VLOOKUP($A107&amp;"NCP",'E11 - 2013 09 Final'!$A$46:$P$1775,$N$80,FALSE)</f>
        <v>0</v>
      </c>
      <c r="O107" s="44">
        <f t="shared" si="19"/>
        <v>10245</v>
      </c>
      <c r="P107" s="11">
        <f t="shared" si="18"/>
        <v>1001</v>
      </c>
    </row>
    <row r="108" spans="1:16">
      <c r="A108" t="s">
        <v>724</v>
      </c>
      <c r="B108" t="s">
        <v>724</v>
      </c>
      <c r="C108" s="82">
        <f>VLOOKUP($A108&amp;"NCP",'E11 - 2013 09 Final'!$A$46:$P$1775,$C$80,FALSE)</f>
        <v>8962</v>
      </c>
      <c r="D108" s="82">
        <f>VLOOKUP($A108&amp;"NCP",'E11 - 2013 09 Final'!$A$46:$P$1775,$D$80,FALSE)</f>
        <v>10853</v>
      </c>
      <c r="E108" s="82">
        <f>VLOOKUP($A108&amp;"NCP",'E11 - 2013 09 Final'!$A$46:$P$1775,$E$80,FALSE)</f>
        <v>11363</v>
      </c>
      <c r="F108" s="82">
        <f>VLOOKUP($A108&amp;"NCP",'E11 - 2013 09 Final'!$A$46:$P$1775,$F$80,FALSE)</f>
        <v>11581</v>
      </c>
      <c r="G108" s="82">
        <f>VLOOKUP($A108&amp;"NCP",'E11 - 2013 09 Final'!$A$46:$P$1775,$G$80,FALSE)</f>
        <v>12367</v>
      </c>
      <c r="H108" s="82">
        <f>VLOOKUP($A108&amp;"NCP",'E11 - 2013 09 Final'!$A$46:$P$1775,$H$80,FALSE)</f>
        <v>13187</v>
      </c>
      <c r="I108" s="82">
        <f>VLOOKUP($A108&amp;"NCP",'E11 - 2013 09 Final'!$A$46:$P$1775,$I$80,FALSE)</f>
        <v>12500</v>
      </c>
      <c r="J108" s="82">
        <f>VLOOKUP($A108&amp;"NCP",'E11 - 2013 09 Final'!$A$46:$P$1775,$J$80,FALSE)</f>
        <v>13557</v>
      </c>
      <c r="K108" s="82">
        <f>VLOOKUP($A108&amp;"NCP",'E11 - 2013 09 Final'!$A$46:$P$1775,$K$80,FALSE)</f>
        <v>13021</v>
      </c>
      <c r="L108" s="82">
        <f>VLOOKUP($A108&amp;"NCP",'E11 - 2013 09 Final'!$A$46:$P$1775,$L$80,FALSE)</f>
        <v>11905</v>
      </c>
      <c r="M108" s="82">
        <f>VLOOKUP($A108&amp;"NCP",'E11 - 2013 09 Final'!$A$46:$P$1775,$M$80,FALSE)</f>
        <v>10309</v>
      </c>
      <c r="N108" s="82">
        <f>VLOOKUP($A108&amp;"NCP",'E11 - 2013 09 Final'!$A$46:$P$1775,$N$80,FALSE)</f>
        <v>9574</v>
      </c>
      <c r="O108" s="44">
        <f t="shared" si="19"/>
        <v>139179</v>
      </c>
      <c r="P108" s="11">
        <f t="shared" si="18"/>
        <v>13557</v>
      </c>
    </row>
    <row r="110" spans="1:16" ht="21">
      <c r="B110" s="611" t="s">
        <v>989</v>
      </c>
      <c r="C110" s="611"/>
      <c r="D110" s="611"/>
      <c r="E110" s="611"/>
      <c r="F110" s="611"/>
      <c r="G110" s="611"/>
      <c r="H110" s="611"/>
      <c r="I110" s="611"/>
      <c r="J110" s="611"/>
      <c r="K110" s="611"/>
      <c r="L110" s="611"/>
      <c r="M110" s="611"/>
      <c r="N110" s="611"/>
      <c r="O110" s="611"/>
      <c r="P110" s="611"/>
    </row>
    <row r="111" spans="1:16" ht="17.399999999999999">
      <c r="B111" s="610" t="str">
        <f>+MANUAL!$B$7 &amp;" as Calculated by LodeStar Except as Noted"</f>
        <v>2014 as Calculated by LodeStar Except as Noted</v>
      </c>
      <c r="C111" s="610"/>
      <c r="D111" s="610"/>
      <c r="E111" s="610"/>
      <c r="F111" s="610"/>
      <c r="G111" s="610"/>
      <c r="H111" s="610"/>
      <c r="I111" s="610"/>
      <c r="J111" s="610"/>
      <c r="K111" s="610"/>
      <c r="L111" s="610"/>
      <c r="M111" s="610"/>
      <c r="N111" s="610"/>
      <c r="O111" s="610"/>
      <c r="P111" s="610"/>
    </row>
    <row r="112" spans="1:16" ht="13.8" thickBot="1">
      <c r="B112" s="300"/>
      <c r="C112" s="300"/>
      <c r="D112" s="300"/>
      <c r="E112" s="300"/>
      <c r="F112" s="300"/>
      <c r="G112" s="300"/>
      <c r="H112" s="300"/>
      <c r="I112" s="300"/>
      <c r="J112" s="300"/>
      <c r="K112" s="300"/>
      <c r="L112" s="300"/>
      <c r="M112" s="300"/>
      <c r="N112" s="300"/>
      <c r="O112" s="300"/>
      <c r="P112" s="300"/>
    </row>
    <row r="113" spans="1:16">
      <c r="C113" s="14"/>
      <c r="D113" s="15"/>
      <c r="E113" s="16"/>
      <c r="F113" s="17"/>
      <c r="G113" s="18"/>
      <c r="H113" s="19"/>
      <c r="I113" s="20"/>
      <c r="J113" s="21"/>
      <c r="K113" s="22"/>
      <c r="L113" s="23"/>
      <c r="M113" s="24"/>
      <c r="N113" s="25"/>
      <c r="O113" s="26"/>
      <c r="P113" s="27" t="s">
        <v>576</v>
      </c>
    </row>
    <row r="114" spans="1:16" ht="13.8" thickBot="1">
      <c r="C114" s="28" t="s">
        <v>70</v>
      </c>
      <c r="D114" s="29" t="s">
        <v>71</v>
      </c>
      <c r="E114" s="30" t="s">
        <v>72</v>
      </c>
      <c r="F114" s="31" t="s">
        <v>73</v>
      </c>
      <c r="G114" s="32" t="s">
        <v>74</v>
      </c>
      <c r="H114" s="33" t="s">
        <v>75</v>
      </c>
      <c r="I114" s="34" t="s">
        <v>76</v>
      </c>
      <c r="J114" s="35" t="s">
        <v>77</v>
      </c>
      <c r="K114" s="36" t="s">
        <v>78</v>
      </c>
      <c r="L114" s="37" t="s">
        <v>79</v>
      </c>
      <c r="M114" s="38" t="s">
        <v>80</v>
      </c>
      <c r="N114" s="39" t="s">
        <v>81</v>
      </c>
      <c r="O114" s="40" t="s">
        <v>60</v>
      </c>
      <c r="P114" s="41" t="s">
        <v>82</v>
      </c>
    </row>
    <row r="115" spans="1:16" hidden="1">
      <c r="C115">
        <v>4</v>
      </c>
      <c r="D115">
        <f>C115+1</f>
        <v>5</v>
      </c>
      <c r="E115">
        <f t="shared" ref="E115:N115" si="20">D115+1</f>
        <v>6</v>
      </c>
      <c r="F115">
        <f t="shared" si="20"/>
        <v>7</v>
      </c>
      <c r="G115">
        <f t="shared" si="20"/>
        <v>8</v>
      </c>
      <c r="H115">
        <f t="shared" si="20"/>
        <v>9</v>
      </c>
      <c r="I115">
        <f t="shared" si="20"/>
        <v>10</v>
      </c>
      <c r="J115">
        <f t="shared" si="20"/>
        <v>11</v>
      </c>
      <c r="K115">
        <f t="shared" si="20"/>
        <v>12</v>
      </c>
      <c r="L115">
        <f t="shared" si="20"/>
        <v>13</v>
      </c>
      <c r="M115">
        <f t="shared" si="20"/>
        <v>14</v>
      </c>
      <c r="N115">
        <f t="shared" si="20"/>
        <v>15</v>
      </c>
      <c r="O115" s="305"/>
      <c r="P115" s="305"/>
    </row>
    <row r="117" spans="1:16">
      <c r="B117" s="42" t="s">
        <v>83</v>
      </c>
    </row>
    <row r="118" spans="1:16">
      <c r="A118" t="s">
        <v>122</v>
      </c>
      <c r="B118" s="43" t="s">
        <v>84</v>
      </c>
      <c r="C118" s="82">
        <f>VLOOKUP($A118&amp;"NCP",'E11 - 2014 09 Final'!$A$46:$Q$1704,$C$115,FALSE)</f>
        <v>458243</v>
      </c>
      <c r="D118" s="82">
        <f>VLOOKUP($A118&amp;"NCP",'E11 - 2014 09 Final'!$A$46:$Q$1704,$D$115,FALSE)</f>
        <v>459732</v>
      </c>
      <c r="E118" s="82">
        <f>VLOOKUP($A118&amp;"NCP",'E11 - 2014 09 Final'!$A$46:$Q$1704,$E$115,FALSE)</f>
        <v>413518</v>
      </c>
      <c r="F118" s="82">
        <f>VLOOKUP($A118&amp;"NCP",'E11 - 2014 09 Final'!$A$46:$Q$1704,$F$115,FALSE)</f>
        <v>443271</v>
      </c>
      <c r="G118" s="82">
        <f>VLOOKUP($A118&amp;"NCP",'E11 - 2014 09 Final'!$A$46:$Q$1704,$G$115,FALSE)</f>
        <v>431321</v>
      </c>
      <c r="H118" s="82">
        <f>VLOOKUP($A118&amp;"NCP",'E11 - 2014 09 Final'!$A$46:$Q$1704,$H$115,FALSE)</f>
        <v>450407</v>
      </c>
      <c r="I118" s="82">
        <f>VLOOKUP($A118&amp;"NCP",'E11 - 2014 09 Final'!$A$46:$Q$1704,$I$115,FALSE)</f>
        <v>441994</v>
      </c>
      <c r="J118" s="82">
        <f>VLOOKUP($A118&amp;"NCP",'E11 - 2014 09 Final'!$A$46:$Q$1704,$J$115,FALSE)</f>
        <v>448459</v>
      </c>
      <c r="K118" s="82">
        <f>VLOOKUP($A118&amp;"NCP",'E11 - 2014 09 Final'!$A$46:$Q$1704,$K$115,FALSE)</f>
        <v>463776</v>
      </c>
      <c r="L118" s="82">
        <f>VLOOKUP($A118&amp;"NCP",'E11 - 2014 09 Final'!$A$46:$Q$1704,$L$115,FALSE)</f>
        <v>435039</v>
      </c>
      <c r="M118" s="82">
        <f>VLOOKUP($A118&amp;"NCP",'E11 - 2014 09 Final'!$A$46:$Q$1704,$M$115,FALSE)</f>
        <v>452544</v>
      </c>
      <c r="N118" s="82">
        <f>VLOOKUP($A118&amp;"NCP",'E11 - 2014 09 Final'!$A$46:$Q$1704,$N$115,FALSE)</f>
        <v>420066</v>
      </c>
      <c r="O118" s="44">
        <f t="shared" ref="O118:O134" si="21">SUM(C118:N118)</f>
        <v>5318370</v>
      </c>
      <c r="P118" s="11">
        <f t="shared" ref="P118:P134" si="22">MAX(C118:N118)</f>
        <v>463776</v>
      </c>
    </row>
    <row r="119" spans="1:16">
      <c r="A119" t="s">
        <v>177</v>
      </c>
      <c r="B119" s="43" t="s">
        <v>85</v>
      </c>
      <c r="C119" s="82">
        <f>VLOOKUP($A119&amp;"NCP",'E11 - 2014 09 Final'!$A$46:$Q$1704,$C$115,FALSE)</f>
        <v>32282</v>
      </c>
      <c r="D119" s="82">
        <f>VLOOKUP($A119&amp;"NCP",'E11 - 2014 09 Final'!$A$46:$Q$1704,$D$115,FALSE)</f>
        <v>32547</v>
      </c>
      <c r="E119" s="82">
        <f>VLOOKUP($A119&amp;"NCP",'E11 - 2014 09 Final'!$A$46:$Q$1704,$E$115,FALSE)</f>
        <v>28670</v>
      </c>
      <c r="F119" s="82">
        <f>VLOOKUP($A119&amp;"NCP",'E11 - 2014 09 Final'!$A$46:$Q$1704,$F$115,FALSE)</f>
        <v>30998</v>
      </c>
      <c r="G119" s="82">
        <f>VLOOKUP($A119&amp;"NCP",'E11 - 2014 09 Final'!$A$46:$Q$1704,$G$115,FALSE)</f>
        <v>22757</v>
      </c>
      <c r="H119" s="82">
        <f>VLOOKUP($A119&amp;"NCP",'E11 - 2014 09 Final'!$A$46:$Q$1704,$H$115,FALSE)</f>
        <v>24700</v>
      </c>
      <c r="I119" s="82">
        <f>VLOOKUP($A119&amp;"NCP",'E11 - 2014 09 Final'!$A$46:$Q$1704,$I$115,FALSE)</f>
        <v>23339</v>
      </c>
      <c r="J119" s="82">
        <f>VLOOKUP($A119&amp;"NCP",'E11 - 2014 09 Final'!$A$46:$Q$1704,$J$115,FALSE)</f>
        <v>23168</v>
      </c>
      <c r="K119" s="82">
        <f>VLOOKUP($A119&amp;"NCP",'E11 - 2014 09 Final'!$A$46:$Q$1704,$K$115,FALSE)</f>
        <v>23532</v>
      </c>
      <c r="L119" s="82">
        <f>VLOOKUP($A119&amp;"NCP",'E11 - 2014 09 Final'!$A$46:$Q$1704,$L$115,FALSE)</f>
        <v>21299</v>
      </c>
      <c r="M119" s="82">
        <f>VLOOKUP($A119&amp;"NCP",'E11 - 2014 09 Final'!$A$46:$Q$1704,$M$115,FALSE)</f>
        <v>21898</v>
      </c>
      <c r="N119" s="82">
        <f>VLOOKUP($A119&amp;"NCP",'E11 - 2014 09 Final'!$A$46:$Q$1704,$N$115,FALSE)</f>
        <v>20323</v>
      </c>
      <c r="O119" s="44">
        <f t="shared" si="21"/>
        <v>305513</v>
      </c>
      <c r="P119" s="11">
        <f t="shared" si="22"/>
        <v>32547</v>
      </c>
    </row>
    <row r="120" spans="1:16">
      <c r="A120" t="s">
        <v>185</v>
      </c>
      <c r="B120" s="43" t="s">
        <v>50</v>
      </c>
      <c r="C120" s="82">
        <f>VLOOKUP($A120&amp;"NCP",'E11 - 2014 09 Final'!$A$46:$Q$1704,$C$115,FALSE)</f>
        <v>196499</v>
      </c>
      <c r="D120" s="82">
        <f>VLOOKUP($A120&amp;"NCP",'E11 - 2014 09 Final'!$A$46:$Q$1704,$D$115,FALSE)</f>
        <v>199166</v>
      </c>
      <c r="E120" s="82">
        <f>VLOOKUP($A120&amp;"NCP",'E11 - 2014 09 Final'!$A$46:$Q$1704,$E$115,FALSE)</f>
        <v>202415</v>
      </c>
      <c r="F120" s="82">
        <f>VLOOKUP($A120&amp;"NCP",'E11 - 2014 09 Final'!$A$46:$Q$1704,$F$115,FALSE)</f>
        <v>212940</v>
      </c>
      <c r="G120" s="82">
        <f>VLOOKUP($A120&amp;"NCP",'E11 - 2014 09 Final'!$A$46:$Q$1704,$G$115,FALSE)</f>
        <v>217041</v>
      </c>
      <c r="H120" s="82">
        <f>VLOOKUP($A120&amp;"NCP",'E11 - 2014 09 Final'!$A$46:$Q$1704,$H$115,FALSE)</f>
        <v>223592</v>
      </c>
      <c r="I120" s="82">
        <f>VLOOKUP($A120&amp;"NCP",'E11 - 2014 09 Final'!$A$46:$Q$1704,$I$115,FALSE)</f>
        <v>217914</v>
      </c>
      <c r="J120" s="82">
        <f>VLOOKUP($A120&amp;"NCP",'E11 - 2014 09 Final'!$A$46:$Q$1704,$J$115,FALSE)</f>
        <v>217506</v>
      </c>
      <c r="K120" s="82">
        <f>VLOOKUP($A120&amp;"NCP",'E11 - 2014 09 Final'!$A$46:$Q$1704,$K$115,FALSE)</f>
        <v>219527</v>
      </c>
      <c r="L120" s="82">
        <f>VLOOKUP($A120&amp;"NCP",'E11 - 2014 09 Final'!$A$46:$Q$1704,$L$115,FALSE)</f>
        <v>216229</v>
      </c>
      <c r="M120" s="82">
        <f>VLOOKUP($A120&amp;"NCP",'E11 - 2014 09 Final'!$A$46:$Q$1704,$M$115,FALSE)</f>
        <v>211240</v>
      </c>
      <c r="N120" s="82">
        <f>VLOOKUP($A120&amp;"NCP",'E11 - 2014 09 Final'!$A$46:$Q$1704,$N$115,FALSE)</f>
        <v>204465</v>
      </c>
      <c r="O120" s="44">
        <f t="shared" si="21"/>
        <v>2538534</v>
      </c>
      <c r="P120" s="11">
        <f t="shared" si="22"/>
        <v>223592</v>
      </c>
    </row>
    <row r="121" spans="1:16">
      <c r="A121" t="s">
        <v>632</v>
      </c>
      <c r="B121" s="43" t="s">
        <v>49</v>
      </c>
      <c r="C121" s="82">
        <f>VLOOKUP($A121&amp;"NCP",'E11 - 2014 09 Final'!$A$46:$Q$1704,$C$115,FALSE)</f>
        <v>2544592</v>
      </c>
      <c r="D121" s="82">
        <f>VLOOKUP($A121&amp;"NCP",'E11 - 2014 09 Final'!$A$46:$Q$1704,$D$115,FALSE)</f>
        <v>2358162</v>
      </c>
      <c r="E121" s="82">
        <f>VLOOKUP($A121&amp;"NCP",'E11 - 2014 09 Final'!$A$46:$Q$1704,$E$115,FALSE)</f>
        <v>2153780</v>
      </c>
      <c r="F121" s="82">
        <f>VLOOKUP($A121&amp;"NCP",'E11 - 2014 09 Final'!$A$46:$Q$1704,$F$115,FALSE)</f>
        <v>2253607</v>
      </c>
      <c r="G121" s="82">
        <f>VLOOKUP($A121&amp;"NCP",'E11 - 2014 09 Final'!$A$46:$Q$1704,$G$115,FALSE)</f>
        <v>2375819</v>
      </c>
      <c r="H121" s="82">
        <f>VLOOKUP($A121&amp;"NCP",'E11 - 2014 09 Final'!$A$46:$Q$1704,$H$115,FALSE)</f>
        <v>2591468</v>
      </c>
      <c r="I121" s="82">
        <f>VLOOKUP($A121&amp;"NCP",'E11 - 2014 09 Final'!$A$46:$Q$1704,$I$115,FALSE)</f>
        <v>2452926</v>
      </c>
      <c r="J121" s="82">
        <f>VLOOKUP($A121&amp;"NCP",'E11 - 2014 09 Final'!$A$46:$Q$1704,$J$115,FALSE)</f>
        <v>2081883</v>
      </c>
      <c r="K121" s="82">
        <f>VLOOKUP($A121&amp;"NCP",'E11 - 2014 09 Final'!$A$46:$Q$1704,$K$115,FALSE)</f>
        <v>2202357</v>
      </c>
      <c r="L121" s="82">
        <f>VLOOKUP($A121&amp;"NCP",'E11 - 2014 09 Final'!$A$46:$Q$1704,$L$115,FALSE)</f>
        <v>1999212</v>
      </c>
      <c r="M121" s="82">
        <f>VLOOKUP($A121&amp;"NCP",'E11 - 2014 09 Final'!$A$46:$Q$1704,$M$115,FALSE)</f>
        <v>2120300</v>
      </c>
      <c r="N121" s="82">
        <f>VLOOKUP($A121&amp;"NCP",'E11 - 2014 09 Final'!$A$46:$Q$1704,$N$115,FALSE)</f>
        <v>1905819</v>
      </c>
      <c r="O121" s="44">
        <f t="shared" si="21"/>
        <v>27039925</v>
      </c>
      <c r="P121" s="11">
        <f t="shared" si="22"/>
        <v>2591468</v>
      </c>
    </row>
    <row r="122" spans="1:16">
      <c r="A122" t="s">
        <v>640</v>
      </c>
      <c r="B122" s="46" t="s">
        <v>325</v>
      </c>
      <c r="C122" s="82">
        <f>VLOOKUP($A122&amp;"NCP",'E11 - 2014 09 Final'!$A$46:$Q$1704,$C$115,FALSE)</f>
        <v>12264</v>
      </c>
      <c r="D122" s="82">
        <f>VLOOKUP($A122&amp;"NCP",'E11 - 2014 09 Final'!$A$46:$Q$1704,$D$115,FALSE)</f>
        <v>11976</v>
      </c>
      <c r="E122" s="82">
        <f>VLOOKUP($A122&amp;"NCP",'E11 - 2014 09 Final'!$A$46:$Q$1704,$E$115,FALSE)</f>
        <v>10536</v>
      </c>
      <c r="F122" s="82">
        <f>VLOOKUP($A122&amp;"NCP",'E11 - 2014 09 Final'!$A$46:$Q$1704,$F$115,FALSE)</f>
        <v>11033</v>
      </c>
      <c r="G122" s="82">
        <f>VLOOKUP($A122&amp;"NCP",'E11 - 2014 09 Final'!$A$46:$Q$1704,$G$115,FALSE)</f>
        <v>10960</v>
      </c>
      <c r="H122" s="82">
        <f>VLOOKUP($A122&amp;"NCP",'E11 - 2014 09 Final'!$A$46:$Q$1704,$H$115,FALSE)</f>
        <v>12039</v>
      </c>
      <c r="I122" s="82">
        <f>VLOOKUP($A122&amp;"NCP",'E11 - 2014 09 Final'!$A$46:$Q$1704,$I$115,FALSE)</f>
        <v>11202</v>
      </c>
      <c r="J122" s="82">
        <f>VLOOKUP($A122&amp;"NCP",'E11 - 2014 09 Final'!$A$46:$Q$1704,$J$115,FALSE)</f>
        <v>10094</v>
      </c>
      <c r="K122" s="82">
        <f>VLOOKUP($A122&amp;"NCP",'E11 - 2014 09 Final'!$A$46:$Q$1704,$K$115,FALSE)</f>
        <v>10387</v>
      </c>
      <c r="L122" s="82">
        <f>VLOOKUP($A122&amp;"NCP",'E11 - 2014 09 Final'!$A$46:$Q$1704,$L$115,FALSE)</f>
        <v>9892</v>
      </c>
      <c r="M122" s="82">
        <f>VLOOKUP($A122&amp;"NCP",'E11 - 2014 09 Final'!$A$46:$Q$1704,$M$115,FALSE)</f>
        <v>9425</v>
      </c>
      <c r="N122" s="82">
        <f>VLOOKUP($A122&amp;"NCP",'E11 - 2014 09 Final'!$A$46:$Q$1704,$N$115,FALSE)</f>
        <v>9746</v>
      </c>
      <c r="O122" s="44">
        <f t="shared" si="21"/>
        <v>129554</v>
      </c>
      <c r="P122" s="11">
        <f t="shared" si="22"/>
        <v>12264</v>
      </c>
    </row>
    <row r="123" spans="1:16">
      <c r="A123" t="s">
        <v>651</v>
      </c>
      <c r="B123" s="43" t="s">
        <v>67</v>
      </c>
      <c r="C123" s="82">
        <f>VLOOKUP($A123&amp;"NCP",'E11 - 2014 09 Final'!$A$46:$Q$1704,$C$115,FALSE)</f>
        <v>6282120</v>
      </c>
      <c r="D123" s="82">
        <f>VLOOKUP($A123&amp;"NCP",'E11 - 2014 09 Final'!$A$46:$Q$1704,$D$115,FALSE)</f>
        <v>5938173</v>
      </c>
      <c r="E123" s="82">
        <f>VLOOKUP($A123&amp;"NCP",'E11 - 2014 09 Final'!$A$46:$Q$1704,$E$115,FALSE)</f>
        <v>5366713</v>
      </c>
      <c r="F123" s="82">
        <f>VLOOKUP($A123&amp;"NCP",'E11 - 2014 09 Final'!$A$46:$Q$1704,$F$115,FALSE)</f>
        <v>5693067</v>
      </c>
      <c r="G123" s="82">
        <f>VLOOKUP($A123&amp;"NCP",'E11 - 2014 09 Final'!$A$46:$Q$1704,$G$115,FALSE)</f>
        <v>5852618</v>
      </c>
      <c r="H123" s="82">
        <f>VLOOKUP($A123&amp;"NCP",'E11 - 2014 09 Final'!$A$46:$Q$1704,$H$115,FALSE)</f>
        <v>6123182</v>
      </c>
      <c r="I123" s="82">
        <f>VLOOKUP($A123&amp;"NCP",'E11 - 2014 09 Final'!$A$46:$Q$1704,$I$115,FALSE)</f>
        <v>6001395</v>
      </c>
      <c r="J123" s="82">
        <f>VLOOKUP($A123&amp;"NCP",'E11 - 2014 09 Final'!$A$46:$Q$1704,$J$115,FALSE)</f>
        <v>6107329</v>
      </c>
      <c r="K123" s="82">
        <f>VLOOKUP($A123&amp;"NCP",'E11 - 2014 09 Final'!$A$46:$Q$1704,$K$115,FALSE)</f>
        <v>6484783</v>
      </c>
      <c r="L123" s="82">
        <f>VLOOKUP($A123&amp;"NCP",'E11 - 2014 09 Final'!$A$46:$Q$1704,$L$115,FALSE)</f>
        <v>6038095</v>
      </c>
      <c r="M123" s="82">
        <f>VLOOKUP($A123&amp;"NCP",'E11 - 2014 09 Final'!$A$46:$Q$1704,$M$115,FALSE)</f>
        <v>6298926</v>
      </c>
      <c r="N123" s="82">
        <f>VLOOKUP($A123&amp;"NCP",'E11 - 2014 09 Final'!$A$46:$Q$1704,$N$115,FALSE)</f>
        <v>5503340</v>
      </c>
      <c r="O123" s="44">
        <f t="shared" si="21"/>
        <v>71689741</v>
      </c>
      <c r="P123" s="11">
        <f t="shared" si="22"/>
        <v>6484783</v>
      </c>
    </row>
    <row r="124" spans="1:16">
      <c r="A124" t="s">
        <v>656</v>
      </c>
      <c r="B124" s="43" t="s">
        <v>68</v>
      </c>
      <c r="C124" s="82">
        <f>VLOOKUP($A124&amp;"NCP",'E11 - 2014 09 Final'!$A$46:$Q$1704,$C$115,FALSE)</f>
        <v>1901308</v>
      </c>
      <c r="D124" s="82">
        <f>VLOOKUP($A124&amp;"NCP",'E11 - 2014 09 Final'!$A$46:$Q$1704,$D$115,FALSE)</f>
        <v>1892253</v>
      </c>
      <c r="E124" s="82">
        <f>VLOOKUP($A124&amp;"NCP",'E11 - 2014 09 Final'!$A$46:$Q$1704,$E$115,FALSE)</f>
        <v>1729101</v>
      </c>
      <c r="F124" s="82">
        <f>VLOOKUP($A124&amp;"NCP",'E11 - 2014 09 Final'!$A$46:$Q$1704,$F$115,FALSE)</f>
        <v>1830157</v>
      </c>
      <c r="G124" s="82">
        <f>VLOOKUP($A124&amp;"NCP",'E11 - 2014 09 Final'!$A$46:$Q$1704,$G$115,FALSE)</f>
        <v>1965224</v>
      </c>
      <c r="H124" s="82">
        <f>VLOOKUP($A124&amp;"NCP",'E11 - 2014 09 Final'!$A$46:$Q$1704,$H$115,FALSE)</f>
        <v>2049263</v>
      </c>
      <c r="I124" s="82">
        <f>VLOOKUP($A124&amp;"NCP",'E11 - 2014 09 Final'!$A$46:$Q$1704,$I$115,FALSE)</f>
        <v>1987275</v>
      </c>
      <c r="J124" s="82">
        <f>VLOOKUP($A124&amp;"NCP",'E11 - 2014 09 Final'!$A$46:$Q$1704,$J$115,FALSE)</f>
        <v>2078038</v>
      </c>
      <c r="K124" s="82">
        <f>VLOOKUP($A124&amp;"NCP",'E11 - 2014 09 Final'!$A$46:$Q$1704,$K$115,FALSE)</f>
        <v>2198142</v>
      </c>
      <c r="L124" s="82">
        <f>VLOOKUP($A124&amp;"NCP",'E11 - 2014 09 Final'!$A$46:$Q$1704,$L$115,FALSE)</f>
        <v>2013645</v>
      </c>
      <c r="M124" s="82">
        <f>VLOOKUP($A124&amp;"NCP",'E11 - 2014 09 Final'!$A$46:$Q$1704,$M$115,FALSE)</f>
        <v>2074129</v>
      </c>
      <c r="N124" s="82">
        <f>VLOOKUP($A124&amp;"NCP",'E11 - 2014 09 Final'!$A$46:$Q$1704,$N$115,FALSE)</f>
        <v>1879991</v>
      </c>
      <c r="O124" s="44">
        <f t="shared" si="21"/>
        <v>23598526</v>
      </c>
      <c r="P124" s="11">
        <f t="shared" si="22"/>
        <v>2198142</v>
      </c>
    </row>
    <row r="125" spans="1:16">
      <c r="A125" t="s">
        <v>713</v>
      </c>
      <c r="B125" s="43" t="s">
        <v>69</v>
      </c>
      <c r="C125" s="82">
        <f>VLOOKUP($A125&amp;"NCP",'E11 - 2014 09 Final'!$A$46:$Q$1704,$C$115,FALSE)</f>
        <v>446941</v>
      </c>
      <c r="D125" s="82">
        <f>VLOOKUP($A125&amp;"NCP",'E11 - 2014 09 Final'!$A$46:$Q$1704,$D$115,FALSE)</f>
        <v>426909</v>
      </c>
      <c r="E125" s="82">
        <f>VLOOKUP($A125&amp;"NCP",'E11 - 2014 09 Final'!$A$46:$Q$1704,$E$115,FALSE)</f>
        <v>392437</v>
      </c>
      <c r="F125" s="82">
        <f>VLOOKUP($A125&amp;"NCP",'E11 - 2014 09 Final'!$A$46:$Q$1704,$F$115,FALSE)</f>
        <v>413252</v>
      </c>
      <c r="G125" s="82">
        <f>VLOOKUP($A125&amp;"NCP",'E11 - 2014 09 Final'!$A$46:$Q$1704,$G$115,FALSE)</f>
        <v>423632</v>
      </c>
      <c r="H125" s="82">
        <f>VLOOKUP($A125&amp;"NCP",'E11 - 2014 09 Final'!$A$46:$Q$1704,$H$115,FALSE)</f>
        <v>452702</v>
      </c>
      <c r="I125" s="82">
        <f>VLOOKUP($A125&amp;"NCP",'E11 - 2014 09 Final'!$A$46:$Q$1704,$I$115,FALSE)</f>
        <v>432433</v>
      </c>
      <c r="J125" s="82">
        <f>VLOOKUP($A125&amp;"NCP",'E11 - 2014 09 Final'!$A$46:$Q$1704,$J$115,FALSE)</f>
        <v>461029</v>
      </c>
      <c r="K125" s="82">
        <f>VLOOKUP($A125&amp;"NCP",'E11 - 2014 09 Final'!$A$46:$Q$1704,$K$115,FALSE)</f>
        <v>480660</v>
      </c>
      <c r="L125" s="82">
        <f>VLOOKUP($A125&amp;"NCP",'E11 - 2014 09 Final'!$A$46:$Q$1704,$L$115,FALSE)</f>
        <v>436302</v>
      </c>
      <c r="M125" s="82">
        <f>VLOOKUP($A125&amp;"NCP",'E11 - 2014 09 Final'!$A$46:$Q$1704,$M$115,FALSE)</f>
        <v>452938</v>
      </c>
      <c r="N125" s="82">
        <f>VLOOKUP($A125&amp;"NCP",'E11 - 2014 09 Final'!$A$46:$Q$1704,$N$115,FALSE)</f>
        <v>413751</v>
      </c>
      <c r="O125" s="44">
        <f t="shared" si="21"/>
        <v>5232986</v>
      </c>
      <c r="P125" s="11">
        <f t="shared" si="22"/>
        <v>480660</v>
      </c>
    </row>
    <row r="126" spans="1:16">
      <c r="A126" t="s">
        <v>717</v>
      </c>
      <c r="B126" s="43" t="s">
        <v>52</v>
      </c>
      <c r="C126" s="82">
        <f>VLOOKUP($A126&amp;"NCP",'E11 - 2014 09 Final'!$A$46:$Q$1704,$C$115,FALSE)</f>
        <v>31597</v>
      </c>
      <c r="D126" s="82">
        <f>VLOOKUP($A126&amp;"NCP",'E11 - 2014 09 Final'!$A$46:$Q$1704,$D$115,FALSE)</f>
        <v>32420</v>
      </c>
      <c r="E126" s="82">
        <f>VLOOKUP($A126&amp;"NCP",'E11 - 2014 09 Final'!$A$46:$Q$1704,$E$115,FALSE)</f>
        <v>31244</v>
      </c>
      <c r="F126" s="82">
        <f>VLOOKUP($A126&amp;"NCP",'E11 - 2014 09 Final'!$A$46:$Q$1704,$F$115,FALSE)</f>
        <v>37329</v>
      </c>
      <c r="G126" s="82">
        <f>VLOOKUP($A126&amp;"NCP",'E11 - 2014 09 Final'!$A$46:$Q$1704,$G$115,FALSE)</f>
        <v>37663</v>
      </c>
      <c r="H126" s="82">
        <f>VLOOKUP($A126&amp;"NCP",'E11 - 2014 09 Final'!$A$46:$Q$1704,$H$115,FALSE)</f>
        <v>29860</v>
      </c>
      <c r="I126" s="82">
        <f>VLOOKUP($A126&amp;"NCP",'E11 - 2014 09 Final'!$A$46:$Q$1704,$I$115,FALSE)</f>
        <v>30407</v>
      </c>
      <c r="J126" s="82">
        <f>VLOOKUP($A126&amp;"NCP",'E11 - 2014 09 Final'!$A$46:$Q$1704,$J$115,FALSE)</f>
        <v>30465</v>
      </c>
      <c r="K126" s="82">
        <f>VLOOKUP($A126&amp;"NCP",'E11 - 2014 09 Final'!$A$46:$Q$1704,$K$115,FALSE)</f>
        <v>30515</v>
      </c>
      <c r="L126" s="82">
        <f>VLOOKUP($A126&amp;"NCP",'E11 - 2014 09 Final'!$A$46:$Q$1704,$L$115,FALSE)</f>
        <v>29255</v>
      </c>
      <c r="M126" s="82">
        <f>VLOOKUP($A126&amp;"NCP",'E11 - 2014 09 Final'!$A$46:$Q$1704,$M$115,FALSE)</f>
        <v>34428</v>
      </c>
      <c r="N126" s="82">
        <f>VLOOKUP($A126&amp;"NCP",'E11 - 2014 09 Final'!$A$46:$Q$1704,$N$115,FALSE)</f>
        <v>35529</v>
      </c>
      <c r="O126" s="44">
        <f t="shared" si="21"/>
        <v>390712</v>
      </c>
      <c r="P126" s="11">
        <f t="shared" si="22"/>
        <v>37663</v>
      </c>
    </row>
    <row r="127" spans="1:16">
      <c r="A127" t="s">
        <v>15</v>
      </c>
      <c r="B127" s="206" t="s">
        <v>15</v>
      </c>
      <c r="C127" s="82">
        <f>VLOOKUP($A127&amp;"NCP",'E11 - 2014 09 Final'!$A$46:$Q$1704,$C$115,FALSE)</f>
        <v>18217</v>
      </c>
      <c r="D127" s="82">
        <f>VLOOKUP($A127&amp;"NCP",'E11 - 2014 09 Final'!$A$46:$Q$1704,$D$115,FALSE)</f>
        <v>19529</v>
      </c>
      <c r="E127" s="82">
        <f>VLOOKUP($A127&amp;"NCP",'E11 - 2014 09 Final'!$A$46:$Q$1704,$E$115,FALSE)</f>
        <v>18333</v>
      </c>
      <c r="F127" s="82">
        <f>VLOOKUP($A127&amp;"NCP",'E11 - 2014 09 Final'!$A$46:$Q$1704,$F$115,FALSE)</f>
        <v>19636</v>
      </c>
      <c r="G127" s="82">
        <f>VLOOKUP($A127&amp;"NCP",'E11 - 2014 09 Final'!$A$46:$Q$1704,$G$115,FALSE)</f>
        <v>19302</v>
      </c>
      <c r="H127" s="82">
        <f>VLOOKUP($A127&amp;"NCP",'E11 - 2014 09 Final'!$A$46:$Q$1704,$H$115,FALSE)</f>
        <v>19589</v>
      </c>
      <c r="I127" s="82">
        <f>VLOOKUP($A127&amp;"NCP",'E11 - 2014 09 Final'!$A$46:$Q$1704,$I$115,FALSE)</f>
        <v>20575</v>
      </c>
      <c r="J127" s="82">
        <f>VLOOKUP($A127&amp;"NCP",'E11 - 2014 09 Final'!$A$46:$Q$1704,$J$115,FALSE)</f>
        <v>20749</v>
      </c>
      <c r="K127" s="82">
        <f>VLOOKUP($A127&amp;"NCP",'E11 - 2014 09 Final'!$A$46:$Q$1704,$K$115,FALSE)</f>
        <v>20366</v>
      </c>
      <c r="L127" s="82">
        <f>VLOOKUP($A127&amp;"NCP",'E11 - 2014 09 Final'!$A$46:$Q$1704,$L$115,FALSE)</f>
        <v>19748</v>
      </c>
      <c r="M127" s="82">
        <f>VLOOKUP($A127&amp;"NCP",'E11 - 2014 09 Final'!$A$46:$Q$1704,$M$115,FALSE)</f>
        <v>18832</v>
      </c>
      <c r="N127" s="82">
        <f>VLOOKUP($A127&amp;"NCP",'E11 - 2014 09 Final'!$A$46:$Q$1704,$N$115,FALSE)</f>
        <v>17805</v>
      </c>
      <c r="O127" s="44">
        <f t="shared" ref="O127" si="23">SUM(C127:N127)</f>
        <v>232681</v>
      </c>
      <c r="P127" s="11">
        <f t="shared" ref="P127" si="24">MAX(C127:N127)</f>
        <v>20749</v>
      </c>
    </row>
    <row r="128" spans="1:16">
      <c r="A128" t="s">
        <v>19</v>
      </c>
      <c r="B128" s="43" t="s">
        <v>56</v>
      </c>
      <c r="C128" s="82">
        <f>VLOOKUP($A128&amp;"NCP",'E11 - 2014 09 Final'!$A$46:$Q$1704,$C$115,FALSE)</f>
        <v>20308</v>
      </c>
      <c r="D128" s="82">
        <f>VLOOKUP($A128&amp;"NCP",'E11 - 2014 09 Final'!$A$46:$Q$1704,$D$115,FALSE)</f>
        <v>23536</v>
      </c>
      <c r="E128" s="82">
        <f>VLOOKUP($A128&amp;"NCP",'E11 - 2014 09 Final'!$A$46:$Q$1704,$E$115,FALSE)</f>
        <v>22679</v>
      </c>
      <c r="F128" s="82">
        <f>VLOOKUP($A128&amp;"NCP",'E11 - 2014 09 Final'!$A$46:$Q$1704,$F$115,FALSE)</f>
        <v>24797</v>
      </c>
      <c r="G128" s="82">
        <f>VLOOKUP($A128&amp;"NCP",'E11 - 2014 09 Final'!$A$46:$Q$1704,$G$115,FALSE)</f>
        <v>25707</v>
      </c>
      <c r="H128" s="82">
        <f>VLOOKUP($A128&amp;"NCP",'E11 - 2014 09 Final'!$A$46:$Q$1704,$H$115,FALSE)</f>
        <v>27201</v>
      </c>
      <c r="I128" s="82">
        <f>VLOOKUP($A128&amp;"NCP",'E11 - 2014 09 Final'!$A$46:$Q$1704,$I$115,FALSE)</f>
        <v>26082</v>
      </c>
      <c r="J128" s="82">
        <f>VLOOKUP($A128&amp;"NCP",'E11 - 2014 09 Final'!$A$46:$Q$1704,$J$115,FALSE)</f>
        <v>24714</v>
      </c>
      <c r="K128" s="82">
        <f>VLOOKUP($A128&amp;"NCP",'E11 - 2014 09 Final'!$A$46:$Q$1704,$K$115,FALSE)</f>
        <v>23891</v>
      </c>
      <c r="L128" s="82">
        <f>VLOOKUP($A128&amp;"NCP",'E11 - 2014 09 Final'!$A$46:$Q$1704,$L$115,FALSE)</f>
        <v>21754</v>
      </c>
      <c r="M128" s="82">
        <f>VLOOKUP($A128&amp;"NCP",'E11 - 2014 09 Final'!$A$46:$Q$1704,$M$115,FALSE)</f>
        <v>21117</v>
      </c>
      <c r="N128" s="82">
        <f>VLOOKUP($A128&amp;"NCP",'E11 - 2014 09 Final'!$A$46:$Q$1704,$N$115,FALSE)</f>
        <v>20192</v>
      </c>
      <c r="O128" s="44">
        <f t="shared" si="21"/>
        <v>281978</v>
      </c>
      <c r="P128" s="11">
        <f t="shared" si="22"/>
        <v>27201</v>
      </c>
    </row>
    <row r="129" spans="1:16">
      <c r="A129" t="s">
        <v>22</v>
      </c>
      <c r="B129" s="43" t="s">
        <v>57</v>
      </c>
      <c r="C129" s="82">
        <f>VLOOKUP($A129&amp;"NCP",'E11 - 2014 09 Final'!$A$46:$Q$1704,$C$115,FALSE)</f>
        <v>12787</v>
      </c>
      <c r="D129" s="82">
        <f>VLOOKUP($A129&amp;"NCP",'E11 - 2014 09 Final'!$A$46:$Q$1704,$D$115,FALSE)</f>
        <v>14298</v>
      </c>
      <c r="E129" s="82">
        <f>VLOOKUP($A129&amp;"NCP",'E11 - 2014 09 Final'!$A$46:$Q$1704,$E$115,FALSE)</f>
        <v>15555</v>
      </c>
      <c r="F129" s="82">
        <f>VLOOKUP($A129&amp;"NCP",'E11 - 2014 09 Final'!$A$46:$Q$1704,$F$115,FALSE)</f>
        <v>13976</v>
      </c>
      <c r="G129" s="82">
        <f>VLOOKUP($A129&amp;"NCP",'E11 - 2014 09 Final'!$A$46:$Q$1704,$G$115,FALSE)</f>
        <v>13816</v>
      </c>
      <c r="H129" s="82">
        <f>VLOOKUP($A129&amp;"NCP",'E11 - 2014 09 Final'!$A$46:$Q$1704,$H$115,FALSE)</f>
        <v>12794</v>
      </c>
      <c r="I129" s="82">
        <f>VLOOKUP($A129&amp;"NCP",'E11 - 2014 09 Final'!$A$46:$Q$1704,$I$115,FALSE)</f>
        <v>9867</v>
      </c>
      <c r="J129" s="82">
        <f>VLOOKUP($A129&amp;"NCP",'E11 - 2014 09 Final'!$A$46:$Q$1704,$J$115,FALSE)</f>
        <v>10312</v>
      </c>
      <c r="K129" s="82">
        <f>VLOOKUP($A129&amp;"NCP",'E11 - 2014 09 Final'!$A$46:$Q$1704,$K$115,FALSE)</f>
        <v>14478</v>
      </c>
      <c r="L129" s="82">
        <f>VLOOKUP($A129&amp;"NCP",'E11 - 2014 09 Final'!$A$46:$Q$1704,$L$115,FALSE)</f>
        <v>13181</v>
      </c>
      <c r="M129" s="82">
        <f>VLOOKUP($A129&amp;"NCP",'E11 - 2014 09 Final'!$A$46:$Q$1704,$M$115,FALSE)</f>
        <v>15913</v>
      </c>
      <c r="N129" s="82">
        <f>VLOOKUP($A129&amp;"NCP",'E11 - 2014 09 Final'!$A$46:$Q$1704,$N$115,FALSE)</f>
        <v>14634</v>
      </c>
      <c r="O129" s="44">
        <f t="shared" si="21"/>
        <v>161611</v>
      </c>
      <c r="P129" s="11">
        <f t="shared" si="22"/>
        <v>15913</v>
      </c>
    </row>
    <row r="130" spans="1:16">
      <c r="A130" t="s">
        <v>687</v>
      </c>
      <c r="B130" s="43" t="s">
        <v>48</v>
      </c>
      <c r="C130" s="82">
        <f>VLOOKUP($A130&amp;"NCP",'E11 - 2014 09 Final'!$A$46:$Q$1704,$C$115,FALSE)</f>
        <v>31622291</v>
      </c>
      <c r="D130" s="82">
        <f>VLOOKUP($A130&amp;"NCP",'E11 - 2014 09 Final'!$A$46:$Q$1704,$D$115,FALSE)</f>
        <v>28595438</v>
      </c>
      <c r="E130" s="82">
        <f>VLOOKUP($A130&amp;"NCP",'E11 - 2014 09 Final'!$A$46:$Q$1704,$E$115,FALSE)</f>
        <v>24475525</v>
      </c>
      <c r="F130" s="82">
        <f>VLOOKUP($A130&amp;"NCP",'E11 - 2014 09 Final'!$A$46:$Q$1704,$F$115,FALSE)</f>
        <v>23465021</v>
      </c>
      <c r="G130" s="82">
        <f>VLOOKUP($A130&amp;"NCP",'E11 - 2014 09 Final'!$A$46:$Q$1704,$G$115,FALSE)</f>
        <v>24187937</v>
      </c>
      <c r="H130" s="82">
        <f>VLOOKUP($A130&amp;"NCP",'E11 - 2014 09 Final'!$A$46:$Q$1704,$H$115,FALSE)</f>
        <v>24936290</v>
      </c>
      <c r="I130" s="82">
        <f>VLOOKUP($A130&amp;"NCP",'E11 - 2014 09 Final'!$A$46:$Q$1704,$I$115,FALSE)</f>
        <v>24681439</v>
      </c>
      <c r="J130" s="82">
        <f>VLOOKUP($A130&amp;"NCP",'E11 - 2014 09 Final'!$A$46:$Q$1704,$J$115,FALSE)</f>
        <v>24975444</v>
      </c>
      <c r="K130" s="82">
        <f>VLOOKUP($A130&amp;"NCP",'E11 - 2014 09 Final'!$A$46:$Q$1704,$K$115,FALSE)</f>
        <v>28467250</v>
      </c>
      <c r="L130" s="82">
        <f>VLOOKUP($A130&amp;"NCP",'E11 - 2014 09 Final'!$A$46:$Q$1704,$L$115,FALSE)</f>
        <v>25549473</v>
      </c>
      <c r="M130" s="82">
        <f>VLOOKUP($A130&amp;"NCP",'E11 - 2014 09 Final'!$A$46:$Q$1704,$M$115,FALSE)</f>
        <v>28590187</v>
      </c>
      <c r="N130" s="82">
        <f>VLOOKUP($A130&amp;"NCP",'E11 - 2014 09 Final'!$A$46:$Q$1704,$N$115,FALSE)</f>
        <v>27467322</v>
      </c>
      <c r="O130" s="44">
        <f t="shared" si="21"/>
        <v>317013617</v>
      </c>
      <c r="P130" s="11">
        <f t="shared" si="22"/>
        <v>31622291</v>
      </c>
    </row>
    <row r="131" spans="1:16">
      <c r="A131" t="s">
        <v>35</v>
      </c>
      <c r="B131" s="43" t="s">
        <v>53</v>
      </c>
      <c r="C131" s="82">
        <f>VLOOKUP($A131&amp;"NCP",'E11 - 2014 09 Final'!$A$46:$Q$1704,$C$115,FALSE)</f>
        <v>98671</v>
      </c>
      <c r="D131" s="82">
        <f>VLOOKUP($A131&amp;"NCP",'E11 - 2014 09 Final'!$A$46:$Q$1704,$D$115,FALSE)</f>
        <v>111238</v>
      </c>
      <c r="E131" s="82">
        <f>VLOOKUP($A131&amp;"NCP",'E11 - 2014 09 Final'!$A$46:$Q$1704,$E$115,FALSE)</f>
        <v>132005</v>
      </c>
      <c r="F131" s="82">
        <f>VLOOKUP($A131&amp;"NCP",'E11 - 2014 09 Final'!$A$46:$Q$1704,$F$115,FALSE)</f>
        <v>126507</v>
      </c>
      <c r="G131" s="82">
        <f>VLOOKUP($A131&amp;"NCP",'E11 - 2014 09 Final'!$A$46:$Q$1704,$G$115,FALSE)</f>
        <v>132850</v>
      </c>
      <c r="H131" s="82">
        <f>VLOOKUP($A131&amp;"NCP",'E11 - 2014 09 Final'!$A$46:$Q$1704,$H$115,FALSE)</f>
        <v>129852</v>
      </c>
      <c r="I131" s="82">
        <f>VLOOKUP($A131&amp;"NCP",'E11 - 2014 09 Final'!$A$46:$Q$1704,$I$115,FALSE)</f>
        <v>140741</v>
      </c>
      <c r="J131" s="82">
        <f>VLOOKUP($A131&amp;"NCP",'E11 - 2014 09 Final'!$A$46:$Q$1704,$J$115,FALSE)</f>
        <v>125898</v>
      </c>
      <c r="K131" s="82">
        <f>VLOOKUP($A131&amp;"NCP",'E11 - 2014 09 Final'!$A$46:$Q$1704,$K$115,FALSE)</f>
        <v>124291</v>
      </c>
      <c r="L131" s="82">
        <f>VLOOKUP($A131&amp;"NCP",'E11 - 2014 09 Final'!$A$46:$Q$1704,$L$115,FALSE)</f>
        <v>98173</v>
      </c>
      <c r="M131" s="82">
        <f>VLOOKUP($A131&amp;"NCP",'E11 - 2014 09 Final'!$A$46:$Q$1704,$M$115,FALSE)</f>
        <v>108524</v>
      </c>
      <c r="N131" s="82">
        <f>VLOOKUP($A131&amp;"NCP",'E11 - 2014 09 Final'!$A$46:$Q$1704,$N$115,FALSE)</f>
        <v>118061</v>
      </c>
      <c r="O131" s="44">
        <f t="shared" si="21"/>
        <v>1446811</v>
      </c>
      <c r="P131" s="11">
        <f t="shared" si="22"/>
        <v>140741</v>
      </c>
    </row>
    <row r="132" spans="1:16">
      <c r="A132" t="s">
        <v>38</v>
      </c>
      <c r="B132" s="43" t="s">
        <v>55</v>
      </c>
      <c r="C132" s="82">
        <f>VLOOKUP($A132&amp;"NCP",'E11 - 2014 09 Final'!$A$46:$Q$1704,$C$115,FALSE)</f>
        <v>3473</v>
      </c>
      <c r="D132" s="82">
        <f>VLOOKUP($A132&amp;"NCP",'E11 - 2014 09 Final'!$A$46:$Q$1704,$D$115,FALSE)</f>
        <v>3853</v>
      </c>
      <c r="E132" s="82">
        <f>VLOOKUP($A132&amp;"NCP",'E11 - 2014 09 Final'!$A$46:$Q$1704,$E$115,FALSE)</f>
        <v>3488</v>
      </c>
      <c r="F132" s="82">
        <f>VLOOKUP($A132&amp;"NCP",'E11 - 2014 09 Final'!$A$46:$Q$1704,$F$115,FALSE)</f>
        <v>3597</v>
      </c>
      <c r="G132" s="82">
        <f>VLOOKUP($A132&amp;"NCP",'E11 - 2014 09 Final'!$A$46:$Q$1704,$G$115,FALSE)</f>
        <v>3481</v>
      </c>
      <c r="H132" s="82">
        <f>VLOOKUP($A132&amp;"NCP",'E11 - 2014 09 Final'!$A$46:$Q$1704,$H$115,FALSE)</f>
        <v>3601</v>
      </c>
      <c r="I132" s="82">
        <f>VLOOKUP($A132&amp;"NCP",'E11 - 2014 09 Final'!$A$46:$Q$1704,$I$115,FALSE)</f>
        <v>3484</v>
      </c>
      <c r="J132" s="82">
        <f>VLOOKUP($A132&amp;"NCP",'E11 - 2014 09 Final'!$A$46:$Q$1704,$J$115,FALSE)</f>
        <v>3499</v>
      </c>
      <c r="K132" s="82">
        <f>VLOOKUP($A132&amp;"NCP",'E11 - 2014 09 Final'!$A$46:$Q$1704,$K$115,FALSE)</f>
        <v>3381</v>
      </c>
      <c r="L132" s="82">
        <f>VLOOKUP($A132&amp;"NCP",'E11 - 2014 09 Final'!$A$46:$Q$1704,$L$115,FALSE)</f>
        <v>3483</v>
      </c>
      <c r="M132" s="82">
        <f>VLOOKUP($A132&amp;"NCP",'E11 - 2014 09 Final'!$A$46:$Q$1704,$M$115,FALSE)</f>
        <v>3566</v>
      </c>
      <c r="N132" s="82">
        <f>VLOOKUP($A132&amp;"NCP",'E11 - 2014 09 Final'!$A$46:$Q$1704,$N$115,FALSE)</f>
        <v>3503</v>
      </c>
      <c r="O132" s="44">
        <f t="shared" si="21"/>
        <v>42409</v>
      </c>
      <c r="P132" s="11">
        <f t="shared" si="22"/>
        <v>3853</v>
      </c>
    </row>
    <row r="133" spans="1:16">
      <c r="A133" t="s">
        <v>40</v>
      </c>
      <c r="B133" s="43" t="s">
        <v>87</v>
      </c>
      <c r="C133" s="82">
        <f>VLOOKUP($A133&amp;"NCP",'E11 - 2014 09 Final'!$A$46:$Q$1704,$C$115,FALSE)</f>
        <v>3451</v>
      </c>
      <c r="D133" s="82">
        <f>VLOOKUP($A133&amp;"NCP",'E11 - 2014 09 Final'!$A$46:$Q$1704,$D$115,FALSE)</f>
        <v>4709</v>
      </c>
      <c r="E133" s="82">
        <f>VLOOKUP($A133&amp;"NCP",'E11 - 2014 09 Final'!$A$46:$Q$1704,$E$115,FALSE)</f>
        <v>7495</v>
      </c>
      <c r="F133" s="82">
        <f>VLOOKUP($A133&amp;"NCP",'E11 - 2014 09 Final'!$A$46:$Q$1704,$F$115,FALSE)</f>
        <v>5032</v>
      </c>
      <c r="G133" s="82">
        <f>VLOOKUP($A133&amp;"NCP",'E11 - 2014 09 Final'!$A$46:$Q$1704,$G$115,FALSE)</f>
        <v>6049</v>
      </c>
      <c r="H133" s="82">
        <f>VLOOKUP($A133&amp;"NCP",'E11 - 2014 09 Final'!$A$46:$Q$1704,$H$115,FALSE)</f>
        <v>3858</v>
      </c>
      <c r="I133" s="82">
        <f>VLOOKUP($A133&amp;"NCP",'E11 - 2014 09 Final'!$A$46:$Q$1704,$I$115,FALSE)</f>
        <v>4558</v>
      </c>
      <c r="J133" s="82">
        <f>VLOOKUP($A133&amp;"NCP",'E11 - 2014 09 Final'!$A$46:$Q$1704,$J$115,FALSE)</f>
        <v>5892</v>
      </c>
      <c r="K133" s="82">
        <f>VLOOKUP($A133&amp;"NCP",'E11 - 2014 09 Final'!$A$46:$Q$1704,$K$115,FALSE)</f>
        <v>4355</v>
      </c>
      <c r="L133" s="82">
        <f>VLOOKUP($A133&amp;"NCP",'E11 - 2014 09 Final'!$A$46:$Q$1704,$L$115,FALSE)</f>
        <v>5026</v>
      </c>
      <c r="M133" s="82">
        <f>VLOOKUP($A133&amp;"NCP",'E11 - 2014 09 Final'!$A$46:$Q$1704,$M$115,FALSE)</f>
        <v>4745</v>
      </c>
      <c r="N133" s="82">
        <f>VLOOKUP($A133&amp;"NCP",'E11 - 2014 09 Final'!$A$46:$Q$1704,$N$115,FALSE)</f>
        <v>1317</v>
      </c>
      <c r="O133" s="44">
        <f t="shared" si="21"/>
        <v>56487</v>
      </c>
      <c r="P133" s="11">
        <f t="shared" si="22"/>
        <v>7495</v>
      </c>
    </row>
    <row r="134" spans="1:16">
      <c r="A134" t="s">
        <v>45</v>
      </c>
      <c r="B134" s="43" t="s">
        <v>88</v>
      </c>
      <c r="C134" s="82">
        <f>VLOOKUP($A134&amp;"NCP",'E11 - 2014 09 Final'!$A$46:$Q$1704,$C$115,FALSE)</f>
        <v>72610</v>
      </c>
      <c r="D134" s="82">
        <f>VLOOKUP($A134&amp;"NCP",'E11 - 2014 09 Final'!$A$46:$Q$1704,$D$115,FALSE)</f>
        <v>66743</v>
      </c>
      <c r="E134" s="82">
        <f>VLOOKUP($A134&amp;"NCP",'E11 - 2014 09 Final'!$A$46:$Q$1704,$E$115,FALSE)</f>
        <v>83941</v>
      </c>
      <c r="F134" s="82">
        <f>VLOOKUP($A134&amp;"NCP",'E11 - 2014 09 Final'!$A$46:$Q$1704,$F$115,FALSE)</f>
        <v>66018</v>
      </c>
      <c r="G134" s="82">
        <f>VLOOKUP($A134&amp;"NCP",'E11 - 2014 09 Final'!$A$46:$Q$1704,$G$115,FALSE)</f>
        <v>93509</v>
      </c>
      <c r="H134" s="82">
        <f>VLOOKUP($A134&amp;"NCP",'E11 - 2014 09 Final'!$A$46:$Q$1704,$H$115,FALSE)</f>
        <v>66562</v>
      </c>
      <c r="I134" s="82">
        <f>VLOOKUP($A134&amp;"NCP",'E11 - 2014 09 Final'!$A$46:$Q$1704,$I$115,FALSE)</f>
        <v>36647</v>
      </c>
      <c r="J134" s="82">
        <f>VLOOKUP($A134&amp;"NCP",'E11 - 2014 09 Final'!$A$46:$Q$1704,$J$115,FALSE)</f>
        <v>53502</v>
      </c>
      <c r="K134" s="82">
        <f>VLOOKUP($A134&amp;"NCP",'E11 - 2014 09 Final'!$A$46:$Q$1704,$K$115,FALSE)</f>
        <v>97677</v>
      </c>
      <c r="L134" s="82">
        <f>VLOOKUP($A134&amp;"NCP",'E11 - 2014 09 Final'!$A$46:$Q$1704,$L$115,FALSE)</f>
        <v>66460</v>
      </c>
      <c r="M134" s="82">
        <f>VLOOKUP($A134&amp;"NCP",'E11 - 2014 09 Final'!$A$46:$Q$1704,$M$115,FALSE)</f>
        <v>92768</v>
      </c>
      <c r="N134" s="82">
        <f>VLOOKUP($A134&amp;"NCP",'E11 - 2014 09 Final'!$A$46:$Q$1704,$N$115,FALSE)</f>
        <v>64722</v>
      </c>
      <c r="O134" s="44">
        <f t="shared" si="21"/>
        <v>861159</v>
      </c>
      <c r="P134" s="11">
        <f t="shared" si="22"/>
        <v>97677</v>
      </c>
    </row>
    <row r="135" spans="1:16">
      <c r="C135" s="48"/>
      <c r="D135" s="48"/>
      <c r="E135" s="48"/>
      <c r="F135" s="48"/>
      <c r="G135" s="48"/>
      <c r="H135" s="48"/>
      <c r="I135" s="48"/>
      <c r="J135" s="48"/>
      <c r="K135" s="48"/>
      <c r="L135" s="48"/>
      <c r="M135" s="48"/>
      <c r="N135" s="48"/>
      <c r="O135" s="44"/>
      <c r="P135" s="11"/>
    </row>
    <row r="136" spans="1:16">
      <c r="C136" s="48"/>
      <c r="D136" s="48"/>
      <c r="E136" s="48"/>
      <c r="F136" s="48"/>
      <c r="G136" s="48"/>
      <c r="H136" s="48"/>
      <c r="I136" s="48"/>
      <c r="J136" s="48"/>
      <c r="K136" s="48"/>
      <c r="L136" s="48"/>
      <c r="M136" s="48"/>
      <c r="N136" s="48"/>
      <c r="O136" s="44"/>
      <c r="P136" s="11"/>
    </row>
    <row r="137" spans="1:16">
      <c r="B137" s="42" t="s">
        <v>86</v>
      </c>
      <c r="C137" s="10"/>
      <c r="D137" s="10"/>
      <c r="E137" s="10"/>
      <c r="F137" s="10"/>
      <c r="G137" s="10"/>
      <c r="H137" s="10"/>
      <c r="I137" s="10"/>
      <c r="J137" s="10"/>
      <c r="K137" s="10"/>
      <c r="L137" s="10"/>
      <c r="M137" s="10"/>
      <c r="N137" s="10"/>
    </row>
    <row r="138" spans="1:16">
      <c r="A138" t="s">
        <v>603</v>
      </c>
      <c r="B138" t="s">
        <v>603</v>
      </c>
      <c r="C138" s="82">
        <f>VLOOKUP($A138&amp;"NCP",'E11 - 2014 09 Final'!$A$46:$Q$1704,$C$115,FALSE)</f>
        <v>8505</v>
      </c>
      <c r="D138" s="82">
        <f>VLOOKUP($A138&amp;"NCP",'E11 - 2014 09 Final'!$A$46:$Q$1704,$D$115,FALSE)</f>
        <v>6861</v>
      </c>
      <c r="E138" s="82">
        <f>VLOOKUP($A138&amp;"NCP",'E11 - 2014 09 Final'!$A$46:$Q$1704,$E$115,FALSE)</f>
        <v>5883</v>
      </c>
      <c r="F138" s="82">
        <f>VLOOKUP($A138&amp;"NCP",'E11 - 2014 09 Final'!$A$46:$Q$1704,$F$115,FALSE)</f>
        <v>6515</v>
      </c>
      <c r="G138" s="82">
        <f>VLOOKUP($A138&amp;"NCP",'E11 - 2014 09 Final'!$A$46:$Q$1704,$G$115,FALSE)</f>
        <v>7297</v>
      </c>
      <c r="H138" s="82">
        <f>VLOOKUP($A138&amp;"NCP",'E11 - 2014 09 Final'!$A$46:$Q$1704,$H$115,FALSE)</f>
        <v>8300</v>
      </c>
      <c r="I138" s="82">
        <f>VLOOKUP($A138&amp;"NCP",'E11 - 2014 09 Final'!$A$46:$Q$1704,$I$115,FALSE)</f>
        <v>8358</v>
      </c>
      <c r="J138" s="82">
        <f>VLOOKUP($A138&amp;"NCP",'E11 - 2014 09 Final'!$A$46:$Q$1704,$J$115,FALSE)</f>
        <v>8658</v>
      </c>
      <c r="K138" s="82">
        <f>VLOOKUP($A138&amp;"NCP",'E11 - 2014 09 Final'!$A$46:$Q$1704,$K$115,FALSE)</f>
        <v>8237</v>
      </c>
      <c r="L138" s="82">
        <f>VLOOKUP($A138&amp;"NCP",'E11 - 2014 09 Final'!$A$46:$Q$1704,$L$115,FALSE)</f>
        <v>6928</v>
      </c>
      <c r="M138" s="82">
        <f>VLOOKUP($A138&amp;"NCP",'E11 - 2014 09 Final'!$A$46:$Q$1704,$M$115,FALSE)</f>
        <v>7506</v>
      </c>
      <c r="N138" s="82">
        <f>VLOOKUP($A138&amp;"NCP",'E11 - 2014 09 Final'!$A$46:$Q$1704,$N$115,FALSE)</f>
        <v>6384</v>
      </c>
      <c r="O138" s="44">
        <f>SUM(C138:N138)</f>
        <v>89432</v>
      </c>
      <c r="P138" s="11">
        <f t="shared" ref="P138:P144" si="25">MAX(C138:N138)</f>
        <v>8658</v>
      </c>
    </row>
    <row r="139" spans="1:16">
      <c r="A139" t="s">
        <v>245</v>
      </c>
      <c r="B139" t="s">
        <v>983</v>
      </c>
      <c r="C139" s="82">
        <f>VLOOKUP($A139&amp;"NCP",'E11 - 2014 09 Final'!$A$46:$Q$1704,$C$115,FALSE)</f>
        <v>119648</v>
      </c>
      <c r="D139" s="82">
        <f>VLOOKUP($A139&amp;"NCP",'E11 - 2014 09 Final'!$A$46:$Q$1704,$D$115,FALSE)</f>
        <v>118724</v>
      </c>
      <c r="E139" s="82">
        <f>VLOOKUP($A139&amp;"NCP",'E11 - 2014 09 Final'!$A$46:$Q$1704,$E$115,FALSE)</f>
        <v>124969</v>
      </c>
      <c r="F139" s="82">
        <f>VLOOKUP($A139&amp;"NCP",'E11 - 2014 09 Final'!$A$46:$Q$1704,$F$115,FALSE)</f>
        <v>130649</v>
      </c>
      <c r="G139" s="82">
        <f>VLOOKUP($A139&amp;"NCP",'E11 - 2014 09 Final'!$A$46:$Q$1704,$G$115,FALSE)</f>
        <v>135618</v>
      </c>
      <c r="H139" s="82">
        <f>VLOOKUP($A139&amp;"NCP",'E11 - 2014 09 Final'!$A$46:$Q$1704,$H$115,FALSE)</f>
        <v>144202</v>
      </c>
      <c r="I139" s="82">
        <f>VLOOKUP($A139&amp;"NCP",'E11 - 2014 09 Final'!$A$46:$Q$1704,$I$115,FALSE)</f>
        <v>158706</v>
      </c>
      <c r="J139" s="82">
        <f>VLOOKUP($A139&amp;"NCP",'E11 - 2014 09 Final'!$A$46:$Q$1704,$J$115,FALSE)</f>
        <v>156563</v>
      </c>
      <c r="K139" s="82">
        <f>VLOOKUP($A139&amp;"NCP",'E11 - 2014 09 Final'!$A$46:$Q$1704,$K$115,FALSE)</f>
        <v>143516</v>
      </c>
      <c r="L139" s="82">
        <f>VLOOKUP($A139&amp;"NCP",'E11 - 2014 09 Final'!$A$46:$Q$1704,$L$115,FALSE)</f>
        <v>136857</v>
      </c>
      <c r="M139" s="82">
        <f>VLOOKUP($A139&amp;"NCP",'E11 - 2014 09 Final'!$A$46:$Q$1704,$M$115,FALSE)</f>
        <v>115289</v>
      </c>
      <c r="N139" s="82">
        <f>VLOOKUP($A139&amp;"NCP",'E11 - 2014 09 Final'!$A$46:$Q$1704,$N$115,FALSE)</f>
        <v>118302</v>
      </c>
      <c r="O139" s="44">
        <f t="shared" ref="O139:O144" si="26">SUM(C139:N139)</f>
        <v>1603043</v>
      </c>
      <c r="P139" s="11">
        <f t="shared" si="25"/>
        <v>158706</v>
      </c>
    </row>
    <row r="140" spans="1:16">
      <c r="A140" t="s">
        <v>661</v>
      </c>
      <c r="B140" t="s">
        <v>984</v>
      </c>
      <c r="C140" s="82">
        <f>VLOOKUP($A140&amp;"NCP",'E11 - 2014 09 Final'!$A$46:$Q$1704,$C$115,FALSE)</f>
        <v>759818</v>
      </c>
      <c r="D140" s="82">
        <f>VLOOKUP($A140&amp;"NCP",'E11 - 2014 09 Final'!$A$46:$Q$1704,$D$115,FALSE)</f>
        <v>607977</v>
      </c>
      <c r="E140" s="82">
        <f>VLOOKUP($A140&amp;"NCP",'E11 - 2014 09 Final'!$A$46:$Q$1704,$E$115,FALSE)</f>
        <v>587761</v>
      </c>
      <c r="F140" s="82">
        <f>VLOOKUP($A140&amp;"NCP",'E11 - 2014 09 Final'!$A$46:$Q$1704,$F$115,FALSE)</f>
        <v>720832</v>
      </c>
      <c r="G140" s="82">
        <f>VLOOKUP($A140&amp;"NCP",'E11 - 2014 09 Final'!$A$46:$Q$1704,$G$115,FALSE)</f>
        <v>754990</v>
      </c>
      <c r="H140" s="82">
        <f>VLOOKUP($A140&amp;"NCP",'E11 - 2014 09 Final'!$A$46:$Q$1704,$H$115,FALSE)</f>
        <v>810713</v>
      </c>
      <c r="I140" s="82">
        <f>VLOOKUP($A140&amp;"NCP",'E11 - 2014 09 Final'!$A$46:$Q$1704,$I$115,FALSE)</f>
        <v>805670</v>
      </c>
      <c r="J140" s="82">
        <f>VLOOKUP($A140&amp;"NCP",'E11 - 2014 09 Final'!$A$46:$Q$1704,$J$115,FALSE)</f>
        <v>837392</v>
      </c>
      <c r="K140" s="82">
        <f>VLOOKUP($A140&amp;"NCP",'E11 - 2014 09 Final'!$A$46:$Q$1704,$K$115,FALSE)</f>
        <v>788046</v>
      </c>
      <c r="L140" s="82">
        <f>VLOOKUP($A140&amp;"NCP",'E11 - 2014 09 Final'!$A$46:$Q$1704,$L$115,FALSE)</f>
        <v>761167</v>
      </c>
      <c r="M140" s="82">
        <f>VLOOKUP($A140&amp;"NCP",'E11 - 2014 09 Final'!$A$46:$Q$1704,$M$115,FALSE)</f>
        <v>598817</v>
      </c>
      <c r="N140" s="82">
        <f>VLOOKUP($A140&amp;"NCP",'E11 - 2014 09 Final'!$A$46:$Q$1704,$N$115,FALSE)</f>
        <v>561480</v>
      </c>
      <c r="O140" s="44">
        <f t="shared" si="26"/>
        <v>8594663</v>
      </c>
      <c r="P140" s="11">
        <f t="shared" si="25"/>
        <v>837392</v>
      </c>
    </row>
    <row r="141" spans="1:16">
      <c r="A141" t="s">
        <v>673</v>
      </c>
      <c r="B141" t="s">
        <v>985</v>
      </c>
      <c r="C141" s="82">
        <f>VLOOKUP($A141&amp;"NCP",'E11 - 2014 09 Final'!$A$46:$Q$1704,$C$115,FALSE)</f>
        <v>0</v>
      </c>
      <c r="D141" s="82">
        <f>VLOOKUP($A141&amp;"NCP",'E11 - 2014 09 Final'!$A$46:$Q$1704,$D$115,FALSE)</f>
        <v>35000</v>
      </c>
      <c r="E141" s="82">
        <f>VLOOKUP($A141&amp;"NCP",'E11 - 2014 09 Final'!$A$46:$Q$1704,$E$115,FALSE)</f>
        <v>20000</v>
      </c>
      <c r="F141" s="82">
        <f>VLOOKUP($A141&amp;"NCP",'E11 - 2014 09 Final'!$A$46:$Q$1704,$F$115,FALSE)</f>
        <v>10000</v>
      </c>
      <c r="G141" s="82">
        <f>VLOOKUP($A141&amp;"NCP",'E11 - 2014 09 Final'!$A$46:$Q$1704,$G$115,FALSE)</f>
        <v>20000</v>
      </c>
      <c r="H141" s="82">
        <f>VLOOKUP($A141&amp;"NCP",'E11 - 2014 09 Final'!$A$46:$Q$1704,$H$115,FALSE)</f>
        <v>35000</v>
      </c>
      <c r="I141" s="82">
        <f>VLOOKUP($A141&amp;"NCP",'E11 - 2014 09 Final'!$A$46:$Q$1704,$I$115,FALSE)</f>
        <v>35000</v>
      </c>
      <c r="J141" s="82">
        <f>VLOOKUP($A141&amp;"NCP",'E11 - 2014 09 Final'!$A$46:$Q$1704,$J$115,FALSE)</f>
        <v>35000</v>
      </c>
      <c r="K141" s="82">
        <f>VLOOKUP($A141&amp;"NCP",'E11 - 2014 09 Final'!$A$46:$Q$1704,$K$115,FALSE)</f>
        <v>25000</v>
      </c>
      <c r="L141" s="82">
        <f>VLOOKUP($A141&amp;"NCP",'E11 - 2014 09 Final'!$A$46:$Q$1704,$L$115,FALSE)</f>
        <v>20000</v>
      </c>
      <c r="M141" s="82">
        <f>VLOOKUP($A141&amp;"NCP",'E11 - 2014 09 Final'!$A$46:$Q$1704,$M$115,FALSE)</f>
        <v>10000</v>
      </c>
      <c r="N141" s="82">
        <f>VLOOKUP($A141&amp;"NCP",'E11 - 2014 09 Final'!$A$46:$Q$1704,$N$115,FALSE)</f>
        <v>20000</v>
      </c>
      <c r="O141" s="44">
        <f t="shared" si="26"/>
        <v>265000</v>
      </c>
      <c r="P141" s="11">
        <f t="shared" si="25"/>
        <v>35000</v>
      </c>
    </row>
    <row r="142" spans="1:16">
      <c r="A142" t="s">
        <v>691</v>
      </c>
      <c r="B142" t="s">
        <v>691</v>
      </c>
      <c r="C142" s="82">
        <f>VLOOKUP($A142&amp;"NCP",'E11 - 2014 09 Final'!$A$46:$Q$1704,$C$115,FALSE)</f>
        <v>0</v>
      </c>
      <c r="D142" s="82">
        <f>VLOOKUP($A142&amp;"NCP",'E11 - 2014 09 Final'!$A$46:$Q$1704,$D$115,FALSE)</f>
        <v>0</v>
      </c>
      <c r="E142" s="82">
        <f>VLOOKUP($A142&amp;"NCP",'E11 - 2014 09 Final'!$A$46:$Q$1704,$E$115,FALSE)</f>
        <v>0</v>
      </c>
      <c r="F142" s="82">
        <f>VLOOKUP($A142&amp;"NCP",'E11 - 2014 09 Final'!$A$46:$Q$1704,$F$115,FALSE)</f>
        <v>0</v>
      </c>
      <c r="G142" s="82">
        <f>VLOOKUP($A142&amp;"NCP",'E11 - 2014 09 Final'!$A$46:$Q$1704,$G$115,FALSE)</f>
        <v>0</v>
      </c>
      <c r="H142" s="82">
        <f>VLOOKUP($A142&amp;"NCP",'E11 - 2014 09 Final'!$A$46:$Q$1704,$H$115,FALSE)</f>
        <v>200000</v>
      </c>
      <c r="I142" s="82">
        <f>VLOOKUP($A142&amp;"NCP",'E11 - 2014 09 Final'!$A$46:$Q$1704,$I$115,FALSE)</f>
        <v>200000</v>
      </c>
      <c r="J142" s="82">
        <f>VLOOKUP($A142&amp;"NCP",'E11 - 2014 09 Final'!$A$46:$Q$1704,$J$115,FALSE)</f>
        <v>200000</v>
      </c>
      <c r="K142" s="82">
        <f>VLOOKUP($A142&amp;"NCP",'E11 - 2014 09 Final'!$A$46:$Q$1704,$K$115,FALSE)</f>
        <v>200000</v>
      </c>
      <c r="L142" s="82">
        <f>VLOOKUP($A142&amp;"NCP",'E11 - 2014 09 Final'!$A$46:$Q$1704,$L$115,FALSE)</f>
        <v>200000</v>
      </c>
      <c r="M142" s="82">
        <f>VLOOKUP($A142&amp;"NCP",'E11 - 2014 09 Final'!$A$46:$Q$1704,$M$115,FALSE)</f>
        <v>225000</v>
      </c>
      <c r="N142" s="82">
        <f>VLOOKUP($A142&amp;"NCP",'E11 - 2014 09 Final'!$A$46:$Q$1704,$N$115,FALSE)</f>
        <v>200000</v>
      </c>
      <c r="O142" s="44">
        <f t="shared" si="26"/>
        <v>1425000</v>
      </c>
      <c r="P142" s="11">
        <f t="shared" si="25"/>
        <v>225000</v>
      </c>
    </row>
    <row r="143" spans="1:16">
      <c r="A143" t="s">
        <v>724</v>
      </c>
      <c r="B143" t="s">
        <v>724</v>
      </c>
      <c r="C143" s="82">
        <f>VLOOKUP($A143&amp;"NCP",'E11 - 2014 09 Final'!$A$46:$Q$1704,$C$115,FALSE)</f>
        <v>12444</v>
      </c>
      <c r="D143" s="82">
        <f>VLOOKUP($A143&amp;"NCP",'E11 - 2014 09 Final'!$A$46:$Q$1704,$D$115,FALSE)</f>
        <v>9408</v>
      </c>
      <c r="E143" s="82">
        <f>VLOOKUP($A143&amp;"NCP",'E11 - 2014 09 Final'!$A$46:$Q$1704,$E$115,FALSE)</f>
        <v>9018</v>
      </c>
      <c r="F143" s="82">
        <f>VLOOKUP($A143&amp;"NCP",'E11 - 2014 09 Final'!$A$46:$Q$1704,$F$115,FALSE)</f>
        <v>12473</v>
      </c>
      <c r="G143" s="82">
        <f>VLOOKUP($A143&amp;"NCP",'E11 - 2014 09 Final'!$A$46:$Q$1704,$G$115,FALSE)</f>
        <v>12655</v>
      </c>
      <c r="H143" s="82">
        <f>VLOOKUP($A143&amp;"NCP",'E11 - 2014 09 Final'!$A$46:$Q$1704,$H$115,FALSE)</f>
        <v>13244</v>
      </c>
      <c r="I143" s="82">
        <f>VLOOKUP($A143&amp;"NCP",'E11 - 2014 09 Final'!$A$46:$Q$1704,$I$115,FALSE)</f>
        <v>12957</v>
      </c>
      <c r="J143" s="82">
        <f>VLOOKUP($A143&amp;"NCP",'E11 - 2014 09 Final'!$A$46:$Q$1704,$J$115,FALSE)</f>
        <v>13556</v>
      </c>
      <c r="K143" s="82">
        <f>VLOOKUP($A143&amp;"NCP",'E11 - 2014 09 Final'!$A$46:$Q$1704,$K$115,FALSE)</f>
        <v>13084</v>
      </c>
      <c r="L143" s="82">
        <f>VLOOKUP($A143&amp;"NCP",'E11 - 2014 09 Final'!$A$46:$Q$1704,$L$115,FALSE)</f>
        <v>12339</v>
      </c>
      <c r="M143" s="82">
        <f>VLOOKUP($A143&amp;"NCP",'E11 - 2014 09 Final'!$A$46:$Q$1704,$M$115,FALSE)</f>
        <v>9516</v>
      </c>
      <c r="N143" s="82">
        <f>VLOOKUP($A143&amp;"NCP",'E11 - 2014 09 Final'!$A$46:$Q$1704,$N$115,FALSE)</f>
        <v>9621</v>
      </c>
      <c r="O143" s="44">
        <f t="shared" si="26"/>
        <v>140315</v>
      </c>
      <c r="P143" s="11">
        <f t="shared" si="25"/>
        <v>13556</v>
      </c>
    </row>
    <row r="144" spans="1:16">
      <c r="A144" t="s">
        <v>727</v>
      </c>
      <c r="B144" t="s">
        <v>986</v>
      </c>
      <c r="C144" s="82">
        <f>VLOOKUP($A144&amp;"NCP",'E11 - 2014 09 Final'!$A$46:$Q$1704,$C$115,FALSE)</f>
        <v>23000</v>
      </c>
      <c r="D144" s="82">
        <f>VLOOKUP($A144&amp;"NCP",'E11 - 2014 09 Final'!$A$46:$Q$1704,$D$115,FALSE)</f>
        <v>23000</v>
      </c>
      <c r="E144" s="82">
        <f>VLOOKUP($A144&amp;"NCP",'E11 - 2014 09 Final'!$A$46:$Q$1704,$E$115,FALSE)</f>
        <v>23000</v>
      </c>
      <c r="F144" s="82">
        <f>VLOOKUP($A144&amp;"NCP",'E11 - 2014 09 Final'!$A$46:$Q$1704,$F$115,FALSE)</f>
        <v>23000</v>
      </c>
      <c r="G144" s="82">
        <f>VLOOKUP($A144&amp;"NCP",'E11 - 2014 09 Final'!$A$46:$Q$1704,$G$115,FALSE)</f>
        <v>23000</v>
      </c>
      <c r="H144" s="82">
        <f>VLOOKUP($A144&amp;"NCP",'E11 - 2014 09 Final'!$A$46:$Q$1704,$H$115,FALSE)</f>
        <v>23000</v>
      </c>
      <c r="I144" s="82">
        <f>VLOOKUP($A144&amp;"NCP",'E11 - 2014 09 Final'!$A$46:$Q$1704,$I$115,FALSE)</f>
        <v>23000</v>
      </c>
      <c r="J144" s="82">
        <f>VLOOKUP($A144&amp;"NCP",'E11 - 2014 09 Final'!$A$46:$Q$1704,$J$115,FALSE)</f>
        <v>23000</v>
      </c>
      <c r="K144" s="82">
        <f>VLOOKUP($A144&amp;"NCP",'E11 - 2014 09 Final'!$A$46:$Q$1704,$K$115,FALSE)</f>
        <v>23000</v>
      </c>
      <c r="L144" s="82">
        <f>VLOOKUP($A144&amp;"NCP",'E11 - 2014 09 Final'!$A$46:$Q$1704,$L$115,FALSE)</f>
        <v>23000</v>
      </c>
      <c r="M144" s="82">
        <f>VLOOKUP($A144&amp;"NCP",'E11 - 2014 09 Final'!$A$46:$Q$1704,$M$115,FALSE)</f>
        <v>23000</v>
      </c>
      <c r="N144" s="82">
        <f>VLOOKUP($A144&amp;"NCP",'E11 - 2014 09 Final'!$A$46:$Q$1704,$N$115,FALSE)</f>
        <v>23000</v>
      </c>
      <c r="O144" s="44">
        <f t="shared" si="26"/>
        <v>276000</v>
      </c>
      <c r="P144" s="11">
        <f t="shared" si="25"/>
        <v>23000</v>
      </c>
    </row>
    <row r="145" spans="2:17">
      <c r="B145" s="77"/>
      <c r="C145" s="48"/>
      <c r="D145" s="48"/>
      <c r="E145" s="48"/>
      <c r="F145" s="48"/>
      <c r="G145" s="48"/>
      <c r="H145" s="48"/>
      <c r="I145" s="48"/>
      <c r="J145" s="48"/>
      <c r="K145" s="48"/>
      <c r="L145" s="48"/>
      <c r="M145" s="48"/>
      <c r="N145" s="48"/>
      <c r="O145" s="78"/>
      <c r="P145" s="48"/>
      <c r="Q145" s="10"/>
    </row>
    <row r="146" spans="2:17">
      <c r="B146" s="77"/>
      <c r="C146" s="48"/>
      <c r="D146" s="48"/>
      <c r="E146" s="48"/>
      <c r="F146" s="48"/>
      <c r="G146" s="48"/>
      <c r="H146" s="48"/>
      <c r="I146" s="48"/>
      <c r="J146" s="48"/>
      <c r="K146" s="48"/>
      <c r="L146" s="48"/>
      <c r="M146" s="48"/>
      <c r="N146" s="48"/>
      <c r="O146" s="78"/>
      <c r="P146" s="48"/>
      <c r="Q146" s="10"/>
    </row>
    <row r="147" spans="2:17">
      <c r="B147" s="77"/>
      <c r="C147" s="48"/>
      <c r="D147" s="48"/>
      <c r="E147" s="48"/>
      <c r="F147" s="48"/>
      <c r="G147" s="48"/>
      <c r="H147" s="48"/>
      <c r="I147" s="48"/>
      <c r="J147" s="48"/>
      <c r="K147" s="48"/>
      <c r="L147" s="48"/>
      <c r="M147" s="48"/>
      <c r="N147" s="48"/>
      <c r="O147" s="78"/>
      <c r="P147" s="48"/>
      <c r="Q147" s="10"/>
    </row>
    <row r="148" spans="2:17">
      <c r="B148" s="77"/>
      <c r="C148" s="48"/>
      <c r="D148" s="48"/>
      <c r="E148" s="48"/>
      <c r="F148" s="48"/>
      <c r="G148" s="48"/>
      <c r="H148" s="48"/>
      <c r="I148" s="48"/>
      <c r="J148" s="48"/>
      <c r="K148" s="48"/>
      <c r="L148" s="48"/>
      <c r="M148" s="48"/>
      <c r="N148" s="48"/>
      <c r="O148" s="78"/>
      <c r="P148" s="48"/>
      <c r="Q148" s="10"/>
    </row>
    <row r="149" spans="2:17">
      <c r="B149" s="77"/>
      <c r="C149" s="48"/>
      <c r="D149" s="48"/>
      <c r="E149" s="48"/>
      <c r="F149" s="48"/>
      <c r="G149" s="48"/>
      <c r="H149" s="48"/>
      <c r="I149" s="48"/>
      <c r="J149" s="48"/>
      <c r="K149" s="48"/>
      <c r="L149" s="48"/>
      <c r="M149" s="48"/>
      <c r="N149" s="48"/>
      <c r="O149" s="78"/>
      <c r="P149" s="48"/>
      <c r="Q149" s="10"/>
    </row>
    <row r="150" spans="2:17">
      <c r="B150" s="77"/>
      <c r="C150" s="48"/>
      <c r="D150" s="48"/>
      <c r="E150" s="48"/>
      <c r="F150" s="48"/>
      <c r="G150" s="48"/>
      <c r="H150" s="48"/>
      <c r="I150" s="48"/>
      <c r="J150" s="48"/>
      <c r="K150" s="48"/>
      <c r="L150" s="48"/>
      <c r="M150" s="48"/>
      <c r="N150" s="48"/>
      <c r="O150" s="78"/>
      <c r="P150" s="48"/>
      <c r="Q150" s="10"/>
    </row>
    <row r="151" spans="2:17">
      <c r="B151" s="10"/>
      <c r="C151" s="48"/>
      <c r="D151" s="48"/>
      <c r="E151" s="48"/>
      <c r="F151" s="48"/>
      <c r="G151" s="48"/>
      <c r="H151" s="48"/>
      <c r="I151" s="48"/>
      <c r="J151" s="48"/>
      <c r="K151" s="48"/>
      <c r="L151" s="48"/>
      <c r="M151" s="48"/>
      <c r="N151" s="48"/>
      <c r="O151" s="78"/>
      <c r="P151" s="48"/>
      <c r="Q151" s="10"/>
    </row>
    <row r="152" spans="2:17">
      <c r="B152" s="10"/>
      <c r="C152" s="48"/>
      <c r="D152" s="48"/>
      <c r="E152" s="48"/>
      <c r="F152" s="48"/>
      <c r="G152" s="48"/>
      <c r="H152" s="48"/>
      <c r="I152" s="48"/>
      <c r="J152" s="48"/>
      <c r="K152" s="48"/>
      <c r="L152" s="48"/>
      <c r="M152" s="48"/>
      <c r="N152" s="48"/>
      <c r="O152" s="78"/>
      <c r="P152" s="48"/>
      <c r="Q152" s="10"/>
    </row>
    <row r="153" spans="2:17">
      <c r="B153" s="311"/>
      <c r="C153" s="10"/>
      <c r="D153" s="10"/>
      <c r="E153" s="10"/>
      <c r="F153" s="10"/>
      <c r="G153" s="10"/>
      <c r="H153" s="10"/>
      <c r="I153" s="10"/>
      <c r="J153" s="10"/>
      <c r="K153" s="10"/>
      <c r="L153" s="10"/>
      <c r="M153" s="10"/>
      <c r="N153" s="10"/>
      <c r="O153" s="10"/>
      <c r="P153" s="10"/>
      <c r="Q153" s="10"/>
    </row>
    <row r="154" spans="2:17">
      <c r="B154" s="77"/>
      <c r="C154" s="48"/>
      <c r="D154" s="48"/>
      <c r="E154" s="48"/>
      <c r="F154" s="48"/>
      <c r="G154" s="48"/>
      <c r="H154" s="48"/>
      <c r="I154" s="48"/>
      <c r="J154" s="48"/>
      <c r="K154" s="48"/>
      <c r="L154" s="48"/>
      <c r="M154" s="48"/>
      <c r="N154" s="48"/>
      <c r="O154" s="78"/>
      <c r="P154" s="48"/>
      <c r="Q154" s="10"/>
    </row>
    <row r="155" spans="2:17">
      <c r="B155" s="77"/>
      <c r="C155" s="48"/>
      <c r="D155" s="48"/>
      <c r="E155" s="48"/>
      <c r="F155" s="48"/>
      <c r="G155" s="48"/>
      <c r="H155" s="48"/>
      <c r="I155" s="48"/>
      <c r="J155" s="48"/>
      <c r="K155" s="48"/>
      <c r="L155" s="48"/>
      <c r="M155" s="48"/>
      <c r="N155" s="48"/>
      <c r="O155" s="78"/>
      <c r="P155" s="48"/>
      <c r="Q155" s="10"/>
    </row>
    <row r="156" spans="2:17" ht="409.6">
      <c r="B156" s="77"/>
      <c r="C156" s="48"/>
      <c r="D156" s="48"/>
      <c r="E156" s="48"/>
      <c r="F156" s="48"/>
      <c r="G156" s="48"/>
      <c r="H156" s="48"/>
      <c r="I156" s="48"/>
      <c r="J156" s="48"/>
      <c r="K156" s="48"/>
      <c r="L156" s="48"/>
      <c r="M156" s="48"/>
      <c r="N156" s="48"/>
      <c r="O156" s="78"/>
      <c r="P156" s="48"/>
      <c r="Q156" s="10"/>
    </row>
    <row r="157" spans="2:17" ht="409.6">
      <c r="B157" s="10"/>
      <c r="C157" s="10"/>
      <c r="D157" s="10"/>
      <c r="E157" s="10"/>
      <c r="F157" s="10"/>
      <c r="G157" s="10"/>
      <c r="H157" s="10"/>
      <c r="I157" s="10"/>
      <c r="J157" s="10"/>
      <c r="K157" s="10"/>
      <c r="L157" s="10"/>
      <c r="M157" s="10"/>
      <c r="N157" s="10"/>
      <c r="O157" s="10"/>
      <c r="P157" s="10"/>
      <c r="Q157" s="10"/>
    </row>
    <row r="158" spans="2:17">
      <c r="B158" s="10"/>
      <c r="C158" s="10"/>
      <c r="D158" s="10"/>
      <c r="E158" s="10"/>
      <c r="F158" s="10"/>
      <c r="G158" s="10"/>
      <c r="H158" s="10"/>
      <c r="I158" s="10"/>
      <c r="J158" s="10"/>
      <c r="K158" s="10"/>
      <c r="L158" s="10"/>
      <c r="M158" s="10"/>
      <c r="N158" s="10"/>
      <c r="O158" s="10"/>
      <c r="P158" s="10"/>
      <c r="Q158" s="10"/>
    </row>
  </sheetData>
  <mergeCells count="8">
    <mergeCell ref="B76:P76"/>
    <mergeCell ref="B110:P110"/>
    <mergeCell ref="B111:P111"/>
    <mergeCell ref="B4:P4"/>
    <mergeCell ref="B5:P5"/>
    <mergeCell ref="B40:P40"/>
    <mergeCell ref="B41:P41"/>
    <mergeCell ref="B75:P75"/>
  </mergeCells>
  <phoneticPr fontId="9" type="noConversion"/>
  <pageMargins left="0" right="0" top="1" bottom="1" header="0.5" footer="0.5"/>
  <pageSetup scale="70" orientation="landscape" r:id="rId1"/>
  <headerFooter alignWithMargins="0"/>
  <rowBreaks count="3" manualBreakCount="3">
    <brk id="48" max="16383" man="1"/>
    <brk id="83" max="16383" man="1"/>
    <brk id="117"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FF0000"/>
  </sheetPr>
  <dimension ref="A1:T158"/>
  <sheetViews>
    <sheetView showGridLines="0" zoomScale="75" zoomScaleNormal="75" workbookViewId="0">
      <selection activeCell="G36" sqref="G36"/>
    </sheetView>
  </sheetViews>
  <sheetFormatPr defaultRowHeight="13.2"/>
  <cols>
    <col min="1" max="1" width="19.88671875" customWidth="1"/>
    <col min="2" max="2" width="22.6640625" bestFit="1" customWidth="1"/>
    <col min="3" max="4" width="15.6640625" bestFit="1" customWidth="1"/>
    <col min="5" max="5" width="15.5546875" bestFit="1" customWidth="1"/>
    <col min="6" max="14" width="15.6640625" bestFit="1" customWidth="1"/>
    <col min="15" max="15" width="16.88671875" bestFit="1" customWidth="1"/>
    <col min="16" max="16" width="15.6640625" bestFit="1" customWidth="1"/>
    <col min="20" max="22" width="16.5546875" customWidth="1"/>
  </cols>
  <sheetData>
    <row r="1" spans="1:20" s="8" customFormat="1">
      <c r="A1" s="8" t="s">
        <v>1322</v>
      </c>
    </row>
    <row r="2" spans="1:20" s="8" customFormat="1">
      <c r="A2" s="8" t="s">
        <v>1267</v>
      </c>
    </row>
    <row r="3" spans="1:20" s="8" customFormat="1"/>
    <row r="4" spans="1:20" ht="21">
      <c r="B4" s="611" t="s">
        <v>990</v>
      </c>
      <c r="C4" s="611"/>
      <c r="D4" s="611"/>
      <c r="E4" s="611"/>
      <c r="F4" s="611"/>
      <c r="G4" s="611"/>
      <c r="H4" s="611"/>
      <c r="I4" s="611"/>
      <c r="J4" s="611"/>
      <c r="K4" s="611"/>
      <c r="L4" s="611"/>
      <c r="M4" s="611"/>
      <c r="N4" s="611"/>
      <c r="O4" s="611"/>
      <c r="P4" s="611"/>
    </row>
    <row r="5" spans="1:20">
      <c r="B5" s="612" t="s">
        <v>89</v>
      </c>
      <c r="C5" s="612"/>
      <c r="D5" s="612"/>
      <c r="E5" s="612"/>
      <c r="F5" s="612"/>
      <c r="G5" s="612"/>
      <c r="H5" s="612"/>
      <c r="I5" s="612"/>
      <c r="J5" s="612"/>
      <c r="K5" s="612"/>
      <c r="L5" s="612"/>
      <c r="M5" s="612"/>
      <c r="N5" s="612"/>
      <c r="O5" s="612"/>
      <c r="P5" s="612"/>
    </row>
    <row r="6" spans="1:20" ht="13.8" thickBot="1">
      <c r="B6" s="300"/>
      <c r="C6" s="300"/>
      <c r="D6" s="300"/>
      <c r="E6" s="300"/>
      <c r="F6" s="300"/>
      <c r="G6" s="300"/>
      <c r="H6" s="300"/>
      <c r="I6" s="300"/>
      <c r="J6" s="300"/>
      <c r="K6" s="300"/>
      <c r="L6" s="300"/>
      <c r="M6" s="300"/>
      <c r="N6" s="300"/>
      <c r="O6" s="300"/>
      <c r="P6" s="300"/>
    </row>
    <row r="7" spans="1:20">
      <c r="C7" s="14"/>
      <c r="D7" s="15"/>
      <c r="E7" s="16"/>
      <c r="F7" s="17"/>
      <c r="G7" s="18"/>
      <c r="H7" s="19"/>
      <c r="I7" s="20"/>
      <c r="J7" s="21"/>
      <c r="K7" s="22"/>
      <c r="L7" s="23"/>
      <c r="M7" s="24"/>
      <c r="N7" s="25"/>
      <c r="O7" s="26"/>
      <c r="P7" s="27" t="s">
        <v>991</v>
      </c>
    </row>
    <row r="8" spans="1:20" ht="13.8" thickBot="1">
      <c r="C8" s="28" t="s">
        <v>70</v>
      </c>
      <c r="D8" s="29" t="s">
        <v>71</v>
      </c>
      <c r="E8" s="30" t="s">
        <v>72</v>
      </c>
      <c r="F8" s="31" t="s">
        <v>73</v>
      </c>
      <c r="G8" s="32" t="s">
        <v>74</v>
      </c>
      <c r="H8" s="33" t="s">
        <v>75</v>
      </c>
      <c r="I8" s="34" t="s">
        <v>76</v>
      </c>
      <c r="J8" s="35" t="s">
        <v>77</v>
      </c>
      <c r="K8" s="36" t="s">
        <v>78</v>
      </c>
      <c r="L8" s="37" t="s">
        <v>79</v>
      </c>
      <c r="M8" s="38" t="s">
        <v>80</v>
      </c>
      <c r="N8" s="39" t="s">
        <v>81</v>
      </c>
      <c r="O8" s="40" t="s">
        <v>60</v>
      </c>
      <c r="P8" s="41" t="s">
        <v>82</v>
      </c>
    </row>
    <row r="9" spans="1:20" hidden="1">
      <c r="C9">
        <v>2</v>
      </c>
      <c r="D9">
        <v>3</v>
      </c>
      <c r="E9">
        <v>4</v>
      </c>
      <c r="F9">
        <v>5</v>
      </c>
      <c r="G9">
        <v>6</v>
      </c>
      <c r="H9">
        <v>7</v>
      </c>
      <c r="I9">
        <v>8</v>
      </c>
      <c r="J9">
        <v>9</v>
      </c>
      <c r="K9">
        <v>10</v>
      </c>
      <c r="L9">
        <v>11</v>
      </c>
      <c r="M9">
        <v>12</v>
      </c>
      <c r="N9">
        <v>13</v>
      </c>
    </row>
    <row r="11" spans="1:20">
      <c r="B11" s="42" t="s">
        <v>83</v>
      </c>
    </row>
    <row r="12" spans="1:20">
      <c r="A12" s="43" t="s">
        <v>98</v>
      </c>
      <c r="B12" s="43" t="s">
        <v>84</v>
      </c>
      <c r="C12" s="48">
        <f t="shared" ref="C12:N21" si="0">AVERAGE(VLOOKUP($B12,$B$48:$P$73,C$9,FALSE),VLOOKUP($B12,$B$83:$N$108,C$9,FALSE),VLOOKUP($B12,$B$118:$N$144,C$9,FALSE))</f>
        <v>238514691</v>
      </c>
      <c r="D12" s="48">
        <f t="shared" si="0"/>
        <v>222125503.66666666</v>
      </c>
      <c r="E12" s="48">
        <f t="shared" si="0"/>
        <v>221251790.66666666</v>
      </c>
      <c r="F12" s="48">
        <f t="shared" si="0"/>
        <v>232648186</v>
      </c>
      <c r="G12" s="48">
        <f t="shared" si="0"/>
        <v>236231832.66666666</v>
      </c>
      <c r="H12" s="48">
        <f t="shared" si="0"/>
        <v>242314120.33333334</v>
      </c>
      <c r="I12" s="48">
        <f t="shared" si="0"/>
        <v>245821197.66666666</v>
      </c>
      <c r="J12" s="48">
        <f t="shared" si="0"/>
        <v>249740256.33333334</v>
      </c>
      <c r="K12" s="48">
        <f t="shared" si="0"/>
        <v>251824604.33333334</v>
      </c>
      <c r="L12" s="48">
        <f t="shared" si="0"/>
        <v>237380827.66666666</v>
      </c>
      <c r="M12" s="48">
        <f t="shared" si="0"/>
        <v>225655204</v>
      </c>
      <c r="N12" s="48">
        <f t="shared" si="0"/>
        <v>226513303.66666666</v>
      </c>
      <c r="O12" s="44">
        <f t="shared" ref="O12:O28" si="1">SUM(C12:N12)</f>
        <v>2830021517.9999995</v>
      </c>
      <c r="P12" s="11">
        <f>+O12/12</f>
        <v>235835126.49999997</v>
      </c>
    </row>
    <row r="13" spans="1:20">
      <c r="A13" s="43" t="s">
        <v>99</v>
      </c>
      <c r="B13" s="43" t="s">
        <v>85</v>
      </c>
      <c r="C13" s="48">
        <f t="shared" si="0"/>
        <v>15983084.333333334</v>
      </c>
      <c r="D13" s="48">
        <f t="shared" si="0"/>
        <v>14676071</v>
      </c>
      <c r="E13" s="48">
        <f t="shared" si="0"/>
        <v>14516795</v>
      </c>
      <c r="F13" s="48">
        <f t="shared" si="0"/>
        <v>15466433.666666666</v>
      </c>
      <c r="G13" s="48">
        <f t="shared" si="0"/>
        <v>14095739.666666666</v>
      </c>
      <c r="H13" s="48">
        <f t="shared" si="0"/>
        <v>14579161.666666666</v>
      </c>
      <c r="I13" s="48">
        <f t="shared" si="0"/>
        <v>14624318.666666666</v>
      </c>
      <c r="J13" s="48">
        <f t="shared" si="0"/>
        <v>14876254.666666666</v>
      </c>
      <c r="K13" s="48">
        <f t="shared" si="0"/>
        <v>14927642</v>
      </c>
      <c r="L13" s="48">
        <f t="shared" si="0"/>
        <v>14164949.333333334</v>
      </c>
      <c r="M13" s="48">
        <f t="shared" si="0"/>
        <v>13514631.333333334</v>
      </c>
      <c r="N13" s="48">
        <f t="shared" si="0"/>
        <v>13620076.333333334</v>
      </c>
      <c r="O13" s="44">
        <f t="shared" si="1"/>
        <v>175045157.66666672</v>
      </c>
      <c r="P13" s="11">
        <f t="shared" ref="P13:P28" si="2">+O13/12</f>
        <v>14587096.472222226</v>
      </c>
    </row>
    <row r="14" spans="1:20">
      <c r="A14" s="43" t="s">
        <v>50</v>
      </c>
      <c r="B14" s="43" t="s">
        <v>50</v>
      </c>
      <c r="C14" s="48">
        <f t="shared" si="0"/>
        <v>112189099.66666667</v>
      </c>
      <c r="D14" s="48">
        <f t="shared" si="0"/>
        <v>95729652.333333328</v>
      </c>
      <c r="E14" s="48">
        <f t="shared" si="0"/>
        <v>109665332.33333333</v>
      </c>
      <c r="F14" s="48">
        <f t="shared" si="0"/>
        <v>108295786</v>
      </c>
      <c r="G14" s="48">
        <f t="shared" si="0"/>
        <v>118370561.66666667</v>
      </c>
      <c r="H14" s="48">
        <f t="shared" si="0"/>
        <v>112470773</v>
      </c>
      <c r="I14" s="48">
        <f t="shared" si="0"/>
        <v>118755565.33333333</v>
      </c>
      <c r="J14" s="48">
        <f t="shared" si="0"/>
        <v>120466728.33333333</v>
      </c>
      <c r="K14" s="48">
        <f t="shared" si="0"/>
        <v>113178203.66666667</v>
      </c>
      <c r="L14" s="48">
        <f t="shared" si="0"/>
        <v>117550262.66666667</v>
      </c>
      <c r="M14" s="48">
        <f t="shared" si="0"/>
        <v>108047615.33333333</v>
      </c>
      <c r="N14" s="48">
        <f t="shared" si="0"/>
        <v>110012672</v>
      </c>
      <c r="O14" s="44">
        <f t="shared" si="1"/>
        <v>1344732252.3333333</v>
      </c>
      <c r="P14" s="11">
        <f t="shared" si="2"/>
        <v>112061021.02777778</v>
      </c>
    </row>
    <row r="15" spans="1:20">
      <c r="A15" s="43" t="s">
        <v>49</v>
      </c>
      <c r="B15" s="43" t="s">
        <v>49</v>
      </c>
      <c r="C15" s="48">
        <f t="shared" si="0"/>
        <v>480599855</v>
      </c>
      <c r="D15" s="48">
        <f t="shared" si="0"/>
        <v>449314287</v>
      </c>
      <c r="E15" s="48">
        <f t="shared" si="0"/>
        <v>455172554.33333331</v>
      </c>
      <c r="F15" s="48">
        <f t="shared" si="0"/>
        <v>489131129.33333331</v>
      </c>
      <c r="G15" s="48">
        <f t="shared" si="0"/>
        <v>534012642.66666669</v>
      </c>
      <c r="H15" s="48">
        <f t="shared" si="0"/>
        <v>565573006.33333337</v>
      </c>
      <c r="I15" s="48">
        <f t="shared" si="0"/>
        <v>586217762.66666663</v>
      </c>
      <c r="J15" s="48">
        <f t="shared" si="0"/>
        <v>566477814.66666663</v>
      </c>
      <c r="K15" s="48">
        <f t="shared" si="0"/>
        <v>563409981</v>
      </c>
      <c r="L15" s="48">
        <f t="shared" si="0"/>
        <v>515598001.66666669</v>
      </c>
      <c r="M15" s="48">
        <f t="shared" si="0"/>
        <v>462848806.33333331</v>
      </c>
      <c r="N15" s="48">
        <f t="shared" si="0"/>
        <v>439007310.33333331</v>
      </c>
      <c r="O15" s="44">
        <f t="shared" si="1"/>
        <v>6107363151.333333</v>
      </c>
      <c r="P15" s="11">
        <f t="shared" si="2"/>
        <v>508946929.27777773</v>
      </c>
      <c r="T15" s="145"/>
    </row>
    <row r="16" spans="1:20">
      <c r="A16" s="46" t="s">
        <v>325</v>
      </c>
      <c r="B16" s="46" t="s">
        <v>325</v>
      </c>
      <c r="C16" s="48">
        <f t="shared" si="0"/>
        <v>4403864.333333333</v>
      </c>
      <c r="D16" s="48">
        <f t="shared" si="0"/>
        <v>3973948.3333333335</v>
      </c>
      <c r="E16" s="48">
        <f t="shared" si="0"/>
        <v>3901855.3333333335</v>
      </c>
      <c r="F16" s="48">
        <f t="shared" si="0"/>
        <v>4015776</v>
      </c>
      <c r="G16" s="48">
        <f t="shared" si="0"/>
        <v>4090618.3333333335</v>
      </c>
      <c r="H16" s="48">
        <f t="shared" si="0"/>
        <v>4831550.333333333</v>
      </c>
      <c r="I16" s="48">
        <f t="shared" si="0"/>
        <v>5022404.333333333</v>
      </c>
      <c r="J16" s="48">
        <f t="shared" si="0"/>
        <v>4650763</v>
      </c>
      <c r="K16" s="48">
        <f t="shared" si="0"/>
        <v>4600936.666666667</v>
      </c>
      <c r="L16" s="48">
        <f t="shared" si="0"/>
        <v>3164371.3333333335</v>
      </c>
      <c r="M16" s="48">
        <f t="shared" si="0"/>
        <v>3123086.3333333335</v>
      </c>
      <c r="N16" s="48">
        <f t="shared" si="0"/>
        <v>3159198.6666666665</v>
      </c>
      <c r="O16" s="44">
        <f t="shared" si="1"/>
        <v>48938373</v>
      </c>
      <c r="P16" s="11">
        <f t="shared" si="2"/>
        <v>4078197.75</v>
      </c>
      <c r="T16" s="145"/>
    </row>
    <row r="17" spans="1:20">
      <c r="A17" s="43" t="s">
        <v>67</v>
      </c>
      <c r="B17" s="43" t="s">
        <v>67</v>
      </c>
      <c r="C17" s="48">
        <f t="shared" si="0"/>
        <v>1959769536.3333333</v>
      </c>
      <c r="D17" s="48">
        <f t="shared" si="0"/>
        <v>1819902989.6666667</v>
      </c>
      <c r="E17" s="48">
        <f t="shared" si="0"/>
        <v>1825308188</v>
      </c>
      <c r="F17" s="48">
        <f t="shared" si="0"/>
        <v>1949269219</v>
      </c>
      <c r="G17" s="48">
        <f t="shared" si="0"/>
        <v>2100212387.3333333</v>
      </c>
      <c r="H17" s="48">
        <f t="shared" si="0"/>
        <v>2200740419.3333335</v>
      </c>
      <c r="I17" s="48">
        <f t="shared" si="0"/>
        <v>2257563585.3333335</v>
      </c>
      <c r="J17" s="48">
        <f t="shared" si="0"/>
        <v>2337351263.3333335</v>
      </c>
      <c r="K17" s="48">
        <f t="shared" si="0"/>
        <v>2353890473</v>
      </c>
      <c r="L17" s="48">
        <f t="shared" si="0"/>
        <v>2178461850.3333335</v>
      </c>
      <c r="M17" s="48">
        <f t="shared" si="0"/>
        <v>1993632365</v>
      </c>
      <c r="N17" s="48">
        <f t="shared" si="0"/>
        <v>1933221694.3333333</v>
      </c>
      <c r="O17" s="44">
        <f t="shared" si="1"/>
        <v>24909323971</v>
      </c>
      <c r="P17" s="11">
        <f t="shared" si="2"/>
        <v>2075776997.5833333</v>
      </c>
      <c r="T17" s="145"/>
    </row>
    <row r="18" spans="1:20">
      <c r="A18" s="43" t="s">
        <v>68</v>
      </c>
      <c r="B18" s="43" t="s">
        <v>68</v>
      </c>
      <c r="C18" s="48">
        <f t="shared" si="0"/>
        <v>825873330</v>
      </c>
      <c r="D18" s="48">
        <f t="shared" si="0"/>
        <v>781305028</v>
      </c>
      <c r="E18" s="48">
        <f t="shared" si="0"/>
        <v>780550870.33333337</v>
      </c>
      <c r="F18" s="48">
        <f t="shared" si="0"/>
        <v>820751141.66666663</v>
      </c>
      <c r="G18" s="48">
        <f t="shared" si="0"/>
        <v>894048241.33333337</v>
      </c>
      <c r="H18" s="48">
        <f t="shared" si="0"/>
        <v>907429390.33333337</v>
      </c>
      <c r="I18" s="48">
        <f t="shared" si="0"/>
        <v>934207210</v>
      </c>
      <c r="J18" s="48">
        <f t="shared" si="0"/>
        <v>952979693.66666663</v>
      </c>
      <c r="K18" s="48">
        <f t="shared" si="0"/>
        <v>976244394</v>
      </c>
      <c r="L18" s="48">
        <f t="shared" si="0"/>
        <v>932916235.33333337</v>
      </c>
      <c r="M18" s="48">
        <f t="shared" si="0"/>
        <v>832799839.66666663</v>
      </c>
      <c r="N18" s="48">
        <f t="shared" si="0"/>
        <v>822585942.33333337</v>
      </c>
      <c r="O18" s="44">
        <f t="shared" si="1"/>
        <v>10461691316.666668</v>
      </c>
      <c r="P18" s="11">
        <f t="shared" si="2"/>
        <v>871807609.72222233</v>
      </c>
      <c r="T18" s="104"/>
    </row>
    <row r="19" spans="1:20">
      <c r="A19" s="43" t="s">
        <v>69</v>
      </c>
      <c r="B19" s="43" t="s">
        <v>69</v>
      </c>
      <c r="C19" s="48">
        <f t="shared" si="0"/>
        <v>200244396.33333334</v>
      </c>
      <c r="D19" s="48">
        <f t="shared" si="0"/>
        <v>185184222</v>
      </c>
      <c r="E19" s="48">
        <f t="shared" si="0"/>
        <v>186715675.66666666</v>
      </c>
      <c r="F19" s="48">
        <f t="shared" si="0"/>
        <v>194336281</v>
      </c>
      <c r="G19" s="48">
        <f t="shared" si="0"/>
        <v>205122251.66666666</v>
      </c>
      <c r="H19" s="48">
        <f t="shared" si="0"/>
        <v>224106919</v>
      </c>
      <c r="I19" s="48">
        <f t="shared" si="0"/>
        <v>220143039</v>
      </c>
      <c r="J19" s="48">
        <f t="shared" si="0"/>
        <v>234209288.33333334</v>
      </c>
      <c r="K19" s="48">
        <f t="shared" si="0"/>
        <v>226726093.66666666</v>
      </c>
      <c r="L19" s="48">
        <f t="shared" si="0"/>
        <v>214304034</v>
      </c>
      <c r="M19" s="48">
        <f t="shared" si="0"/>
        <v>198741785.66666666</v>
      </c>
      <c r="N19" s="48">
        <f t="shared" si="0"/>
        <v>194878341</v>
      </c>
      <c r="O19" s="44">
        <f t="shared" si="1"/>
        <v>2484712327.333333</v>
      </c>
      <c r="P19" s="11">
        <f t="shared" si="2"/>
        <v>207059360.61111107</v>
      </c>
    </row>
    <row r="20" spans="1:20">
      <c r="A20" s="43" t="s">
        <v>52</v>
      </c>
      <c r="B20" s="43" t="s">
        <v>52</v>
      </c>
      <c r="C20" s="48">
        <f t="shared" si="0"/>
        <v>15467559.333333334</v>
      </c>
      <c r="D20" s="48">
        <f t="shared" si="0"/>
        <v>13070280.666666666</v>
      </c>
      <c r="E20" s="48">
        <f t="shared" si="0"/>
        <v>14269971</v>
      </c>
      <c r="F20" s="48">
        <f t="shared" si="0"/>
        <v>15085743</v>
      </c>
      <c r="G20" s="48">
        <f t="shared" si="0"/>
        <v>15340453</v>
      </c>
      <c r="H20" s="48">
        <f t="shared" si="0"/>
        <v>12191105</v>
      </c>
      <c r="I20" s="48">
        <f t="shared" si="0"/>
        <v>12651587.333333334</v>
      </c>
      <c r="J20" s="48">
        <f t="shared" si="0"/>
        <v>13344069.666666666</v>
      </c>
      <c r="K20" s="48">
        <f t="shared" si="0"/>
        <v>12061166</v>
      </c>
      <c r="L20" s="48">
        <f t="shared" si="0"/>
        <v>12789885.333333334</v>
      </c>
      <c r="M20" s="48">
        <f t="shared" si="0"/>
        <v>11596015.333333334</v>
      </c>
      <c r="N20" s="48">
        <f t="shared" si="0"/>
        <v>14208613</v>
      </c>
      <c r="O20" s="44">
        <f t="shared" si="1"/>
        <v>162076448.66666669</v>
      </c>
      <c r="P20" s="11">
        <f t="shared" si="2"/>
        <v>13506370.722222224</v>
      </c>
    </row>
    <row r="21" spans="1:20">
      <c r="A21" s="206" t="s">
        <v>15</v>
      </c>
      <c r="B21" s="206" t="s">
        <v>15</v>
      </c>
      <c r="C21" s="48">
        <f t="shared" si="0"/>
        <v>6888703.333333333</v>
      </c>
      <c r="D21" s="48">
        <f t="shared" si="0"/>
        <v>6386477.333333333</v>
      </c>
      <c r="E21" s="48">
        <f t="shared" si="0"/>
        <v>7105757.666666667</v>
      </c>
      <c r="F21" s="48">
        <f t="shared" si="0"/>
        <v>7164324.333333333</v>
      </c>
      <c r="G21" s="48">
        <f t="shared" si="0"/>
        <v>7530532</v>
      </c>
      <c r="H21" s="48">
        <f t="shared" si="0"/>
        <v>7431296.666666667</v>
      </c>
      <c r="I21" s="48">
        <f t="shared" si="0"/>
        <v>7642733.333333333</v>
      </c>
      <c r="J21" s="48">
        <f t="shared" si="0"/>
        <v>7620951.333333333</v>
      </c>
      <c r="K21" s="48">
        <f t="shared" si="0"/>
        <v>7196011.333333333</v>
      </c>
      <c r="L21" s="48">
        <f t="shared" si="0"/>
        <v>7629249.333333333</v>
      </c>
      <c r="M21" s="48">
        <f t="shared" si="0"/>
        <v>6853701</v>
      </c>
      <c r="N21" s="48">
        <f t="shared" si="0"/>
        <v>7162568.666666667</v>
      </c>
      <c r="O21" s="44">
        <f t="shared" si="1"/>
        <v>86612306.333333343</v>
      </c>
      <c r="P21" s="11">
        <f t="shared" si="2"/>
        <v>7217692.194444445</v>
      </c>
    </row>
    <row r="22" spans="1:20">
      <c r="A22" s="43" t="s">
        <v>56</v>
      </c>
      <c r="B22" s="43" t="s">
        <v>56</v>
      </c>
      <c r="C22" s="48">
        <f t="shared" ref="C22:N28" si="3">AVERAGE(VLOOKUP($B22,$B$48:$P$73,C$9,FALSE),VLOOKUP($B22,$B$83:$N$108,C$9,FALSE),VLOOKUP($B22,$B$118:$N$144,C$9,FALSE))</f>
        <v>8359807.666666667</v>
      </c>
      <c r="D22" s="48">
        <f t="shared" si="3"/>
        <v>8374125</v>
      </c>
      <c r="E22" s="48">
        <f t="shared" si="3"/>
        <v>8401502.666666666</v>
      </c>
      <c r="F22" s="48">
        <f t="shared" si="3"/>
        <v>8379273.666666667</v>
      </c>
      <c r="G22" s="48">
        <f t="shared" si="3"/>
        <v>8397134.333333334</v>
      </c>
      <c r="H22" s="48">
        <f t="shared" si="3"/>
        <v>8400028.333333334</v>
      </c>
      <c r="I22" s="48">
        <f t="shared" si="3"/>
        <v>8385551</v>
      </c>
      <c r="J22" s="48">
        <f t="shared" si="3"/>
        <v>8424775.666666666</v>
      </c>
      <c r="K22" s="48">
        <f t="shared" si="3"/>
        <v>8383566.666666667</v>
      </c>
      <c r="L22" s="48">
        <f t="shared" si="3"/>
        <v>8390996</v>
      </c>
      <c r="M22" s="48">
        <f t="shared" si="3"/>
        <v>8330476</v>
      </c>
      <c r="N22" s="48">
        <f t="shared" si="3"/>
        <v>8379338.666666667</v>
      </c>
      <c r="O22" s="44">
        <f t="shared" si="1"/>
        <v>100606575.66666669</v>
      </c>
      <c r="P22" s="11">
        <f t="shared" si="2"/>
        <v>8383881.3055555569</v>
      </c>
    </row>
    <row r="23" spans="1:20">
      <c r="A23" s="43" t="s">
        <v>57</v>
      </c>
      <c r="B23" s="43" t="s">
        <v>57</v>
      </c>
      <c r="C23" s="48">
        <f t="shared" si="3"/>
        <v>939843.66666666663</v>
      </c>
      <c r="D23" s="48">
        <f t="shared" si="3"/>
        <v>1073844</v>
      </c>
      <c r="E23" s="48">
        <f t="shared" si="3"/>
        <v>1122809.3333333333</v>
      </c>
      <c r="F23" s="48">
        <f t="shared" si="3"/>
        <v>965246.33333333337</v>
      </c>
      <c r="G23" s="48">
        <f t="shared" si="3"/>
        <v>890366.33333333337</v>
      </c>
      <c r="H23" s="48">
        <f t="shared" si="3"/>
        <v>849697</v>
      </c>
      <c r="I23" s="48">
        <f t="shared" si="3"/>
        <v>756408.66666666663</v>
      </c>
      <c r="J23" s="48">
        <f t="shared" si="3"/>
        <v>779879.66666666663</v>
      </c>
      <c r="K23" s="48">
        <f t="shared" si="3"/>
        <v>938037.66666666663</v>
      </c>
      <c r="L23" s="48">
        <f t="shared" si="3"/>
        <v>1023862.6666666666</v>
      </c>
      <c r="M23" s="48">
        <f t="shared" si="3"/>
        <v>1134102.6666666667</v>
      </c>
      <c r="N23" s="48">
        <f t="shared" si="3"/>
        <v>1056387.3333333333</v>
      </c>
      <c r="O23" s="44">
        <f t="shared" si="1"/>
        <v>11530485.333333334</v>
      </c>
      <c r="P23" s="11">
        <f t="shared" si="2"/>
        <v>960873.77777777787</v>
      </c>
    </row>
    <row r="24" spans="1:20">
      <c r="A24" s="43" t="s">
        <v>48</v>
      </c>
      <c r="B24" s="43" t="s">
        <v>48</v>
      </c>
      <c r="C24" s="48">
        <f t="shared" si="3"/>
        <v>4034001142.6666665</v>
      </c>
      <c r="D24" s="48">
        <f t="shared" si="3"/>
        <v>3569368219.6666665</v>
      </c>
      <c r="E24" s="48">
        <f t="shared" si="3"/>
        <v>3606369831.3333335</v>
      </c>
      <c r="F24" s="48">
        <f t="shared" si="3"/>
        <v>3943397617.3333335</v>
      </c>
      <c r="G24" s="48">
        <f t="shared" si="3"/>
        <v>4462489963</v>
      </c>
      <c r="H24" s="48">
        <f t="shared" si="3"/>
        <v>5042083419.666667</v>
      </c>
      <c r="I24" s="48">
        <f t="shared" si="3"/>
        <v>5460502108.333333</v>
      </c>
      <c r="J24" s="48">
        <f t="shared" si="3"/>
        <v>5788789032</v>
      </c>
      <c r="K24" s="48">
        <f t="shared" si="3"/>
        <v>5675478739</v>
      </c>
      <c r="L24" s="48">
        <f t="shared" si="3"/>
        <v>4894824089.333333</v>
      </c>
      <c r="M24" s="48">
        <f t="shared" si="3"/>
        <v>3957522494.6666665</v>
      </c>
      <c r="N24" s="48">
        <f t="shared" si="3"/>
        <v>3724556841.3333335</v>
      </c>
      <c r="O24" s="44">
        <f t="shared" si="1"/>
        <v>54159383498.333336</v>
      </c>
      <c r="P24" s="11">
        <f t="shared" si="2"/>
        <v>4513281958.1944447</v>
      </c>
    </row>
    <row r="25" spans="1:20">
      <c r="A25" s="43" t="s">
        <v>53</v>
      </c>
      <c r="B25" s="43" t="s">
        <v>53</v>
      </c>
      <c r="C25" s="48">
        <f t="shared" si="3"/>
        <v>41292872.333333336</v>
      </c>
      <c r="D25" s="48">
        <f t="shared" si="3"/>
        <v>41781565.666666664</v>
      </c>
      <c r="E25" s="48">
        <f t="shared" si="3"/>
        <v>44714978</v>
      </c>
      <c r="F25" s="48">
        <f t="shared" si="3"/>
        <v>42470327.666666664</v>
      </c>
      <c r="G25" s="48">
        <f t="shared" si="3"/>
        <v>42771207.333333336</v>
      </c>
      <c r="H25" s="48">
        <f t="shared" si="3"/>
        <v>42399831</v>
      </c>
      <c r="I25" s="48">
        <f t="shared" si="3"/>
        <v>40806162.666666664</v>
      </c>
      <c r="J25" s="48">
        <f t="shared" si="3"/>
        <v>45165090.333333336</v>
      </c>
      <c r="K25" s="48">
        <f t="shared" si="3"/>
        <v>43214015</v>
      </c>
      <c r="L25" s="48">
        <f t="shared" si="3"/>
        <v>39065498.333333336</v>
      </c>
      <c r="M25" s="48">
        <f t="shared" si="3"/>
        <v>44415900.666666664</v>
      </c>
      <c r="N25" s="48">
        <f t="shared" si="3"/>
        <v>44756490.333333336</v>
      </c>
      <c r="O25" s="44">
        <f t="shared" si="1"/>
        <v>512853939.33333331</v>
      </c>
      <c r="P25" s="11">
        <f t="shared" si="2"/>
        <v>42737828.277777776</v>
      </c>
    </row>
    <row r="26" spans="1:20">
      <c r="A26" s="43" t="s">
        <v>55</v>
      </c>
      <c r="B26" s="43" t="s">
        <v>55</v>
      </c>
      <c r="C26" s="48">
        <f t="shared" si="3"/>
        <v>2609654</v>
      </c>
      <c r="D26" s="48">
        <f t="shared" si="3"/>
        <v>2612675</v>
      </c>
      <c r="E26" s="48">
        <f t="shared" si="3"/>
        <v>2617567</v>
      </c>
      <c r="F26" s="48">
        <f t="shared" si="3"/>
        <v>2618703</v>
      </c>
      <c r="G26" s="48">
        <f t="shared" si="3"/>
        <v>2610046</v>
      </c>
      <c r="H26" s="48">
        <f t="shared" si="3"/>
        <v>2501523</v>
      </c>
      <c r="I26" s="48">
        <f t="shared" si="3"/>
        <v>2605854</v>
      </c>
      <c r="J26" s="48">
        <f t="shared" si="3"/>
        <v>2611299</v>
      </c>
      <c r="K26" s="48">
        <f t="shared" si="3"/>
        <v>2517623.6666666665</v>
      </c>
      <c r="L26" s="48">
        <f t="shared" si="3"/>
        <v>2605982</v>
      </c>
      <c r="M26" s="48">
        <f t="shared" si="3"/>
        <v>2594345.3333333335</v>
      </c>
      <c r="N26" s="48">
        <f t="shared" si="3"/>
        <v>2614916.6666666665</v>
      </c>
      <c r="O26" s="44">
        <f t="shared" si="1"/>
        <v>31120188.666666668</v>
      </c>
      <c r="P26" s="11">
        <f t="shared" si="2"/>
        <v>2593349.0555555555</v>
      </c>
    </row>
    <row r="27" spans="1:20">
      <c r="A27" s="43" t="s">
        <v>87</v>
      </c>
      <c r="B27" s="43" t="s">
        <v>87</v>
      </c>
      <c r="C27" s="48">
        <f t="shared" si="3"/>
        <v>402211</v>
      </c>
      <c r="D27" s="48">
        <f t="shared" si="3"/>
        <v>542559.66666666663</v>
      </c>
      <c r="E27" s="48">
        <f t="shared" si="3"/>
        <v>1733168</v>
      </c>
      <c r="F27" s="48">
        <f t="shared" si="3"/>
        <v>1039908.3333333334</v>
      </c>
      <c r="G27" s="48">
        <f t="shared" si="3"/>
        <v>1335911</v>
      </c>
      <c r="H27" s="48">
        <f t="shared" si="3"/>
        <v>939509.66666666663</v>
      </c>
      <c r="I27" s="48">
        <f t="shared" si="3"/>
        <v>1227258.6666666667</v>
      </c>
      <c r="J27" s="48">
        <f t="shared" si="3"/>
        <v>1412691.3333333333</v>
      </c>
      <c r="K27" s="48">
        <f t="shared" si="3"/>
        <v>1206733.3333333333</v>
      </c>
      <c r="L27" s="48">
        <f t="shared" si="3"/>
        <v>989023.33333333337</v>
      </c>
      <c r="M27" s="48">
        <f t="shared" si="3"/>
        <v>367636.66666666669</v>
      </c>
      <c r="N27" s="48">
        <f t="shared" si="3"/>
        <v>669246</v>
      </c>
      <c r="O27" s="44">
        <f t="shared" si="1"/>
        <v>11865857.000000002</v>
      </c>
      <c r="P27" s="11">
        <f t="shared" si="2"/>
        <v>988821.41666666686</v>
      </c>
    </row>
    <row r="28" spans="1:20">
      <c r="A28" s="43" t="s">
        <v>88</v>
      </c>
      <c r="B28" s="43" t="s">
        <v>88</v>
      </c>
      <c r="C28" s="48">
        <f t="shared" si="3"/>
        <v>5667907.333333333</v>
      </c>
      <c r="D28" s="48">
        <f t="shared" si="3"/>
        <v>5158419.666666667</v>
      </c>
      <c r="E28" s="48">
        <f t="shared" si="3"/>
        <v>5087561.666666667</v>
      </c>
      <c r="F28" s="48">
        <f t="shared" si="3"/>
        <v>7312525.333333333</v>
      </c>
      <c r="G28" s="48">
        <f t="shared" si="3"/>
        <v>7094717.666666667</v>
      </c>
      <c r="H28" s="48">
        <f t="shared" si="3"/>
        <v>5037210.333333333</v>
      </c>
      <c r="I28" s="48">
        <f t="shared" si="3"/>
        <v>4698935.333333333</v>
      </c>
      <c r="J28" s="48">
        <f t="shared" si="3"/>
        <v>5513644</v>
      </c>
      <c r="K28" s="48">
        <f t="shared" si="3"/>
        <v>7676244.666666667</v>
      </c>
      <c r="L28" s="48">
        <f t="shared" si="3"/>
        <v>10384029.666666666</v>
      </c>
      <c r="M28" s="48">
        <f t="shared" si="3"/>
        <v>5862043</v>
      </c>
      <c r="N28" s="48">
        <f t="shared" si="3"/>
        <v>5337671.333333333</v>
      </c>
      <c r="O28" s="44">
        <f t="shared" si="1"/>
        <v>74830909.999999985</v>
      </c>
      <c r="P28" s="11">
        <f t="shared" si="2"/>
        <v>6235909.1666666651</v>
      </c>
    </row>
    <row r="29" spans="1:20">
      <c r="C29" s="48"/>
      <c r="D29" s="48"/>
      <c r="E29" s="48"/>
      <c r="F29" s="48"/>
      <c r="G29" s="48"/>
      <c r="H29" s="48"/>
      <c r="I29" s="48"/>
      <c r="J29" s="48"/>
      <c r="K29" s="48"/>
      <c r="L29" s="48"/>
      <c r="M29" s="48"/>
      <c r="N29" s="48"/>
      <c r="O29" s="44"/>
      <c r="P29" s="11"/>
    </row>
    <row r="30" spans="1:20">
      <c r="C30" s="48"/>
      <c r="D30" s="48"/>
      <c r="E30" s="48"/>
      <c r="F30" s="48"/>
      <c r="G30" s="48"/>
      <c r="H30" s="48"/>
      <c r="I30" s="48"/>
      <c r="J30" s="48"/>
      <c r="K30" s="48"/>
      <c r="L30" s="48"/>
      <c r="M30" s="48"/>
      <c r="N30" s="48"/>
      <c r="O30" s="44"/>
      <c r="P30" s="11"/>
    </row>
    <row r="31" spans="1:20">
      <c r="B31" s="42" t="s">
        <v>86</v>
      </c>
      <c r="C31" s="10"/>
      <c r="D31" s="10"/>
      <c r="E31" s="10"/>
      <c r="F31" s="10"/>
      <c r="G31" s="10"/>
      <c r="H31" s="10"/>
      <c r="I31" s="10"/>
      <c r="J31" s="10"/>
      <c r="K31" s="10"/>
      <c r="L31" s="10"/>
      <c r="M31" s="10"/>
      <c r="N31" s="10"/>
    </row>
    <row r="32" spans="1:20">
      <c r="A32" t="s">
        <v>603</v>
      </c>
      <c r="B32" t="s">
        <v>603</v>
      </c>
      <c r="C32" s="48">
        <f>AVERAGE(VLOOKUP($B32,$B$85:$N$109,C$9,FALSE),VLOOKUP($B32,$B$120:$N$146,C$9,FALSE))</f>
        <v>3294598.5</v>
      </c>
      <c r="D32" s="48">
        <f>AVERAGE(VLOOKUP($B32,$B$85:$N$109,D$9,FALSE),VLOOKUP($B32,$B$120:$N$146,D$9,FALSE))</f>
        <v>2654782.5</v>
      </c>
      <c r="E32" s="48">
        <f>AVERAGE(VLOOKUP($B32,$B$85:$N$109,E$9,FALSE),VLOOKUP($B32,$B$120:$N$146,E$9,FALSE))</f>
        <v>2817248</v>
      </c>
      <c r="F32" s="48">
        <f>AVERAGE(VLOOKUP($B32,$B$85:$N$109,F$9,FALSE),VLOOKUP($B32,$B$120:$N$146,F$9,FALSE))</f>
        <v>2711259</v>
      </c>
      <c r="G32" s="48">
        <f t="shared" ref="G32:N34" si="4">AVERAGE(VLOOKUP($B32,$B$49:$P$74,G$9,FALSE),VLOOKUP($B32,$B$85:$N$109,G$9,FALSE),VLOOKUP($B32,$B$120:$N$146,G$9,FALSE))</f>
        <v>3310263.6666666665</v>
      </c>
      <c r="H32" s="48">
        <f t="shared" si="4"/>
        <v>3695046.3333333335</v>
      </c>
      <c r="I32" s="48">
        <f t="shared" si="4"/>
        <v>3914312.6666666665</v>
      </c>
      <c r="J32" s="48">
        <f t="shared" si="4"/>
        <v>3958081</v>
      </c>
      <c r="K32" s="48">
        <f t="shared" si="4"/>
        <v>3538837</v>
      </c>
      <c r="L32" s="48">
        <f t="shared" si="4"/>
        <v>2969199.3333333335</v>
      </c>
      <c r="M32" s="48">
        <f t="shared" si="4"/>
        <v>2748514</v>
      </c>
      <c r="N32" s="48">
        <f t="shared" si="4"/>
        <v>2954986.6666666665</v>
      </c>
      <c r="O32" s="44">
        <f t="shared" ref="O32:O38" si="5">SUM(C32:N32)</f>
        <v>38567128.666666664</v>
      </c>
      <c r="P32" s="11">
        <f t="shared" ref="P32:P38" si="6">+O32/12</f>
        <v>3213927.3888888885</v>
      </c>
    </row>
    <row r="33" spans="1:16">
      <c r="A33" t="s">
        <v>983</v>
      </c>
      <c r="B33" t="s">
        <v>983</v>
      </c>
      <c r="C33" s="48">
        <f t="shared" ref="C33:F34" si="7">AVERAGE(VLOOKUP($B33,$B$49:$P$74,C$9,FALSE),VLOOKUP($B33,$B$85:$N$109,C$9,FALSE),VLOOKUP($B33,$B$120:$N$146,C$9,FALSE))</f>
        <v>53295305.333333336</v>
      </c>
      <c r="D33" s="48">
        <f t="shared" si="7"/>
        <v>52706849.333333336</v>
      </c>
      <c r="E33" s="48">
        <f t="shared" si="7"/>
        <v>57198364.333333336</v>
      </c>
      <c r="F33" s="48">
        <f t="shared" si="7"/>
        <v>60767172.666666664</v>
      </c>
      <c r="G33" s="48">
        <f t="shared" si="4"/>
        <v>66444631</v>
      </c>
      <c r="H33" s="48">
        <f t="shared" si="4"/>
        <v>71370090.666666672</v>
      </c>
      <c r="I33" s="48">
        <f t="shared" si="4"/>
        <v>79070950</v>
      </c>
      <c r="J33" s="48">
        <f t="shared" si="4"/>
        <v>80221915.666666672</v>
      </c>
      <c r="K33" s="48">
        <f t="shared" si="4"/>
        <v>67951175.333333328</v>
      </c>
      <c r="L33" s="48">
        <f t="shared" si="4"/>
        <v>64123981.333333336</v>
      </c>
      <c r="M33" s="48">
        <f t="shared" si="4"/>
        <v>50518354</v>
      </c>
      <c r="N33" s="48">
        <f t="shared" si="4"/>
        <v>54989853.666666664</v>
      </c>
      <c r="O33" s="44">
        <f t="shared" si="5"/>
        <v>758658643.33333337</v>
      </c>
      <c r="P33" s="11">
        <f t="shared" si="6"/>
        <v>63221553.611111112</v>
      </c>
    </row>
    <row r="34" spans="1:16">
      <c r="A34" t="s">
        <v>984</v>
      </c>
      <c r="B34" t="s">
        <v>984</v>
      </c>
      <c r="C34" s="48">
        <f t="shared" si="7"/>
        <v>161008492.33333334</v>
      </c>
      <c r="D34" s="48">
        <f t="shared" si="7"/>
        <v>143621911</v>
      </c>
      <c r="E34" s="48">
        <f t="shared" si="7"/>
        <v>156292899.33333334</v>
      </c>
      <c r="F34" s="48">
        <f t="shared" si="7"/>
        <v>165940982.33333334</v>
      </c>
      <c r="G34" s="48">
        <f t="shared" si="4"/>
        <v>185627778.66666666</v>
      </c>
      <c r="H34" s="48">
        <f t="shared" si="4"/>
        <v>188692266.33333334</v>
      </c>
      <c r="I34" s="48">
        <f t="shared" si="4"/>
        <v>201609608</v>
      </c>
      <c r="J34" s="48">
        <f t="shared" si="4"/>
        <v>212677903.33333334</v>
      </c>
      <c r="K34" s="48">
        <f t="shared" si="4"/>
        <v>182750127.33333334</v>
      </c>
      <c r="L34" s="48">
        <f t="shared" si="4"/>
        <v>176607408</v>
      </c>
      <c r="M34" s="48">
        <f t="shared" si="4"/>
        <v>144419361.66666666</v>
      </c>
      <c r="N34" s="48">
        <f t="shared" si="4"/>
        <v>153797090</v>
      </c>
      <c r="O34" s="44">
        <f t="shared" si="5"/>
        <v>2073045828.3333333</v>
      </c>
      <c r="P34" s="11">
        <f t="shared" si="6"/>
        <v>172753819.02777776</v>
      </c>
    </row>
    <row r="35" spans="1:16">
      <c r="A35" t="s">
        <v>985</v>
      </c>
      <c r="B35" t="s">
        <v>985</v>
      </c>
      <c r="C35" s="48">
        <f t="shared" ref="C35:N36" si="8">AVERAGE(VLOOKUP($B35,$B$120:$N$146,C$9,FALSE))</f>
        <v>0</v>
      </c>
      <c r="D35" s="48">
        <f t="shared" si="8"/>
        <v>18643000</v>
      </c>
      <c r="E35" s="48">
        <f t="shared" si="8"/>
        <v>14860000</v>
      </c>
      <c r="F35" s="48">
        <f t="shared" si="8"/>
        <v>7200000</v>
      </c>
      <c r="G35" s="48">
        <f t="shared" si="8"/>
        <v>14775000</v>
      </c>
      <c r="H35" s="48">
        <f t="shared" si="8"/>
        <v>23090000</v>
      </c>
      <c r="I35" s="48">
        <f t="shared" si="8"/>
        <v>24630000</v>
      </c>
      <c r="J35" s="48">
        <f t="shared" si="8"/>
        <v>24970000</v>
      </c>
      <c r="K35" s="48">
        <f t="shared" si="8"/>
        <v>17900000</v>
      </c>
      <c r="L35" s="48">
        <f t="shared" si="8"/>
        <v>14585000</v>
      </c>
      <c r="M35" s="48">
        <f t="shared" si="8"/>
        <v>7190000</v>
      </c>
      <c r="N35" s="48">
        <f t="shared" si="8"/>
        <v>14375000</v>
      </c>
      <c r="O35" s="44">
        <f t="shared" si="5"/>
        <v>182218000</v>
      </c>
      <c r="P35" s="11">
        <f t="shared" si="6"/>
        <v>15184833.333333334</v>
      </c>
    </row>
    <row r="36" spans="1:16">
      <c r="A36" t="s">
        <v>691</v>
      </c>
      <c r="B36" t="s">
        <v>691</v>
      </c>
      <c r="C36" s="48">
        <f t="shared" si="8"/>
        <v>0</v>
      </c>
      <c r="D36" s="48">
        <f t="shared" si="8"/>
        <v>0</v>
      </c>
      <c r="E36" s="48">
        <f t="shared" si="8"/>
        <v>0</v>
      </c>
      <c r="F36" s="48">
        <f t="shared" si="8"/>
        <v>0</v>
      </c>
      <c r="G36" s="48">
        <f t="shared" si="8"/>
        <v>0</v>
      </c>
      <c r="H36" s="48">
        <f t="shared" si="8"/>
        <v>81900000</v>
      </c>
      <c r="I36" s="48">
        <f t="shared" si="8"/>
        <v>90850000</v>
      </c>
      <c r="J36" s="48">
        <f t="shared" si="8"/>
        <v>96050000</v>
      </c>
      <c r="K36" s="48">
        <f t="shared" si="8"/>
        <v>93375000</v>
      </c>
      <c r="L36" s="48">
        <f t="shared" si="8"/>
        <v>87075000</v>
      </c>
      <c r="M36" s="48">
        <f t="shared" si="8"/>
        <v>43795000</v>
      </c>
      <c r="N36" s="48">
        <f t="shared" si="8"/>
        <v>13575000</v>
      </c>
      <c r="O36" s="44">
        <f t="shared" si="5"/>
        <v>506620000</v>
      </c>
      <c r="P36" s="11">
        <f t="shared" si="6"/>
        <v>42218333.333333336</v>
      </c>
    </row>
    <row r="37" spans="1:16">
      <c r="A37" t="s">
        <v>724</v>
      </c>
      <c r="B37" t="s">
        <v>724</v>
      </c>
      <c r="C37" s="48">
        <f t="shared" ref="C37:N37" si="9">AVERAGE(VLOOKUP($B37,$B$49:$P$74,C$9,FALSE),VLOOKUP($B37,$B$85:$N$109,C$9,FALSE),VLOOKUP($B37,$B$120:$N$146,C$9,FALSE))</f>
        <v>4740945</v>
      </c>
      <c r="D37" s="48">
        <f t="shared" si="9"/>
        <v>4257517.666666667</v>
      </c>
      <c r="E37" s="48">
        <f t="shared" si="9"/>
        <v>4637623.666666667</v>
      </c>
      <c r="F37" s="48">
        <f t="shared" si="9"/>
        <v>4991949</v>
      </c>
      <c r="G37" s="48">
        <f t="shared" si="9"/>
        <v>5793260.333333333</v>
      </c>
      <c r="H37" s="48">
        <f t="shared" si="9"/>
        <v>5819183.666666667</v>
      </c>
      <c r="I37" s="48">
        <f t="shared" si="9"/>
        <v>6041801</v>
      </c>
      <c r="J37" s="48">
        <f t="shared" si="9"/>
        <v>6446813</v>
      </c>
      <c r="K37" s="48">
        <f t="shared" si="9"/>
        <v>5766664.666666667</v>
      </c>
      <c r="L37" s="48">
        <f t="shared" si="9"/>
        <v>5385845.666666667</v>
      </c>
      <c r="M37" s="48">
        <f t="shared" si="9"/>
        <v>4304812.333333333</v>
      </c>
      <c r="N37" s="48">
        <f t="shared" si="9"/>
        <v>4639133.666666667</v>
      </c>
      <c r="O37" s="44">
        <f t="shared" si="5"/>
        <v>62825549.666666664</v>
      </c>
      <c r="P37" s="11">
        <f t="shared" si="6"/>
        <v>5235462.472222222</v>
      </c>
    </row>
    <row r="38" spans="1:16">
      <c r="A38" t="s">
        <v>986</v>
      </c>
      <c r="B38" t="s">
        <v>986</v>
      </c>
      <c r="C38" s="48">
        <f t="shared" ref="C38:N38" si="10">AVERAGE(VLOOKUP($B38,$B$120:$N$146,C$9,FALSE))</f>
        <v>16537000</v>
      </c>
      <c r="D38" s="48">
        <f t="shared" si="10"/>
        <v>15456000</v>
      </c>
      <c r="E38" s="48">
        <f t="shared" si="10"/>
        <v>16974000</v>
      </c>
      <c r="F38" s="48">
        <f t="shared" si="10"/>
        <v>15387000</v>
      </c>
      <c r="G38" s="48">
        <f t="shared" si="10"/>
        <v>16790000</v>
      </c>
      <c r="H38" s="48">
        <f t="shared" si="10"/>
        <v>16560000</v>
      </c>
      <c r="I38" s="48">
        <f t="shared" si="10"/>
        <v>17112000</v>
      </c>
      <c r="J38" s="48">
        <f t="shared" si="10"/>
        <v>17112000</v>
      </c>
      <c r="K38" s="48">
        <f t="shared" si="10"/>
        <v>16560000</v>
      </c>
      <c r="L38" s="48">
        <f t="shared" si="10"/>
        <v>16583000</v>
      </c>
      <c r="M38" s="48">
        <f t="shared" si="10"/>
        <v>16031000</v>
      </c>
      <c r="N38" s="48">
        <f t="shared" si="10"/>
        <v>15847000</v>
      </c>
      <c r="O38" s="44">
        <f t="shared" si="5"/>
        <v>196949000</v>
      </c>
      <c r="P38" s="11">
        <f t="shared" si="6"/>
        <v>16412416.666666666</v>
      </c>
    </row>
    <row r="39" spans="1:16">
      <c r="B39" s="43"/>
    </row>
    <row r="40" spans="1:16" ht="21">
      <c r="B40" s="611" t="s">
        <v>990</v>
      </c>
      <c r="C40" s="611"/>
      <c r="D40" s="611"/>
      <c r="E40" s="611"/>
      <c r="F40" s="611"/>
      <c r="G40" s="611"/>
      <c r="H40" s="611"/>
      <c r="I40" s="611"/>
      <c r="J40" s="611"/>
      <c r="K40" s="611"/>
      <c r="L40" s="611"/>
      <c r="M40" s="611"/>
      <c r="N40" s="611"/>
      <c r="O40" s="611"/>
      <c r="P40" s="611"/>
    </row>
    <row r="41" spans="1:16" ht="17.399999999999999">
      <c r="B41" s="610" t="str">
        <f>+MANUAL!$B$5 &amp;" as Calculated by LodeStar Except as Noted"</f>
        <v>2012 as Calculated by LodeStar Except as Noted</v>
      </c>
      <c r="C41" s="610"/>
      <c r="D41" s="610"/>
      <c r="E41" s="610"/>
      <c r="F41" s="610"/>
      <c r="G41" s="610"/>
      <c r="H41" s="610"/>
      <c r="I41" s="610"/>
      <c r="J41" s="610"/>
      <c r="K41" s="610"/>
      <c r="L41" s="610"/>
      <c r="M41" s="610"/>
      <c r="N41" s="610"/>
      <c r="O41" s="610"/>
      <c r="P41" s="610"/>
    </row>
    <row r="42" spans="1:16" ht="13.8" thickBot="1">
      <c r="B42" s="300"/>
      <c r="C42" s="300"/>
      <c r="D42" s="300"/>
      <c r="E42" s="300"/>
      <c r="F42" s="300"/>
      <c r="G42" s="300"/>
      <c r="H42" s="300"/>
      <c r="I42" s="300"/>
      <c r="J42" s="300"/>
      <c r="K42" s="300"/>
      <c r="L42" s="300"/>
      <c r="M42" s="300"/>
      <c r="N42" s="300"/>
      <c r="O42" s="300"/>
      <c r="P42" s="300"/>
    </row>
    <row r="43" spans="1:16">
      <c r="C43" s="14"/>
      <c r="D43" s="15"/>
      <c r="E43" s="16"/>
      <c r="F43" s="17"/>
      <c r="G43" s="18"/>
      <c r="H43" s="19"/>
      <c r="I43" s="20"/>
      <c r="J43" s="21"/>
      <c r="K43" s="22"/>
      <c r="L43" s="23"/>
      <c r="M43" s="24"/>
      <c r="N43" s="25"/>
      <c r="O43" s="26"/>
      <c r="P43" s="27" t="s">
        <v>991</v>
      </c>
    </row>
    <row r="44" spans="1:16" ht="13.8" thickBot="1">
      <c r="C44" s="28" t="s">
        <v>70</v>
      </c>
      <c r="D44" s="29" t="s">
        <v>71</v>
      </c>
      <c r="E44" s="30" t="s">
        <v>72</v>
      </c>
      <c r="F44" s="31" t="s">
        <v>73</v>
      </c>
      <c r="G44" s="32" t="s">
        <v>74</v>
      </c>
      <c r="H44" s="33" t="s">
        <v>75</v>
      </c>
      <c r="I44" s="34" t="s">
        <v>76</v>
      </c>
      <c r="J44" s="35" t="s">
        <v>77</v>
      </c>
      <c r="K44" s="36" t="s">
        <v>78</v>
      </c>
      <c r="L44" s="37" t="s">
        <v>79</v>
      </c>
      <c r="M44" s="38" t="s">
        <v>80</v>
      </c>
      <c r="N44" s="39" t="s">
        <v>81</v>
      </c>
      <c r="O44" s="40" t="s">
        <v>60</v>
      </c>
      <c r="P44" s="41" t="s">
        <v>82</v>
      </c>
    </row>
    <row r="45" spans="1:16" hidden="1">
      <c r="C45">
        <v>4</v>
      </c>
      <c r="D45">
        <f>C45+1</f>
        <v>5</v>
      </c>
      <c r="E45">
        <f t="shared" ref="E45:N45" si="11">D45+1</f>
        <v>6</v>
      </c>
      <c r="F45">
        <f t="shared" si="11"/>
        <v>7</v>
      </c>
      <c r="G45">
        <f t="shared" si="11"/>
        <v>8</v>
      </c>
      <c r="H45">
        <f t="shared" si="11"/>
        <v>9</v>
      </c>
      <c r="I45">
        <f t="shared" si="11"/>
        <v>10</v>
      </c>
      <c r="J45">
        <f t="shared" si="11"/>
        <v>11</v>
      </c>
      <c r="K45">
        <f t="shared" si="11"/>
        <v>12</v>
      </c>
      <c r="L45">
        <f t="shared" si="11"/>
        <v>13</v>
      </c>
      <c r="M45">
        <f t="shared" si="11"/>
        <v>14</v>
      </c>
      <c r="N45">
        <f t="shared" si="11"/>
        <v>15</v>
      </c>
    </row>
    <row r="47" spans="1:16">
      <c r="B47" s="42" t="s">
        <v>83</v>
      </c>
    </row>
    <row r="48" spans="1:16">
      <c r="A48" t="s">
        <v>122</v>
      </c>
      <c r="B48" s="43" t="s">
        <v>84</v>
      </c>
      <c r="C48" s="82">
        <f>VLOOKUP($A48&amp;"KWH",'E11 - 2012 09 Final'!$A$46:$P$2419,$C$45,FALSE)</f>
        <v>239853027</v>
      </c>
      <c r="D48" s="82">
        <f>VLOOKUP($A48&amp;"KWH",'E11 - 2012 09 Final'!$A$46:$P$2419,$D$45,FALSE)</f>
        <v>221510912</v>
      </c>
      <c r="E48" s="82">
        <f>VLOOKUP($A48&amp;"KWH",'E11 - 2012 09 Final'!$A$46:$P$2419,$E$45,FALSE)</f>
        <v>231465244</v>
      </c>
      <c r="F48" s="82">
        <f>VLOOKUP($A48&amp;"KWH",'E11 - 2012 09 Final'!$A$46:$P$2419,$F$45,FALSE)</f>
        <v>239895103</v>
      </c>
      <c r="G48" s="82">
        <f>VLOOKUP($A48&amp;"KWH",'E11 - 2012 09 Final'!$A$46:$P$2419,$G$45,FALSE)</f>
        <v>235822650</v>
      </c>
      <c r="H48" s="82">
        <f>VLOOKUP($A48&amp;"KWH",'E11 - 2012 09 Final'!$A$46:$P$2419,$H$45,FALSE)</f>
        <v>251627300</v>
      </c>
      <c r="I48" s="82">
        <f>VLOOKUP($A48&amp;"KWH",'E11 - 2012 09 Final'!$A$46:$P$2419,$I$45,FALSE)</f>
        <v>253028204</v>
      </c>
      <c r="J48" s="82">
        <f>VLOOKUP($A48&amp;"KWH",'E11 - 2012 09 Final'!$A$46:$P$2419,$J$45,FALSE)</f>
        <v>253954652</v>
      </c>
      <c r="K48" s="82">
        <f>VLOOKUP($A48&amp;"KWH",'E11 - 2012 09 Final'!$A$46:$P$2419,$K$45,FALSE)</f>
        <v>251873684</v>
      </c>
      <c r="L48" s="82">
        <f>VLOOKUP($A48&amp;"KWH",'E11 - 2012 09 Final'!$A$46:$P$2419,$L$45,FALSE)</f>
        <v>246996400</v>
      </c>
      <c r="M48" s="82">
        <f>VLOOKUP($A48&amp;"KWH",'E11 - 2012 09 Final'!$A$46:$P$2419,$M$45,FALSE)</f>
        <v>229184830</v>
      </c>
      <c r="N48" s="82">
        <f>VLOOKUP($A48&amp;"KWH",'E11 - 2012 09 Final'!$A$46:$P$2419,$N$45,FALSE)</f>
        <v>228387595</v>
      </c>
      <c r="O48" s="44">
        <f t="shared" ref="O48:O64" si="12">SUM(C48:N48)</f>
        <v>2883599601</v>
      </c>
      <c r="P48" s="11">
        <f t="shared" ref="P48:P64" si="13">+O48/12</f>
        <v>240299966.75</v>
      </c>
    </row>
    <row r="49" spans="1:16">
      <c r="A49" t="s">
        <v>177</v>
      </c>
      <c r="B49" s="43" t="s">
        <v>85</v>
      </c>
      <c r="C49" s="82">
        <f>VLOOKUP($A49&amp;"KWH",'E11 - 2012 09 Final'!$A$46:$P$2419,$C$45,FALSE)</f>
        <v>15961053</v>
      </c>
      <c r="D49" s="82">
        <f>VLOOKUP($A49&amp;"KWH",'E11 - 2012 09 Final'!$A$46:$P$2419,$D$45,FALSE)</f>
        <v>14296128</v>
      </c>
      <c r="E49" s="82">
        <f>VLOOKUP($A49&amp;"KWH",'E11 - 2012 09 Final'!$A$46:$P$2419,$E$45,FALSE)</f>
        <v>14504413</v>
      </c>
      <c r="F49" s="82">
        <f>VLOOKUP($A49&amp;"KWH",'E11 - 2012 09 Final'!$A$46:$P$2419,$F$45,FALSE)</f>
        <v>15499880</v>
      </c>
      <c r="G49" s="82">
        <f>VLOOKUP($A49&amp;"KWH",'E11 - 2012 09 Final'!$A$46:$P$2419,$G$45,FALSE)</f>
        <v>15360694</v>
      </c>
      <c r="H49" s="82">
        <f>VLOOKUP($A49&amp;"KWH",'E11 - 2012 09 Final'!$A$46:$P$2419,$H$45,FALSE)</f>
        <v>16352528</v>
      </c>
      <c r="I49" s="82">
        <f>VLOOKUP($A49&amp;"KWH",'E11 - 2012 09 Final'!$A$46:$P$2419,$I$45,FALSE)</f>
        <v>16354076</v>
      </c>
      <c r="J49" s="82">
        <f>VLOOKUP($A49&amp;"KWH",'E11 - 2012 09 Final'!$A$46:$P$2419,$J$45,FALSE)</f>
        <v>16691424</v>
      </c>
      <c r="K49" s="82">
        <f>VLOOKUP($A49&amp;"KWH",'E11 - 2012 09 Final'!$A$46:$P$2419,$K$45,FALSE)</f>
        <v>16496283</v>
      </c>
      <c r="L49" s="82">
        <f>VLOOKUP($A49&amp;"KWH",'E11 - 2012 09 Final'!$A$46:$P$2419,$L$45,FALSE)</f>
        <v>16236782</v>
      </c>
      <c r="M49" s="82">
        <f>VLOOKUP($A49&amp;"KWH",'E11 - 2012 09 Final'!$A$46:$P$2419,$M$45,FALSE)</f>
        <v>15190829</v>
      </c>
      <c r="N49" s="82">
        <f>VLOOKUP($A49&amp;"KWH",'E11 - 2012 09 Final'!$A$46:$P$2419,$N$45,FALSE)</f>
        <v>14910803</v>
      </c>
      <c r="O49" s="44">
        <f t="shared" si="12"/>
        <v>187854893</v>
      </c>
      <c r="P49" s="11">
        <f t="shared" si="13"/>
        <v>15654574.416666666</v>
      </c>
    </row>
    <row r="50" spans="1:16">
      <c r="A50" t="s">
        <v>185</v>
      </c>
      <c r="B50" s="43" t="s">
        <v>50</v>
      </c>
      <c r="C50" s="82">
        <f>VLOOKUP($A50&amp;"KWH",'E11 - 2012 09 Final'!$A$46:$P$2419,$C$45,FALSE)</f>
        <v>120157275</v>
      </c>
      <c r="D50" s="82">
        <f>VLOOKUP($A50&amp;"KWH",'E11 - 2012 09 Final'!$A$46:$P$2419,$D$45,FALSE)</f>
        <v>93335490</v>
      </c>
      <c r="E50" s="82">
        <f>VLOOKUP($A50&amp;"KWH",'E11 - 2012 09 Final'!$A$46:$P$2419,$E$45,FALSE)</f>
        <v>111625386</v>
      </c>
      <c r="F50" s="82">
        <f>VLOOKUP($A50&amp;"KWH",'E11 - 2012 09 Final'!$A$46:$P$2419,$F$45,FALSE)</f>
        <v>103051052</v>
      </c>
      <c r="G50" s="82">
        <f>VLOOKUP($A50&amp;"KWH",'E11 - 2012 09 Final'!$A$46:$P$2419,$G$45,FALSE)</f>
        <v>119321764</v>
      </c>
      <c r="H50" s="82">
        <f>VLOOKUP($A50&amp;"KWH",'E11 - 2012 09 Final'!$A$46:$P$2419,$H$45,FALSE)</f>
        <v>112494740</v>
      </c>
      <c r="I50" s="82">
        <f>VLOOKUP($A50&amp;"KWH",'E11 - 2012 09 Final'!$A$46:$P$2419,$I$45,FALSE)</f>
        <v>119890037</v>
      </c>
      <c r="J50" s="82">
        <f>VLOOKUP($A50&amp;"KWH",'E11 - 2012 09 Final'!$A$46:$P$2419,$J$45,FALSE)</f>
        <v>115386094</v>
      </c>
      <c r="K50" s="82">
        <f>VLOOKUP($A50&amp;"KWH",'E11 - 2012 09 Final'!$A$46:$P$2419,$K$45,FALSE)</f>
        <v>115265036</v>
      </c>
      <c r="L50" s="82">
        <f>VLOOKUP($A50&amp;"KWH",'E11 - 2012 09 Final'!$A$46:$P$2419,$L$45,FALSE)</f>
        <v>123963255</v>
      </c>
      <c r="M50" s="82">
        <f>VLOOKUP($A50&amp;"KWH",'E11 - 2012 09 Final'!$A$46:$P$2419,$M$45,FALSE)</f>
        <v>104622727</v>
      </c>
      <c r="N50" s="82">
        <f>VLOOKUP($A50&amp;"KWH",'E11 - 2012 09 Final'!$A$46:$P$2419,$N$45,FALSE)</f>
        <v>107059964</v>
      </c>
      <c r="O50" s="44">
        <f t="shared" si="12"/>
        <v>1346172820</v>
      </c>
      <c r="P50" s="11">
        <f t="shared" si="13"/>
        <v>112181068.33333333</v>
      </c>
    </row>
    <row r="51" spans="1:16">
      <c r="A51" t="s">
        <v>941</v>
      </c>
      <c r="B51" s="43" t="s">
        <v>49</v>
      </c>
      <c r="C51" s="82">
        <f>VLOOKUP($A51&amp;"KWH",'E11 - 2012 09 Final'!$A$46:$P$2419,$C$45,FALSE)</f>
        <v>442996535</v>
      </c>
      <c r="D51" s="82">
        <f>VLOOKUP($A51&amp;"KWH",'E11 - 2012 09 Final'!$A$46:$P$2419,$D$45,FALSE)</f>
        <v>406558049</v>
      </c>
      <c r="E51" s="82">
        <f>VLOOKUP($A51&amp;"KWH",'E11 - 2012 09 Final'!$A$46:$P$2419,$E$45,FALSE)</f>
        <v>439720773</v>
      </c>
      <c r="F51" s="82">
        <f>VLOOKUP($A51&amp;"KWH",'E11 - 2012 09 Final'!$A$46:$P$2419,$F$45,FALSE)</f>
        <v>471223095</v>
      </c>
      <c r="G51" s="82">
        <f>VLOOKUP($A51&amp;"KWH",'E11 - 2012 09 Final'!$A$46:$P$2419,$G$45,FALSE)</f>
        <v>473402825</v>
      </c>
      <c r="H51" s="82">
        <f>VLOOKUP($A51&amp;"KWH",'E11 - 2012 09 Final'!$A$46:$P$2419,$H$45,FALSE)</f>
        <v>533320673</v>
      </c>
      <c r="I51" s="82">
        <f>VLOOKUP($A51&amp;"KWH",'E11 - 2012 09 Final'!$A$46:$P$2419,$I$45,FALSE)</f>
        <v>544013658</v>
      </c>
      <c r="J51" s="82">
        <f>VLOOKUP($A51&amp;"KWH",'E11 - 2012 09 Final'!$A$46:$P$2419,$J$45,FALSE)</f>
        <v>560524830</v>
      </c>
      <c r="K51" s="82">
        <f>VLOOKUP($A51&amp;"KWH",'E11 - 2012 09 Final'!$A$46:$P$2419,$K$45,FALSE)</f>
        <v>540643364</v>
      </c>
      <c r="L51" s="82">
        <f>VLOOKUP($A51&amp;"KWH",'E11 - 2012 09 Final'!$A$46:$P$2419,$L$45,FALSE)</f>
        <v>516395119</v>
      </c>
      <c r="M51" s="82">
        <f>VLOOKUP($A51&amp;"KWH",'E11 - 2012 09 Final'!$A$46:$P$2419,$M$45,FALSE)</f>
        <v>443218764</v>
      </c>
      <c r="N51" s="82">
        <f>VLOOKUP($A51&amp;"KWH",'E11 - 2012 09 Final'!$A$46:$P$2419,$N$45,FALSE)</f>
        <v>422861805</v>
      </c>
      <c r="O51" s="44">
        <f t="shared" si="12"/>
        <v>5794879490</v>
      </c>
      <c r="P51" s="11">
        <f t="shared" si="13"/>
        <v>482906624.16666669</v>
      </c>
    </row>
    <row r="52" spans="1:16">
      <c r="A52" t="s">
        <v>944</v>
      </c>
      <c r="B52" s="46" t="s">
        <v>325</v>
      </c>
      <c r="C52" s="82">
        <f>VLOOKUP($A52&amp;"KWH",'E11 - 2012 09 Final'!$A$46:$P$2419,$C$45,FALSE)</f>
        <v>2712462</v>
      </c>
      <c r="D52" s="82">
        <f>VLOOKUP($A52&amp;"KWH",'E11 - 2012 09 Final'!$A$46:$P$2419,$D$45,FALSE)</f>
        <v>2380979</v>
      </c>
      <c r="E52" s="82">
        <f>VLOOKUP($A52&amp;"KWH",'E11 - 2012 09 Final'!$A$46:$P$2419,$E$45,FALSE)</f>
        <v>2417152</v>
      </c>
      <c r="F52" s="82">
        <f>VLOOKUP($A52&amp;"KWH",'E11 - 2012 09 Final'!$A$46:$P$2419,$F$45,FALSE)</f>
        <v>2443598</v>
      </c>
      <c r="G52" s="82">
        <f>VLOOKUP($A52&amp;"KWH",'E11 - 2012 09 Final'!$A$46:$P$2419,$G$45,FALSE)</f>
        <v>2379805</v>
      </c>
      <c r="H52" s="82">
        <f>VLOOKUP($A52&amp;"KWH",'E11 - 2012 09 Final'!$A$46:$P$2419,$H$45,FALSE)</f>
        <v>2439863</v>
      </c>
      <c r="I52" s="82">
        <f>VLOOKUP($A52&amp;"KWH",'E11 - 2012 09 Final'!$A$46:$P$2419,$I$45,FALSE)</f>
        <v>2335971</v>
      </c>
      <c r="J52" s="82">
        <f>VLOOKUP($A52&amp;"KWH",'E11 - 2012 09 Final'!$A$46:$P$2419,$J$45,FALSE)</f>
        <v>2288478</v>
      </c>
      <c r="K52" s="82">
        <f>VLOOKUP($A52&amp;"KWH",'E11 - 2012 09 Final'!$A$46:$P$2419,$K$45,FALSE)</f>
        <v>2223990</v>
      </c>
      <c r="L52" s="82">
        <f>VLOOKUP($A52&amp;"KWH",'E11 - 2012 09 Final'!$A$46:$P$2419,$L$45,FALSE)</f>
        <v>2183929</v>
      </c>
      <c r="M52" s="82">
        <f>VLOOKUP($A52&amp;"KWH",'E11 - 2012 09 Final'!$A$46:$P$2419,$M$45,FALSE)</f>
        <v>2138289</v>
      </c>
      <c r="N52" s="82">
        <f>VLOOKUP($A52&amp;"KWH",'E11 - 2012 09 Final'!$A$46:$P$2419,$N$45,FALSE)</f>
        <v>2151248</v>
      </c>
      <c r="O52" s="44">
        <f t="shared" si="12"/>
        <v>28095764</v>
      </c>
      <c r="P52" s="11">
        <f t="shared" si="13"/>
        <v>2341313.6666666665</v>
      </c>
    </row>
    <row r="53" spans="1:16">
      <c r="A53" t="s">
        <v>994</v>
      </c>
      <c r="B53" s="43" t="s">
        <v>67</v>
      </c>
      <c r="C53" s="82">
        <f>VLOOKUP($A53&amp;"KWH",'E11 - 2012 09 Final'!$A$46:$P$2419,$C$45,FALSE)</f>
        <v>1924054108</v>
      </c>
      <c r="D53" s="82">
        <f>VLOOKUP($A53&amp;"KWH",'E11 - 2012 09 Final'!$A$46:$P$2419,$D$45,FALSE)</f>
        <v>1770327580</v>
      </c>
      <c r="E53" s="82">
        <f>VLOOKUP($A53&amp;"KWH",'E11 - 2012 09 Final'!$A$46:$P$2419,$E$45,FALSE)</f>
        <v>1889449337</v>
      </c>
      <c r="F53" s="82">
        <f>VLOOKUP($A53&amp;"KWH",'E11 - 2012 09 Final'!$A$46:$P$2419,$F$45,FALSE)</f>
        <v>1993569086</v>
      </c>
      <c r="G53" s="82">
        <f>VLOOKUP($A53&amp;"KWH",'E11 - 2012 09 Final'!$A$46:$P$2419,$G$45,FALSE)</f>
        <v>2000839356</v>
      </c>
      <c r="H53" s="82">
        <f>VLOOKUP($A53&amp;"KWH",'E11 - 2012 09 Final'!$A$46:$P$2419,$H$45,FALSE)</f>
        <v>2215933425</v>
      </c>
      <c r="I53" s="82">
        <f>VLOOKUP($A53&amp;"KWH",'E11 - 2012 09 Final'!$A$46:$P$2419,$I$45,FALSE)</f>
        <v>2246815097</v>
      </c>
      <c r="J53" s="82">
        <f>VLOOKUP($A53&amp;"KWH",'E11 - 2012 09 Final'!$A$46:$P$2419,$J$45,FALSE)</f>
        <v>2283347585</v>
      </c>
      <c r="K53" s="82">
        <f>VLOOKUP($A53&amp;"KWH",'E11 - 2012 09 Final'!$A$46:$P$2419,$K$45,FALSE)</f>
        <v>2264143538</v>
      </c>
      <c r="L53" s="82">
        <f>VLOOKUP($A53&amp;"KWH",'E11 - 2012 09 Final'!$A$46:$P$2419,$L$45,FALSE)</f>
        <v>2194203414</v>
      </c>
      <c r="M53" s="82">
        <f>VLOOKUP($A53&amp;"KWH",'E11 - 2012 09 Final'!$A$46:$P$2419,$M$45,FALSE)</f>
        <v>1929618719</v>
      </c>
      <c r="N53" s="82">
        <f>VLOOKUP($A53&amp;"KWH",'E11 - 2012 09 Final'!$A$46:$P$2419,$N$45,FALSE)</f>
        <v>1862000094</v>
      </c>
      <c r="O53" s="44">
        <f t="shared" si="12"/>
        <v>24574301339</v>
      </c>
      <c r="P53" s="11">
        <f t="shared" si="13"/>
        <v>2047858444.9166667</v>
      </c>
    </row>
    <row r="54" spans="1:16">
      <c r="A54" t="s">
        <v>997</v>
      </c>
      <c r="B54" s="43" t="s">
        <v>68</v>
      </c>
      <c r="C54" s="82">
        <f>VLOOKUP($A54&amp;"KWH",'E11 - 2012 09 Final'!$A$46:$P$2419,$C$45,FALSE)</f>
        <v>828796952</v>
      </c>
      <c r="D54" s="82">
        <f>VLOOKUP($A54&amp;"KWH",'E11 - 2012 09 Final'!$A$46:$P$2419,$D$45,FALSE)</f>
        <v>783226217</v>
      </c>
      <c r="E54" s="82">
        <f>VLOOKUP($A54&amp;"KWH",'E11 - 2012 09 Final'!$A$46:$P$2419,$E$45,FALSE)</f>
        <v>814454027</v>
      </c>
      <c r="F54" s="82">
        <f>VLOOKUP($A54&amp;"KWH",'E11 - 2012 09 Final'!$A$46:$P$2419,$F$45,FALSE)</f>
        <v>853018446</v>
      </c>
      <c r="G54" s="82">
        <f>VLOOKUP($A54&amp;"KWH",'E11 - 2012 09 Final'!$A$46:$P$2419,$G$45,FALSE)</f>
        <v>890579029</v>
      </c>
      <c r="H54" s="82">
        <f>VLOOKUP($A54&amp;"KWH",'E11 - 2012 09 Final'!$A$46:$P$2419,$H$45,FALSE)</f>
        <v>936367206</v>
      </c>
      <c r="I54" s="82">
        <f>VLOOKUP($A54&amp;"KWH",'E11 - 2012 09 Final'!$A$46:$P$2419,$I$45,FALSE)</f>
        <v>956532603</v>
      </c>
      <c r="J54" s="82">
        <f>VLOOKUP($A54&amp;"KWH",'E11 - 2012 09 Final'!$A$46:$P$2419,$J$45,FALSE)</f>
        <v>953756918</v>
      </c>
      <c r="K54" s="82">
        <f>VLOOKUP($A54&amp;"KWH",'E11 - 2012 09 Final'!$A$46:$P$2419,$K$45,FALSE)</f>
        <v>958249658</v>
      </c>
      <c r="L54" s="82">
        <f>VLOOKUP($A54&amp;"KWH",'E11 - 2012 09 Final'!$A$46:$P$2419,$L$45,FALSE)</f>
        <v>1000828928</v>
      </c>
      <c r="M54" s="82">
        <f>VLOOKUP($A54&amp;"KWH",'E11 - 2012 09 Final'!$A$46:$P$2419,$M$45,FALSE)</f>
        <v>823634345</v>
      </c>
      <c r="N54" s="82">
        <f>VLOOKUP($A54&amp;"KWH",'E11 - 2012 09 Final'!$A$46:$P$2419,$N$45,FALSE)</f>
        <v>805201580</v>
      </c>
      <c r="O54" s="44">
        <f t="shared" si="12"/>
        <v>10604645909</v>
      </c>
      <c r="P54" s="11">
        <f t="shared" si="13"/>
        <v>883720492.41666663</v>
      </c>
    </row>
    <row r="55" spans="1:16">
      <c r="A55" t="s">
        <v>713</v>
      </c>
      <c r="B55" s="43" t="s">
        <v>69</v>
      </c>
      <c r="C55" s="82">
        <f>VLOOKUP($A55&amp;"KWH",'E11 - 2012 09 Final'!$A$46:$P$2419,$C$45,FALSE)</f>
        <v>194629182</v>
      </c>
      <c r="D55" s="82">
        <f>VLOOKUP($A55&amp;"KWH",'E11 - 2012 09 Final'!$A$46:$P$2419,$D$45,FALSE)</f>
        <v>183181351</v>
      </c>
      <c r="E55" s="82">
        <f>VLOOKUP($A55&amp;"KWH",'E11 - 2012 09 Final'!$A$46:$P$2419,$E$45,FALSE)</f>
        <v>194348539</v>
      </c>
      <c r="F55" s="82">
        <f>VLOOKUP($A55&amp;"KWH",'E11 - 2012 09 Final'!$A$46:$P$2419,$F$45,FALSE)</f>
        <v>197324479</v>
      </c>
      <c r="G55" s="82">
        <f>VLOOKUP($A55&amp;"KWH",'E11 - 2012 09 Final'!$A$46:$P$2419,$G$45,FALSE)</f>
        <v>200784776</v>
      </c>
      <c r="H55" s="82">
        <f>VLOOKUP($A55&amp;"KWH",'E11 - 2012 09 Final'!$A$46:$P$2419,$H$45,FALSE)</f>
        <v>220576853</v>
      </c>
      <c r="I55" s="82">
        <f>VLOOKUP($A55&amp;"KWH",'E11 - 2012 09 Final'!$A$46:$P$2419,$I$45,FALSE)</f>
        <v>218326169</v>
      </c>
      <c r="J55" s="82">
        <f>VLOOKUP($A55&amp;"KWH",'E11 - 2012 09 Final'!$A$46:$P$2419,$J$45,FALSE)</f>
        <v>223937859</v>
      </c>
      <c r="K55" s="82">
        <f>VLOOKUP($A55&amp;"KWH",'E11 - 2012 09 Final'!$A$46:$P$2419,$K$45,FALSE)</f>
        <v>220025826</v>
      </c>
      <c r="L55" s="82">
        <f>VLOOKUP($A55&amp;"KWH",'E11 - 2012 09 Final'!$A$46:$P$2419,$L$45,FALSE)</f>
        <v>221008037</v>
      </c>
      <c r="M55" s="82">
        <f>VLOOKUP($A55&amp;"KWH",'E11 - 2012 09 Final'!$A$46:$P$2419,$M$45,FALSE)</f>
        <v>193650988</v>
      </c>
      <c r="N55" s="82">
        <f>VLOOKUP($A55&amp;"KWH",'E11 - 2012 09 Final'!$A$46:$P$2419,$N$45,FALSE)</f>
        <v>188927426</v>
      </c>
      <c r="O55" s="44">
        <f t="shared" si="12"/>
        <v>2456721485</v>
      </c>
      <c r="P55" s="11">
        <f t="shared" si="13"/>
        <v>204726790.41666666</v>
      </c>
    </row>
    <row r="56" spans="1:16">
      <c r="A56" t="s">
        <v>717</v>
      </c>
      <c r="B56" s="43" t="s">
        <v>52</v>
      </c>
      <c r="C56" s="82">
        <f>VLOOKUP($A56&amp;"KWH",'E11 - 2012 09 Final'!$A$46:$P$2419,$C$45,FALSE)</f>
        <v>15545888</v>
      </c>
      <c r="D56" s="82">
        <f>VLOOKUP($A56&amp;"KWH",'E11 - 2012 09 Final'!$A$46:$P$2419,$D$45,FALSE)</f>
        <v>14409474</v>
      </c>
      <c r="E56" s="82">
        <f>VLOOKUP($A56&amp;"KWH",'E11 - 2012 09 Final'!$A$46:$P$2419,$E$45,FALSE)</f>
        <v>15583845</v>
      </c>
      <c r="F56" s="82">
        <f>VLOOKUP($A56&amp;"KWH",'E11 - 2012 09 Final'!$A$46:$P$2419,$F$45,FALSE)</f>
        <v>15657780</v>
      </c>
      <c r="G56" s="82">
        <f>VLOOKUP($A56&amp;"KWH",'E11 - 2012 09 Final'!$A$46:$P$2419,$G$45,FALSE)</f>
        <v>15061955</v>
      </c>
      <c r="H56" s="82">
        <f>VLOOKUP($A56&amp;"KWH",'E11 - 2012 09 Final'!$A$46:$P$2419,$H$45,FALSE)</f>
        <v>12861708</v>
      </c>
      <c r="I56" s="82">
        <f>VLOOKUP($A56&amp;"KWH",'E11 - 2012 09 Final'!$A$46:$P$2419,$I$45,FALSE)</f>
        <v>13027603</v>
      </c>
      <c r="J56" s="82">
        <f>VLOOKUP($A56&amp;"KWH",'E11 - 2012 09 Final'!$A$46:$P$2419,$J$45,FALSE)</f>
        <v>13232097</v>
      </c>
      <c r="K56" s="82">
        <f>VLOOKUP($A56&amp;"KWH",'E11 - 2012 09 Final'!$A$46:$P$2419,$K$45,FALSE)</f>
        <v>12597552</v>
      </c>
      <c r="L56" s="82">
        <f>VLOOKUP($A56&amp;"KWH",'E11 - 2012 09 Final'!$A$46:$P$2419,$L$45,FALSE)</f>
        <v>12461853</v>
      </c>
      <c r="M56" s="82">
        <f>VLOOKUP($A56&amp;"KWH",'E11 - 2012 09 Final'!$A$46:$P$2419,$M$45,FALSE)</f>
        <v>12635354</v>
      </c>
      <c r="N56" s="82">
        <f>VLOOKUP($A56&amp;"KWH",'E11 - 2012 09 Final'!$A$46:$P$2419,$N$45,FALSE)</f>
        <v>14958781</v>
      </c>
      <c r="O56" s="44">
        <f t="shared" si="12"/>
        <v>168033890</v>
      </c>
      <c r="P56" s="11">
        <f t="shared" si="13"/>
        <v>14002824.166666666</v>
      </c>
    </row>
    <row r="57" spans="1:16">
      <c r="A57" t="s">
        <v>15</v>
      </c>
      <c r="B57" s="206" t="s">
        <v>15</v>
      </c>
      <c r="C57" s="82">
        <f>VLOOKUP($A57&amp;"KWH",'E11 - 2012 09 Final'!$A$46:$P$2419,$C$45,FALSE)</f>
        <v>6510581</v>
      </c>
      <c r="D57" s="82">
        <f>VLOOKUP($A57&amp;"KWH",'E11 - 2012 09 Final'!$A$46:$P$2419,$D$45,FALSE)</f>
        <v>6196531</v>
      </c>
      <c r="E57" s="82">
        <f>VLOOKUP($A57&amp;"KWH",'E11 - 2012 09 Final'!$A$46:$P$2419,$E$45,FALSE)</f>
        <v>6827619</v>
      </c>
      <c r="F57" s="82">
        <f>VLOOKUP($A57&amp;"KWH",'E11 - 2012 09 Final'!$A$46:$P$2419,$F$45,FALSE)</f>
        <v>6599191</v>
      </c>
      <c r="G57" s="82">
        <f>VLOOKUP($A57&amp;"KWH",'E11 - 2012 09 Final'!$A$46:$P$2419,$G$45,FALSE)</f>
        <v>6994195</v>
      </c>
      <c r="H57" s="82">
        <f>VLOOKUP($A57&amp;"KWH",'E11 - 2012 09 Final'!$A$46:$P$2419,$H$45,FALSE)</f>
        <v>6820919</v>
      </c>
      <c r="I57" s="82">
        <f>VLOOKUP($A57&amp;"KWH",'E11 - 2012 09 Final'!$A$46:$P$2419,$I$45,FALSE)</f>
        <v>6791602</v>
      </c>
      <c r="J57" s="82">
        <f>VLOOKUP($A57&amp;"KWH",'E11 - 2012 09 Final'!$A$46:$P$2419,$J$45,FALSE)</f>
        <v>6643306</v>
      </c>
      <c r="K57" s="82">
        <f>VLOOKUP($A57&amp;"KWH",'E11 - 2012 09 Final'!$A$46:$P$2419,$K$45,FALSE)</f>
        <v>6218802</v>
      </c>
      <c r="L57" s="82">
        <f>VLOOKUP($A57&amp;"KWH",'E11 - 2012 09 Final'!$A$46:$P$2419,$L$45,FALSE)</f>
        <v>7224126</v>
      </c>
      <c r="M57" s="82">
        <f>VLOOKUP($A57&amp;"KWH",'E11 - 2012 09 Final'!$A$46:$P$2419,$M$45,FALSE)</f>
        <v>6533638</v>
      </c>
      <c r="N57" s="82">
        <f>VLOOKUP($A57&amp;"KWH",'E11 - 2012 09 Final'!$A$46:$P$2419,$N$45,FALSE)</f>
        <v>6750303</v>
      </c>
      <c r="O57" s="44">
        <f t="shared" si="12"/>
        <v>80110813</v>
      </c>
      <c r="P57" s="11">
        <f t="shared" si="13"/>
        <v>6675901.083333333</v>
      </c>
    </row>
    <row r="58" spans="1:16">
      <c r="A58" t="s">
        <v>19</v>
      </c>
      <c r="B58" s="43" t="s">
        <v>56</v>
      </c>
      <c r="C58" s="82">
        <f>VLOOKUP($A58&amp;"KWH",'E11 - 2012 09 Final'!$A$46:$P$2419,$C$45,FALSE)</f>
        <v>8354345</v>
      </c>
      <c r="D58" s="82">
        <f>VLOOKUP($A58&amp;"KWH",'E11 - 2012 09 Final'!$A$46:$P$2419,$D$45,FALSE)</f>
        <v>8356642</v>
      </c>
      <c r="E58" s="82">
        <f>VLOOKUP($A58&amp;"KWH",'E11 - 2012 09 Final'!$A$46:$P$2419,$E$45,FALSE)</f>
        <v>8354529</v>
      </c>
      <c r="F58" s="82">
        <f>VLOOKUP($A58&amp;"KWH",'E11 - 2012 09 Final'!$A$46:$P$2419,$F$45,FALSE)</f>
        <v>8367666</v>
      </c>
      <c r="G58" s="82">
        <f>VLOOKUP($A58&amp;"KWH",'E11 - 2012 09 Final'!$A$46:$P$2419,$G$45,FALSE)</f>
        <v>8387503</v>
      </c>
      <c r="H58" s="82">
        <f>VLOOKUP($A58&amp;"KWH",'E11 - 2012 09 Final'!$A$46:$P$2419,$H$45,FALSE)</f>
        <v>8390203</v>
      </c>
      <c r="I58" s="82">
        <f>VLOOKUP($A58&amp;"KWH",'E11 - 2012 09 Final'!$A$46:$P$2419,$I$45,FALSE)</f>
        <v>8312816</v>
      </c>
      <c r="J58" s="82">
        <f>VLOOKUP($A58&amp;"KWH",'E11 - 2012 09 Final'!$A$46:$P$2419,$J$45,FALSE)</f>
        <v>8410470</v>
      </c>
      <c r="K58" s="82">
        <f>VLOOKUP($A58&amp;"KWH",'E11 - 2012 09 Final'!$A$46:$P$2419,$K$45,FALSE)</f>
        <v>8403011</v>
      </c>
      <c r="L58" s="82">
        <f>VLOOKUP($A58&amp;"KWH",'E11 - 2012 09 Final'!$A$46:$P$2419,$L$45,FALSE)</f>
        <v>8382619</v>
      </c>
      <c r="M58" s="82">
        <f>VLOOKUP($A58&amp;"KWH",'E11 - 2012 09 Final'!$A$46:$P$2419,$M$45,FALSE)</f>
        <v>8329394</v>
      </c>
      <c r="N58" s="82">
        <f>VLOOKUP($A58&amp;"KWH",'E11 - 2012 09 Final'!$A$46:$P$2419,$N$45,FALSE)</f>
        <v>8380317</v>
      </c>
      <c r="O58" s="44">
        <f t="shared" si="12"/>
        <v>100429515</v>
      </c>
      <c r="P58" s="11">
        <f t="shared" si="13"/>
        <v>8369126.25</v>
      </c>
    </row>
    <row r="59" spans="1:16">
      <c r="A59" t="s">
        <v>22</v>
      </c>
      <c r="B59" s="43" t="s">
        <v>57</v>
      </c>
      <c r="C59" s="82">
        <f>VLOOKUP($A59&amp;"KWH",'E11 - 2012 09 Final'!$A$46:$P$2419,$C$45,FALSE)</f>
        <v>1022726</v>
      </c>
      <c r="D59" s="82">
        <f>VLOOKUP($A59&amp;"KWH",'E11 - 2012 09 Final'!$A$46:$P$2419,$D$45,FALSE)</f>
        <v>1059960</v>
      </c>
      <c r="E59" s="82">
        <f>VLOOKUP($A59&amp;"KWH",'E11 - 2012 09 Final'!$A$46:$P$2419,$E$45,FALSE)</f>
        <v>1158236</v>
      </c>
      <c r="F59" s="82">
        <f>VLOOKUP($A59&amp;"KWH",'E11 - 2012 09 Final'!$A$46:$P$2419,$F$45,FALSE)</f>
        <v>1042364</v>
      </c>
      <c r="G59" s="82">
        <f>VLOOKUP($A59&amp;"KWH",'E11 - 2012 09 Final'!$A$46:$P$2419,$G$45,FALSE)</f>
        <v>858877</v>
      </c>
      <c r="H59" s="82">
        <f>VLOOKUP($A59&amp;"KWH",'E11 - 2012 09 Final'!$A$46:$P$2419,$H$45,FALSE)</f>
        <v>860869</v>
      </c>
      <c r="I59" s="82">
        <f>VLOOKUP($A59&amp;"KWH",'E11 - 2012 09 Final'!$A$46:$P$2419,$I$45,FALSE)</f>
        <v>753434</v>
      </c>
      <c r="J59" s="82">
        <f>VLOOKUP($A59&amp;"KWH",'E11 - 2012 09 Final'!$A$46:$P$2419,$J$45,FALSE)</f>
        <v>803701</v>
      </c>
      <c r="K59" s="82">
        <f>VLOOKUP($A59&amp;"KWH",'E11 - 2012 09 Final'!$A$46:$P$2419,$K$45,FALSE)</f>
        <v>891962</v>
      </c>
      <c r="L59" s="82">
        <f>VLOOKUP($A59&amp;"KWH",'E11 - 2012 09 Final'!$A$46:$P$2419,$L$45,FALSE)</f>
        <v>1076211</v>
      </c>
      <c r="M59" s="82">
        <f>VLOOKUP($A59&amp;"KWH",'E11 - 2012 09 Final'!$A$46:$P$2419,$M$45,FALSE)</f>
        <v>1122975</v>
      </c>
      <c r="N59" s="82">
        <f>VLOOKUP($A59&amp;"KWH",'E11 - 2012 09 Final'!$A$46:$P$2419,$N$45,FALSE)</f>
        <v>1151684</v>
      </c>
      <c r="O59" s="44">
        <f t="shared" si="12"/>
        <v>11802999</v>
      </c>
      <c r="P59" s="11">
        <f t="shared" si="13"/>
        <v>983583.25</v>
      </c>
    </row>
    <row r="60" spans="1:16">
      <c r="A60" t="s">
        <v>687</v>
      </c>
      <c r="B60" s="43" t="s">
        <v>48</v>
      </c>
      <c r="C60" s="82">
        <f>VLOOKUP($A60&amp;"KWH",'E11 - 2012 09 Final'!$A$46:$P$2419,$C$45,FALSE)</f>
        <v>3998081065</v>
      </c>
      <c r="D60" s="82">
        <f>VLOOKUP($A60&amp;"KWH",'E11 - 2012 09 Final'!$A$46:$P$2419,$D$45,FALSE)</f>
        <v>3387930544</v>
      </c>
      <c r="E60" s="82">
        <f>VLOOKUP($A60&amp;"KWH",'E11 - 2012 09 Final'!$A$46:$P$2419,$E$45,FALSE)</f>
        <v>3699050314</v>
      </c>
      <c r="F60" s="82">
        <f>VLOOKUP($A60&amp;"KWH",'E11 - 2012 09 Final'!$A$46:$P$2419,$F$45,FALSE)</f>
        <v>4088185842</v>
      </c>
      <c r="G60" s="82">
        <f>VLOOKUP($A60&amp;"KWH",'E11 - 2012 09 Final'!$A$46:$P$2419,$G$45,FALSE)</f>
        <v>4191383822</v>
      </c>
      <c r="H60" s="82">
        <f>VLOOKUP($A60&amp;"KWH",'E11 - 2012 09 Final'!$A$46:$P$2419,$H$45,FALSE)</f>
        <v>5172508013</v>
      </c>
      <c r="I60" s="82">
        <f>VLOOKUP($A60&amp;"KWH",'E11 - 2012 09 Final'!$A$46:$P$2419,$I$45,FALSE)</f>
        <v>5519033833</v>
      </c>
      <c r="J60" s="82">
        <f>VLOOKUP($A60&amp;"KWH",'E11 - 2012 09 Final'!$A$46:$P$2419,$J$45,FALSE)</f>
        <v>5760945499</v>
      </c>
      <c r="K60" s="82">
        <f>VLOOKUP($A60&amp;"KWH",'E11 - 2012 09 Final'!$A$46:$P$2419,$K$45,FALSE)</f>
        <v>5419556567</v>
      </c>
      <c r="L60" s="82">
        <f>VLOOKUP($A60&amp;"KWH",'E11 - 2012 09 Final'!$A$46:$P$2419,$L$45,FALSE)</f>
        <v>4947427811</v>
      </c>
      <c r="M60" s="82">
        <f>VLOOKUP($A60&amp;"KWH",'E11 - 2012 09 Final'!$A$46:$P$2419,$M$45,FALSE)</f>
        <v>3730833980</v>
      </c>
      <c r="N60" s="82">
        <f>VLOOKUP($A60&amp;"KWH",'E11 - 2012 09 Final'!$A$46:$P$2419,$N$45,FALSE)</f>
        <v>3486557116</v>
      </c>
      <c r="O60" s="44">
        <f t="shared" si="12"/>
        <v>53401494406</v>
      </c>
      <c r="P60" s="11">
        <f t="shared" si="13"/>
        <v>4450124533.833333</v>
      </c>
    </row>
    <row r="61" spans="1:16">
      <c r="A61" s="307" t="s">
        <v>35</v>
      </c>
      <c r="B61" s="43" t="s">
        <v>53</v>
      </c>
      <c r="C61" s="82">
        <f>VLOOKUP($A61&amp;"KWH",'E11 - 2012 09 Final'!$A$46:$P$2419,$C$45,FALSE)</f>
        <v>41668746</v>
      </c>
      <c r="D61" s="82">
        <f>VLOOKUP($A61&amp;"KWH",'E11 - 2012 09 Final'!$A$46:$P$2419,$D$45,FALSE)</f>
        <v>42011719</v>
      </c>
      <c r="E61" s="82">
        <f>VLOOKUP($A61&amp;"KWH",'E11 - 2012 09 Final'!$A$46:$P$2419,$E$45,FALSE)</f>
        <v>42999581</v>
      </c>
      <c r="F61" s="82">
        <f>VLOOKUP($A61&amp;"KWH",'E11 - 2012 09 Final'!$A$46:$P$2419,$F$45,FALSE)</f>
        <v>42670162</v>
      </c>
      <c r="G61" s="82">
        <f>VLOOKUP($A61&amp;"KWH",'E11 - 2012 09 Final'!$A$46:$P$2419,$G$45,FALSE)</f>
        <v>41406832</v>
      </c>
      <c r="H61" s="82">
        <f>VLOOKUP($A61&amp;"KWH",'E11 - 2012 09 Final'!$A$46:$P$2419,$H$45,FALSE)</f>
        <v>44640719</v>
      </c>
      <c r="I61" s="82">
        <f>VLOOKUP($A61&amp;"KWH",'E11 - 2012 09 Final'!$A$46:$P$2419,$I$45,FALSE)</f>
        <v>40573526</v>
      </c>
      <c r="J61" s="82">
        <f>VLOOKUP($A61&amp;"KWH",'E11 - 2012 09 Final'!$A$46:$P$2419,$J$45,FALSE)</f>
        <v>44054863</v>
      </c>
      <c r="K61" s="82">
        <f>VLOOKUP($A61&amp;"KWH",'E11 - 2012 09 Final'!$A$46:$P$2419,$K$45,FALSE)</f>
        <v>42586639</v>
      </c>
      <c r="L61" s="82">
        <f>VLOOKUP($A61&amp;"KWH",'E11 - 2012 09 Final'!$A$46:$P$2419,$L$45,FALSE)</f>
        <v>37269479</v>
      </c>
      <c r="M61" s="82">
        <f>VLOOKUP($A61&amp;"KWH",'E11 - 2012 09 Final'!$A$46:$P$2419,$M$45,FALSE)</f>
        <v>47679735</v>
      </c>
      <c r="N61" s="82">
        <f>VLOOKUP($A61&amp;"KWH",'E11 - 2012 09 Final'!$A$46:$P$2419,$N$45,FALSE)</f>
        <v>42673216</v>
      </c>
      <c r="O61" s="44">
        <f t="shared" si="12"/>
        <v>510235217</v>
      </c>
      <c r="P61" s="11">
        <f t="shared" si="13"/>
        <v>42519601.416666664</v>
      </c>
    </row>
    <row r="62" spans="1:16">
      <c r="A62" s="307" t="s">
        <v>38</v>
      </c>
      <c r="B62" s="43" t="s">
        <v>55</v>
      </c>
      <c r="C62" s="82">
        <f>VLOOKUP($A62&amp;"KWH",'E11 - 2012 09 Final'!$A$46:$P$2419,$C$45,FALSE)</f>
        <v>2620338</v>
      </c>
      <c r="D62" s="82">
        <f>VLOOKUP($A62&amp;"KWH",'E11 - 2012 09 Final'!$A$46:$P$2419,$D$45,FALSE)</f>
        <v>2622566</v>
      </c>
      <c r="E62" s="82">
        <f>VLOOKUP($A62&amp;"KWH",'E11 - 2012 09 Final'!$A$46:$P$2419,$E$45,FALSE)</f>
        <v>2627776</v>
      </c>
      <c r="F62" s="82">
        <f>VLOOKUP($A62&amp;"KWH",'E11 - 2012 09 Final'!$A$46:$P$2419,$F$45,FALSE)</f>
        <v>2634561</v>
      </c>
      <c r="G62" s="82">
        <f>VLOOKUP($A62&amp;"KWH",'E11 - 2012 09 Final'!$A$46:$P$2419,$G$45,FALSE)</f>
        <v>2605014</v>
      </c>
      <c r="H62" s="82">
        <f>VLOOKUP($A62&amp;"KWH",'E11 - 2012 09 Final'!$A$46:$P$2419,$H$45,FALSE)</f>
        <v>2608018</v>
      </c>
      <c r="I62" s="82">
        <f>VLOOKUP($A62&amp;"KWH",'E11 - 2012 09 Final'!$A$46:$P$2419,$I$45,FALSE)</f>
        <v>2617137</v>
      </c>
      <c r="J62" s="82">
        <f>VLOOKUP($A62&amp;"KWH",'E11 - 2012 09 Final'!$A$46:$P$2419,$J$45,FALSE)</f>
        <v>2617347</v>
      </c>
      <c r="K62" s="82">
        <f>VLOOKUP($A62&amp;"KWH",'E11 - 2012 09 Final'!$A$46:$P$2419,$K$45,FALSE)</f>
        <v>2618401</v>
      </c>
      <c r="L62" s="82">
        <f>VLOOKUP($A62&amp;"KWH",'E11 - 2012 09 Final'!$A$46:$P$2419,$L$45,FALSE)</f>
        <v>2617578</v>
      </c>
      <c r="M62" s="82">
        <f>VLOOKUP($A62&amp;"KWH",'E11 - 2012 09 Final'!$A$46:$P$2419,$M$45,FALSE)</f>
        <v>2612828</v>
      </c>
      <c r="N62" s="82">
        <f>VLOOKUP($A62&amp;"KWH",'E11 - 2012 09 Final'!$A$46:$P$2419,$N$45,FALSE)</f>
        <v>2621807</v>
      </c>
      <c r="O62" s="44">
        <f t="shared" si="12"/>
        <v>31423371</v>
      </c>
      <c r="P62" s="11">
        <f t="shared" si="13"/>
        <v>2618614.25</v>
      </c>
    </row>
    <row r="63" spans="1:16">
      <c r="A63" t="s">
        <v>40</v>
      </c>
      <c r="B63" s="43" t="s">
        <v>87</v>
      </c>
      <c r="C63" s="82">
        <f>VLOOKUP($A63&amp;"KWH",'E11 - 2012 09 Final'!$A$46:$P$2419,$C$45,FALSE)</f>
        <v>3644</v>
      </c>
      <c r="D63" s="82">
        <f>VLOOKUP($A63&amp;"KWH",'E11 - 2012 09 Final'!$A$46:$P$2419,$D$45,FALSE)</f>
        <v>239645</v>
      </c>
      <c r="E63" s="82">
        <f>VLOOKUP($A63&amp;"KWH",'E11 - 2012 09 Final'!$A$46:$P$2419,$E$45,FALSE)</f>
        <v>1909633</v>
      </c>
      <c r="F63" s="82">
        <f>VLOOKUP($A63&amp;"KWH",'E11 - 2012 09 Final'!$A$46:$P$2419,$F$45,FALSE)</f>
        <v>720953</v>
      </c>
      <c r="G63" s="82">
        <f>VLOOKUP($A63&amp;"KWH",'E11 - 2012 09 Final'!$A$46:$P$2419,$G$45,FALSE)</f>
        <v>732039</v>
      </c>
      <c r="H63" s="82">
        <f>VLOOKUP($A63&amp;"KWH",'E11 - 2012 09 Final'!$A$46:$P$2419,$H$45,FALSE)</f>
        <v>714121</v>
      </c>
      <c r="I63" s="82">
        <f>VLOOKUP($A63&amp;"KWH",'E11 - 2012 09 Final'!$A$46:$P$2419,$I$45,FALSE)</f>
        <v>1255514</v>
      </c>
      <c r="J63" s="82">
        <f>VLOOKUP($A63&amp;"KWH",'E11 - 2012 09 Final'!$A$46:$P$2419,$J$45,FALSE)</f>
        <v>1550424</v>
      </c>
      <c r="K63" s="82">
        <f>VLOOKUP($A63&amp;"KWH",'E11 - 2012 09 Final'!$A$46:$P$2419,$K$45,FALSE)</f>
        <v>1496846</v>
      </c>
      <c r="L63" s="82">
        <f>VLOOKUP($A63&amp;"KWH",'E11 - 2012 09 Final'!$A$46:$P$2419,$L$45,FALSE)</f>
        <v>731680</v>
      </c>
      <c r="M63" s="82">
        <f>VLOOKUP($A63&amp;"KWH",'E11 - 2012 09 Final'!$A$46:$P$2419,$M$45,FALSE)</f>
        <v>190308</v>
      </c>
      <c r="N63" s="82">
        <f>VLOOKUP($A63&amp;"KWH",'E11 - 2012 09 Final'!$A$46:$P$2419,$N$45,FALSE)</f>
        <v>301432</v>
      </c>
      <c r="O63" s="44">
        <f t="shared" si="12"/>
        <v>9846239</v>
      </c>
      <c r="P63" s="11">
        <f t="shared" si="13"/>
        <v>820519.91666666663</v>
      </c>
    </row>
    <row r="64" spans="1:16">
      <c r="A64" t="s">
        <v>45</v>
      </c>
      <c r="B64" s="43" t="s">
        <v>88</v>
      </c>
      <c r="C64" s="82">
        <f>VLOOKUP($A64&amp;"KWH",'E11 - 2012 09 Final'!$A$46:$P$2419,$C$45,FALSE)</f>
        <v>7742157</v>
      </c>
      <c r="D64" s="82">
        <f>VLOOKUP($A64&amp;"KWH",'E11 - 2012 09 Final'!$A$46:$P$2419,$D$45,FALSE)</f>
        <v>4940026</v>
      </c>
      <c r="E64" s="82">
        <f>VLOOKUP($A64&amp;"KWH",'E11 - 2012 09 Final'!$A$46:$P$2419,$E$45,FALSE)</f>
        <v>3463550</v>
      </c>
      <c r="F64" s="82">
        <f>VLOOKUP($A64&amp;"KWH",'E11 - 2012 09 Final'!$A$46:$P$2419,$F$45,FALSE)</f>
        <v>7512545</v>
      </c>
      <c r="G64" s="82">
        <f>VLOOKUP($A64&amp;"KWH",'E11 - 2012 09 Final'!$A$46:$P$2419,$G$45,FALSE)</f>
        <v>6317518</v>
      </c>
      <c r="H64" s="82">
        <f>VLOOKUP($A64&amp;"KWH",'E11 - 2012 09 Final'!$A$46:$P$2419,$H$45,FALSE)</f>
        <v>3779798</v>
      </c>
      <c r="I64" s="82">
        <f>VLOOKUP($A64&amp;"KWH",'E11 - 2012 09 Final'!$A$46:$P$2419,$I$45,FALSE)</f>
        <v>3701337</v>
      </c>
      <c r="J64" s="82">
        <f>VLOOKUP($A64&amp;"KWH",'E11 - 2012 09 Final'!$A$46:$P$2419,$J$45,FALSE)</f>
        <v>5568370</v>
      </c>
      <c r="K64" s="82">
        <f>VLOOKUP($A64&amp;"KWH",'E11 - 2012 09 Final'!$A$46:$P$2419,$K$45,FALSE)</f>
        <v>9874613</v>
      </c>
      <c r="L64" s="82">
        <f>VLOOKUP($A64&amp;"KWH",'E11 - 2012 09 Final'!$A$46:$P$2419,$L$45,FALSE)</f>
        <v>13017757</v>
      </c>
      <c r="M64" s="82">
        <f>VLOOKUP($A64&amp;"KWH",'E11 - 2012 09 Final'!$A$46:$P$2419,$M$45,FALSE)</f>
        <v>6352365</v>
      </c>
      <c r="N64" s="82">
        <f>VLOOKUP($A64&amp;"KWH",'E11 - 2012 09 Final'!$A$46:$P$2419,$N$45,FALSE)</f>
        <v>4984535</v>
      </c>
      <c r="O64" s="44">
        <f t="shared" si="12"/>
        <v>77254571</v>
      </c>
      <c r="P64" s="11">
        <f t="shared" si="13"/>
        <v>6437880.916666667</v>
      </c>
    </row>
    <row r="65" spans="1:16">
      <c r="C65" s="48"/>
      <c r="D65" s="48"/>
      <c r="E65" s="48"/>
      <c r="F65" s="48"/>
      <c r="G65" s="48"/>
      <c r="H65" s="48"/>
      <c r="I65" s="48"/>
      <c r="J65" s="48"/>
      <c r="K65" s="48"/>
      <c r="L65" s="48"/>
      <c r="M65" s="48"/>
      <c r="N65" s="48"/>
      <c r="O65" s="44"/>
      <c r="P65" s="11"/>
    </row>
    <row r="66" spans="1:16">
      <c r="C66" s="48"/>
      <c r="D66" s="48"/>
      <c r="E66" s="48"/>
      <c r="F66" s="48"/>
      <c r="G66" s="48"/>
      <c r="H66" s="48"/>
      <c r="I66" s="48"/>
      <c r="J66" s="48"/>
      <c r="K66" s="48"/>
      <c r="L66" s="48"/>
      <c r="M66" s="48"/>
      <c r="N66" s="48"/>
      <c r="O66" s="44"/>
      <c r="P66" s="11"/>
    </row>
    <row r="67" spans="1:16">
      <c r="B67" s="42" t="s">
        <v>86</v>
      </c>
      <c r="C67" s="10"/>
      <c r="D67" s="10"/>
      <c r="E67" s="10"/>
      <c r="F67" s="10"/>
      <c r="G67" s="10"/>
      <c r="H67" s="10"/>
      <c r="I67" s="10"/>
      <c r="J67" s="10"/>
      <c r="K67" s="10"/>
      <c r="L67" s="10"/>
      <c r="M67" s="10"/>
      <c r="N67" s="10"/>
    </row>
    <row r="68" spans="1:16">
      <c r="A68" t="s">
        <v>603</v>
      </c>
      <c r="B68" s="43" t="s">
        <v>603</v>
      </c>
      <c r="C68" s="82">
        <f>VLOOKUP($A68&amp;"KWH",'E11 - 2012 09 Final'!$A$46:$P$2419,$C$45,FALSE)</f>
        <v>0</v>
      </c>
      <c r="D68" s="82">
        <f>VLOOKUP($A68&amp;"KWH",'E11 - 2012 09 Final'!$A$46:$P$2419,$D$45,FALSE)</f>
        <v>0</v>
      </c>
      <c r="E68" s="82">
        <f>VLOOKUP($A68&amp;"KWH",'E11 - 2012 09 Final'!$A$46:$P$2419,$E$45,FALSE)</f>
        <v>0</v>
      </c>
      <c r="F68" s="82">
        <f>VLOOKUP($A68&amp;"KWH",'E11 - 2012 09 Final'!$A$46:$P$2419,$F$45,FALSE)</f>
        <v>0</v>
      </c>
      <c r="G68" s="82">
        <f>VLOOKUP($A68&amp;"KWH",'E11 - 2012 09 Final'!$A$46:$P$2419,$G$45,FALSE)</f>
        <v>3589862</v>
      </c>
      <c r="H68" s="82">
        <f>VLOOKUP($A68&amp;"KWH",'E11 - 2012 09 Final'!$A$46:$P$2419,$H$45,FALSE)</f>
        <v>3674229</v>
      </c>
      <c r="I68" s="82">
        <f>VLOOKUP($A68&amp;"KWH",'E11 - 2012 09 Final'!$A$46:$P$2419,$I$45,FALSE)</f>
        <v>4116013</v>
      </c>
      <c r="J68" s="82">
        <f>VLOOKUP($A68&amp;"KWH",'E11 - 2012 09 Final'!$A$46:$P$2419,$J$45,FALSE)</f>
        <v>3897045</v>
      </c>
      <c r="K68" s="82">
        <f>VLOOKUP($A68&amp;"KWH",'E11 - 2012 09 Final'!$A$46:$P$2419,$K$45,FALSE)</f>
        <v>3490948</v>
      </c>
      <c r="L68" s="82">
        <f>VLOOKUP($A68&amp;"KWH",'E11 - 2012 09 Final'!$A$46:$P$2419,$L$45,FALSE)</f>
        <v>3039865</v>
      </c>
      <c r="M68" s="82">
        <f>VLOOKUP($A68&amp;"KWH",'E11 - 2012 09 Final'!$A$46:$P$2419,$M$45,FALSE)</f>
        <v>2758265</v>
      </c>
      <c r="N68" s="82">
        <f>VLOOKUP($A68&amp;"KWH",'E11 - 2012 09 Final'!$A$46:$P$2419,$N$45,FALSE)</f>
        <v>3043736</v>
      </c>
      <c r="O68" s="44">
        <f t="shared" ref="O68:O73" si="14">SUM(C68:N68)</f>
        <v>27609963</v>
      </c>
      <c r="P68" s="11">
        <f t="shared" ref="P68:P73" si="15">+O68/12</f>
        <v>2300830.25</v>
      </c>
    </row>
    <row r="69" spans="1:16">
      <c r="A69" t="s">
        <v>245</v>
      </c>
      <c r="B69" s="43" t="s">
        <v>983</v>
      </c>
      <c r="C69" s="82">
        <f>VLOOKUP($A69&amp;"KWH",'E11 - 2012 09 Final'!$A$46:$P$2419,$C$45,FALSE)</f>
        <v>50700167</v>
      </c>
      <c r="D69" s="82">
        <f>VLOOKUP($A69&amp;"KWH",'E11 - 2012 09 Final'!$A$46:$P$2419,$D$45,FALSE)</f>
        <v>52001391</v>
      </c>
      <c r="E69" s="82">
        <f>VLOOKUP($A69&amp;"KWH",'E11 - 2012 09 Final'!$A$46:$P$2419,$E$45,FALSE)</f>
        <v>59426613</v>
      </c>
      <c r="F69" s="82">
        <f>VLOOKUP($A69&amp;"KWH",'E11 - 2012 09 Final'!$A$46:$P$2419,$F$45,FALSE)</f>
        <v>56812768</v>
      </c>
      <c r="G69" s="82">
        <f>VLOOKUP($A69&amp;"KWH",'E11 - 2012 09 Final'!$A$46:$P$2419,$G$45,FALSE)</f>
        <v>65761789</v>
      </c>
      <c r="H69" s="82">
        <f>VLOOKUP($A69&amp;"KWH",'E11 - 2012 09 Final'!$A$46:$P$2419,$H$45,FALSE)</f>
        <v>69686606</v>
      </c>
      <c r="I69" s="82">
        <f>VLOOKUP($A69&amp;"KWH",'E11 - 2012 09 Final'!$A$46:$P$2419,$I$45,FALSE)</f>
        <v>77142427</v>
      </c>
      <c r="J69" s="82">
        <f>VLOOKUP($A69&amp;"KWH",'E11 - 2012 09 Final'!$A$46:$P$2419,$J$45,FALSE)</f>
        <v>77510269</v>
      </c>
      <c r="K69" s="82">
        <f>VLOOKUP($A69&amp;"KWH",'E11 - 2012 09 Final'!$A$46:$P$2419,$K$45,FALSE)</f>
        <v>67199957</v>
      </c>
      <c r="L69" s="82">
        <f>VLOOKUP($A69&amp;"KWH",'E11 - 2012 09 Final'!$A$46:$P$2419,$L$45,FALSE)</f>
        <v>62223980</v>
      </c>
      <c r="M69" s="82">
        <f>VLOOKUP($A69&amp;"KWH",'E11 - 2012 09 Final'!$A$46:$P$2419,$M$45,FALSE)</f>
        <v>45468804</v>
      </c>
      <c r="N69" s="82">
        <f>VLOOKUP($A69&amp;"KWH",'E11 - 2012 09 Final'!$A$46:$P$2419,$N$45,FALSE)</f>
        <v>52971707</v>
      </c>
      <c r="O69" s="44">
        <f t="shared" si="14"/>
        <v>736906478</v>
      </c>
      <c r="P69" s="11">
        <f t="shared" si="15"/>
        <v>61408873.166666664</v>
      </c>
    </row>
    <row r="70" spans="1:16">
      <c r="A70" t="s">
        <v>242</v>
      </c>
      <c r="B70" s="43" t="s">
        <v>491</v>
      </c>
      <c r="C70" s="82">
        <f>VLOOKUP($A70&amp;"KWH",'E11 - 2012 09 Final'!$A$46:$P$2419,$C$45,FALSE)</f>
        <v>16110000</v>
      </c>
      <c r="D70" s="82">
        <f>VLOOKUP($A70&amp;"KWH",'E11 - 2012 09 Final'!$A$46:$P$2419,$D$45,FALSE)</f>
        <v>15975000</v>
      </c>
      <c r="E70" s="82">
        <f>VLOOKUP($A70&amp;"KWH",'E11 - 2012 09 Final'!$A$46:$P$2419,$E$45,FALSE)</f>
        <v>17100000</v>
      </c>
      <c r="F70" s="82">
        <f>VLOOKUP($A70&amp;"KWH",'E11 - 2012 09 Final'!$A$46:$P$2419,$F$45,FALSE)</f>
        <v>17235000</v>
      </c>
      <c r="G70" s="82">
        <f>VLOOKUP($A70&amp;"KWH",'E11 - 2012 09 Final'!$A$46:$P$2419,$G$45,FALSE)</f>
        <v>20115000</v>
      </c>
      <c r="H70" s="82">
        <f>VLOOKUP($A70&amp;"KWH",'E11 - 2012 09 Final'!$A$46:$P$2419,$H$45,FALSE)</f>
        <v>21060000</v>
      </c>
      <c r="I70" s="82">
        <f>VLOOKUP($A70&amp;"KWH",'E11 - 2012 09 Final'!$A$46:$P$2419,$I$45,FALSE)</f>
        <v>22140000</v>
      </c>
      <c r="J70" s="82">
        <f>VLOOKUP($A70&amp;"KWH",'E11 - 2012 09 Final'!$A$46:$P$2419,$J$45,FALSE)</f>
        <v>22815000</v>
      </c>
      <c r="K70" s="82">
        <f>VLOOKUP($A70&amp;"KWH",'E11 - 2012 09 Final'!$A$46:$P$2419,$K$45,FALSE)</f>
        <v>21060000</v>
      </c>
      <c r="L70" s="82">
        <f>VLOOKUP($A70&amp;"KWH",'E11 - 2012 09 Final'!$A$46:$P$2419,$L$45,FALSE)</f>
        <v>19395000</v>
      </c>
      <c r="M70" s="82">
        <f>VLOOKUP($A70&amp;"KWH",'E11 - 2012 09 Final'!$A$46:$P$2419,$M$45,FALSE)</f>
        <v>16560000</v>
      </c>
      <c r="N70" s="82">
        <f>VLOOKUP($A70&amp;"KWH",'E11 - 2012 09 Final'!$A$46:$P$2419,$N$45,FALSE)</f>
        <v>16110000</v>
      </c>
      <c r="O70" s="44">
        <f t="shared" si="14"/>
        <v>225675000</v>
      </c>
      <c r="P70" s="11">
        <f t="shared" si="15"/>
        <v>18806250</v>
      </c>
    </row>
    <row r="71" spans="1:16">
      <c r="A71" t="s">
        <v>661</v>
      </c>
      <c r="B71" s="43" t="s">
        <v>984</v>
      </c>
      <c r="C71" s="82">
        <f>VLOOKUP($A71&amp;"KWH",'E11 - 2012 09 Final'!$A$46:$P$2419,$C$45,FALSE)</f>
        <v>89991552</v>
      </c>
      <c r="D71" s="82">
        <f>VLOOKUP($A71&amp;"KWH",'E11 - 2012 09 Final'!$A$46:$P$2419,$D$45,FALSE)</f>
        <v>86884369</v>
      </c>
      <c r="E71" s="82">
        <f>VLOOKUP($A71&amp;"KWH",'E11 - 2012 09 Final'!$A$46:$P$2419,$E$45,FALSE)</f>
        <v>97530484</v>
      </c>
      <c r="F71" s="82">
        <f>VLOOKUP($A71&amp;"KWH",'E11 - 2012 09 Final'!$A$46:$P$2419,$F$45,FALSE)</f>
        <v>95089901</v>
      </c>
      <c r="G71" s="82">
        <f>VLOOKUP($A71&amp;"KWH",'E11 - 2012 09 Final'!$A$46:$P$2419,$G$45,FALSE)</f>
        <v>109264307</v>
      </c>
      <c r="H71" s="82">
        <f>VLOOKUP($A71&amp;"KWH",'E11 - 2012 09 Final'!$A$46:$P$2419,$H$45,FALSE)</f>
        <v>105197222</v>
      </c>
      <c r="I71" s="82">
        <f>VLOOKUP($A71&amp;"KWH",'E11 - 2012 09 Final'!$A$46:$P$2419,$I$45,FALSE)</f>
        <v>113098673</v>
      </c>
      <c r="J71" s="82">
        <f>VLOOKUP($A71&amp;"KWH",'E11 - 2012 09 Final'!$A$46:$P$2419,$J$45,FALSE)</f>
        <v>115344101</v>
      </c>
      <c r="K71" s="82">
        <f>VLOOKUP($A71&amp;"KWH",'E11 - 2012 09 Final'!$A$46:$P$2419,$K$45,FALSE)</f>
        <v>104982932</v>
      </c>
      <c r="L71" s="82">
        <f>VLOOKUP($A71&amp;"KWH",'E11 - 2012 09 Final'!$A$46:$P$2419,$L$45,FALSE)</f>
        <v>100006795</v>
      </c>
      <c r="M71" s="82">
        <f>VLOOKUP($A71&amp;"KWH",'E11 - 2012 09 Final'!$A$46:$P$2419,$M$45,FALSE)</f>
        <v>79387660</v>
      </c>
      <c r="N71" s="82">
        <f>VLOOKUP($A71&amp;"KWH",'E11 - 2012 09 Final'!$A$46:$P$2419,$N$45,FALSE)</f>
        <v>87505906</v>
      </c>
      <c r="O71" s="44">
        <f t="shared" si="14"/>
        <v>1184283902</v>
      </c>
      <c r="P71" s="11">
        <f t="shared" si="15"/>
        <v>98690325.166666672</v>
      </c>
    </row>
    <row r="72" spans="1:16">
      <c r="A72" t="s">
        <v>7</v>
      </c>
      <c r="B72" s="43" t="s">
        <v>987</v>
      </c>
      <c r="C72" s="82">
        <f>VLOOKUP($A72&amp;"KWH",'E11 - 2012 09 Final'!$A$46:$P$2419,$C$45,FALSE)</f>
        <v>573010</v>
      </c>
      <c r="D72" s="82">
        <f>VLOOKUP($A72&amp;"KWH",'E11 - 2012 09 Final'!$A$46:$P$2419,$D$45,FALSE)</f>
        <v>365380</v>
      </c>
      <c r="E72" s="82">
        <f>VLOOKUP($A72&amp;"KWH",'E11 - 2012 09 Final'!$A$46:$P$2419,$E$45,FALSE)</f>
        <v>568669</v>
      </c>
      <c r="F72" s="82">
        <f>VLOOKUP($A72&amp;"KWH",'E11 - 2012 09 Final'!$A$46:$P$2419,$F$45,FALSE)</f>
        <v>500344</v>
      </c>
      <c r="G72" s="82">
        <f>VLOOKUP($A72&amp;"KWH",'E11 - 2012 09 Final'!$A$46:$P$2419,$G$45,FALSE)</f>
        <v>520575</v>
      </c>
      <c r="H72" s="82">
        <f>VLOOKUP($A72&amp;"KWH",'E11 - 2012 09 Final'!$A$46:$P$2419,$H$45,FALSE)</f>
        <v>532691</v>
      </c>
      <c r="I72" s="82">
        <f>VLOOKUP($A72&amp;"KWH",'E11 - 2012 09 Final'!$A$46:$P$2419,$I$45,FALSE)</f>
        <v>551085</v>
      </c>
      <c r="J72" s="82">
        <f>VLOOKUP($A72&amp;"KWH",'E11 - 2012 09 Final'!$A$46:$P$2419,$J$45,FALSE)</f>
        <v>497992</v>
      </c>
      <c r="K72" s="82">
        <f>VLOOKUP($A72&amp;"KWH",'E11 - 2012 09 Final'!$A$46:$P$2419,$K$45,FALSE)</f>
        <v>479164</v>
      </c>
      <c r="L72" s="82">
        <f>VLOOKUP($A72&amp;"KWH",'E11 - 2012 09 Final'!$A$46:$P$2419,$L$45,FALSE)</f>
        <v>437069</v>
      </c>
      <c r="M72" s="82">
        <f>VLOOKUP($A72&amp;"KWH",'E11 - 2012 09 Final'!$A$46:$P$2419,$M$45,FALSE)</f>
        <v>487405</v>
      </c>
      <c r="N72" s="82">
        <f>VLOOKUP($A72&amp;"KWH",'E11 - 2012 09 Final'!$A$46:$P$2419,$N$45,FALSE)</f>
        <v>594618</v>
      </c>
      <c r="O72" s="44">
        <f t="shared" si="14"/>
        <v>6108002</v>
      </c>
      <c r="P72" s="11">
        <f t="shared" si="15"/>
        <v>509000.16666666669</v>
      </c>
    </row>
    <row r="73" spans="1:16">
      <c r="A73" t="s">
        <v>724</v>
      </c>
      <c r="B73" s="43" t="s">
        <v>724</v>
      </c>
      <c r="C73" s="82">
        <f>VLOOKUP($A73&amp;"KWH",'E11 - 2012 09 Final'!$A$46:$P$2419,$C$45,FALSE)</f>
        <v>4696802</v>
      </c>
      <c r="D73" s="82">
        <f>VLOOKUP($A73&amp;"KWH",'E11 - 2012 09 Final'!$A$46:$P$2419,$D$45,FALSE)</f>
        <v>4387832</v>
      </c>
      <c r="E73" s="82">
        <f>VLOOKUP($A73&amp;"KWH",'E11 - 2012 09 Final'!$A$46:$P$2419,$E$45,FALSE)</f>
        <v>4923176</v>
      </c>
      <c r="F73" s="82">
        <f>VLOOKUP($A73&amp;"KWH",'E11 - 2012 09 Final'!$A$46:$P$2419,$F$45,FALSE)</f>
        <v>4983318</v>
      </c>
      <c r="G73" s="82">
        <f>VLOOKUP($A73&amp;"KWH",'E11 - 2012 09 Final'!$A$46:$P$2419,$G$45,FALSE)</f>
        <v>6121061</v>
      </c>
      <c r="H73" s="82">
        <f>VLOOKUP($A73&amp;"KWH",'E11 - 2012 09 Final'!$A$46:$P$2419,$H$45,FALSE)</f>
        <v>5728761</v>
      </c>
      <c r="I73" s="82">
        <f>VLOOKUP($A73&amp;"KWH",'E11 - 2012 09 Final'!$A$46:$P$2419,$I$45,FALSE)</f>
        <v>6238877</v>
      </c>
      <c r="J73" s="82">
        <f>VLOOKUP($A73&amp;"KWH",'E11 - 2012 09 Final'!$A$46:$P$2419,$J$45,FALSE)</f>
        <v>6415755</v>
      </c>
      <c r="K73" s="82">
        <f>VLOOKUP($A73&amp;"KWH",'E11 - 2012 09 Final'!$A$46:$P$2419,$K$45,FALSE)</f>
        <v>5749036</v>
      </c>
      <c r="L73" s="82">
        <f>VLOOKUP($A73&amp;"KWH",'E11 - 2012 09 Final'!$A$46:$P$2419,$L$45,FALSE)</f>
        <v>5337916</v>
      </c>
      <c r="M73" s="82">
        <f>VLOOKUP($A73&amp;"KWH",'E11 - 2012 09 Final'!$A$46:$P$2419,$M$45,FALSE)</f>
        <v>4118235</v>
      </c>
      <c r="N73" s="82">
        <f>VLOOKUP($A73&amp;"KWH",'E11 - 2012 09 Final'!$A$46:$P$2419,$N$45,FALSE)</f>
        <v>4579340</v>
      </c>
      <c r="O73" s="44">
        <f t="shared" si="14"/>
        <v>63280109</v>
      </c>
      <c r="P73" s="11">
        <f t="shared" si="15"/>
        <v>5273342.416666667</v>
      </c>
    </row>
    <row r="75" spans="1:16" ht="21">
      <c r="B75" s="611" t="s">
        <v>990</v>
      </c>
      <c r="C75" s="611"/>
      <c r="D75" s="611"/>
      <c r="E75" s="611"/>
      <c r="F75" s="611"/>
      <c r="G75" s="611"/>
      <c r="H75" s="611"/>
      <c r="I75" s="611"/>
      <c r="J75" s="611"/>
      <c r="K75" s="611"/>
      <c r="L75" s="611"/>
      <c r="M75" s="611"/>
      <c r="N75" s="611"/>
      <c r="O75" s="611"/>
      <c r="P75" s="611"/>
    </row>
    <row r="76" spans="1:16" ht="17.399999999999999">
      <c r="B76" s="610" t="str">
        <f>+MANUAL!$B$6 &amp;" as Calculated by LodeStar Except as Noted"</f>
        <v>2013 as Calculated by LodeStar Except as Noted</v>
      </c>
      <c r="C76" s="610"/>
      <c r="D76" s="610"/>
      <c r="E76" s="610"/>
      <c r="F76" s="610"/>
      <c r="G76" s="610"/>
      <c r="H76" s="610"/>
      <c r="I76" s="610"/>
      <c r="J76" s="610"/>
      <c r="K76" s="610"/>
      <c r="L76" s="610"/>
      <c r="M76" s="610"/>
      <c r="N76" s="610"/>
      <c r="O76" s="610"/>
      <c r="P76" s="610"/>
    </row>
    <row r="77" spans="1:16" ht="13.8" thickBot="1">
      <c r="B77" s="300"/>
      <c r="C77" s="300"/>
      <c r="D77" s="300"/>
      <c r="E77" s="300"/>
      <c r="F77" s="300"/>
      <c r="G77" s="300"/>
      <c r="H77" s="300"/>
      <c r="I77" s="300"/>
      <c r="J77" s="300"/>
      <c r="K77" s="300"/>
      <c r="L77" s="300"/>
      <c r="M77" s="300"/>
      <c r="N77" s="300"/>
      <c r="O77" s="300"/>
      <c r="P77" s="300"/>
    </row>
    <row r="78" spans="1:16">
      <c r="C78" s="14"/>
      <c r="D78" s="15"/>
      <c r="E78" s="16"/>
      <c r="F78" s="17"/>
      <c r="G78" s="18"/>
      <c r="H78" s="19"/>
      <c r="I78" s="20"/>
      <c r="J78" s="21"/>
      <c r="K78" s="22"/>
      <c r="L78" s="23"/>
      <c r="M78" s="24"/>
      <c r="N78" s="25"/>
      <c r="O78" s="26"/>
      <c r="P78" s="27" t="s">
        <v>991</v>
      </c>
    </row>
    <row r="79" spans="1:16" ht="13.8" thickBot="1">
      <c r="C79" s="28" t="s">
        <v>70</v>
      </c>
      <c r="D79" s="29" t="s">
        <v>71</v>
      </c>
      <c r="E79" s="30" t="s">
        <v>72</v>
      </c>
      <c r="F79" s="31" t="s">
        <v>73</v>
      </c>
      <c r="G79" s="32" t="s">
        <v>74</v>
      </c>
      <c r="H79" s="33" t="s">
        <v>75</v>
      </c>
      <c r="I79" s="34" t="s">
        <v>76</v>
      </c>
      <c r="J79" s="35" t="s">
        <v>77</v>
      </c>
      <c r="K79" s="36" t="s">
        <v>78</v>
      </c>
      <c r="L79" s="37" t="s">
        <v>79</v>
      </c>
      <c r="M79" s="38" t="s">
        <v>80</v>
      </c>
      <c r="N79" s="39" t="s">
        <v>81</v>
      </c>
      <c r="O79" s="40" t="s">
        <v>60</v>
      </c>
      <c r="P79" s="41" t="s">
        <v>82</v>
      </c>
    </row>
    <row r="80" spans="1:16" hidden="1">
      <c r="C80">
        <v>4</v>
      </c>
      <c r="D80">
        <f>C80+1</f>
        <v>5</v>
      </c>
      <c r="E80">
        <f t="shared" ref="E80:N80" si="16">D80+1</f>
        <v>6</v>
      </c>
      <c r="F80">
        <f t="shared" si="16"/>
        <v>7</v>
      </c>
      <c r="G80">
        <f t="shared" si="16"/>
        <v>8</v>
      </c>
      <c r="H80">
        <f t="shared" si="16"/>
        <v>9</v>
      </c>
      <c r="I80">
        <f t="shared" si="16"/>
        <v>10</v>
      </c>
      <c r="J80">
        <f t="shared" si="16"/>
        <v>11</v>
      </c>
      <c r="K80">
        <f t="shared" si="16"/>
        <v>12</v>
      </c>
      <c r="L80">
        <f t="shared" si="16"/>
        <v>13</v>
      </c>
      <c r="M80">
        <f t="shared" si="16"/>
        <v>14</v>
      </c>
      <c r="N80">
        <f t="shared" si="16"/>
        <v>15</v>
      </c>
    </row>
    <row r="82" spans="1:16">
      <c r="B82" s="42" t="s">
        <v>83</v>
      </c>
    </row>
    <row r="83" spans="1:16">
      <c r="A83" t="s">
        <v>122</v>
      </c>
      <c r="B83" s="43" t="s">
        <v>84</v>
      </c>
      <c r="C83" s="82">
        <f>VLOOKUP($A83&amp;"KWH",'E11 - 2013 09 Final'!$A$46:$P$1775,$C$80,FALSE)</f>
        <v>237455148</v>
      </c>
      <c r="D83" s="82">
        <f>VLOOKUP($A83&amp;"KWH",'E11 - 2013 09 Final'!$A$46:$P$1775,$D$80,FALSE)</f>
        <v>224589723</v>
      </c>
      <c r="E83" s="82">
        <f>VLOOKUP($A83&amp;"KWH",'E11 - 2013 09 Final'!$A$46:$P$1775,$E$80,FALSE)</f>
        <v>215691041</v>
      </c>
      <c r="F83" s="82">
        <f>VLOOKUP($A83&amp;"KWH",'E11 - 2013 09 Final'!$A$46:$P$1775,$F$80,FALSE)</f>
        <v>231521252</v>
      </c>
      <c r="G83" s="82">
        <f>VLOOKUP($A83&amp;"KWH",'E11 - 2013 09 Final'!$A$46:$P$1775,$G$80,FALSE)</f>
        <v>243133579</v>
      </c>
      <c r="H83" s="82">
        <f>VLOOKUP($A83&amp;"KWH",'E11 - 2013 09 Final'!$A$46:$P$1775,$H$80,FALSE)</f>
        <v>241945532</v>
      </c>
      <c r="I83" s="82">
        <f>VLOOKUP($A83&amp;"KWH",'E11 - 2013 09 Final'!$A$46:$P$1775,$I$80,FALSE)</f>
        <v>245212136</v>
      </c>
      <c r="J83" s="82">
        <f>VLOOKUP($A83&amp;"KWH",'E11 - 2013 09 Final'!$A$46:$P$1775,$J$80,FALSE)</f>
        <v>251840117</v>
      </c>
      <c r="K83" s="82">
        <f>VLOOKUP($A83&amp;"KWH",'E11 - 2013 09 Final'!$A$46:$P$1775,$K$80,FALSE)</f>
        <v>260019952</v>
      </c>
      <c r="L83" s="82">
        <f>VLOOKUP($A83&amp;"KWH",'E11 - 2013 09 Final'!$A$46:$P$1775,$L$80,FALSE)</f>
        <v>235575458</v>
      </c>
      <c r="M83" s="82">
        <f>VLOOKUP($A83&amp;"KWH",'E11 - 2013 09 Final'!$A$46:$P$1775,$M$80,FALSE)</f>
        <v>228430701</v>
      </c>
      <c r="N83" s="82">
        <f>VLOOKUP($A83&amp;"KWH",'E11 - 2013 09 Final'!$A$46:$P$1775,$N$80,FALSE)</f>
        <v>234295211</v>
      </c>
      <c r="O83" s="44">
        <f t="shared" ref="O83:O99" si="17">SUM(C83:N83)</f>
        <v>2849709850</v>
      </c>
      <c r="P83" s="11">
        <f t="shared" ref="P83:P99" si="18">+O83/12</f>
        <v>237475820.83333334</v>
      </c>
    </row>
    <row r="84" spans="1:16">
      <c r="A84" t="s">
        <v>177</v>
      </c>
      <c r="B84" s="43" t="s">
        <v>85</v>
      </c>
      <c r="C84" s="82">
        <f>VLOOKUP($A84&amp;"KWH",'E11 - 2013 09 Final'!$A$46:$P$1775,$C$80,FALSE)</f>
        <v>15530104</v>
      </c>
      <c r="D84" s="82">
        <f>VLOOKUP($A84&amp;"KWH",'E11 - 2013 09 Final'!$A$46:$P$1775,$D$80,FALSE)</f>
        <v>14503304</v>
      </c>
      <c r="E84" s="82">
        <f>VLOOKUP($A84&amp;"KWH",'E11 - 2013 09 Final'!$A$46:$P$1775,$E$80,FALSE)</f>
        <v>14204414</v>
      </c>
      <c r="F84" s="82">
        <f>VLOOKUP($A84&amp;"KWH",'E11 - 2013 09 Final'!$A$46:$P$1775,$F$80,FALSE)</f>
        <v>15396162</v>
      </c>
      <c r="G84" s="82">
        <f>VLOOKUP($A84&amp;"KWH",'E11 - 2013 09 Final'!$A$46:$P$1775,$G$80,FALSE)</f>
        <v>16085247</v>
      </c>
      <c r="H84" s="82">
        <f>VLOOKUP($A84&amp;"KWH",'E11 - 2013 09 Final'!$A$46:$P$1775,$H$80,FALSE)</f>
        <v>16179938</v>
      </c>
      <c r="I84" s="82">
        <f>VLOOKUP($A84&amp;"KWH",'E11 - 2013 09 Final'!$A$46:$P$1775,$I$80,FALSE)</f>
        <v>16373128</v>
      </c>
      <c r="J84" s="82">
        <f>VLOOKUP($A84&amp;"KWH",'E11 - 2013 09 Final'!$A$46:$P$1775,$J$80,FALSE)</f>
        <v>16724332</v>
      </c>
      <c r="K84" s="82">
        <f>VLOOKUP($A84&amp;"KWH",'E11 - 2013 09 Final'!$A$46:$P$1775,$K$80,FALSE)</f>
        <v>17336820</v>
      </c>
      <c r="L84" s="82">
        <f>VLOOKUP($A84&amp;"KWH",'E11 - 2013 09 Final'!$A$46:$P$1775,$L$80,FALSE)</f>
        <v>16007820</v>
      </c>
      <c r="M84" s="82">
        <f>VLOOKUP($A84&amp;"KWH",'E11 - 2013 09 Final'!$A$46:$P$1775,$M$80,FALSE)</f>
        <v>15580456</v>
      </c>
      <c r="N84" s="82">
        <f>VLOOKUP($A84&amp;"KWH",'E11 - 2013 09 Final'!$A$46:$P$1775,$N$80,FALSE)</f>
        <v>16397980</v>
      </c>
      <c r="O84" s="44">
        <f t="shared" si="17"/>
        <v>190319705</v>
      </c>
      <c r="P84" s="11">
        <f t="shared" si="18"/>
        <v>15859975.416666666</v>
      </c>
    </row>
    <row r="85" spans="1:16">
      <c r="A85" t="s">
        <v>185</v>
      </c>
      <c r="B85" s="43" t="s">
        <v>50</v>
      </c>
      <c r="C85" s="82">
        <f>VLOOKUP($A85&amp;"KWH",'E11 - 2013 09 Final'!$A$46:$P$1775,$C$80,FALSE)</f>
        <v>106752907</v>
      </c>
      <c r="D85" s="82">
        <f>VLOOKUP($A85&amp;"KWH",'E11 - 2013 09 Final'!$A$46:$P$1775,$D$80,FALSE)</f>
        <v>98699726</v>
      </c>
      <c r="E85" s="82">
        <f>VLOOKUP($A85&amp;"KWH",'E11 - 2013 09 Final'!$A$46:$P$1775,$E$80,FALSE)</f>
        <v>106642522</v>
      </c>
      <c r="F85" s="82">
        <f>VLOOKUP($A85&amp;"KWH",'E11 - 2013 09 Final'!$A$46:$P$1775,$F$80,FALSE)</f>
        <v>108419860</v>
      </c>
      <c r="G85" s="82">
        <f>VLOOKUP($A85&amp;"KWH",'E11 - 2013 09 Final'!$A$46:$P$1775,$G$80,FALSE)</f>
        <v>112476573</v>
      </c>
      <c r="H85" s="82">
        <f>VLOOKUP($A85&amp;"KWH",'E11 - 2013 09 Final'!$A$46:$P$1775,$H$80,FALSE)</f>
        <v>111099584</v>
      </c>
      <c r="I85" s="82">
        <f>VLOOKUP($A85&amp;"KWH",'E11 - 2013 09 Final'!$A$46:$P$1775,$I$80,FALSE)</f>
        <v>114278417</v>
      </c>
      <c r="J85" s="82">
        <f>VLOOKUP($A85&amp;"KWH",'E11 - 2013 09 Final'!$A$46:$P$1775,$J$80,FALSE)</f>
        <v>122284200</v>
      </c>
      <c r="K85" s="82">
        <f>VLOOKUP($A85&amp;"KWH",'E11 - 2013 09 Final'!$A$46:$P$1775,$K$80,FALSE)</f>
        <v>107645379</v>
      </c>
      <c r="L85" s="82">
        <f>VLOOKUP($A85&amp;"KWH",'E11 - 2013 09 Final'!$A$46:$P$1775,$L$80,FALSE)</f>
        <v>109628994</v>
      </c>
      <c r="M85" s="82">
        <f>VLOOKUP($A85&amp;"KWH",'E11 - 2013 09 Final'!$A$46:$P$1775,$M$80,FALSE)</f>
        <v>110249892</v>
      </c>
      <c r="N85" s="82">
        <f>VLOOKUP($A85&amp;"KWH",'E11 - 2013 09 Final'!$A$46:$P$1775,$N$80,FALSE)</f>
        <v>106184186</v>
      </c>
      <c r="O85" s="44">
        <f t="shared" si="17"/>
        <v>1314362240</v>
      </c>
      <c r="P85" s="11">
        <f t="shared" si="18"/>
        <v>109530186.66666667</v>
      </c>
    </row>
    <row r="86" spans="1:16">
      <c r="A86" t="s">
        <v>632</v>
      </c>
      <c r="B86" s="530" t="s">
        <v>49</v>
      </c>
      <c r="C86" s="82">
        <f>VLOOKUP($A86&amp;"KWH",'E11 - 2013 09 Final'!$A$46:$P$1775,$C$80,FALSE)</f>
        <v>438632493</v>
      </c>
      <c r="D86" s="82">
        <f>VLOOKUP($A86&amp;"KWH",'E11 - 2013 09 Final'!$A$46:$P$1775,$D$80,FALSE)</f>
        <v>419130492</v>
      </c>
      <c r="E86" s="82">
        <f>VLOOKUP($A86&amp;"KWH",'E11 - 2013 09 Final'!$A$46:$P$1775,$E$80,FALSE)</f>
        <v>400800672</v>
      </c>
      <c r="F86" s="82">
        <f>VLOOKUP($A86&amp;"KWH",'E11 - 2013 09 Final'!$A$46:$P$1775,$F$80,FALSE)</f>
        <v>441897864</v>
      </c>
      <c r="G86" s="82">
        <f>VLOOKUP($A86&amp;"KWH",'E11 - 2013 09 Final'!$A$46:$P$1775,$G$80,FALSE)</f>
        <v>494310513</v>
      </c>
      <c r="H86" s="82">
        <f>VLOOKUP($A86&amp;"KWH",'E11 - 2013 09 Final'!$A$46:$P$1775,$H$80,FALSE)</f>
        <v>509159880</v>
      </c>
      <c r="I86" s="82">
        <f>VLOOKUP($A86&amp;"KWH",'E11 - 2013 09 Final'!$A$46:$P$1775,$I$80,FALSE)</f>
        <v>533744277</v>
      </c>
      <c r="J86" s="82">
        <f>VLOOKUP($A86&amp;"KWH",'E11 - 2013 09 Final'!$A$46:$P$1775,$J$80,FALSE)</f>
        <v>563437135</v>
      </c>
      <c r="K86" s="82">
        <f>VLOOKUP($A86&amp;"KWH",'E11 - 2013 09 Final'!$A$46:$P$1775,$K$80,FALSE)</f>
        <v>572532020</v>
      </c>
      <c r="L86" s="82">
        <f>VLOOKUP($A86&amp;"KWH",'E11 - 2013 09 Final'!$A$46:$P$1775,$L$80,FALSE)</f>
        <v>515827482</v>
      </c>
      <c r="M86" s="82">
        <f>VLOOKUP($A86&amp;"KWH",'E11 - 2013 09 Final'!$A$46:$P$1775,$M$80,FALSE)</f>
        <v>483284703</v>
      </c>
      <c r="N86" s="82">
        <f>VLOOKUP($A86&amp;"KWH",'E11 - 2013 09 Final'!$A$46:$P$1775,$N$80,FALSE)</f>
        <v>465453640</v>
      </c>
      <c r="O86" s="44">
        <f t="shared" si="17"/>
        <v>5838211171</v>
      </c>
      <c r="P86" s="11">
        <f t="shared" si="18"/>
        <v>486517597.58333331</v>
      </c>
    </row>
    <row r="87" spans="1:16">
      <c r="A87" t="s">
        <v>640</v>
      </c>
      <c r="B87" s="46" t="s">
        <v>325</v>
      </c>
      <c r="C87" s="82">
        <f>VLOOKUP($A87&amp;"KWH",'E11 - 2013 09 Final'!$A$46:$P$1775,$C$80,FALSE)</f>
        <v>2199758</v>
      </c>
      <c r="D87" s="82">
        <f>VLOOKUP($A87&amp;"KWH",'E11 - 2013 09 Final'!$A$46:$P$1775,$D$80,FALSE)</f>
        <v>2028689</v>
      </c>
      <c r="E87" s="82">
        <f>VLOOKUP($A87&amp;"KWH",'E11 - 2013 09 Final'!$A$46:$P$1775,$E$80,FALSE)</f>
        <v>1922866</v>
      </c>
      <c r="F87" s="82">
        <f>VLOOKUP($A87&amp;"KWH",'E11 - 2013 09 Final'!$A$46:$P$1775,$F$80,FALSE)</f>
        <v>2019508</v>
      </c>
      <c r="G87" s="82">
        <f>VLOOKUP($A87&amp;"KWH",'E11 - 2013 09 Final'!$A$46:$P$1775,$G$80,FALSE)</f>
        <v>1998791</v>
      </c>
      <c r="H87" s="82">
        <f>VLOOKUP($A87&amp;"KWH",'E11 - 2013 09 Final'!$A$46:$P$1775,$H$80,FALSE)</f>
        <v>4173966</v>
      </c>
      <c r="I87" s="82">
        <f>VLOOKUP($A87&amp;"KWH",'E11 - 2013 09 Final'!$A$46:$P$1775,$I$80,FALSE)</f>
        <v>4819399</v>
      </c>
      <c r="J87" s="82">
        <f>VLOOKUP($A87&amp;"KWH",'E11 - 2013 09 Final'!$A$46:$P$1775,$J$80,FALSE)</f>
        <v>4840420</v>
      </c>
      <c r="K87" s="82">
        <f>VLOOKUP($A87&amp;"KWH",'E11 - 2013 09 Final'!$A$46:$P$1775,$K$80,FALSE)</f>
        <v>4850906</v>
      </c>
      <c r="L87" s="82">
        <f>VLOOKUP($A87&amp;"KWH",'E11 - 2013 09 Final'!$A$46:$P$1775,$L$80,FALSE)</f>
        <v>895007</v>
      </c>
      <c r="M87" s="82">
        <f>VLOOKUP($A87&amp;"KWH",'E11 - 2013 09 Final'!$A$46:$P$1775,$M$80,FALSE)</f>
        <v>852730</v>
      </c>
      <c r="N87" s="82">
        <f>VLOOKUP($A87&amp;"KWH",'E11 - 2013 09 Final'!$A$46:$P$1775,$N$80,FALSE)</f>
        <v>894920</v>
      </c>
      <c r="O87" s="44">
        <f t="shared" si="17"/>
        <v>31496960</v>
      </c>
      <c r="P87" s="11">
        <f t="shared" si="18"/>
        <v>2624746.6666666665</v>
      </c>
    </row>
    <row r="88" spans="1:16">
      <c r="A88" t="s">
        <v>994</v>
      </c>
      <c r="B88" s="43" t="s">
        <v>67</v>
      </c>
      <c r="C88" s="82">
        <f>VLOOKUP($A88&amp;"KWH",'E11 - 2013 09 Final'!$A$46:$P$1775,$C$80,FALSE)</f>
        <v>1954254475</v>
      </c>
      <c r="D88" s="82">
        <f>VLOOKUP($A88&amp;"KWH",'E11 - 2013 09 Final'!$A$46:$P$1775,$D$80,FALSE)</f>
        <v>1850363668</v>
      </c>
      <c r="E88" s="82">
        <f>VLOOKUP($A88&amp;"KWH",'E11 - 2013 09 Final'!$A$46:$P$1775,$E$80,FALSE)</f>
        <v>1747565407</v>
      </c>
      <c r="F88" s="82">
        <f>VLOOKUP($A88&amp;"KWH",'E11 - 2013 09 Final'!$A$46:$P$1775,$F$80,FALSE)</f>
        <v>1930271326</v>
      </c>
      <c r="G88" s="82">
        <f>VLOOKUP($A88&amp;"KWH",'E11 - 2013 09 Final'!$A$46:$P$1775,$G$80,FALSE)</f>
        <v>2131021662</v>
      </c>
      <c r="H88" s="82">
        <f>VLOOKUP($A88&amp;"KWH",'E11 - 2013 09 Final'!$A$46:$P$1775,$H$80,FALSE)</f>
        <v>2174700544</v>
      </c>
      <c r="I88" s="82">
        <f>VLOOKUP($A88&amp;"KWH",'E11 - 2013 09 Final'!$A$46:$P$1775,$I$80,FALSE)</f>
        <v>2247125544</v>
      </c>
      <c r="J88" s="82">
        <f>VLOOKUP($A88&amp;"KWH",'E11 - 2013 09 Final'!$A$46:$P$1775,$J$80,FALSE)</f>
        <v>2356627770</v>
      </c>
      <c r="K88" s="82">
        <f>VLOOKUP($A88&amp;"KWH",'E11 - 2013 09 Final'!$A$46:$P$1775,$K$80,FALSE)</f>
        <v>2394215780</v>
      </c>
      <c r="L88" s="82">
        <f>VLOOKUP($A88&amp;"KWH",'E11 - 2013 09 Final'!$A$46:$P$1775,$L$80,FALSE)</f>
        <v>2153472963</v>
      </c>
      <c r="M88" s="82">
        <f>VLOOKUP($A88&amp;"KWH",'E11 - 2013 09 Final'!$A$46:$P$1775,$M$80,FALSE)</f>
        <v>2042148688</v>
      </c>
      <c r="N88" s="82">
        <f>VLOOKUP($A88&amp;"KWH",'E11 - 2013 09 Final'!$A$46:$P$1775,$N$80,FALSE)</f>
        <v>2028688093</v>
      </c>
      <c r="O88" s="44">
        <f t="shared" si="17"/>
        <v>25010455920</v>
      </c>
      <c r="P88" s="11">
        <f t="shared" si="18"/>
        <v>2084204660</v>
      </c>
    </row>
    <row r="89" spans="1:16">
      <c r="A89" t="s">
        <v>997</v>
      </c>
      <c r="B89" s="43" t="s">
        <v>68</v>
      </c>
      <c r="C89" s="82">
        <f>VLOOKUP($A89&amp;"KWH",'E11 - 2013 09 Final'!$A$46:$P$1775,$C$80,FALSE)</f>
        <v>823546198</v>
      </c>
      <c r="D89" s="82">
        <f>VLOOKUP($A89&amp;"KWH",'E11 - 2013 09 Final'!$A$46:$P$1775,$D$80,FALSE)</f>
        <v>782911300</v>
      </c>
      <c r="E89" s="82">
        <f>VLOOKUP($A89&amp;"KWH",'E11 - 2013 09 Final'!$A$46:$P$1775,$E$80,FALSE)</f>
        <v>751409328</v>
      </c>
      <c r="F89" s="82">
        <f>VLOOKUP($A89&amp;"KWH",'E11 - 2013 09 Final'!$A$46:$P$1775,$F$80,FALSE)</f>
        <v>812397329</v>
      </c>
      <c r="G89" s="82">
        <f>VLOOKUP($A89&amp;"KWH",'E11 - 2013 09 Final'!$A$46:$P$1775,$G$80,FALSE)</f>
        <v>893530992</v>
      </c>
      <c r="H89" s="82">
        <f>VLOOKUP($A89&amp;"KWH",'E11 - 2013 09 Final'!$A$46:$P$1775,$H$80,FALSE)</f>
        <v>888691482</v>
      </c>
      <c r="I89" s="82">
        <f>VLOOKUP($A89&amp;"KWH",'E11 - 2013 09 Final'!$A$46:$P$1775,$I$80,FALSE)</f>
        <v>931437729</v>
      </c>
      <c r="J89" s="82">
        <f>VLOOKUP($A89&amp;"KWH",'E11 - 2013 09 Final'!$A$46:$P$1775,$J$80,FALSE)</f>
        <v>949277384</v>
      </c>
      <c r="K89" s="82">
        <f>VLOOKUP($A89&amp;"KWH",'E11 - 2013 09 Final'!$A$46:$P$1775,$K$80,FALSE)</f>
        <v>991427871</v>
      </c>
      <c r="L89" s="82">
        <f>VLOOKUP($A89&amp;"KWH",'E11 - 2013 09 Final'!$A$46:$P$1775,$L$80,FALSE)</f>
        <v>890444090</v>
      </c>
      <c r="M89" s="82">
        <f>VLOOKUP($A89&amp;"KWH",'E11 - 2013 09 Final'!$A$46:$P$1775,$M$80,FALSE)</f>
        <v>842094027</v>
      </c>
      <c r="N89" s="82">
        <f>VLOOKUP($A89&amp;"KWH",'E11 - 2013 09 Final'!$A$46:$P$1775,$N$80,FALSE)</f>
        <v>851172159</v>
      </c>
      <c r="O89" s="44">
        <f t="shared" si="17"/>
        <v>10408339889</v>
      </c>
      <c r="P89" s="11">
        <f t="shared" si="18"/>
        <v>867361657.41666663</v>
      </c>
    </row>
    <row r="90" spans="1:16">
      <c r="A90" t="s">
        <v>713</v>
      </c>
      <c r="B90" s="43" t="s">
        <v>69</v>
      </c>
      <c r="C90" s="82">
        <f>VLOOKUP($A90&amp;"KWH",'E11 - 2013 09 Final'!$A$46:$P$1775,$C$80,FALSE)</f>
        <v>199633330</v>
      </c>
      <c r="D90" s="82">
        <f>VLOOKUP($A90&amp;"KWH",'E11 - 2013 09 Final'!$A$46:$P$1775,$D$80,FALSE)</f>
        <v>187328272</v>
      </c>
      <c r="E90" s="82">
        <f>VLOOKUP($A90&amp;"KWH",'E11 - 2013 09 Final'!$A$46:$P$1775,$E$80,FALSE)</f>
        <v>179501716</v>
      </c>
      <c r="F90" s="82">
        <f>VLOOKUP($A90&amp;"KWH",'E11 - 2013 09 Final'!$A$46:$P$1775,$F$80,FALSE)</f>
        <v>195046693</v>
      </c>
      <c r="G90" s="82">
        <f>VLOOKUP($A90&amp;"KWH",'E11 - 2013 09 Final'!$A$46:$P$1775,$G$80,FALSE)</f>
        <v>207164109</v>
      </c>
      <c r="H90" s="82">
        <f>VLOOKUP($A90&amp;"KWH",'E11 - 2013 09 Final'!$A$46:$P$1775,$H$80,FALSE)</f>
        <v>236154680</v>
      </c>
      <c r="I90" s="82">
        <f>VLOOKUP($A90&amp;"KWH",'E11 - 2013 09 Final'!$A$46:$P$1775,$I$80,FALSE)</f>
        <v>225013194</v>
      </c>
      <c r="J90" s="82">
        <f>VLOOKUP($A90&amp;"KWH",'E11 - 2013 09 Final'!$A$46:$P$1775,$J$80,FALSE)</f>
        <v>248169698</v>
      </c>
      <c r="K90" s="82">
        <f>VLOOKUP($A90&amp;"KWH",'E11 - 2013 09 Final'!$A$46:$P$1775,$K$80,FALSE)</f>
        <v>226955503</v>
      </c>
      <c r="L90" s="82">
        <f>VLOOKUP($A90&amp;"KWH",'E11 - 2013 09 Final'!$A$46:$P$1775,$L$80,FALSE)</f>
        <v>207626624</v>
      </c>
      <c r="M90" s="82">
        <f>VLOOKUP($A90&amp;"KWH",'E11 - 2013 09 Final'!$A$46:$P$1775,$M$80,FALSE)</f>
        <v>201222971</v>
      </c>
      <c r="N90" s="82">
        <f>VLOOKUP($A90&amp;"KWH",'E11 - 2013 09 Final'!$A$46:$P$1775,$N$80,FALSE)</f>
        <v>202532997</v>
      </c>
      <c r="O90" s="44">
        <f t="shared" si="17"/>
        <v>2516349787</v>
      </c>
      <c r="P90" s="11">
        <f t="shared" si="18"/>
        <v>209695815.58333334</v>
      </c>
    </row>
    <row r="91" spans="1:16">
      <c r="A91" t="s">
        <v>717</v>
      </c>
      <c r="B91" s="43" t="s">
        <v>52</v>
      </c>
      <c r="C91" s="82">
        <f>VLOOKUP($A91&amp;"KWH",'E11 - 2013 09 Final'!$A$46:$P$1775,$C$80,FALSE)</f>
        <v>16805416</v>
      </c>
      <c r="D91" s="82">
        <f>VLOOKUP($A91&amp;"KWH",'E11 - 2013 09 Final'!$A$46:$P$1775,$D$80,FALSE)</f>
        <v>12488943</v>
      </c>
      <c r="E91" s="82">
        <f>VLOOKUP($A91&amp;"KWH",'E11 - 2013 09 Final'!$A$46:$P$1775,$E$80,FALSE)</f>
        <v>14315233</v>
      </c>
      <c r="F91" s="82">
        <f>VLOOKUP($A91&amp;"KWH",'E11 - 2013 09 Final'!$A$46:$P$1775,$F$80,FALSE)</f>
        <v>14608459</v>
      </c>
      <c r="G91" s="82">
        <f>VLOOKUP($A91&amp;"KWH",'E11 - 2013 09 Final'!$A$46:$P$1775,$G$80,FALSE)</f>
        <v>14566871</v>
      </c>
      <c r="H91" s="82">
        <f>VLOOKUP($A91&amp;"KWH",'E11 - 2013 09 Final'!$A$46:$P$1775,$H$80,FALSE)</f>
        <v>11576923</v>
      </c>
      <c r="I91" s="82">
        <f>VLOOKUP($A91&amp;"KWH",'E11 - 2013 09 Final'!$A$46:$P$1775,$I$80,FALSE)</f>
        <v>12074340</v>
      </c>
      <c r="J91" s="82">
        <f>VLOOKUP($A91&amp;"KWH",'E11 - 2013 09 Final'!$A$46:$P$1775,$J$80,FALSE)</f>
        <v>12864442</v>
      </c>
      <c r="K91" s="82">
        <f>VLOOKUP($A91&amp;"KWH",'E11 - 2013 09 Final'!$A$46:$P$1775,$K$80,FALSE)</f>
        <v>11008116</v>
      </c>
      <c r="L91" s="82">
        <f>VLOOKUP($A91&amp;"KWH",'E11 - 2013 09 Final'!$A$46:$P$1775,$L$80,FALSE)</f>
        <v>11884295</v>
      </c>
      <c r="M91" s="82">
        <f>VLOOKUP($A91&amp;"KWH",'E11 - 2013 09 Final'!$A$46:$P$1775,$M$80,FALSE)</f>
        <v>10443460</v>
      </c>
      <c r="N91" s="82">
        <f>VLOOKUP($A91&amp;"KWH",'E11 - 2013 09 Final'!$A$46:$P$1775,$N$80,FALSE)</f>
        <v>13199876</v>
      </c>
      <c r="O91" s="44">
        <f t="shared" si="17"/>
        <v>155836374</v>
      </c>
      <c r="P91" s="11">
        <f t="shared" si="18"/>
        <v>12986364.5</v>
      </c>
    </row>
    <row r="92" spans="1:16">
      <c r="A92" t="s">
        <v>15</v>
      </c>
      <c r="B92" s="206" t="s">
        <v>15</v>
      </c>
      <c r="C92" s="82">
        <f>VLOOKUP($A92&amp;"KWH",'E11 - 2013 09 Final'!$A$46:$P$1775,$C$80,FALSE)</f>
        <v>6879605</v>
      </c>
      <c r="D92" s="82">
        <f>VLOOKUP($A92&amp;"KWH",'E11 - 2013 09 Final'!$A$46:$P$1775,$D$80,FALSE)</f>
        <v>6340211</v>
      </c>
      <c r="E92" s="82">
        <f>VLOOKUP($A92&amp;"KWH",'E11 - 2013 09 Final'!$A$46:$P$1775,$E$80,FALSE)</f>
        <v>6975898</v>
      </c>
      <c r="F92" s="82">
        <f>VLOOKUP($A92&amp;"KWH",'E11 - 2013 09 Final'!$A$46:$P$1775,$F$80,FALSE)</f>
        <v>7286304</v>
      </c>
      <c r="G92" s="82">
        <f>VLOOKUP($A92&amp;"KWH",'E11 - 2013 09 Final'!$A$46:$P$1775,$G$80,FALSE)</f>
        <v>7571534</v>
      </c>
      <c r="H92" s="82">
        <f>VLOOKUP($A92&amp;"KWH",'E11 - 2013 09 Final'!$A$46:$P$1775,$H$80,FALSE)</f>
        <v>7606903</v>
      </c>
      <c r="I92" s="82">
        <f>VLOOKUP($A92&amp;"KWH",'E11 - 2013 09 Final'!$A$46:$P$1775,$I$80,FALSE)</f>
        <v>7910220</v>
      </c>
      <c r="J92" s="82">
        <f>VLOOKUP($A92&amp;"KWH",'E11 - 2013 09 Final'!$A$46:$P$1775,$J$80,FALSE)</f>
        <v>8026600</v>
      </c>
      <c r="K92" s="82">
        <f>VLOOKUP($A92&amp;"KWH",'E11 - 2013 09 Final'!$A$46:$P$1775,$K$80,FALSE)</f>
        <v>7529625</v>
      </c>
      <c r="L92" s="82">
        <f>VLOOKUP($A92&amp;"KWH",'E11 - 2013 09 Final'!$A$46:$P$1775,$L$80,FALSE)</f>
        <v>7763665</v>
      </c>
      <c r="M92" s="82">
        <f>VLOOKUP($A92&amp;"KWH",'E11 - 2013 09 Final'!$A$46:$P$1775,$M$80,FALSE)</f>
        <v>7072185</v>
      </c>
      <c r="N92" s="82">
        <f>VLOOKUP($A92&amp;"KWH",'E11 - 2013 09 Final'!$A$46:$P$1775,$N$80,FALSE)</f>
        <v>7382731</v>
      </c>
      <c r="O92" s="44">
        <f t="shared" si="17"/>
        <v>88345481</v>
      </c>
      <c r="P92" s="11">
        <f t="shared" si="18"/>
        <v>7362123.416666667</v>
      </c>
    </row>
    <row r="93" spans="1:16">
      <c r="A93" t="s">
        <v>19</v>
      </c>
      <c r="B93" s="43" t="s">
        <v>56</v>
      </c>
      <c r="C93" s="82">
        <f>VLOOKUP($A93&amp;"KWH",'E11 - 2013 09 Final'!$A$46:$P$1775,$C$80,FALSE)</f>
        <v>8381610</v>
      </c>
      <c r="D93" s="82">
        <f>VLOOKUP($A93&amp;"KWH",'E11 - 2013 09 Final'!$A$46:$P$1775,$D$80,FALSE)</f>
        <v>8374489</v>
      </c>
      <c r="E93" s="82">
        <f>VLOOKUP($A93&amp;"KWH",'E11 - 2013 09 Final'!$A$46:$P$1775,$E$80,FALSE)</f>
        <v>8431732</v>
      </c>
      <c r="F93" s="82">
        <f>VLOOKUP($A93&amp;"KWH",'E11 - 2013 09 Final'!$A$46:$P$1775,$F$80,FALSE)</f>
        <v>8412790</v>
      </c>
      <c r="G93" s="82">
        <f>VLOOKUP($A93&amp;"KWH",'E11 - 2013 09 Final'!$A$46:$P$1775,$G$80,FALSE)</f>
        <v>8353306</v>
      </c>
      <c r="H93" s="82">
        <f>VLOOKUP($A93&amp;"KWH",'E11 - 2013 09 Final'!$A$46:$P$1775,$H$80,FALSE)</f>
        <v>8411643</v>
      </c>
      <c r="I93" s="82">
        <f>VLOOKUP($A93&amp;"KWH",'E11 - 2013 09 Final'!$A$46:$P$1775,$I$80,FALSE)</f>
        <v>8413312</v>
      </c>
      <c r="J93" s="82">
        <f>VLOOKUP($A93&amp;"KWH",'E11 - 2013 09 Final'!$A$46:$P$1775,$J$80,FALSE)</f>
        <v>8473492</v>
      </c>
      <c r="K93" s="82">
        <f>VLOOKUP($A93&amp;"KWH",'E11 - 2013 09 Final'!$A$46:$P$1775,$K$80,FALSE)</f>
        <v>8377611</v>
      </c>
      <c r="L93" s="82">
        <f>VLOOKUP($A93&amp;"KWH",'E11 - 2013 09 Final'!$A$46:$P$1775,$L$80,FALSE)</f>
        <v>8397953</v>
      </c>
      <c r="M93" s="82">
        <f>VLOOKUP($A93&amp;"KWH",'E11 - 2013 09 Final'!$A$46:$P$1775,$M$80,FALSE)</f>
        <v>8363908</v>
      </c>
      <c r="N93" s="82">
        <f>VLOOKUP($A93&amp;"KWH",'E11 - 2013 09 Final'!$A$46:$P$1775,$N$80,FALSE)</f>
        <v>8365897</v>
      </c>
      <c r="O93" s="44">
        <f t="shared" si="17"/>
        <v>100757743</v>
      </c>
      <c r="P93" s="11">
        <f t="shared" si="18"/>
        <v>8396478.583333334</v>
      </c>
    </row>
    <row r="94" spans="1:16">
      <c r="A94" t="s">
        <v>22</v>
      </c>
      <c r="B94" s="43" t="s">
        <v>57</v>
      </c>
      <c r="C94" s="82">
        <f>VLOOKUP($A94&amp;"KWH",'E11 - 2013 09 Final'!$A$46:$P$1775,$C$80,FALSE)</f>
        <v>903263</v>
      </c>
      <c r="D94" s="82">
        <f>VLOOKUP($A94&amp;"KWH",'E11 - 2013 09 Final'!$A$46:$P$1775,$D$80,FALSE)</f>
        <v>1124390</v>
      </c>
      <c r="E94" s="82">
        <f>VLOOKUP($A94&amp;"KWH",'E11 - 2013 09 Final'!$A$46:$P$1775,$E$80,FALSE)</f>
        <v>1109925</v>
      </c>
      <c r="F94" s="82">
        <f>VLOOKUP($A94&amp;"KWH",'E11 - 2013 09 Final'!$A$46:$P$1775,$F$80,FALSE)</f>
        <v>937985</v>
      </c>
      <c r="G94" s="82">
        <f>VLOOKUP($A94&amp;"KWH",'E11 - 2013 09 Final'!$A$46:$P$1775,$G$80,FALSE)</f>
        <v>884813</v>
      </c>
      <c r="H94" s="82">
        <f>VLOOKUP($A94&amp;"KWH",'E11 - 2013 09 Final'!$A$46:$P$1775,$H$80,FALSE)</f>
        <v>821135</v>
      </c>
      <c r="I94" s="82">
        <f>VLOOKUP($A94&amp;"KWH",'E11 - 2013 09 Final'!$A$46:$P$1775,$I$80,FALSE)</f>
        <v>764368</v>
      </c>
      <c r="J94" s="82">
        <f>VLOOKUP($A94&amp;"KWH",'E11 - 2013 09 Final'!$A$46:$P$1775,$J$80,FALSE)</f>
        <v>789236</v>
      </c>
      <c r="K94" s="82">
        <f>VLOOKUP($A94&amp;"KWH",'E11 - 2013 09 Final'!$A$46:$P$1775,$K$80,FALSE)</f>
        <v>957475</v>
      </c>
      <c r="L94" s="82">
        <f>VLOOKUP($A94&amp;"KWH",'E11 - 2013 09 Final'!$A$46:$P$1775,$L$80,FALSE)</f>
        <v>1023140</v>
      </c>
      <c r="M94" s="82">
        <f>VLOOKUP($A94&amp;"KWH",'E11 - 2013 09 Final'!$A$46:$P$1775,$M$80,FALSE)</f>
        <v>1142558</v>
      </c>
      <c r="N94" s="82">
        <f>VLOOKUP($A94&amp;"KWH",'E11 - 2013 09 Final'!$A$46:$P$1775,$N$80,FALSE)</f>
        <v>1045115</v>
      </c>
      <c r="O94" s="44">
        <f t="shared" si="17"/>
        <v>11503403</v>
      </c>
      <c r="P94" s="11">
        <f t="shared" si="18"/>
        <v>958616.91666666663</v>
      </c>
    </row>
    <row r="95" spans="1:16">
      <c r="A95" t="s">
        <v>687</v>
      </c>
      <c r="B95" s="530" t="s">
        <v>48</v>
      </c>
      <c r="C95" s="82">
        <f>VLOOKUP($A95&amp;"KWH",'E11 - 2013 09 Final'!$A$46:$P$1775,$C$80,FALSE)</f>
        <v>3854898868</v>
      </c>
      <c r="D95" s="82">
        <f>VLOOKUP($A95&amp;"KWH",'E11 - 2013 09 Final'!$A$46:$P$1775,$D$80,FALSE)</f>
        <v>3476505327</v>
      </c>
      <c r="E95" s="82">
        <f>VLOOKUP($A95&amp;"KWH",'E11 - 2013 09 Final'!$A$46:$P$1775,$E$80,FALSE)</f>
        <v>3502481624</v>
      </c>
      <c r="F95" s="82">
        <f>VLOOKUP($A95&amp;"KWH",'E11 - 2013 09 Final'!$A$46:$P$1775,$F$80,FALSE)</f>
        <v>3878283075</v>
      </c>
      <c r="G95" s="82">
        <f>VLOOKUP($A95&amp;"KWH",'E11 - 2013 09 Final'!$A$46:$P$1775,$G$80,FALSE)</f>
        <v>4439157429</v>
      </c>
      <c r="H95" s="82">
        <f>VLOOKUP($A95&amp;"KWH",'E11 - 2013 09 Final'!$A$46:$P$1775,$H$80,FALSE)</f>
        <v>4884788501</v>
      </c>
      <c r="I95" s="82">
        <f>VLOOKUP($A95&amp;"KWH",'E11 - 2013 09 Final'!$A$46:$P$1775,$I$80,FALSE)</f>
        <v>5400710213</v>
      </c>
      <c r="J95" s="82">
        <f>VLOOKUP($A95&amp;"KWH",'E11 - 2013 09 Final'!$A$46:$P$1775,$J$80,FALSE)</f>
        <v>5716990634</v>
      </c>
      <c r="K95" s="82">
        <f>VLOOKUP($A95&amp;"KWH",'E11 - 2013 09 Final'!$A$46:$P$1775,$K$80,FALSE)</f>
        <v>5722780526</v>
      </c>
      <c r="L95" s="82">
        <f>VLOOKUP($A95&amp;"KWH",'E11 - 2013 09 Final'!$A$46:$P$1775,$L$80,FALSE)</f>
        <v>4865811236</v>
      </c>
      <c r="M95" s="82">
        <f>VLOOKUP($A95&amp;"KWH",'E11 - 2013 09 Final'!$A$46:$P$1775,$M$80,FALSE)</f>
        <v>4221523243</v>
      </c>
      <c r="N95" s="82">
        <f>VLOOKUP($A95&amp;"KWH",'E11 - 2013 09 Final'!$A$46:$P$1775,$N$80,FALSE)</f>
        <v>3938635150</v>
      </c>
      <c r="O95" s="44">
        <f t="shared" si="17"/>
        <v>53902565826</v>
      </c>
      <c r="P95" s="11">
        <f t="shared" si="18"/>
        <v>4491880485.5</v>
      </c>
    </row>
    <row r="96" spans="1:16">
      <c r="A96" t="s">
        <v>35</v>
      </c>
      <c r="B96" s="43" t="s">
        <v>53</v>
      </c>
      <c r="C96" s="82">
        <f>VLOOKUP($A96&amp;"KWH",'E11 - 2013 09 Final'!$A$46:$P$1775,$C$80,FALSE)</f>
        <v>41671089</v>
      </c>
      <c r="D96" s="82">
        <f>VLOOKUP($A96&amp;"KWH",'E11 - 2013 09 Final'!$A$46:$P$1775,$D$80,FALSE)</f>
        <v>43672909</v>
      </c>
      <c r="E96" s="82">
        <f>VLOOKUP($A96&amp;"KWH",'E11 - 2013 09 Final'!$A$46:$P$1775,$E$80,FALSE)</f>
        <v>42147117</v>
      </c>
      <c r="F96" s="82">
        <f>VLOOKUP($A96&amp;"KWH",'E11 - 2013 09 Final'!$A$46:$P$1775,$F$80,FALSE)</f>
        <v>42103867</v>
      </c>
      <c r="G96" s="82">
        <f>VLOOKUP($A96&amp;"KWH",'E11 - 2013 09 Final'!$A$46:$P$1775,$G$80,FALSE)</f>
        <v>43234602</v>
      </c>
      <c r="H96" s="82">
        <f>VLOOKUP($A96&amp;"KWH",'E11 - 2013 09 Final'!$A$46:$P$1775,$H$80,FALSE)</f>
        <v>42467103</v>
      </c>
      <c r="I96" s="82">
        <f>VLOOKUP($A96&amp;"KWH",'E11 - 2013 09 Final'!$A$46:$P$1775,$I$80,FALSE)</f>
        <v>36352708</v>
      </c>
      <c r="J96" s="82">
        <f>VLOOKUP($A96&amp;"KWH",'E11 - 2013 09 Final'!$A$46:$P$1775,$J$80,FALSE)</f>
        <v>48698040</v>
      </c>
      <c r="K96" s="82">
        <f>VLOOKUP($A96&amp;"KWH",'E11 - 2013 09 Final'!$A$46:$P$1775,$K$80,FALSE)</f>
        <v>43510070</v>
      </c>
      <c r="L96" s="82">
        <f>VLOOKUP($A96&amp;"KWH",'E11 - 2013 09 Final'!$A$46:$P$1775,$L$80,FALSE)</f>
        <v>42053494</v>
      </c>
      <c r="M96" s="82">
        <f>VLOOKUP($A96&amp;"KWH",'E11 - 2013 09 Final'!$A$46:$P$1775,$M$80,FALSE)</f>
        <v>42921725</v>
      </c>
      <c r="N96" s="82">
        <f>VLOOKUP($A96&amp;"KWH",'E11 - 2013 09 Final'!$A$46:$P$1775,$N$80,FALSE)</f>
        <v>42455256</v>
      </c>
      <c r="O96" s="44">
        <f t="shared" si="17"/>
        <v>511287980</v>
      </c>
      <c r="P96" s="11">
        <f t="shared" si="18"/>
        <v>42607331.666666664</v>
      </c>
    </row>
    <row r="97" spans="1:16">
      <c r="A97" t="s">
        <v>38</v>
      </c>
      <c r="B97" s="43" t="s">
        <v>55</v>
      </c>
      <c r="C97" s="82">
        <f>VLOOKUP($A97&amp;"KWH",'E11 - 2013 09 Final'!$A$46:$P$1775,$C$80,FALSE)</f>
        <v>2624447</v>
      </c>
      <c r="D97" s="82">
        <f>VLOOKUP($A97&amp;"KWH",'E11 - 2013 09 Final'!$A$46:$P$1775,$D$80,FALSE)</f>
        <v>2626224</v>
      </c>
      <c r="E97" s="82">
        <f>VLOOKUP($A97&amp;"KWH",'E11 - 2013 09 Final'!$A$46:$P$1775,$E$80,FALSE)</f>
        <v>2633107</v>
      </c>
      <c r="F97" s="82">
        <f>VLOOKUP($A97&amp;"KWH",'E11 - 2013 09 Final'!$A$46:$P$1775,$F$80,FALSE)</f>
        <v>2631862</v>
      </c>
      <c r="G97" s="82">
        <f>VLOOKUP($A97&amp;"KWH",'E11 - 2013 09 Final'!$A$46:$P$1775,$G$80,FALSE)</f>
        <v>2635261</v>
      </c>
      <c r="H97" s="82">
        <f>VLOOKUP($A97&amp;"KWH",'E11 - 2013 09 Final'!$A$46:$P$1775,$H$80,FALSE)</f>
        <v>2303509</v>
      </c>
      <c r="I97" s="82">
        <f>VLOOKUP($A97&amp;"KWH",'E11 - 2013 09 Final'!$A$46:$P$1775,$I$80,FALSE)</f>
        <v>2608307</v>
      </c>
      <c r="J97" s="82">
        <f>VLOOKUP($A97&amp;"KWH",'E11 - 2013 09 Final'!$A$46:$P$1775,$J$80,FALSE)</f>
        <v>2613245</v>
      </c>
      <c r="K97" s="82">
        <f>VLOOKUP($A97&amp;"KWH",'E11 - 2013 09 Final'!$A$46:$P$1775,$K$80,FALSE)</f>
        <v>2500217</v>
      </c>
      <c r="L97" s="82">
        <f>VLOOKUP($A97&amp;"KWH",'E11 - 2013 09 Final'!$A$46:$P$1775,$L$80,FALSE)</f>
        <v>2609206</v>
      </c>
      <c r="M97" s="82">
        <f>VLOOKUP($A97&amp;"KWH",'E11 - 2013 09 Final'!$A$46:$P$1775,$M$80,FALSE)</f>
        <v>2606451</v>
      </c>
      <c r="N97" s="82">
        <f>VLOOKUP($A97&amp;"KWH",'E11 - 2013 09 Final'!$A$46:$P$1775,$N$80,FALSE)</f>
        <v>2616757</v>
      </c>
      <c r="O97" s="44">
        <f t="shared" si="17"/>
        <v>31008593</v>
      </c>
      <c r="P97" s="11">
        <f t="shared" si="18"/>
        <v>2584049.4166666665</v>
      </c>
    </row>
    <row r="98" spans="1:16">
      <c r="A98" t="s">
        <v>40</v>
      </c>
      <c r="B98" s="43" t="s">
        <v>87</v>
      </c>
      <c r="C98" s="82">
        <f>VLOOKUP($A98&amp;"KWH",'E11 - 2013 09 Final'!$A$46:$P$1775,$C$80,FALSE)</f>
        <v>234192</v>
      </c>
      <c r="D98" s="82">
        <f>VLOOKUP($A98&amp;"KWH",'E11 - 2013 09 Final'!$A$46:$P$1775,$D$80,FALSE)</f>
        <v>75897</v>
      </c>
      <c r="E98" s="82">
        <f>VLOOKUP($A98&amp;"KWH",'E11 - 2013 09 Final'!$A$46:$P$1775,$E$80,FALSE)</f>
        <v>711188</v>
      </c>
      <c r="F98" s="82">
        <f>VLOOKUP($A98&amp;"KWH",'E11 - 2013 09 Final'!$A$46:$P$1775,$F$80,FALSE)</f>
        <v>908208</v>
      </c>
      <c r="G98" s="82">
        <f>VLOOKUP($A98&amp;"KWH",'E11 - 2013 09 Final'!$A$46:$P$1775,$G$80,FALSE)</f>
        <v>869648</v>
      </c>
      <c r="H98" s="82">
        <f>VLOOKUP($A98&amp;"KWH",'E11 - 2013 09 Final'!$A$46:$P$1775,$H$80,FALSE)</f>
        <v>899128</v>
      </c>
      <c r="I98" s="82">
        <f>VLOOKUP($A98&amp;"KWH",'E11 - 2013 09 Final'!$A$46:$P$1775,$I$80,FALSE)</f>
        <v>910583</v>
      </c>
      <c r="J98" s="82">
        <f>VLOOKUP($A98&amp;"KWH",'E11 - 2013 09 Final'!$A$46:$P$1775,$J$80,FALSE)</f>
        <v>997492</v>
      </c>
      <c r="K98" s="82">
        <f>VLOOKUP($A98&amp;"KWH",'E11 - 2013 09 Final'!$A$46:$P$1775,$K$80,FALSE)</f>
        <v>1298353</v>
      </c>
      <c r="L98" s="82">
        <f>VLOOKUP($A98&amp;"KWH",'E11 - 2013 09 Final'!$A$46:$P$1775,$L$80,FALSE)</f>
        <v>1534746</v>
      </c>
      <c r="M98" s="82">
        <f>VLOOKUP($A98&amp;"KWH",'E11 - 2013 09 Final'!$A$46:$P$1775,$M$80,FALSE)</f>
        <v>686248</v>
      </c>
      <c r="N98" s="82">
        <f>VLOOKUP($A98&amp;"KWH",'E11 - 2013 09 Final'!$A$46:$P$1775,$N$80,FALSE)</f>
        <v>1291496</v>
      </c>
      <c r="O98" s="44">
        <f t="shared" si="17"/>
        <v>10417179</v>
      </c>
      <c r="P98" s="11">
        <f t="shared" si="18"/>
        <v>868098.25</v>
      </c>
    </row>
    <row r="99" spans="1:16">
      <c r="A99" t="s">
        <v>45</v>
      </c>
      <c r="B99" s="43" t="s">
        <v>88</v>
      </c>
      <c r="C99" s="82">
        <f>VLOOKUP($A99&amp;"KWH",'E11 - 2013 09 Final'!$A$46:$P$1775,$C$80,FALSE)</f>
        <v>4309918</v>
      </c>
      <c r="D99" s="82">
        <f>VLOOKUP($A99&amp;"KWH",'E11 - 2013 09 Final'!$A$46:$P$1775,$D$80,FALSE)</f>
        <v>5323274</v>
      </c>
      <c r="E99" s="82">
        <f>VLOOKUP($A99&amp;"KWH",'E11 - 2013 09 Final'!$A$46:$P$1775,$E$80,FALSE)</f>
        <v>6856604</v>
      </c>
      <c r="F99" s="82">
        <f>VLOOKUP($A99&amp;"KWH",'E11 - 2013 09 Final'!$A$46:$P$1775,$F$80,FALSE)</f>
        <v>10403985</v>
      </c>
      <c r="G99" s="82">
        <f>VLOOKUP($A99&amp;"KWH",'E11 - 2013 09 Final'!$A$46:$P$1775,$G$80,FALSE)</f>
        <v>8353992</v>
      </c>
      <c r="H99" s="82">
        <f>VLOOKUP($A99&amp;"KWH",'E11 - 2013 09 Final'!$A$46:$P$1775,$H$80,FALSE)</f>
        <v>8263119</v>
      </c>
      <c r="I99" s="82">
        <f>VLOOKUP($A99&amp;"KWH",'E11 - 2013 09 Final'!$A$46:$P$1775,$I$80,FALSE)</f>
        <v>8066323</v>
      </c>
      <c r="J99" s="82">
        <f>VLOOKUP($A99&amp;"KWH",'E11 - 2013 09 Final'!$A$46:$P$1775,$J$80,FALSE)</f>
        <v>6967912</v>
      </c>
      <c r="K99" s="82">
        <f>VLOOKUP($A99&amp;"KWH",'E11 - 2013 09 Final'!$A$46:$P$1775,$K$80,FALSE)</f>
        <v>7324805</v>
      </c>
      <c r="L99" s="82">
        <f>VLOOKUP($A99&amp;"KWH",'E11 - 2013 09 Final'!$A$46:$P$1775,$L$80,FALSE)</f>
        <v>13071178</v>
      </c>
      <c r="M99" s="82">
        <f>VLOOKUP($A99&amp;"KWH",'E11 - 2013 09 Final'!$A$46:$P$1775,$M$80,FALSE)</f>
        <v>5866250</v>
      </c>
      <c r="N99" s="82">
        <f>VLOOKUP($A99&amp;"KWH",'E11 - 2013 09 Final'!$A$46:$P$1775,$N$80,FALSE)</f>
        <v>7120254</v>
      </c>
      <c r="O99" s="44">
        <f t="shared" si="17"/>
        <v>91927614</v>
      </c>
      <c r="P99" s="11">
        <f t="shared" si="18"/>
        <v>7660634.5</v>
      </c>
    </row>
    <row r="100" spans="1:16">
      <c r="C100" s="48"/>
      <c r="D100" s="48"/>
      <c r="E100" s="48"/>
      <c r="F100" s="48"/>
      <c r="G100" s="48"/>
      <c r="H100" s="48"/>
      <c r="I100" s="48"/>
      <c r="J100" s="48"/>
      <c r="K100" s="48"/>
      <c r="L100" s="48"/>
      <c r="M100" s="48"/>
      <c r="N100" s="48"/>
      <c r="O100" s="44"/>
      <c r="P100" s="11"/>
    </row>
    <row r="101" spans="1:16">
      <c r="C101" s="48"/>
      <c r="D101" s="48"/>
      <c r="E101" s="48"/>
      <c r="F101" s="48"/>
      <c r="G101" s="48"/>
      <c r="H101" s="48"/>
      <c r="I101" s="48"/>
      <c r="J101" s="48"/>
      <c r="K101" s="48"/>
      <c r="L101" s="48"/>
      <c r="M101" s="48"/>
      <c r="N101" s="48"/>
      <c r="O101" s="44"/>
      <c r="P101" s="11"/>
    </row>
    <row r="102" spans="1:16">
      <c r="B102" s="42" t="s">
        <v>86</v>
      </c>
      <c r="C102" s="10"/>
      <c r="D102" s="10"/>
      <c r="E102" s="10"/>
      <c r="F102" s="10"/>
      <c r="G102" s="10"/>
      <c r="H102" s="10"/>
      <c r="I102" s="10"/>
      <c r="J102" s="10"/>
      <c r="K102" s="10"/>
      <c r="L102" s="10"/>
      <c r="M102" s="10"/>
      <c r="N102" s="10"/>
    </row>
    <row r="103" spans="1:16">
      <c r="A103" t="s">
        <v>603</v>
      </c>
      <c r="B103" t="s">
        <v>603</v>
      </c>
      <c r="C103" s="82">
        <f>VLOOKUP($A103&amp;"KWH",'E11 - 2013 09 Final'!$A$46:$P$1775,$C$80,FALSE)</f>
        <v>2945213</v>
      </c>
      <c r="D103" s="82">
        <f>VLOOKUP($A103&amp;"KWH",'E11 - 2013 09 Final'!$A$46:$P$1775,$D$80,FALSE)</f>
        <v>2702863</v>
      </c>
      <c r="E103" s="82">
        <f>VLOOKUP($A103&amp;"KWH",'E11 - 2013 09 Final'!$A$46:$P$1775,$E$80,FALSE)</f>
        <v>2949091</v>
      </c>
      <c r="F103" s="82">
        <f>VLOOKUP($A103&amp;"KWH",'E11 - 2013 09 Final'!$A$46:$P$1775,$F$80,FALSE)</f>
        <v>2772409</v>
      </c>
      <c r="G103" s="82">
        <f>VLOOKUP($A103&amp;"KWH",'E11 - 2013 09 Final'!$A$46:$P$1775,$G$80,FALSE)</f>
        <v>3156020</v>
      </c>
      <c r="H103" s="82">
        <f>VLOOKUP($A103&amp;"KWH",'E11 - 2013 09 Final'!$A$46:$P$1775,$H$80,FALSE)</f>
        <v>3746268</v>
      </c>
      <c r="I103" s="82">
        <f>VLOOKUP($A103&amp;"KWH",'E11 - 2013 09 Final'!$A$46:$P$1775,$I$80,FALSE)</f>
        <v>3766602</v>
      </c>
      <c r="J103" s="82">
        <f>VLOOKUP($A103&amp;"KWH",'E11 - 2013 09 Final'!$A$46:$P$1775,$J$80,FALSE)</f>
        <v>3922942</v>
      </c>
      <c r="K103" s="82">
        <f>VLOOKUP($A103&amp;"KWH",'E11 - 2013 09 Final'!$A$46:$P$1775,$K$80,FALSE)</f>
        <v>3620488</v>
      </c>
      <c r="L103" s="82">
        <f>VLOOKUP($A103&amp;"KWH",'E11 - 2013 09 Final'!$A$46:$P$1775,$L$80,FALSE)</f>
        <v>2964078</v>
      </c>
      <c r="M103" s="82">
        <f>VLOOKUP($A103&amp;"KWH",'E11 - 2013 09 Final'!$A$46:$P$1775,$M$80,FALSE)</f>
        <v>2659422</v>
      </c>
      <c r="N103" s="82">
        <f>VLOOKUP($A103&amp;"KWH",'E11 - 2013 09 Final'!$A$46:$P$1775,$N$80,FALSE)</f>
        <v>2936488</v>
      </c>
      <c r="O103" s="44">
        <f t="shared" ref="O103:O108" si="19">SUM(C103:N103)</f>
        <v>38141884</v>
      </c>
      <c r="P103" s="11">
        <f t="shared" ref="P103:P108" si="20">+O103/12</f>
        <v>3178490.3333333335</v>
      </c>
    </row>
    <row r="104" spans="1:16">
      <c r="A104" t="s">
        <v>245</v>
      </c>
      <c r="B104" t="s">
        <v>983</v>
      </c>
      <c r="C104" s="82">
        <f>VLOOKUP($A104&amp;"KWH",'E11 - 2013 09 Final'!$A$46:$P$1775,$C$80,FALSE)</f>
        <v>55277672</v>
      </c>
      <c r="D104" s="82">
        <f>VLOOKUP($A104&amp;"KWH",'E11 - 2013 09 Final'!$A$46:$P$1775,$D$80,FALSE)</f>
        <v>50969284</v>
      </c>
      <c r="E104" s="82">
        <f>VLOOKUP($A104&amp;"KWH",'E11 - 2013 09 Final'!$A$46:$P$1775,$E$80,FALSE)</f>
        <v>53073832</v>
      </c>
      <c r="F104" s="82">
        <f>VLOOKUP($A104&amp;"KWH",'E11 - 2013 09 Final'!$A$46:$P$1775,$F$80,FALSE)</f>
        <v>61920103</v>
      </c>
      <c r="G104" s="82">
        <f>VLOOKUP($A104&amp;"KWH",'E11 - 2013 09 Final'!$A$46:$P$1775,$G$80,FALSE)</f>
        <v>64215223</v>
      </c>
      <c r="H104" s="82">
        <f>VLOOKUP($A104&amp;"KWH",'E11 - 2013 09 Final'!$A$46:$P$1775,$H$80,FALSE)</f>
        <v>71684757</v>
      </c>
      <c r="I104" s="82">
        <f>VLOOKUP($A104&amp;"KWH",'E11 - 2013 09 Final'!$A$46:$P$1775,$I$80,FALSE)</f>
        <v>75399325</v>
      </c>
      <c r="J104" s="82">
        <f>VLOOKUP($A104&amp;"KWH",'E11 - 2013 09 Final'!$A$46:$P$1775,$J$80,FALSE)</f>
        <v>77640402</v>
      </c>
      <c r="K104" s="82">
        <f>VLOOKUP($A104&amp;"KWH",'E11 - 2013 09 Final'!$A$46:$P$1775,$K$80,FALSE)</f>
        <v>68405081</v>
      </c>
      <c r="L104" s="82">
        <f>VLOOKUP($A104&amp;"KWH",'E11 - 2013 09 Final'!$A$46:$P$1775,$L$80,FALSE)</f>
        <v>66036123</v>
      </c>
      <c r="M104" s="82">
        <f>VLOOKUP($A104&amp;"KWH",'E11 - 2013 09 Final'!$A$46:$P$1775,$M$80,FALSE)</f>
        <v>55849706</v>
      </c>
      <c r="N104" s="82">
        <f>VLOOKUP($A104&amp;"KWH",'E11 - 2013 09 Final'!$A$46:$P$1775,$N$80,FALSE)</f>
        <v>58139677</v>
      </c>
      <c r="O104" s="44">
        <f t="shared" si="19"/>
        <v>758611185</v>
      </c>
      <c r="P104" s="11">
        <f t="shared" si="20"/>
        <v>63217598.75</v>
      </c>
    </row>
    <row r="105" spans="1:16">
      <c r="A105" t="s">
        <v>242</v>
      </c>
      <c r="B105" t="s">
        <v>491</v>
      </c>
      <c r="C105" s="82">
        <f>VLOOKUP($A105&amp;"KWH",'E11 - 2013 09 Final'!$A$46:$P$1775,$C$80,FALSE)</f>
        <v>16110000</v>
      </c>
      <c r="D105" s="82">
        <f>VLOOKUP($A105&amp;"KWH",'E11 - 2013 09 Final'!$A$46:$P$1775,$D$80,FALSE)</f>
        <v>15615000</v>
      </c>
      <c r="E105" s="82">
        <f>VLOOKUP($A105&amp;"KWH",'E11 - 2013 09 Final'!$A$46:$P$1775,$E$80,FALSE)</f>
        <v>17100000</v>
      </c>
      <c r="F105" s="82">
        <f>VLOOKUP($A105&amp;"KWH",'E11 - 2013 09 Final'!$A$46:$P$1775,$F$80,FALSE)</f>
        <v>17235000</v>
      </c>
      <c r="G105" s="82">
        <f>VLOOKUP($A105&amp;"KWH",'E11 - 2013 09 Final'!$A$46:$P$1775,$G$80,FALSE)</f>
        <v>20115000</v>
      </c>
      <c r="H105" s="82">
        <f>VLOOKUP($A105&amp;"KWH",'E11 - 2013 09 Final'!$A$46:$P$1775,$H$80,FALSE)</f>
        <v>0</v>
      </c>
      <c r="I105" s="82">
        <f>VLOOKUP($A105&amp;"KWH",'E11 - 2013 09 Final'!$A$46:$P$1775,$I$80,FALSE)</f>
        <v>0</v>
      </c>
      <c r="J105" s="82">
        <f>VLOOKUP($A105&amp;"KWH",'E11 - 2013 09 Final'!$A$46:$P$1775,$J$80,FALSE)</f>
        <v>0</v>
      </c>
      <c r="K105" s="82">
        <f>VLOOKUP($A105&amp;"KWH",'E11 - 2013 09 Final'!$A$46:$P$1775,$K$80,FALSE)</f>
        <v>0</v>
      </c>
      <c r="L105" s="82">
        <f>VLOOKUP($A105&amp;"KWH",'E11 - 2013 09 Final'!$A$46:$P$1775,$L$80,FALSE)</f>
        <v>0</v>
      </c>
      <c r="M105" s="82">
        <f>VLOOKUP($A105&amp;"KWH",'E11 - 2013 09 Final'!$A$46:$P$1775,$M$80,FALSE)</f>
        <v>0</v>
      </c>
      <c r="N105" s="82">
        <f>VLOOKUP($A105&amp;"KWH",'E11 - 2013 09 Final'!$A$46:$P$1775,$N$80,FALSE)</f>
        <v>0</v>
      </c>
      <c r="O105" s="44">
        <f t="shared" si="19"/>
        <v>86175000</v>
      </c>
      <c r="P105" s="11">
        <f t="shared" si="20"/>
        <v>7181250</v>
      </c>
    </row>
    <row r="106" spans="1:16">
      <c r="A106" t="s">
        <v>661</v>
      </c>
      <c r="B106" t="s">
        <v>984</v>
      </c>
      <c r="C106" s="82">
        <f>VLOOKUP($A106&amp;"KWH",'E11 - 2013 09 Final'!$A$46:$P$1775,$C$80,FALSE)</f>
        <v>89785672</v>
      </c>
      <c r="D106" s="82">
        <f>VLOOKUP($A106&amp;"KWH",'E11 - 2013 09 Final'!$A$46:$P$1775,$D$80,FALSE)</f>
        <v>84957961</v>
      </c>
      <c r="E106" s="82">
        <f>VLOOKUP($A106&amp;"KWH",'E11 - 2013 09 Final'!$A$46:$P$1775,$E$80,FALSE)</f>
        <v>92661425</v>
      </c>
      <c r="F106" s="82">
        <f>VLOOKUP($A106&amp;"KWH",'E11 - 2013 09 Final'!$A$46:$P$1775,$F$80,FALSE)</f>
        <v>101519631</v>
      </c>
      <c r="G106" s="82">
        <f>VLOOKUP($A106&amp;"KWH",'E11 - 2013 09 Final'!$A$46:$P$1775,$G$80,FALSE)</f>
        <v>102931109</v>
      </c>
      <c r="H106" s="82">
        <f>VLOOKUP($A106&amp;"KWH",'E11 - 2013 09 Final'!$A$46:$P$1775,$H$80,FALSE)</f>
        <v>107377484</v>
      </c>
      <c r="I106" s="82">
        <f>VLOOKUP($A106&amp;"KWH",'E11 - 2013 09 Final'!$A$46:$P$1775,$I$80,FALSE)</f>
        <v>108943682</v>
      </c>
      <c r="J106" s="82">
        <f>VLOOKUP($A106&amp;"KWH",'E11 - 2013 09 Final'!$A$46:$P$1775,$J$80,FALSE)</f>
        <v>116065392</v>
      </c>
      <c r="K106" s="82">
        <f>VLOOKUP($A106&amp;"KWH",'E11 - 2013 09 Final'!$A$46:$P$1775,$K$80,FALSE)</f>
        <v>104906815</v>
      </c>
      <c r="L106" s="82">
        <f>VLOOKUP($A106&amp;"KWH",'E11 - 2013 09 Final'!$A$46:$P$1775,$L$80,FALSE)</f>
        <v>106316485</v>
      </c>
      <c r="M106" s="82">
        <f>VLOOKUP($A106&amp;"KWH",'E11 - 2013 09 Final'!$A$46:$P$1775,$M$80,FALSE)</f>
        <v>93554288</v>
      </c>
      <c r="N106" s="82">
        <f>VLOOKUP($A106&amp;"KWH",'E11 - 2013 09 Final'!$A$46:$P$1775,$N$80,FALSE)</f>
        <v>93355584</v>
      </c>
      <c r="O106" s="44">
        <f t="shared" si="19"/>
        <v>1202375528</v>
      </c>
      <c r="P106" s="11">
        <f t="shared" si="20"/>
        <v>100197960.66666667</v>
      </c>
    </row>
    <row r="107" spans="1:16">
      <c r="A107" t="s">
        <v>7</v>
      </c>
      <c r="B107" t="s">
        <v>987</v>
      </c>
      <c r="C107" s="82">
        <f>VLOOKUP($A107&amp;"KWH",'E11 - 2013 09 Final'!$A$46:$P$1775,$C$80,FALSE)</f>
        <v>495657</v>
      </c>
      <c r="D107" s="82">
        <f>VLOOKUP($A107&amp;"KWH",'E11 - 2013 09 Final'!$A$46:$P$1775,$D$80,FALSE)</f>
        <v>262108</v>
      </c>
      <c r="E107" s="82">
        <f>VLOOKUP($A107&amp;"KWH",'E11 - 2013 09 Final'!$A$46:$P$1775,$E$80,FALSE)</f>
        <v>399068</v>
      </c>
      <c r="F107" s="82">
        <f>VLOOKUP($A107&amp;"KWH",'E11 - 2013 09 Final'!$A$46:$P$1775,$F$80,FALSE)</f>
        <v>563317</v>
      </c>
      <c r="G107" s="82">
        <f>VLOOKUP($A107&amp;"KWH",'E11 - 2013 09 Final'!$A$46:$P$1775,$G$80,FALSE)</f>
        <v>547913</v>
      </c>
      <c r="H107" s="82">
        <f>VLOOKUP($A107&amp;"KWH",'E11 - 2013 09 Final'!$A$46:$P$1775,$H$80,FALSE)</f>
        <v>531087</v>
      </c>
      <c r="I107" s="82">
        <f>VLOOKUP($A107&amp;"KWH",'E11 - 2013 09 Final'!$A$46:$P$1775,$I$80,FALSE)</f>
        <v>487205</v>
      </c>
      <c r="J107" s="82">
        <f>VLOOKUP($A107&amp;"KWH",'E11 - 2013 09 Final'!$A$46:$P$1775,$J$80,FALSE)</f>
        <v>523511</v>
      </c>
      <c r="K107" s="82">
        <f>VLOOKUP($A107&amp;"KWH",'E11 - 2013 09 Final'!$A$46:$P$1775,$K$80,FALSE)</f>
        <v>513303</v>
      </c>
      <c r="L107" s="82">
        <f>VLOOKUP($A107&amp;"KWH",'E11 - 2013 09 Final'!$A$46:$P$1775,$L$80,FALSE)</f>
        <v>483480</v>
      </c>
      <c r="M107" s="82">
        <f>VLOOKUP($A107&amp;"KWH",'E11 - 2013 09 Final'!$A$46:$P$1775,$M$80,FALSE)</f>
        <v>414089</v>
      </c>
      <c r="N107" s="82">
        <f>VLOOKUP($A107&amp;"KWH",'E11 - 2013 09 Final'!$A$46:$P$1775,$N$80,FALSE)</f>
        <v>0</v>
      </c>
      <c r="O107" s="44">
        <f t="shared" si="19"/>
        <v>5220738</v>
      </c>
      <c r="P107" s="11">
        <f t="shared" si="20"/>
        <v>435061.5</v>
      </c>
    </row>
    <row r="108" spans="1:16">
      <c r="A108" t="s">
        <v>724</v>
      </c>
      <c r="B108" t="s">
        <v>724</v>
      </c>
      <c r="C108" s="82">
        <f>VLOOKUP($A108&amp;"KWH",'E11 - 2013 09 Final'!$A$46:$P$1775,$C$80,FALSE)</f>
        <v>4430530</v>
      </c>
      <c r="D108" s="82">
        <f>VLOOKUP($A108&amp;"KWH",'E11 - 2013 09 Final'!$A$46:$P$1775,$D$80,FALSE)</f>
        <v>4216119</v>
      </c>
      <c r="E108" s="82">
        <f>VLOOKUP($A108&amp;"KWH",'E11 - 2013 09 Final'!$A$46:$P$1775,$E$80,FALSE)</f>
        <v>4511771</v>
      </c>
      <c r="F108" s="82">
        <f>VLOOKUP($A108&amp;"KWH",'E11 - 2013 09 Final'!$A$46:$P$1775,$F$80,FALSE)</f>
        <v>5016720</v>
      </c>
      <c r="G108" s="82">
        <f>VLOOKUP($A108&amp;"KWH",'E11 - 2013 09 Final'!$A$46:$P$1775,$G$80,FALSE)</f>
        <v>5417904</v>
      </c>
      <c r="H108" s="82">
        <f>VLOOKUP($A108&amp;"KWH",'E11 - 2013 09 Final'!$A$46:$P$1775,$H$80,FALSE)</f>
        <v>5724584</v>
      </c>
      <c r="I108" s="82">
        <f>VLOOKUP($A108&amp;"KWH",'E11 - 2013 09 Final'!$A$46:$P$1775,$I$80,FALSE)</f>
        <v>5675470</v>
      </c>
      <c r="J108" s="82">
        <f>VLOOKUP($A108&amp;"KWH",'E11 - 2013 09 Final'!$A$46:$P$1775,$J$80,FALSE)</f>
        <v>6416429</v>
      </c>
      <c r="K108" s="82">
        <f>VLOOKUP($A108&amp;"KWH",'E11 - 2013 09 Final'!$A$46:$P$1775,$K$80,FALSE)</f>
        <v>5734275</v>
      </c>
      <c r="L108" s="82">
        <f>VLOOKUP($A108&amp;"KWH",'E11 - 2013 09 Final'!$A$46:$P$1775,$L$80,FALSE)</f>
        <v>5499348</v>
      </c>
      <c r="M108" s="82">
        <f>VLOOKUP($A108&amp;"KWH",'E11 - 2013 09 Final'!$A$46:$P$1775,$M$80,FALSE)</f>
        <v>4489660</v>
      </c>
      <c r="N108" s="82">
        <f>VLOOKUP($A108&amp;"KWH",'E11 - 2013 09 Final'!$A$46:$P$1775,$N$80,FALSE)</f>
        <v>4642288</v>
      </c>
      <c r="O108" s="44">
        <f t="shared" si="19"/>
        <v>61775098</v>
      </c>
      <c r="P108" s="11">
        <f t="shared" si="20"/>
        <v>5147924.833333333</v>
      </c>
    </row>
    <row r="110" spans="1:16" ht="21">
      <c r="B110" s="611" t="s">
        <v>990</v>
      </c>
      <c r="C110" s="611"/>
      <c r="D110" s="611"/>
      <c r="E110" s="611"/>
      <c r="F110" s="611"/>
      <c r="G110" s="611"/>
      <c r="H110" s="611"/>
      <c r="I110" s="611"/>
      <c r="J110" s="611"/>
      <c r="K110" s="611"/>
      <c r="L110" s="611"/>
      <c r="M110" s="611"/>
      <c r="N110" s="611"/>
      <c r="O110" s="611"/>
      <c r="P110" s="611"/>
    </row>
    <row r="111" spans="1:16" ht="17.399999999999999">
      <c r="B111" s="610" t="str">
        <f>+MANUAL!$B$7 &amp;" as Calculated by LodeStar Except as Noted"</f>
        <v>2014 as Calculated by LodeStar Except as Noted</v>
      </c>
      <c r="C111" s="610"/>
      <c r="D111" s="610"/>
      <c r="E111" s="610"/>
      <c r="F111" s="610"/>
      <c r="G111" s="610"/>
      <c r="H111" s="610"/>
      <c r="I111" s="610"/>
      <c r="J111" s="610"/>
      <c r="K111" s="610"/>
      <c r="L111" s="610"/>
      <c r="M111" s="610"/>
      <c r="N111" s="610"/>
      <c r="O111" s="610"/>
      <c r="P111" s="610"/>
    </row>
    <row r="112" spans="1:16" ht="13.8" thickBot="1">
      <c r="B112" s="300"/>
      <c r="C112" s="300"/>
      <c r="D112" s="300"/>
      <c r="E112" s="300"/>
      <c r="F112" s="300"/>
      <c r="G112" s="300"/>
      <c r="H112" s="300"/>
      <c r="I112" s="300"/>
      <c r="J112" s="300"/>
      <c r="K112" s="300"/>
      <c r="L112" s="300"/>
      <c r="M112" s="300"/>
      <c r="N112" s="300"/>
      <c r="O112" s="300"/>
      <c r="P112" s="300"/>
    </row>
    <row r="113" spans="1:16">
      <c r="C113" s="14"/>
      <c r="D113" s="15"/>
      <c r="E113" s="16"/>
      <c r="F113" s="17"/>
      <c r="G113" s="18"/>
      <c r="H113" s="19"/>
      <c r="I113" s="20"/>
      <c r="J113" s="21"/>
      <c r="K113" s="22"/>
      <c r="L113" s="23"/>
      <c r="M113" s="24"/>
      <c r="N113" s="25"/>
      <c r="O113" s="26"/>
      <c r="P113" s="27" t="s">
        <v>991</v>
      </c>
    </row>
    <row r="114" spans="1:16" ht="13.8" thickBot="1">
      <c r="C114" s="28" t="s">
        <v>70</v>
      </c>
      <c r="D114" s="29" t="s">
        <v>71</v>
      </c>
      <c r="E114" s="30" t="s">
        <v>72</v>
      </c>
      <c r="F114" s="31" t="s">
        <v>73</v>
      </c>
      <c r="G114" s="32" t="s">
        <v>74</v>
      </c>
      <c r="H114" s="33" t="s">
        <v>75</v>
      </c>
      <c r="I114" s="34" t="s">
        <v>76</v>
      </c>
      <c r="J114" s="35" t="s">
        <v>77</v>
      </c>
      <c r="K114" s="36" t="s">
        <v>78</v>
      </c>
      <c r="L114" s="37" t="s">
        <v>79</v>
      </c>
      <c r="M114" s="38" t="s">
        <v>80</v>
      </c>
      <c r="N114" s="39" t="s">
        <v>81</v>
      </c>
      <c r="O114" s="40" t="s">
        <v>60</v>
      </c>
      <c r="P114" s="41" t="s">
        <v>82</v>
      </c>
    </row>
    <row r="115" spans="1:16" hidden="1">
      <c r="C115">
        <v>4</v>
      </c>
      <c r="D115">
        <f>C115+1</f>
        <v>5</v>
      </c>
      <c r="E115">
        <f t="shared" ref="E115:N115" si="21">D115+1</f>
        <v>6</v>
      </c>
      <c r="F115">
        <f t="shared" si="21"/>
        <v>7</v>
      </c>
      <c r="G115">
        <f t="shared" si="21"/>
        <v>8</v>
      </c>
      <c r="H115">
        <f t="shared" si="21"/>
        <v>9</v>
      </c>
      <c r="I115">
        <f t="shared" si="21"/>
        <v>10</v>
      </c>
      <c r="J115">
        <f t="shared" si="21"/>
        <v>11</v>
      </c>
      <c r="K115">
        <f t="shared" si="21"/>
        <v>12</v>
      </c>
      <c r="L115">
        <f t="shared" si="21"/>
        <v>13</v>
      </c>
      <c r="M115">
        <f t="shared" si="21"/>
        <v>14</v>
      </c>
      <c r="N115">
        <f t="shared" si="21"/>
        <v>15</v>
      </c>
      <c r="O115" s="305"/>
      <c r="P115" s="305"/>
    </row>
    <row r="117" spans="1:16">
      <c r="B117" s="42" t="s">
        <v>83</v>
      </c>
    </row>
    <row r="118" spans="1:16">
      <c r="A118" t="s">
        <v>122</v>
      </c>
      <c r="B118" s="43" t="s">
        <v>84</v>
      </c>
      <c r="C118" s="82">
        <f>VLOOKUP($A118&amp;"KWH",'E11 - 2014 09 Final'!$A$46:$Q$1704,$C$115,FALSE)</f>
        <v>238235898</v>
      </c>
      <c r="D118" s="82">
        <f>VLOOKUP($A118&amp;"KWH",'E11 - 2014 09 Final'!$A$46:$Q$1704,$D$115,FALSE)</f>
        <v>220275876</v>
      </c>
      <c r="E118" s="82">
        <f>VLOOKUP($A118&amp;"KWH",'E11 - 2014 09 Final'!$A$46:$Q$1704,$E$115,FALSE)</f>
        <v>216599087</v>
      </c>
      <c r="F118" s="82">
        <f>VLOOKUP($A118&amp;"KWH",'E11 - 2014 09 Final'!$A$46:$Q$1704,$F$115,FALSE)</f>
        <v>226528203</v>
      </c>
      <c r="G118" s="82">
        <f>VLOOKUP($A118&amp;"KWH",'E11 - 2014 09 Final'!$A$46:$Q$1704,$G$115,FALSE)</f>
        <v>229739269</v>
      </c>
      <c r="H118" s="82">
        <f>VLOOKUP($A118&amp;"KWH",'E11 - 2014 09 Final'!$A$46:$Q$1704,$H$115,FALSE)</f>
        <v>233369529</v>
      </c>
      <c r="I118" s="82">
        <f>VLOOKUP($A118&amp;"KWH",'E11 - 2014 09 Final'!$A$46:$Q$1704,$I$115,FALSE)</f>
        <v>239223253</v>
      </c>
      <c r="J118" s="82">
        <f>VLOOKUP($A118&amp;"KWH",'E11 - 2014 09 Final'!$A$46:$Q$1704,$J$115,FALSE)</f>
        <v>243426000</v>
      </c>
      <c r="K118" s="82">
        <f>VLOOKUP($A118&amp;"KWH",'E11 - 2014 09 Final'!$A$46:$Q$1704,$K$115,FALSE)</f>
        <v>243580177</v>
      </c>
      <c r="L118" s="82">
        <f>VLOOKUP($A118&amp;"KWH",'E11 - 2014 09 Final'!$A$46:$Q$1704,$L$115,FALSE)</f>
        <v>229570625</v>
      </c>
      <c r="M118" s="82">
        <f>VLOOKUP($A118&amp;"KWH",'E11 - 2014 09 Final'!$A$46:$Q$1704,$M$115,FALSE)</f>
        <v>219350081</v>
      </c>
      <c r="N118" s="82">
        <f>VLOOKUP($A118&amp;"KWH",'E11 - 2014 09 Final'!$A$46:$Q$1704,$N$115,FALSE)</f>
        <v>216857105</v>
      </c>
      <c r="O118" s="44">
        <f t="shared" ref="O118:O134" si="22">SUM(C118:N118)</f>
        <v>2756755103</v>
      </c>
      <c r="P118" s="11">
        <f t="shared" ref="P118:P134" si="23">+O118/12</f>
        <v>229729591.91666666</v>
      </c>
    </row>
    <row r="119" spans="1:16">
      <c r="A119" t="s">
        <v>177</v>
      </c>
      <c r="B119" s="43" t="s">
        <v>85</v>
      </c>
      <c r="C119" s="82">
        <f>VLOOKUP($A119&amp;"KWH",'E11 - 2014 09 Final'!$A$46:$Q$1704,$C$115,FALSE)</f>
        <v>16458096</v>
      </c>
      <c r="D119" s="82">
        <f>VLOOKUP($A119&amp;"KWH",'E11 - 2014 09 Final'!$A$46:$Q$1704,$D$115,FALSE)</f>
        <v>15228781</v>
      </c>
      <c r="E119" s="82">
        <f>VLOOKUP($A119&amp;"KWH",'E11 - 2014 09 Final'!$A$46:$Q$1704,$E$115,FALSE)</f>
        <v>14841558</v>
      </c>
      <c r="F119" s="82">
        <f>VLOOKUP($A119&amp;"KWH",'E11 - 2014 09 Final'!$A$46:$Q$1704,$F$115,FALSE)</f>
        <v>15503259</v>
      </c>
      <c r="G119" s="82">
        <f>VLOOKUP($A119&amp;"KWH",'E11 - 2014 09 Final'!$A$46:$Q$1704,$G$115,FALSE)</f>
        <v>10841278</v>
      </c>
      <c r="H119" s="82">
        <f>VLOOKUP($A119&amp;"KWH",'E11 - 2014 09 Final'!$A$46:$Q$1704,$H$115,FALSE)</f>
        <v>11205019</v>
      </c>
      <c r="I119" s="82">
        <f>VLOOKUP($A119&amp;"KWH",'E11 - 2014 09 Final'!$A$46:$Q$1704,$I$115,FALSE)</f>
        <v>11145752</v>
      </c>
      <c r="J119" s="82">
        <f>VLOOKUP($A119&amp;"KWH",'E11 - 2014 09 Final'!$A$46:$Q$1704,$J$115,FALSE)</f>
        <v>11213008</v>
      </c>
      <c r="K119" s="82">
        <f>VLOOKUP($A119&amp;"KWH",'E11 - 2014 09 Final'!$A$46:$Q$1704,$K$115,FALSE)</f>
        <v>10949823</v>
      </c>
      <c r="L119" s="82">
        <f>VLOOKUP($A119&amp;"KWH",'E11 - 2014 09 Final'!$A$46:$Q$1704,$L$115,FALSE)</f>
        <v>10250246</v>
      </c>
      <c r="M119" s="82">
        <f>VLOOKUP($A119&amp;"KWH",'E11 - 2014 09 Final'!$A$46:$Q$1704,$M$115,FALSE)</f>
        <v>9772609</v>
      </c>
      <c r="N119" s="82">
        <f>VLOOKUP($A119&amp;"KWH",'E11 - 2014 09 Final'!$A$46:$Q$1704,$N$115,FALSE)</f>
        <v>9551446</v>
      </c>
      <c r="O119" s="44">
        <f t="shared" si="22"/>
        <v>146960875</v>
      </c>
      <c r="P119" s="11">
        <f t="shared" si="23"/>
        <v>12246739.583333334</v>
      </c>
    </row>
    <row r="120" spans="1:16">
      <c r="A120" t="s">
        <v>185</v>
      </c>
      <c r="B120" s="43" t="s">
        <v>50</v>
      </c>
      <c r="C120" s="82">
        <f>VLOOKUP($A120&amp;"KWH",'E11 - 2014 09 Final'!$A$46:$Q$1704,$C$115,FALSE)</f>
        <v>109657117</v>
      </c>
      <c r="D120" s="82">
        <f>VLOOKUP($A120&amp;"KWH",'E11 - 2014 09 Final'!$A$46:$Q$1704,$D$115,FALSE)</f>
        <v>95153741</v>
      </c>
      <c r="E120" s="82">
        <f>VLOOKUP($A120&amp;"KWH",'E11 - 2014 09 Final'!$A$46:$Q$1704,$E$115,FALSE)</f>
        <v>110728089</v>
      </c>
      <c r="F120" s="82">
        <f>VLOOKUP($A120&amp;"KWH",'E11 - 2014 09 Final'!$A$46:$Q$1704,$F$115,FALSE)</f>
        <v>113416446</v>
      </c>
      <c r="G120" s="82">
        <f>VLOOKUP($A120&amp;"KWH",'E11 - 2014 09 Final'!$A$46:$Q$1704,$G$115,FALSE)</f>
        <v>123313348</v>
      </c>
      <c r="H120" s="82">
        <f>VLOOKUP($A120&amp;"KWH",'E11 - 2014 09 Final'!$A$46:$Q$1704,$H$115,FALSE)</f>
        <v>113817995</v>
      </c>
      <c r="I120" s="82">
        <f>VLOOKUP($A120&amp;"KWH",'E11 - 2014 09 Final'!$A$46:$Q$1704,$I$115,FALSE)</f>
        <v>122098242</v>
      </c>
      <c r="J120" s="82">
        <f>VLOOKUP($A120&amp;"KWH",'E11 - 2014 09 Final'!$A$46:$Q$1704,$J$115,FALSE)</f>
        <v>123729891</v>
      </c>
      <c r="K120" s="82">
        <f>VLOOKUP($A120&amp;"KWH",'E11 - 2014 09 Final'!$A$46:$Q$1704,$K$115,FALSE)</f>
        <v>116624196</v>
      </c>
      <c r="L120" s="82">
        <f>VLOOKUP($A120&amp;"KWH",'E11 - 2014 09 Final'!$A$46:$Q$1704,$L$115,FALSE)</f>
        <v>119058539</v>
      </c>
      <c r="M120" s="82">
        <f>VLOOKUP($A120&amp;"KWH",'E11 - 2014 09 Final'!$A$46:$Q$1704,$M$115,FALSE)</f>
        <v>109270227</v>
      </c>
      <c r="N120" s="82">
        <f>VLOOKUP($A120&amp;"KWH",'E11 - 2014 09 Final'!$A$46:$Q$1704,$N$115,FALSE)</f>
        <v>116793866</v>
      </c>
      <c r="O120" s="44">
        <f t="shared" si="22"/>
        <v>1373661697</v>
      </c>
      <c r="P120" s="11">
        <f t="shared" si="23"/>
        <v>114471808.08333333</v>
      </c>
    </row>
    <row r="121" spans="1:16">
      <c r="A121" t="s">
        <v>632</v>
      </c>
      <c r="B121" s="43" t="s">
        <v>49</v>
      </c>
      <c r="C121" s="82">
        <f>VLOOKUP($A121&amp;"KWH",'E11 - 2014 09 Final'!$A$46:$Q$1704,$C$115,FALSE)</f>
        <v>560170537</v>
      </c>
      <c r="D121" s="82">
        <f>VLOOKUP($A121&amp;"KWH",'E11 - 2014 09 Final'!$A$46:$Q$1704,$D$115,FALSE)</f>
        <v>522254320</v>
      </c>
      <c r="E121" s="82">
        <f>VLOOKUP($A121&amp;"KWH",'E11 - 2014 09 Final'!$A$46:$Q$1704,$E$115,FALSE)</f>
        <v>524996218</v>
      </c>
      <c r="F121" s="82">
        <f>VLOOKUP($A121&amp;"KWH",'E11 - 2014 09 Final'!$A$46:$Q$1704,$F$115,FALSE)</f>
        <v>554272429</v>
      </c>
      <c r="G121" s="82">
        <f>VLOOKUP($A121&amp;"KWH",'E11 - 2014 09 Final'!$A$46:$Q$1704,$G$115,FALSE)</f>
        <v>634324590</v>
      </c>
      <c r="H121" s="82">
        <f>VLOOKUP($A121&amp;"KWH",'E11 - 2014 09 Final'!$A$46:$Q$1704,$H$115,FALSE)</f>
        <v>654238466</v>
      </c>
      <c r="I121" s="82">
        <f>VLOOKUP($A121&amp;"KWH",'E11 - 2014 09 Final'!$A$46:$Q$1704,$I$115,FALSE)</f>
        <v>680895353</v>
      </c>
      <c r="J121" s="82">
        <f>VLOOKUP($A121&amp;"KWH",'E11 - 2014 09 Final'!$A$46:$Q$1704,$J$115,FALSE)</f>
        <v>575471479</v>
      </c>
      <c r="K121" s="82">
        <f>VLOOKUP($A121&amp;"KWH",'E11 - 2014 09 Final'!$A$46:$Q$1704,$K$115,FALSE)</f>
        <v>577054559</v>
      </c>
      <c r="L121" s="82">
        <f>VLOOKUP($A121&amp;"KWH",'E11 - 2014 09 Final'!$A$46:$Q$1704,$L$115,FALSE)</f>
        <v>514571404</v>
      </c>
      <c r="M121" s="82">
        <f>VLOOKUP($A121&amp;"KWH",'E11 - 2014 09 Final'!$A$46:$Q$1704,$M$115,FALSE)</f>
        <v>462042952</v>
      </c>
      <c r="N121" s="82">
        <f>VLOOKUP($A121&amp;"KWH",'E11 - 2014 09 Final'!$A$46:$Q$1704,$N$115,FALSE)</f>
        <v>428706486</v>
      </c>
      <c r="O121" s="44">
        <f t="shared" si="22"/>
        <v>6688998793</v>
      </c>
      <c r="P121" s="11">
        <f t="shared" si="23"/>
        <v>557416566.08333337</v>
      </c>
    </row>
    <row r="122" spans="1:16">
      <c r="A122" t="s">
        <v>640</v>
      </c>
      <c r="B122" s="46" t="s">
        <v>325</v>
      </c>
      <c r="C122" s="82">
        <f>VLOOKUP($A122&amp;"KWH",'E11 - 2014 09 Final'!$A$46:$Q$1704,$C$115,FALSE)</f>
        <v>8299373</v>
      </c>
      <c r="D122" s="82">
        <f>VLOOKUP($A122&amp;"KWH",'E11 - 2014 09 Final'!$A$46:$Q$1704,$D$115,FALSE)</f>
        <v>7512177</v>
      </c>
      <c r="E122" s="82">
        <f>VLOOKUP($A122&amp;"KWH",'E11 - 2014 09 Final'!$A$46:$Q$1704,$E$115,FALSE)</f>
        <v>7365548</v>
      </c>
      <c r="F122" s="82">
        <f>VLOOKUP($A122&amp;"KWH",'E11 - 2014 09 Final'!$A$46:$Q$1704,$F$115,FALSE)</f>
        <v>7584222</v>
      </c>
      <c r="G122" s="82">
        <f>VLOOKUP($A122&amp;"KWH",'E11 - 2014 09 Final'!$A$46:$Q$1704,$G$115,FALSE)</f>
        <v>7893259</v>
      </c>
      <c r="H122" s="82">
        <f>VLOOKUP($A122&amp;"KWH",'E11 - 2014 09 Final'!$A$46:$Q$1704,$H$115,FALSE)</f>
        <v>7880822</v>
      </c>
      <c r="I122" s="82">
        <f>VLOOKUP($A122&amp;"KWH",'E11 - 2014 09 Final'!$A$46:$Q$1704,$I$115,FALSE)</f>
        <v>7911843</v>
      </c>
      <c r="J122" s="82">
        <f>VLOOKUP($A122&amp;"KWH",'E11 - 2014 09 Final'!$A$46:$Q$1704,$J$115,FALSE)</f>
        <v>6823391</v>
      </c>
      <c r="K122" s="82">
        <f>VLOOKUP($A122&amp;"KWH",'E11 - 2014 09 Final'!$A$46:$Q$1704,$K$115,FALSE)</f>
        <v>6727914</v>
      </c>
      <c r="L122" s="82">
        <f>VLOOKUP($A122&amp;"KWH",'E11 - 2014 09 Final'!$A$46:$Q$1704,$L$115,FALSE)</f>
        <v>6414178</v>
      </c>
      <c r="M122" s="82">
        <f>VLOOKUP($A122&amp;"KWH",'E11 - 2014 09 Final'!$A$46:$Q$1704,$M$115,FALSE)</f>
        <v>6378240</v>
      </c>
      <c r="N122" s="82">
        <f>VLOOKUP($A122&amp;"KWH",'E11 - 2014 09 Final'!$A$46:$Q$1704,$N$115,FALSE)</f>
        <v>6431428</v>
      </c>
      <c r="O122" s="44">
        <f t="shared" si="22"/>
        <v>87222395</v>
      </c>
      <c r="P122" s="11">
        <f t="shared" si="23"/>
        <v>7268532.916666667</v>
      </c>
    </row>
    <row r="123" spans="1:16">
      <c r="A123" t="s">
        <v>651</v>
      </c>
      <c r="B123" s="43" t="s">
        <v>67</v>
      </c>
      <c r="C123" s="82">
        <f>VLOOKUP($A123&amp;"KWH",'E11 - 2014 09 Final'!$A$46:$Q$1704,$C$115,FALSE)</f>
        <v>2001000026</v>
      </c>
      <c r="D123" s="82">
        <f>VLOOKUP($A123&amp;"KWH",'E11 - 2014 09 Final'!$A$46:$Q$1704,$D$115,FALSE)</f>
        <v>1839017721</v>
      </c>
      <c r="E123" s="82">
        <f>VLOOKUP($A123&amp;"KWH",'E11 - 2014 09 Final'!$A$46:$Q$1704,$E$115,FALSE)</f>
        <v>1838909820</v>
      </c>
      <c r="F123" s="82">
        <f>VLOOKUP($A123&amp;"KWH",'E11 - 2014 09 Final'!$A$46:$Q$1704,$F$115,FALSE)</f>
        <v>1923967245</v>
      </c>
      <c r="G123" s="82">
        <f>VLOOKUP($A123&amp;"KWH",'E11 - 2014 09 Final'!$A$46:$Q$1704,$G$115,FALSE)</f>
        <v>2168776144</v>
      </c>
      <c r="H123" s="82">
        <f>VLOOKUP($A123&amp;"KWH",'E11 - 2014 09 Final'!$A$46:$Q$1704,$H$115,FALSE)</f>
        <v>2211587289</v>
      </c>
      <c r="I123" s="82">
        <f>VLOOKUP($A123&amp;"KWH",'E11 - 2014 09 Final'!$A$46:$Q$1704,$I$115,FALSE)</f>
        <v>2278750115</v>
      </c>
      <c r="J123" s="82">
        <f>VLOOKUP($A123&amp;"KWH",'E11 - 2014 09 Final'!$A$46:$Q$1704,$J$115,FALSE)</f>
        <v>2372078435</v>
      </c>
      <c r="K123" s="82">
        <f>VLOOKUP($A123&amp;"KWH",'E11 - 2014 09 Final'!$A$46:$Q$1704,$K$115,FALSE)</f>
        <v>2403312101</v>
      </c>
      <c r="L123" s="82">
        <f>VLOOKUP($A123&amp;"KWH",'E11 - 2014 09 Final'!$A$46:$Q$1704,$L$115,FALSE)</f>
        <v>2187709174</v>
      </c>
      <c r="M123" s="82">
        <f>VLOOKUP($A123&amp;"KWH",'E11 - 2014 09 Final'!$A$46:$Q$1704,$M$115,FALSE)</f>
        <v>2009129688</v>
      </c>
      <c r="N123" s="82">
        <f>VLOOKUP($A123&amp;"KWH",'E11 - 2014 09 Final'!$A$46:$Q$1704,$N$115,FALSE)</f>
        <v>1908976896</v>
      </c>
      <c r="O123" s="44">
        <f t="shared" si="22"/>
        <v>25143214654</v>
      </c>
      <c r="P123" s="11">
        <f t="shared" si="23"/>
        <v>2095267887.8333333</v>
      </c>
    </row>
    <row r="124" spans="1:16">
      <c r="A124" t="s">
        <v>656</v>
      </c>
      <c r="B124" s="43" t="s">
        <v>68</v>
      </c>
      <c r="C124" s="82">
        <f>VLOOKUP($A124&amp;"KWH",'E11 - 2014 09 Final'!$A$46:$Q$1704,$C$115,FALSE)</f>
        <v>825276840</v>
      </c>
      <c r="D124" s="82">
        <f>VLOOKUP($A124&amp;"KWH",'E11 - 2014 09 Final'!$A$46:$Q$1704,$D$115,FALSE)</f>
        <v>777777567</v>
      </c>
      <c r="E124" s="82">
        <f>VLOOKUP($A124&amp;"KWH",'E11 - 2014 09 Final'!$A$46:$Q$1704,$E$115,FALSE)</f>
        <v>775789256</v>
      </c>
      <c r="F124" s="82">
        <f>VLOOKUP($A124&amp;"KWH",'E11 - 2014 09 Final'!$A$46:$Q$1704,$F$115,FALSE)</f>
        <v>796837650</v>
      </c>
      <c r="G124" s="82">
        <f>VLOOKUP($A124&amp;"KWH",'E11 - 2014 09 Final'!$A$46:$Q$1704,$G$115,FALSE)</f>
        <v>898034703</v>
      </c>
      <c r="H124" s="82">
        <f>VLOOKUP($A124&amp;"KWH",'E11 - 2014 09 Final'!$A$46:$Q$1704,$H$115,FALSE)</f>
        <v>897229483</v>
      </c>
      <c r="I124" s="82">
        <f>VLOOKUP($A124&amp;"KWH",'E11 - 2014 09 Final'!$A$46:$Q$1704,$I$115,FALSE)</f>
        <v>914651298</v>
      </c>
      <c r="J124" s="82">
        <f>VLOOKUP($A124&amp;"KWH",'E11 - 2014 09 Final'!$A$46:$Q$1704,$J$115,FALSE)</f>
        <v>955904779</v>
      </c>
      <c r="K124" s="82">
        <f>VLOOKUP($A124&amp;"KWH",'E11 - 2014 09 Final'!$A$46:$Q$1704,$K$115,FALSE)</f>
        <v>979055653</v>
      </c>
      <c r="L124" s="82">
        <f>VLOOKUP($A124&amp;"KWH",'E11 - 2014 09 Final'!$A$46:$Q$1704,$L$115,FALSE)</f>
        <v>907475688</v>
      </c>
      <c r="M124" s="82">
        <f>VLOOKUP($A124&amp;"KWH",'E11 - 2014 09 Final'!$A$46:$Q$1704,$M$115,FALSE)</f>
        <v>832671147</v>
      </c>
      <c r="N124" s="82">
        <f>VLOOKUP($A124&amp;"KWH",'E11 - 2014 09 Final'!$A$46:$Q$1704,$N$115,FALSE)</f>
        <v>811384088</v>
      </c>
      <c r="O124" s="44">
        <f t="shared" si="22"/>
        <v>10372088152</v>
      </c>
      <c r="P124" s="11">
        <f t="shared" si="23"/>
        <v>864340679.33333337</v>
      </c>
    </row>
    <row r="125" spans="1:16">
      <c r="A125" t="s">
        <v>713</v>
      </c>
      <c r="B125" s="43" t="s">
        <v>69</v>
      </c>
      <c r="C125" s="82">
        <f>VLOOKUP($A125&amp;"KWH",'E11 - 2014 09 Final'!$A$46:$Q$1704,$C$115,FALSE)</f>
        <v>206470677</v>
      </c>
      <c r="D125" s="82">
        <f>VLOOKUP($A125&amp;"KWH",'E11 - 2014 09 Final'!$A$46:$Q$1704,$D$115,FALSE)</f>
        <v>185043043</v>
      </c>
      <c r="E125" s="82">
        <f>VLOOKUP($A125&amp;"KWH",'E11 - 2014 09 Final'!$A$46:$Q$1704,$E$115,FALSE)</f>
        <v>186296772</v>
      </c>
      <c r="F125" s="82">
        <f>VLOOKUP($A125&amp;"KWH",'E11 - 2014 09 Final'!$A$46:$Q$1704,$F$115,FALSE)</f>
        <v>190637671</v>
      </c>
      <c r="G125" s="82">
        <f>VLOOKUP($A125&amp;"KWH",'E11 - 2014 09 Final'!$A$46:$Q$1704,$G$115,FALSE)</f>
        <v>207417870</v>
      </c>
      <c r="H125" s="82">
        <f>VLOOKUP($A125&amp;"KWH",'E11 - 2014 09 Final'!$A$46:$Q$1704,$H$115,FALSE)</f>
        <v>215589224</v>
      </c>
      <c r="I125" s="82">
        <f>VLOOKUP($A125&amp;"KWH",'E11 - 2014 09 Final'!$A$46:$Q$1704,$I$115,FALSE)</f>
        <v>217089754</v>
      </c>
      <c r="J125" s="82">
        <f>VLOOKUP($A125&amp;"KWH",'E11 - 2014 09 Final'!$A$46:$Q$1704,$J$115,FALSE)</f>
        <v>230520308</v>
      </c>
      <c r="K125" s="82">
        <f>VLOOKUP($A125&amp;"KWH",'E11 - 2014 09 Final'!$A$46:$Q$1704,$K$115,FALSE)</f>
        <v>233196952</v>
      </c>
      <c r="L125" s="82">
        <f>VLOOKUP($A125&amp;"KWH",'E11 - 2014 09 Final'!$A$46:$Q$1704,$L$115,FALSE)</f>
        <v>214277441</v>
      </c>
      <c r="M125" s="82">
        <f>VLOOKUP($A125&amp;"KWH",'E11 - 2014 09 Final'!$A$46:$Q$1704,$M$115,FALSE)</f>
        <v>201351398</v>
      </c>
      <c r="N125" s="82">
        <f>VLOOKUP($A125&amp;"KWH",'E11 - 2014 09 Final'!$A$46:$Q$1704,$N$115,FALSE)</f>
        <v>193174600</v>
      </c>
      <c r="O125" s="44">
        <f t="shared" si="22"/>
        <v>2481065710</v>
      </c>
      <c r="P125" s="11">
        <f t="shared" si="23"/>
        <v>206755475.83333334</v>
      </c>
    </row>
    <row r="126" spans="1:16">
      <c r="A126" t="s">
        <v>717</v>
      </c>
      <c r="B126" s="43" t="s">
        <v>52</v>
      </c>
      <c r="C126" s="82">
        <f>VLOOKUP($A126&amp;"KWH",'E11 - 2014 09 Final'!$A$46:$Q$1704,$C$115,FALSE)</f>
        <v>14051374</v>
      </c>
      <c r="D126" s="82">
        <f>VLOOKUP($A126&amp;"KWH",'E11 - 2014 09 Final'!$A$46:$Q$1704,$D$115,FALSE)</f>
        <v>12312425</v>
      </c>
      <c r="E126" s="82">
        <f>VLOOKUP($A126&amp;"KWH",'E11 - 2014 09 Final'!$A$46:$Q$1704,$E$115,FALSE)</f>
        <v>12910835</v>
      </c>
      <c r="F126" s="82">
        <f>VLOOKUP($A126&amp;"KWH",'E11 - 2014 09 Final'!$A$46:$Q$1704,$F$115,FALSE)</f>
        <v>14990990</v>
      </c>
      <c r="G126" s="82">
        <f>VLOOKUP($A126&amp;"KWH",'E11 - 2014 09 Final'!$A$46:$Q$1704,$G$115,FALSE)</f>
        <v>16392533</v>
      </c>
      <c r="H126" s="82">
        <f>VLOOKUP($A126&amp;"KWH",'E11 - 2014 09 Final'!$A$46:$Q$1704,$H$115,FALSE)</f>
        <v>12134684</v>
      </c>
      <c r="I126" s="82">
        <f>VLOOKUP($A126&amp;"KWH",'E11 - 2014 09 Final'!$A$46:$Q$1704,$I$115,FALSE)</f>
        <v>12852819</v>
      </c>
      <c r="J126" s="82">
        <f>VLOOKUP($A126&amp;"KWH",'E11 - 2014 09 Final'!$A$46:$Q$1704,$J$115,FALSE)</f>
        <v>13935670</v>
      </c>
      <c r="K126" s="82">
        <f>VLOOKUP($A126&amp;"KWH",'E11 - 2014 09 Final'!$A$46:$Q$1704,$K$115,FALSE)</f>
        <v>12577830</v>
      </c>
      <c r="L126" s="82">
        <f>VLOOKUP($A126&amp;"KWH",'E11 - 2014 09 Final'!$A$46:$Q$1704,$L$115,FALSE)</f>
        <v>14023508</v>
      </c>
      <c r="M126" s="82">
        <f>VLOOKUP($A126&amp;"KWH",'E11 - 2014 09 Final'!$A$46:$Q$1704,$M$115,FALSE)</f>
        <v>11709232</v>
      </c>
      <c r="N126" s="82">
        <f>VLOOKUP($A126&amp;"KWH",'E11 - 2014 09 Final'!$A$46:$Q$1704,$N$115,FALSE)</f>
        <v>14467182</v>
      </c>
      <c r="O126" s="44">
        <f t="shared" si="22"/>
        <v>162359082</v>
      </c>
      <c r="P126" s="11">
        <f t="shared" si="23"/>
        <v>13529923.5</v>
      </c>
    </row>
    <row r="127" spans="1:16">
      <c r="A127" t="s">
        <v>15</v>
      </c>
      <c r="B127" s="206" t="s">
        <v>15</v>
      </c>
      <c r="C127" s="82">
        <f>VLOOKUP($A127&amp;"KWH",'E11 - 2014 09 Final'!$A$46:$Q$1704,$C$115,FALSE)</f>
        <v>7275924</v>
      </c>
      <c r="D127" s="82">
        <f>VLOOKUP($A127&amp;"KWH",'E11 - 2014 09 Final'!$A$46:$Q$1704,$D$115,FALSE)</f>
        <v>6622690</v>
      </c>
      <c r="E127" s="82">
        <f>VLOOKUP($A127&amp;"KWH",'E11 - 2014 09 Final'!$A$46:$Q$1704,$E$115,FALSE)</f>
        <v>7513756</v>
      </c>
      <c r="F127" s="82">
        <f>VLOOKUP($A127&amp;"KWH",'E11 - 2014 09 Final'!$A$46:$Q$1704,$F$115,FALSE)</f>
        <v>7607478</v>
      </c>
      <c r="G127" s="82">
        <f>VLOOKUP($A127&amp;"KWH",'E11 - 2014 09 Final'!$A$46:$Q$1704,$G$115,FALSE)</f>
        <v>8025867</v>
      </c>
      <c r="H127" s="82">
        <f>VLOOKUP($A127&amp;"KWH",'E11 - 2014 09 Final'!$A$46:$Q$1704,$H$115,FALSE)</f>
        <v>7866068</v>
      </c>
      <c r="I127" s="82">
        <f>VLOOKUP($A127&amp;"KWH",'E11 - 2014 09 Final'!$A$46:$Q$1704,$I$115,FALSE)</f>
        <v>8226378</v>
      </c>
      <c r="J127" s="82">
        <f>VLOOKUP($A127&amp;"KWH",'E11 - 2014 09 Final'!$A$46:$Q$1704,$J$115,FALSE)</f>
        <v>8192948</v>
      </c>
      <c r="K127" s="82">
        <f>VLOOKUP($A127&amp;"KWH",'E11 - 2014 09 Final'!$A$46:$Q$1704,$K$115,FALSE)</f>
        <v>7839607</v>
      </c>
      <c r="L127" s="82">
        <f>VLOOKUP($A127&amp;"KWH",'E11 - 2014 09 Final'!$A$46:$Q$1704,$L$115,FALSE)</f>
        <v>7899957</v>
      </c>
      <c r="M127" s="82">
        <f>VLOOKUP($A127&amp;"KWH",'E11 - 2014 09 Final'!$A$46:$Q$1704,$M$115,FALSE)</f>
        <v>6955280</v>
      </c>
      <c r="N127" s="82">
        <f>VLOOKUP($A127&amp;"KWH",'E11 - 2014 09 Final'!$A$46:$Q$1704,$N$115,FALSE)</f>
        <v>7354672</v>
      </c>
      <c r="O127" s="44">
        <f t="shared" ref="O127" si="24">SUM(C127:N127)</f>
        <v>91380625</v>
      </c>
      <c r="P127" s="11">
        <f t="shared" ref="P127" si="25">+O127/12</f>
        <v>7615052.083333333</v>
      </c>
    </row>
    <row r="128" spans="1:16">
      <c r="A128" t="s">
        <v>19</v>
      </c>
      <c r="B128" s="43" t="s">
        <v>56</v>
      </c>
      <c r="C128" s="82">
        <f>VLOOKUP($A128&amp;"KWH",'E11 - 2014 09 Final'!$A$46:$Q$1704,$C$115,FALSE)</f>
        <v>8343468</v>
      </c>
      <c r="D128" s="82">
        <f>VLOOKUP($A128&amp;"KWH",'E11 - 2014 09 Final'!$A$46:$Q$1704,$D$115,FALSE)</f>
        <v>8391244</v>
      </c>
      <c r="E128" s="82">
        <f>VLOOKUP($A128&amp;"KWH",'E11 - 2014 09 Final'!$A$46:$Q$1704,$E$115,FALSE)</f>
        <v>8418247</v>
      </c>
      <c r="F128" s="82">
        <f>VLOOKUP($A128&amp;"KWH",'E11 - 2014 09 Final'!$A$46:$Q$1704,$F$115,FALSE)</f>
        <v>8357365</v>
      </c>
      <c r="G128" s="82">
        <f>VLOOKUP($A128&amp;"KWH",'E11 - 2014 09 Final'!$A$46:$Q$1704,$G$115,FALSE)</f>
        <v>8450594</v>
      </c>
      <c r="H128" s="82">
        <f>VLOOKUP($A128&amp;"KWH",'E11 - 2014 09 Final'!$A$46:$Q$1704,$H$115,FALSE)</f>
        <v>8398239</v>
      </c>
      <c r="I128" s="82">
        <f>VLOOKUP($A128&amp;"KWH",'E11 - 2014 09 Final'!$A$46:$Q$1704,$I$115,FALSE)</f>
        <v>8430525</v>
      </c>
      <c r="J128" s="82">
        <f>VLOOKUP($A128&amp;"KWH",'E11 - 2014 09 Final'!$A$46:$Q$1704,$J$115,FALSE)</f>
        <v>8390365</v>
      </c>
      <c r="K128" s="82">
        <f>VLOOKUP($A128&amp;"KWH",'E11 - 2014 09 Final'!$A$46:$Q$1704,$K$115,FALSE)</f>
        <v>8370078</v>
      </c>
      <c r="L128" s="82">
        <f>VLOOKUP($A128&amp;"KWH",'E11 - 2014 09 Final'!$A$46:$Q$1704,$L$115,FALSE)</f>
        <v>8392416</v>
      </c>
      <c r="M128" s="82">
        <f>VLOOKUP($A128&amp;"KWH",'E11 - 2014 09 Final'!$A$46:$Q$1704,$M$115,FALSE)</f>
        <v>8298126</v>
      </c>
      <c r="N128" s="82">
        <f>VLOOKUP($A128&amp;"KWH",'E11 - 2014 09 Final'!$A$46:$Q$1704,$N$115,FALSE)</f>
        <v>8391802</v>
      </c>
      <c r="O128" s="44">
        <f t="shared" si="22"/>
        <v>100632469</v>
      </c>
      <c r="P128" s="11">
        <f t="shared" si="23"/>
        <v>8386039.083333333</v>
      </c>
    </row>
    <row r="129" spans="1:16">
      <c r="A129" t="s">
        <v>22</v>
      </c>
      <c r="B129" s="43" t="s">
        <v>57</v>
      </c>
      <c r="C129" s="82">
        <f>VLOOKUP($A129&amp;"KWH",'E11 - 2014 09 Final'!$A$46:$Q$1704,$C$115,FALSE)</f>
        <v>893542</v>
      </c>
      <c r="D129" s="82">
        <f>VLOOKUP($A129&amp;"KWH",'E11 - 2014 09 Final'!$A$46:$Q$1704,$D$115,FALSE)</f>
        <v>1037182</v>
      </c>
      <c r="E129" s="82">
        <f>VLOOKUP($A129&amp;"KWH",'E11 - 2014 09 Final'!$A$46:$Q$1704,$E$115,FALSE)</f>
        <v>1100267</v>
      </c>
      <c r="F129" s="82">
        <f>VLOOKUP($A129&amp;"KWH",'E11 - 2014 09 Final'!$A$46:$Q$1704,$F$115,FALSE)</f>
        <v>915390</v>
      </c>
      <c r="G129" s="82">
        <f>VLOOKUP($A129&amp;"KWH",'E11 - 2014 09 Final'!$A$46:$Q$1704,$G$115,FALSE)</f>
        <v>927409</v>
      </c>
      <c r="H129" s="82">
        <f>VLOOKUP($A129&amp;"KWH",'E11 - 2014 09 Final'!$A$46:$Q$1704,$H$115,FALSE)</f>
        <v>867087</v>
      </c>
      <c r="I129" s="82">
        <f>VLOOKUP($A129&amp;"KWH",'E11 - 2014 09 Final'!$A$46:$Q$1704,$I$115,FALSE)</f>
        <v>751424</v>
      </c>
      <c r="J129" s="82">
        <f>VLOOKUP($A129&amp;"KWH",'E11 - 2014 09 Final'!$A$46:$Q$1704,$J$115,FALSE)</f>
        <v>746702</v>
      </c>
      <c r="K129" s="82">
        <f>VLOOKUP($A129&amp;"KWH",'E11 - 2014 09 Final'!$A$46:$Q$1704,$K$115,FALSE)</f>
        <v>964676</v>
      </c>
      <c r="L129" s="82">
        <f>VLOOKUP($A129&amp;"KWH",'E11 - 2014 09 Final'!$A$46:$Q$1704,$L$115,FALSE)</f>
        <v>972237</v>
      </c>
      <c r="M129" s="82">
        <f>VLOOKUP($A129&amp;"KWH",'E11 - 2014 09 Final'!$A$46:$Q$1704,$M$115,FALSE)</f>
        <v>1136775</v>
      </c>
      <c r="N129" s="82">
        <f>VLOOKUP($A129&amp;"KWH",'E11 - 2014 09 Final'!$A$46:$Q$1704,$N$115,FALSE)</f>
        <v>972363</v>
      </c>
      <c r="O129" s="44">
        <f t="shared" si="22"/>
        <v>11285054</v>
      </c>
      <c r="P129" s="11">
        <f t="shared" si="23"/>
        <v>940421.16666666663</v>
      </c>
    </row>
    <row r="130" spans="1:16">
      <c r="A130" t="s">
        <v>687</v>
      </c>
      <c r="B130" s="43" t="s">
        <v>48</v>
      </c>
      <c r="C130" s="82">
        <f>VLOOKUP($A130&amp;"KWH",'E11 - 2014 09 Final'!$A$46:$Q$1704,$C$115,FALSE)</f>
        <v>4249023495</v>
      </c>
      <c r="D130" s="82">
        <f>VLOOKUP($A130&amp;"KWH",'E11 - 2014 09 Final'!$A$46:$Q$1704,$D$115,FALSE)</f>
        <v>3843668788</v>
      </c>
      <c r="E130" s="82">
        <f>VLOOKUP($A130&amp;"KWH",'E11 - 2014 09 Final'!$A$46:$Q$1704,$E$115,FALSE)</f>
        <v>3617577556</v>
      </c>
      <c r="F130" s="82">
        <f>VLOOKUP($A130&amp;"KWH",'E11 - 2014 09 Final'!$A$46:$Q$1704,$F$115,FALSE)</f>
        <v>3863723935</v>
      </c>
      <c r="G130" s="82">
        <f>VLOOKUP($A130&amp;"KWH",'E11 - 2014 09 Final'!$A$46:$Q$1704,$G$115,FALSE)</f>
        <v>4756928638</v>
      </c>
      <c r="H130" s="82">
        <f>VLOOKUP($A130&amp;"KWH",'E11 - 2014 09 Final'!$A$46:$Q$1704,$H$115,FALSE)</f>
        <v>5068953745</v>
      </c>
      <c r="I130" s="82">
        <f>VLOOKUP($A130&amp;"KWH",'E11 - 2014 09 Final'!$A$46:$Q$1704,$I$115,FALSE)</f>
        <v>5461762279</v>
      </c>
      <c r="J130" s="82">
        <f>VLOOKUP($A130&amp;"KWH",'E11 - 2014 09 Final'!$A$46:$Q$1704,$J$115,FALSE)</f>
        <v>5888430963</v>
      </c>
      <c r="K130" s="82">
        <f>VLOOKUP($A130&amp;"KWH",'E11 - 2014 09 Final'!$A$46:$Q$1704,$K$115,FALSE)</f>
        <v>5884099124</v>
      </c>
      <c r="L130" s="82">
        <f>VLOOKUP($A130&amp;"KWH",'E11 - 2014 09 Final'!$A$46:$Q$1704,$L$115,FALSE)</f>
        <v>4871233221</v>
      </c>
      <c r="M130" s="82">
        <f>VLOOKUP($A130&amp;"KWH",'E11 - 2014 09 Final'!$A$46:$Q$1704,$M$115,FALSE)</f>
        <v>3920210261</v>
      </c>
      <c r="N130" s="82">
        <f>VLOOKUP($A130&amp;"KWH",'E11 - 2014 09 Final'!$A$46:$Q$1704,$N$115,FALSE)</f>
        <v>3748478258</v>
      </c>
      <c r="O130" s="44">
        <f t="shared" si="22"/>
        <v>55174090263</v>
      </c>
      <c r="P130" s="11">
        <f t="shared" si="23"/>
        <v>4597840855.25</v>
      </c>
    </row>
    <row r="131" spans="1:16">
      <c r="A131" t="s">
        <v>35</v>
      </c>
      <c r="B131" s="43" t="s">
        <v>53</v>
      </c>
      <c r="C131" s="82">
        <f>VLOOKUP($A131&amp;"KWH",'E11 - 2014 09 Final'!$A$46:$Q$1704,$C$115,FALSE)</f>
        <v>40538782</v>
      </c>
      <c r="D131" s="82">
        <f>VLOOKUP($A131&amp;"KWH",'E11 - 2014 09 Final'!$A$46:$Q$1704,$D$115,FALSE)</f>
        <v>39660069</v>
      </c>
      <c r="E131" s="82">
        <f>VLOOKUP($A131&amp;"KWH",'E11 - 2014 09 Final'!$A$46:$Q$1704,$E$115,FALSE)</f>
        <v>48998236</v>
      </c>
      <c r="F131" s="82">
        <f>VLOOKUP($A131&amp;"KWH",'E11 - 2014 09 Final'!$A$46:$Q$1704,$F$115,FALSE)</f>
        <v>42636954</v>
      </c>
      <c r="G131" s="82">
        <f>VLOOKUP($A131&amp;"KWH",'E11 - 2014 09 Final'!$A$46:$Q$1704,$G$115,FALSE)</f>
        <v>43672188</v>
      </c>
      <c r="H131" s="82">
        <f>VLOOKUP($A131&amp;"KWH",'E11 - 2014 09 Final'!$A$46:$Q$1704,$H$115,FALSE)</f>
        <v>40091671</v>
      </c>
      <c r="I131" s="82">
        <f>VLOOKUP($A131&amp;"KWH",'E11 - 2014 09 Final'!$A$46:$Q$1704,$I$115,FALSE)</f>
        <v>45492254</v>
      </c>
      <c r="J131" s="82">
        <f>VLOOKUP($A131&amp;"KWH",'E11 - 2014 09 Final'!$A$46:$Q$1704,$J$115,FALSE)</f>
        <v>42742368</v>
      </c>
      <c r="K131" s="82">
        <f>VLOOKUP($A131&amp;"KWH",'E11 - 2014 09 Final'!$A$46:$Q$1704,$K$115,FALSE)</f>
        <v>43545336</v>
      </c>
      <c r="L131" s="82">
        <f>VLOOKUP($A131&amp;"KWH",'E11 - 2014 09 Final'!$A$46:$Q$1704,$L$115,FALSE)</f>
        <v>37873522</v>
      </c>
      <c r="M131" s="82">
        <f>VLOOKUP($A131&amp;"KWH",'E11 - 2014 09 Final'!$A$46:$Q$1704,$M$115,FALSE)</f>
        <v>42646242</v>
      </c>
      <c r="N131" s="82">
        <f>VLOOKUP($A131&amp;"KWH",'E11 - 2014 09 Final'!$A$46:$Q$1704,$N$115,FALSE)</f>
        <v>49140999</v>
      </c>
      <c r="O131" s="44">
        <f t="shared" si="22"/>
        <v>517038621</v>
      </c>
      <c r="P131" s="11">
        <f t="shared" si="23"/>
        <v>43086551.75</v>
      </c>
    </row>
    <row r="132" spans="1:16">
      <c r="A132" t="s">
        <v>38</v>
      </c>
      <c r="B132" s="43" t="s">
        <v>55</v>
      </c>
      <c r="C132" s="82">
        <f>VLOOKUP($A132&amp;"KWH",'E11 - 2014 09 Final'!$A$46:$Q$1704,$C$115,FALSE)</f>
        <v>2584177</v>
      </c>
      <c r="D132" s="82">
        <f>VLOOKUP($A132&amp;"KWH",'E11 - 2014 09 Final'!$A$46:$Q$1704,$D$115,FALSE)</f>
        <v>2589235</v>
      </c>
      <c r="E132" s="82">
        <f>VLOOKUP($A132&amp;"KWH",'E11 - 2014 09 Final'!$A$46:$Q$1704,$E$115,FALSE)</f>
        <v>2591818</v>
      </c>
      <c r="F132" s="82">
        <f>VLOOKUP($A132&amp;"KWH",'E11 - 2014 09 Final'!$A$46:$Q$1704,$F$115,FALSE)</f>
        <v>2589686</v>
      </c>
      <c r="G132" s="82">
        <f>VLOOKUP($A132&amp;"KWH",'E11 - 2014 09 Final'!$A$46:$Q$1704,$G$115,FALSE)</f>
        <v>2589863</v>
      </c>
      <c r="H132" s="82">
        <f>VLOOKUP($A132&amp;"KWH",'E11 - 2014 09 Final'!$A$46:$Q$1704,$H$115,FALSE)</f>
        <v>2593042</v>
      </c>
      <c r="I132" s="82">
        <f>VLOOKUP($A132&amp;"KWH",'E11 - 2014 09 Final'!$A$46:$Q$1704,$I$115,FALSE)</f>
        <v>2592118</v>
      </c>
      <c r="J132" s="82">
        <f>VLOOKUP($A132&amp;"KWH",'E11 - 2014 09 Final'!$A$46:$Q$1704,$J$115,FALSE)</f>
        <v>2603305</v>
      </c>
      <c r="K132" s="82">
        <f>VLOOKUP($A132&amp;"KWH",'E11 - 2014 09 Final'!$A$46:$Q$1704,$K$115,FALSE)</f>
        <v>2434253</v>
      </c>
      <c r="L132" s="82">
        <f>VLOOKUP($A132&amp;"KWH",'E11 - 2014 09 Final'!$A$46:$Q$1704,$L$115,FALSE)</f>
        <v>2591162</v>
      </c>
      <c r="M132" s="82">
        <f>VLOOKUP($A132&amp;"KWH",'E11 - 2014 09 Final'!$A$46:$Q$1704,$M$115,FALSE)</f>
        <v>2563757</v>
      </c>
      <c r="N132" s="82">
        <f>VLOOKUP($A132&amp;"KWH",'E11 - 2014 09 Final'!$A$46:$Q$1704,$N$115,FALSE)</f>
        <v>2606186</v>
      </c>
      <c r="O132" s="44">
        <f t="shared" si="22"/>
        <v>30928602</v>
      </c>
      <c r="P132" s="11">
        <f t="shared" si="23"/>
        <v>2577383.5</v>
      </c>
    </row>
    <row r="133" spans="1:16">
      <c r="A133" t="s">
        <v>40</v>
      </c>
      <c r="B133" s="43" t="s">
        <v>87</v>
      </c>
      <c r="C133" s="82">
        <f>VLOOKUP($A133&amp;"KWH",'E11 - 2014 09 Final'!$A$46:$Q$1704,$C$115,FALSE)</f>
        <v>968797</v>
      </c>
      <c r="D133" s="82">
        <f>VLOOKUP($A133&amp;"KWH",'E11 - 2014 09 Final'!$A$46:$Q$1704,$D$115,FALSE)</f>
        <v>1312137</v>
      </c>
      <c r="E133" s="82">
        <f>VLOOKUP($A133&amp;"KWH",'E11 - 2014 09 Final'!$A$46:$Q$1704,$E$115,FALSE)</f>
        <v>2578683</v>
      </c>
      <c r="F133" s="82">
        <f>VLOOKUP($A133&amp;"KWH",'E11 - 2014 09 Final'!$A$46:$Q$1704,$F$115,FALSE)</f>
        <v>1490564</v>
      </c>
      <c r="G133" s="82">
        <f>VLOOKUP($A133&amp;"KWH",'E11 - 2014 09 Final'!$A$46:$Q$1704,$G$115,FALSE)</f>
        <v>2406046</v>
      </c>
      <c r="H133" s="82">
        <f>VLOOKUP($A133&amp;"KWH",'E11 - 2014 09 Final'!$A$46:$Q$1704,$H$115,FALSE)</f>
        <v>1205280</v>
      </c>
      <c r="I133" s="82">
        <f>VLOOKUP($A133&amp;"KWH",'E11 - 2014 09 Final'!$A$46:$Q$1704,$I$115,FALSE)</f>
        <v>1515679</v>
      </c>
      <c r="J133" s="82">
        <f>VLOOKUP($A133&amp;"KWH",'E11 - 2014 09 Final'!$A$46:$Q$1704,$J$115,FALSE)</f>
        <v>1690158</v>
      </c>
      <c r="K133" s="82">
        <f>VLOOKUP($A133&amp;"KWH",'E11 - 2014 09 Final'!$A$46:$Q$1704,$K$115,FALSE)</f>
        <v>825001</v>
      </c>
      <c r="L133" s="82">
        <f>VLOOKUP($A133&amp;"KWH",'E11 - 2014 09 Final'!$A$46:$Q$1704,$L$115,FALSE)</f>
        <v>700644</v>
      </c>
      <c r="M133" s="82">
        <f>VLOOKUP($A133&amp;"KWH",'E11 - 2014 09 Final'!$A$46:$Q$1704,$M$115,FALSE)</f>
        <v>226354</v>
      </c>
      <c r="N133" s="82">
        <f>VLOOKUP($A133&amp;"KWH",'E11 - 2014 09 Final'!$A$46:$Q$1704,$N$115,FALSE)</f>
        <v>414810</v>
      </c>
      <c r="O133" s="44">
        <f t="shared" si="22"/>
        <v>15334153</v>
      </c>
      <c r="P133" s="11">
        <f t="shared" si="23"/>
        <v>1277846.0833333333</v>
      </c>
    </row>
    <row r="134" spans="1:16">
      <c r="A134" t="s">
        <v>45</v>
      </c>
      <c r="B134" s="43" t="s">
        <v>88</v>
      </c>
      <c r="C134" s="82">
        <f>VLOOKUP($A134&amp;"KWH",'E11 - 2014 09 Final'!$A$46:$Q$1704,$C$115,FALSE)</f>
        <v>4951647</v>
      </c>
      <c r="D134" s="82">
        <f>VLOOKUP($A134&amp;"KWH",'E11 - 2014 09 Final'!$A$46:$Q$1704,$D$115,FALSE)</f>
        <v>5211959</v>
      </c>
      <c r="E134" s="82">
        <f>VLOOKUP($A134&amp;"KWH",'E11 - 2014 09 Final'!$A$46:$Q$1704,$E$115,FALSE)</f>
        <v>4942531</v>
      </c>
      <c r="F134" s="82">
        <f>VLOOKUP($A134&amp;"KWH",'E11 - 2014 09 Final'!$A$46:$Q$1704,$F$115,FALSE)</f>
        <v>4021046</v>
      </c>
      <c r="G134" s="82">
        <f>VLOOKUP($A134&amp;"KWH",'E11 - 2014 09 Final'!$A$46:$Q$1704,$G$115,FALSE)</f>
        <v>6612643</v>
      </c>
      <c r="H134" s="82">
        <f>VLOOKUP($A134&amp;"KWH",'E11 - 2014 09 Final'!$A$46:$Q$1704,$H$115,FALSE)</f>
        <v>3068714</v>
      </c>
      <c r="I134" s="82">
        <f>VLOOKUP($A134&amp;"KWH",'E11 - 2014 09 Final'!$A$46:$Q$1704,$I$115,FALSE)</f>
        <v>2329146</v>
      </c>
      <c r="J134" s="82">
        <f>VLOOKUP($A134&amp;"KWH",'E11 - 2014 09 Final'!$A$46:$Q$1704,$J$115,FALSE)</f>
        <v>4004650</v>
      </c>
      <c r="K134" s="82">
        <f>VLOOKUP($A134&amp;"KWH",'E11 - 2014 09 Final'!$A$46:$Q$1704,$K$115,FALSE)</f>
        <v>5829316</v>
      </c>
      <c r="L134" s="82">
        <f>VLOOKUP($A134&amp;"KWH",'E11 - 2014 09 Final'!$A$46:$Q$1704,$L$115,FALSE)</f>
        <v>5063154</v>
      </c>
      <c r="M134" s="82">
        <f>VLOOKUP($A134&amp;"KWH",'E11 - 2014 09 Final'!$A$46:$Q$1704,$M$115,FALSE)</f>
        <v>5367514</v>
      </c>
      <c r="N134" s="82">
        <f>VLOOKUP($A134&amp;"KWH",'E11 - 2014 09 Final'!$A$46:$Q$1704,$N$115,FALSE)</f>
        <v>3908225</v>
      </c>
      <c r="O134" s="44">
        <f t="shared" si="22"/>
        <v>55310545</v>
      </c>
      <c r="P134" s="11">
        <f t="shared" si="23"/>
        <v>4609212.083333333</v>
      </c>
    </row>
    <row r="135" spans="1:16">
      <c r="C135" s="48"/>
      <c r="D135" s="48"/>
      <c r="E135" s="48"/>
      <c r="F135" s="48"/>
      <c r="G135" s="48"/>
      <c r="H135" s="48"/>
      <c r="I135" s="48"/>
      <c r="J135" s="48"/>
      <c r="K135" s="48"/>
      <c r="L135" s="48"/>
      <c r="M135" s="48"/>
      <c r="N135" s="48"/>
      <c r="O135" s="44"/>
      <c r="P135" s="11"/>
    </row>
    <row r="136" spans="1:16">
      <c r="C136" s="48"/>
      <c r="D136" s="48"/>
      <c r="E136" s="48"/>
      <c r="F136" s="48"/>
      <c r="G136" s="48"/>
      <c r="H136" s="48"/>
      <c r="I136" s="48"/>
      <c r="J136" s="48"/>
      <c r="K136" s="48"/>
      <c r="L136" s="48"/>
      <c r="M136" s="48"/>
      <c r="N136" s="48"/>
      <c r="O136" s="44"/>
      <c r="P136" s="11"/>
    </row>
    <row r="137" spans="1:16">
      <c r="B137" s="42" t="s">
        <v>86</v>
      </c>
      <c r="C137" s="10"/>
      <c r="D137" s="10"/>
      <c r="E137" s="10"/>
      <c r="F137" s="10"/>
      <c r="G137" s="10"/>
      <c r="H137" s="10"/>
      <c r="I137" s="10"/>
      <c r="J137" s="10"/>
      <c r="K137" s="10"/>
      <c r="L137" s="10"/>
      <c r="M137" s="10"/>
      <c r="N137" s="10"/>
    </row>
    <row r="138" spans="1:16">
      <c r="A138" t="s">
        <v>603</v>
      </c>
      <c r="B138" t="s">
        <v>603</v>
      </c>
      <c r="C138" s="82">
        <f>VLOOKUP($A138&amp;"KWH",'E11 - 2014 09 Final'!$A$46:$Q$1704,$C$115,FALSE)</f>
        <v>3643984</v>
      </c>
      <c r="D138" s="82">
        <f>VLOOKUP($A138&amp;"KWH",'E11 - 2014 09 Final'!$A$46:$Q$1704,$D$115,FALSE)</f>
        <v>2606702</v>
      </c>
      <c r="E138" s="82">
        <f>VLOOKUP($A138&amp;"KWH",'E11 - 2014 09 Final'!$A$46:$Q$1704,$E$115,FALSE)</f>
        <v>2685405</v>
      </c>
      <c r="F138" s="82">
        <f>VLOOKUP($A138&amp;"KWH",'E11 - 2014 09 Final'!$A$46:$Q$1704,$F$115,FALSE)</f>
        <v>2650109</v>
      </c>
      <c r="G138" s="82">
        <f>VLOOKUP($A138&amp;"KWH",'E11 - 2014 09 Final'!$A$46:$Q$1704,$G$115,FALSE)</f>
        <v>3184909</v>
      </c>
      <c r="H138" s="82">
        <f>VLOOKUP($A138&amp;"KWH",'E11 - 2014 09 Final'!$A$46:$Q$1704,$H$115,FALSE)</f>
        <v>3664642</v>
      </c>
      <c r="I138" s="82">
        <f>VLOOKUP($A138&amp;"KWH",'E11 - 2014 09 Final'!$A$46:$Q$1704,$I$115,FALSE)</f>
        <v>3860323</v>
      </c>
      <c r="J138" s="82">
        <f>VLOOKUP($A138&amp;"KWH",'E11 - 2014 09 Final'!$A$46:$Q$1704,$J$115,FALSE)</f>
        <v>4054256</v>
      </c>
      <c r="K138" s="82">
        <f>VLOOKUP($A138&amp;"KWH",'E11 - 2014 09 Final'!$A$46:$Q$1704,$K$115,FALSE)</f>
        <v>3505075</v>
      </c>
      <c r="L138" s="82">
        <f>VLOOKUP($A138&amp;"KWH",'E11 - 2014 09 Final'!$A$46:$Q$1704,$L$115,FALSE)</f>
        <v>2903655</v>
      </c>
      <c r="M138" s="82">
        <f>VLOOKUP($A138&amp;"KWH",'E11 - 2014 09 Final'!$A$46:$Q$1704,$M$115,FALSE)</f>
        <v>2827855</v>
      </c>
      <c r="N138" s="82">
        <f>VLOOKUP($A138&amp;"KWH",'E11 - 2014 09 Final'!$A$46:$Q$1704,$N$115,FALSE)</f>
        <v>2884736</v>
      </c>
      <c r="O138" s="44">
        <f t="shared" ref="O138:O144" si="26">SUM(C138:N138)</f>
        <v>38471651</v>
      </c>
      <c r="P138" s="11">
        <f t="shared" ref="P138:P144" si="27">+O138/12</f>
        <v>3205970.9166666665</v>
      </c>
    </row>
    <row r="139" spans="1:16">
      <c r="A139" t="s">
        <v>245</v>
      </c>
      <c r="B139" t="s">
        <v>983</v>
      </c>
      <c r="C139" s="82">
        <f>VLOOKUP($A139&amp;"KWH",'E11 - 2014 09 Final'!$A$46:$Q$1704,$C$115,FALSE)</f>
        <v>53908077</v>
      </c>
      <c r="D139" s="82">
        <f>VLOOKUP($A139&amp;"KWH",'E11 - 2014 09 Final'!$A$46:$Q$1704,$D$115,FALSE)</f>
        <v>55149873</v>
      </c>
      <c r="E139" s="82">
        <f>VLOOKUP($A139&amp;"KWH",'E11 - 2014 09 Final'!$A$46:$Q$1704,$E$115,FALSE)</f>
        <v>59094648</v>
      </c>
      <c r="F139" s="82">
        <f>VLOOKUP($A139&amp;"KWH",'E11 - 2014 09 Final'!$A$46:$Q$1704,$F$115,FALSE)</f>
        <v>63568647</v>
      </c>
      <c r="G139" s="82">
        <f>VLOOKUP($A139&amp;"KWH",'E11 - 2014 09 Final'!$A$46:$Q$1704,$G$115,FALSE)</f>
        <v>69356881</v>
      </c>
      <c r="H139" s="82">
        <f>VLOOKUP($A139&amp;"KWH",'E11 - 2014 09 Final'!$A$46:$Q$1704,$H$115,FALSE)</f>
        <v>72738909</v>
      </c>
      <c r="I139" s="82">
        <f>VLOOKUP($A139&amp;"KWH",'E11 - 2014 09 Final'!$A$46:$Q$1704,$I$115,FALSE)</f>
        <v>84671098</v>
      </c>
      <c r="J139" s="82">
        <f>VLOOKUP($A139&amp;"KWH",'E11 - 2014 09 Final'!$A$46:$Q$1704,$J$115,FALSE)</f>
        <v>85515076</v>
      </c>
      <c r="K139" s="82">
        <f>VLOOKUP($A139&amp;"KWH",'E11 - 2014 09 Final'!$A$46:$Q$1704,$K$115,FALSE)</f>
        <v>68248488</v>
      </c>
      <c r="L139" s="82">
        <f>VLOOKUP($A139&amp;"KWH",'E11 - 2014 09 Final'!$A$46:$Q$1704,$L$115,FALSE)</f>
        <v>64111841</v>
      </c>
      <c r="M139" s="82">
        <f>VLOOKUP($A139&amp;"KWH",'E11 - 2014 09 Final'!$A$46:$Q$1704,$M$115,FALSE)</f>
        <v>50236552</v>
      </c>
      <c r="N139" s="82">
        <f>VLOOKUP($A139&amp;"KWH",'E11 - 2014 09 Final'!$A$46:$Q$1704,$N$115,FALSE)</f>
        <v>53858177</v>
      </c>
      <c r="O139" s="44">
        <f t="shared" si="26"/>
        <v>780458267</v>
      </c>
      <c r="P139" s="11">
        <f t="shared" si="27"/>
        <v>65038188.916666664</v>
      </c>
    </row>
    <row r="140" spans="1:16">
      <c r="A140" t="s">
        <v>661</v>
      </c>
      <c r="B140" t="s">
        <v>984</v>
      </c>
      <c r="C140" s="82">
        <f>VLOOKUP($A140&amp;"KWH",'E11 - 2014 09 Final'!$A$46:$Q$1704,$C$115,FALSE)</f>
        <v>303248253</v>
      </c>
      <c r="D140" s="82">
        <f>VLOOKUP($A140&amp;"KWH",'E11 - 2014 09 Final'!$A$46:$Q$1704,$D$115,FALSE)</f>
        <v>259023403</v>
      </c>
      <c r="E140" s="82">
        <f>VLOOKUP($A140&amp;"KWH",'E11 - 2014 09 Final'!$A$46:$Q$1704,$E$115,FALSE)</f>
        <v>278686789</v>
      </c>
      <c r="F140" s="82">
        <f>VLOOKUP($A140&amp;"KWH",'E11 - 2014 09 Final'!$A$46:$Q$1704,$F$115,FALSE)</f>
        <v>301213415</v>
      </c>
      <c r="G140" s="82">
        <f>VLOOKUP($A140&amp;"KWH",'E11 - 2014 09 Final'!$A$46:$Q$1704,$G$115,FALSE)</f>
        <v>344687920</v>
      </c>
      <c r="H140" s="82">
        <f>VLOOKUP($A140&amp;"KWH",'E11 - 2014 09 Final'!$A$46:$Q$1704,$H$115,FALSE)</f>
        <v>353502093</v>
      </c>
      <c r="I140" s="82">
        <f>VLOOKUP($A140&amp;"KWH",'E11 - 2014 09 Final'!$A$46:$Q$1704,$I$115,FALSE)</f>
        <v>382786469</v>
      </c>
      <c r="J140" s="82">
        <f>VLOOKUP($A140&amp;"KWH",'E11 - 2014 09 Final'!$A$46:$Q$1704,$J$115,FALSE)</f>
        <v>406624217</v>
      </c>
      <c r="K140" s="82">
        <f>VLOOKUP($A140&amp;"KWH",'E11 - 2014 09 Final'!$A$46:$Q$1704,$K$115,FALSE)</f>
        <v>338360635</v>
      </c>
      <c r="L140" s="82">
        <f>VLOOKUP($A140&amp;"KWH",'E11 - 2014 09 Final'!$A$46:$Q$1704,$L$115,FALSE)</f>
        <v>323498944</v>
      </c>
      <c r="M140" s="82">
        <f>VLOOKUP($A140&amp;"KWH",'E11 - 2014 09 Final'!$A$46:$Q$1704,$M$115,FALSE)</f>
        <v>260316137</v>
      </c>
      <c r="N140" s="82">
        <f>VLOOKUP($A140&amp;"KWH",'E11 - 2014 09 Final'!$A$46:$Q$1704,$N$115,FALSE)</f>
        <v>280529780</v>
      </c>
      <c r="O140" s="44">
        <f t="shared" si="26"/>
        <v>3832478055</v>
      </c>
      <c r="P140" s="11">
        <f t="shared" si="27"/>
        <v>319373171.25</v>
      </c>
    </row>
    <row r="141" spans="1:16">
      <c r="A141" t="s">
        <v>673</v>
      </c>
      <c r="B141" t="s">
        <v>985</v>
      </c>
      <c r="C141" s="82">
        <f>VLOOKUP($A141&amp;"KWH",'E11 - 2014 09 Final'!$A$46:$Q$1704,$C$115,FALSE)</f>
        <v>0</v>
      </c>
      <c r="D141" s="82">
        <f>VLOOKUP($A141&amp;"KWH",'E11 - 2014 09 Final'!$A$46:$Q$1704,$D$115,FALSE)</f>
        <v>18643000</v>
      </c>
      <c r="E141" s="82">
        <f>VLOOKUP($A141&amp;"KWH",'E11 - 2014 09 Final'!$A$46:$Q$1704,$E$115,FALSE)</f>
        <v>14860000</v>
      </c>
      <c r="F141" s="82">
        <f>VLOOKUP($A141&amp;"KWH",'E11 - 2014 09 Final'!$A$46:$Q$1704,$F$115,FALSE)</f>
        <v>7200000</v>
      </c>
      <c r="G141" s="82">
        <f>VLOOKUP($A141&amp;"KWH",'E11 - 2014 09 Final'!$A$46:$Q$1704,$G$115,FALSE)</f>
        <v>14775000</v>
      </c>
      <c r="H141" s="82">
        <f>VLOOKUP($A141&amp;"KWH",'E11 - 2014 09 Final'!$A$46:$Q$1704,$H$115,FALSE)</f>
        <v>23090000</v>
      </c>
      <c r="I141" s="82">
        <f>VLOOKUP($A141&amp;"KWH",'E11 - 2014 09 Final'!$A$46:$Q$1704,$I$115,FALSE)</f>
        <v>24630000</v>
      </c>
      <c r="J141" s="82">
        <f>VLOOKUP($A141&amp;"KWH",'E11 - 2014 09 Final'!$A$46:$Q$1704,$J$115,FALSE)</f>
        <v>24970000</v>
      </c>
      <c r="K141" s="82">
        <f>VLOOKUP($A141&amp;"KWH",'E11 - 2014 09 Final'!$A$46:$Q$1704,$K$115,FALSE)</f>
        <v>17900000</v>
      </c>
      <c r="L141" s="82">
        <f>VLOOKUP($A141&amp;"KWH",'E11 - 2014 09 Final'!$A$46:$Q$1704,$L$115,FALSE)</f>
        <v>14585000</v>
      </c>
      <c r="M141" s="82">
        <f>VLOOKUP($A141&amp;"KWH",'E11 - 2014 09 Final'!$A$46:$Q$1704,$M$115,FALSE)</f>
        <v>7190000</v>
      </c>
      <c r="N141" s="82">
        <f>VLOOKUP($A141&amp;"KWH",'E11 - 2014 09 Final'!$A$46:$Q$1704,$N$115,FALSE)</f>
        <v>14375000</v>
      </c>
      <c r="O141" s="44">
        <f t="shared" si="26"/>
        <v>182218000</v>
      </c>
      <c r="P141" s="11">
        <f t="shared" si="27"/>
        <v>15184833.333333334</v>
      </c>
    </row>
    <row r="142" spans="1:16">
      <c r="A142" t="s">
        <v>691</v>
      </c>
      <c r="B142" t="s">
        <v>691</v>
      </c>
      <c r="C142" s="82">
        <f>VLOOKUP($A142&amp;"KWH",'E11 - 2014 09 Final'!$A$46:$Q$1704,$C$115,FALSE)</f>
        <v>0</v>
      </c>
      <c r="D142" s="82">
        <f>VLOOKUP($A142&amp;"KWH",'E11 - 2014 09 Final'!$A$46:$Q$1704,$D$115,FALSE)</f>
        <v>0</v>
      </c>
      <c r="E142" s="82">
        <f>VLOOKUP($A142&amp;"KWH",'E11 - 2014 09 Final'!$A$46:$Q$1704,$E$115,FALSE)</f>
        <v>0</v>
      </c>
      <c r="F142" s="82">
        <f>VLOOKUP($A142&amp;"KWH",'E11 - 2014 09 Final'!$A$46:$Q$1704,$F$115,FALSE)</f>
        <v>0</v>
      </c>
      <c r="G142" s="82">
        <f>VLOOKUP($A142&amp;"KWH",'E11 - 2014 09 Final'!$A$46:$Q$1704,$G$115,FALSE)</f>
        <v>0</v>
      </c>
      <c r="H142" s="82">
        <f>VLOOKUP($A142&amp;"KWH",'E11 - 2014 09 Final'!$A$46:$Q$1704,$H$115,FALSE)</f>
        <v>81900000</v>
      </c>
      <c r="I142" s="82">
        <f>VLOOKUP($A142&amp;"KWH",'E11 - 2014 09 Final'!$A$46:$Q$1704,$I$115,FALSE)</f>
        <v>90850000</v>
      </c>
      <c r="J142" s="82">
        <f>VLOOKUP($A142&amp;"KWH",'E11 - 2014 09 Final'!$A$46:$Q$1704,$J$115,FALSE)</f>
        <v>96050000</v>
      </c>
      <c r="K142" s="82">
        <f>VLOOKUP($A142&amp;"KWH",'E11 - 2014 09 Final'!$A$46:$Q$1704,$K$115,FALSE)</f>
        <v>93375000</v>
      </c>
      <c r="L142" s="82">
        <f>VLOOKUP($A142&amp;"KWH",'E11 - 2014 09 Final'!$A$46:$Q$1704,$L$115,FALSE)</f>
        <v>87075000</v>
      </c>
      <c r="M142" s="82">
        <f>VLOOKUP($A142&amp;"KWH",'E11 - 2014 09 Final'!$A$46:$Q$1704,$M$115,FALSE)</f>
        <v>43795000</v>
      </c>
      <c r="N142" s="82">
        <f>VLOOKUP($A142&amp;"KWH",'E11 - 2014 09 Final'!$A$46:$Q$1704,$N$115,FALSE)</f>
        <v>13575000</v>
      </c>
      <c r="O142" s="44">
        <f t="shared" si="26"/>
        <v>506620000</v>
      </c>
      <c r="P142" s="11">
        <f t="shared" si="27"/>
        <v>42218333.333333336</v>
      </c>
    </row>
    <row r="143" spans="1:16">
      <c r="A143" t="s">
        <v>724</v>
      </c>
      <c r="B143" t="s">
        <v>724</v>
      </c>
      <c r="C143" s="82">
        <f>VLOOKUP($A143&amp;"KWH",'E11 - 2014 09 Final'!$A$46:$Q$1704,$C$115,FALSE)</f>
        <v>5095503</v>
      </c>
      <c r="D143" s="82">
        <f>VLOOKUP($A143&amp;"KWH",'E11 - 2014 09 Final'!$A$46:$Q$1704,$D$115,FALSE)</f>
        <v>4168602</v>
      </c>
      <c r="E143" s="82">
        <f>VLOOKUP($A143&amp;"KWH",'E11 - 2014 09 Final'!$A$46:$Q$1704,$E$115,FALSE)</f>
        <v>4477924</v>
      </c>
      <c r="F143" s="82">
        <f>VLOOKUP($A143&amp;"KWH",'E11 - 2014 09 Final'!$A$46:$Q$1704,$F$115,FALSE)</f>
        <v>4975809</v>
      </c>
      <c r="G143" s="82">
        <f>VLOOKUP($A143&amp;"KWH",'E11 - 2014 09 Final'!$A$46:$Q$1704,$G$115,FALSE)</f>
        <v>5840816</v>
      </c>
      <c r="H143" s="82">
        <f>VLOOKUP($A143&amp;"KWH",'E11 - 2014 09 Final'!$A$46:$Q$1704,$H$115,FALSE)</f>
        <v>6004206</v>
      </c>
      <c r="I143" s="82">
        <f>VLOOKUP($A143&amp;"KWH",'E11 - 2014 09 Final'!$A$46:$Q$1704,$I$115,FALSE)</f>
        <v>6211056</v>
      </c>
      <c r="J143" s="82">
        <f>VLOOKUP($A143&amp;"KWH",'E11 - 2014 09 Final'!$A$46:$Q$1704,$J$115,FALSE)</f>
        <v>6508255</v>
      </c>
      <c r="K143" s="82">
        <f>VLOOKUP($A143&amp;"KWH",'E11 - 2014 09 Final'!$A$46:$Q$1704,$K$115,FALSE)</f>
        <v>5816683</v>
      </c>
      <c r="L143" s="82">
        <f>VLOOKUP($A143&amp;"KWH",'E11 - 2014 09 Final'!$A$46:$Q$1704,$L$115,FALSE)</f>
        <v>5320273</v>
      </c>
      <c r="M143" s="82">
        <f>VLOOKUP($A143&amp;"KWH",'E11 - 2014 09 Final'!$A$46:$Q$1704,$M$115,FALSE)</f>
        <v>4306542</v>
      </c>
      <c r="N143" s="82">
        <f>VLOOKUP($A143&amp;"KWH",'E11 - 2014 09 Final'!$A$46:$Q$1704,$N$115,FALSE)</f>
        <v>4695773</v>
      </c>
      <c r="O143" s="44">
        <f t="shared" si="26"/>
        <v>63421442</v>
      </c>
      <c r="P143" s="11">
        <f t="shared" si="27"/>
        <v>5285120.166666667</v>
      </c>
    </row>
    <row r="144" spans="1:16">
      <c r="A144" t="s">
        <v>727</v>
      </c>
      <c r="B144" t="s">
        <v>986</v>
      </c>
      <c r="C144" s="82">
        <f>VLOOKUP($A144&amp;"KWH",'E11 - 2014 09 Final'!$A$46:$Q$1704,$C$115,FALSE)</f>
        <v>16537000</v>
      </c>
      <c r="D144" s="82">
        <f>VLOOKUP($A144&amp;"KWH",'E11 - 2014 09 Final'!$A$46:$Q$1704,$D$115,FALSE)</f>
        <v>15456000</v>
      </c>
      <c r="E144" s="82">
        <f>VLOOKUP($A144&amp;"KWH",'E11 - 2014 09 Final'!$A$46:$Q$1704,$E$115,FALSE)</f>
        <v>16974000</v>
      </c>
      <c r="F144" s="82">
        <f>VLOOKUP($A144&amp;"KWH",'E11 - 2014 09 Final'!$A$46:$Q$1704,$F$115,FALSE)</f>
        <v>15387000</v>
      </c>
      <c r="G144" s="82">
        <f>VLOOKUP($A144&amp;"KWH",'E11 - 2014 09 Final'!$A$46:$Q$1704,$G$115,FALSE)</f>
        <v>16790000</v>
      </c>
      <c r="H144" s="82">
        <f>VLOOKUP($A144&amp;"KWH",'E11 - 2014 09 Final'!$A$46:$Q$1704,$H$115,FALSE)</f>
        <v>16560000</v>
      </c>
      <c r="I144" s="82">
        <f>VLOOKUP($A144&amp;"KWH",'E11 - 2014 09 Final'!$A$46:$Q$1704,$I$115,FALSE)</f>
        <v>17112000</v>
      </c>
      <c r="J144" s="82">
        <f>VLOOKUP($A144&amp;"KWH",'E11 - 2014 09 Final'!$A$46:$Q$1704,$J$115,FALSE)</f>
        <v>17112000</v>
      </c>
      <c r="K144" s="82">
        <f>VLOOKUP($A144&amp;"KWH",'E11 - 2014 09 Final'!$A$46:$Q$1704,$K$115,FALSE)</f>
        <v>16560000</v>
      </c>
      <c r="L144" s="82">
        <f>VLOOKUP($A144&amp;"KWH",'E11 - 2014 09 Final'!$A$46:$Q$1704,$L$115,FALSE)</f>
        <v>16583000</v>
      </c>
      <c r="M144" s="82">
        <f>VLOOKUP($A144&amp;"KWH",'E11 - 2014 09 Final'!$A$46:$Q$1704,$M$115,FALSE)</f>
        <v>16031000</v>
      </c>
      <c r="N144" s="82">
        <f>VLOOKUP($A144&amp;"KWH",'E11 - 2014 09 Final'!$A$46:$Q$1704,$N$115,FALSE)</f>
        <v>15847000</v>
      </c>
      <c r="O144" s="44">
        <f t="shared" si="26"/>
        <v>196949000</v>
      </c>
      <c r="P144" s="11">
        <f t="shared" si="27"/>
        <v>16412416.666666666</v>
      </c>
    </row>
    <row r="145" spans="2:17">
      <c r="B145" s="77"/>
      <c r="C145" s="48"/>
      <c r="D145" s="48"/>
      <c r="E145" s="48"/>
      <c r="F145" s="48"/>
      <c r="G145" s="48"/>
      <c r="H145" s="48"/>
      <c r="I145" s="48"/>
      <c r="J145" s="48"/>
      <c r="K145" s="48"/>
      <c r="L145" s="48"/>
      <c r="M145" s="48"/>
      <c r="N145" s="48"/>
      <c r="O145" s="78"/>
      <c r="P145" s="48"/>
      <c r="Q145" s="10"/>
    </row>
    <row r="146" spans="2:17">
      <c r="B146" s="77"/>
      <c r="C146" s="48"/>
      <c r="D146" s="48"/>
      <c r="E146" s="48"/>
      <c r="F146" s="48"/>
      <c r="G146" s="48"/>
      <c r="H146" s="48"/>
      <c r="I146" s="48"/>
      <c r="J146" s="48"/>
      <c r="K146" s="48"/>
      <c r="L146" s="48"/>
      <c r="M146" s="48"/>
      <c r="N146" s="48"/>
      <c r="O146" s="78"/>
      <c r="P146" s="48"/>
      <c r="Q146" s="10"/>
    </row>
    <row r="147" spans="2:17">
      <c r="B147" s="77"/>
      <c r="C147" s="48"/>
      <c r="D147" s="48"/>
      <c r="E147" s="48"/>
      <c r="F147" s="48"/>
      <c r="G147" s="48"/>
      <c r="H147" s="48"/>
      <c r="I147" s="48"/>
      <c r="J147" s="48"/>
      <c r="K147" s="48"/>
      <c r="L147" s="48"/>
      <c r="M147" s="48"/>
      <c r="N147" s="48"/>
      <c r="O147" s="78"/>
      <c r="P147" s="48"/>
      <c r="Q147" s="10"/>
    </row>
    <row r="148" spans="2:17">
      <c r="B148" s="77"/>
      <c r="C148" s="48"/>
      <c r="D148" s="48"/>
      <c r="E148" s="48"/>
      <c r="F148" s="48"/>
      <c r="G148" s="48"/>
      <c r="H148" s="48"/>
      <c r="I148" s="48"/>
      <c r="J148" s="48"/>
      <c r="K148" s="48"/>
      <c r="L148" s="48"/>
      <c r="M148" s="48"/>
      <c r="N148" s="48"/>
      <c r="O148" s="78"/>
      <c r="P148" s="48"/>
      <c r="Q148" s="10"/>
    </row>
    <row r="149" spans="2:17">
      <c r="B149" s="77"/>
      <c r="C149" s="48"/>
      <c r="D149" s="48"/>
      <c r="E149" s="48"/>
      <c r="F149" s="48"/>
      <c r="G149" s="48"/>
      <c r="H149" s="48"/>
      <c r="I149" s="48"/>
      <c r="J149" s="48"/>
      <c r="K149" s="48"/>
      <c r="L149" s="48"/>
      <c r="M149" s="48"/>
      <c r="N149" s="48"/>
      <c r="O149" s="78"/>
      <c r="P149" s="48"/>
      <c r="Q149" s="10"/>
    </row>
    <row r="150" spans="2:17">
      <c r="B150" s="77"/>
      <c r="C150" s="48"/>
      <c r="D150" s="48"/>
      <c r="E150" s="48"/>
      <c r="F150" s="48"/>
      <c r="G150" s="48"/>
      <c r="H150" s="48"/>
      <c r="I150" s="48"/>
      <c r="J150" s="48"/>
      <c r="K150" s="48"/>
      <c r="L150" s="48"/>
      <c r="M150" s="48"/>
      <c r="N150" s="48"/>
      <c r="O150" s="78"/>
      <c r="P150" s="48"/>
      <c r="Q150" s="10"/>
    </row>
    <row r="151" spans="2:17">
      <c r="B151" s="10"/>
      <c r="C151" s="48"/>
      <c r="D151" s="48"/>
      <c r="E151" s="48"/>
      <c r="F151" s="48"/>
      <c r="G151" s="48"/>
      <c r="H151" s="48"/>
      <c r="I151" s="48"/>
      <c r="J151" s="48"/>
      <c r="K151" s="48"/>
      <c r="L151" s="48"/>
      <c r="M151" s="48"/>
      <c r="N151" s="48"/>
      <c r="O151" s="78"/>
      <c r="P151" s="48"/>
      <c r="Q151" s="10"/>
    </row>
    <row r="152" spans="2:17">
      <c r="B152" s="10"/>
      <c r="C152" s="48"/>
      <c r="D152" s="48"/>
      <c r="E152" s="48"/>
      <c r="F152" s="48"/>
      <c r="G152" s="48"/>
      <c r="H152" s="48"/>
      <c r="I152" s="48"/>
      <c r="J152" s="48"/>
      <c r="K152" s="48"/>
      <c r="L152" s="48"/>
      <c r="M152" s="48"/>
      <c r="N152" s="48"/>
      <c r="O152" s="78"/>
      <c r="P152" s="48"/>
      <c r="Q152" s="10"/>
    </row>
    <row r="153" spans="2:17">
      <c r="B153" s="311"/>
      <c r="C153" s="10"/>
      <c r="D153" s="10"/>
      <c r="E153" s="10"/>
      <c r="F153" s="10"/>
      <c r="G153" s="10"/>
      <c r="H153" s="10"/>
      <c r="I153" s="10"/>
      <c r="J153" s="10"/>
      <c r="K153" s="10"/>
      <c r="L153" s="10"/>
      <c r="M153" s="10"/>
      <c r="N153" s="10"/>
      <c r="O153" s="10"/>
      <c r="P153" s="10"/>
      <c r="Q153" s="10"/>
    </row>
    <row r="154" spans="2:17">
      <c r="B154" s="77"/>
      <c r="C154" s="48"/>
      <c r="D154" s="48"/>
      <c r="E154" s="48"/>
      <c r="F154" s="48"/>
      <c r="G154" s="48"/>
      <c r="H154" s="48"/>
      <c r="I154" s="48"/>
      <c r="J154" s="48"/>
      <c r="K154" s="48"/>
      <c r="L154" s="48"/>
      <c r="M154" s="48"/>
      <c r="N154" s="48"/>
      <c r="O154" s="78"/>
      <c r="P154" s="48"/>
      <c r="Q154" s="10"/>
    </row>
    <row r="155" spans="2:17">
      <c r="B155" s="77"/>
      <c r="C155" s="48"/>
      <c r="D155" s="48"/>
      <c r="E155" s="48"/>
      <c r="F155" s="48"/>
      <c r="G155" s="48"/>
      <c r="H155" s="48"/>
      <c r="I155" s="48"/>
      <c r="J155" s="48"/>
      <c r="K155" s="48"/>
      <c r="L155" s="48"/>
      <c r="M155" s="48"/>
      <c r="N155" s="48"/>
      <c r="O155" s="78"/>
      <c r="P155" s="48"/>
      <c r="Q155" s="10"/>
    </row>
    <row r="156" spans="2:17" ht="409.6">
      <c r="B156" s="77"/>
      <c r="C156" s="48"/>
      <c r="D156" s="48"/>
      <c r="E156" s="48"/>
      <c r="F156" s="48"/>
      <c r="G156" s="48"/>
      <c r="H156" s="48"/>
      <c r="I156" s="48"/>
      <c r="J156" s="48"/>
      <c r="K156" s="48"/>
      <c r="L156" s="48"/>
      <c r="M156" s="48"/>
      <c r="N156" s="48"/>
      <c r="O156" s="78"/>
      <c r="P156" s="48"/>
      <c r="Q156" s="10"/>
    </row>
    <row r="157" spans="2:17" ht="409.6">
      <c r="B157" s="10"/>
      <c r="C157" s="10"/>
      <c r="D157" s="10"/>
      <c r="E157" s="10"/>
      <c r="F157" s="10"/>
      <c r="G157" s="10"/>
      <c r="H157" s="10"/>
      <c r="I157" s="10"/>
      <c r="J157" s="10"/>
      <c r="K157" s="10"/>
      <c r="L157" s="10"/>
      <c r="M157" s="10"/>
      <c r="N157" s="10"/>
      <c r="O157" s="10"/>
      <c r="P157" s="10"/>
      <c r="Q157" s="10"/>
    </row>
    <row r="158" spans="2:17">
      <c r="B158" s="10"/>
      <c r="C158" s="10"/>
      <c r="D158" s="10"/>
      <c r="E158" s="10"/>
      <c r="F158" s="10"/>
      <c r="G158" s="10"/>
      <c r="H158" s="10"/>
      <c r="I158" s="10"/>
      <c r="J158" s="10"/>
      <c r="K158" s="10"/>
      <c r="L158" s="10"/>
      <c r="M158" s="10"/>
      <c r="N158" s="10"/>
      <c r="O158" s="10"/>
      <c r="P158" s="10"/>
      <c r="Q158" s="10"/>
    </row>
  </sheetData>
  <mergeCells count="8">
    <mergeCell ref="B76:P76"/>
    <mergeCell ref="B110:P110"/>
    <mergeCell ref="B111:P111"/>
    <mergeCell ref="B4:P4"/>
    <mergeCell ref="B5:P5"/>
    <mergeCell ref="B40:P40"/>
    <mergeCell ref="B41:P41"/>
    <mergeCell ref="B75:P75"/>
  </mergeCells>
  <phoneticPr fontId="9"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10"/>
  </sheetPr>
  <dimension ref="A1:Y442"/>
  <sheetViews>
    <sheetView showGridLines="0" zoomScale="75" zoomScaleNormal="75" workbookViewId="0">
      <pane xSplit="2" ySplit="7" topLeftCell="C8" activePane="bottomRight" state="frozen"/>
      <selection activeCell="B3" sqref="A1:XFD3"/>
      <selection pane="topRight" activeCell="B3" sqref="A1:XFD3"/>
      <selection pane="bottomLeft" activeCell="B3" sqref="A1:XFD3"/>
      <selection pane="bottomRight" activeCell="A2" sqref="A1:A2"/>
    </sheetView>
  </sheetViews>
  <sheetFormatPr defaultRowHeight="13.2"/>
  <cols>
    <col min="1" max="1" width="18.5546875" style="253" bestFit="1" customWidth="1"/>
    <col min="2" max="2" width="22.33203125" style="253" customWidth="1"/>
    <col min="3" max="14" width="14.33203125" style="255" bestFit="1" customWidth="1"/>
    <col min="15" max="15" width="17.44140625" style="255" bestFit="1" customWidth="1"/>
    <col min="16" max="16" width="15.6640625" style="255" customWidth="1"/>
    <col min="17" max="17" width="12.33203125" style="255" bestFit="1" customWidth="1"/>
    <col min="18" max="18" width="12.33203125" style="253" bestFit="1" customWidth="1"/>
    <col min="19" max="19" width="9.109375" style="253"/>
    <col min="20" max="20" width="16.33203125" style="255" customWidth="1"/>
    <col min="21" max="21" width="15.44140625" style="255" bestFit="1" customWidth="1"/>
    <col min="22" max="257" width="9.109375" style="253"/>
    <col min="258" max="258" width="22.33203125" style="253" customWidth="1"/>
    <col min="259" max="270" width="14.33203125" style="253" bestFit="1" customWidth="1"/>
    <col min="271" max="271" width="17.44140625" style="253" bestFit="1" customWidth="1"/>
    <col min="272" max="274" width="12.33203125" style="253" bestFit="1" customWidth="1"/>
    <col min="275" max="275" width="9.109375" style="253"/>
    <col min="276" max="276" width="16.33203125" style="253" customWidth="1"/>
    <col min="277" max="277" width="15.44140625" style="253" bestFit="1" customWidth="1"/>
    <col min="278" max="513" width="9.109375" style="253"/>
    <col min="514" max="514" width="22.33203125" style="253" customWidth="1"/>
    <col min="515" max="526" width="14.33203125" style="253" bestFit="1" customWidth="1"/>
    <col min="527" max="527" width="17.44140625" style="253" bestFit="1" customWidth="1"/>
    <col min="528" max="530" width="12.33203125" style="253" bestFit="1" customWidth="1"/>
    <col min="531" max="531" width="9.109375" style="253"/>
    <col min="532" max="532" width="16.33203125" style="253" customWidth="1"/>
    <col min="533" max="533" width="15.44140625" style="253" bestFit="1" customWidth="1"/>
    <col min="534" max="769" width="9.109375" style="253"/>
    <col min="770" max="770" width="22.33203125" style="253" customWidth="1"/>
    <col min="771" max="782" width="14.33203125" style="253" bestFit="1" customWidth="1"/>
    <col min="783" max="783" width="17.44140625" style="253" bestFit="1" customWidth="1"/>
    <col min="784" max="786" width="12.33203125" style="253" bestFit="1" customWidth="1"/>
    <col min="787" max="787" width="9.109375" style="253"/>
    <col min="788" max="788" width="16.33203125" style="253" customWidth="1"/>
    <col min="789" max="789" width="15.44140625" style="253" bestFit="1" customWidth="1"/>
    <col min="790" max="1025" width="9.109375" style="253"/>
    <col min="1026" max="1026" width="22.33203125" style="253" customWidth="1"/>
    <col min="1027" max="1038" width="14.33203125" style="253" bestFit="1" customWidth="1"/>
    <col min="1039" max="1039" width="17.44140625" style="253" bestFit="1" customWidth="1"/>
    <col min="1040" max="1042" width="12.33203125" style="253" bestFit="1" customWidth="1"/>
    <col min="1043" max="1043" width="9.109375" style="253"/>
    <col min="1044" max="1044" width="16.33203125" style="253" customWidth="1"/>
    <col min="1045" max="1045" width="15.44140625" style="253" bestFit="1" customWidth="1"/>
    <col min="1046" max="1281" width="9.109375" style="253"/>
    <col min="1282" max="1282" width="22.33203125" style="253" customWidth="1"/>
    <col min="1283" max="1294" width="14.33203125" style="253" bestFit="1" customWidth="1"/>
    <col min="1295" max="1295" width="17.44140625" style="253" bestFit="1" customWidth="1"/>
    <col min="1296" max="1298" width="12.33203125" style="253" bestFit="1" customWidth="1"/>
    <col min="1299" max="1299" width="9.109375" style="253"/>
    <col min="1300" max="1300" width="16.33203125" style="253" customWidth="1"/>
    <col min="1301" max="1301" width="15.44140625" style="253" bestFit="1" customWidth="1"/>
    <col min="1302" max="1537" width="9.109375" style="253"/>
    <col min="1538" max="1538" width="22.33203125" style="253" customWidth="1"/>
    <col min="1539" max="1550" width="14.33203125" style="253" bestFit="1" customWidth="1"/>
    <col min="1551" max="1551" width="17.44140625" style="253" bestFit="1" customWidth="1"/>
    <col min="1552" max="1554" width="12.33203125" style="253" bestFit="1" customWidth="1"/>
    <col min="1555" max="1555" width="9.109375" style="253"/>
    <col min="1556" max="1556" width="16.33203125" style="253" customWidth="1"/>
    <col min="1557" max="1557" width="15.44140625" style="253" bestFit="1" customWidth="1"/>
    <col min="1558" max="1793" width="9.109375" style="253"/>
    <col min="1794" max="1794" width="22.33203125" style="253" customWidth="1"/>
    <col min="1795" max="1806" width="14.33203125" style="253" bestFit="1" customWidth="1"/>
    <col min="1807" max="1807" width="17.44140625" style="253" bestFit="1" customWidth="1"/>
    <col min="1808" max="1810" width="12.33203125" style="253" bestFit="1" customWidth="1"/>
    <col min="1811" max="1811" width="9.109375" style="253"/>
    <col min="1812" max="1812" width="16.33203125" style="253" customWidth="1"/>
    <col min="1813" max="1813" width="15.44140625" style="253" bestFit="1" customWidth="1"/>
    <col min="1814" max="2049" width="9.109375" style="253"/>
    <col min="2050" max="2050" width="22.33203125" style="253" customWidth="1"/>
    <col min="2051" max="2062" width="14.33203125" style="253" bestFit="1" customWidth="1"/>
    <col min="2063" max="2063" width="17.44140625" style="253" bestFit="1" customWidth="1"/>
    <col min="2064" max="2066" width="12.33203125" style="253" bestFit="1" customWidth="1"/>
    <col min="2067" max="2067" width="9.109375" style="253"/>
    <col min="2068" max="2068" width="16.33203125" style="253" customWidth="1"/>
    <col min="2069" max="2069" width="15.44140625" style="253" bestFit="1" customWidth="1"/>
    <col min="2070" max="2305" width="9.109375" style="253"/>
    <col min="2306" max="2306" width="22.33203125" style="253" customWidth="1"/>
    <col min="2307" max="2318" width="14.33203125" style="253" bestFit="1" customWidth="1"/>
    <col min="2319" max="2319" width="17.44140625" style="253" bestFit="1" customWidth="1"/>
    <col min="2320" max="2322" width="12.33203125" style="253" bestFit="1" customWidth="1"/>
    <col min="2323" max="2323" width="9.109375" style="253"/>
    <col min="2324" max="2324" width="16.33203125" style="253" customWidth="1"/>
    <col min="2325" max="2325" width="15.44140625" style="253" bestFit="1" customWidth="1"/>
    <col min="2326" max="2561" width="9.109375" style="253"/>
    <col min="2562" max="2562" width="22.33203125" style="253" customWidth="1"/>
    <col min="2563" max="2574" width="14.33203125" style="253" bestFit="1" customWidth="1"/>
    <col min="2575" max="2575" width="17.44140625" style="253" bestFit="1" customWidth="1"/>
    <col min="2576" max="2578" width="12.33203125" style="253" bestFit="1" customWidth="1"/>
    <col min="2579" max="2579" width="9.109375" style="253"/>
    <col min="2580" max="2580" width="16.33203125" style="253" customWidth="1"/>
    <col min="2581" max="2581" width="15.44140625" style="253" bestFit="1" customWidth="1"/>
    <col min="2582" max="2817" width="9.109375" style="253"/>
    <col min="2818" max="2818" width="22.33203125" style="253" customWidth="1"/>
    <col min="2819" max="2830" width="14.33203125" style="253" bestFit="1" customWidth="1"/>
    <col min="2831" max="2831" width="17.44140625" style="253" bestFit="1" customWidth="1"/>
    <col min="2832" max="2834" width="12.33203125" style="253" bestFit="1" customWidth="1"/>
    <col min="2835" max="2835" width="9.109375" style="253"/>
    <col min="2836" max="2836" width="16.33203125" style="253" customWidth="1"/>
    <col min="2837" max="2837" width="15.44140625" style="253" bestFit="1" customWidth="1"/>
    <col min="2838" max="3073" width="9.109375" style="253"/>
    <col min="3074" max="3074" width="22.33203125" style="253" customWidth="1"/>
    <col min="3075" max="3086" width="14.33203125" style="253" bestFit="1" customWidth="1"/>
    <col min="3087" max="3087" width="17.44140625" style="253" bestFit="1" customWidth="1"/>
    <col min="3088" max="3090" width="12.33203125" style="253" bestFit="1" customWidth="1"/>
    <col min="3091" max="3091" width="9.109375" style="253"/>
    <col min="3092" max="3092" width="16.33203125" style="253" customWidth="1"/>
    <col min="3093" max="3093" width="15.44140625" style="253" bestFit="1" customWidth="1"/>
    <col min="3094" max="3329" width="9.109375" style="253"/>
    <col min="3330" max="3330" width="22.33203125" style="253" customWidth="1"/>
    <col min="3331" max="3342" width="14.33203125" style="253" bestFit="1" customWidth="1"/>
    <col min="3343" max="3343" width="17.44140625" style="253" bestFit="1" customWidth="1"/>
    <col min="3344" max="3346" width="12.33203125" style="253" bestFit="1" customWidth="1"/>
    <col min="3347" max="3347" width="9.109375" style="253"/>
    <col min="3348" max="3348" width="16.33203125" style="253" customWidth="1"/>
    <col min="3349" max="3349" width="15.44140625" style="253" bestFit="1" customWidth="1"/>
    <col min="3350" max="3585" width="9.109375" style="253"/>
    <col min="3586" max="3586" width="22.33203125" style="253" customWidth="1"/>
    <col min="3587" max="3598" width="14.33203125" style="253" bestFit="1" customWidth="1"/>
    <col min="3599" max="3599" width="17.44140625" style="253" bestFit="1" customWidth="1"/>
    <col min="3600" max="3602" width="12.33203125" style="253" bestFit="1" customWidth="1"/>
    <col min="3603" max="3603" width="9.109375" style="253"/>
    <col min="3604" max="3604" width="16.33203125" style="253" customWidth="1"/>
    <col min="3605" max="3605" width="15.44140625" style="253" bestFit="1" customWidth="1"/>
    <col min="3606" max="3841" width="9.109375" style="253"/>
    <col min="3842" max="3842" width="22.33203125" style="253" customWidth="1"/>
    <col min="3843" max="3854" width="14.33203125" style="253" bestFit="1" customWidth="1"/>
    <col min="3855" max="3855" width="17.44140625" style="253" bestFit="1" customWidth="1"/>
    <col min="3856" max="3858" width="12.33203125" style="253" bestFit="1" customWidth="1"/>
    <col min="3859" max="3859" width="9.109375" style="253"/>
    <col min="3860" max="3860" width="16.33203125" style="253" customWidth="1"/>
    <col min="3861" max="3861" width="15.44140625" style="253" bestFit="1" customWidth="1"/>
    <col min="3862" max="4097" width="9.109375" style="253"/>
    <col min="4098" max="4098" width="22.33203125" style="253" customWidth="1"/>
    <col min="4099" max="4110" width="14.33203125" style="253" bestFit="1" customWidth="1"/>
    <col min="4111" max="4111" width="17.44140625" style="253" bestFit="1" customWidth="1"/>
    <col min="4112" max="4114" width="12.33203125" style="253" bestFit="1" customWidth="1"/>
    <col min="4115" max="4115" width="9.109375" style="253"/>
    <col min="4116" max="4116" width="16.33203125" style="253" customWidth="1"/>
    <col min="4117" max="4117" width="15.44140625" style="253" bestFit="1" customWidth="1"/>
    <col min="4118" max="4353" width="9.109375" style="253"/>
    <col min="4354" max="4354" width="22.33203125" style="253" customWidth="1"/>
    <col min="4355" max="4366" width="14.33203125" style="253" bestFit="1" customWidth="1"/>
    <col min="4367" max="4367" width="17.44140625" style="253" bestFit="1" customWidth="1"/>
    <col min="4368" max="4370" width="12.33203125" style="253" bestFit="1" customWidth="1"/>
    <col min="4371" max="4371" width="9.109375" style="253"/>
    <col min="4372" max="4372" width="16.33203125" style="253" customWidth="1"/>
    <col min="4373" max="4373" width="15.44140625" style="253" bestFit="1" customWidth="1"/>
    <col min="4374" max="4609" width="9.109375" style="253"/>
    <col min="4610" max="4610" width="22.33203125" style="253" customWidth="1"/>
    <col min="4611" max="4622" width="14.33203125" style="253" bestFit="1" customWidth="1"/>
    <col min="4623" max="4623" width="17.44140625" style="253" bestFit="1" customWidth="1"/>
    <col min="4624" max="4626" width="12.33203125" style="253" bestFit="1" customWidth="1"/>
    <col min="4627" max="4627" width="9.109375" style="253"/>
    <col min="4628" max="4628" width="16.33203125" style="253" customWidth="1"/>
    <col min="4629" max="4629" width="15.44140625" style="253" bestFit="1" customWidth="1"/>
    <col min="4630" max="4865" width="9.109375" style="253"/>
    <col min="4866" max="4866" width="22.33203125" style="253" customWidth="1"/>
    <col min="4867" max="4878" width="14.33203125" style="253" bestFit="1" customWidth="1"/>
    <col min="4879" max="4879" width="17.44140625" style="253" bestFit="1" customWidth="1"/>
    <col min="4880" max="4882" width="12.33203125" style="253" bestFit="1" customWidth="1"/>
    <col min="4883" max="4883" width="9.109375" style="253"/>
    <col min="4884" max="4884" width="16.33203125" style="253" customWidth="1"/>
    <col min="4885" max="4885" width="15.44140625" style="253" bestFit="1" customWidth="1"/>
    <col min="4886" max="5121" width="9.109375" style="253"/>
    <col min="5122" max="5122" width="22.33203125" style="253" customWidth="1"/>
    <col min="5123" max="5134" width="14.33203125" style="253" bestFit="1" customWidth="1"/>
    <col min="5135" max="5135" width="17.44140625" style="253" bestFit="1" customWidth="1"/>
    <col min="5136" max="5138" width="12.33203125" style="253" bestFit="1" customWidth="1"/>
    <col min="5139" max="5139" width="9.109375" style="253"/>
    <col min="5140" max="5140" width="16.33203125" style="253" customWidth="1"/>
    <col min="5141" max="5141" width="15.44140625" style="253" bestFit="1" customWidth="1"/>
    <col min="5142" max="5377" width="9.109375" style="253"/>
    <col min="5378" max="5378" width="22.33203125" style="253" customWidth="1"/>
    <col min="5379" max="5390" width="14.33203125" style="253" bestFit="1" customWidth="1"/>
    <col min="5391" max="5391" width="17.44140625" style="253" bestFit="1" customWidth="1"/>
    <col min="5392" max="5394" width="12.33203125" style="253" bestFit="1" customWidth="1"/>
    <col min="5395" max="5395" width="9.109375" style="253"/>
    <col min="5396" max="5396" width="16.33203125" style="253" customWidth="1"/>
    <col min="5397" max="5397" width="15.44140625" style="253" bestFit="1" customWidth="1"/>
    <col min="5398" max="5633" width="9.109375" style="253"/>
    <col min="5634" max="5634" width="22.33203125" style="253" customWidth="1"/>
    <col min="5635" max="5646" width="14.33203125" style="253" bestFit="1" customWidth="1"/>
    <col min="5647" max="5647" width="17.44140625" style="253" bestFit="1" customWidth="1"/>
    <col min="5648" max="5650" width="12.33203125" style="253" bestFit="1" customWidth="1"/>
    <col min="5651" max="5651" width="9.109375" style="253"/>
    <col min="5652" max="5652" width="16.33203125" style="253" customWidth="1"/>
    <col min="5653" max="5653" width="15.44140625" style="253" bestFit="1" customWidth="1"/>
    <col min="5654" max="5889" width="9.109375" style="253"/>
    <col min="5890" max="5890" width="22.33203125" style="253" customWidth="1"/>
    <col min="5891" max="5902" width="14.33203125" style="253" bestFit="1" customWidth="1"/>
    <col min="5903" max="5903" width="17.44140625" style="253" bestFit="1" customWidth="1"/>
    <col min="5904" max="5906" width="12.33203125" style="253" bestFit="1" customWidth="1"/>
    <col min="5907" max="5907" width="9.109375" style="253"/>
    <col min="5908" max="5908" width="16.33203125" style="253" customWidth="1"/>
    <col min="5909" max="5909" width="15.44140625" style="253" bestFit="1" customWidth="1"/>
    <col min="5910" max="6145" width="9.109375" style="253"/>
    <col min="6146" max="6146" width="22.33203125" style="253" customWidth="1"/>
    <col min="6147" max="6158" width="14.33203125" style="253" bestFit="1" customWidth="1"/>
    <col min="6159" max="6159" width="17.44140625" style="253" bestFit="1" customWidth="1"/>
    <col min="6160" max="6162" width="12.33203125" style="253" bestFit="1" customWidth="1"/>
    <col min="6163" max="6163" width="9.109375" style="253"/>
    <col min="6164" max="6164" width="16.33203125" style="253" customWidth="1"/>
    <col min="6165" max="6165" width="15.44140625" style="253" bestFit="1" customWidth="1"/>
    <col min="6166" max="6401" width="9.109375" style="253"/>
    <col min="6402" max="6402" width="22.33203125" style="253" customWidth="1"/>
    <col min="6403" max="6414" width="14.33203125" style="253" bestFit="1" customWidth="1"/>
    <col min="6415" max="6415" width="17.44140625" style="253" bestFit="1" customWidth="1"/>
    <col min="6416" max="6418" width="12.33203125" style="253" bestFit="1" customWidth="1"/>
    <col min="6419" max="6419" width="9.109375" style="253"/>
    <col min="6420" max="6420" width="16.33203125" style="253" customWidth="1"/>
    <col min="6421" max="6421" width="15.44140625" style="253" bestFit="1" customWidth="1"/>
    <col min="6422" max="6657" width="9.109375" style="253"/>
    <col min="6658" max="6658" width="22.33203125" style="253" customWidth="1"/>
    <col min="6659" max="6670" width="14.33203125" style="253" bestFit="1" customWidth="1"/>
    <col min="6671" max="6671" width="17.44140625" style="253" bestFit="1" customWidth="1"/>
    <col min="6672" max="6674" width="12.33203125" style="253" bestFit="1" customWidth="1"/>
    <col min="6675" max="6675" width="9.109375" style="253"/>
    <col min="6676" max="6676" width="16.33203125" style="253" customWidth="1"/>
    <col min="6677" max="6677" width="15.44140625" style="253" bestFit="1" customWidth="1"/>
    <col min="6678" max="6913" width="9.109375" style="253"/>
    <col min="6914" max="6914" width="22.33203125" style="253" customWidth="1"/>
    <col min="6915" max="6926" width="14.33203125" style="253" bestFit="1" customWidth="1"/>
    <col min="6927" max="6927" width="17.44140625" style="253" bestFit="1" customWidth="1"/>
    <col min="6928" max="6930" width="12.33203125" style="253" bestFit="1" customWidth="1"/>
    <col min="6931" max="6931" width="9.109375" style="253"/>
    <col min="6932" max="6932" width="16.33203125" style="253" customWidth="1"/>
    <col min="6933" max="6933" width="15.44140625" style="253" bestFit="1" customWidth="1"/>
    <col min="6934" max="7169" width="9.109375" style="253"/>
    <col min="7170" max="7170" width="22.33203125" style="253" customWidth="1"/>
    <col min="7171" max="7182" width="14.33203125" style="253" bestFit="1" customWidth="1"/>
    <col min="7183" max="7183" width="17.44140625" style="253" bestFit="1" customWidth="1"/>
    <col min="7184" max="7186" width="12.33203125" style="253" bestFit="1" customWidth="1"/>
    <col min="7187" max="7187" width="9.109375" style="253"/>
    <col min="7188" max="7188" width="16.33203125" style="253" customWidth="1"/>
    <col min="7189" max="7189" width="15.44140625" style="253" bestFit="1" customWidth="1"/>
    <col min="7190" max="7425" width="9.109375" style="253"/>
    <col min="7426" max="7426" width="22.33203125" style="253" customWidth="1"/>
    <col min="7427" max="7438" width="14.33203125" style="253" bestFit="1" customWidth="1"/>
    <col min="7439" max="7439" width="17.44140625" style="253" bestFit="1" customWidth="1"/>
    <col min="7440" max="7442" width="12.33203125" style="253" bestFit="1" customWidth="1"/>
    <col min="7443" max="7443" width="9.109375" style="253"/>
    <col min="7444" max="7444" width="16.33203125" style="253" customWidth="1"/>
    <col min="7445" max="7445" width="15.44140625" style="253" bestFit="1" customWidth="1"/>
    <col min="7446" max="7681" width="9.109375" style="253"/>
    <col min="7682" max="7682" width="22.33203125" style="253" customWidth="1"/>
    <col min="7683" max="7694" width="14.33203125" style="253" bestFit="1" customWidth="1"/>
    <col min="7695" max="7695" width="17.44140625" style="253" bestFit="1" customWidth="1"/>
    <col min="7696" max="7698" width="12.33203125" style="253" bestFit="1" customWidth="1"/>
    <col min="7699" max="7699" width="9.109375" style="253"/>
    <col min="7700" max="7700" width="16.33203125" style="253" customWidth="1"/>
    <col min="7701" max="7701" width="15.44140625" style="253" bestFit="1" customWidth="1"/>
    <col min="7702" max="7937" width="9.109375" style="253"/>
    <col min="7938" max="7938" width="22.33203125" style="253" customWidth="1"/>
    <col min="7939" max="7950" width="14.33203125" style="253" bestFit="1" customWidth="1"/>
    <col min="7951" max="7951" width="17.44140625" style="253" bestFit="1" customWidth="1"/>
    <col min="7952" max="7954" width="12.33203125" style="253" bestFit="1" customWidth="1"/>
    <col min="7955" max="7955" width="9.109375" style="253"/>
    <col min="7956" max="7956" width="16.33203125" style="253" customWidth="1"/>
    <col min="7957" max="7957" width="15.44140625" style="253" bestFit="1" customWidth="1"/>
    <col min="7958" max="8193" width="9.109375" style="253"/>
    <col min="8194" max="8194" width="22.33203125" style="253" customWidth="1"/>
    <col min="8195" max="8206" width="14.33203125" style="253" bestFit="1" customWidth="1"/>
    <col min="8207" max="8207" width="17.44140625" style="253" bestFit="1" customWidth="1"/>
    <col min="8208" max="8210" width="12.33203125" style="253" bestFit="1" customWidth="1"/>
    <col min="8211" max="8211" width="9.109375" style="253"/>
    <col min="8212" max="8212" width="16.33203125" style="253" customWidth="1"/>
    <col min="8213" max="8213" width="15.44140625" style="253" bestFit="1" customWidth="1"/>
    <col min="8214" max="8449" width="9.109375" style="253"/>
    <col min="8450" max="8450" width="22.33203125" style="253" customWidth="1"/>
    <col min="8451" max="8462" width="14.33203125" style="253" bestFit="1" customWidth="1"/>
    <col min="8463" max="8463" width="17.44140625" style="253" bestFit="1" customWidth="1"/>
    <col min="8464" max="8466" width="12.33203125" style="253" bestFit="1" customWidth="1"/>
    <col min="8467" max="8467" width="9.109375" style="253"/>
    <col min="8468" max="8468" width="16.33203125" style="253" customWidth="1"/>
    <col min="8469" max="8469" width="15.44140625" style="253" bestFit="1" customWidth="1"/>
    <col min="8470" max="8705" width="9.109375" style="253"/>
    <col min="8706" max="8706" width="22.33203125" style="253" customWidth="1"/>
    <col min="8707" max="8718" width="14.33203125" style="253" bestFit="1" customWidth="1"/>
    <col min="8719" max="8719" width="17.44140625" style="253" bestFit="1" customWidth="1"/>
    <col min="8720" max="8722" width="12.33203125" style="253" bestFit="1" customWidth="1"/>
    <col min="8723" max="8723" width="9.109375" style="253"/>
    <col min="8724" max="8724" width="16.33203125" style="253" customWidth="1"/>
    <col min="8725" max="8725" width="15.44140625" style="253" bestFit="1" customWidth="1"/>
    <col min="8726" max="8961" width="9.109375" style="253"/>
    <col min="8962" max="8962" width="22.33203125" style="253" customWidth="1"/>
    <col min="8963" max="8974" width="14.33203125" style="253" bestFit="1" customWidth="1"/>
    <col min="8975" max="8975" width="17.44140625" style="253" bestFit="1" customWidth="1"/>
    <col min="8976" max="8978" width="12.33203125" style="253" bestFit="1" customWidth="1"/>
    <col min="8979" max="8979" width="9.109375" style="253"/>
    <col min="8980" max="8980" width="16.33203125" style="253" customWidth="1"/>
    <col min="8981" max="8981" width="15.44140625" style="253" bestFit="1" customWidth="1"/>
    <col min="8982" max="9217" width="9.109375" style="253"/>
    <col min="9218" max="9218" width="22.33203125" style="253" customWidth="1"/>
    <col min="9219" max="9230" width="14.33203125" style="253" bestFit="1" customWidth="1"/>
    <col min="9231" max="9231" width="17.44140625" style="253" bestFit="1" customWidth="1"/>
    <col min="9232" max="9234" width="12.33203125" style="253" bestFit="1" customWidth="1"/>
    <col min="9235" max="9235" width="9.109375" style="253"/>
    <col min="9236" max="9236" width="16.33203125" style="253" customWidth="1"/>
    <col min="9237" max="9237" width="15.44140625" style="253" bestFit="1" customWidth="1"/>
    <col min="9238" max="9473" width="9.109375" style="253"/>
    <col min="9474" max="9474" width="22.33203125" style="253" customWidth="1"/>
    <col min="9475" max="9486" width="14.33203125" style="253" bestFit="1" customWidth="1"/>
    <col min="9487" max="9487" width="17.44140625" style="253" bestFit="1" customWidth="1"/>
    <col min="9488" max="9490" width="12.33203125" style="253" bestFit="1" customWidth="1"/>
    <col min="9491" max="9491" width="9.109375" style="253"/>
    <col min="9492" max="9492" width="16.33203125" style="253" customWidth="1"/>
    <col min="9493" max="9493" width="15.44140625" style="253" bestFit="1" customWidth="1"/>
    <col min="9494" max="9729" width="9.109375" style="253"/>
    <col min="9730" max="9730" width="22.33203125" style="253" customWidth="1"/>
    <col min="9731" max="9742" width="14.33203125" style="253" bestFit="1" customWidth="1"/>
    <col min="9743" max="9743" width="17.44140625" style="253" bestFit="1" customWidth="1"/>
    <col min="9744" max="9746" width="12.33203125" style="253" bestFit="1" customWidth="1"/>
    <col min="9747" max="9747" width="9.109375" style="253"/>
    <col min="9748" max="9748" width="16.33203125" style="253" customWidth="1"/>
    <col min="9749" max="9749" width="15.44140625" style="253" bestFit="1" customWidth="1"/>
    <col min="9750" max="9985" width="9.109375" style="253"/>
    <col min="9986" max="9986" width="22.33203125" style="253" customWidth="1"/>
    <col min="9987" max="9998" width="14.33203125" style="253" bestFit="1" customWidth="1"/>
    <col min="9999" max="9999" width="17.44140625" style="253" bestFit="1" customWidth="1"/>
    <col min="10000" max="10002" width="12.33203125" style="253" bestFit="1" customWidth="1"/>
    <col min="10003" max="10003" width="9.109375" style="253"/>
    <col min="10004" max="10004" width="16.33203125" style="253" customWidth="1"/>
    <col min="10005" max="10005" width="15.44140625" style="253" bestFit="1" customWidth="1"/>
    <col min="10006" max="10241" width="9.109375" style="253"/>
    <col min="10242" max="10242" width="22.33203125" style="253" customWidth="1"/>
    <col min="10243" max="10254" width="14.33203125" style="253" bestFit="1" customWidth="1"/>
    <col min="10255" max="10255" width="17.44140625" style="253" bestFit="1" customWidth="1"/>
    <col min="10256" max="10258" width="12.33203125" style="253" bestFit="1" customWidth="1"/>
    <col min="10259" max="10259" width="9.109375" style="253"/>
    <col min="10260" max="10260" width="16.33203125" style="253" customWidth="1"/>
    <col min="10261" max="10261" width="15.44140625" style="253" bestFit="1" customWidth="1"/>
    <col min="10262" max="10497" width="9.109375" style="253"/>
    <col min="10498" max="10498" width="22.33203125" style="253" customWidth="1"/>
    <col min="10499" max="10510" width="14.33203125" style="253" bestFit="1" customWidth="1"/>
    <col min="10511" max="10511" width="17.44140625" style="253" bestFit="1" customWidth="1"/>
    <col min="10512" max="10514" width="12.33203125" style="253" bestFit="1" customWidth="1"/>
    <col min="10515" max="10515" width="9.109375" style="253"/>
    <col min="10516" max="10516" width="16.33203125" style="253" customWidth="1"/>
    <col min="10517" max="10517" width="15.44140625" style="253" bestFit="1" customWidth="1"/>
    <col min="10518" max="10753" width="9.109375" style="253"/>
    <col min="10754" max="10754" width="22.33203125" style="253" customWidth="1"/>
    <col min="10755" max="10766" width="14.33203125" style="253" bestFit="1" customWidth="1"/>
    <col min="10767" max="10767" width="17.44140625" style="253" bestFit="1" customWidth="1"/>
    <col min="10768" max="10770" width="12.33203125" style="253" bestFit="1" customWidth="1"/>
    <col min="10771" max="10771" width="9.109375" style="253"/>
    <col min="10772" max="10772" width="16.33203125" style="253" customWidth="1"/>
    <col min="10773" max="10773" width="15.44140625" style="253" bestFit="1" customWidth="1"/>
    <col min="10774" max="11009" width="9.109375" style="253"/>
    <col min="11010" max="11010" width="22.33203125" style="253" customWidth="1"/>
    <col min="11011" max="11022" width="14.33203125" style="253" bestFit="1" customWidth="1"/>
    <col min="11023" max="11023" width="17.44140625" style="253" bestFit="1" customWidth="1"/>
    <col min="11024" max="11026" width="12.33203125" style="253" bestFit="1" customWidth="1"/>
    <col min="11027" max="11027" width="9.109375" style="253"/>
    <col min="11028" max="11028" width="16.33203125" style="253" customWidth="1"/>
    <col min="11029" max="11029" width="15.44140625" style="253" bestFit="1" customWidth="1"/>
    <col min="11030" max="11265" width="9.109375" style="253"/>
    <col min="11266" max="11266" width="22.33203125" style="253" customWidth="1"/>
    <col min="11267" max="11278" width="14.33203125" style="253" bestFit="1" customWidth="1"/>
    <col min="11279" max="11279" width="17.44140625" style="253" bestFit="1" customWidth="1"/>
    <col min="11280" max="11282" width="12.33203125" style="253" bestFit="1" customWidth="1"/>
    <col min="11283" max="11283" width="9.109375" style="253"/>
    <col min="11284" max="11284" width="16.33203125" style="253" customWidth="1"/>
    <col min="11285" max="11285" width="15.44140625" style="253" bestFit="1" customWidth="1"/>
    <col min="11286" max="11521" width="9.109375" style="253"/>
    <col min="11522" max="11522" width="22.33203125" style="253" customWidth="1"/>
    <col min="11523" max="11534" width="14.33203125" style="253" bestFit="1" customWidth="1"/>
    <col min="11535" max="11535" width="17.44140625" style="253" bestFit="1" customWidth="1"/>
    <col min="11536" max="11538" width="12.33203125" style="253" bestFit="1" customWidth="1"/>
    <col min="11539" max="11539" width="9.109375" style="253"/>
    <col min="11540" max="11540" width="16.33203125" style="253" customWidth="1"/>
    <col min="11541" max="11541" width="15.44140625" style="253" bestFit="1" customWidth="1"/>
    <col min="11542" max="11777" width="9.109375" style="253"/>
    <col min="11778" max="11778" width="22.33203125" style="253" customWidth="1"/>
    <col min="11779" max="11790" width="14.33203125" style="253" bestFit="1" customWidth="1"/>
    <col min="11791" max="11791" width="17.44140625" style="253" bestFit="1" customWidth="1"/>
    <col min="11792" max="11794" width="12.33203125" style="253" bestFit="1" customWidth="1"/>
    <col min="11795" max="11795" width="9.109375" style="253"/>
    <col min="11796" max="11796" width="16.33203125" style="253" customWidth="1"/>
    <col min="11797" max="11797" width="15.44140625" style="253" bestFit="1" customWidth="1"/>
    <col min="11798" max="12033" width="9.109375" style="253"/>
    <col min="12034" max="12034" width="22.33203125" style="253" customWidth="1"/>
    <col min="12035" max="12046" width="14.33203125" style="253" bestFit="1" customWidth="1"/>
    <col min="12047" max="12047" width="17.44140625" style="253" bestFit="1" customWidth="1"/>
    <col min="12048" max="12050" width="12.33203125" style="253" bestFit="1" customWidth="1"/>
    <col min="12051" max="12051" width="9.109375" style="253"/>
    <col min="12052" max="12052" width="16.33203125" style="253" customWidth="1"/>
    <col min="12053" max="12053" width="15.44140625" style="253" bestFit="1" customWidth="1"/>
    <col min="12054" max="12289" width="9.109375" style="253"/>
    <col min="12290" max="12290" width="22.33203125" style="253" customWidth="1"/>
    <col min="12291" max="12302" width="14.33203125" style="253" bestFit="1" customWidth="1"/>
    <col min="12303" max="12303" width="17.44140625" style="253" bestFit="1" customWidth="1"/>
    <col min="12304" max="12306" width="12.33203125" style="253" bestFit="1" customWidth="1"/>
    <col min="12307" max="12307" width="9.109375" style="253"/>
    <col min="12308" max="12308" width="16.33203125" style="253" customWidth="1"/>
    <col min="12309" max="12309" width="15.44140625" style="253" bestFit="1" customWidth="1"/>
    <col min="12310" max="12545" width="9.109375" style="253"/>
    <col min="12546" max="12546" width="22.33203125" style="253" customWidth="1"/>
    <col min="12547" max="12558" width="14.33203125" style="253" bestFit="1" customWidth="1"/>
    <col min="12559" max="12559" width="17.44140625" style="253" bestFit="1" customWidth="1"/>
    <col min="12560" max="12562" width="12.33203125" style="253" bestFit="1" customWidth="1"/>
    <col min="12563" max="12563" width="9.109375" style="253"/>
    <col min="12564" max="12564" width="16.33203125" style="253" customWidth="1"/>
    <col min="12565" max="12565" width="15.44140625" style="253" bestFit="1" customWidth="1"/>
    <col min="12566" max="12801" width="9.109375" style="253"/>
    <col min="12802" max="12802" width="22.33203125" style="253" customWidth="1"/>
    <col min="12803" max="12814" width="14.33203125" style="253" bestFit="1" customWidth="1"/>
    <col min="12815" max="12815" width="17.44140625" style="253" bestFit="1" customWidth="1"/>
    <col min="12816" max="12818" width="12.33203125" style="253" bestFit="1" customWidth="1"/>
    <col min="12819" max="12819" width="9.109375" style="253"/>
    <col min="12820" max="12820" width="16.33203125" style="253" customWidth="1"/>
    <col min="12821" max="12821" width="15.44140625" style="253" bestFit="1" customWidth="1"/>
    <col min="12822" max="13057" width="9.109375" style="253"/>
    <col min="13058" max="13058" width="22.33203125" style="253" customWidth="1"/>
    <col min="13059" max="13070" width="14.33203125" style="253" bestFit="1" customWidth="1"/>
    <col min="13071" max="13071" width="17.44140625" style="253" bestFit="1" customWidth="1"/>
    <col min="13072" max="13074" width="12.33203125" style="253" bestFit="1" customWidth="1"/>
    <col min="13075" max="13075" width="9.109375" style="253"/>
    <col min="13076" max="13076" width="16.33203125" style="253" customWidth="1"/>
    <col min="13077" max="13077" width="15.44140625" style="253" bestFit="1" customWidth="1"/>
    <col min="13078" max="13313" width="9.109375" style="253"/>
    <col min="13314" max="13314" width="22.33203125" style="253" customWidth="1"/>
    <col min="13315" max="13326" width="14.33203125" style="253" bestFit="1" customWidth="1"/>
    <col min="13327" max="13327" width="17.44140625" style="253" bestFit="1" customWidth="1"/>
    <col min="13328" max="13330" width="12.33203125" style="253" bestFit="1" customWidth="1"/>
    <col min="13331" max="13331" width="9.109375" style="253"/>
    <col min="13332" max="13332" width="16.33203125" style="253" customWidth="1"/>
    <col min="13333" max="13333" width="15.44140625" style="253" bestFit="1" customWidth="1"/>
    <col min="13334" max="13569" width="9.109375" style="253"/>
    <col min="13570" max="13570" width="22.33203125" style="253" customWidth="1"/>
    <col min="13571" max="13582" width="14.33203125" style="253" bestFit="1" customWidth="1"/>
    <col min="13583" max="13583" width="17.44140625" style="253" bestFit="1" customWidth="1"/>
    <col min="13584" max="13586" width="12.33203125" style="253" bestFit="1" customWidth="1"/>
    <col min="13587" max="13587" width="9.109375" style="253"/>
    <col min="13588" max="13588" width="16.33203125" style="253" customWidth="1"/>
    <col min="13589" max="13589" width="15.44140625" style="253" bestFit="1" customWidth="1"/>
    <col min="13590" max="13825" width="9.109375" style="253"/>
    <col min="13826" max="13826" width="22.33203125" style="253" customWidth="1"/>
    <col min="13827" max="13838" width="14.33203125" style="253" bestFit="1" customWidth="1"/>
    <col min="13839" max="13839" width="17.44140625" style="253" bestFit="1" customWidth="1"/>
    <col min="13840" max="13842" width="12.33203125" style="253" bestFit="1" customWidth="1"/>
    <col min="13843" max="13843" width="9.109375" style="253"/>
    <col min="13844" max="13844" width="16.33203125" style="253" customWidth="1"/>
    <col min="13845" max="13845" width="15.44140625" style="253" bestFit="1" customWidth="1"/>
    <col min="13846" max="14081" width="9.109375" style="253"/>
    <col min="14082" max="14082" width="22.33203125" style="253" customWidth="1"/>
    <col min="14083" max="14094" width="14.33203125" style="253" bestFit="1" customWidth="1"/>
    <col min="14095" max="14095" width="17.44140625" style="253" bestFit="1" customWidth="1"/>
    <col min="14096" max="14098" width="12.33203125" style="253" bestFit="1" customWidth="1"/>
    <col min="14099" max="14099" width="9.109375" style="253"/>
    <col min="14100" max="14100" width="16.33203125" style="253" customWidth="1"/>
    <col min="14101" max="14101" width="15.44140625" style="253" bestFit="1" customWidth="1"/>
    <col min="14102" max="14337" width="9.109375" style="253"/>
    <col min="14338" max="14338" width="22.33203125" style="253" customWidth="1"/>
    <col min="14339" max="14350" width="14.33203125" style="253" bestFit="1" customWidth="1"/>
    <col min="14351" max="14351" width="17.44140625" style="253" bestFit="1" customWidth="1"/>
    <col min="14352" max="14354" width="12.33203125" style="253" bestFit="1" customWidth="1"/>
    <col min="14355" max="14355" width="9.109375" style="253"/>
    <col min="14356" max="14356" width="16.33203125" style="253" customWidth="1"/>
    <col min="14357" max="14357" width="15.44140625" style="253" bestFit="1" customWidth="1"/>
    <col min="14358" max="14593" width="9.109375" style="253"/>
    <col min="14594" max="14594" width="22.33203125" style="253" customWidth="1"/>
    <col min="14595" max="14606" width="14.33203125" style="253" bestFit="1" customWidth="1"/>
    <col min="14607" max="14607" width="17.44140625" style="253" bestFit="1" customWidth="1"/>
    <col min="14608" max="14610" width="12.33203125" style="253" bestFit="1" customWidth="1"/>
    <col min="14611" max="14611" width="9.109375" style="253"/>
    <col min="14612" max="14612" width="16.33203125" style="253" customWidth="1"/>
    <col min="14613" max="14613" width="15.44140625" style="253" bestFit="1" customWidth="1"/>
    <col min="14614" max="14849" width="9.109375" style="253"/>
    <col min="14850" max="14850" width="22.33203125" style="253" customWidth="1"/>
    <col min="14851" max="14862" width="14.33203125" style="253" bestFit="1" customWidth="1"/>
    <col min="14863" max="14863" width="17.44140625" style="253" bestFit="1" customWidth="1"/>
    <col min="14864" max="14866" width="12.33203125" style="253" bestFit="1" customWidth="1"/>
    <col min="14867" max="14867" width="9.109375" style="253"/>
    <col min="14868" max="14868" width="16.33203125" style="253" customWidth="1"/>
    <col min="14869" max="14869" width="15.44140625" style="253" bestFit="1" customWidth="1"/>
    <col min="14870" max="15105" width="9.109375" style="253"/>
    <col min="15106" max="15106" width="22.33203125" style="253" customWidth="1"/>
    <col min="15107" max="15118" width="14.33203125" style="253" bestFit="1" customWidth="1"/>
    <col min="15119" max="15119" width="17.44140625" style="253" bestFit="1" customWidth="1"/>
    <col min="15120" max="15122" width="12.33203125" style="253" bestFit="1" customWidth="1"/>
    <col min="15123" max="15123" width="9.109375" style="253"/>
    <col min="15124" max="15124" width="16.33203125" style="253" customWidth="1"/>
    <col min="15125" max="15125" width="15.44140625" style="253" bestFit="1" customWidth="1"/>
    <col min="15126" max="15361" width="9.109375" style="253"/>
    <col min="15362" max="15362" width="22.33203125" style="253" customWidth="1"/>
    <col min="15363" max="15374" width="14.33203125" style="253" bestFit="1" customWidth="1"/>
    <col min="15375" max="15375" width="17.44140625" style="253" bestFit="1" customWidth="1"/>
    <col min="15376" max="15378" width="12.33203125" style="253" bestFit="1" customWidth="1"/>
    <col min="15379" max="15379" width="9.109375" style="253"/>
    <col min="15380" max="15380" width="16.33203125" style="253" customWidth="1"/>
    <col min="15381" max="15381" width="15.44140625" style="253" bestFit="1" customWidth="1"/>
    <col min="15382" max="15617" width="9.109375" style="253"/>
    <col min="15618" max="15618" width="22.33203125" style="253" customWidth="1"/>
    <col min="15619" max="15630" width="14.33203125" style="253" bestFit="1" customWidth="1"/>
    <col min="15631" max="15631" width="17.44140625" style="253" bestFit="1" customWidth="1"/>
    <col min="15632" max="15634" width="12.33203125" style="253" bestFit="1" customWidth="1"/>
    <col min="15635" max="15635" width="9.109375" style="253"/>
    <col min="15636" max="15636" width="16.33203125" style="253" customWidth="1"/>
    <col min="15637" max="15637" width="15.44140625" style="253" bestFit="1" customWidth="1"/>
    <col min="15638" max="15873" width="9.109375" style="253"/>
    <col min="15874" max="15874" width="22.33203125" style="253" customWidth="1"/>
    <col min="15875" max="15886" width="14.33203125" style="253" bestFit="1" customWidth="1"/>
    <col min="15887" max="15887" width="17.44140625" style="253" bestFit="1" customWidth="1"/>
    <col min="15888" max="15890" width="12.33203125" style="253" bestFit="1" customWidth="1"/>
    <col min="15891" max="15891" width="9.109375" style="253"/>
    <col min="15892" max="15892" width="16.33203125" style="253" customWidth="1"/>
    <col min="15893" max="15893" width="15.44140625" style="253" bestFit="1" customWidth="1"/>
    <col min="15894" max="16129" width="9.109375" style="253"/>
    <col min="16130" max="16130" width="22.33203125" style="253" customWidth="1"/>
    <col min="16131" max="16142" width="14.33203125" style="253" bestFit="1" customWidth="1"/>
    <col min="16143" max="16143" width="17.44140625" style="253" bestFit="1" customWidth="1"/>
    <col min="16144" max="16146" width="12.33203125" style="253" bestFit="1" customWidth="1"/>
    <col min="16147" max="16147" width="9.109375" style="253"/>
    <col min="16148" max="16148" width="16.33203125" style="253" customWidth="1"/>
    <col min="16149" max="16149" width="15.44140625" style="253" bestFit="1" customWidth="1"/>
    <col min="16150" max="16384" width="9.109375" style="253"/>
  </cols>
  <sheetData>
    <row r="1" spans="1:21" s="164" customFormat="1">
      <c r="A1" s="164" t="s">
        <v>1272</v>
      </c>
      <c r="C1" s="282"/>
      <c r="D1" s="282"/>
      <c r="E1" s="282"/>
      <c r="F1" s="282"/>
      <c r="G1" s="282"/>
      <c r="H1" s="282"/>
      <c r="I1" s="282"/>
      <c r="J1" s="282"/>
      <c r="K1" s="282"/>
      <c r="L1" s="282"/>
      <c r="M1" s="282"/>
      <c r="N1" s="282"/>
      <c r="O1" s="282"/>
      <c r="P1" s="282"/>
      <c r="Q1" s="282"/>
      <c r="T1" s="282"/>
      <c r="U1" s="282"/>
    </row>
    <row r="2" spans="1:21" s="164" customFormat="1">
      <c r="A2" s="164" t="s">
        <v>1267</v>
      </c>
      <c r="C2" s="282"/>
      <c r="D2" s="282"/>
      <c r="E2" s="282"/>
      <c r="F2" s="282"/>
      <c r="G2" s="282"/>
      <c r="H2" s="282"/>
      <c r="I2" s="282"/>
      <c r="J2" s="282"/>
      <c r="K2" s="282"/>
      <c r="L2" s="282"/>
      <c r="M2" s="282"/>
      <c r="N2" s="282"/>
      <c r="O2" s="282"/>
      <c r="P2" s="282"/>
      <c r="Q2" s="282"/>
      <c r="T2" s="282"/>
      <c r="U2" s="282"/>
    </row>
    <row r="3" spans="1:21" s="164" customFormat="1">
      <c r="C3" s="282"/>
      <c r="D3" s="282"/>
      <c r="E3" s="282"/>
      <c r="F3" s="282"/>
      <c r="G3" s="282"/>
      <c r="H3" s="282"/>
      <c r="I3" s="282"/>
      <c r="J3" s="282"/>
      <c r="K3" s="282"/>
      <c r="L3" s="282"/>
      <c r="M3" s="282"/>
      <c r="N3" s="282"/>
      <c r="O3" s="282"/>
      <c r="P3" s="282"/>
      <c r="Q3" s="282"/>
      <c r="T3" s="282"/>
      <c r="U3" s="282"/>
    </row>
    <row r="4" spans="1:21" s="244" customFormat="1" ht="21">
      <c r="B4" s="124" t="s">
        <v>560</v>
      </c>
      <c r="C4" s="165"/>
      <c r="D4" s="165"/>
      <c r="E4" s="165"/>
      <c r="F4" s="165"/>
      <c r="G4" s="165"/>
      <c r="H4" s="165"/>
      <c r="I4" s="165"/>
      <c r="J4" s="165"/>
      <c r="K4" s="165"/>
      <c r="L4" s="165"/>
      <c r="M4" s="165"/>
      <c r="N4" s="165"/>
      <c r="O4" s="165"/>
      <c r="P4" s="165"/>
      <c r="Q4" s="165"/>
      <c r="R4" s="165"/>
      <c r="T4" s="272"/>
      <c r="U4" s="272"/>
    </row>
    <row r="5" spans="1:21" s="244" customFormat="1" ht="21.6" thickBot="1">
      <c r="B5" s="124" t="str">
        <f>MANUAL!$B$10&amp;" - TEST YEAR"</f>
        <v>2017 - TEST YEAR</v>
      </c>
      <c r="C5" s="165"/>
      <c r="D5" s="165"/>
      <c r="E5" s="165"/>
      <c r="F5" s="297"/>
      <c r="G5" s="165"/>
      <c r="H5" s="165"/>
      <c r="I5" s="165"/>
      <c r="J5" s="165"/>
      <c r="K5" s="165"/>
      <c r="L5" s="165"/>
      <c r="M5" s="165"/>
      <c r="N5" s="165"/>
      <c r="O5" s="165"/>
      <c r="P5" s="165"/>
      <c r="Q5" s="165"/>
      <c r="R5" s="165"/>
      <c r="T5" s="272"/>
      <c r="U5" s="272"/>
    </row>
    <row r="6" spans="1:21" s="164" customFormat="1" ht="13.8" thickBot="1">
      <c r="B6" s="245"/>
      <c r="C6" s="273"/>
      <c r="D6" s="273"/>
      <c r="E6" s="273"/>
      <c r="F6" s="273"/>
      <c r="G6" s="273"/>
      <c r="H6" s="273"/>
      <c r="I6" s="273"/>
      <c r="J6" s="273"/>
      <c r="K6" s="273"/>
      <c r="L6" s="273"/>
      <c r="M6" s="273"/>
      <c r="N6" s="273"/>
      <c r="O6" s="274"/>
      <c r="P6" s="274"/>
      <c r="Q6" s="274"/>
      <c r="T6" s="275" t="s">
        <v>567</v>
      </c>
      <c r="U6" s="276"/>
    </row>
    <row r="7" spans="1:21" s="165" customFormat="1" ht="13.8" thickBot="1">
      <c r="B7" s="277" t="s">
        <v>454</v>
      </c>
      <c r="C7" s="100" t="s">
        <v>70</v>
      </c>
      <c r="D7" s="100" t="s">
        <v>71</v>
      </c>
      <c r="E7" s="100" t="s">
        <v>72</v>
      </c>
      <c r="F7" s="103" t="s">
        <v>73</v>
      </c>
      <c r="G7" s="103" t="s">
        <v>74</v>
      </c>
      <c r="H7" s="103" t="s">
        <v>75</v>
      </c>
      <c r="I7" s="103" t="s">
        <v>76</v>
      </c>
      <c r="J7" s="103" t="s">
        <v>77</v>
      </c>
      <c r="K7" s="103" t="s">
        <v>78</v>
      </c>
      <c r="L7" s="103" t="s">
        <v>79</v>
      </c>
      <c r="M7" s="100" t="s">
        <v>80</v>
      </c>
      <c r="N7" s="100" t="s">
        <v>81</v>
      </c>
      <c r="O7" s="278" t="s">
        <v>60</v>
      </c>
      <c r="P7" s="279" t="s">
        <v>133</v>
      </c>
      <c r="Q7" s="279" t="s">
        <v>133</v>
      </c>
      <c r="R7" s="330" t="s">
        <v>568</v>
      </c>
      <c r="T7" s="280" t="s">
        <v>60</v>
      </c>
      <c r="U7" s="281" t="s">
        <v>569</v>
      </c>
    </row>
    <row r="8" spans="1:21" s="165" customFormat="1">
      <c r="B8" s="338"/>
      <c r="C8" s="337">
        <v>2</v>
      </c>
      <c r="D8" s="337">
        <v>3</v>
      </c>
      <c r="E8" s="337">
        <v>4</v>
      </c>
      <c r="F8" s="337">
        <v>5</v>
      </c>
      <c r="G8" s="337">
        <v>6</v>
      </c>
      <c r="H8" s="337">
        <v>7</v>
      </c>
      <c r="I8" s="337">
        <v>8</v>
      </c>
      <c r="J8" s="337">
        <v>9</v>
      </c>
      <c r="K8" s="337">
        <v>10</v>
      </c>
      <c r="L8" s="337">
        <v>11</v>
      </c>
      <c r="M8" s="337">
        <v>12</v>
      </c>
      <c r="N8" s="337">
        <v>13</v>
      </c>
      <c r="O8" s="274"/>
      <c r="P8" s="274"/>
      <c r="Q8" s="274"/>
      <c r="T8" s="339"/>
      <c r="U8" s="340"/>
    </row>
    <row r="9" spans="1:21" s="165" customFormat="1">
      <c r="B9" s="338"/>
      <c r="C9" s="273">
        <v>3</v>
      </c>
      <c r="D9" s="273">
        <v>4</v>
      </c>
      <c r="E9" s="273">
        <v>5</v>
      </c>
      <c r="F9" s="273">
        <v>6</v>
      </c>
      <c r="G9" s="273">
        <v>7</v>
      </c>
      <c r="H9" s="273">
        <v>8</v>
      </c>
      <c r="I9" s="273">
        <v>9</v>
      </c>
      <c r="J9" s="273">
        <v>10</v>
      </c>
      <c r="K9" s="273">
        <v>11</v>
      </c>
      <c r="L9" s="273">
        <v>12</v>
      </c>
      <c r="M9" s="273">
        <v>13</v>
      </c>
      <c r="N9" s="273">
        <v>14</v>
      </c>
      <c r="O9" s="274"/>
      <c r="P9" s="274"/>
      <c r="Q9" s="274"/>
      <c r="T9" s="339"/>
      <c r="U9" s="340"/>
    </row>
    <row r="10" spans="1:21" s="164" customFormat="1">
      <c r="B10" s="245"/>
      <c r="C10" s="273"/>
      <c r="D10" s="273"/>
      <c r="E10" s="273"/>
      <c r="F10" s="273"/>
      <c r="G10" s="273"/>
      <c r="H10" s="273"/>
      <c r="I10" s="273"/>
      <c r="J10" s="273"/>
      <c r="K10" s="273"/>
      <c r="L10" s="273"/>
      <c r="M10" s="273"/>
      <c r="N10" s="273"/>
      <c r="O10" s="274"/>
      <c r="P10" s="274"/>
      <c r="Q10" s="274"/>
      <c r="R10" s="165"/>
      <c r="T10" s="282"/>
      <c r="U10" s="282"/>
    </row>
    <row r="11" spans="1:21" s="251" customFormat="1" ht="15.6">
      <c r="B11" s="250" t="s">
        <v>83</v>
      </c>
      <c r="T11" s="283"/>
      <c r="U11" s="283"/>
    </row>
    <row r="12" spans="1:21">
      <c r="B12" s="252" t="s">
        <v>98</v>
      </c>
      <c r="C12" s="284"/>
      <c r="D12" s="284"/>
      <c r="E12" s="284"/>
      <c r="F12" s="284"/>
      <c r="G12" s="284"/>
      <c r="H12" s="284"/>
      <c r="I12" s="284"/>
      <c r="J12" s="284"/>
      <c r="K12" s="284"/>
      <c r="L12" s="284"/>
      <c r="M12" s="284"/>
      <c r="N12" s="284"/>
      <c r="O12" s="284"/>
      <c r="P12" s="284"/>
      <c r="Q12" s="284"/>
      <c r="R12" s="282"/>
    </row>
    <row r="13" spans="1:21">
      <c r="A13" s="253" t="str">
        <f>B12&amp;" "&amp;B13</f>
        <v>CILC-1D KWH Sales</v>
      </c>
      <c r="B13" s="254" t="s">
        <v>563</v>
      </c>
      <c r="C13" s="284">
        <f>+'KWH FCST'!B$58</f>
        <v>230781253</v>
      </c>
      <c r="D13" s="284">
        <f>+'KWH FCST'!C$58</f>
        <v>211833995</v>
      </c>
      <c r="E13" s="284">
        <f>+'KWH FCST'!D$58</f>
        <v>212923906</v>
      </c>
      <c r="F13" s="284">
        <f>+'KWH FCST'!E$58</f>
        <v>214435548</v>
      </c>
      <c r="G13" s="284">
        <f>+'KWH FCST'!F$58</f>
        <v>221455796</v>
      </c>
      <c r="H13" s="284">
        <f>+'KWH FCST'!G$58</f>
        <v>229270200</v>
      </c>
      <c r="I13" s="284">
        <f>+'KWH FCST'!H$58</f>
        <v>236317752</v>
      </c>
      <c r="J13" s="284">
        <f>+'KWH FCST'!I$58</f>
        <v>234795889</v>
      </c>
      <c r="K13" s="284">
        <f>+'KWH FCST'!J$58</f>
        <v>232721345</v>
      </c>
      <c r="L13" s="284">
        <f>+'KWH FCST'!K$58</f>
        <v>224975757</v>
      </c>
      <c r="M13" s="284">
        <f>+'KWH FCST'!L$58</f>
        <v>214508903</v>
      </c>
      <c r="N13" s="284">
        <f>+'KWH FCST'!M$58</f>
        <v>223400047</v>
      </c>
      <c r="O13" s="284">
        <f>SUM(C13:N13)</f>
        <v>2687420391</v>
      </c>
      <c r="P13" s="284"/>
      <c r="Q13" s="284"/>
      <c r="R13" s="282"/>
      <c r="T13" s="255">
        <f>VLOOKUP(B12,'Sales Forecast'!$B$7:$AO$23,39,FALSE)</f>
        <v>2687420391</v>
      </c>
      <c r="U13" s="255">
        <f>+O13-T13</f>
        <v>0</v>
      </c>
    </row>
    <row r="14" spans="1:21">
      <c r="A14" s="253" t="str">
        <f>B12&amp;" "&amp;B14</f>
        <v>CILC-1D NCP</v>
      </c>
      <c r="B14" s="254" t="s">
        <v>133</v>
      </c>
      <c r="C14" s="284">
        <f>+'NCP FCST'!B$57</f>
        <v>441187.87422161771</v>
      </c>
      <c r="D14" s="284">
        <f>+'NCP FCST'!C$57</f>
        <v>444576.5986038316</v>
      </c>
      <c r="E14" s="284">
        <f>+'NCP FCST'!D$57</f>
        <v>405587.96750005666</v>
      </c>
      <c r="F14" s="284">
        <f>+'NCP FCST'!E$57</f>
        <v>420343.03698422993</v>
      </c>
      <c r="G14" s="284">
        <f>+'NCP FCST'!F$57</f>
        <v>418402.24621374981</v>
      </c>
      <c r="H14" s="284">
        <f>+'NCP FCST'!G$57</f>
        <v>443442.77833741478</v>
      </c>
      <c r="I14" s="284">
        <f>+'NCP FCST'!H$57</f>
        <v>439596.1110203524</v>
      </c>
      <c r="J14" s="284">
        <f>+'NCP FCST'!I$57</f>
        <v>436277.96724435309</v>
      </c>
      <c r="K14" s="284">
        <f>+'NCP FCST'!J$57</f>
        <v>446830.92124796787</v>
      </c>
      <c r="L14" s="284">
        <f>+'NCP FCST'!K$57</f>
        <v>424423.14888141421</v>
      </c>
      <c r="M14" s="284">
        <f>+'NCP FCST'!L$57</f>
        <v>427844.68879164715</v>
      </c>
      <c r="N14" s="284">
        <f>+'NCP FCST'!M$57</f>
        <v>430232.69976587879</v>
      </c>
      <c r="O14" s="284"/>
      <c r="P14" s="284">
        <f>MAX(C14:N14)</f>
        <v>446830.92124796787</v>
      </c>
      <c r="Q14" s="284"/>
      <c r="R14" s="282"/>
      <c r="T14" s="255">
        <f>+'NCP FCST'!O$57</f>
        <v>446830.92124796787</v>
      </c>
      <c r="U14" s="255">
        <f>P14-T14</f>
        <v>0</v>
      </c>
    </row>
    <row r="15" spans="1:21">
      <c r="A15" s="253" t="str">
        <f>B12&amp;" "&amp;B15</f>
        <v>CILC-1D GNCP</v>
      </c>
      <c r="B15" s="254" t="s">
        <v>342</v>
      </c>
      <c r="C15" s="284">
        <f>+'GNCP FCST'!B$57</f>
        <v>365872.35045226075</v>
      </c>
      <c r="D15" s="284">
        <f>+'GNCP FCST'!C$57</f>
        <v>371815.28404389712</v>
      </c>
      <c r="E15" s="284">
        <f>+'GNCP FCST'!D$57</f>
        <v>337812.7917205859</v>
      </c>
      <c r="F15" s="284">
        <f>+'GNCP FCST'!E$57</f>
        <v>356044.37322312244</v>
      </c>
      <c r="G15" s="284">
        <f>+'GNCP FCST'!F$57</f>
        <v>354909.5923296024</v>
      </c>
      <c r="H15" s="284">
        <f>+'GNCP FCST'!G$57</f>
        <v>370328.22040459391</v>
      </c>
      <c r="I15" s="284">
        <f>+'GNCP FCST'!H$57</f>
        <v>364462.16816610948</v>
      </c>
      <c r="J15" s="284">
        <f>+'GNCP FCST'!I$57</f>
        <v>375555.65660119057</v>
      </c>
      <c r="K15" s="284">
        <f>+'GNCP FCST'!J$57</f>
        <v>371903.1403282141</v>
      </c>
      <c r="L15" s="284">
        <f>+'GNCP FCST'!K$57</f>
        <v>353372.20217944362</v>
      </c>
      <c r="M15" s="284">
        <f>+'GNCP FCST'!L$57</f>
        <v>358176.45288412669</v>
      </c>
      <c r="N15" s="284">
        <f>+'GNCP FCST'!M$57</f>
        <v>358567.41233050398</v>
      </c>
      <c r="O15" s="284"/>
      <c r="Q15" s="284">
        <f>MAX(C15:N15)</f>
        <v>375555.65660119057</v>
      </c>
      <c r="R15" s="282"/>
      <c r="T15" s="255">
        <f>+'GNCP FCST'!O$57</f>
        <v>375555.65660119057</v>
      </c>
      <c r="U15" s="255">
        <f>+Q15-T15</f>
        <v>0</v>
      </c>
    </row>
    <row r="16" spans="1:21">
      <c r="A16" s="253" t="str">
        <f>B12&amp;" "&amp;B16</f>
        <v>CILC-1D CP</v>
      </c>
      <c r="B16" s="254" t="s">
        <v>148</v>
      </c>
      <c r="C16" s="284">
        <f>+'CP FCST'!B$57</f>
        <v>351155.87972676073</v>
      </c>
      <c r="D16" s="284">
        <f>+'CP FCST'!C$57</f>
        <v>358903.67479102348</v>
      </c>
      <c r="E16" s="284">
        <f>+'CP FCST'!D$57</f>
        <v>328923.87121299258</v>
      </c>
      <c r="F16" s="284">
        <f>+'CP FCST'!E$57</f>
        <v>356044.37322312244</v>
      </c>
      <c r="G16" s="284">
        <f>+'CP FCST'!F$57</f>
        <v>354909.5923296024</v>
      </c>
      <c r="H16" s="284">
        <f>+'CP FCST'!G$57</f>
        <v>370328.22040459391</v>
      </c>
      <c r="I16" s="284">
        <f>+'CP FCST'!H$57</f>
        <v>364462.16816610948</v>
      </c>
      <c r="J16" s="284">
        <f>+'CP FCST'!I$57</f>
        <v>375555.65660119057</v>
      </c>
      <c r="K16" s="284">
        <f>+'CP FCST'!J$57</f>
        <v>349750.01691181923</v>
      </c>
      <c r="L16" s="284">
        <f>+'CP FCST'!K$57</f>
        <v>340949.4587733543</v>
      </c>
      <c r="M16" s="284">
        <f>+'CP FCST'!L$57</f>
        <v>336112.19759368058</v>
      </c>
      <c r="N16" s="284">
        <f>+'CP FCST'!M$57</f>
        <v>340881.29108935053</v>
      </c>
      <c r="O16" s="284"/>
      <c r="P16" s="284"/>
      <c r="Q16" s="284"/>
      <c r="R16" s="255">
        <f>AVERAGE(C16:N16)</f>
        <v>352331.36673529999</v>
      </c>
      <c r="T16" s="255">
        <f>+'CP FCST'!O$57</f>
        <v>352331.36673529999</v>
      </c>
      <c r="U16" s="255">
        <f>R16-T16</f>
        <v>0</v>
      </c>
    </row>
    <row r="17" spans="1:21">
      <c r="A17" s="253" t="str">
        <f>B12&amp;" "&amp;B17</f>
        <v>CILC-1D CP - L.F.</v>
      </c>
      <c r="B17" s="254" t="s">
        <v>1197</v>
      </c>
      <c r="C17" s="498">
        <f>'CILC-1D'!C13</f>
        <v>0.96470381526120652</v>
      </c>
      <c r="D17" s="498">
        <f>'CILC-1D'!D13</f>
        <v>0.88436075371213685</v>
      </c>
      <c r="E17" s="498">
        <f>'CILC-1D'!E13</f>
        <v>0.97355917693463701</v>
      </c>
      <c r="F17" s="498">
        <f>'CILC-1D'!F13</f>
        <v>0.90347518917011205</v>
      </c>
      <c r="G17" s="498">
        <f>'CILC-1D'!G13</f>
        <v>0.92276277549806474</v>
      </c>
      <c r="H17" s="498">
        <f>'CILC-1D'!H13</f>
        <v>0.90419495267463923</v>
      </c>
      <c r="I17" s="498">
        <f>'CILC-1D'!I13</f>
        <v>0.92719364024854833</v>
      </c>
      <c r="J17" s="498">
        <f>'CILC-1D'!J13</f>
        <v>0.92211355688428776</v>
      </c>
      <c r="K17" s="498">
        <f>'CILC-1D'!K13</f>
        <v>0.93281970413662285</v>
      </c>
      <c r="L17" s="498">
        <f>'CILC-1D'!L13</f>
        <v>0.90455638019010998</v>
      </c>
      <c r="M17" s="498">
        <f>'CILC-1D'!M13</f>
        <v>0.86801306563219904</v>
      </c>
      <c r="N17" s="498">
        <f>'CILC-1D'!N13</f>
        <v>0.90378002714239813</v>
      </c>
      <c r="O17" s="284"/>
      <c r="P17" s="284"/>
      <c r="Q17" s="284"/>
      <c r="R17" s="255"/>
    </row>
    <row r="18" spans="1:21">
      <c r="A18" s="253" t="str">
        <f>B12&amp;" "&amp;B18</f>
        <v>CILC-1D GCP - L.F.</v>
      </c>
      <c r="B18" s="254" t="s">
        <v>1198</v>
      </c>
      <c r="C18" s="498">
        <f>'CILC-1D'!C14</f>
        <v>0.84780895795860223</v>
      </c>
      <c r="D18" s="498">
        <f>'CILC-1D'!D14</f>
        <v>0.84781119215361256</v>
      </c>
      <c r="E18" s="498">
        <f>'CILC-1D'!E14</f>
        <v>0.84717942219203657</v>
      </c>
      <c r="F18" s="498">
        <f>'CILC-1D'!F14</f>
        <v>0.85206756089592861</v>
      </c>
      <c r="G18" s="498">
        <f>'CILC-1D'!G14</f>
        <v>0.86248839874539474</v>
      </c>
      <c r="H18" s="498">
        <f>'CILC-1D'!H14</f>
        <v>0.86867901780008283</v>
      </c>
      <c r="I18" s="498">
        <f>'CILC-1D'!I14</f>
        <v>0.87265552684347547</v>
      </c>
      <c r="J18" s="498">
        <f>'CILC-1D'!J14</f>
        <v>0.86713076111980114</v>
      </c>
      <c r="K18" s="498">
        <f>'CILC-1D'!K14</f>
        <v>0.86910825757621779</v>
      </c>
      <c r="L18" s="498">
        <f>'CILC-1D'!L14</f>
        <v>0.85571747946302035</v>
      </c>
      <c r="M18" s="498">
        <f>'CILC-1D'!M14</f>
        <v>0.83179402092305377</v>
      </c>
      <c r="N18" s="498">
        <f>'CILC-1D'!N14</f>
        <v>0.83741263162971391</v>
      </c>
      <c r="O18" s="284"/>
      <c r="P18" s="284"/>
      <c r="Q18" s="284"/>
      <c r="R18" s="255"/>
    </row>
    <row r="19" spans="1:21">
      <c r="A19" s="253" t="str">
        <f>B12&amp;" "&amp;B19</f>
        <v>CILC-1D NCP - L.F.</v>
      </c>
      <c r="B19" s="254" t="s">
        <v>1199</v>
      </c>
      <c r="C19" s="498">
        <f>'CILC-1D'!C15</f>
        <v>0.70307883400027671</v>
      </c>
      <c r="D19" s="498">
        <f>'CILC-1D'!D15</f>
        <v>0.70905477304957198</v>
      </c>
      <c r="E19" s="498">
        <f>'CILC-1D'!E15</f>
        <v>0.705612761302848</v>
      </c>
      <c r="F19" s="498">
        <f>'CILC-1D'!F15</f>
        <v>0.70853356376918797</v>
      </c>
      <c r="G19" s="498">
        <f>'CILC-1D'!G15</f>
        <v>0.71141023376074908</v>
      </c>
      <c r="H19" s="498">
        <f>'CILC-1D'!H15</f>
        <v>0.7180877643948006</v>
      </c>
      <c r="I19" s="498">
        <f>'CILC-1D'!I15</f>
        <v>0.72255276863008577</v>
      </c>
      <c r="J19" s="498">
        <f>'CILC-1D'!J15</f>
        <v>0.72335963767584166</v>
      </c>
      <c r="K19" s="498">
        <f>'CILC-1D'!K15</f>
        <v>0.72337001516151844</v>
      </c>
      <c r="L19" s="498">
        <f>'CILC-1D'!L15</f>
        <v>0.71246530958135501</v>
      </c>
      <c r="M19" s="498">
        <f>'CILC-1D'!M15</f>
        <v>0.69634855766441606</v>
      </c>
      <c r="N19" s="498">
        <f>'CILC-1D'!N15</f>
        <v>0.6979220327505149</v>
      </c>
      <c r="O19" s="284"/>
      <c r="P19" s="284"/>
      <c r="Q19" s="284"/>
      <c r="R19" s="255"/>
    </row>
    <row r="20" spans="1:21">
      <c r="B20" s="254" t="s">
        <v>570</v>
      </c>
      <c r="C20" s="285" t="str">
        <f t="shared" ref="C20:N20" si="0">IF(C16&gt;C15,"ERROR",IF(C15&gt;C14,"ERROR","OK"))</f>
        <v>OK</v>
      </c>
      <c r="D20" s="285" t="str">
        <f t="shared" si="0"/>
        <v>OK</v>
      </c>
      <c r="E20" s="285" t="str">
        <f t="shared" si="0"/>
        <v>OK</v>
      </c>
      <c r="F20" s="285" t="str">
        <f t="shared" si="0"/>
        <v>OK</v>
      </c>
      <c r="G20" s="285" t="str">
        <f t="shared" si="0"/>
        <v>OK</v>
      </c>
      <c r="H20" s="285" t="str">
        <f t="shared" si="0"/>
        <v>OK</v>
      </c>
      <c r="I20" s="285" t="str">
        <f t="shared" si="0"/>
        <v>OK</v>
      </c>
      <c r="J20" s="285" t="str">
        <f t="shared" si="0"/>
        <v>OK</v>
      </c>
      <c r="K20" s="285" t="str">
        <f t="shared" si="0"/>
        <v>OK</v>
      </c>
      <c r="L20" s="285" t="str">
        <f t="shared" si="0"/>
        <v>OK</v>
      </c>
      <c r="M20" s="285" t="str">
        <f t="shared" si="0"/>
        <v>OK</v>
      </c>
      <c r="N20" s="285" t="str">
        <f t="shared" si="0"/>
        <v>OK</v>
      </c>
      <c r="O20" s="284"/>
      <c r="P20" s="284"/>
      <c r="Q20" s="284"/>
      <c r="R20" s="255"/>
    </row>
    <row r="21" spans="1:21">
      <c r="B21" s="259"/>
      <c r="C21" s="284"/>
      <c r="D21" s="284"/>
      <c r="E21" s="284"/>
      <c r="F21" s="284"/>
      <c r="G21" s="284"/>
      <c r="H21" s="284"/>
      <c r="I21" s="284"/>
      <c r="J21" s="284"/>
      <c r="K21" s="284"/>
      <c r="L21" s="284"/>
      <c r="M21" s="284"/>
      <c r="N21" s="284"/>
      <c r="O21" s="284"/>
      <c r="P21" s="284"/>
      <c r="Q21" s="284"/>
      <c r="R21" s="282"/>
    </row>
    <row r="22" spans="1:21">
      <c r="B22" s="252" t="s">
        <v>99</v>
      </c>
      <c r="C22" s="284"/>
      <c r="D22" s="284"/>
      <c r="E22" s="284"/>
      <c r="F22" s="284"/>
      <c r="G22" s="284"/>
      <c r="H22" s="284"/>
      <c r="I22" s="284"/>
      <c r="J22" s="284"/>
      <c r="K22" s="284"/>
      <c r="L22" s="284"/>
      <c r="M22" s="284"/>
      <c r="N22" s="284"/>
      <c r="O22" s="284"/>
      <c r="P22" s="284"/>
      <c r="Q22" s="284"/>
      <c r="R22" s="282"/>
    </row>
    <row r="23" spans="1:21">
      <c r="A23" s="253" t="str">
        <f>B22&amp;" "&amp;B23</f>
        <v>CILC-1G KWH Sales</v>
      </c>
      <c r="B23" s="254" t="s">
        <v>563</v>
      </c>
      <c r="C23" s="284">
        <f>+'KWH FCST'!B$59</f>
        <v>8790697</v>
      </c>
      <c r="D23" s="284">
        <f>+'KWH FCST'!C$59</f>
        <v>8102439</v>
      </c>
      <c r="E23" s="284">
        <f>+'KWH FCST'!D$59</f>
        <v>8043980</v>
      </c>
      <c r="F23" s="284">
        <f>+'KWH FCST'!E$59</f>
        <v>8069797</v>
      </c>
      <c r="G23" s="284">
        <f>+'KWH FCST'!F$59</f>
        <v>8363391</v>
      </c>
      <c r="H23" s="284">
        <f>+'KWH FCST'!G$59</f>
        <v>8574093</v>
      </c>
      <c r="I23" s="284">
        <f>+'KWH FCST'!H$59</f>
        <v>8775072</v>
      </c>
      <c r="J23" s="284">
        <f>+'KWH FCST'!I$59</f>
        <v>8799193</v>
      </c>
      <c r="K23" s="284">
        <f>+'KWH FCST'!J$59</f>
        <v>8768146</v>
      </c>
      <c r="L23" s="284">
        <f>+'KWH FCST'!K$59</f>
        <v>8505733</v>
      </c>
      <c r="M23" s="284">
        <f>+'KWH FCST'!L$59</f>
        <v>8194398</v>
      </c>
      <c r="N23" s="284">
        <f>+'KWH FCST'!M$59</f>
        <v>8636563</v>
      </c>
      <c r="O23" s="284">
        <f>SUM(C23:N23)</f>
        <v>101623502</v>
      </c>
      <c r="P23" s="284"/>
      <c r="Q23" s="284"/>
      <c r="R23" s="282"/>
      <c r="T23" s="255">
        <f>VLOOKUP(B22,'Sales Forecast'!$B$7:$AO$23,39,FALSE)</f>
        <v>101623502</v>
      </c>
      <c r="U23" s="255">
        <f>+O23-T23</f>
        <v>0</v>
      </c>
    </row>
    <row r="24" spans="1:21">
      <c r="A24" s="253" t="str">
        <f>B22&amp;" "&amp;B24</f>
        <v>CILC-1G NCP</v>
      </c>
      <c r="B24" s="254" t="s">
        <v>133</v>
      </c>
      <c r="C24" s="284">
        <f>+'NCP FCST'!B$58</f>
        <v>17282.834545722744</v>
      </c>
      <c r="D24" s="284">
        <f>+'NCP FCST'!C$58</f>
        <v>17596.220364477271</v>
      </c>
      <c r="E24" s="284">
        <f>+'NCP FCST'!D$58</f>
        <v>15702.707558153619</v>
      </c>
      <c r="F24" s="284">
        <f>+'NCP FCST'!E$58</f>
        <v>16241.580726507063</v>
      </c>
      <c r="G24" s="284">
        <f>+'NCP FCST'!F$58</f>
        <v>16637.102910716356</v>
      </c>
      <c r="H24" s="284">
        <f>+'NCP FCST'!G$58</f>
        <v>17520.463002891</v>
      </c>
      <c r="I24" s="284">
        <f>+'NCP FCST'!H$58</f>
        <v>17208.942905055224</v>
      </c>
      <c r="J24" s="284">
        <f>+'NCP FCST'!I$58</f>
        <v>17321.857737646511</v>
      </c>
      <c r="K24" s="284">
        <f>+'NCP FCST'!J$58</f>
        <v>17734.266855229602</v>
      </c>
      <c r="L24" s="284">
        <f>+'NCP FCST'!K$58</f>
        <v>16674.458826114642</v>
      </c>
      <c r="M24" s="284">
        <f>+'NCP FCST'!L$58</f>
        <v>16812.66722012444</v>
      </c>
      <c r="N24" s="284">
        <f>+'NCP FCST'!M$58</f>
        <v>17139.444337034918</v>
      </c>
      <c r="O24" s="284"/>
      <c r="P24" s="284">
        <f>MAX(C24:N24)</f>
        <v>17734.266855229602</v>
      </c>
      <c r="Q24" s="284"/>
      <c r="R24" s="282"/>
      <c r="T24" s="255">
        <f>+'NCP FCST'!O$58</f>
        <v>17734.266855229602</v>
      </c>
      <c r="U24" s="255">
        <f>P24-T24</f>
        <v>0</v>
      </c>
    </row>
    <row r="25" spans="1:21">
      <c r="A25" s="253" t="str">
        <f>B22&amp;" "&amp;B25</f>
        <v>CILC-1G GNCP</v>
      </c>
      <c r="B25" s="254" t="s">
        <v>342</v>
      </c>
      <c r="C25" s="284">
        <f>+'GNCP FCST'!B$58</f>
        <v>13889.150974322791</v>
      </c>
      <c r="D25" s="284">
        <f>+'GNCP FCST'!C$58</f>
        <v>14438.315939332228</v>
      </c>
      <c r="E25" s="284">
        <f>+'GNCP FCST'!D$58</f>
        <v>12895.782058481334</v>
      </c>
      <c r="F25" s="284">
        <f>+'GNCP FCST'!E$58</f>
        <v>13653.94816517401</v>
      </c>
      <c r="G25" s="284">
        <f>+'GNCP FCST'!F$58</f>
        <v>13981.703267041546</v>
      </c>
      <c r="H25" s="284">
        <f>+'GNCP FCST'!G$58</f>
        <v>14261.658386714136</v>
      </c>
      <c r="I25" s="284">
        <f>+'GNCP FCST'!H$58</f>
        <v>14060.015602793876</v>
      </c>
      <c r="J25" s="284">
        <f>+'GNCP FCST'!I$58</f>
        <v>14517.481215724356</v>
      </c>
      <c r="K25" s="284">
        <f>+'GNCP FCST'!J$58</f>
        <v>14397.185208889656</v>
      </c>
      <c r="L25" s="284">
        <f>+'GNCP FCST'!K$58</f>
        <v>13664.465406347614</v>
      </c>
      <c r="M25" s="284">
        <f>+'GNCP FCST'!L$58</f>
        <v>13594.845800257863</v>
      </c>
      <c r="N25" s="284">
        <f>+'GNCP FCST'!M$58</f>
        <v>13802.147984461857</v>
      </c>
      <c r="O25" s="284"/>
      <c r="Q25" s="284">
        <f>MAX(C25:N25)</f>
        <v>14517.481215724356</v>
      </c>
      <c r="R25" s="282"/>
      <c r="T25" s="255">
        <f>+'GNCP FCST'!O$58</f>
        <v>14517.481215724356</v>
      </c>
      <c r="U25" s="255">
        <f>+Q25-T25</f>
        <v>0</v>
      </c>
    </row>
    <row r="26" spans="1:21">
      <c r="A26" s="253" t="str">
        <f>B22&amp;" "&amp;B26</f>
        <v>CILC-1G CP</v>
      </c>
      <c r="B26" s="254" t="s">
        <v>148</v>
      </c>
      <c r="C26" s="284">
        <f>+'CP FCST'!B$58</f>
        <v>13652.207167938855</v>
      </c>
      <c r="D26" s="284">
        <f>+'CP FCST'!C$58</f>
        <v>13966.238582213718</v>
      </c>
      <c r="E26" s="284">
        <f>+'CP FCST'!D$58</f>
        <v>12895.782058481334</v>
      </c>
      <c r="F26" s="284">
        <f>+'CP FCST'!E$58</f>
        <v>13653.94816517401</v>
      </c>
      <c r="G26" s="284">
        <f>+'CP FCST'!F$58</f>
        <v>13981.703267041546</v>
      </c>
      <c r="H26" s="284">
        <f>+'CP FCST'!G$58</f>
        <v>14261.658386714136</v>
      </c>
      <c r="I26" s="284">
        <f>+'CP FCST'!H$58</f>
        <v>14060.015602793876</v>
      </c>
      <c r="J26" s="284">
        <f>+'CP FCST'!I$58</f>
        <v>14517.481215724356</v>
      </c>
      <c r="K26" s="284">
        <f>+'CP FCST'!J$58</f>
        <v>13532.90543943611</v>
      </c>
      <c r="L26" s="284">
        <f>+'CP FCST'!K$58</f>
        <v>13324.076569427223</v>
      </c>
      <c r="M26" s="284">
        <f>+'CP FCST'!L$58</f>
        <v>12685.917220739571</v>
      </c>
      <c r="N26" s="284">
        <f>+'CP FCST'!M$58</f>
        <v>13012.028854087373</v>
      </c>
      <c r="O26" s="284"/>
      <c r="P26" s="284"/>
      <c r="Q26" s="284"/>
      <c r="R26" s="255">
        <f>AVERAGE(C26:N26)</f>
        <v>13628.663544147676</v>
      </c>
      <c r="T26" s="255">
        <f>+'CP FCST'!O$58</f>
        <v>13628.663544147676</v>
      </c>
      <c r="U26" s="255">
        <f>R26-T26</f>
        <v>0</v>
      </c>
    </row>
    <row r="27" spans="1:21">
      <c r="A27" s="253" t="str">
        <f>B22&amp;" "&amp;B27</f>
        <v>CILC-1G CP - L.F.</v>
      </c>
      <c r="B27" s="254" t="s">
        <v>1197</v>
      </c>
      <c r="C27" s="498">
        <f>'CILC-1G'!C13</f>
        <v>0.94516433776122621</v>
      </c>
      <c r="D27" s="498">
        <f>'CILC-1G'!D13</f>
        <v>0.86925559244453354</v>
      </c>
      <c r="E27" s="498">
        <f>'CILC-1G'!E13</f>
        <v>0.93809839593700795</v>
      </c>
      <c r="F27" s="498">
        <f>'CILC-1G'!F13</f>
        <v>0.88658871065130096</v>
      </c>
      <c r="G27" s="498">
        <f>'CILC-1G'!G13</f>
        <v>0.88457776864065363</v>
      </c>
      <c r="H27" s="498">
        <f>'CILC-1G'!H13</f>
        <v>0.87804271138477741</v>
      </c>
      <c r="I27" s="498">
        <f>'CILC-1G'!I13</f>
        <v>0.89245594978010478</v>
      </c>
      <c r="J27" s="498">
        <f>'CILC-1G'!J13</f>
        <v>0.89394938748248698</v>
      </c>
      <c r="K27" s="498">
        <f>'CILC-1G'!K13</f>
        <v>0.90831240173099481</v>
      </c>
      <c r="L27" s="498">
        <f>'CILC-1G'!L13</f>
        <v>0.87511079216148335</v>
      </c>
      <c r="M27" s="498">
        <f>'CILC-1G'!M13</f>
        <v>0.87854099926499152</v>
      </c>
      <c r="N27" s="498">
        <f>'CILC-1G'!N13</f>
        <v>0.91532771057347673</v>
      </c>
      <c r="O27" s="284"/>
      <c r="P27" s="284"/>
      <c r="Q27" s="284"/>
      <c r="R27" s="255"/>
    </row>
    <row r="28" spans="1:21">
      <c r="A28" s="253" t="str">
        <f>B22&amp;" "&amp;B28</f>
        <v>CILC-1G GCP - L.F.</v>
      </c>
      <c r="B28" s="254" t="s">
        <v>1198</v>
      </c>
      <c r="C28" s="498">
        <f>'CILC-1G'!C14</f>
        <v>0.85069656013047601</v>
      </c>
      <c r="D28" s="498">
        <f>'CILC-1G'!D14</f>
        <v>0.83508360279133698</v>
      </c>
      <c r="E28" s="498">
        <f>'CILC-1G'!E14</f>
        <v>0.84803279550420019</v>
      </c>
      <c r="F28" s="498">
        <f>'CILC-1G'!F14</f>
        <v>0.83923886038327755</v>
      </c>
      <c r="G28" s="498">
        <f>'CILC-1G'!G14</f>
        <v>0.85022677556075632</v>
      </c>
      <c r="H28" s="498">
        <f>'CILC-1G'!H14</f>
        <v>0.85024363777460521</v>
      </c>
      <c r="I28" s="498">
        <f>'CILC-1G'!I14</f>
        <v>0.84795057563982601</v>
      </c>
      <c r="J28" s="498">
        <f>'CILC-1G'!J14</f>
        <v>0.85353734951851734</v>
      </c>
      <c r="K28" s="498">
        <f>'CILC-1G'!K14</f>
        <v>0.84585843544168382</v>
      </c>
      <c r="L28" s="498">
        <f>'CILC-1G'!L14</f>
        <v>0.83665452602677237</v>
      </c>
      <c r="M28" s="498">
        <f>'CILC-1G'!M14</f>
        <v>0.83716347360978971</v>
      </c>
      <c r="N28" s="498">
        <f>'CILC-1G'!N14</f>
        <v>0.84104906100259735</v>
      </c>
      <c r="O28" s="284"/>
      <c r="P28" s="284"/>
      <c r="Q28" s="284"/>
      <c r="R28" s="255"/>
    </row>
    <row r="29" spans="1:21">
      <c r="A29" s="253" t="str">
        <f>B22&amp;" "&amp;B29</f>
        <v>CILC-1G NCP - L.F.</v>
      </c>
      <c r="B29" s="254" t="s">
        <v>1199</v>
      </c>
      <c r="C29" s="498">
        <f>'CILC-1G'!C15</f>
        <v>0.68365249494987523</v>
      </c>
      <c r="D29" s="498">
        <f>'CILC-1G'!D15</f>
        <v>0.68521538393539694</v>
      </c>
      <c r="E29" s="498">
        <f>'CILC-1G'!E15</f>
        <v>0.68853100875936502</v>
      </c>
      <c r="F29" s="498">
        <f>'CILC-1G'!F15</f>
        <v>0.69008377802763954</v>
      </c>
      <c r="G29" s="498">
        <f>'CILC-1G'!G15</f>
        <v>0.67566552877684005</v>
      </c>
      <c r="H29" s="498">
        <f>'CILC-1G'!H15</f>
        <v>0.67968880149086353</v>
      </c>
      <c r="I29" s="498">
        <f>'CILC-1G'!I15</f>
        <v>0.68536758346955395</v>
      </c>
      <c r="J29" s="498">
        <f>'CILC-1G'!J15</f>
        <v>0.68277158783748637</v>
      </c>
      <c r="K29" s="498">
        <f>'CILC-1G'!K15</f>
        <v>0.68669207782696862</v>
      </c>
      <c r="L29" s="498">
        <f>'CILC-1G'!L15</f>
        <v>0.68562565940983478</v>
      </c>
      <c r="M29" s="498">
        <f>'CILC-1G'!M15</f>
        <v>0.67693651366098329</v>
      </c>
      <c r="N29" s="498">
        <f>'CILC-1G'!N15</f>
        <v>0.67728471086237918</v>
      </c>
      <c r="O29" s="284"/>
      <c r="P29" s="284"/>
      <c r="Q29" s="284"/>
      <c r="R29" s="255"/>
    </row>
    <row r="30" spans="1:21">
      <c r="B30" s="254" t="s">
        <v>570</v>
      </c>
      <c r="C30" s="285" t="str">
        <f t="shared" ref="C30:N30" si="1">IF(C26&gt;C25,"ERROR",IF(C25&gt;C24,"ERROR","OK"))</f>
        <v>OK</v>
      </c>
      <c r="D30" s="285" t="str">
        <f t="shared" si="1"/>
        <v>OK</v>
      </c>
      <c r="E30" s="285" t="str">
        <f t="shared" si="1"/>
        <v>OK</v>
      </c>
      <c r="F30" s="285" t="str">
        <f t="shared" si="1"/>
        <v>OK</v>
      </c>
      <c r="G30" s="285" t="str">
        <f t="shared" si="1"/>
        <v>OK</v>
      </c>
      <c r="H30" s="285" t="str">
        <f t="shared" si="1"/>
        <v>OK</v>
      </c>
      <c r="I30" s="285" t="str">
        <f t="shared" si="1"/>
        <v>OK</v>
      </c>
      <c r="J30" s="285" t="str">
        <f t="shared" si="1"/>
        <v>OK</v>
      </c>
      <c r="K30" s="285" t="str">
        <f t="shared" si="1"/>
        <v>OK</v>
      </c>
      <c r="L30" s="285" t="str">
        <f t="shared" si="1"/>
        <v>OK</v>
      </c>
      <c r="M30" s="285" t="str">
        <f t="shared" si="1"/>
        <v>OK</v>
      </c>
      <c r="N30" s="285" t="str">
        <f t="shared" si="1"/>
        <v>OK</v>
      </c>
      <c r="O30" s="284"/>
      <c r="P30" s="284"/>
      <c r="Q30" s="284"/>
      <c r="R30" s="255"/>
    </row>
    <row r="31" spans="1:21">
      <c r="B31" s="259"/>
      <c r="C31" s="284"/>
      <c r="D31" s="284"/>
      <c r="E31" s="284"/>
      <c r="F31" s="284"/>
      <c r="G31" s="284"/>
      <c r="H31" s="284"/>
      <c r="I31" s="284"/>
      <c r="J31" s="284"/>
      <c r="K31" s="284"/>
      <c r="L31" s="284"/>
      <c r="M31" s="284"/>
      <c r="N31" s="284"/>
      <c r="O31" s="284"/>
      <c r="P31" s="284"/>
      <c r="Q31" s="284"/>
      <c r="R31" s="282"/>
    </row>
    <row r="32" spans="1:21">
      <c r="B32" s="252" t="s">
        <v>50</v>
      </c>
      <c r="C32" s="284"/>
      <c r="D32" s="284"/>
      <c r="E32" s="284"/>
      <c r="F32" s="284"/>
      <c r="G32" s="284"/>
      <c r="H32" s="284"/>
      <c r="I32" s="284"/>
      <c r="J32" s="284"/>
      <c r="K32" s="284"/>
      <c r="L32" s="284"/>
      <c r="M32" s="284"/>
      <c r="N32" s="284"/>
      <c r="O32" s="284"/>
      <c r="P32" s="284"/>
      <c r="Q32" s="284"/>
      <c r="R32" s="282"/>
    </row>
    <row r="33" spans="1:21">
      <c r="A33" s="253" t="str">
        <f>B32&amp;" "&amp;B33</f>
        <v>CILC-1T KWH Sales</v>
      </c>
      <c r="B33" s="254" t="s">
        <v>563</v>
      </c>
      <c r="C33" s="284">
        <f>+'KWH FCST'!B$60</f>
        <v>125750423</v>
      </c>
      <c r="D33" s="284">
        <f>+'KWH FCST'!C$60</f>
        <v>117221965</v>
      </c>
      <c r="E33" s="284">
        <f>+'KWH FCST'!D$60</f>
        <v>118767389</v>
      </c>
      <c r="F33" s="284">
        <f>+'KWH FCST'!E$60</f>
        <v>123452460</v>
      </c>
      <c r="G33" s="284">
        <f>+'KWH FCST'!F$60</f>
        <v>122801452</v>
      </c>
      <c r="H33" s="284">
        <f>+'KWH FCST'!G$60</f>
        <v>127537356</v>
      </c>
      <c r="I33" s="284">
        <f>+'KWH FCST'!H$60</f>
        <v>128193988</v>
      </c>
      <c r="J33" s="284">
        <f>+'KWH FCST'!I$60</f>
        <v>127368729</v>
      </c>
      <c r="K33" s="284">
        <f>+'KWH FCST'!J$60</f>
        <v>130512332</v>
      </c>
      <c r="L33" s="284">
        <f>+'KWH FCST'!K$60</f>
        <v>126790722</v>
      </c>
      <c r="M33" s="284">
        <f>+'KWH FCST'!L$60</f>
        <v>129769170</v>
      </c>
      <c r="N33" s="284">
        <f>+'KWH FCST'!M$60</f>
        <v>130169328</v>
      </c>
      <c r="O33" s="284">
        <f>SUM(C33:N33)</f>
        <v>1508335314</v>
      </c>
      <c r="P33" s="284"/>
      <c r="Q33" s="284"/>
      <c r="R33" s="282"/>
      <c r="T33" s="255">
        <f>VLOOKUP(B32,'Sales Forecast'!$B$7:$AO$23,39,FALSE)</f>
        <v>1508335314</v>
      </c>
      <c r="U33" s="255">
        <f>+O33-T33</f>
        <v>0</v>
      </c>
    </row>
    <row r="34" spans="1:21">
      <c r="A34" s="253" t="str">
        <f>B32&amp;" "&amp;B34</f>
        <v>CILC-1T NCP</v>
      </c>
      <c r="B34" s="254" t="s">
        <v>133</v>
      </c>
      <c r="C34" s="284">
        <f>+'NCP FCST'!B$59</f>
        <v>228933.21533313606</v>
      </c>
      <c r="D34" s="284">
        <f>+'NCP FCST'!C$59</f>
        <v>242387.91869907276</v>
      </c>
      <c r="E34" s="284">
        <f>+'NCP FCST'!D$59</f>
        <v>222089.05574353845</v>
      </c>
      <c r="F34" s="284">
        <f>+'NCP FCST'!E$59</f>
        <v>230730.948406432</v>
      </c>
      <c r="G34" s="284">
        <f>+'NCP FCST'!F$59</f>
        <v>218425.85194730497</v>
      </c>
      <c r="H34" s="284">
        <f>+'NCP FCST'!G$59</f>
        <v>241521.38111059309</v>
      </c>
      <c r="I34" s="284">
        <f>+'NCP FCST'!H$59</f>
        <v>231568.84282359079</v>
      </c>
      <c r="J34" s="284">
        <f>+'NCP FCST'!I$59</f>
        <v>227643.11582501823</v>
      </c>
      <c r="K34" s="284">
        <f>+'NCP FCST'!J$59</f>
        <v>249350.39315840468</v>
      </c>
      <c r="L34" s="284">
        <f>+'NCP FCST'!K$59</f>
        <v>229519.27714811172</v>
      </c>
      <c r="M34" s="284">
        <f>+'NCP FCST'!L$59</f>
        <v>246171.72360688169</v>
      </c>
      <c r="N34" s="284">
        <f>+'NCP FCST'!M$59</f>
        <v>235858.97955450081</v>
      </c>
      <c r="O34" s="284"/>
      <c r="P34" s="284">
        <f>MAX(C34:N34)</f>
        <v>249350.39315840468</v>
      </c>
      <c r="Q34" s="284"/>
      <c r="R34" s="282"/>
      <c r="T34" s="255">
        <f>+'NCP FCST'!O$59</f>
        <v>249350.39315840468</v>
      </c>
      <c r="U34" s="255">
        <f>P34-T34</f>
        <v>0</v>
      </c>
    </row>
    <row r="35" spans="1:21">
      <c r="A35" s="253" t="str">
        <f>B32&amp;" "&amp;B35</f>
        <v>CILC-1T GNCP</v>
      </c>
      <c r="B35" s="254" t="s">
        <v>342</v>
      </c>
      <c r="C35" s="284">
        <f>+'GNCP FCST'!B$59</f>
        <v>197531.78586438962</v>
      </c>
      <c r="D35" s="284">
        <f>+'GNCP FCST'!C$59</f>
        <v>208367.105216803</v>
      </c>
      <c r="E35" s="284">
        <f>+'GNCP FCST'!D$59</f>
        <v>194425.96339507116</v>
      </c>
      <c r="F35" s="284">
        <f>+'GNCP FCST'!E$59</f>
        <v>198616.4804224238</v>
      </c>
      <c r="G35" s="284">
        <f>+'GNCP FCST'!F$59</f>
        <v>197021.87838095258</v>
      </c>
      <c r="H35" s="284">
        <f>+'GNCP FCST'!G$59</f>
        <v>205530.62516474395</v>
      </c>
      <c r="I35" s="284">
        <f>+'GNCP FCST'!H$59</f>
        <v>200006.71315031929</v>
      </c>
      <c r="J35" s="284">
        <f>+'GNCP FCST'!I$59</f>
        <v>197283.62826070774</v>
      </c>
      <c r="K35" s="284">
        <f>+'GNCP FCST'!J$59</f>
        <v>215869.608656397</v>
      </c>
      <c r="L35" s="284">
        <f>+'GNCP FCST'!K$59</f>
        <v>200288.62506937026</v>
      </c>
      <c r="M35" s="284">
        <f>+'GNCP FCST'!L$59</f>
        <v>212999.08518869491</v>
      </c>
      <c r="N35" s="284">
        <f>+'GNCP FCST'!M$59</f>
        <v>208406.66961784184</v>
      </c>
      <c r="O35" s="284"/>
      <c r="Q35" s="284">
        <f>MAX(C35:N35)</f>
        <v>215869.608656397</v>
      </c>
      <c r="R35" s="282"/>
      <c r="T35" s="255">
        <f>+'GNCP FCST'!O$59</f>
        <v>215869.608656397</v>
      </c>
      <c r="U35" s="255">
        <f>+Q35-T35</f>
        <v>0</v>
      </c>
    </row>
    <row r="36" spans="1:21">
      <c r="A36" s="253" t="str">
        <f>B32&amp;" "&amp;B36</f>
        <v>CILC-1T CP</v>
      </c>
      <c r="B36" s="254" t="s">
        <v>148</v>
      </c>
      <c r="C36" s="284">
        <f>+'CP FCST'!B$59</f>
        <v>178847.2601098239</v>
      </c>
      <c r="D36" s="284">
        <f>+'CP FCST'!C$59</f>
        <v>189732.33528198898</v>
      </c>
      <c r="E36" s="284">
        <f>+'CP FCST'!D$59</f>
        <v>194425.96339507116</v>
      </c>
      <c r="F36" s="284">
        <f>+'CP FCST'!E$59</f>
        <v>186008.45398665025</v>
      </c>
      <c r="G36" s="284">
        <f>+'CP FCST'!F$59</f>
        <v>197021.87838095258</v>
      </c>
      <c r="H36" s="284">
        <f>+'CP FCST'!G$59</f>
        <v>192145.77024849469</v>
      </c>
      <c r="I36" s="284">
        <f>+'CP FCST'!H$59</f>
        <v>190790.68636265636</v>
      </c>
      <c r="J36" s="284">
        <f>+'CP FCST'!I$59</f>
        <v>194012.58544435649</v>
      </c>
      <c r="K36" s="284">
        <f>+'CP FCST'!J$59</f>
        <v>183900.95405735151</v>
      </c>
      <c r="L36" s="284">
        <f>+'CP FCST'!K$59</f>
        <v>180860.84249159557</v>
      </c>
      <c r="M36" s="284">
        <f>+'CP FCST'!L$59</f>
        <v>191816.03131902794</v>
      </c>
      <c r="N36" s="284">
        <f>+'CP FCST'!M$59</f>
        <v>192914.64874432838</v>
      </c>
      <c r="O36" s="284"/>
      <c r="P36" s="284"/>
      <c r="Q36" s="284"/>
      <c r="R36" s="255">
        <f>AVERAGE(C36:N36)</f>
        <v>189373.11748519144</v>
      </c>
      <c r="T36" s="255">
        <f>+'CP FCST'!O$59</f>
        <v>189373.11748519144</v>
      </c>
      <c r="U36" s="255">
        <f>R36-T36</f>
        <v>0</v>
      </c>
    </row>
    <row r="37" spans="1:21">
      <c r="A37" s="253" t="str">
        <f>B32&amp;" "&amp;B37</f>
        <v>CILC-1T CP - L.F.</v>
      </c>
      <c r="B37" s="254" t="s">
        <v>1197</v>
      </c>
      <c r="C37" s="498">
        <f>'CILC-1T'!C13</f>
        <v>1.0320806588010434</v>
      </c>
      <c r="D37" s="498">
        <f>'CILC-1T'!D13</f>
        <v>0.92571817798763811</v>
      </c>
      <c r="E37" s="498">
        <f>'CILC-1T'!E13</f>
        <v>0.91868691168975791</v>
      </c>
      <c r="F37" s="498">
        <f>'CILC-1T'!F13</f>
        <v>0.99559920672569535</v>
      </c>
      <c r="G37" s="498">
        <f>'CILC-1T'!G13</f>
        <v>0.92172698897467031</v>
      </c>
      <c r="H37" s="498">
        <f>'CILC-1T'!H13</f>
        <v>0.96940180553831723</v>
      </c>
      <c r="I37" s="498">
        <f>'CILC-1T'!I13</f>
        <v>0.96079802007160109</v>
      </c>
      <c r="J37" s="498">
        <f>'CILC-1T'!J13</f>
        <v>0.96826412536419459</v>
      </c>
      <c r="K37" s="498">
        <f>'CILC-1T'!K13</f>
        <v>0.9949151422428324</v>
      </c>
      <c r="L37" s="498">
        <f>'CILC-1T'!L13</f>
        <v>0.9610173849877458</v>
      </c>
      <c r="M37" s="498">
        <f>'CILC-1T'!M13</f>
        <v>0.92013930333683969</v>
      </c>
      <c r="N37" s="498">
        <f>'CILC-1T'!N13</f>
        <v>0.93051636559302187</v>
      </c>
      <c r="O37" s="284"/>
      <c r="P37" s="284"/>
      <c r="Q37" s="284"/>
      <c r="R37" s="255"/>
    </row>
    <row r="38" spans="1:21">
      <c r="A38" s="253" t="str">
        <f>B32&amp;" "&amp;B38</f>
        <v>CILC-1T GCP - L.F.</v>
      </c>
      <c r="B38" s="254" t="s">
        <v>1198</v>
      </c>
      <c r="C38" s="498">
        <f>'CILC-1T'!C14</f>
        <v>0.85565664793171103</v>
      </c>
      <c r="D38" s="498">
        <f>'CILC-1T'!D14</f>
        <v>0.83716404148902002</v>
      </c>
      <c r="E38" s="498">
        <f>'CILC-1T'!E14</f>
        <v>0.84037720276273198</v>
      </c>
      <c r="F38" s="498">
        <f>'CILC-1T'!F14</f>
        <v>0.86328057790234591</v>
      </c>
      <c r="G38" s="498">
        <f>'CILC-1T'!G14</f>
        <v>0.86641262800892449</v>
      </c>
      <c r="H38" s="498">
        <f>'CILC-1T'!H14</f>
        <v>0.86184341883202653</v>
      </c>
      <c r="I38" s="498">
        <f>'CILC-1T'!I14</f>
        <v>0.86148982000583862</v>
      </c>
      <c r="J38" s="498">
        <f>'CILC-1T'!J14</f>
        <v>0.86775841328087855</v>
      </c>
      <c r="K38" s="498">
        <f>'CILC-1T'!K14</f>
        <v>0.8397065659497418</v>
      </c>
      <c r="L38" s="498">
        <f>'CILC-1T'!L14</f>
        <v>0.85086028743644215</v>
      </c>
      <c r="M38" s="498">
        <f>'CILC-1T'!M14</f>
        <v>0.84617714753875128</v>
      </c>
      <c r="N38" s="498">
        <f>'CILC-1T'!N14</f>
        <v>0.83950659791441751</v>
      </c>
      <c r="O38" s="284"/>
      <c r="P38" s="284"/>
      <c r="Q38" s="284"/>
      <c r="R38" s="255"/>
    </row>
    <row r="39" spans="1:21">
      <c r="A39" s="253" t="str">
        <f>B32&amp;" "&amp;B39</f>
        <v>CILC-1T NCP - L.F.</v>
      </c>
      <c r="B39" s="254" t="s">
        <v>1199</v>
      </c>
      <c r="C39" s="498">
        <f>'CILC-1T'!C15</f>
        <v>0.73829123269306607</v>
      </c>
      <c r="D39" s="498">
        <f>'CILC-1T'!D15</f>
        <v>0.71966230352112825</v>
      </c>
      <c r="E39" s="498">
        <f>'CILC-1T'!E15</f>
        <v>0.71878187257426729</v>
      </c>
      <c r="F39" s="498">
        <f>'CILC-1T'!F15</f>
        <v>0.74312419371661642</v>
      </c>
      <c r="G39" s="498">
        <f>'CILC-1T'!G15</f>
        <v>0.75566016376844891</v>
      </c>
      <c r="H39" s="498">
        <f>'CILC-1T'!H15</f>
        <v>0.73341422549068702</v>
      </c>
      <c r="I39" s="498">
        <f>'CILC-1T'!I15</f>
        <v>0.74407137510761323</v>
      </c>
      <c r="J39" s="498">
        <f>'CILC-1T'!J15</f>
        <v>0.75203033311755429</v>
      </c>
      <c r="K39" s="498">
        <f>'CILC-1T'!K15</f>
        <v>0.72695745726225636</v>
      </c>
      <c r="L39" s="498">
        <f>'CILC-1T'!L15</f>
        <v>0.74249814313767426</v>
      </c>
      <c r="M39" s="498">
        <f>'CILC-1T'!M15</f>
        <v>0.73215134416150673</v>
      </c>
      <c r="N39" s="498">
        <f>'CILC-1T'!N15</f>
        <v>0.74179399285122416</v>
      </c>
      <c r="O39" s="284"/>
      <c r="P39" s="284"/>
      <c r="Q39" s="284"/>
      <c r="R39" s="255"/>
    </row>
    <row r="40" spans="1:21">
      <c r="B40" s="254" t="s">
        <v>570</v>
      </c>
      <c r="C40" s="285" t="str">
        <f t="shared" ref="C40:N40" si="2">IF(C36&gt;C35,"ERROR",IF(C35&gt;C34,"ERROR","OK"))</f>
        <v>OK</v>
      </c>
      <c r="D40" s="285" t="str">
        <f t="shared" si="2"/>
        <v>OK</v>
      </c>
      <c r="E40" s="285" t="str">
        <f t="shared" si="2"/>
        <v>OK</v>
      </c>
      <c r="F40" s="285" t="str">
        <f t="shared" si="2"/>
        <v>OK</v>
      </c>
      <c r="G40" s="285" t="str">
        <f t="shared" si="2"/>
        <v>OK</v>
      </c>
      <c r="H40" s="285" t="str">
        <f t="shared" si="2"/>
        <v>OK</v>
      </c>
      <c r="I40" s="285" t="str">
        <f t="shared" si="2"/>
        <v>OK</v>
      </c>
      <c r="J40" s="285" t="str">
        <f t="shared" si="2"/>
        <v>OK</v>
      </c>
      <c r="K40" s="285" t="str">
        <f t="shared" si="2"/>
        <v>OK</v>
      </c>
      <c r="L40" s="285" t="str">
        <f t="shared" si="2"/>
        <v>OK</v>
      </c>
      <c r="M40" s="285" t="str">
        <f t="shared" si="2"/>
        <v>OK</v>
      </c>
      <c r="N40" s="285" t="str">
        <f t="shared" si="2"/>
        <v>OK</v>
      </c>
      <c r="O40" s="284"/>
      <c r="P40" s="284"/>
      <c r="Q40" s="284"/>
      <c r="R40" s="255"/>
    </row>
    <row r="41" spans="1:21">
      <c r="B41" s="259"/>
      <c r="C41" s="284"/>
      <c r="D41" s="284"/>
      <c r="E41" s="284"/>
      <c r="F41" s="284"/>
      <c r="G41" s="284"/>
      <c r="H41" s="284"/>
      <c r="I41" s="284"/>
      <c r="J41" s="284"/>
      <c r="K41" s="284"/>
      <c r="L41" s="284"/>
      <c r="M41" s="284"/>
      <c r="N41" s="284"/>
      <c r="O41" s="284"/>
      <c r="P41" s="284"/>
      <c r="Q41" s="284"/>
      <c r="R41" s="282"/>
    </row>
    <row r="42" spans="1:21">
      <c r="B42" s="252" t="s">
        <v>49</v>
      </c>
      <c r="C42" s="284"/>
      <c r="D42" s="284"/>
      <c r="E42" s="284"/>
      <c r="F42" s="284"/>
      <c r="G42" s="284"/>
      <c r="H42" s="284"/>
      <c r="I42" s="284"/>
      <c r="J42" s="284"/>
      <c r="K42" s="284"/>
      <c r="L42" s="284"/>
      <c r="M42" s="284"/>
      <c r="N42" s="284"/>
      <c r="O42" s="284"/>
      <c r="P42" s="284"/>
      <c r="Q42" s="284"/>
      <c r="R42" s="282"/>
    </row>
    <row r="43" spans="1:21">
      <c r="A43" s="253" t="str">
        <f>B42&amp;" "&amp;B43</f>
        <v>GS(T)-1 KWH Sales</v>
      </c>
      <c r="B43" s="254" t="s">
        <v>563</v>
      </c>
      <c r="C43" s="284">
        <f>+'KWH FCST'!B$61</f>
        <v>474037478</v>
      </c>
      <c r="D43" s="284">
        <f>+'KWH FCST'!C$61</f>
        <v>421493319</v>
      </c>
      <c r="E43" s="284">
        <f>+'KWH FCST'!D$61</f>
        <v>436128454</v>
      </c>
      <c r="F43" s="284">
        <f>+'KWH FCST'!E$61</f>
        <v>452175041</v>
      </c>
      <c r="G43" s="284">
        <f>+'KWH FCST'!F$61</f>
        <v>505437208</v>
      </c>
      <c r="H43" s="284">
        <f>+'KWH FCST'!G$61</f>
        <v>540809617</v>
      </c>
      <c r="I43" s="284">
        <f>+'KWH FCST'!H$61</f>
        <v>570905184</v>
      </c>
      <c r="J43" s="284">
        <f>+'KWH FCST'!I$61</f>
        <v>571130874</v>
      </c>
      <c r="K43" s="284">
        <f>+'KWH FCST'!J$61</f>
        <v>555576895</v>
      </c>
      <c r="L43" s="284">
        <f>+'KWH FCST'!K$61</f>
        <v>515188641</v>
      </c>
      <c r="M43" s="284">
        <f>+'KWH FCST'!L$61</f>
        <v>464021202</v>
      </c>
      <c r="N43" s="284">
        <f>+'KWH FCST'!M$61</f>
        <v>461888209</v>
      </c>
      <c r="O43" s="284">
        <f>SUM(C43:N43)</f>
        <v>5968792122</v>
      </c>
      <c r="P43" s="284"/>
      <c r="Q43" s="284"/>
      <c r="R43" s="282"/>
      <c r="T43" s="255">
        <f>VLOOKUP(B42,'Sales Forecast'!$B$7:$AO$23,39,FALSE)</f>
        <v>5968792122</v>
      </c>
      <c r="U43" s="255">
        <f>+O43-T43</f>
        <v>0</v>
      </c>
    </row>
    <row r="44" spans="1:21">
      <c r="A44" s="253" t="str">
        <f>B42&amp;" "&amp;B44</f>
        <v>GS(T)-1 NCP</v>
      </c>
      <c r="B44" s="254" t="s">
        <v>133</v>
      </c>
      <c r="C44" s="284">
        <f>+'NCP FCST'!B$60</f>
        <v>2109951.0515894201</v>
      </c>
      <c r="D44" s="284">
        <f>+'NCP FCST'!C$60</f>
        <v>1984682.9736098244</v>
      </c>
      <c r="E44" s="284">
        <f>+'NCP FCST'!D$60</f>
        <v>1839956.6340179285</v>
      </c>
      <c r="F44" s="284">
        <f>+'NCP FCST'!E$60</f>
        <v>1848986.7097845688</v>
      </c>
      <c r="G44" s="284">
        <f>+'NCP FCST'!F$60</f>
        <v>1928490.0783310693</v>
      </c>
      <c r="H44" s="284">
        <f>+'NCP FCST'!G$60</f>
        <v>2103521.8359939246</v>
      </c>
      <c r="I44" s="284">
        <f>+'NCP FCST'!H$60</f>
        <v>2072248.3596219746</v>
      </c>
      <c r="J44" s="284">
        <f>+'NCP FCST'!I$60</f>
        <v>2043890.106807213</v>
      </c>
      <c r="K44" s="284">
        <f>+'NCP FCST'!J$60</f>
        <v>2146000.5103850211</v>
      </c>
      <c r="L44" s="284">
        <f>+'NCP FCST'!K$60</f>
        <v>1999008.9527433044</v>
      </c>
      <c r="M44" s="284">
        <f>+'NCP FCST'!L$60</f>
        <v>2044494.6187718154</v>
      </c>
      <c r="N44" s="284">
        <f>+'NCP FCST'!M$60</f>
        <v>1993855.7786780596</v>
      </c>
      <c r="O44" s="284"/>
      <c r="P44" s="284">
        <f>MAX(C44:N44)</f>
        <v>2146000.5103850211</v>
      </c>
      <c r="Q44" s="284"/>
      <c r="R44" s="282"/>
      <c r="T44" s="255">
        <f>+'NCP FCST'!O$60</f>
        <v>2146000.5103850211</v>
      </c>
      <c r="U44" s="255">
        <f>P44-T44</f>
        <v>0</v>
      </c>
    </row>
    <row r="45" spans="1:21">
      <c r="A45" s="253" t="str">
        <f>B42&amp;" "&amp;B45</f>
        <v>GS(T)-1 GNCP</v>
      </c>
      <c r="B45" s="254" t="s">
        <v>342</v>
      </c>
      <c r="C45" s="284">
        <f>+'GNCP FCST'!B$60</f>
        <v>1035356.6217146016</v>
      </c>
      <c r="D45" s="284">
        <f>+'GNCP FCST'!C$60</f>
        <v>1043251.4460692422</v>
      </c>
      <c r="E45" s="284">
        <f>+'GNCP FCST'!D$60</f>
        <v>944414.92815516086</v>
      </c>
      <c r="F45" s="284">
        <f>+'GNCP FCST'!E$60</f>
        <v>1089943.3578611384</v>
      </c>
      <c r="G45" s="284">
        <f>+'GNCP FCST'!F$60</f>
        <v>1148792.0451476327</v>
      </c>
      <c r="H45" s="284">
        <f>+'GNCP FCST'!G$60</f>
        <v>1285830.723460472</v>
      </c>
      <c r="I45" s="284">
        <f>+'GNCP FCST'!H$60</f>
        <v>1277840.4318736196</v>
      </c>
      <c r="J45" s="284">
        <f>+'GNCP FCST'!I$60</f>
        <v>1302483.2359596684</v>
      </c>
      <c r="K45" s="284">
        <f>+'GNCP FCST'!J$60</f>
        <v>1300772.3928079293</v>
      </c>
      <c r="L45" s="284">
        <f>+'GNCP FCST'!K$60</f>
        <v>1185969.3143891741</v>
      </c>
      <c r="M45" s="284">
        <f>+'GNCP FCST'!L$60</f>
        <v>1101525.7809872732</v>
      </c>
      <c r="N45" s="284">
        <f>+'GNCP FCST'!M$60</f>
        <v>1050205.8245858378</v>
      </c>
      <c r="O45" s="284"/>
      <c r="Q45" s="284">
        <f>MAX(C45:N45)</f>
        <v>1302483.2359596684</v>
      </c>
      <c r="R45" s="282"/>
      <c r="T45" s="255">
        <f>+'GNCP FCST'!O$60</f>
        <v>1302483.2359596684</v>
      </c>
      <c r="U45" s="255">
        <f>+Q45-T45</f>
        <v>0</v>
      </c>
    </row>
    <row r="46" spans="1:21">
      <c r="A46" s="253" t="str">
        <f>B42&amp;" "&amp;B46</f>
        <v>GS(T)-1 CP</v>
      </c>
      <c r="B46" s="254" t="s">
        <v>148</v>
      </c>
      <c r="C46" s="284">
        <f>+'CP FCST'!B$60</f>
        <v>690874.0856189474</v>
      </c>
      <c r="D46" s="284">
        <f>+'CP FCST'!C$60</f>
        <v>1032435.2478433686</v>
      </c>
      <c r="E46" s="284">
        <f>+'CP FCST'!D$60</f>
        <v>674749.89799366985</v>
      </c>
      <c r="F46" s="284">
        <f>+'CP FCST'!E$60</f>
        <v>1046339.897575738</v>
      </c>
      <c r="G46" s="284">
        <f>+'CP FCST'!F$60</f>
        <v>1148792.0451476327</v>
      </c>
      <c r="H46" s="284">
        <f>+'CP FCST'!G$60</f>
        <v>1285830.723460472</v>
      </c>
      <c r="I46" s="284">
        <f>+'CP FCST'!H$60</f>
        <v>1277840.4318736196</v>
      </c>
      <c r="J46" s="284">
        <f>+'CP FCST'!I$60</f>
        <v>1302483.2359596684</v>
      </c>
      <c r="K46" s="284">
        <f>+'CP FCST'!J$60</f>
        <v>1151450.1952714974</v>
      </c>
      <c r="L46" s="284">
        <f>+'CP FCST'!K$60</f>
        <v>1106355.7830160926</v>
      </c>
      <c r="M46" s="284">
        <f>+'CP FCST'!L$60</f>
        <v>1005807.8886286853</v>
      </c>
      <c r="N46" s="284">
        <f>+'CP FCST'!M$60</f>
        <v>896019.50969358871</v>
      </c>
      <c r="O46" s="284"/>
      <c r="P46" s="284"/>
      <c r="Q46" s="284"/>
      <c r="R46" s="255">
        <f>AVERAGE(C46:N46)</f>
        <v>1051581.5785069151</v>
      </c>
      <c r="T46" s="255">
        <f>+'CP FCST'!O$60</f>
        <v>1051581.5785069151</v>
      </c>
      <c r="U46" s="255">
        <f>R46-T46</f>
        <v>0</v>
      </c>
    </row>
    <row r="47" spans="1:21">
      <c r="A47" s="253" t="str">
        <f>B42&amp;" "&amp;B47</f>
        <v>GS(T)-1 CP - L.F.</v>
      </c>
      <c r="B47" s="254" t="s">
        <v>1197</v>
      </c>
      <c r="C47" s="498">
        <f>'GS(T)-1'!C13</f>
        <v>1.0071641350109672</v>
      </c>
      <c r="D47" s="498">
        <f>'GS(T)-1'!D13</f>
        <v>0.61170075820709413</v>
      </c>
      <c r="E47" s="498">
        <f>'GS(T)-1'!E13</f>
        <v>0.97206694243938074</v>
      </c>
      <c r="F47" s="498">
        <f>'GS(T)-1'!F13</f>
        <v>0.64826306419860125</v>
      </c>
      <c r="G47" s="498">
        <f>'GS(T)-1'!G13</f>
        <v>0.65063743544204922</v>
      </c>
      <c r="H47" s="498">
        <f>'GS(T)-1'!H13</f>
        <v>0.61426794266431473</v>
      </c>
      <c r="I47" s="498">
        <f>'GS(T)-1'!I13</f>
        <v>0.63886481842027099</v>
      </c>
      <c r="J47" s="498">
        <f>'GS(T)-1'!J13</f>
        <v>0.64673211134986464</v>
      </c>
      <c r="K47" s="498">
        <f>'GS(T)-1'!K13</f>
        <v>0.67642163804951994</v>
      </c>
      <c r="L47" s="498">
        <f>'GS(T)-1'!L13</f>
        <v>0.63835135944192256</v>
      </c>
      <c r="M47" s="498">
        <f>'GS(T)-1'!M13</f>
        <v>0.62746534301888723</v>
      </c>
      <c r="N47" s="498">
        <f>'GS(T)-1'!N13</f>
        <v>0.71088601286650077</v>
      </c>
      <c r="O47" s="284"/>
      <c r="P47" s="284"/>
      <c r="Q47" s="284"/>
      <c r="R47" s="255"/>
    </row>
    <row r="48" spans="1:21">
      <c r="A48" s="253" t="str">
        <f>B42&amp;" "&amp;B48</f>
        <v>GS(T)-1 GCP - L.F.</v>
      </c>
      <c r="B48" s="254" t="s">
        <v>1198</v>
      </c>
      <c r="C48" s="498">
        <f>'GS(T)-1'!C14</f>
        <v>0.61538906931827531</v>
      </c>
      <c r="D48" s="498">
        <f>'GS(T)-1'!D14</f>
        <v>0.60121862591813502</v>
      </c>
      <c r="E48" s="498">
        <f>'GS(T)-1'!E14</f>
        <v>0.62069556624569033</v>
      </c>
      <c r="F48" s="498">
        <f>'GS(T)-1'!F14</f>
        <v>0.57619589655574499</v>
      </c>
      <c r="G48" s="498">
        <f>'GS(T)-1'!G14</f>
        <v>0.59587242855742051</v>
      </c>
      <c r="H48" s="498">
        <f>'GS(T)-1'!H14</f>
        <v>0.59230396874887514</v>
      </c>
      <c r="I48" s="498">
        <f>'GS(T)-1'!I14</f>
        <v>0.60521679111592397</v>
      </c>
      <c r="J48" s="498">
        <f>'GS(T)-1'!J14</f>
        <v>0.61267237032436273</v>
      </c>
      <c r="K48" s="498">
        <f>'GS(T)-1'!K14</f>
        <v>0.59321260249319241</v>
      </c>
      <c r="L48" s="498">
        <f>'GS(T)-1'!L14</f>
        <v>0.58387501464411629</v>
      </c>
      <c r="M48" s="498">
        <f>'GS(T)-1'!M14</f>
        <v>0.58507381560242655</v>
      </c>
      <c r="N48" s="498">
        <f>'GS(T)-1'!N14</f>
        <v>0.59113887076362504</v>
      </c>
      <c r="O48" s="284"/>
      <c r="P48" s="284"/>
      <c r="Q48" s="284"/>
      <c r="R48" s="255"/>
    </row>
    <row r="49" spans="1:21">
      <c r="A49" s="253" t="str">
        <f>B42&amp;" "&amp;B49</f>
        <v>GS(T)-1 NCP - L.F.</v>
      </c>
      <c r="B49" s="254" t="s">
        <v>1199</v>
      </c>
      <c r="C49" s="498">
        <f>'GS(T)-1'!C15</f>
        <v>0.30197247816223094</v>
      </c>
      <c r="D49" s="498">
        <f>'GS(T)-1'!D15</f>
        <v>0.31603143133335759</v>
      </c>
      <c r="E49" s="498">
        <f>'GS(T)-1'!E15</f>
        <v>0.31859129055779617</v>
      </c>
      <c r="F49" s="498">
        <f>'GS(T)-1'!F15</f>
        <v>0.33965678982676434</v>
      </c>
      <c r="G49" s="498">
        <f>'GS(T)-1'!G15</f>
        <v>0.3522709780334578</v>
      </c>
      <c r="H49" s="498">
        <f>'GS(T)-1'!H15</f>
        <v>0.35707947272182489</v>
      </c>
      <c r="I49" s="498">
        <f>'GS(T)-1'!I15</f>
        <v>0.37029619246958223</v>
      </c>
      <c r="J49" s="498">
        <f>'GS(T)-1'!J15</f>
        <v>0.37558233763981702</v>
      </c>
      <c r="K49" s="498">
        <f>'GS(T)-1'!K15</f>
        <v>0.3595686826050416</v>
      </c>
      <c r="L49" s="498">
        <f>'GS(T)-1'!L15</f>
        <v>0.34640057507304778</v>
      </c>
      <c r="M49" s="498">
        <f>'GS(T)-1'!M15</f>
        <v>0.3152240586741285</v>
      </c>
      <c r="N49" s="498">
        <f>'GS(T)-1'!N15</f>
        <v>0.31136529123819584</v>
      </c>
      <c r="O49" s="284"/>
      <c r="P49" s="284"/>
      <c r="Q49" s="284"/>
      <c r="R49" s="255"/>
    </row>
    <row r="50" spans="1:21">
      <c r="B50" s="254" t="s">
        <v>570</v>
      </c>
      <c r="C50" s="285" t="str">
        <f t="shared" ref="C50:N50" si="3">IF(C46&gt;C45,"ERROR",IF(C45&gt;C44,"ERROR","OK"))</f>
        <v>OK</v>
      </c>
      <c r="D50" s="285" t="str">
        <f t="shared" si="3"/>
        <v>OK</v>
      </c>
      <c r="E50" s="285" t="str">
        <f t="shared" si="3"/>
        <v>OK</v>
      </c>
      <c r="F50" s="285" t="str">
        <f t="shared" si="3"/>
        <v>OK</v>
      </c>
      <c r="G50" s="285" t="str">
        <f t="shared" si="3"/>
        <v>OK</v>
      </c>
      <c r="H50" s="285" t="str">
        <f t="shared" si="3"/>
        <v>OK</v>
      </c>
      <c r="I50" s="285" t="str">
        <f t="shared" si="3"/>
        <v>OK</v>
      </c>
      <c r="J50" s="285" t="str">
        <f t="shared" si="3"/>
        <v>OK</v>
      </c>
      <c r="K50" s="285" t="str">
        <f t="shared" si="3"/>
        <v>OK</v>
      </c>
      <c r="L50" s="285" t="str">
        <f t="shared" si="3"/>
        <v>OK</v>
      </c>
      <c r="M50" s="285" t="str">
        <f t="shared" si="3"/>
        <v>OK</v>
      </c>
      <c r="N50" s="285" t="str">
        <f t="shared" si="3"/>
        <v>OK</v>
      </c>
      <c r="O50" s="284"/>
      <c r="P50" s="284"/>
      <c r="Q50" s="284"/>
      <c r="R50" s="255"/>
    </row>
    <row r="51" spans="1:21">
      <c r="B51" s="259"/>
      <c r="C51" s="284"/>
      <c r="D51" s="284"/>
      <c r="E51" s="284"/>
      <c r="F51" s="284"/>
      <c r="G51" s="284"/>
      <c r="H51" s="284"/>
      <c r="I51" s="284"/>
      <c r="J51" s="284"/>
      <c r="K51" s="284"/>
      <c r="L51" s="284"/>
      <c r="M51" s="284"/>
      <c r="N51" s="284"/>
      <c r="O51" s="284"/>
      <c r="P51" s="284"/>
      <c r="Q51" s="284"/>
      <c r="R51" s="282"/>
    </row>
    <row r="52" spans="1:21">
      <c r="B52" s="252" t="s">
        <v>325</v>
      </c>
      <c r="C52" s="284"/>
      <c r="D52" s="284"/>
      <c r="E52" s="284"/>
      <c r="F52" s="284"/>
      <c r="G52" s="284"/>
      <c r="H52" s="284"/>
      <c r="I52" s="284"/>
      <c r="J52" s="284"/>
      <c r="K52" s="284"/>
      <c r="L52" s="284"/>
      <c r="M52" s="284"/>
      <c r="N52" s="284"/>
      <c r="O52" s="284"/>
      <c r="P52" s="284"/>
      <c r="Q52" s="284"/>
      <c r="R52" s="282"/>
    </row>
    <row r="53" spans="1:21">
      <c r="A53" s="253" t="str">
        <f>B52&amp;" "&amp;B53</f>
        <v>GSCU-1 KWH Sales</v>
      </c>
      <c r="B53" s="254" t="s">
        <v>563</v>
      </c>
      <c r="C53" s="284">
        <f>+'KWH FCST'!B$62</f>
        <v>5819546</v>
      </c>
      <c r="D53" s="284">
        <f>+'KWH FCST'!C$62</f>
        <v>5825464</v>
      </c>
      <c r="E53" s="284">
        <f>+'KWH FCST'!D$62</f>
        <v>5831382</v>
      </c>
      <c r="F53" s="284">
        <f>+'KWH FCST'!E$62</f>
        <v>5837838</v>
      </c>
      <c r="G53" s="284">
        <f>+'KWH FCST'!F$62</f>
        <v>5844294</v>
      </c>
      <c r="H53" s="284">
        <f>+'KWH FCST'!G$62</f>
        <v>5850750</v>
      </c>
      <c r="I53" s="284">
        <f>+'KWH FCST'!H$62</f>
        <v>5857206</v>
      </c>
      <c r="J53" s="284">
        <f>+'KWH FCST'!I$62</f>
        <v>5863124</v>
      </c>
      <c r="K53" s="284">
        <f>+'KWH FCST'!J$62</f>
        <v>5869580</v>
      </c>
      <c r="L53" s="284">
        <f>+'KWH FCST'!K$62</f>
        <v>5875498</v>
      </c>
      <c r="M53" s="284">
        <f>+'KWH FCST'!L$62</f>
        <v>5880878</v>
      </c>
      <c r="N53" s="284">
        <f>+'KWH FCST'!M$62</f>
        <v>5886258</v>
      </c>
      <c r="O53" s="284">
        <f>SUM(C53:N53)</f>
        <v>70241818</v>
      </c>
      <c r="P53" s="284"/>
      <c r="Q53" s="284"/>
      <c r="R53" s="282"/>
      <c r="T53" s="255">
        <f>VLOOKUP(B52,'Sales Forecast'!$B$7:$AO$23,39,FALSE)</f>
        <v>70241818</v>
      </c>
      <c r="U53" s="255">
        <f>+O53-T53</f>
        <v>0</v>
      </c>
    </row>
    <row r="54" spans="1:21">
      <c r="A54" s="253" t="str">
        <f>B52&amp;" "&amp;B54</f>
        <v>GSCU-1 NCP</v>
      </c>
      <c r="B54" s="254" t="s">
        <v>133</v>
      </c>
      <c r="C54" s="284">
        <f>+'NCP FCST'!B$61</f>
        <v>8482.9147301161938</v>
      </c>
      <c r="D54" s="284">
        <f>+'NCP FCST'!C$61</f>
        <v>9279.4352414971563</v>
      </c>
      <c r="E54" s="284">
        <f>+'NCP FCST'!D$61</f>
        <v>8787.0483368337991</v>
      </c>
      <c r="F54" s="284">
        <f>+'NCP FCST'!E$61</f>
        <v>8581.8291807112746</v>
      </c>
      <c r="G54" s="284">
        <f>+'NCP FCST'!F$61</f>
        <v>8682.739079162664</v>
      </c>
      <c r="H54" s="284">
        <f>+'NCP FCST'!G$61</f>
        <v>8891.5780724903289</v>
      </c>
      <c r="I54" s="284">
        <f>+'NCP FCST'!H$61</f>
        <v>8404.21576573938</v>
      </c>
      <c r="J54" s="284">
        <f>+'NCP FCST'!I$61</f>
        <v>8683.4211337929682</v>
      </c>
      <c r="K54" s="284">
        <f>+'NCP FCST'!J$61</f>
        <v>8848.504082864285</v>
      </c>
      <c r="L54" s="284">
        <f>+'NCP FCST'!K$61</f>
        <v>8834.4939765813415</v>
      </c>
      <c r="M54" s="284">
        <f>+'NCP FCST'!L$61</f>
        <v>8720.9585018409671</v>
      </c>
      <c r="N54" s="284">
        <f>+'NCP FCST'!M$61</f>
        <v>8768.8984318386229</v>
      </c>
      <c r="O54" s="284"/>
      <c r="P54" s="284">
        <f>MAX(C54:N54)</f>
        <v>9279.4352414971563</v>
      </c>
      <c r="Q54" s="284"/>
      <c r="R54" s="282"/>
      <c r="T54" s="255">
        <f>+'NCP FCST'!O$61</f>
        <v>9279.4352414971563</v>
      </c>
      <c r="U54" s="255">
        <f>P54-T54</f>
        <v>0</v>
      </c>
    </row>
    <row r="55" spans="1:21">
      <c r="A55" s="253" t="str">
        <f>B52&amp;" "&amp;B55</f>
        <v>GSCU-1 GNCP</v>
      </c>
      <c r="B55" s="254" t="s">
        <v>342</v>
      </c>
      <c r="C55" s="284">
        <f>+'GNCP FCST'!B$61</f>
        <v>8352.0499438606785</v>
      </c>
      <c r="D55" s="284">
        <f>+'GNCP FCST'!C$61</f>
        <v>8881.3220129599667</v>
      </c>
      <c r="E55" s="284">
        <f>+'GNCP FCST'!D$61</f>
        <v>8787.0483368337991</v>
      </c>
      <c r="F55" s="284">
        <f>+'GNCP FCST'!E$61</f>
        <v>8526.2688225451529</v>
      </c>
      <c r="G55" s="284">
        <f>+'GNCP FCST'!F$61</f>
        <v>8682.739079162664</v>
      </c>
      <c r="H55" s="284">
        <f>+'GNCP FCST'!G$61</f>
        <v>8577.4234656477165</v>
      </c>
      <c r="I55" s="284">
        <f>+'GNCP FCST'!H$61</f>
        <v>8404.21576573938</v>
      </c>
      <c r="J55" s="284">
        <f>+'GNCP FCST'!I$61</f>
        <v>8683.4211337929682</v>
      </c>
      <c r="K55" s="284">
        <f>+'GNCP FCST'!J$61</f>
        <v>8272.1285186423611</v>
      </c>
      <c r="L55" s="284">
        <f>+'GNCP FCST'!K$61</f>
        <v>8091.9164223082653</v>
      </c>
      <c r="M55" s="284">
        <f>+'GNCP FCST'!L$61</f>
        <v>8315.4784966452517</v>
      </c>
      <c r="N55" s="284">
        <f>+'GNCP FCST'!M$61</f>
        <v>8250.925396060351</v>
      </c>
      <c r="O55" s="284"/>
      <c r="Q55" s="284">
        <f>MAX(C55:N55)</f>
        <v>8881.3220129599667</v>
      </c>
      <c r="R55" s="282"/>
      <c r="T55" s="255">
        <f>+'GNCP FCST'!O$61</f>
        <v>8881.3220129599667</v>
      </c>
      <c r="U55" s="255">
        <f>+Q55-T55</f>
        <v>0</v>
      </c>
    </row>
    <row r="56" spans="1:21">
      <c r="A56" s="253" t="str">
        <f>B52&amp;" "&amp;B56</f>
        <v>GSCU-1 CP</v>
      </c>
      <c r="B56" s="254" t="s">
        <v>148</v>
      </c>
      <c r="C56" s="284">
        <f>+'CP FCST'!B$61</f>
        <v>8352.0499438606785</v>
      </c>
      <c r="D56" s="284">
        <f>+'CP FCST'!C$61</f>
        <v>8881.3220129599667</v>
      </c>
      <c r="E56" s="284">
        <f>+'CP FCST'!D$61</f>
        <v>8787.0483368337991</v>
      </c>
      <c r="F56" s="284">
        <f>+'CP FCST'!E$61</f>
        <v>8526.2688225451529</v>
      </c>
      <c r="G56" s="284">
        <f>+'CP FCST'!F$61</f>
        <v>8682.739079162664</v>
      </c>
      <c r="H56" s="284">
        <f>+'CP FCST'!G$61</f>
        <v>8577.4234656477165</v>
      </c>
      <c r="I56" s="284">
        <f>+'CP FCST'!H$61</f>
        <v>8404.21576573938</v>
      </c>
      <c r="J56" s="284">
        <f>+'CP FCST'!I$61</f>
        <v>8683.4211337929682</v>
      </c>
      <c r="K56" s="284">
        <f>+'CP FCST'!J$61</f>
        <v>8272.1285186423611</v>
      </c>
      <c r="L56" s="284">
        <f>+'CP FCST'!K$61</f>
        <v>8091.9164223082653</v>
      </c>
      <c r="M56" s="284">
        <f>+'CP FCST'!L$61</f>
        <v>8075.4296004775097</v>
      </c>
      <c r="N56" s="284">
        <f>+'CP FCST'!M$61</f>
        <v>8162.2486779021019</v>
      </c>
      <c r="O56" s="284"/>
      <c r="P56" s="284"/>
      <c r="Q56" s="284"/>
      <c r="R56" s="255">
        <f>AVERAGE(C56:N56)</f>
        <v>8458.0176483227133</v>
      </c>
      <c r="T56" s="255">
        <f>+'CP FCST'!O$61</f>
        <v>8458.0176483227133</v>
      </c>
      <c r="U56" s="255">
        <f>R56-T56</f>
        <v>0</v>
      </c>
    </row>
    <row r="57" spans="1:21">
      <c r="A57" s="253" t="str">
        <f>B52&amp;" "&amp;B57</f>
        <v>GSCU-1 CP - L.F.</v>
      </c>
      <c r="B57" s="254" t="s">
        <v>1197</v>
      </c>
      <c r="C57" s="498">
        <f>'GSCU-1'!C13</f>
        <v>1.0227806400828405</v>
      </c>
      <c r="D57" s="498">
        <f>'GSCU-1'!D13</f>
        <v>0.98279752228263928</v>
      </c>
      <c r="E57" s="498">
        <f>'GSCU-1'!E13</f>
        <v>0.99805174032026156</v>
      </c>
      <c r="F57" s="498">
        <f>'GSCU-1'!F13</f>
        <v>1.0270947148732428</v>
      </c>
      <c r="G57" s="498">
        <f>'GSCU-1'!G13</f>
        <v>0.99537920242839062</v>
      </c>
      <c r="H57" s="498">
        <f>'GSCU-1'!H13</f>
        <v>0.99621237738629353</v>
      </c>
      <c r="I57" s="498">
        <f>'GSCU-1'!I13</f>
        <v>0.99658630856474006</v>
      </c>
      <c r="J57" s="498">
        <f>'GSCU-1'!J13</f>
        <v>0.99586196234417845</v>
      </c>
      <c r="K57" s="498">
        <f>'GSCU-1'!K13</f>
        <v>0.99473689520778574</v>
      </c>
      <c r="L57" s="498">
        <f>'GSCU-1'!L13</f>
        <v>0.99536327544714798</v>
      </c>
      <c r="M57" s="498">
        <f>'GSCU-1'!M13</f>
        <v>0.99047493699362332</v>
      </c>
      <c r="N57" s="498">
        <f>'GSCU-1'!N13</f>
        <v>0.99451200726639599</v>
      </c>
      <c r="O57" s="284"/>
      <c r="P57" s="284"/>
      <c r="Q57" s="284"/>
      <c r="R57" s="255"/>
    </row>
    <row r="58" spans="1:21">
      <c r="A58" s="253" t="str">
        <f>B52&amp;" "&amp;B58</f>
        <v>GSCU-1 GCP - L.F.</v>
      </c>
      <c r="B58" s="254" t="s">
        <v>1198</v>
      </c>
      <c r="C58" s="498">
        <f>'GSCU-1'!C14</f>
        <v>0.9771373726472391</v>
      </c>
      <c r="D58" s="498">
        <f>'GSCU-1'!D14</f>
        <v>0.97742794224229257</v>
      </c>
      <c r="E58" s="498">
        <f>'GSCU-1'!E14</f>
        <v>0.98185769061461581</v>
      </c>
      <c r="F58" s="498">
        <f>'GSCU-1'!F14</f>
        <v>0.9850700576945719</v>
      </c>
      <c r="G58" s="498">
        <f>'GSCU-1'!G14</f>
        <v>0.98774949179237459</v>
      </c>
      <c r="H58" s="498">
        <f>'GSCU-1'!H14</f>
        <v>0.97488909066451435</v>
      </c>
      <c r="I58" s="498">
        <f>'GSCU-1'!I14</f>
        <v>0.98461835746519277</v>
      </c>
      <c r="J58" s="498">
        <f>'GSCU-1'!J14</f>
        <v>0.97840437277107661</v>
      </c>
      <c r="K58" s="498">
        <f>'GSCU-1'!K14</f>
        <v>0.9861404035208049</v>
      </c>
      <c r="L58" s="498">
        <f>'GSCU-1'!L14</f>
        <v>0.97947047117194985</v>
      </c>
      <c r="M58" s="498">
        <f>'GSCU-1'!M14</f>
        <v>0.98225088482957601</v>
      </c>
      <c r="N58" s="498">
        <f>'GSCU-1'!N14</f>
        <v>0.95887875807868039</v>
      </c>
      <c r="O58" s="284"/>
      <c r="P58" s="284"/>
      <c r="Q58" s="284"/>
      <c r="R58" s="255"/>
    </row>
    <row r="59" spans="1:21">
      <c r="A59" s="253" t="str">
        <f>B52&amp;" "&amp;B59</f>
        <v>GSCU-1 NCP - L.F.</v>
      </c>
      <c r="B59" s="254" t="s">
        <v>1199</v>
      </c>
      <c r="C59" s="498">
        <f>'GSCU-1'!C15</f>
        <v>0.92208523590810465</v>
      </c>
      <c r="D59" s="498">
        <f>'GSCU-1'!D15</f>
        <v>0.93419965897586188</v>
      </c>
      <c r="E59" s="498">
        <f>'GSCU-1'!E15</f>
        <v>0.93790090220021471</v>
      </c>
      <c r="F59" s="498">
        <f>'GSCU-1'!F15</f>
        <v>0.9447995482778091</v>
      </c>
      <c r="G59" s="498">
        <f>'GSCU-1'!G15</f>
        <v>0.95630964537574581</v>
      </c>
      <c r="H59" s="498">
        <f>'GSCU-1'!H15</f>
        <v>0.91390320148094328</v>
      </c>
      <c r="I59" s="498">
        <f>'GSCU-1'!I15</f>
        <v>0.94325246280130803</v>
      </c>
      <c r="J59" s="498">
        <f>'GSCU-1'!J15</f>
        <v>0.91078565385639754</v>
      </c>
      <c r="K59" s="498">
        <f>'GSCU-1'!K15</f>
        <v>0.92130764342774163</v>
      </c>
      <c r="L59" s="498">
        <f>'GSCU-1'!L15</f>
        <v>0.89390232786583923</v>
      </c>
      <c r="M59" s="498">
        <f>'GSCU-1'!M15</f>
        <v>0.93658123810437766</v>
      </c>
      <c r="N59" s="498">
        <f>'GSCU-1'!N15</f>
        <v>0.90223842347724825</v>
      </c>
      <c r="O59" s="284"/>
      <c r="P59" s="284"/>
      <c r="Q59" s="284"/>
      <c r="R59" s="255"/>
    </row>
    <row r="60" spans="1:21">
      <c r="B60" s="254" t="s">
        <v>570</v>
      </c>
      <c r="C60" s="285" t="str">
        <f t="shared" ref="C60:N60" si="4">IF(C56&gt;C55,"ERROR",IF(C55&gt;C54,"ERROR","OK"))</f>
        <v>OK</v>
      </c>
      <c r="D60" s="285" t="str">
        <f t="shared" si="4"/>
        <v>OK</v>
      </c>
      <c r="E60" s="285" t="str">
        <f t="shared" si="4"/>
        <v>OK</v>
      </c>
      <c r="F60" s="285" t="str">
        <f t="shared" si="4"/>
        <v>OK</v>
      </c>
      <c r="G60" s="285" t="str">
        <f t="shared" si="4"/>
        <v>OK</v>
      </c>
      <c r="H60" s="285" t="str">
        <f t="shared" si="4"/>
        <v>OK</v>
      </c>
      <c r="I60" s="285" t="str">
        <f t="shared" si="4"/>
        <v>OK</v>
      </c>
      <c r="J60" s="285" t="str">
        <f t="shared" si="4"/>
        <v>OK</v>
      </c>
      <c r="K60" s="285" t="str">
        <f t="shared" si="4"/>
        <v>OK</v>
      </c>
      <c r="L60" s="285" t="str">
        <f t="shared" si="4"/>
        <v>OK</v>
      </c>
      <c r="M60" s="285" t="str">
        <f t="shared" si="4"/>
        <v>OK</v>
      </c>
      <c r="N60" s="285" t="str">
        <f t="shared" si="4"/>
        <v>OK</v>
      </c>
      <c r="O60" s="284"/>
      <c r="P60" s="284"/>
      <c r="Q60" s="284"/>
      <c r="R60" s="255"/>
    </row>
    <row r="61" spans="1:21">
      <c r="B61" s="259"/>
      <c r="C61" s="284"/>
      <c r="D61" s="284"/>
      <c r="E61" s="284"/>
      <c r="F61" s="284"/>
      <c r="G61" s="284"/>
      <c r="H61" s="284"/>
      <c r="I61" s="284"/>
      <c r="J61" s="284"/>
      <c r="K61" s="284"/>
      <c r="L61" s="284"/>
      <c r="M61" s="284"/>
      <c r="N61" s="284"/>
      <c r="O61" s="284"/>
      <c r="P61" s="284"/>
      <c r="Q61" s="284"/>
      <c r="R61" s="282"/>
    </row>
    <row r="62" spans="1:21">
      <c r="B62" s="252" t="s">
        <v>67</v>
      </c>
      <c r="C62" s="284"/>
      <c r="D62" s="284"/>
      <c r="E62" s="284"/>
      <c r="F62" s="284"/>
      <c r="G62" s="284"/>
      <c r="H62" s="284"/>
      <c r="I62" s="284"/>
      <c r="J62" s="284"/>
      <c r="K62" s="284"/>
      <c r="L62" s="284"/>
      <c r="M62" s="284"/>
      <c r="N62" s="284"/>
      <c r="O62" s="284"/>
      <c r="P62" s="284"/>
      <c r="Q62" s="284"/>
      <c r="R62" s="282"/>
    </row>
    <row r="63" spans="1:21">
      <c r="A63" s="253" t="str">
        <f>B62&amp;" "&amp;B63</f>
        <v>GSD(T)-1 KWH Sales</v>
      </c>
      <c r="B63" s="254" t="s">
        <v>563</v>
      </c>
      <c r="C63" s="284">
        <f>+'KWH FCST'!B$63</f>
        <v>2125027898</v>
      </c>
      <c r="D63" s="284">
        <f>+'KWH FCST'!C$63</f>
        <v>1868655365</v>
      </c>
      <c r="E63" s="284">
        <f>+'KWH FCST'!D$63</f>
        <v>1921617542</v>
      </c>
      <c r="F63" s="284">
        <f>+'KWH FCST'!E$63</f>
        <v>1978696349</v>
      </c>
      <c r="G63" s="284">
        <f>+'KWH FCST'!F$63</f>
        <v>2175878238</v>
      </c>
      <c r="H63" s="284">
        <f>+'KWH FCST'!G$63</f>
        <v>2293502526</v>
      </c>
      <c r="I63" s="284">
        <f>+'KWH FCST'!H$63</f>
        <v>2382585585</v>
      </c>
      <c r="J63" s="284">
        <f>+'KWH FCST'!I$63</f>
        <v>2376881395</v>
      </c>
      <c r="K63" s="284">
        <f>+'KWH FCST'!J$63</f>
        <v>2357807650</v>
      </c>
      <c r="L63" s="284">
        <f>+'KWH FCST'!K$63</f>
        <v>2225515867</v>
      </c>
      <c r="M63" s="284">
        <f>+'KWH FCST'!L$63</f>
        <v>2047495255</v>
      </c>
      <c r="N63" s="284">
        <f>+'KWH FCST'!M$63</f>
        <v>2071765114</v>
      </c>
      <c r="O63" s="284">
        <f>SUM(C63:N63)</f>
        <v>25825428784</v>
      </c>
      <c r="P63" s="284"/>
      <c r="Q63" s="284"/>
      <c r="R63" s="282"/>
      <c r="T63" s="255">
        <f>VLOOKUP(B62,'Sales Forecast'!$B$7:$AO$23,39,FALSE)</f>
        <v>25825428784</v>
      </c>
      <c r="U63" s="255">
        <f>+O63-T63</f>
        <v>0</v>
      </c>
    </row>
    <row r="64" spans="1:21">
      <c r="A64" s="253" t="str">
        <f>B62&amp;" "&amp;B64</f>
        <v>GSD(T)-1 NCP</v>
      </c>
      <c r="B64" s="254" t="s">
        <v>133</v>
      </c>
      <c r="C64" s="284">
        <f>+'NCP FCST'!B$62</f>
        <v>6047828.5659530647</v>
      </c>
      <c r="D64" s="284">
        <f>+'NCP FCST'!C$62</f>
        <v>5809093.5543667004</v>
      </c>
      <c r="E64" s="284">
        <f>+'NCP FCST'!D$62</f>
        <v>5410039.2042280966</v>
      </c>
      <c r="F64" s="284">
        <f>+'NCP FCST'!E$62</f>
        <v>5563624.4375873804</v>
      </c>
      <c r="G64" s="284">
        <f>+'NCP FCST'!F$62</f>
        <v>5738762.9851899119</v>
      </c>
      <c r="H64" s="284">
        <f>+'NCP FCST'!G$62</f>
        <v>6121520.9779870743</v>
      </c>
      <c r="I64" s="284">
        <f>+'NCP FCST'!H$62</f>
        <v>6011736.3191369297</v>
      </c>
      <c r="J64" s="284">
        <f>+'NCP FCST'!I$62</f>
        <v>5974400.8057077946</v>
      </c>
      <c r="K64" s="284">
        <f>+'NCP FCST'!J$62</f>
        <v>6244346.132533839</v>
      </c>
      <c r="L64" s="284">
        <f>+'NCP FCST'!K$62</f>
        <v>5924812.1289751818</v>
      </c>
      <c r="M64" s="284">
        <f>+'NCP FCST'!L$62</f>
        <v>5935624.1522393478</v>
      </c>
      <c r="N64" s="284">
        <f>+'NCP FCST'!M$62</f>
        <v>5756206.6721373517</v>
      </c>
      <c r="O64" s="284"/>
      <c r="P64" s="284">
        <f>MAX(C64:N64)</f>
        <v>6244346.132533839</v>
      </c>
      <c r="Q64" s="284"/>
      <c r="R64" s="282"/>
      <c r="T64" s="255">
        <f>+'NCP FCST'!O$62</f>
        <v>6244346.132533839</v>
      </c>
      <c r="U64" s="255">
        <f>P64-T64</f>
        <v>0</v>
      </c>
    </row>
    <row r="65" spans="1:21">
      <c r="A65" s="253" t="str">
        <f>B62&amp;" "&amp;B65</f>
        <v>GSD(T)-1 GNCP</v>
      </c>
      <c r="B65" s="254" t="s">
        <v>342</v>
      </c>
      <c r="C65" s="284">
        <f>+'GNCP FCST'!B$62</f>
        <v>4162991.6159461164</v>
      </c>
      <c r="D65" s="284">
        <f>+'GNCP FCST'!C$62</f>
        <v>4054188.2313848315</v>
      </c>
      <c r="E65" s="284">
        <f>+'GNCP FCST'!D$62</f>
        <v>3732874.5601373231</v>
      </c>
      <c r="F65" s="284">
        <f>+'GNCP FCST'!E$62</f>
        <v>4062639.4880217826</v>
      </c>
      <c r="G65" s="284">
        <f>+'GNCP FCST'!F$62</f>
        <v>4317220.3999030599</v>
      </c>
      <c r="H65" s="284">
        <f>+'GNCP FCST'!G$62</f>
        <v>4548061.1015355242</v>
      </c>
      <c r="I65" s="284">
        <f>+'GNCP FCST'!H$62</f>
        <v>4580720.2179859588</v>
      </c>
      <c r="J65" s="284">
        <f>+'GNCP FCST'!I$62</f>
        <v>4583823.9927705741</v>
      </c>
      <c r="K65" s="284">
        <f>+'GNCP FCST'!J$62</f>
        <v>4684415.5198050505</v>
      </c>
      <c r="L65" s="284">
        <f>+'GNCP FCST'!K$62</f>
        <v>4378315.5982081927</v>
      </c>
      <c r="M65" s="284">
        <f>+'GNCP FCST'!L$62</f>
        <v>4238799.9346630806</v>
      </c>
      <c r="N65" s="284">
        <f>+'GNCP FCST'!M$62</f>
        <v>4101395.1772440812</v>
      </c>
      <c r="O65" s="284"/>
      <c r="Q65" s="284">
        <f>MAX(C65:N65)</f>
        <v>4684415.5198050505</v>
      </c>
      <c r="R65" s="282"/>
      <c r="T65" s="255">
        <f>+'GNCP FCST'!O$62</f>
        <v>4684415.5198050505</v>
      </c>
      <c r="U65" s="255">
        <f>+Q65-T65</f>
        <v>0</v>
      </c>
    </row>
    <row r="66" spans="1:21">
      <c r="A66" s="253" t="str">
        <f>B62&amp;" "&amp;B66</f>
        <v>GSD(T)-1 CP</v>
      </c>
      <c r="B66" s="254" t="s">
        <v>148</v>
      </c>
      <c r="C66" s="284">
        <f>+'CP FCST'!B$62</f>
        <v>3364719.4257909395</v>
      </c>
      <c r="D66" s="284">
        <f>+'CP FCST'!C$62</f>
        <v>3961309.4661161024</v>
      </c>
      <c r="E66" s="284">
        <f>+'CP FCST'!D$62</f>
        <v>3275109.4076653617</v>
      </c>
      <c r="F66" s="284">
        <f>+'CP FCST'!E$62</f>
        <v>3986241.5397746819</v>
      </c>
      <c r="G66" s="284">
        <f>+'CP FCST'!F$62</f>
        <v>4317220.3999030599</v>
      </c>
      <c r="H66" s="284">
        <f>+'CP FCST'!G$62</f>
        <v>4536044.4577455465</v>
      </c>
      <c r="I66" s="284">
        <f>+'CP FCST'!H$62</f>
        <v>4580720.2179859588</v>
      </c>
      <c r="J66" s="284">
        <f>+'CP FCST'!I$62</f>
        <v>4583823.9927705741</v>
      </c>
      <c r="K66" s="284">
        <f>+'CP FCST'!J$62</f>
        <v>4299307.7008263785</v>
      </c>
      <c r="L66" s="284">
        <f>+'CP FCST'!K$62</f>
        <v>4213048.7621833598</v>
      </c>
      <c r="M66" s="284">
        <f>+'CP FCST'!L$62</f>
        <v>3951865.6764787845</v>
      </c>
      <c r="N66" s="284">
        <f>+'CP FCST'!M$62</f>
        <v>3721863.1454595318</v>
      </c>
      <c r="O66" s="284"/>
      <c r="P66" s="284"/>
      <c r="Q66" s="284"/>
      <c r="R66" s="255">
        <f>AVERAGE(C66:N66)</f>
        <v>4065939.516058357</v>
      </c>
      <c r="T66" s="255">
        <f>+'CP FCST'!O$62</f>
        <v>4065939.516058357</v>
      </c>
      <c r="U66" s="255">
        <f>R66-T66</f>
        <v>0</v>
      </c>
    </row>
    <row r="67" spans="1:21">
      <c r="A67" s="253" t="str">
        <f>B62&amp;" "&amp;B67</f>
        <v>GSD(T)-1 CP - L.F.</v>
      </c>
      <c r="B67" s="254" t="s">
        <v>1197</v>
      </c>
      <c r="C67" s="498">
        <f>'GSD(T)-1'!C13</f>
        <v>0.92704825367568922</v>
      </c>
      <c r="D67" s="498">
        <f>'GSD(T)-1'!D13</f>
        <v>0.70680822384704611</v>
      </c>
      <c r="E67" s="498">
        <f>'GSD(T)-1'!E13</f>
        <v>0.88240066597326416</v>
      </c>
      <c r="F67" s="498">
        <f>'GSD(T)-1'!F13</f>
        <v>0.74461724831386777</v>
      </c>
      <c r="G67" s="498">
        <f>'GSD(T)-1'!G13</f>
        <v>0.74532161427134636</v>
      </c>
      <c r="H67" s="498">
        <f>'GSD(T)-1'!H13</f>
        <v>0.73844679956563519</v>
      </c>
      <c r="I67" s="498">
        <f>'GSD(T)-1'!I13</f>
        <v>0.74376615903289189</v>
      </c>
      <c r="J67" s="498">
        <f>'GSD(T)-1'!J13</f>
        <v>0.76478717263142471</v>
      </c>
      <c r="K67" s="498">
        <f>'GSD(T)-1'!K13</f>
        <v>0.76882646831457946</v>
      </c>
      <c r="L67" s="498">
        <f>'GSD(T)-1'!L13</f>
        <v>0.72414001631166602</v>
      </c>
      <c r="M67" s="498">
        <f>'GSD(T)-1'!M13</f>
        <v>0.70467305348257236</v>
      </c>
      <c r="N67" s="498">
        <f>'GSD(T)-1'!N13</f>
        <v>0.76764548608558869</v>
      </c>
      <c r="O67" s="284"/>
      <c r="P67" s="284"/>
      <c r="Q67" s="284"/>
      <c r="R67" s="255"/>
    </row>
    <row r="68" spans="1:21">
      <c r="A68" s="253" t="str">
        <f>B62&amp;" "&amp;B68</f>
        <v>GSD(T)-1 GCP - L.F.</v>
      </c>
      <c r="B68" s="254" t="s">
        <v>1198</v>
      </c>
      <c r="C68" s="498">
        <f>'GSD(T)-1'!C14</f>
        <v>0.68609801712550988</v>
      </c>
      <c r="D68" s="498">
        <f>'GSD(T)-1'!D14</f>
        <v>0.68589246270585058</v>
      </c>
      <c r="E68" s="498">
        <f>'GSD(T)-1'!E14</f>
        <v>0.69191161804984547</v>
      </c>
      <c r="F68" s="498">
        <f>'GSD(T)-1'!F14</f>
        <v>0.67645415787293606</v>
      </c>
      <c r="G68" s="498">
        <f>'GSD(T)-1'!G14</f>
        <v>0.69195357146534631</v>
      </c>
      <c r="H68" s="498">
        <f>'GSD(T)-1'!H14</f>
        <v>0.7003908047595343</v>
      </c>
      <c r="I68" s="498">
        <f>'GSD(T)-1'!I14</f>
        <v>0.70797275344401922</v>
      </c>
      <c r="J68" s="498">
        <f>'GSD(T)-1'!J14</f>
        <v>0.70983557238212802</v>
      </c>
      <c r="K68" s="498">
        <f>'GSD(T)-1'!K14</f>
        <v>0.69906967761017613</v>
      </c>
      <c r="L68" s="498">
        <f>'GSD(T)-1'!L14</f>
        <v>0.68320446536501134</v>
      </c>
      <c r="M68" s="498">
        <f>'GSD(T)-1'!M14</f>
        <v>0.67088408359812235</v>
      </c>
      <c r="N68" s="498">
        <f>'GSD(T)-1'!N14</f>
        <v>0.67894714096801956</v>
      </c>
      <c r="O68" s="284"/>
      <c r="P68" s="284"/>
      <c r="Q68" s="284"/>
      <c r="R68" s="255"/>
    </row>
    <row r="69" spans="1:21">
      <c r="A69" s="253" t="str">
        <f>B62&amp;" "&amp;B69</f>
        <v>GSD(T)-1 NCP - L.F.</v>
      </c>
      <c r="B69" s="254" t="s">
        <v>1199</v>
      </c>
      <c r="C69" s="498">
        <f>'GSD(T)-1'!C15</f>
        <v>0.47227203315420813</v>
      </c>
      <c r="D69" s="498">
        <f>'GSD(T)-1'!D15</f>
        <v>0.47868692839476418</v>
      </c>
      <c r="E69" s="498">
        <f>'GSD(T)-1'!E15</f>
        <v>0.47741230319794636</v>
      </c>
      <c r="F69" s="498">
        <f>'GSD(T)-1'!F15</f>
        <v>0.49395666519914144</v>
      </c>
      <c r="G69" s="498">
        <f>'GSD(T)-1'!G15</f>
        <v>0.50961636362069873</v>
      </c>
      <c r="H69" s="498">
        <f>'GSD(T)-1'!H15</f>
        <v>0.52036416871799307</v>
      </c>
      <c r="I69" s="498">
        <f>'GSD(T)-1'!I15</f>
        <v>0.53269135734457163</v>
      </c>
      <c r="J69" s="498">
        <f>'GSD(T)-1'!J15</f>
        <v>0.53473698228339983</v>
      </c>
      <c r="K69" s="498">
        <f>'GSD(T)-1'!K15</f>
        <v>0.52443166629736404</v>
      </c>
      <c r="L69" s="498">
        <f>'GSD(T)-1'!L15</f>
        <v>0.50487419724995108</v>
      </c>
      <c r="M69" s="498">
        <f>'GSD(T)-1'!M15</f>
        <v>0.47909762087098384</v>
      </c>
      <c r="N69" s="498">
        <f>'GSD(T)-1'!N15</f>
        <v>0.4837613880420184</v>
      </c>
      <c r="O69" s="284"/>
      <c r="P69" s="284"/>
      <c r="Q69" s="284"/>
      <c r="R69" s="255"/>
    </row>
    <row r="70" spans="1:21">
      <c r="B70" s="254" t="s">
        <v>570</v>
      </c>
      <c r="C70" s="285" t="str">
        <f t="shared" ref="C70:N70" si="5">IF(C66&gt;C65,"ERROR",IF(C65&gt;C64,"ERROR","OK"))</f>
        <v>OK</v>
      </c>
      <c r="D70" s="285" t="str">
        <f t="shared" si="5"/>
        <v>OK</v>
      </c>
      <c r="E70" s="285" t="str">
        <f t="shared" si="5"/>
        <v>OK</v>
      </c>
      <c r="F70" s="285" t="str">
        <f t="shared" si="5"/>
        <v>OK</v>
      </c>
      <c r="G70" s="285" t="str">
        <f t="shared" si="5"/>
        <v>OK</v>
      </c>
      <c r="H70" s="285" t="str">
        <f t="shared" si="5"/>
        <v>OK</v>
      </c>
      <c r="I70" s="285" t="str">
        <f t="shared" si="5"/>
        <v>OK</v>
      </c>
      <c r="J70" s="285" t="str">
        <f t="shared" si="5"/>
        <v>OK</v>
      </c>
      <c r="K70" s="285" t="str">
        <f t="shared" si="5"/>
        <v>OK</v>
      </c>
      <c r="L70" s="285" t="str">
        <f t="shared" si="5"/>
        <v>OK</v>
      </c>
      <c r="M70" s="285" t="str">
        <f t="shared" si="5"/>
        <v>OK</v>
      </c>
      <c r="N70" s="285" t="str">
        <f t="shared" si="5"/>
        <v>OK</v>
      </c>
      <c r="O70" s="284"/>
      <c r="P70" s="284"/>
      <c r="Q70" s="284"/>
      <c r="R70" s="255"/>
    </row>
    <row r="71" spans="1:21">
      <c r="B71" s="259"/>
      <c r="C71" s="284"/>
      <c r="D71" s="284"/>
      <c r="E71" s="284"/>
      <c r="F71" s="284"/>
      <c r="G71" s="284"/>
      <c r="H71" s="284"/>
      <c r="I71" s="284"/>
      <c r="J71" s="284"/>
      <c r="K71" s="284"/>
      <c r="L71" s="284"/>
      <c r="M71" s="284"/>
      <c r="N71" s="284"/>
      <c r="O71" s="284"/>
      <c r="P71" s="284"/>
      <c r="Q71" s="284"/>
      <c r="R71" s="282"/>
    </row>
    <row r="72" spans="1:21">
      <c r="B72" s="252" t="s">
        <v>68</v>
      </c>
      <c r="C72" s="284"/>
      <c r="D72" s="284"/>
      <c r="E72" s="284"/>
      <c r="F72" s="284"/>
      <c r="G72" s="284"/>
      <c r="H72" s="284"/>
      <c r="I72" s="284"/>
      <c r="J72" s="284"/>
      <c r="K72" s="284"/>
      <c r="L72" s="284"/>
      <c r="M72" s="284"/>
      <c r="N72" s="284"/>
      <c r="O72" s="284"/>
      <c r="P72" s="284"/>
      <c r="Q72" s="284"/>
      <c r="R72" s="282"/>
    </row>
    <row r="73" spans="1:21">
      <c r="A73" s="253" t="str">
        <f>B72&amp;" "&amp;B73</f>
        <v>GSLD(T)-1 KWH Sales</v>
      </c>
      <c r="B73" s="254" t="s">
        <v>563</v>
      </c>
      <c r="C73" s="284">
        <f>+'KWH FCST'!B$64</f>
        <v>869348955</v>
      </c>
      <c r="D73" s="284">
        <f>+'KWH FCST'!C$64</f>
        <v>781904160</v>
      </c>
      <c r="E73" s="284">
        <f>+'KWH FCST'!D$64</f>
        <v>799875142</v>
      </c>
      <c r="F73" s="284">
        <f>+'KWH FCST'!E$64</f>
        <v>813282613</v>
      </c>
      <c r="G73" s="284">
        <f>+'KWH FCST'!F$64</f>
        <v>891962736</v>
      </c>
      <c r="H73" s="284">
        <f>+'KWH FCST'!G$64</f>
        <v>918624369</v>
      </c>
      <c r="I73" s="284">
        <f>+'KWH FCST'!H$64</f>
        <v>934555629</v>
      </c>
      <c r="J73" s="284">
        <f>+'KWH FCST'!I$64</f>
        <v>941225770</v>
      </c>
      <c r="K73" s="284">
        <f>+'KWH FCST'!J$64</f>
        <v>945179485</v>
      </c>
      <c r="L73" s="284">
        <f>+'KWH FCST'!K$64</f>
        <v>910044506</v>
      </c>
      <c r="M73" s="284">
        <f>+'KWH FCST'!L$64</f>
        <v>839334767</v>
      </c>
      <c r="N73" s="284">
        <f>+'KWH FCST'!M$64</f>
        <v>862159574</v>
      </c>
      <c r="O73" s="284">
        <f>SUM(C73:N73)</f>
        <v>10507497706</v>
      </c>
      <c r="P73" s="284"/>
      <c r="Q73" s="284"/>
      <c r="R73" s="282"/>
      <c r="T73" s="255">
        <f>VLOOKUP(B72,'Sales Forecast'!$B$7:$AO$23,39,FALSE)</f>
        <v>10507497706</v>
      </c>
      <c r="U73" s="255">
        <f>+O73-T73</f>
        <v>0</v>
      </c>
    </row>
    <row r="74" spans="1:21">
      <c r="A74" s="253" t="str">
        <f>B72&amp;" "&amp;B74</f>
        <v>GSLD(T)-1 NCP</v>
      </c>
      <c r="B74" s="254" t="s">
        <v>133</v>
      </c>
      <c r="C74" s="284">
        <f>+'NCP FCST'!B$63</f>
        <v>2107551.3936853614</v>
      </c>
      <c r="D74" s="284">
        <f>+'NCP FCST'!C$63</f>
        <v>2067523.063458496</v>
      </c>
      <c r="E74" s="284">
        <f>+'NCP FCST'!D$63</f>
        <v>1954010.1463722526</v>
      </c>
      <c r="F74" s="284">
        <f>+'NCP FCST'!E$63</f>
        <v>1981357.4846518303</v>
      </c>
      <c r="G74" s="284">
        <f>+'NCP FCST'!F$63</f>
        <v>2094924.1740699273</v>
      </c>
      <c r="H74" s="284">
        <f>+'NCP FCST'!G$63</f>
        <v>2235802.3347024834</v>
      </c>
      <c r="I74" s="284">
        <f>+'NCP FCST'!H$63</f>
        <v>2111453.5208494668</v>
      </c>
      <c r="J74" s="284">
        <f>+'NCP FCST'!I$63</f>
        <v>2150047.1152855954</v>
      </c>
      <c r="K74" s="284">
        <f>+'NCP FCST'!J$63</f>
        <v>2269087.3066900261</v>
      </c>
      <c r="L74" s="284">
        <f>+'NCP FCST'!K$63</f>
        <v>2141850.8493044241</v>
      </c>
      <c r="M74" s="284">
        <f>+'NCP FCST'!L$63</f>
        <v>2121576.9280349398</v>
      </c>
      <c r="N74" s="284">
        <f>+'NCP FCST'!M$63</f>
        <v>2145573.065998822</v>
      </c>
      <c r="O74" s="284"/>
      <c r="P74" s="284">
        <f>MAX(C74:N74)</f>
        <v>2269087.3066900261</v>
      </c>
      <c r="Q74" s="284"/>
      <c r="R74" s="282"/>
      <c r="T74" s="255">
        <f>+'NCP FCST'!O$63</f>
        <v>2269087.3066900261</v>
      </c>
      <c r="U74" s="255">
        <f>P74-T74</f>
        <v>0</v>
      </c>
    </row>
    <row r="75" spans="1:21">
      <c r="A75" s="253" t="str">
        <f>B72&amp;" "&amp;B75</f>
        <v>GSLD(T)-1 GNCP</v>
      </c>
      <c r="B75" s="254" t="s">
        <v>342</v>
      </c>
      <c r="C75" s="284">
        <f>+'GNCP FCST'!B$63</f>
        <v>1764827.6494185436</v>
      </c>
      <c r="D75" s="284">
        <f>+'GNCP FCST'!C$63</f>
        <v>1760319.2765099823</v>
      </c>
      <c r="E75" s="284">
        <f>+'GNCP FCST'!D$63</f>
        <v>1635941.5589993983</v>
      </c>
      <c r="F75" s="284">
        <f>+'GNCP FCST'!E$63</f>
        <v>1678945.5904998013</v>
      </c>
      <c r="G75" s="284">
        <f>+'GNCP FCST'!F$63</f>
        <v>1757629.1396686677</v>
      </c>
      <c r="H75" s="284">
        <f>+'GNCP FCST'!G$63</f>
        <v>1822863.6509203871</v>
      </c>
      <c r="I75" s="284">
        <f>+'GNCP FCST'!H$63</f>
        <v>1745951.9220038231</v>
      </c>
      <c r="J75" s="284">
        <f>+'GNCP FCST'!I$63</f>
        <v>1830142.0544232647</v>
      </c>
      <c r="K75" s="284">
        <f>+'GNCP FCST'!J$63</f>
        <v>1927209.0425614775</v>
      </c>
      <c r="L75" s="284">
        <f>+'GNCP FCST'!K$63</f>
        <v>1827624.8141559793</v>
      </c>
      <c r="M75" s="284">
        <f>+'GNCP FCST'!L$63</f>
        <v>1826626.4907246556</v>
      </c>
      <c r="N75" s="284">
        <f>+'GNCP FCST'!M$63</f>
        <v>1848974.6928449143</v>
      </c>
      <c r="O75" s="284"/>
      <c r="Q75" s="284">
        <f>MAX(C75:N75)</f>
        <v>1927209.0425614775</v>
      </c>
      <c r="R75" s="282"/>
      <c r="T75" s="255">
        <f>+'GNCP FCST'!O$63</f>
        <v>1927209.0425614775</v>
      </c>
      <c r="U75" s="255">
        <f>+Q75-T75</f>
        <v>0</v>
      </c>
    </row>
    <row r="76" spans="1:21">
      <c r="A76" s="253" t="str">
        <f>B72&amp;" "&amp;B76</f>
        <v>GSLD(T)-1 CP</v>
      </c>
      <c r="B76" s="254" t="s">
        <v>148</v>
      </c>
      <c r="C76" s="284">
        <f>+'CP FCST'!B$63</f>
        <v>1450115.2703090464</v>
      </c>
      <c r="D76" s="284">
        <f>+'CP FCST'!C$63</f>
        <v>1687241.7255671695</v>
      </c>
      <c r="E76" s="284">
        <f>+'CP FCST'!D$63</f>
        <v>1411690.3401294961</v>
      </c>
      <c r="F76" s="284">
        <f>+'CP FCST'!E$63</f>
        <v>1630929.2496511149</v>
      </c>
      <c r="G76" s="284">
        <f>+'CP FCST'!F$63</f>
        <v>1725281.702437904</v>
      </c>
      <c r="H76" s="284">
        <f>+'CP FCST'!G$63</f>
        <v>1812707.4866920363</v>
      </c>
      <c r="I76" s="284">
        <f>+'CP FCST'!H$63</f>
        <v>1741961.5381444162</v>
      </c>
      <c r="J76" s="284">
        <f>+'CP FCST'!I$63</f>
        <v>1797589.45455448</v>
      </c>
      <c r="K76" s="284">
        <f>+'CP FCST'!J$63</f>
        <v>1626717.0502425006</v>
      </c>
      <c r="L76" s="284">
        <f>+'CP FCST'!K$63</f>
        <v>1733418.1780960683</v>
      </c>
      <c r="M76" s="284">
        <f>+'CP FCST'!L$63</f>
        <v>1589539.059413231</v>
      </c>
      <c r="N76" s="284">
        <f>+'CP FCST'!M$63</f>
        <v>1510533.215283229</v>
      </c>
      <c r="O76" s="284"/>
      <c r="P76" s="284"/>
      <c r="Q76" s="284"/>
      <c r="R76" s="255">
        <f>AVERAGE(C76:N76)</f>
        <v>1643143.689210058</v>
      </c>
      <c r="T76" s="255">
        <f>+'CP FCST'!O$63</f>
        <v>1643143.689210058</v>
      </c>
      <c r="U76" s="255">
        <f>R76-T76</f>
        <v>0</v>
      </c>
    </row>
    <row r="77" spans="1:21">
      <c r="A77" s="253" t="str">
        <f>B72&amp;" "&amp;B77</f>
        <v>GSLD(T)-1 CP - L.F.</v>
      </c>
      <c r="B77" s="254" t="s">
        <v>1197</v>
      </c>
      <c r="C77" s="498">
        <f>'GSLD(T)-1'!C13</f>
        <v>0.87999293792185507</v>
      </c>
      <c r="D77" s="498">
        <f>'GSLD(T)-1'!D13</f>
        <v>0.69436441012216643</v>
      </c>
      <c r="E77" s="498">
        <f>'GSLD(T)-1'!E13</f>
        <v>0.85213562814328414</v>
      </c>
      <c r="F77" s="498">
        <f>'GSLD(T)-1'!F13</f>
        <v>0.74803998000101291</v>
      </c>
      <c r="G77" s="498">
        <f>'GSLD(T)-1'!G13</f>
        <v>0.76454163472611447</v>
      </c>
      <c r="H77" s="498">
        <f>'GSLD(T)-1'!H13</f>
        <v>0.74013018555845556</v>
      </c>
      <c r="I77" s="498">
        <f>'GSLD(T)-1'!I13</f>
        <v>0.76716537089477388</v>
      </c>
      <c r="J77" s="498">
        <f>'GSLD(T)-1'!J13</f>
        <v>0.77226327827682761</v>
      </c>
      <c r="K77" s="498">
        <f>'GSLD(T)-1'!K13</f>
        <v>0.8145558414464813</v>
      </c>
      <c r="L77" s="498">
        <f>'GSLD(T)-1'!L13</f>
        <v>0.71969396190138801</v>
      </c>
      <c r="M77" s="498">
        <f>'GSLD(T)-1'!M13</f>
        <v>0.71817567034456387</v>
      </c>
      <c r="N77" s="498">
        <f>'GSLD(T)-1'!N13</f>
        <v>0.78711514008080818</v>
      </c>
      <c r="O77" s="284"/>
      <c r="P77" s="284"/>
      <c r="Q77" s="284"/>
      <c r="R77" s="255"/>
    </row>
    <row r="78" spans="1:21">
      <c r="A78" s="253" t="str">
        <f>B72&amp;" "&amp;B78</f>
        <v>GSLD(T)-1 GCP - L.F.</v>
      </c>
      <c r="B78" s="254" t="s">
        <v>1198</v>
      </c>
      <c r="C78" s="498">
        <f>'GSLD(T)-1'!C14</f>
        <v>0.66209285570224641</v>
      </c>
      <c r="D78" s="498">
        <f>'GSLD(T)-1'!D14</f>
        <v>0.66098682930389352</v>
      </c>
      <c r="E78" s="498">
        <f>'GSLD(T)-1'!E14</f>
        <v>0.6571756743984174</v>
      </c>
      <c r="F78" s="498">
        <f>'GSLD(T)-1'!F14</f>
        <v>0.67277891023613601</v>
      </c>
      <c r="G78" s="498">
        <f>'GSLD(T)-1'!G14</f>
        <v>0.68209761553412307</v>
      </c>
      <c r="H78" s="498">
        <f>'GSLD(T)-1'!H14</f>
        <v>0.69992463699765206</v>
      </c>
      <c r="I78" s="498">
        <f>'GSLD(T)-1'!I14</f>
        <v>0.71944888139669749</v>
      </c>
      <c r="J78" s="498">
        <f>'GSLD(T)-1'!J14</f>
        <v>0.69125147825549726</v>
      </c>
      <c r="K78" s="498">
        <f>'GSLD(T)-1'!K14</f>
        <v>0.68116600520794091</v>
      </c>
      <c r="L78" s="498">
        <f>'GSLD(T)-1'!L14</f>
        <v>0.66927199170648433</v>
      </c>
      <c r="M78" s="498">
        <f>'GSLD(T)-1'!M14</f>
        <v>0.63819436423588338</v>
      </c>
      <c r="N78" s="498">
        <f>'GSLD(T)-1'!N14</f>
        <v>0.62673471746518261</v>
      </c>
      <c r="O78" s="284"/>
      <c r="P78" s="284"/>
      <c r="Q78" s="284"/>
      <c r="R78" s="255"/>
    </row>
    <row r="79" spans="1:21">
      <c r="A79" s="253" t="str">
        <f>B72&amp;" "&amp;B79</f>
        <v>GSLD(T)-1 NCP - L.F.</v>
      </c>
      <c r="B79" s="254" t="s">
        <v>1199</v>
      </c>
      <c r="C79" s="498">
        <f>'GSLD(T)-1'!C15</f>
        <v>0.5544252831635812</v>
      </c>
      <c r="D79" s="498">
        <f>'GSLD(T)-1'!D15</f>
        <v>0.56277382231301742</v>
      </c>
      <c r="E79" s="498">
        <f>'GSLD(T)-1'!E15</f>
        <v>0.5502023616959324</v>
      </c>
      <c r="F79" s="498">
        <f>'GSLD(T)-1'!F15</f>
        <v>0.57009358153292133</v>
      </c>
      <c r="G79" s="498">
        <f>'GSLD(T)-1'!G15</f>
        <v>0.57227591337216233</v>
      </c>
      <c r="H79" s="498">
        <f>'GSLD(T)-1'!H15</f>
        <v>0.57065294161455704</v>
      </c>
      <c r="I79" s="498">
        <f>'GSLD(T)-1'!I15</f>
        <v>0.59490921531282814</v>
      </c>
      <c r="J79" s="498">
        <f>'GSLD(T)-1'!J15</f>
        <v>0.58840031529708603</v>
      </c>
      <c r="K79" s="498">
        <f>'GSLD(T)-1'!K15</f>
        <v>0.57853626030686423</v>
      </c>
      <c r="L79" s="498">
        <f>'GSLD(T)-1'!L15</f>
        <v>0.57108462984693742</v>
      </c>
      <c r="M79" s="498">
        <f>'GSLD(T)-1'!M15</f>
        <v>0.54946993273733702</v>
      </c>
      <c r="N79" s="498">
        <f>'GSLD(T)-1'!N15</f>
        <v>0.54009655978831461</v>
      </c>
      <c r="O79" s="284"/>
      <c r="P79" s="284"/>
      <c r="Q79" s="284"/>
      <c r="R79" s="255"/>
    </row>
    <row r="80" spans="1:21">
      <c r="B80" s="254" t="s">
        <v>570</v>
      </c>
      <c r="C80" s="285" t="str">
        <f t="shared" ref="C80:N80" si="6">IF(C76&gt;C75,"ERROR",IF(C75&gt;C74,"ERROR","OK"))</f>
        <v>OK</v>
      </c>
      <c r="D80" s="285" t="str">
        <f t="shared" si="6"/>
        <v>OK</v>
      </c>
      <c r="E80" s="285" t="str">
        <f t="shared" si="6"/>
        <v>OK</v>
      </c>
      <c r="F80" s="285" t="str">
        <f t="shared" si="6"/>
        <v>OK</v>
      </c>
      <c r="G80" s="285" t="str">
        <f t="shared" si="6"/>
        <v>OK</v>
      </c>
      <c r="H80" s="285" t="str">
        <f t="shared" si="6"/>
        <v>OK</v>
      </c>
      <c r="I80" s="285" t="str">
        <f t="shared" si="6"/>
        <v>OK</v>
      </c>
      <c r="J80" s="285" t="str">
        <f t="shared" si="6"/>
        <v>OK</v>
      </c>
      <c r="K80" s="285" t="str">
        <f t="shared" si="6"/>
        <v>OK</v>
      </c>
      <c r="L80" s="285" t="str">
        <f t="shared" si="6"/>
        <v>OK</v>
      </c>
      <c r="M80" s="285" t="str">
        <f t="shared" si="6"/>
        <v>OK</v>
      </c>
      <c r="N80" s="285" t="str">
        <f t="shared" si="6"/>
        <v>OK</v>
      </c>
      <c r="O80" s="284"/>
      <c r="P80" s="284"/>
      <c r="Q80" s="284"/>
      <c r="R80" s="255"/>
    </row>
    <row r="81" spans="1:21">
      <c r="B81" s="259"/>
      <c r="C81" s="284"/>
      <c r="D81" s="284"/>
      <c r="E81" s="284"/>
      <c r="F81" s="284"/>
      <c r="G81" s="284"/>
      <c r="H81" s="284"/>
      <c r="I81" s="284"/>
      <c r="J81" s="284"/>
      <c r="K81" s="284"/>
      <c r="L81" s="284"/>
      <c r="M81" s="284"/>
      <c r="N81" s="284"/>
      <c r="O81" s="284"/>
      <c r="P81" s="284"/>
      <c r="Q81" s="284"/>
      <c r="R81" s="282"/>
    </row>
    <row r="82" spans="1:21">
      <c r="B82" s="252" t="s">
        <v>69</v>
      </c>
      <c r="C82" s="284"/>
      <c r="D82" s="284"/>
      <c r="E82" s="284"/>
      <c r="F82" s="284"/>
      <c r="G82" s="284"/>
      <c r="H82" s="284"/>
      <c r="I82" s="284"/>
      <c r="J82" s="284"/>
      <c r="K82" s="284"/>
      <c r="L82" s="284"/>
      <c r="M82" s="284"/>
      <c r="N82" s="284"/>
      <c r="O82" s="284"/>
      <c r="P82" s="284"/>
      <c r="Q82" s="284"/>
      <c r="R82" s="282"/>
    </row>
    <row r="83" spans="1:21">
      <c r="A83" s="253" t="str">
        <f>B82&amp;" "&amp;B83</f>
        <v>GSLD(T)-2 KWH Sales</v>
      </c>
      <c r="B83" s="254" t="s">
        <v>563</v>
      </c>
      <c r="C83" s="284">
        <f>+'KWH FCST'!B$65</f>
        <v>214054843</v>
      </c>
      <c r="D83" s="284">
        <f>+'KWH FCST'!C$65</f>
        <v>188478613</v>
      </c>
      <c r="E83" s="284">
        <f>+'KWH FCST'!D$65</f>
        <v>192959738</v>
      </c>
      <c r="F83" s="284">
        <f>+'KWH FCST'!E$65</f>
        <v>194210797</v>
      </c>
      <c r="G83" s="284">
        <f>+'KWH FCST'!F$65</f>
        <v>207828810</v>
      </c>
      <c r="H83" s="284">
        <f>+'KWH FCST'!G$65</f>
        <v>219261907</v>
      </c>
      <c r="I83" s="284">
        <f>+'KWH FCST'!H$65</f>
        <v>226094447</v>
      </c>
      <c r="J83" s="284">
        <f>+'KWH FCST'!I$65</f>
        <v>228910099</v>
      </c>
      <c r="K83" s="284">
        <f>+'KWH FCST'!J$65</f>
        <v>222456184</v>
      </c>
      <c r="L83" s="284">
        <f>+'KWH FCST'!K$65</f>
        <v>213252955</v>
      </c>
      <c r="M83" s="284">
        <f>+'KWH FCST'!L$65</f>
        <v>201077831</v>
      </c>
      <c r="N83" s="284">
        <f>+'KWH FCST'!M$65</f>
        <v>206884701</v>
      </c>
      <c r="O83" s="284">
        <f>SUM(C83:N83)</f>
        <v>2515470925</v>
      </c>
      <c r="P83" s="284"/>
      <c r="Q83" s="284"/>
      <c r="R83" s="282"/>
      <c r="T83" s="255">
        <f>VLOOKUP(B82,'Sales Forecast'!$B$7:$AO$23,39,FALSE)</f>
        <v>2515470925</v>
      </c>
      <c r="U83" s="255">
        <f>+O83-T83</f>
        <v>0</v>
      </c>
    </row>
    <row r="84" spans="1:21">
      <c r="A84" s="253" t="str">
        <f>B82&amp;" "&amp;B84</f>
        <v>GSLD(T)-2 NCP</v>
      </c>
      <c r="B84" s="254" t="s">
        <v>133</v>
      </c>
      <c r="C84" s="284">
        <f>+'NCP FCST'!B$64</f>
        <v>450751.00525824953</v>
      </c>
      <c r="D84" s="284">
        <f>+'NCP FCST'!C$64</f>
        <v>437031.83343359036</v>
      </c>
      <c r="E84" s="284">
        <f>+'NCP FCST'!D$64</f>
        <v>406580.36542430503</v>
      </c>
      <c r="F84" s="284">
        <f>+'NCP FCST'!E$64</f>
        <v>414178.38995005778</v>
      </c>
      <c r="G84" s="284">
        <f>+'NCP FCST'!F$64</f>
        <v>421205.70278192882</v>
      </c>
      <c r="H84" s="284">
        <f>+'NCP FCST'!G$64</f>
        <v>437137.93302910629</v>
      </c>
      <c r="I84" s="284">
        <f>+'NCP FCST'!H$64</f>
        <v>446577.44094397483</v>
      </c>
      <c r="J84" s="284">
        <f>+'NCP FCST'!I$64</f>
        <v>441975.42238874774</v>
      </c>
      <c r="K84" s="284">
        <f>+'NCP FCST'!J$64</f>
        <v>460738.40953069774</v>
      </c>
      <c r="L84" s="284">
        <f>+'NCP FCST'!K$64</f>
        <v>437853.24669540901</v>
      </c>
      <c r="M84" s="284">
        <f>+'NCP FCST'!L$64</f>
        <v>441706.24083108903</v>
      </c>
      <c r="N84" s="284">
        <f>+'NCP FCST'!M$64</f>
        <v>441763.67475281918</v>
      </c>
      <c r="O84" s="284"/>
      <c r="P84" s="284">
        <f>MAX(C84:N84)</f>
        <v>460738.40953069774</v>
      </c>
      <c r="Q84" s="284"/>
      <c r="R84" s="282"/>
      <c r="T84" s="255">
        <f>+'NCP FCST'!O$64</f>
        <v>460738.40953069774</v>
      </c>
      <c r="U84" s="255">
        <f>P84-T84</f>
        <v>0</v>
      </c>
    </row>
    <row r="85" spans="1:21">
      <c r="A85" s="253" t="str">
        <f>B82&amp;" "&amp;B85</f>
        <v>GSLD(T)-2 GNCP</v>
      </c>
      <c r="B85" s="254" t="s">
        <v>342</v>
      </c>
      <c r="C85" s="284">
        <f>+'GNCP FCST'!B$64</f>
        <v>364887.57950277161</v>
      </c>
      <c r="D85" s="284">
        <f>+'GNCP FCST'!C$64</f>
        <v>352583.97572562215</v>
      </c>
      <c r="E85" s="284">
        <f>+'GNCP FCST'!D$64</f>
        <v>327008.4660980269</v>
      </c>
      <c r="F85" s="284">
        <f>+'GNCP FCST'!E$64</f>
        <v>334280.01410252368</v>
      </c>
      <c r="G85" s="284">
        <f>+'GNCP FCST'!F$64</f>
        <v>337928.17807881092</v>
      </c>
      <c r="H85" s="284">
        <f>+'GNCP FCST'!G$64</f>
        <v>351419.05588015489</v>
      </c>
      <c r="I85" s="284">
        <f>+'GNCP FCST'!H$64</f>
        <v>357853.66143690783</v>
      </c>
      <c r="J85" s="284">
        <f>+'GNCP FCST'!I$64</f>
        <v>353564.7650832223</v>
      </c>
      <c r="K85" s="284">
        <f>+'GNCP FCST'!J$64</f>
        <v>369017.27366884856</v>
      </c>
      <c r="L85" s="284">
        <f>+'GNCP FCST'!K$64</f>
        <v>347695.94641523022</v>
      </c>
      <c r="M85" s="284">
        <f>+'GNCP FCST'!L$64</f>
        <v>360255.98288697412</v>
      </c>
      <c r="N85" s="284">
        <f>+'GNCP FCST'!M$64</f>
        <v>358198.02019957156</v>
      </c>
      <c r="O85" s="284"/>
      <c r="Q85" s="284">
        <f>MAX(C85:N85)</f>
        <v>369017.27366884856</v>
      </c>
      <c r="R85" s="282"/>
      <c r="T85" s="255">
        <f>+'GNCP FCST'!O$64</f>
        <v>369017.27366884856</v>
      </c>
      <c r="U85" s="255">
        <f>+Q85-T85</f>
        <v>0</v>
      </c>
    </row>
    <row r="86" spans="1:21">
      <c r="A86" s="253" t="str">
        <f>B82&amp;" "&amp;B86</f>
        <v>GSLD(T)-2 CP</v>
      </c>
      <c r="B86" s="254" t="s">
        <v>148</v>
      </c>
      <c r="C86" s="284">
        <f>+'CP FCST'!B$64</f>
        <v>304591.18204203673</v>
      </c>
      <c r="D86" s="284">
        <f>+'CP FCST'!C$64</f>
        <v>342033.2990072653</v>
      </c>
      <c r="E86" s="284">
        <f>+'CP FCST'!D$64</f>
        <v>307882.04605695495</v>
      </c>
      <c r="F86" s="284">
        <f>+'CP FCST'!E$64</f>
        <v>318876.35361237591</v>
      </c>
      <c r="G86" s="284">
        <f>+'CP FCST'!F$64</f>
        <v>332897.31550847436</v>
      </c>
      <c r="H86" s="284">
        <f>+'CP FCST'!G$64</f>
        <v>334532.63402922382</v>
      </c>
      <c r="I86" s="284">
        <f>+'CP FCST'!H$64</f>
        <v>344056.70838933898</v>
      </c>
      <c r="J86" s="284">
        <f>+'CP FCST'!I$64</f>
        <v>348553.29453942197</v>
      </c>
      <c r="K86" s="284">
        <f>+'CP FCST'!J$64</f>
        <v>327748.93450638035</v>
      </c>
      <c r="L86" s="284">
        <f>+'CP FCST'!K$64</f>
        <v>325394.2894738153</v>
      </c>
      <c r="M86" s="284">
        <f>+'CP FCST'!L$64</f>
        <v>330022.84873199061</v>
      </c>
      <c r="N86" s="284">
        <f>+'CP FCST'!M$64</f>
        <v>328472.66411577549</v>
      </c>
      <c r="O86" s="284"/>
      <c r="P86" s="284"/>
      <c r="Q86" s="284"/>
      <c r="R86" s="255">
        <f>AVERAGE(C86:N86)</f>
        <v>328755.13083442108</v>
      </c>
      <c r="T86" s="255">
        <f>+'CP FCST'!O$64</f>
        <v>328755.13083442108</v>
      </c>
      <c r="U86" s="255">
        <f>R86-T86</f>
        <v>0</v>
      </c>
    </row>
    <row r="87" spans="1:21">
      <c r="A87" s="253" t="str">
        <f>B82&amp;" "&amp;B87</f>
        <v>GSLD(T)-2 CP - L.F.</v>
      </c>
      <c r="B87" s="254" t="s">
        <v>1197</v>
      </c>
      <c r="C87" s="498">
        <f>'GSLD(T)-2'!C13</f>
        <v>1.0315744931339021</v>
      </c>
      <c r="D87" s="498">
        <f>'GSLD(T)-2'!D13</f>
        <v>0.82566780904677295</v>
      </c>
      <c r="E87" s="498">
        <f>'GSLD(T)-2'!E13</f>
        <v>0.94257293714037149</v>
      </c>
      <c r="F87" s="498">
        <f>'GSLD(T)-2'!F13</f>
        <v>0.91363798388385842</v>
      </c>
      <c r="G87" s="498">
        <f>'GSLD(T)-2'!G13</f>
        <v>0.92324213362707752</v>
      </c>
      <c r="H87" s="498">
        <f>'GSLD(T)-2'!H13</f>
        <v>0.95725061422752555</v>
      </c>
      <c r="I87" s="498">
        <f>'GSLD(T)-2'!I13</f>
        <v>0.93969307351868614</v>
      </c>
      <c r="J87" s="498">
        <f>'GSLD(T)-2'!J13</f>
        <v>0.96864225040557017</v>
      </c>
      <c r="K87" s="498">
        <f>'GSLD(T)-2'!K13</f>
        <v>0.95152974972597526</v>
      </c>
      <c r="L87" s="498">
        <f>'GSLD(T)-2'!L13</f>
        <v>0.89841072583110193</v>
      </c>
      <c r="M87" s="498">
        <f>'GSLD(T)-2'!M13</f>
        <v>0.82867747726501473</v>
      </c>
      <c r="N87" s="498">
        <f>'GSLD(T)-2'!N13</f>
        <v>0.8685835960529884</v>
      </c>
      <c r="O87" s="284"/>
      <c r="P87" s="284"/>
      <c r="Q87" s="284"/>
      <c r="R87" s="255"/>
    </row>
    <row r="88" spans="1:21">
      <c r="A88" s="253" t="str">
        <f>B82&amp;" "&amp;B88</f>
        <v>GSLD(T)-2 GCP - L.F.</v>
      </c>
      <c r="B88" s="254" t="s">
        <v>1198</v>
      </c>
      <c r="C88" s="498">
        <f>'GSLD(T)-2'!C14</f>
        <v>0.78848428522528702</v>
      </c>
      <c r="D88" s="498">
        <f>'GSLD(T)-2'!D14</f>
        <v>0.79548177398271169</v>
      </c>
      <c r="E88" s="498">
        <f>'GSLD(T)-2'!E14</f>
        <v>0.7931124525729969</v>
      </c>
      <c r="F88" s="498">
        <f>'GSLD(T)-2'!F14</f>
        <v>0.80691996732065219</v>
      </c>
      <c r="G88" s="498">
        <f>'GSLD(T)-2'!G14</f>
        <v>0.82662475788553424</v>
      </c>
      <c r="H88" s="498">
        <f>'GSLD(T)-2'!H14</f>
        <v>0.86657345779434203</v>
      </c>
      <c r="I88" s="498">
        <f>'GSLD(T)-2'!I14</f>
        <v>0.84920295221365572</v>
      </c>
      <c r="J88" s="498">
        <f>'GSLD(T)-2'!J14</f>
        <v>0.87020793538318542</v>
      </c>
      <c r="K88" s="498">
        <f>'GSLD(T)-2'!K14</f>
        <v>0.83726953795524817</v>
      </c>
      <c r="L88" s="498">
        <f>'GSLD(T)-2'!L14</f>
        <v>0.82437059970181958</v>
      </c>
      <c r="M88" s="498">
        <f>'GSLD(T)-2'!M14</f>
        <v>0.77521201185823696</v>
      </c>
      <c r="N88" s="498">
        <f>'GSLD(T)-2'!N14</f>
        <v>0.77630477835274181</v>
      </c>
      <c r="O88" s="284"/>
      <c r="P88" s="284"/>
      <c r="Q88" s="284"/>
      <c r="R88" s="255"/>
    </row>
    <row r="89" spans="1:21">
      <c r="A89" s="253" t="str">
        <f>B82&amp;" "&amp;B89</f>
        <v>GSLD(T)-2 NCP - L.F.</v>
      </c>
      <c r="B89" s="254" t="s">
        <v>1199</v>
      </c>
      <c r="C89" s="498">
        <f>'GSLD(T)-2'!C15</f>
        <v>0.63828614679847662</v>
      </c>
      <c r="D89" s="498">
        <f>'GSLD(T)-2'!D15</f>
        <v>0.64177047306718682</v>
      </c>
      <c r="E89" s="498">
        <f>'GSLD(T)-2'!E15</f>
        <v>0.63789230522354146</v>
      </c>
      <c r="F89" s="498">
        <f>'GSLD(T)-2'!F15</f>
        <v>0.65125855090624318</v>
      </c>
      <c r="G89" s="498">
        <f>'GSLD(T)-2'!G15</f>
        <v>0.66319092201778573</v>
      </c>
      <c r="H89" s="498">
        <f>'GSLD(T)-2'!H15</f>
        <v>0.69664607754050056</v>
      </c>
      <c r="I89" s="498">
        <f>'GSLD(T)-2'!I15</f>
        <v>0.68048754346015561</v>
      </c>
      <c r="J89" s="498">
        <f>'GSLD(T)-2'!J15</f>
        <v>0.69613568687692928</v>
      </c>
      <c r="K89" s="498">
        <f>'GSLD(T)-2'!K15</f>
        <v>0.67059076437089749</v>
      </c>
      <c r="L89" s="498">
        <f>'GSLD(T)-2'!L15</f>
        <v>0.65462644852696128</v>
      </c>
      <c r="M89" s="498">
        <f>'GSLD(T)-2'!M15</f>
        <v>0.63226357126471766</v>
      </c>
      <c r="N89" s="498">
        <f>'GSLD(T)-2'!N15</f>
        <v>0.62945608833276934</v>
      </c>
      <c r="O89" s="284"/>
      <c r="P89" s="284"/>
      <c r="Q89" s="284"/>
      <c r="R89" s="255"/>
    </row>
    <row r="90" spans="1:21">
      <c r="B90" s="254" t="s">
        <v>570</v>
      </c>
      <c r="C90" s="285" t="str">
        <f t="shared" ref="C90:N90" si="7">IF(C86&gt;C85,"ERROR",IF(C85&gt;C84,"ERROR","OK"))</f>
        <v>OK</v>
      </c>
      <c r="D90" s="285" t="str">
        <f t="shared" si="7"/>
        <v>OK</v>
      </c>
      <c r="E90" s="285" t="str">
        <f t="shared" si="7"/>
        <v>OK</v>
      </c>
      <c r="F90" s="285" t="str">
        <f t="shared" si="7"/>
        <v>OK</v>
      </c>
      <c r="G90" s="285" t="str">
        <f t="shared" si="7"/>
        <v>OK</v>
      </c>
      <c r="H90" s="285" t="str">
        <f t="shared" si="7"/>
        <v>OK</v>
      </c>
      <c r="I90" s="285" t="str">
        <f t="shared" si="7"/>
        <v>OK</v>
      </c>
      <c r="J90" s="285" t="str">
        <f t="shared" si="7"/>
        <v>OK</v>
      </c>
      <c r="K90" s="285" t="str">
        <f t="shared" si="7"/>
        <v>OK</v>
      </c>
      <c r="L90" s="285" t="str">
        <f t="shared" si="7"/>
        <v>OK</v>
      </c>
      <c r="M90" s="285" t="str">
        <f t="shared" si="7"/>
        <v>OK</v>
      </c>
      <c r="N90" s="285" t="str">
        <f t="shared" si="7"/>
        <v>OK</v>
      </c>
      <c r="O90" s="284"/>
      <c r="P90" s="284"/>
      <c r="Q90" s="284"/>
      <c r="R90" s="255"/>
    </row>
    <row r="91" spans="1:21">
      <c r="B91" s="259"/>
      <c r="C91" s="284"/>
      <c r="D91" s="284"/>
      <c r="E91" s="284"/>
      <c r="F91" s="284"/>
      <c r="G91" s="284"/>
      <c r="H91" s="284"/>
      <c r="I91" s="284"/>
      <c r="J91" s="284"/>
      <c r="K91" s="284"/>
      <c r="L91" s="284"/>
      <c r="M91" s="284"/>
      <c r="N91" s="284"/>
      <c r="O91" s="284"/>
      <c r="P91" s="284"/>
      <c r="Q91" s="284"/>
      <c r="R91" s="282"/>
    </row>
    <row r="92" spans="1:21">
      <c r="B92" s="252" t="s">
        <v>52</v>
      </c>
      <c r="C92" s="284"/>
      <c r="D92" s="284"/>
      <c r="E92" s="284"/>
      <c r="F92" s="284"/>
      <c r="G92" s="284"/>
      <c r="H92" s="284"/>
      <c r="I92" s="284"/>
      <c r="J92" s="284"/>
      <c r="K92" s="284"/>
      <c r="L92" s="284"/>
      <c r="M92" s="284"/>
      <c r="N92" s="284"/>
      <c r="O92" s="284"/>
      <c r="P92" s="284"/>
      <c r="Q92" s="284"/>
      <c r="R92" s="282"/>
    </row>
    <row r="93" spans="1:21">
      <c r="A93" s="253" t="str">
        <f>B92&amp;" "&amp;B93</f>
        <v>GSLD(T)-3 KWH Sales</v>
      </c>
      <c r="B93" s="254" t="s">
        <v>563</v>
      </c>
      <c r="C93" s="284">
        <f>+'KWH FCST'!B$66</f>
        <v>15148163</v>
      </c>
      <c r="D93" s="284">
        <f>+'KWH FCST'!C$66</f>
        <v>16443605</v>
      </c>
      <c r="E93" s="284">
        <f>+'KWH FCST'!D$66</f>
        <v>14960739</v>
      </c>
      <c r="F93" s="284">
        <f>+'KWH FCST'!E$66</f>
        <v>15206466</v>
      </c>
      <c r="G93" s="284">
        <f>+'KWH FCST'!F$66</f>
        <v>16116480</v>
      </c>
      <c r="H93" s="284">
        <f>+'KWH FCST'!G$66</f>
        <v>16104073</v>
      </c>
      <c r="I93" s="284">
        <f>+'KWH FCST'!H$66</f>
        <v>13743742</v>
      </c>
      <c r="J93" s="284">
        <f>+'KWH FCST'!I$66</f>
        <v>14208254</v>
      </c>
      <c r="K93" s="284">
        <f>+'KWH FCST'!J$66</f>
        <v>12822301</v>
      </c>
      <c r="L93" s="284">
        <f>+'KWH FCST'!K$66</f>
        <v>13194996</v>
      </c>
      <c r="M93" s="284">
        <f>+'KWH FCST'!L$66</f>
        <v>12004690</v>
      </c>
      <c r="N93" s="284">
        <f>+'KWH FCST'!M$66</f>
        <v>13038751</v>
      </c>
      <c r="O93" s="284">
        <f>SUM(C93:N93)</f>
        <v>172992260</v>
      </c>
      <c r="P93" s="284"/>
      <c r="Q93" s="284"/>
      <c r="R93" s="282"/>
      <c r="T93" s="255">
        <f>VLOOKUP(B92,'Sales Forecast'!$B$7:$AO$23,39,FALSE)</f>
        <v>172992260</v>
      </c>
      <c r="U93" s="255">
        <f>+O93-T93</f>
        <v>0</v>
      </c>
    </row>
    <row r="94" spans="1:21">
      <c r="A94" s="253" t="str">
        <f>B92&amp;" "&amp;B94</f>
        <v>GSLD(T)-3 NCP</v>
      </c>
      <c r="B94" s="254" t="s">
        <v>133</v>
      </c>
      <c r="C94" s="284">
        <f>+'NCP FCST'!B$65</f>
        <v>34932.455366929462</v>
      </c>
      <c r="D94" s="284">
        <f>+'NCP FCST'!C$65</f>
        <v>42817.111829887137</v>
      </c>
      <c r="E94" s="284">
        <f>+'NCP FCST'!D$65</f>
        <v>36442.631007449134</v>
      </c>
      <c r="F94" s="284">
        <f>+'NCP FCST'!E$65</f>
        <v>37758.092011112749</v>
      </c>
      <c r="G94" s="284">
        <f>+'NCP FCST'!F$65</f>
        <v>37992.026316302392</v>
      </c>
      <c r="H94" s="284">
        <f>+'NCP FCST'!G$65</f>
        <v>41596.436313306571</v>
      </c>
      <c r="I94" s="284">
        <f>+'NCP FCST'!H$65</f>
        <v>33414.648319386113</v>
      </c>
      <c r="J94" s="284">
        <f>+'NCP FCST'!I$65</f>
        <v>32680.020319588162</v>
      </c>
      <c r="K94" s="284">
        <f>+'NCP FCST'!J$65</f>
        <v>33164.308317758558</v>
      </c>
      <c r="L94" s="284">
        <f>+'NCP FCST'!K$65</f>
        <v>32760.129617737512</v>
      </c>
      <c r="M94" s="284">
        <f>+'NCP FCST'!L$65</f>
        <v>34101.238985656164</v>
      </c>
      <c r="N94" s="284">
        <f>+'NCP FCST'!M$65</f>
        <v>32251.040804944627</v>
      </c>
      <c r="O94" s="284"/>
      <c r="P94" s="284">
        <f>MAX(C94:N94)</f>
        <v>42817.111829887137</v>
      </c>
      <c r="Q94" s="284"/>
      <c r="R94" s="282"/>
      <c r="T94" s="255">
        <f>+'NCP FCST'!O$65</f>
        <v>42817.111829887137</v>
      </c>
      <c r="U94" s="255">
        <f>P94-T94</f>
        <v>0</v>
      </c>
    </row>
    <row r="95" spans="1:21">
      <c r="A95" s="253" t="str">
        <f>B92&amp;" "&amp;B95</f>
        <v>GSLD(T)-3 GNCP</v>
      </c>
      <c r="B95" s="254" t="s">
        <v>342</v>
      </c>
      <c r="C95" s="284">
        <f>+'GNCP FCST'!B$65</f>
        <v>27380.683146390817</v>
      </c>
      <c r="D95" s="284">
        <f>+'GNCP FCST'!C$65</f>
        <v>36183.576392223775</v>
      </c>
      <c r="E95" s="284">
        <f>+'GNCP FCST'!D$65</f>
        <v>28922.057366479581</v>
      </c>
      <c r="F95" s="284">
        <f>+'GNCP FCST'!E$65</f>
        <v>31958.381878042073</v>
      </c>
      <c r="G95" s="284">
        <f>+'GNCP FCST'!F$65</f>
        <v>31038.891568586663</v>
      </c>
      <c r="H95" s="284">
        <f>+'GNCP FCST'!G$65</f>
        <v>33975.765575338191</v>
      </c>
      <c r="I95" s="284">
        <f>+'GNCP FCST'!H$65</f>
        <v>25818.698279335804</v>
      </c>
      <c r="J95" s="284">
        <f>+'GNCP FCST'!I$65</f>
        <v>28906.859855872557</v>
      </c>
      <c r="K95" s="284">
        <f>+'GNCP FCST'!J$65</f>
        <v>27487.675292421976</v>
      </c>
      <c r="L95" s="284">
        <f>+'GNCP FCST'!K$65</f>
        <v>27112.400607396637</v>
      </c>
      <c r="M95" s="284">
        <f>+'GNCP FCST'!L$65</f>
        <v>25303.056522634241</v>
      </c>
      <c r="N95" s="284">
        <f>+'GNCP FCST'!M$65</f>
        <v>25394.551630268208</v>
      </c>
      <c r="O95" s="284"/>
      <c r="Q95" s="284">
        <f>MAX(C95:N95)</f>
        <v>36183.576392223775</v>
      </c>
      <c r="R95" s="282"/>
      <c r="T95" s="255">
        <f>+'GNCP FCST'!O$65</f>
        <v>36183.576392223775</v>
      </c>
      <c r="U95" s="255">
        <f>+Q95-T95</f>
        <v>0</v>
      </c>
    </row>
    <row r="96" spans="1:21">
      <c r="A96" s="253" t="str">
        <f>B92&amp;" "&amp;B96</f>
        <v>GSLD(T)-3 CP</v>
      </c>
      <c r="B96" s="254" t="s">
        <v>148</v>
      </c>
      <c r="C96" s="284">
        <f>+'CP FCST'!B$65</f>
        <v>22546.288741339005</v>
      </c>
      <c r="D96" s="284">
        <f>+'CP FCST'!C$65</f>
        <v>26328.467026883409</v>
      </c>
      <c r="E96" s="284">
        <f>+'CP FCST'!D$65</f>
        <v>25352.986687441775</v>
      </c>
      <c r="F96" s="284">
        <f>+'CP FCST'!E$65</f>
        <v>27078.354683110661</v>
      </c>
      <c r="G96" s="284">
        <f>+'CP FCST'!F$65</f>
        <v>24834.778915500832</v>
      </c>
      <c r="H96" s="284">
        <f>+'CP FCST'!G$65</f>
        <v>26616.790102447776</v>
      </c>
      <c r="I96" s="284">
        <f>+'CP FCST'!H$65</f>
        <v>22699.210291129508</v>
      </c>
      <c r="J96" s="284">
        <f>+'CP FCST'!I$65</f>
        <v>25653.857937895773</v>
      </c>
      <c r="K96" s="284">
        <f>+'CP FCST'!J$65</f>
        <v>18977.582687882652</v>
      </c>
      <c r="L96" s="284">
        <f>+'CP FCST'!K$65</f>
        <v>21283.473050646378</v>
      </c>
      <c r="M96" s="284">
        <f>+'CP FCST'!L$65</f>
        <v>17671.113815647899</v>
      </c>
      <c r="N96" s="284">
        <f>+'CP FCST'!M$65</f>
        <v>17189.029539196759</v>
      </c>
      <c r="O96" s="284"/>
      <c r="P96" s="284"/>
      <c r="Q96" s="284"/>
      <c r="R96" s="255">
        <f>AVERAGE(C96:N96)</f>
        <v>23019.327789926869</v>
      </c>
      <c r="T96" s="255">
        <f>+'CP FCST'!O$65</f>
        <v>23019.327789926869</v>
      </c>
      <c r="U96" s="255">
        <f>R96-T96</f>
        <v>0</v>
      </c>
    </row>
    <row r="97" spans="1:21">
      <c r="A97" s="253" t="str">
        <f>B92&amp;" "&amp;B97</f>
        <v>GSLD(T)-3 CP - L.F.</v>
      </c>
      <c r="B97" s="254" t="s">
        <v>1197</v>
      </c>
      <c r="C97" s="498">
        <f>'GSLD(T)-3'!C13</f>
        <v>0.98621449471411038</v>
      </c>
      <c r="D97" s="498">
        <f>'GSLD(T)-3'!D13</f>
        <v>0.93579907076026014</v>
      </c>
      <c r="E97" s="498">
        <f>'GSLD(T)-3'!E13</f>
        <v>0.88745940813364743</v>
      </c>
      <c r="F97" s="498">
        <f>'GSLD(T)-3'!F13</f>
        <v>0.84240997239198023</v>
      </c>
      <c r="G97" s="498">
        <f>'GSLD(T)-3'!G13</f>
        <v>0.95967272748201327</v>
      </c>
      <c r="H97" s="498">
        <f>'GSLD(T)-3'!H13</f>
        <v>0.88364392160273686</v>
      </c>
      <c r="I97" s="498">
        <f>'GSLD(T)-3'!I13</f>
        <v>0.86579656246840642</v>
      </c>
      <c r="J97" s="498">
        <f>'GSLD(T)-3'!J13</f>
        <v>0.81686249471507089</v>
      </c>
      <c r="K97" s="498">
        <f>'GSLD(T)-3'!K13</f>
        <v>0.94720405483514281</v>
      </c>
      <c r="L97" s="498">
        <f>'GSLD(T)-3'!L13</f>
        <v>0.84987505816502251</v>
      </c>
      <c r="M97" s="498">
        <f>'GSLD(T)-3'!M13</f>
        <v>0.92396172634110796</v>
      </c>
      <c r="N97" s="498">
        <f>'GSLD(T)-3'!N13</f>
        <v>1.046080709066054</v>
      </c>
      <c r="O97" s="284"/>
      <c r="P97" s="284"/>
      <c r="Q97" s="284"/>
      <c r="R97" s="255"/>
    </row>
    <row r="98" spans="1:21">
      <c r="A98" s="253" t="str">
        <f>B92&amp;" "&amp;B98</f>
        <v>GSLD(T)-3 GCP - L.F.</v>
      </c>
      <c r="B98" s="254" t="s">
        <v>1198</v>
      </c>
      <c r="C98" s="498">
        <f>'GSLD(T)-3'!C14</f>
        <v>0.74360577604758393</v>
      </c>
      <c r="D98" s="498">
        <f>'GSLD(T)-3'!D14</f>
        <v>0.67626400531479325</v>
      </c>
      <c r="E98" s="498">
        <f>'GSLD(T)-3'!E14</f>
        <v>0.69526589711408038</v>
      </c>
      <c r="F98" s="498">
        <f>'GSLD(T)-3'!F14</f>
        <v>0.66086235990495612</v>
      </c>
      <c r="G98" s="498">
        <f>'GSLD(T)-3'!G14</f>
        <v>0.69789655458554534</v>
      </c>
      <c r="H98" s="498">
        <f>'GSLD(T)-3'!H14</f>
        <v>0.65831535145129449</v>
      </c>
      <c r="I98" s="498">
        <f>'GSLD(T)-3'!I14</f>
        <v>0.71548035867327875</v>
      </c>
      <c r="J98" s="498">
        <f>'GSLD(T)-3'!J14</f>
        <v>0.66064303375097266</v>
      </c>
      <c r="K98" s="498">
        <f>'GSLD(T)-3'!K14</f>
        <v>0.64788132133525855</v>
      </c>
      <c r="L98" s="498">
        <f>'GSLD(T)-3'!L14</f>
        <v>0.6541364571229058</v>
      </c>
      <c r="M98" s="498">
        <f>'GSLD(T)-3'!M14</f>
        <v>0.65893938705155886</v>
      </c>
      <c r="N98" s="498">
        <f>'GSLD(T)-3'!N14</f>
        <v>0.69011665227042851</v>
      </c>
      <c r="O98" s="284"/>
      <c r="P98" s="284"/>
      <c r="Q98" s="284"/>
      <c r="R98" s="255"/>
    </row>
    <row r="99" spans="1:21">
      <c r="A99" s="253" t="str">
        <f>B92&amp;" "&amp;B99</f>
        <v>GSLD(T)-3 NCP - L.F.</v>
      </c>
      <c r="B99" s="254" t="s">
        <v>1199</v>
      </c>
      <c r="C99" s="498">
        <f>'GSLD(T)-3'!C15</f>
        <v>0.58285150373541039</v>
      </c>
      <c r="D99" s="498">
        <f>'GSLD(T)-3'!D15</f>
        <v>0.57149231351328034</v>
      </c>
      <c r="E99" s="498">
        <f>'GSLD(T)-3'!E15</f>
        <v>0.55178563142655634</v>
      </c>
      <c r="F99" s="498">
        <f>'GSLD(T)-3'!F15</f>
        <v>0.55935272525027802</v>
      </c>
      <c r="G99" s="498">
        <f>'GSLD(T)-3'!G15</f>
        <v>0.57017057483390465</v>
      </c>
      <c r="H99" s="498">
        <f>'GSLD(T)-3'!H15</f>
        <v>0.53770875675713825</v>
      </c>
      <c r="I99" s="498">
        <f>'GSLD(T)-3'!I15</f>
        <v>0.55283453319061371</v>
      </c>
      <c r="J99" s="498">
        <f>'GSLD(T)-3'!J15</f>
        <v>0.58436669881600967</v>
      </c>
      <c r="K99" s="498">
        <f>'GSLD(T)-3'!K15</f>
        <v>0.53698546094364952</v>
      </c>
      <c r="L99" s="498">
        <f>'GSLD(T)-3'!L15</f>
        <v>0.54136567481152076</v>
      </c>
      <c r="M99" s="498">
        <f>'GSLD(T)-3'!M15</f>
        <v>0.4889318116144904</v>
      </c>
      <c r="N99" s="498">
        <f>'GSLD(T)-3'!N15</f>
        <v>0.54339960880587579</v>
      </c>
      <c r="O99" s="284"/>
      <c r="P99" s="284"/>
      <c r="Q99" s="284"/>
      <c r="R99" s="255"/>
    </row>
    <row r="100" spans="1:21">
      <c r="B100" s="254" t="s">
        <v>570</v>
      </c>
      <c r="C100" s="285" t="str">
        <f t="shared" ref="C100:N100" si="8">IF(C96&gt;C95,"ERROR",IF(C95&gt;C94,"ERROR","OK"))</f>
        <v>OK</v>
      </c>
      <c r="D100" s="285" t="str">
        <f t="shared" si="8"/>
        <v>OK</v>
      </c>
      <c r="E100" s="285" t="str">
        <f t="shared" si="8"/>
        <v>OK</v>
      </c>
      <c r="F100" s="285" t="str">
        <f t="shared" si="8"/>
        <v>OK</v>
      </c>
      <c r="G100" s="285" t="str">
        <f t="shared" si="8"/>
        <v>OK</v>
      </c>
      <c r="H100" s="285" t="str">
        <f t="shared" si="8"/>
        <v>OK</v>
      </c>
      <c r="I100" s="285" t="str">
        <f t="shared" si="8"/>
        <v>OK</v>
      </c>
      <c r="J100" s="285" t="str">
        <f t="shared" si="8"/>
        <v>OK</v>
      </c>
      <c r="K100" s="285" t="str">
        <f t="shared" si="8"/>
        <v>OK</v>
      </c>
      <c r="L100" s="285" t="str">
        <f t="shared" si="8"/>
        <v>OK</v>
      </c>
      <c r="M100" s="285" t="str">
        <f t="shared" si="8"/>
        <v>OK</v>
      </c>
      <c r="N100" s="285" t="str">
        <f t="shared" si="8"/>
        <v>OK</v>
      </c>
      <c r="O100" s="284"/>
      <c r="P100" s="284"/>
      <c r="Q100" s="284"/>
      <c r="R100" s="255"/>
    </row>
    <row r="101" spans="1:21">
      <c r="B101" s="259"/>
      <c r="C101" s="284"/>
      <c r="D101" s="284"/>
      <c r="E101" s="284"/>
      <c r="F101" s="284"/>
      <c r="G101" s="284"/>
      <c r="H101" s="284"/>
      <c r="I101" s="284"/>
      <c r="J101" s="284"/>
      <c r="K101" s="284"/>
      <c r="L101" s="284"/>
      <c r="M101" s="284"/>
      <c r="N101" s="284"/>
      <c r="O101" s="284"/>
      <c r="P101" s="284"/>
      <c r="Q101" s="284"/>
      <c r="R101" s="282"/>
    </row>
    <row r="102" spans="1:21">
      <c r="B102" s="252" t="s">
        <v>15</v>
      </c>
      <c r="C102" s="284"/>
      <c r="D102" s="284"/>
      <c r="E102" s="284"/>
      <c r="F102" s="284"/>
      <c r="G102" s="284"/>
      <c r="H102" s="284"/>
      <c r="I102" s="284"/>
      <c r="J102" s="284"/>
      <c r="K102" s="284"/>
      <c r="L102" s="284"/>
      <c r="M102" s="284"/>
      <c r="N102" s="284"/>
      <c r="O102" s="284"/>
      <c r="P102" s="284"/>
      <c r="Q102" s="284"/>
      <c r="R102" s="282"/>
    </row>
    <row r="103" spans="1:21">
      <c r="A103" s="253" t="str">
        <f>B102&amp;" "&amp;B103</f>
        <v>METRO KWH Sales</v>
      </c>
      <c r="B103" s="254" t="s">
        <v>563</v>
      </c>
      <c r="C103" s="284">
        <f>+'KWH FCST'!B$67</f>
        <v>7722488</v>
      </c>
      <c r="D103" s="284">
        <f>+'KWH FCST'!C$67</f>
        <v>7033163</v>
      </c>
      <c r="E103" s="284">
        <f>+'KWH FCST'!D$67</f>
        <v>6654900</v>
      </c>
      <c r="F103" s="284">
        <f>+'KWH FCST'!E$67</f>
        <v>7772538</v>
      </c>
      <c r="G103" s="284">
        <f>+'KWH FCST'!F$67</f>
        <v>7766500</v>
      </c>
      <c r="H103" s="284">
        <f>+'KWH FCST'!G$67</f>
        <v>7705775</v>
      </c>
      <c r="I103" s="284">
        <f>+'KWH FCST'!H$67</f>
        <v>8084445</v>
      </c>
      <c r="J103" s="284">
        <f>+'KWH FCST'!I$67</f>
        <v>8169352</v>
      </c>
      <c r="K103" s="284">
        <f>+'KWH FCST'!J$67</f>
        <v>8099506</v>
      </c>
      <c r="L103" s="284">
        <f>+'KWH FCST'!K$67</f>
        <v>8011486</v>
      </c>
      <c r="M103" s="284">
        <f>+'KWH FCST'!L$67</f>
        <v>7259718</v>
      </c>
      <c r="N103" s="284">
        <f>+'KWH FCST'!M$67</f>
        <v>6928425</v>
      </c>
      <c r="O103" s="284">
        <f>SUM(C103:N103)</f>
        <v>91208296</v>
      </c>
      <c r="P103" s="284"/>
      <c r="Q103" s="284"/>
      <c r="R103" s="282"/>
      <c r="T103" s="255">
        <f>VLOOKUP(B102,'Sales Forecast'!$B$7:$AO$23,39,FALSE)</f>
        <v>91208296</v>
      </c>
      <c r="U103" s="255">
        <f>+O103-T103</f>
        <v>0</v>
      </c>
    </row>
    <row r="104" spans="1:21">
      <c r="A104" s="253" t="str">
        <f>B102&amp;" "&amp;B104</f>
        <v>METRO NCP</v>
      </c>
      <c r="B104" s="254" t="s">
        <v>133</v>
      </c>
      <c r="C104" s="284">
        <f>+'NCP FCST'!B$66</f>
        <v>18743.730585001242</v>
      </c>
      <c r="D104" s="284">
        <f>+'NCP FCST'!C$66</f>
        <v>19831.678756991161</v>
      </c>
      <c r="E104" s="284">
        <f>+'NCP FCST'!D$66</f>
        <v>16409.299102188164</v>
      </c>
      <c r="F104" s="284">
        <f>+'NCP FCST'!E$66</f>
        <v>19559.206177200336</v>
      </c>
      <c r="G104" s="284">
        <f>+'NCP FCST'!F$66</f>
        <v>18556.807739479758</v>
      </c>
      <c r="H104" s="284">
        <f>+'NCP FCST'!G$66</f>
        <v>19857.659633424224</v>
      </c>
      <c r="I104" s="284">
        <f>+'NCP FCST'!H$66</f>
        <v>20612.193098891323</v>
      </c>
      <c r="J104" s="284">
        <f>+'NCP FCST'!I$66</f>
        <v>20452.989310958295</v>
      </c>
      <c r="K104" s="284">
        <f>+'NCP FCST'!J$66</f>
        <v>21161.182968861365</v>
      </c>
      <c r="L104" s="284">
        <f>+'NCP FCST'!K$66</f>
        <v>19976.080413590713</v>
      </c>
      <c r="M104" s="284">
        <f>+'NCP FCST'!L$66</f>
        <v>18659.581485681971</v>
      </c>
      <c r="N104" s="284">
        <f>+'NCP FCST'!M$66</f>
        <v>16612.261189025947</v>
      </c>
      <c r="O104" s="284"/>
      <c r="P104" s="284">
        <f>MAX(C104:N104)</f>
        <v>21161.182968861365</v>
      </c>
      <c r="Q104" s="284"/>
      <c r="R104" s="282"/>
      <c r="T104" s="255">
        <f>+'NCP FCST'!O$66</f>
        <v>21161.182968861365</v>
      </c>
      <c r="U104" s="255">
        <f>P104-T104</f>
        <v>0</v>
      </c>
    </row>
    <row r="105" spans="1:21">
      <c r="A105" s="253" t="str">
        <f>B102&amp;" "&amp;B105</f>
        <v>METRO GNCP</v>
      </c>
      <c r="B105" s="254" t="s">
        <v>342</v>
      </c>
      <c r="C105" s="284">
        <f>+'GNCP FCST'!B$66</f>
        <v>16371.617312401802</v>
      </c>
      <c r="D105" s="284">
        <f>+'GNCP FCST'!C$66</f>
        <v>16723.704152489394</v>
      </c>
      <c r="E105" s="284">
        <f>+'GNCP FCST'!D$66</f>
        <v>13961.156424651501</v>
      </c>
      <c r="F105" s="284">
        <f>+'GNCP FCST'!E$66</f>
        <v>16287.525182393336</v>
      </c>
      <c r="G105" s="284">
        <f>+'GNCP FCST'!F$66</f>
        <v>16039.320369401192</v>
      </c>
      <c r="H105" s="284">
        <f>+'GNCP FCST'!G$66</f>
        <v>16528.05988322361</v>
      </c>
      <c r="I105" s="284">
        <f>+'GNCP FCST'!H$66</f>
        <v>16563.659088807668</v>
      </c>
      <c r="J105" s="284">
        <f>+'GNCP FCST'!I$66</f>
        <v>16462.083692263444</v>
      </c>
      <c r="K105" s="284">
        <f>+'GNCP FCST'!J$66</f>
        <v>17139.200035167636</v>
      </c>
      <c r="L105" s="284">
        <f>+'GNCP FCST'!K$66</f>
        <v>16299.325105729056</v>
      </c>
      <c r="M105" s="284">
        <f>+'GNCP FCST'!L$66</f>
        <v>16290.060380807394</v>
      </c>
      <c r="N105" s="284">
        <f>+'GNCP FCST'!M$66</f>
        <v>14691.183334088801</v>
      </c>
      <c r="O105" s="284"/>
      <c r="Q105" s="284">
        <f>MAX(C105:N105)</f>
        <v>17139.200035167636</v>
      </c>
      <c r="R105" s="282"/>
      <c r="T105" s="255">
        <f>+'GNCP FCST'!O$66</f>
        <v>17139.200035167636</v>
      </c>
      <c r="U105" s="255">
        <f>+Q105-T105</f>
        <v>0</v>
      </c>
    </row>
    <row r="106" spans="1:21">
      <c r="A106" s="253" t="str">
        <f>B102&amp;" "&amp;B106</f>
        <v>METRO CP</v>
      </c>
      <c r="B106" s="254" t="s">
        <v>148</v>
      </c>
      <c r="C106" s="284">
        <f>+'CP FCST'!B$66</f>
        <v>15651.905036883067</v>
      </c>
      <c r="D106" s="284">
        <f>+'CP FCST'!C$66</f>
        <v>13769.013940389981</v>
      </c>
      <c r="E106" s="284">
        <f>+'CP FCST'!D$66</f>
        <v>12228.866683931303</v>
      </c>
      <c r="F106" s="284">
        <f>+'CP FCST'!E$66</f>
        <v>15782.496183618012</v>
      </c>
      <c r="G106" s="284">
        <f>+'CP FCST'!F$66</f>
        <v>16039.320369401192</v>
      </c>
      <c r="H106" s="284">
        <f>+'CP FCST'!G$66</f>
        <v>15236.084905668758</v>
      </c>
      <c r="I106" s="284">
        <f>+'CP FCST'!H$66</f>
        <v>15694.569686031606</v>
      </c>
      <c r="J106" s="284">
        <f>+'CP FCST'!I$66</f>
        <v>16417.310312346486</v>
      </c>
      <c r="K106" s="284">
        <f>+'CP FCST'!J$66</f>
        <v>14104.048953653575</v>
      </c>
      <c r="L106" s="284">
        <f>+'CP FCST'!K$66</f>
        <v>13957.614862208729</v>
      </c>
      <c r="M106" s="284">
        <f>+'CP FCST'!L$66</f>
        <v>13801.52586131289</v>
      </c>
      <c r="N106" s="284">
        <f>+'CP FCST'!M$66</f>
        <v>12264.339278454803</v>
      </c>
      <c r="O106" s="284"/>
      <c r="P106" s="284"/>
      <c r="Q106" s="284"/>
      <c r="R106" s="255">
        <f>AVERAGE(C106:N106)</f>
        <v>14578.924672825035</v>
      </c>
      <c r="T106" s="255">
        <f>+'CP FCST'!O$66</f>
        <v>14578.924672825035</v>
      </c>
      <c r="U106" s="255">
        <f>R106-T106</f>
        <v>0</v>
      </c>
    </row>
    <row r="107" spans="1:21">
      <c r="A107" s="253" t="str">
        <f>B102&amp;" "&amp;B107</f>
        <v>METRO CP - L.F.</v>
      </c>
      <c r="B107" s="254" t="s">
        <v>1197</v>
      </c>
      <c r="C107" s="498">
        <f>MET!C13</f>
        <v>0.72435991263703736</v>
      </c>
      <c r="D107" s="498">
        <f>MET!D13</f>
        <v>0.76537188748859497</v>
      </c>
      <c r="E107" s="498">
        <f>MET!E13</f>
        <v>0.81814478900985066</v>
      </c>
      <c r="F107" s="498">
        <f>MET!F13</f>
        <v>0.73812747611119356</v>
      </c>
      <c r="G107" s="498">
        <f>MET!G13</f>
        <v>0.71686690559272803</v>
      </c>
      <c r="H107" s="498">
        <f>MET!H13</f>
        <v>0.73872685461317222</v>
      </c>
      <c r="I107" s="498">
        <f>MET!I13</f>
        <v>0.73676659458447857</v>
      </c>
      <c r="J107" s="498">
        <f>MET!J13</f>
        <v>0.73368452089385627</v>
      </c>
      <c r="K107" s="498">
        <f>MET!K13</f>
        <v>0.80505264084296946</v>
      </c>
      <c r="L107" s="498">
        <f>MET!L13</f>
        <v>0.78684047754399655</v>
      </c>
      <c r="M107" s="498">
        <f>MET!M13</f>
        <v>0.71539374467658701</v>
      </c>
      <c r="N107" s="498">
        <f>MET!N13</f>
        <v>0.77903933506371781</v>
      </c>
      <c r="O107" s="284"/>
      <c r="P107" s="284"/>
      <c r="Q107" s="284"/>
      <c r="R107" s="255"/>
    </row>
    <row r="108" spans="1:21">
      <c r="A108" s="253" t="str">
        <f>B102&amp;" "&amp;B108</f>
        <v>METRO GCP - L.F.</v>
      </c>
      <c r="B108" s="254" t="s">
        <v>1198</v>
      </c>
      <c r="C108" s="498">
        <f>MET!C14</f>
        <v>0.63400505728778578</v>
      </c>
      <c r="D108" s="498">
        <f>MET!D14</f>
        <v>0.62581927266930926</v>
      </c>
      <c r="E108" s="498">
        <f>MET!E14</f>
        <v>0.64068890802786116</v>
      </c>
      <c r="F108" s="498">
        <f>MET!F14</f>
        <v>0.66278894711003544</v>
      </c>
      <c r="G108" s="498">
        <f>MET!G14</f>
        <v>0.67137720852340976</v>
      </c>
      <c r="H108" s="498">
        <f>MET!H14</f>
        <v>0.64753306518698206</v>
      </c>
      <c r="I108" s="498">
        <f>MET!I14</f>
        <v>0.65602590936392136</v>
      </c>
      <c r="J108" s="498">
        <f>MET!J14</f>
        <v>0.66700619637338621</v>
      </c>
      <c r="K108" s="498">
        <f>MET!K14</f>
        <v>0.65634999683804451</v>
      </c>
      <c r="L108" s="498">
        <f>MET!L14</f>
        <v>0.66064860196580344</v>
      </c>
      <c r="M108" s="498">
        <f>MET!M14</f>
        <v>0.61896281726163382</v>
      </c>
      <c r="N108" s="498">
        <f>MET!N14</f>
        <v>0.63387672604563372</v>
      </c>
      <c r="O108" s="284"/>
      <c r="P108" s="284"/>
      <c r="Q108" s="284"/>
      <c r="R108" s="255"/>
    </row>
    <row r="109" spans="1:21">
      <c r="A109" s="253" t="str">
        <f>B102&amp;" "&amp;B109</f>
        <v>METRO NCP - L.F.</v>
      </c>
      <c r="B109" s="254" t="s">
        <v>1199</v>
      </c>
      <c r="C109" s="498">
        <f>MET!C15</f>
        <v>0.55376853209514498</v>
      </c>
      <c r="D109" s="498">
        <f>MET!D15</f>
        <v>0.52774233070703036</v>
      </c>
      <c r="E109" s="498">
        <f>MET!E15</f>
        <v>0.54510299366310866</v>
      </c>
      <c r="F109" s="498">
        <f>MET!F15</f>
        <v>0.55192381372053556</v>
      </c>
      <c r="G109" s="498">
        <f>MET!G15</f>
        <v>0.56253447427882652</v>
      </c>
      <c r="H109" s="498">
        <f>MET!H15</f>
        <v>0.53895904529270355</v>
      </c>
      <c r="I109" s="498">
        <f>MET!I15</f>
        <v>0.52717289538266054</v>
      </c>
      <c r="J109" s="498">
        <f>MET!J15</f>
        <v>0.53685608793008865</v>
      </c>
      <c r="K109" s="498">
        <f>MET!K15</f>
        <v>0.53160137150376852</v>
      </c>
      <c r="L109" s="498">
        <f>MET!L15</f>
        <v>0.53905101106621167</v>
      </c>
      <c r="M109" s="498">
        <f>MET!M15</f>
        <v>0.5403626911141387</v>
      </c>
      <c r="N109" s="498">
        <f>MET!N15</f>
        <v>0.56057384889301842</v>
      </c>
      <c r="O109" s="284"/>
      <c r="P109" s="284"/>
      <c r="Q109" s="284"/>
      <c r="R109" s="255"/>
    </row>
    <row r="110" spans="1:21">
      <c r="B110" s="254" t="s">
        <v>570</v>
      </c>
      <c r="C110" s="285" t="str">
        <f t="shared" ref="C110:N110" si="9">IF(C106&gt;C105,"ERROR",IF(C105&gt;C104,"ERROR","OK"))</f>
        <v>OK</v>
      </c>
      <c r="D110" s="285" t="str">
        <f t="shared" si="9"/>
        <v>OK</v>
      </c>
      <c r="E110" s="285" t="str">
        <f t="shared" si="9"/>
        <v>OK</v>
      </c>
      <c r="F110" s="285" t="str">
        <f t="shared" si="9"/>
        <v>OK</v>
      </c>
      <c r="G110" s="285" t="str">
        <f t="shared" si="9"/>
        <v>OK</v>
      </c>
      <c r="H110" s="285" t="str">
        <f t="shared" si="9"/>
        <v>OK</v>
      </c>
      <c r="I110" s="285" t="str">
        <f t="shared" si="9"/>
        <v>OK</v>
      </c>
      <c r="J110" s="285" t="str">
        <f t="shared" si="9"/>
        <v>OK</v>
      </c>
      <c r="K110" s="285" t="str">
        <f t="shared" si="9"/>
        <v>OK</v>
      </c>
      <c r="L110" s="285" t="str">
        <f t="shared" si="9"/>
        <v>OK</v>
      </c>
      <c r="M110" s="285" t="str">
        <f t="shared" si="9"/>
        <v>OK</v>
      </c>
      <c r="N110" s="285" t="str">
        <f t="shared" si="9"/>
        <v>OK</v>
      </c>
      <c r="O110" s="284"/>
      <c r="P110" s="284"/>
      <c r="Q110" s="284"/>
      <c r="R110" s="255"/>
    </row>
    <row r="111" spans="1:21">
      <c r="B111" s="259"/>
      <c r="C111" s="284"/>
      <c r="D111" s="284"/>
      <c r="E111" s="284"/>
      <c r="F111" s="284"/>
      <c r="G111" s="284"/>
      <c r="H111" s="284"/>
      <c r="I111" s="284"/>
      <c r="J111" s="284"/>
      <c r="K111" s="284"/>
      <c r="L111" s="284"/>
      <c r="M111" s="284"/>
      <c r="N111" s="284"/>
      <c r="O111" s="284"/>
      <c r="P111" s="284"/>
      <c r="Q111" s="284"/>
      <c r="R111" s="282"/>
    </row>
    <row r="112" spans="1:21">
      <c r="B112" s="252" t="s">
        <v>56</v>
      </c>
      <c r="C112" s="284"/>
      <c r="D112" s="284"/>
      <c r="E112" s="284"/>
      <c r="F112" s="284"/>
      <c r="G112" s="284"/>
      <c r="H112" s="284"/>
      <c r="I112" s="284"/>
      <c r="J112" s="284"/>
      <c r="K112" s="284"/>
      <c r="L112" s="284"/>
      <c r="M112" s="284"/>
      <c r="N112" s="284"/>
      <c r="O112" s="284"/>
      <c r="P112" s="284"/>
      <c r="Q112" s="284"/>
      <c r="R112" s="282"/>
    </row>
    <row r="113" spans="1:21">
      <c r="A113" s="253" t="str">
        <f>B112&amp;" "&amp;B113</f>
        <v>OL-1 KWH Sales</v>
      </c>
      <c r="B113" s="254" t="s">
        <v>563</v>
      </c>
      <c r="C113" s="284">
        <f>+'KWH FCST'!B$68</f>
        <v>8180684</v>
      </c>
      <c r="D113" s="284">
        <f>+'KWH FCST'!C$68</f>
        <v>8176620</v>
      </c>
      <c r="E113" s="284">
        <f>+'KWH FCST'!D$68</f>
        <v>8172556</v>
      </c>
      <c r="F113" s="284">
        <f>+'KWH FCST'!E$68</f>
        <v>8168492</v>
      </c>
      <c r="G113" s="284">
        <f>+'KWH FCST'!F$68</f>
        <v>8164428</v>
      </c>
      <c r="H113" s="284">
        <f>+'KWH FCST'!G$68</f>
        <v>8160364</v>
      </c>
      <c r="I113" s="284">
        <f>+'KWH FCST'!H$68</f>
        <v>8156300</v>
      </c>
      <c r="J113" s="284">
        <f>+'KWH FCST'!I$68</f>
        <v>8152236</v>
      </c>
      <c r="K113" s="284">
        <f>+'KWH FCST'!J$68</f>
        <v>8148172</v>
      </c>
      <c r="L113" s="284">
        <f>+'KWH FCST'!K$68</f>
        <v>8144108</v>
      </c>
      <c r="M113" s="284">
        <f>+'KWH FCST'!L$68</f>
        <v>8140044</v>
      </c>
      <c r="N113" s="284">
        <f>+'KWH FCST'!M$68</f>
        <v>8135980</v>
      </c>
      <c r="O113" s="284">
        <f>SUM(C113:N113)</f>
        <v>97899984</v>
      </c>
      <c r="P113" s="284"/>
      <c r="Q113" s="284"/>
      <c r="R113" s="282"/>
      <c r="T113" s="255">
        <f>VLOOKUP(B112,'Sales Forecast'!$B$7:$AO$23,39,FALSE)</f>
        <v>97899984</v>
      </c>
      <c r="U113" s="255">
        <f>+O113-T113</f>
        <v>0</v>
      </c>
    </row>
    <row r="114" spans="1:21">
      <c r="A114" s="253" t="str">
        <f>B112&amp;" "&amp;B114</f>
        <v>OL-1 NCP</v>
      </c>
      <c r="B114" s="254" t="s">
        <v>133</v>
      </c>
      <c r="C114" s="284">
        <f>+'NCP FCST'!B$67</f>
        <v>19911.681915967529</v>
      </c>
      <c r="D114" s="284">
        <f>+'NCP FCST'!C$67</f>
        <v>22960.046461997095</v>
      </c>
      <c r="E114" s="284">
        <f>+'NCP FCST'!D$67</f>
        <v>22035.366080067903</v>
      </c>
      <c r="F114" s="284">
        <f>+'NCP FCST'!E$67</f>
        <v>24241.792484082052</v>
      </c>
      <c r="G114" s="284">
        <f>+'NCP FCST'!F$67</f>
        <v>24823.14579207835</v>
      </c>
      <c r="H114" s="284">
        <f>+'NCP FCST'!G$67</f>
        <v>26393.507330788761</v>
      </c>
      <c r="I114" s="284">
        <f>+'NCP FCST'!H$67</f>
        <v>25192.897437508876</v>
      </c>
      <c r="J114" s="284">
        <f>+'NCP FCST'!I$67</f>
        <v>23977.727271155429</v>
      </c>
      <c r="K114" s="284">
        <f>+'NCP FCST'!J$67</f>
        <v>23236.708661309625</v>
      </c>
      <c r="L114" s="284">
        <f>+'NCP FCST'!K$67</f>
        <v>21103.903475741536</v>
      </c>
      <c r="M114" s="284">
        <f>+'NCP FCST'!L$67</f>
        <v>20724.494800057044</v>
      </c>
      <c r="N114" s="284">
        <f>+'NCP FCST'!M$67</f>
        <v>19575.146358407917</v>
      </c>
      <c r="O114" s="284"/>
      <c r="P114" s="284">
        <f>MAX(C114:N114)</f>
        <v>26393.507330788761</v>
      </c>
      <c r="Q114" s="284"/>
      <c r="R114" s="282"/>
      <c r="T114" s="255">
        <f>+'NCP FCST'!O$67</f>
        <v>26393.507330788761</v>
      </c>
      <c r="U114" s="255">
        <f>P114-T114</f>
        <v>0</v>
      </c>
    </row>
    <row r="115" spans="1:21">
      <c r="A115" s="253" t="str">
        <f>B112&amp;" "&amp;B115</f>
        <v>OL-1 GNCP</v>
      </c>
      <c r="B115" s="254" t="s">
        <v>342</v>
      </c>
      <c r="C115" s="284">
        <f>+'GNCP FCST'!B$67</f>
        <v>19911.681915967529</v>
      </c>
      <c r="D115" s="284">
        <f>+'GNCP FCST'!C$67</f>
        <v>22960.046461997095</v>
      </c>
      <c r="E115" s="284">
        <f>+'GNCP FCST'!D$67</f>
        <v>22035.366080067903</v>
      </c>
      <c r="F115" s="284">
        <f>+'GNCP FCST'!E$67</f>
        <v>24241.792484082052</v>
      </c>
      <c r="G115" s="284">
        <f>+'GNCP FCST'!F$67</f>
        <v>24823.14579207835</v>
      </c>
      <c r="H115" s="284">
        <f>+'GNCP FCST'!G$67</f>
        <v>26393.507330788761</v>
      </c>
      <c r="I115" s="284">
        <f>+'GNCP FCST'!H$67</f>
        <v>25192.897437508876</v>
      </c>
      <c r="J115" s="284">
        <f>+'GNCP FCST'!I$67</f>
        <v>23977.727271155429</v>
      </c>
      <c r="K115" s="284">
        <f>+'GNCP FCST'!J$67</f>
        <v>23236.708661309625</v>
      </c>
      <c r="L115" s="284">
        <f>+'GNCP FCST'!K$67</f>
        <v>21103.903475741536</v>
      </c>
      <c r="M115" s="284">
        <f>+'GNCP FCST'!L$67</f>
        <v>20724.494800057044</v>
      </c>
      <c r="N115" s="284">
        <f>+'GNCP FCST'!M$67</f>
        <v>19575.146358407917</v>
      </c>
      <c r="O115" s="284"/>
      <c r="Q115" s="284">
        <f>MAX(C115:N115)</f>
        <v>26393.507330788761</v>
      </c>
      <c r="R115" s="282"/>
      <c r="T115" s="255">
        <f>+'GNCP FCST'!O$67</f>
        <v>26393.507330788761</v>
      </c>
      <c r="U115" s="255">
        <f>+Q115-T115</f>
        <v>0</v>
      </c>
    </row>
    <row r="116" spans="1:21">
      <c r="A116" s="253" t="str">
        <f>B112&amp;" "&amp;B116</f>
        <v>OL-1 CP</v>
      </c>
      <c r="B116" s="254" t="s">
        <v>148</v>
      </c>
      <c r="C116" s="284">
        <f>+'CP FCST'!B$67</f>
        <v>8960.6300009775732</v>
      </c>
      <c r="D116" s="284">
        <f>+'CP FCST'!C$67</f>
        <v>0</v>
      </c>
      <c r="E116" s="284">
        <f>+'CP FCST'!D$67</f>
        <v>0</v>
      </c>
      <c r="F116" s="284">
        <f>+'CP FCST'!E$67</f>
        <v>0</v>
      </c>
      <c r="G116" s="284">
        <f>+'CP FCST'!F$67</f>
        <v>0</v>
      </c>
      <c r="H116" s="284">
        <f>+'CP FCST'!G$67</f>
        <v>0</v>
      </c>
      <c r="I116" s="284">
        <f>+'CP FCST'!H$67</f>
        <v>0</v>
      </c>
      <c r="J116" s="284">
        <f>+'CP FCST'!I$67</f>
        <v>0</v>
      </c>
      <c r="K116" s="284">
        <f>+'CP FCST'!J$67</f>
        <v>0</v>
      </c>
      <c r="L116" s="284">
        <f>+'CP FCST'!K$67</f>
        <v>0</v>
      </c>
      <c r="M116" s="284">
        <f>+'CP FCST'!L$67</f>
        <v>6761.2971105993411</v>
      </c>
      <c r="N116" s="284">
        <f>+'CP FCST'!M$67</f>
        <v>6694.5732339721153</v>
      </c>
      <c r="O116" s="284"/>
      <c r="P116" s="284"/>
      <c r="Q116" s="284"/>
      <c r="R116" s="255">
        <f>AVERAGE(C116:N116)</f>
        <v>1868.0416954624191</v>
      </c>
      <c r="T116" s="255">
        <f>+'CP FCST'!O$67</f>
        <v>1868.0416954624191</v>
      </c>
      <c r="U116" s="255">
        <f>R116-T116</f>
        <v>0</v>
      </c>
    </row>
    <row r="117" spans="1:21">
      <c r="A117" s="253" t="str">
        <f>B112&amp;" "&amp;B117</f>
        <v>OL-1 CP - L.F.</v>
      </c>
      <c r="B117" s="254" t="s">
        <v>1197</v>
      </c>
      <c r="C117" s="498">
        <f>'OL-1'!C13</f>
        <v>1.3401010527836699</v>
      </c>
      <c r="D117" s="498" t="str">
        <f>'OL-1'!D13</f>
        <v/>
      </c>
      <c r="E117" s="498" t="str">
        <f>'OL-1'!E13</f>
        <v/>
      </c>
      <c r="F117" s="498" t="str">
        <f>'OL-1'!F13</f>
        <v/>
      </c>
      <c r="G117" s="498" t="str">
        <f>'OL-1'!G13</f>
        <v/>
      </c>
      <c r="H117" s="498" t="str">
        <f>'OL-1'!H13</f>
        <v/>
      </c>
      <c r="I117" s="498" t="str">
        <f>'OL-1'!I13</f>
        <v/>
      </c>
      <c r="J117" s="498" t="str">
        <f>'OL-1'!J13</f>
        <v/>
      </c>
      <c r="K117" s="498" t="str">
        <f>'OL-1'!K13</f>
        <v/>
      </c>
      <c r="L117" s="498" t="str">
        <f>'OL-1'!L13</f>
        <v/>
      </c>
      <c r="M117" s="498">
        <f>'OL-1'!M13</f>
        <v>1.6374335629147405</v>
      </c>
      <c r="N117" s="498">
        <f>'OL-1'!N13</f>
        <v>1.6759749957330603</v>
      </c>
      <c r="O117" s="284"/>
      <c r="P117" s="284"/>
      <c r="Q117" s="284"/>
      <c r="R117" s="255"/>
    </row>
    <row r="118" spans="1:21">
      <c r="A118" s="253" t="str">
        <f>B112&amp;" "&amp;B118</f>
        <v>OL-1 GCP - L.F.</v>
      </c>
      <c r="B118" s="254" t="s">
        <v>1198</v>
      </c>
      <c r="C118" s="498">
        <f>'OL-1'!C14</f>
        <v>0.55221568208837091</v>
      </c>
      <c r="D118" s="498">
        <f>'OL-1'!D14</f>
        <v>0.52994619613918381</v>
      </c>
      <c r="E118" s="498">
        <f>'OL-1'!E14</f>
        <v>0.49849946852056309</v>
      </c>
      <c r="F118" s="498">
        <f>'OL-1'!F14</f>
        <v>0.46799871689469158</v>
      </c>
      <c r="G118" s="498">
        <f>'OL-1'!G14</f>
        <v>0.44207505528525964</v>
      </c>
      <c r="H118" s="498">
        <f>'OL-1'!H14</f>
        <v>0.42941768772305794</v>
      </c>
      <c r="I118" s="498">
        <f>'OL-1'!I14</f>
        <v>0.43515315554304584</v>
      </c>
      <c r="J118" s="498">
        <f>'OL-1'!J14</f>
        <v>0.45697852543323625</v>
      </c>
      <c r="K118" s="498">
        <f>'OL-1'!K14</f>
        <v>0.48702704503064215</v>
      </c>
      <c r="L118" s="498">
        <f>'OL-1'!L14</f>
        <v>0.51868990649112512</v>
      </c>
      <c r="M118" s="498">
        <f>'OL-1'!M14</f>
        <v>0.54551953018587207</v>
      </c>
      <c r="N118" s="498">
        <f>'OL-1'!N14</f>
        <v>0.55863985837073005</v>
      </c>
      <c r="O118" s="284"/>
      <c r="P118" s="284"/>
      <c r="Q118" s="284"/>
      <c r="R118" s="255"/>
    </row>
    <row r="119" spans="1:21">
      <c r="A119" s="253" t="str">
        <f>B112&amp;" "&amp;B119</f>
        <v>OL-1 NCP - L.F.</v>
      </c>
      <c r="B119" s="254" t="s">
        <v>1199</v>
      </c>
      <c r="C119" s="498">
        <f>'OL-1'!C15</f>
        <v>0.55221568208837091</v>
      </c>
      <c r="D119" s="498">
        <f>'OL-1'!D15</f>
        <v>0.52994619613918381</v>
      </c>
      <c r="E119" s="498">
        <f>'OL-1'!E15</f>
        <v>0.49849946852056309</v>
      </c>
      <c r="F119" s="498">
        <f>'OL-1'!F15</f>
        <v>0.46799871689469158</v>
      </c>
      <c r="G119" s="498">
        <f>'OL-1'!G15</f>
        <v>0.44207505528525964</v>
      </c>
      <c r="H119" s="498">
        <f>'OL-1'!H15</f>
        <v>0.42941768772305794</v>
      </c>
      <c r="I119" s="498">
        <f>'OL-1'!I15</f>
        <v>0.43515315554304584</v>
      </c>
      <c r="J119" s="498">
        <f>'OL-1'!J15</f>
        <v>0.45697852543323625</v>
      </c>
      <c r="K119" s="498">
        <f>'OL-1'!K15</f>
        <v>0.48702704503064215</v>
      </c>
      <c r="L119" s="498">
        <f>'OL-1'!L15</f>
        <v>0.51868990649112512</v>
      </c>
      <c r="M119" s="498">
        <f>'OL-1'!M15</f>
        <v>0.54551953018587207</v>
      </c>
      <c r="N119" s="498">
        <f>'OL-1'!N15</f>
        <v>0.55863985837073005</v>
      </c>
      <c r="O119" s="284"/>
      <c r="P119" s="284"/>
      <c r="Q119" s="284"/>
      <c r="R119" s="255"/>
    </row>
    <row r="120" spans="1:21">
      <c r="B120" s="254" t="s">
        <v>570</v>
      </c>
      <c r="C120" s="285" t="str">
        <f t="shared" ref="C120:N120" si="10">IF(C116&gt;C115,"ERROR",IF(C115&gt;C114,"ERROR","OK"))</f>
        <v>OK</v>
      </c>
      <c r="D120" s="285" t="str">
        <f t="shared" si="10"/>
        <v>OK</v>
      </c>
      <c r="E120" s="285" t="str">
        <f t="shared" si="10"/>
        <v>OK</v>
      </c>
      <c r="F120" s="285" t="str">
        <f t="shared" si="10"/>
        <v>OK</v>
      </c>
      <c r="G120" s="285" t="str">
        <f t="shared" si="10"/>
        <v>OK</v>
      </c>
      <c r="H120" s="285" t="str">
        <f t="shared" si="10"/>
        <v>OK</v>
      </c>
      <c r="I120" s="285" t="str">
        <f t="shared" si="10"/>
        <v>OK</v>
      </c>
      <c r="J120" s="285" t="str">
        <f t="shared" si="10"/>
        <v>OK</v>
      </c>
      <c r="K120" s="285" t="str">
        <f t="shared" si="10"/>
        <v>OK</v>
      </c>
      <c r="L120" s="285" t="str">
        <f t="shared" si="10"/>
        <v>OK</v>
      </c>
      <c r="M120" s="285" t="str">
        <f t="shared" si="10"/>
        <v>OK</v>
      </c>
      <c r="N120" s="285" t="str">
        <f t="shared" si="10"/>
        <v>OK</v>
      </c>
      <c r="O120" s="284"/>
      <c r="P120" s="284"/>
      <c r="Q120" s="284"/>
      <c r="R120" s="255"/>
    </row>
    <row r="121" spans="1:21">
      <c r="B121" s="259"/>
      <c r="C121" s="284"/>
      <c r="D121" s="284"/>
      <c r="E121" s="284"/>
      <c r="F121" s="284"/>
      <c r="G121" s="284"/>
      <c r="H121" s="284"/>
      <c r="I121" s="284"/>
      <c r="J121" s="284"/>
      <c r="K121" s="284"/>
      <c r="L121" s="284"/>
      <c r="M121" s="284"/>
      <c r="N121" s="284"/>
      <c r="O121" s="284"/>
      <c r="P121" s="284"/>
      <c r="Q121" s="284"/>
      <c r="R121" s="282"/>
    </row>
    <row r="122" spans="1:21">
      <c r="B122" s="252" t="s">
        <v>57</v>
      </c>
      <c r="C122" s="284"/>
      <c r="D122" s="284"/>
      <c r="E122" s="284"/>
      <c r="F122" s="284"/>
      <c r="G122" s="284"/>
      <c r="H122" s="284"/>
      <c r="I122" s="284"/>
      <c r="J122" s="284"/>
      <c r="K122" s="284"/>
      <c r="L122" s="284"/>
      <c r="M122" s="284"/>
      <c r="N122" s="284"/>
      <c r="O122" s="284"/>
      <c r="P122" s="284"/>
      <c r="Q122" s="284"/>
      <c r="R122" s="282"/>
    </row>
    <row r="123" spans="1:21">
      <c r="A123" s="253" t="str">
        <f>B122&amp;" "&amp;B123</f>
        <v>OS-2 KWH Sales</v>
      </c>
      <c r="B123" s="254" t="s">
        <v>563</v>
      </c>
      <c r="C123" s="284">
        <f>+'KWH FCST'!B$69</f>
        <v>868047</v>
      </c>
      <c r="D123" s="284">
        <f>+'KWH FCST'!C$69</f>
        <v>980593</v>
      </c>
      <c r="E123" s="284">
        <f>+'KWH FCST'!D$69</f>
        <v>1051238</v>
      </c>
      <c r="F123" s="284">
        <f>+'KWH FCST'!E$69</f>
        <v>908437</v>
      </c>
      <c r="G123" s="284">
        <f>+'KWH FCST'!F$69</f>
        <v>861058</v>
      </c>
      <c r="H123" s="284">
        <f>+'KWH FCST'!G$69</f>
        <v>823754</v>
      </c>
      <c r="I123" s="284">
        <f>+'KWH FCST'!H$69</f>
        <v>714380</v>
      </c>
      <c r="J123" s="284">
        <f>+'KWH FCST'!I$69</f>
        <v>720433</v>
      </c>
      <c r="K123" s="284">
        <f>+'KWH FCST'!J$69</f>
        <v>908768</v>
      </c>
      <c r="L123" s="284">
        <f>+'KWH FCST'!K$69</f>
        <v>936451</v>
      </c>
      <c r="M123" s="284">
        <f>+'KWH FCST'!L$69</f>
        <v>1075889</v>
      </c>
      <c r="N123" s="284">
        <f>+'KWH FCST'!M$69</f>
        <v>944265</v>
      </c>
      <c r="O123" s="284">
        <f>SUM(C123:N123)</f>
        <v>10793313</v>
      </c>
      <c r="P123" s="284"/>
      <c r="Q123" s="284"/>
      <c r="R123" s="282"/>
      <c r="T123" s="255">
        <f>VLOOKUP(B122,'Sales Forecast'!$B$7:$AO$23,39,FALSE)</f>
        <v>10793313</v>
      </c>
      <c r="U123" s="255">
        <f>+O123-T123</f>
        <v>0</v>
      </c>
    </row>
    <row r="124" spans="1:21">
      <c r="A124" s="253" t="str">
        <f>B122&amp;" "&amp;B124</f>
        <v>OS-2 NCP</v>
      </c>
      <c r="B124" s="254" t="s">
        <v>133</v>
      </c>
      <c r="C124" s="284">
        <f>+'NCP FCST'!B$68</f>
        <v>11991.200878089297</v>
      </c>
      <c r="D124" s="284">
        <f>+'NCP FCST'!C$68</f>
        <v>13791.184649160266</v>
      </c>
      <c r="E124" s="284">
        <f>+'NCP FCST'!D$68</f>
        <v>14816.577729433437</v>
      </c>
      <c r="F124" s="284">
        <f>+'NCP FCST'!E$68</f>
        <v>14240.468751154714</v>
      </c>
      <c r="G124" s="284">
        <f>+'NCP FCST'!F$68</f>
        <v>13553.988327650901</v>
      </c>
      <c r="H124" s="284">
        <f>+'NCP FCST'!G$68</f>
        <v>11959.033348750592</v>
      </c>
      <c r="I124" s="284">
        <f>+'NCP FCST'!H$68</f>
        <v>9298.2927570898646</v>
      </c>
      <c r="J124" s="284">
        <f>+'NCP FCST'!I$68</f>
        <v>9954.2867899705889</v>
      </c>
      <c r="K124" s="284">
        <f>+'NCP FCST'!J$68</f>
        <v>14269.732730704134</v>
      </c>
      <c r="L124" s="284">
        <f>+'NCP FCST'!K$68</f>
        <v>12796.831565301076</v>
      </c>
      <c r="M124" s="284">
        <f>+'NCP FCST'!L$68</f>
        <v>14735.372465397017</v>
      </c>
      <c r="N124" s="284">
        <f>+'NCP FCST'!M$68</f>
        <v>13886.153603066048</v>
      </c>
      <c r="O124" s="284"/>
      <c r="P124" s="284">
        <f>MAX(C124:N124)</f>
        <v>14816.577729433437</v>
      </c>
      <c r="Q124" s="284"/>
      <c r="R124" s="282"/>
      <c r="T124" s="255">
        <f>+'NCP FCST'!O$68</f>
        <v>14816.577729433437</v>
      </c>
      <c r="U124" s="255">
        <f>P124-T124</f>
        <v>0</v>
      </c>
    </row>
    <row r="125" spans="1:21">
      <c r="A125" s="253" t="str">
        <f>B122&amp;" "&amp;B125</f>
        <v>OS-2 GNCP</v>
      </c>
      <c r="B125" s="254" t="s">
        <v>342</v>
      </c>
      <c r="C125" s="284">
        <f>+'GNCP FCST'!B$68</f>
        <v>8218.5706292996947</v>
      </c>
      <c r="D125" s="284">
        <f>+'GNCP FCST'!C$68</f>
        <v>10671.343011832641</v>
      </c>
      <c r="E125" s="284">
        <f>+'GNCP FCST'!D$68</f>
        <v>11767.813135979159</v>
      </c>
      <c r="F125" s="284">
        <f>+'GNCP FCST'!E$68</f>
        <v>9102.4431259170797</v>
      </c>
      <c r="G125" s="284">
        <f>+'GNCP FCST'!F$68</f>
        <v>7955.8681426633748</v>
      </c>
      <c r="H125" s="284">
        <f>+'GNCP FCST'!G$68</f>
        <v>6645.0564150122536</v>
      </c>
      <c r="I125" s="284">
        <f>+'GNCP FCST'!H$68</f>
        <v>5039.8283026899926</v>
      </c>
      <c r="J125" s="284">
        <f>+'GNCP FCST'!I$68</f>
        <v>5681.5215009666026</v>
      </c>
      <c r="K125" s="284">
        <f>+'GNCP FCST'!J$68</f>
        <v>8677.8369226822088</v>
      </c>
      <c r="L125" s="284">
        <f>+'GNCP FCST'!K$68</f>
        <v>9169.4264582359356</v>
      </c>
      <c r="M125" s="284">
        <f>+'GNCP FCST'!L$68</f>
        <v>10974.528980033554</v>
      </c>
      <c r="N125" s="284">
        <f>+'GNCP FCST'!M$68</f>
        <v>9220.191465441023</v>
      </c>
      <c r="O125" s="284"/>
      <c r="Q125" s="284">
        <f>MAX(C125:N125)</f>
        <v>11767.813135979159</v>
      </c>
      <c r="R125" s="282"/>
      <c r="T125" s="255">
        <f>+'GNCP FCST'!O$68</f>
        <v>11767.813135979159</v>
      </c>
      <c r="U125" s="255">
        <f>+Q125-T125</f>
        <v>0</v>
      </c>
    </row>
    <row r="126" spans="1:21">
      <c r="A126" s="253" t="str">
        <f>B122&amp;" "&amp;B126</f>
        <v>OS-2 CP</v>
      </c>
      <c r="B126" s="254" t="s">
        <v>148</v>
      </c>
      <c r="C126" s="284">
        <f>+'CP FCST'!B$68</f>
        <v>2434.9177674053576</v>
      </c>
      <c r="D126" s="284">
        <f>+'CP FCST'!C$68</f>
        <v>596.38358712346064</v>
      </c>
      <c r="E126" s="284">
        <f>+'CP FCST'!D$68</f>
        <v>936.19886833619989</v>
      </c>
      <c r="F126" s="284">
        <f>+'CP FCST'!E$68</f>
        <v>984.98678523120191</v>
      </c>
      <c r="G126" s="284">
        <f>+'CP FCST'!F$68</f>
        <v>950.52470366677721</v>
      </c>
      <c r="H126" s="284">
        <f>+'CP FCST'!G$68</f>
        <v>938.22790036790718</v>
      </c>
      <c r="I126" s="284">
        <f>+'CP FCST'!H$68</f>
        <v>805.49187546696589</v>
      </c>
      <c r="J126" s="284">
        <f>+'CP FCST'!I$68</f>
        <v>958.60115186981579</v>
      </c>
      <c r="K126" s="284">
        <f>+'CP FCST'!J$68</f>
        <v>941.04252046484748</v>
      </c>
      <c r="L126" s="284">
        <f>+'CP FCST'!K$68</f>
        <v>812.8098036272105</v>
      </c>
      <c r="M126" s="284">
        <f>+'CP FCST'!L$68</f>
        <v>2664.6745134017392</v>
      </c>
      <c r="N126" s="284">
        <f>+'CP FCST'!M$68</f>
        <v>3062.8612562171766</v>
      </c>
      <c r="O126" s="284"/>
      <c r="P126" s="284"/>
      <c r="Q126" s="284"/>
      <c r="R126" s="255">
        <f>AVERAGE(C126:N126)</f>
        <v>1340.5600610982217</v>
      </c>
      <c r="T126" s="255">
        <f>+'CP FCST'!O$68</f>
        <v>1340.5600610982217</v>
      </c>
      <c r="U126" s="255">
        <f>R126-T126</f>
        <v>0</v>
      </c>
    </row>
    <row r="127" spans="1:21">
      <c r="A127" s="253" t="str">
        <f>B122&amp;" "&amp;B127</f>
        <v>OS-2 CP - L.F.</v>
      </c>
      <c r="B127" s="254" t="s">
        <v>1197</v>
      </c>
      <c r="C127" s="498">
        <f>'OS-2'!C13</f>
        <v>0.52329359352403693</v>
      </c>
      <c r="D127" s="498">
        <f>'OS-2'!D13</f>
        <v>2.4636230155088557</v>
      </c>
      <c r="E127" s="498">
        <f>'OS-2'!E13</f>
        <v>1.6887195036356999</v>
      </c>
      <c r="F127" s="498">
        <f>'OS-2'!F13</f>
        <v>1.3835086763750335</v>
      </c>
      <c r="G127" s="498">
        <f>'OS-2'!G13</f>
        <v>1.3396219507302198</v>
      </c>
      <c r="H127" s="498">
        <f>'OS-2'!H13</f>
        <v>1.2822905348303755</v>
      </c>
      <c r="I127" s="498">
        <f>'OS-2'!I13</f>
        <v>1.2682057988509601</v>
      </c>
      <c r="J127" s="498">
        <f>'OS-2'!J13</f>
        <v>1.1084512073559454</v>
      </c>
      <c r="K127" s="498">
        <f>'OS-2'!K13</f>
        <v>1.3538241350113536</v>
      </c>
      <c r="L127" s="498">
        <f>'OS-2'!L13</f>
        <v>1.5793720331383534</v>
      </c>
      <c r="M127" s="498">
        <f>'OS-2'!M13</f>
        <v>0.54914907353605791</v>
      </c>
      <c r="N127" s="498">
        <f>'OS-2'!N13</f>
        <v>0.42515484021219896</v>
      </c>
      <c r="O127" s="284"/>
      <c r="P127" s="284"/>
      <c r="Q127" s="284"/>
      <c r="R127" s="255"/>
    </row>
    <row r="128" spans="1:21">
      <c r="A128" s="253" t="str">
        <f>B122&amp;" "&amp;B128</f>
        <v>OS-2 GCP - L.F.</v>
      </c>
      <c r="B128" s="254" t="s">
        <v>1198</v>
      </c>
      <c r="C128" s="498">
        <f>'OS-2'!C14</f>
        <v>0.14196262237501686</v>
      </c>
      <c r="D128" s="498">
        <f>'OS-2'!D14</f>
        <v>0.13674153030143538</v>
      </c>
      <c r="E128" s="498">
        <f>'OS-2'!E14</f>
        <v>0.12006940327385661</v>
      </c>
      <c r="F128" s="498">
        <f>'OS-2'!F14</f>
        <v>0.13861312156547381</v>
      </c>
      <c r="G128" s="498">
        <f>'OS-2'!G14</f>
        <v>0.14546948249420541</v>
      </c>
      <c r="H128" s="498">
        <f>'OS-2'!H14</f>
        <v>0.17217352364278884</v>
      </c>
      <c r="I128" s="498">
        <f>'OS-2'!I14</f>
        <v>0.19052001663043033</v>
      </c>
      <c r="J128" s="498">
        <f>'OS-2'!J14</f>
        <v>0.17043391010074344</v>
      </c>
      <c r="K128" s="498">
        <f>'OS-2'!K14</f>
        <v>0.14544843248652045</v>
      </c>
      <c r="L128" s="498">
        <f>'OS-2'!L14</f>
        <v>0.13726820370473652</v>
      </c>
      <c r="M128" s="498">
        <f>'OS-2'!M14</f>
        <v>0.13615985528822297</v>
      </c>
      <c r="N128" s="498">
        <f>'OS-2'!N14</f>
        <v>0.13765152186414675</v>
      </c>
      <c r="O128" s="284"/>
      <c r="P128" s="284"/>
      <c r="Q128" s="284"/>
      <c r="R128" s="255"/>
    </row>
    <row r="129" spans="1:21">
      <c r="A129" s="253" t="str">
        <f>B122&amp;" "&amp;B129</f>
        <v>OS-2 NCP - L.F.</v>
      </c>
      <c r="B129" s="254" t="s">
        <v>1199</v>
      </c>
      <c r="C129" s="498">
        <f>'OS-2'!C15</f>
        <v>9.7298831916123013E-2</v>
      </c>
      <c r="D129" s="498">
        <f>'OS-2'!D15</f>
        <v>0.10580786284362992</v>
      </c>
      <c r="E129" s="498">
        <f>'OS-2'!E15</f>
        <v>9.536306742874949E-2</v>
      </c>
      <c r="F129" s="498">
        <f>'OS-2'!F15</f>
        <v>8.8600879479704409E-2</v>
      </c>
      <c r="G129" s="498">
        <f>'OS-2'!G15</f>
        <v>8.5387119534723624E-2</v>
      </c>
      <c r="H129" s="498">
        <f>'OS-2'!H15</f>
        <v>9.5668499653218775E-2</v>
      </c>
      <c r="I129" s="498">
        <f>'OS-2'!I15</f>
        <v>0.10326499682545229</v>
      </c>
      <c r="J129" s="498">
        <f>'OS-2'!J15</f>
        <v>9.7277077219315666E-2</v>
      </c>
      <c r="K129" s="498">
        <f>'OS-2'!K15</f>
        <v>8.8451395803787844E-2</v>
      </c>
      <c r="L129" s="498">
        <f>'OS-2'!L15</f>
        <v>9.8357995297652254E-2</v>
      </c>
      <c r="M129" s="498">
        <f>'OS-2'!M15</f>
        <v>0.10140838185711358</v>
      </c>
      <c r="N129" s="498">
        <f>'OS-2'!N15</f>
        <v>9.1398483941337219E-2</v>
      </c>
      <c r="O129" s="284"/>
      <c r="P129" s="284"/>
      <c r="Q129" s="284"/>
      <c r="R129" s="255"/>
    </row>
    <row r="130" spans="1:21">
      <c r="B130" s="254" t="s">
        <v>570</v>
      </c>
      <c r="C130" s="285" t="str">
        <f t="shared" ref="C130:N130" si="11">IF(C126&gt;C125,"ERROR",IF(C125&gt;C124,"ERROR","OK"))</f>
        <v>OK</v>
      </c>
      <c r="D130" s="285" t="str">
        <f t="shared" si="11"/>
        <v>OK</v>
      </c>
      <c r="E130" s="285" t="str">
        <f t="shared" si="11"/>
        <v>OK</v>
      </c>
      <c r="F130" s="285" t="str">
        <f t="shared" si="11"/>
        <v>OK</v>
      </c>
      <c r="G130" s="285" t="str">
        <f t="shared" si="11"/>
        <v>OK</v>
      </c>
      <c r="H130" s="285" t="str">
        <f t="shared" si="11"/>
        <v>OK</v>
      </c>
      <c r="I130" s="285" t="str">
        <f t="shared" si="11"/>
        <v>OK</v>
      </c>
      <c r="J130" s="285" t="str">
        <f t="shared" si="11"/>
        <v>OK</v>
      </c>
      <c r="K130" s="285" t="str">
        <f t="shared" si="11"/>
        <v>OK</v>
      </c>
      <c r="L130" s="285" t="str">
        <f t="shared" si="11"/>
        <v>OK</v>
      </c>
      <c r="M130" s="285" t="str">
        <f t="shared" si="11"/>
        <v>OK</v>
      </c>
      <c r="N130" s="285" t="str">
        <f t="shared" si="11"/>
        <v>OK</v>
      </c>
      <c r="O130" s="284"/>
      <c r="P130" s="284"/>
      <c r="Q130" s="284"/>
      <c r="R130" s="255"/>
    </row>
    <row r="131" spans="1:21">
      <c r="B131" s="259"/>
      <c r="C131" s="284"/>
      <c r="D131" s="284"/>
      <c r="E131" s="284"/>
      <c r="F131" s="284"/>
      <c r="G131" s="284"/>
      <c r="H131" s="284"/>
      <c r="I131" s="284"/>
      <c r="J131" s="284"/>
      <c r="K131" s="284"/>
      <c r="L131" s="284"/>
      <c r="M131" s="284"/>
      <c r="N131" s="284"/>
      <c r="O131" s="284"/>
      <c r="P131" s="284"/>
      <c r="Q131" s="284"/>
      <c r="R131" s="282"/>
    </row>
    <row r="132" spans="1:21">
      <c r="B132" s="252" t="s">
        <v>48</v>
      </c>
      <c r="C132" s="284"/>
      <c r="D132" s="284"/>
      <c r="E132" s="284"/>
      <c r="F132" s="284"/>
      <c r="G132" s="284"/>
      <c r="H132" s="284"/>
      <c r="I132" s="284"/>
      <c r="J132" s="284"/>
      <c r="K132" s="284"/>
      <c r="L132" s="284"/>
      <c r="M132" s="284"/>
      <c r="N132" s="284"/>
      <c r="O132" s="284"/>
      <c r="P132" s="284"/>
      <c r="Q132" s="284"/>
      <c r="R132" s="282"/>
    </row>
    <row r="133" spans="1:21">
      <c r="A133" s="253" t="str">
        <f>B132&amp;" "&amp;B133</f>
        <v>RS(T)-1 KWH Sales</v>
      </c>
      <c r="B133" s="254" t="s">
        <v>563</v>
      </c>
      <c r="C133" s="284">
        <f>+'KWH FCST'!B$70</f>
        <v>4459036218</v>
      </c>
      <c r="D133" s="284">
        <f>+'KWH FCST'!C$70</f>
        <v>3960503996</v>
      </c>
      <c r="E133" s="284">
        <f>+'KWH FCST'!D$70</f>
        <v>3878065213</v>
      </c>
      <c r="F133" s="284">
        <f>+'KWH FCST'!E$70</f>
        <v>3972698748</v>
      </c>
      <c r="G133" s="284">
        <f>+'KWH FCST'!F$70</f>
        <v>4630611997</v>
      </c>
      <c r="H133" s="284">
        <f>+'KWH FCST'!G$70</f>
        <v>5289857496</v>
      </c>
      <c r="I133" s="284">
        <f>+'KWH FCST'!H$70</f>
        <v>5760290400</v>
      </c>
      <c r="J133" s="284">
        <f>+'KWH FCST'!I$70</f>
        <v>5891589976</v>
      </c>
      <c r="K133" s="284">
        <f>+'KWH FCST'!J$70</f>
        <v>5704211543</v>
      </c>
      <c r="L133" s="284">
        <f>+'KWH FCST'!K$70</f>
        <v>5133789102</v>
      </c>
      <c r="M133" s="284">
        <f>+'KWH FCST'!L$70</f>
        <v>4240281030</v>
      </c>
      <c r="N133" s="284">
        <f>+'KWH FCST'!M$70</f>
        <v>4072742788</v>
      </c>
      <c r="O133" s="284">
        <f>SUM(C133:N133)</f>
        <v>56993678507</v>
      </c>
      <c r="P133" s="284"/>
      <c r="Q133" s="284"/>
      <c r="R133" s="282"/>
      <c r="T133" s="255">
        <f>VLOOKUP(B132,'Sales Forecast'!$B$7:$AO$23,39,FALSE)</f>
        <v>56993678507</v>
      </c>
      <c r="U133" s="255">
        <f>+O133-T133</f>
        <v>0</v>
      </c>
    </row>
    <row r="134" spans="1:21">
      <c r="A134" s="253" t="str">
        <f>B132&amp;" "&amp;B134</f>
        <v>RS(T)-1 NCP</v>
      </c>
      <c r="B134" s="254" t="s">
        <v>133</v>
      </c>
      <c r="C134" s="284">
        <f>+'NCP FCST'!B$69</f>
        <v>33240569.502738744</v>
      </c>
      <c r="D134" s="284">
        <f>+'NCP FCST'!C$69</f>
        <v>30841388.279193997</v>
      </c>
      <c r="E134" s="284">
        <f>+'NCP FCST'!D$69</f>
        <v>26868871.895199031</v>
      </c>
      <c r="F134" s="284">
        <f>+'NCP FCST'!E$69</f>
        <v>24206423.468358532</v>
      </c>
      <c r="G134" s="284">
        <f>+'NCP FCST'!F$69</f>
        <v>24180258.305432726</v>
      </c>
      <c r="H134" s="284">
        <f>+'NCP FCST'!G$69</f>
        <v>25527480.436159562</v>
      </c>
      <c r="I134" s="284">
        <f>+'NCP FCST'!H$69</f>
        <v>26017220.015527923</v>
      </c>
      <c r="J134" s="284">
        <f>+'NCP FCST'!I$69</f>
        <v>25729592.504112281</v>
      </c>
      <c r="K134" s="284">
        <f>+'NCP FCST'!J$69</f>
        <v>27628681.680564873</v>
      </c>
      <c r="L134" s="284">
        <f>+'NCP FCST'!K$69</f>
        <v>27124751.866285715</v>
      </c>
      <c r="M134" s="284">
        <f>+'NCP FCST'!L$69</f>
        <v>29740365.650586989</v>
      </c>
      <c r="N134" s="284">
        <f>+'NCP FCST'!M$69</f>
        <v>28509269.619979188</v>
      </c>
      <c r="O134" s="284"/>
      <c r="P134" s="284">
        <f>MAX(C134:N134)</f>
        <v>33240569.502738744</v>
      </c>
      <c r="Q134" s="284"/>
      <c r="R134" s="282"/>
      <c r="T134" s="255">
        <f>+'NCP FCST'!O$69</f>
        <v>33240569.502738744</v>
      </c>
      <c r="U134" s="255">
        <f>P134-T134</f>
        <v>0</v>
      </c>
    </row>
    <row r="135" spans="1:21">
      <c r="A135" s="253" t="str">
        <f>B132&amp;" "&amp;B135</f>
        <v>RS(T)-1 GNCP</v>
      </c>
      <c r="B135" s="254" t="s">
        <v>342</v>
      </c>
      <c r="C135" s="284">
        <f>+'GNCP FCST'!B$69</f>
        <v>12266415.5011626</v>
      </c>
      <c r="D135" s="284">
        <f>+'GNCP FCST'!C$69</f>
        <v>10690369.007435217</v>
      </c>
      <c r="E135" s="284">
        <f>+'GNCP FCST'!D$69</f>
        <v>10092364.182004977</v>
      </c>
      <c r="F135" s="284">
        <f>+'GNCP FCST'!E$69</f>
        <v>10223846.749515673</v>
      </c>
      <c r="G135" s="284">
        <f>+'GNCP FCST'!F$69</f>
        <v>11309070.385756409</v>
      </c>
      <c r="H135" s="284">
        <f>+'GNCP FCST'!G$69</f>
        <v>12157236.44132923</v>
      </c>
      <c r="I135" s="284">
        <f>+'GNCP FCST'!H$69</f>
        <v>12587426.233733175</v>
      </c>
      <c r="J135" s="284">
        <f>+'GNCP FCST'!I$69</f>
        <v>12995922.179471279</v>
      </c>
      <c r="K135" s="284">
        <f>+'GNCP FCST'!J$69</f>
        <v>13187357.985081904</v>
      </c>
      <c r="L135" s="284">
        <f>+'GNCP FCST'!K$69</f>
        <v>11711310.127020253</v>
      </c>
      <c r="M135" s="284">
        <f>+'GNCP FCST'!L$69</f>
        <v>9915916.0956708156</v>
      </c>
      <c r="N135" s="284">
        <f>+'GNCP FCST'!M$69</f>
        <v>9119559.8866352905</v>
      </c>
      <c r="O135" s="284"/>
      <c r="Q135" s="284">
        <f>MAX(C135:N135)</f>
        <v>13187357.985081904</v>
      </c>
      <c r="R135" s="282"/>
      <c r="T135" s="255">
        <f>+'GNCP FCST'!O$69</f>
        <v>13187357.985081904</v>
      </c>
      <c r="U135" s="255">
        <f>+Q135-T135</f>
        <v>0</v>
      </c>
    </row>
    <row r="136" spans="1:21">
      <c r="A136" s="253" t="str">
        <f>B132&amp;" "&amp;B136</f>
        <v>RS(T)-1 CP</v>
      </c>
      <c r="B136" s="254" t="s">
        <v>148</v>
      </c>
      <c r="C136" s="284">
        <f>+'CP FCST'!B$69</f>
        <v>12266415.5011626</v>
      </c>
      <c r="D136" s="284">
        <f>+'CP FCST'!C$69</f>
        <v>8706747.477381099</v>
      </c>
      <c r="E136" s="284">
        <f>+'CP FCST'!D$69</f>
        <v>10092364.182004977</v>
      </c>
      <c r="F136" s="284">
        <f>+'CP FCST'!E$69</f>
        <v>10223846.749515673</v>
      </c>
      <c r="G136" s="284">
        <f>+'CP FCST'!F$69</f>
        <v>11309070.385756409</v>
      </c>
      <c r="H136" s="284">
        <f>+'CP FCST'!G$69</f>
        <v>12157236.44132923</v>
      </c>
      <c r="I136" s="284">
        <f>+'CP FCST'!H$69</f>
        <v>12587426.233733175</v>
      </c>
      <c r="J136" s="284">
        <f>+'CP FCST'!I$69</f>
        <v>12995922.179471279</v>
      </c>
      <c r="K136" s="284">
        <f>+'CP FCST'!J$69</f>
        <v>12467281.231084516</v>
      </c>
      <c r="L136" s="284">
        <f>+'CP FCST'!K$69</f>
        <v>11211195.882100441</v>
      </c>
      <c r="M136" s="284">
        <f>+'CP FCST'!L$69</f>
        <v>9341457.0087480452</v>
      </c>
      <c r="N136" s="284">
        <f>+'CP FCST'!M$69</f>
        <v>9111417.9954972304</v>
      </c>
      <c r="O136" s="284"/>
      <c r="P136" s="284"/>
      <c r="Q136" s="284"/>
      <c r="R136" s="255">
        <f>AVERAGE(C136:N136)</f>
        <v>11039198.438982056</v>
      </c>
      <c r="T136" s="255">
        <f>+'CP FCST'!O$69</f>
        <v>11039198.438982056</v>
      </c>
      <c r="U136" s="255">
        <f>R136-T136</f>
        <v>0</v>
      </c>
    </row>
    <row r="137" spans="1:21">
      <c r="A137" s="253" t="str">
        <f>B132&amp;" "&amp;B137</f>
        <v>RS(T)-1 CP - L.F.</v>
      </c>
      <c r="B137" s="254" t="s">
        <v>1197</v>
      </c>
      <c r="C137" s="498">
        <f>'RS(T)-1'!C13</f>
        <v>0.53359260790981877</v>
      </c>
      <c r="D137" s="498">
        <f>'RS(T)-1'!D13</f>
        <v>0.6815624476596599</v>
      </c>
      <c r="E137" s="498">
        <f>'RS(T)-1'!E13</f>
        <v>0.57789212187367189</v>
      </c>
      <c r="F137" s="498">
        <f>'RS(T)-1'!F13</f>
        <v>0.58289291844915669</v>
      </c>
      <c r="G137" s="498">
        <f>'RS(T)-1'!G13</f>
        <v>0.60551477274993171</v>
      </c>
      <c r="H137" s="498">
        <f>'RS(T)-1'!H13</f>
        <v>0.63548653527223997</v>
      </c>
      <c r="I137" s="498">
        <f>'RS(T)-1'!I13</f>
        <v>0.65437854481452484</v>
      </c>
      <c r="J137" s="498">
        <f>'RS(T)-1'!J13</f>
        <v>0.66863074424616009</v>
      </c>
      <c r="K137" s="498">
        <f>'RS(T)-1'!K13</f>
        <v>0.64141976778435672</v>
      </c>
      <c r="L137" s="498">
        <f>'RS(T)-1'!L13</f>
        <v>0.62773219314733053</v>
      </c>
      <c r="M137" s="498">
        <f>'RS(T)-1'!M13</f>
        <v>0.61737206935755473</v>
      </c>
      <c r="N137" s="498">
        <f>'RS(T)-1'!N13</f>
        <v>0.616426885139157</v>
      </c>
      <c r="O137" s="284"/>
      <c r="P137" s="284"/>
      <c r="Q137" s="284"/>
      <c r="R137" s="255"/>
    </row>
    <row r="138" spans="1:21">
      <c r="A138" s="253" t="str">
        <f>B132&amp;" "&amp;B138</f>
        <v>RS(T)-1 GCP - L.F.</v>
      </c>
      <c r="B138" s="254" t="s">
        <v>1198</v>
      </c>
      <c r="C138" s="498">
        <f>'RS(T)-1'!C14</f>
        <v>0.52014157480489409</v>
      </c>
      <c r="D138" s="498">
        <f>'RS(T)-1'!D14</f>
        <v>0.55130062702285787</v>
      </c>
      <c r="E138" s="498">
        <f>'RS(T)-1'!E14</f>
        <v>0.55755153587521233</v>
      </c>
      <c r="F138" s="498">
        <f>'RS(T)-1'!F14</f>
        <v>0.57066014065930537</v>
      </c>
      <c r="G138" s="498">
        <f>'RS(T)-1'!G14</f>
        <v>0.59239065413791991</v>
      </c>
      <c r="H138" s="498">
        <f>'RS(T)-1'!H14</f>
        <v>0.61473537170878023</v>
      </c>
      <c r="I138" s="498">
        <f>'RS(T)-1'!I14</f>
        <v>0.62510135078736173</v>
      </c>
      <c r="J138" s="498">
        <f>'RS(T)-1'!J14</f>
        <v>0.64130386067614265</v>
      </c>
      <c r="K138" s="498">
        <f>'RS(T)-1'!K14</f>
        <v>0.60076597912233287</v>
      </c>
      <c r="L138" s="498">
        <f>'RS(T)-1'!L14</f>
        <v>0.58919575133055524</v>
      </c>
      <c r="M138" s="498">
        <f>'RS(T)-1'!M14</f>
        <v>0.59392184761471811</v>
      </c>
      <c r="N138" s="498">
        <f>'RS(T)-1'!N14</f>
        <v>0.60026105629943272</v>
      </c>
      <c r="O138" s="284"/>
      <c r="P138" s="284"/>
      <c r="Q138" s="284"/>
      <c r="R138" s="255"/>
    </row>
    <row r="139" spans="1:21">
      <c r="A139" s="253" t="str">
        <f>B132&amp;" "&amp;B139</f>
        <v>RS(T)-1 NCP - L.F.</v>
      </c>
      <c r="B139" s="254" t="s">
        <v>1199</v>
      </c>
      <c r="C139" s="498">
        <f>'RS(T)-1'!C15</f>
        <v>0.1803016115444773</v>
      </c>
      <c r="D139" s="498">
        <f>'RS(T)-1'!D15</f>
        <v>0.1910940935457392</v>
      </c>
      <c r="E139" s="498">
        <f>'RS(T)-1'!E15</f>
        <v>0.19399598403723597</v>
      </c>
      <c r="F139" s="498">
        <f>'RS(T)-1'!F15</f>
        <v>0.2279410321484456</v>
      </c>
      <c r="G139" s="498">
        <f>'RS(T)-1'!G15</f>
        <v>0.2573976165831291</v>
      </c>
      <c r="H139" s="498">
        <f>'RS(T)-1'!H15</f>
        <v>0.28780843915927451</v>
      </c>
      <c r="I139" s="498">
        <f>'RS(T)-1'!I15</f>
        <v>0.29758466899348746</v>
      </c>
      <c r="J139" s="498">
        <f>'RS(T)-1'!J15</f>
        <v>0.3077702738555676</v>
      </c>
      <c r="K139" s="498">
        <f>'RS(T)-1'!K15</f>
        <v>0.28674969452188742</v>
      </c>
      <c r="L139" s="498">
        <f>'RS(T)-1'!L15</f>
        <v>0.25438957758472258</v>
      </c>
      <c r="M139" s="498">
        <f>'RS(T)-1'!M15</f>
        <v>0.1980230935128767</v>
      </c>
      <c r="N139" s="498">
        <f>'RS(T)-1'!N15</f>
        <v>0.19201181663038447</v>
      </c>
      <c r="O139" s="284"/>
      <c r="P139" s="284"/>
      <c r="Q139" s="284"/>
      <c r="R139" s="255"/>
    </row>
    <row r="140" spans="1:21">
      <c r="B140" s="254" t="s">
        <v>570</v>
      </c>
      <c r="C140" s="285" t="str">
        <f t="shared" ref="C140:N140" si="12">IF(C136&gt;C135,"ERROR",IF(C135&gt;C134,"ERROR","OK"))</f>
        <v>OK</v>
      </c>
      <c r="D140" s="285" t="str">
        <f t="shared" si="12"/>
        <v>OK</v>
      </c>
      <c r="E140" s="285" t="str">
        <f t="shared" si="12"/>
        <v>OK</v>
      </c>
      <c r="F140" s="285" t="str">
        <f t="shared" si="12"/>
        <v>OK</v>
      </c>
      <c r="G140" s="285" t="str">
        <f t="shared" si="12"/>
        <v>OK</v>
      </c>
      <c r="H140" s="285" t="str">
        <f t="shared" si="12"/>
        <v>OK</v>
      </c>
      <c r="I140" s="285" t="str">
        <f t="shared" si="12"/>
        <v>OK</v>
      </c>
      <c r="J140" s="285" t="str">
        <f t="shared" si="12"/>
        <v>OK</v>
      </c>
      <c r="K140" s="285" t="str">
        <f t="shared" si="12"/>
        <v>OK</v>
      </c>
      <c r="L140" s="285" t="str">
        <f t="shared" si="12"/>
        <v>OK</v>
      </c>
      <c r="M140" s="285" t="str">
        <f t="shared" si="12"/>
        <v>OK</v>
      </c>
      <c r="N140" s="285" t="str">
        <f t="shared" si="12"/>
        <v>OK</v>
      </c>
      <c r="O140" s="284"/>
      <c r="P140" s="284"/>
      <c r="Q140" s="284"/>
      <c r="R140" s="255"/>
    </row>
    <row r="141" spans="1:21">
      <c r="B141" s="259"/>
      <c r="C141" s="284"/>
      <c r="D141" s="284"/>
      <c r="E141" s="284"/>
      <c r="F141" s="284"/>
      <c r="G141" s="284"/>
      <c r="H141" s="284"/>
      <c r="I141" s="284"/>
      <c r="J141" s="284"/>
      <c r="K141" s="284"/>
      <c r="L141" s="284"/>
      <c r="M141" s="284"/>
      <c r="N141" s="284"/>
      <c r="O141" s="284"/>
      <c r="P141" s="284"/>
      <c r="Q141" s="284"/>
      <c r="R141" s="282"/>
    </row>
    <row r="142" spans="1:21">
      <c r="B142" s="252" t="s">
        <v>53</v>
      </c>
      <c r="C142" s="284"/>
      <c r="D142" s="284"/>
      <c r="E142" s="284"/>
      <c r="F142" s="284"/>
      <c r="G142" s="284"/>
      <c r="H142" s="284"/>
      <c r="I142" s="284"/>
      <c r="J142" s="284"/>
      <c r="K142" s="284"/>
      <c r="L142" s="284"/>
      <c r="M142" s="284"/>
      <c r="N142" s="284"/>
      <c r="O142" s="284"/>
      <c r="P142" s="284"/>
      <c r="Q142" s="284"/>
      <c r="R142" s="282"/>
    </row>
    <row r="143" spans="1:21">
      <c r="A143" s="253" t="str">
        <f>B142&amp;" "&amp;B143</f>
        <v>SL-1 KWH Sales</v>
      </c>
      <c r="B143" s="254" t="s">
        <v>563</v>
      </c>
      <c r="C143" s="284">
        <f>+'KWH FCST'!B$71</f>
        <v>49089770</v>
      </c>
      <c r="D143" s="284">
        <f>+'KWH FCST'!C$71</f>
        <v>45452138</v>
      </c>
      <c r="E143" s="284">
        <f>+'KWH FCST'!D$71</f>
        <v>45698883</v>
      </c>
      <c r="F143" s="284">
        <f>+'KWH FCST'!E$71</f>
        <v>47161001</v>
      </c>
      <c r="G143" s="284">
        <f>+'KWH FCST'!F$71</f>
        <v>46982784</v>
      </c>
      <c r="H143" s="284">
        <f>+'KWH FCST'!G$71</f>
        <v>44454046</v>
      </c>
      <c r="I143" s="284">
        <f>+'KWH FCST'!H$71</f>
        <v>45978606</v>
      </c>
      <c r="J143" s="284">
        <f>+'KWH FCST'!I$71</f>
        <v>52412648</v>
      </c>
      <c r="K143" s="284">
        <f>+'KWH FCST'!J$71</f>
        <v>46488434</v>
      </c>
      <c r="L143" s="284">
        <f>+'KWH FCST'!K$71</f>
        <v>43851383</v>
      </c>
      <c r="M143" s="284">
        <f>+'KWH FCST'!L$71</f>
        <v>43397174</v>
      </c>
      <c r="N143" s="284">
        <f>+'KWH FCST'!M$71</f>
        <v>49840091</v>
      </c>
      <c r="O143" s="284">
        <f>SUM(C143:N143)</f>
        <v>560806958</v>
      </c>
      <c r="P143" s="284"/>
      <c r="Q143" s="284"/>
      <c r="R143" s="282"/>
      <c r="T143" s="255">
        <f>VLOOKUP(B142,'Sales Forecast'!$B$7:$AO$23,39,FALSE)</f>
        <v>560806958</v>
      </c>
      <c r="U143" s="255">
        <f>+O143-T143</f>
        <v>0</v>
      </c>
    </row>
    <row r="144" spans="1:21">
      <c r="A144" s="253" t="str">
        <f>B142&amp;" "&amp;B144</f>
        <v>SL-1 NCP</v>
      </c>
      <c r="B144" s="254" t="s">
        <v>133</v>
      </c>
      <c r="C144" s="284">
        <f>+'NCP FCST'!B$70</f>
        <v>119483.88445949471</v>
      </c>
      <c r="D144" s="284">
        <f>+'NCP FCST'!C$70</f>
        <v>127621.49050286223</v>
      </c>
      <c r="E144" s="284">
        <f>+'NCP FCST'!D$70</f>
        <v>123213.8151418301</v>
      </c>
      <c r="F144" s="284">
        <f>+'NCP FCST'!E$70</f>
        <v>139960.60055607607</v>
      </c>
      <c r="G144" s="284">
        <f>+'NCP FCST'!F$70</f>
        <v>142845.08839493283</v>
      </c>
      <c r="H144" s="284">
        <f>+'NCP FCST'!G$70</f>
        <v>143774.11424105286</v>
      </c>
      <c r="I144" s="284">
        <f>+'NCP FCST'!H$70</f>
        <v>142026.89631069452</v>
      </c>
      <c r="J144" s="284">
        <f>+'NCP FCST'!I$70</f>
        <v>154156.97344601792</v>
      </c>
      <c r="K144" s="284">
        <f>+'NCP FCST'!J$70</f>
        <v>132575.29153453262</v>
      </c>
      <c r="L144" s="284">
        <f>+'NCP FCST'!K$70</f>
        <v>113636.47497520296</v>
      </c>
      <c r="M144" s="284">
        <f>+'NCP FCST'!L$70</f>
        <v>110486.38803361877</v>
      </c>
      <c r="N144" s="284">
        <f>+'NCP FCST'!M$70</f>
        <v>119847.20146159657</v>
      </c>
      <c r="O144" s="284"/>
      <c r="P144" s="284">
        <f>MAX(C144:N144)</f>
        <v>154156.97344601792</v>
      </c>
      <c r="Q144" s="284"/>
      <c r="R144" s="282"/>
      <c r="T144" s="255">
        <f>+'NCP FCST'!O$70</f>
        <v>154156.97344601792</v>
      </c>
      <c r="U144" s="255">
        <f>P144-T144</f>
        <v>0</v>
      </c>
    </row>
    <row r="145" spans="1:21">
      <c r="A145" s="253" t="str">
        <f>B142&amp;" "&amp;B145</f>
        <v>SL-1 GNCP</v>
      </c>
      <c r="B145" s="254" t="s">
        <v>342</v>
      </c>
      <c r="C145" s="284">
        <f>+'GNCP FCST'!B$70</f>
        <v>119483.88445949471</v>
      </c>
      <c r="D145" s="284">
        <f>+'GNCP FCST'!C$70</f>
        <v>127621.49050286223</v>
      </c>
      <c r="E145" s="284">
        <f>+'GNCP FCST'!D$70</f>
        <v>123213.8151418301</v>
      </c>
      <c r="F145" s="284">
        <f>+'GNCP FCST'!E$70</f>
        <v>139960.60055607607</v>
      </c>
      <c r="G145" s="284">
        <f>+'GNCP FCST'!F$70</f>
        <v>142845.08839493283</v>
      </c>
      <c r="H145" s="284">
        <f>+'GNCP FCST'!G$70</f>
        <v>143774.11424105286</v>
      </c>
      <c r="I145" s="284">
        <f>+'GNCP FCST'!H$70</f>
        <v>142026.89631069452</v>
      </c>
      <c r="J145" s="284">
        <f>+'GNCP FCST'!I$70</f>
        <v>154156.97344601792</v>
      </c>
      <c r="K145" s="284">
        <f>+'GNCP FCST'!J$70</f>
        <v>132575.29153453262</v>
      </c>
      <c r="L145" s="284">
        <f>+'GNCP FCST'!K$70</f>
        <v>113636.47497520296</v>
      </c>
      <c r="M145" s="284">
        <f>+'GNCP FCST'!L$70</f>
        <v>110486.38803361877</v>
      </c>
      <c r="N145" s="284">
        <f>+'GNCP FCST'!M$70</f>
        <v>119847.20146159657</v>
      </c>
      <c r="O145" s="284"/>
      <c r="Q145" s="284">
        <f>MAX(C145:N145)</f>
        <v>154156.97344601792</v>
      </c>
      <c r="R145" s="282"/>
      <c r="T145" s="255">
        <f>+'GNCP FCST'!O$70</f>
        <v>154156.97344601792</v>
      </c>
      <c r="U145" s="255">
        <f>+Q145-T145</f>
        <v>0</v>
      </c>
    </row>
    <row r="146" spans="1:21">
      <c r="A146" s="253" t="str">
        <f>B142&amp;" "&amp;B146</f>
        <v>SL-1 CP</v>
      </c>
      <c r="B146" s="254" t="s">
        <v>148</v>
      </c>
      <c r="C146" s="284">
        <f>+'CP FCST'!B$70</f>
        <v>54020.564074318027</v>
      </c>
      <c r="D146" s="284">
        <f>+'CP FCST'!C$70</f>
        <v>0</v>
      </c>
      <c r="E146" s="284">
        <f>+'CP FCST'!D$70</f>
        <v>0</v>
      </c>
      <c r="F146" s="284">
        <f>+'CP FCST'!E$70</f>
        <v>0</v>
      </c>
      <c r="G146" s="284">
        <f>+'CP FCST'!F$70</f>
        <v>0</v>
      </c>
      <c r="H146" s="284">
        <f>+'CP FCST'!G$70</f>
        <v>0</v>
      </c>
      <c r="I146" s="284">
        <f>+'CP FCST'!H$70</f>
        <v>0</v>
      </c>
      <c r="J146" s="284">
        <f>+'CP FCST'!I$70</f>
        <v>0</v>
      </c>
      <c r="K146" s="284">
        <f>+'CP FCST'!J$70</f>
        <v>0</v>
      </c>
      <c r="L146" s="284">
        <f>+'CP FCST'!K$70</f>
        <v>0</v>
      </c>
      <c r="M146" s="284">
        <f>+'CP FCST'!L$70</f>
        <v>38700.43993345058</v>
      </c>
      <c r="N146" s="284">
        <f>+'CP FCST'!M$70</f>
        <v>39095.873467606427</v>
      </c>
      <c r="O146" s="284"/>
      <c r="P146" s="284"/>
      <c r="Q146" s="284"/>
      <c r="R146" s="255">
        <f>AVERAGE(C146:N146)</f>
        <v>10984.739789614587</v>
      </c>
      <c r="T146" s="255">
        <f>+'CP FCST'!O$70</f>
        <v>10984.739789614587</v>
      </c>
      <c r="U146" s="255">
        <f>R146-T146</f>
        <v>0</v>
      </c>
    </row>
    <row r="147" spans="1:21">
      <c r="A147" s="253" t="str">
        <f>B142&amp;" "&amp;B147</f>
        <v>SL-1 CP - L.F.</v>
      </c>
      <c r="B147" s="254" t="s">
        <v>1197</v>
      </c>
      <c r="C147" s="498">
        <f>'SL-1'!C13</f>
        <v>1.3338849075762926</v>
      </c>
      <c r="D147" s="498" t="str">
        <f>'SL-1'!D13</f>
        <v/>
      </c>
      <c r="E147" s="498" t="str">
        <f>'SL-1'!E13</f>
        <v/>
      </c>
      <c r="F147" s="498" t="str">
        <f>'SL-1'!F13</f>
        <v/>
      </c>
      <c r="G147" s="498" t="str">
        <f>'SL-1'!G13</f>
        <v/>
      </c>
      <c r="H147" s="498" t="str">
        <f>'SL-1'!H13</f>
        <v/>
      </c>
      <c r="I147" s="498" t="str">
        <f>'SL-1'!I13</f>
        <v/>
      </c>
      <c r="J147" s="498" t="str">
        <f>'SL-1'!J13</f>
        <v/>
      </c>
      <c r="K147" s="498" t="str">
        <f>'SL-1'!K13</f>
        <v/>
      </c>
      <c r="L147" s="498" t="str">
        <f>'SL-1'!L13</f>
        <v/>
      </c>
      <c r="M147" s="498">
        <f>'SL-1'!M13</f>
        <v>1.52514980491481</v>
      </c>
      <c r="N147" s="498">
        <f>'SL-1'!N13</f>
        <v>1.7580388400454101</v>
      </c>
      <c r="O147" s="284"/>
      <c r="P147" s="284"/>
      <c r="Q147" s="284"/>
      <c r="R147" s="255"/>
    </row>
    <row r="148" spans="1:21">
      <c r="A148" s="253" t="str">
        <f>B142&amp;" "&amp;B148</f>
        <v>SL-1 GCP - L.F.</v>
      </c>
      <c r="B148" s="254" t="s">
        <v>1198</v>
      </c>
      <c r="C148" s="498">
        <f>'SL-1'!C14</f>
        <v>0.55221567288667817</v>
      </c>
      <c r="D148" s="498">
        <f>'SL-1'!D14</f>
        <v>0.52998213586551624</v>
      </c>
      <c r="E148" s="498">
        <f>'SL-1'!E14</f>
        <v>0.49850927648012566</v>
      </c>
      <c r="F148" s="498">
        <f>'SL-1'!F14</f>
        <v>0.46799877978184468</v>
      </c>
      <c r="G148" s="498">
        <f>'SL-1'!G14</f>
        <v>0.44207962580564686</v>
      </c>
      <c r="H148" s="498">
        <f>'SL-1'!H14</f>
        <v>0.42943565245715143</v>
      </c>
      <c r="I148" s="498">
        <f>'SL-1'!I14</f>
        <v>0.43512322819272786</v>
      </c>
      <c r="J148" s="498">
        <f>'SL-1'!J14</f>
        <v>0.45698294376251891</v>
      </c>
      <c r="K148" s="498">
        <f>'SL-1'!K14</f>
        <v>0.4870234015485928</v>
      </c>
      <c r="L148" s="498">
        <f>'SL-1'!L14</f>
        <v>0.51867176385786362</v>
      </c>
      <c r="M148" s="498">
        <f>'SL-1'!M14</f>
        <v>0.54553193248961729</v>
      </c>
      <c r="N148" s="498">
        <f>'SL-1'!N14</f>
        <v>0.55895647797100845</v>
      </c>
      <c r="O148" s="284"/>
      <c r="P148" s="284"/>
      <c r="Q148" s="284"/>
      <c r="R148" s="255"/>
    </row>
    <row r="149" spans="1:21">
      <c r="A149" s="253" t="str">
        <f>B142&amp;" "&amp;B149</f>
        <v>SL-1 NCP - L.F.</v>
      </c>
      <c r="B149" s="254" t="s">
        <v>1199</v>
      </c>
      <c r="C149" s="498">
        <f>'SL-1'!C15</f>
        <v>0.55221567288667817</v>
      </c>
      <c r="D149" s="498">
        <f>'SL-1'!D15</f>
        <v>0.52998213586551624</v>
      </c>
      <c r="E149" s="498">
        <f>'SL-1'!E15</f>
        <v>0.49850927648012566</v>
      </c>
      <c r="F149" s="498">
        <f>'SL-1'!F15</f>
        <v>0.46799877978184468</v>
      </c>
      <c r="G149" s="498">
        <f>'SL-1'!G15</f>
        <v>0.44207962580564686</v>
      </c>
      <c r="H149" s="498">
        <f>'SL-1'!H15</f>
        <v>0.42943565245715143</v>
      </c>
      <c r="I149" s="498">
        <f>'SL-1'!I15</f>
        <v>0.43512322819272786</v>
      </c>
      <c r="J149" s="498">
        <f>'SL-1'!J15</f>
        <v>0.45698294376251891</v>
      </c>
      <c r="K149" s="498">
        <f>'SL-1'!K15</f>
        <v>0.4870234015485928</v>
      </c>
      <c r="L149" s="498">
        <f>'SL-1'!L15</f>
        <v>0.51867176385786362</v>
      </c>
      <c r="M149" s="498">
        <f>'SL-1'!M15</f>
        <v>0.54553193248961729</v>
      </c>
      <c r="N149" s="498">
        <f>'SL-1'!N15</f>
        <v>0.55895647797100845</v>
      </c>
      <c r="O149" s="284"/>
      <c r="P149" s="284"/>
      <c r="Q149" s="284"/>
      <c r="R149" s="255"/>
    </row>
    <row r="150" spans="1:21">
      <c r="B150" s="254" t="s">
        <v>570</v>
      </c>
      <c r="C150" s="285" t="str">
        <f t="shared" ref="C150:N150" si="13">IF(C146&gt;C145,"ERROR",IF(C145&gt;C144,"ERROR","OK"))</f>
        <v>OK</v>
      </c>
      <c r="D150" s="285" t="str">
        <f t="shared" si="13"/>
        <v>OK</v>
      </c>
      <c r="E150" s="285" t="str">
        <f t="shared" si="13"/>
        <v>OK</v>
      </c>
      <c r="F150" s="285" t="str">
        <f t="shared" si="13"/>
        <v>OK</v>
      </c>
      <c r="G150" s="285" t="str">
        <f t="shared" si="13"/>
        <v>OK</v>
      </c>
      <c r="H150" s="285" t="str">
        <f t="shared" si="13"/>
        <v>OK</v>
      </c>
      <c r="I150" s="285" t="str">
        <f t="shared" si="13"/>
        <v>OK</v>
      </c>
      <c r="J150" s="285" t="str">
        <f t="shared" si="13"/>
        <v>OK</v>
      </c>
      <c r="K150" s="285" t="str">
        <f t="shared" si="13"/>
        <v>OK</v>
      </c>
      <c r="L150" s="285" t="str">
        <f t="shared" si="13"/>
        <v>OK</v>
      </c>
      <c r="M150" s="285" t="str">
        <f t="shared" si="13"/>
        <v>OK</v>
      </c>
      <c r="N150" s="285" t="str">
        <f t="shared" si="13"/>
        <v>OK</v>
      </c>
      <c r="O150" s="284"/>
      <c r="P150" s="284"/>
      <c r="Q150" s="284"/>
      <c r="R150" s="255"/>
    </row>
    <row r="151" spans="1:21">
      <c r="B151" s="259"/>
      <c r="C151" s="284"/>
      <c r="D151" s="284"/>
      <c r="E151" s="284"/>
      <c r="F151" s="284"/>
      <c r="G151" s="284"/>
      <c r="H151" s="284"/>
      <c r="I151" s="284"/>
      <c r="J151" s="284"/>
      <c r="K151" s="284"/>
      <c r="L151" s="284"/>
      <c r="M151" s="284"/>
      <c r="N151" s="284"/>
      <c r="O151" s="284"/>
      <c r="P151" s="284"/>
      <c r="Q151" s="284"/>
      <c r="R151" s="282"/>
    </row>
    <row r="152" spans="1:21">
      <c r="B152" s="252" t="s">
        <v>55</v>
      </c>
      <c r="C152" s="284"/>
      <c r="D152" s="284"/>
      <c r="E152" s="284"/>
      <c r="F152" s="284"/>
      <c r="G152" s="284"/>
      <c r="H152" s="284"/>
      <c r="I152" s="284"/>
      <c r="J152" s="284"/>
      <c r="K152" s="284"/>
      <c r="L152" s="284"/>
      <c r="M152" s="284"/>
      <c r="N152" s="284"/>
      <c r="O152" s="284"/>
      <c r="P152" s="284"/>
      <c r="Q152" s="284"/>
      <c r="R152" s="282"/>
    </row>
    <row r="153" spans="1:21">
      <c r="A153" s="253" t="str">
        <f>B152&amp;" "&amp;B153</f>
        <v>SL-2 KWH Sales</v>
      </c>
      <c r="B153" s="254" t="s">
        <v>563</v>
      </c>
      <c r="C153" s="284">
        <f>+'KWH FCST'!B$72</f>
        <v>2699417</v>
      </c>
      <c r="D153" s="284">
        <f>+'KWH FCST'!C$72</f>
        <v>2705431</v>
      </c>
      <c r="E153" s="284">
        <f>+'KWH FCST'!D$72</f>
        <v>2710238</v>
      </c>
      <c r="F153" s="284">
        <f>+'KWH FCST'!E$72</f>
        <v>2716256</v>
      </c>
      <c r="G153" s="284">
        <f>+'KWH FCST'!F$72</f>
        <v>2721974</v>
      </c>
      <c r="H153" s="284">
        <f>+'KWH FCST'!G$72</f>
        <v>2729808</v>
      </c>
      <c r="I153" s="284">
        <f>+'KWH FCST'!H$72</f>
        <v>2735836</v>
      </c>
      <c r="J153" s="284">
        <f>+'KWH FCST'!I$72</f>
        <v>2738850</v>
      </c>
      <c r="K153" s="284">
        <f>+'KWH FCST'!J$72</f>
        <v>2743058</v>
      </c>
      <c r="L153" s="284">
        <f>+'KWH FCST'!K$72</f>
        <v>2747892</v>
      </c>
      <c r="M153" s="284">
        <f>+'KWH FCST'!L$72</f>
        <v>2754833</v>
      </c>
      <c r="N153" s="284">
        <f>+'KWH FCST'!M$72</f>
        <v>2759033</v>
      </c>
      <c r="O153" s="284">
        <f>SUM(C153:N153)</f>
        <v>32762626</v>
      </c>
      <c r="P153" s="284"/>
      <c r="Q153" s="284"/>
      <c r="R153" s="282"/>
      <c r="T153" s="255">
        <f>VLOOKUP(B152,'Sales Forecast'!$B$7:$AO$23,39,FALSE)</f>
        <v>32762626</v>
      </c>
      <c r="U153" s="255">
        <f>+O153-T153</f>
        <v>0</v>
      </c>
    </row>
    <row r="154" spans="1:21">
      <c r="A154" s="253" t="str">
        <f>B152&amp;" "&amp;B154</f>
        <v>SL-2 NCP</v>
      </c>
      <c r="B154" s="254" t="s">
        <v>133</v>
      </c>
      <c r="C154" s="284">
        <f>+'NCP FCST'!B$71</f>
        <v>3962.0823928458581</v>
      </c>
      <c r="D154" s="284">
        <f>+'NCP FCST'!C$71</f>
        <v>4054.539319730723</v>
      </c>
      <c r="E154" s="284">
        <f>+'NCP FCST'!D$71</f>
        <v>4081.4998214886623</v>
      </c>
      <c r="F154" s="284">
        <f>+'NCP FCST'!E$71</f>
        <v>4074.5319442008267</v>
      </c>
      <c r="G154" s="284">
        <f>+'NCP FCST'!F$71</f>
        <v>4025.1455470028263</v>
      </c>
      <c r="H154" s="284">
        <f>+'NCP FCST'!G$71</f>
        <v>3986.4576620040561</v>
      </c>
      <c r="I154" s="284">
        <f>+'NCP FCST'!H$71</f>
        <v>3912.3106958443718</v>
      </c>
      <c r="J154" s="284">
        <f>+'NCP FCST'!I$71</f>
        <v>4039.3490313857428</v>
      </c>
      <c r="K154" s="284">
        <f>+'NCP FCST'!J$71</f>
        <v>3845.8361742166671</v>
      </c>
      <c r="L154" s="284">
        <f>+'NCP FCST'!K$71</f>
        <v>3766.9366092699011</v>
      </c>
      <c r="M154" s="284">
        <f>+'NCP FCST'!L$71</f>
        <v>3831.5468700131928</v>
      </c>
      <c r="N154" s="284">
        <f>+'NCP FCST'!M$71</f>
        <v>3804.8424594890562</v>
      </c>
      <c r="O154" s="284"/>
      <c r="P154" s="284">
        <f>MAX(C154:N154)</f>
        <v>4081.4998214886623</v>
      </c>
      <c r="Q154" s="284"/>
      <c r="R154" s="282"/>
      <c r="T154" s="255">
        <f>+'NCP FCST'!O$71</f>
        <v>4081.4998214886623</v>
      </c>
      <c r="U154" s="255">
        <f>P154-T154</f>
        <v>0</v>
      </c>
    </row>
    <row r="155" spans="1:21">
      <c r="A155" s="253" t="str">
        <f>B152&amp;" "&amp;B155</f>
        <v>SL-2 GNCP</v>
      </c>
      <c r="B155" s="254" t="s">
        <v>342</v>
      </c>
      <c r="C155" s="284">
        <f>+'GNCP FCST'!B$71</f>
        <v>3962.0823928458581</v>
      </c>
      <c r="D155" s="284">
        <f>+'GNCP FCST'!C$71</f>
        <v>4054.539319730723</v>
      </c>
      <c r="E155" s="284">
        <f>+'GNCP FCST'!D$71</f>
        <v>4081.4998214886623</v>
      </c>
      <c r="F155" s="284">
        <f>+'GNCP FCST'!E$71</f>
        <v>4074.5319442008267</v>
      </c>
      <c r="G155" s="284">
        <f>+'GNCP FCST'!F$71</f>
        <v>4025.1455470028263</v>
      </c>
      <c r="H155" s="284">
        <f>+'GNCP FCST'!G$71</f>
        <v>3986.4576620040561</v>
      </c>
      <c r="I155" s="284">
        <f>+'GNCP FCST'!H$71</f>
        <v>3912.3106958443718</v>
      </c>
      <c r="J155" s="284">
        <f>+'GNCP FCST'!I$71</f>
        <v>4039.3490313857428</v>
      </c>
      <c r="K155" s="284">
        <f>+'GNCP FCST'!J$71</f>
        <v>3845.8361742166671</v>
      </c>
      <c r="L155" s="284">
        <f>+'GNCP FCST'!K$71</f>
        <v>3766.9366092699011</v>
      </c>
      <c r="M155" s="284">
        <f>+'GNCP FCST'!L$71</f>
        <v>3831.5468700131928</v>
      </c>
      <c r="N155" s="284">
        <f>+'GNCP FCST'!M$71</f>
        <v>3804.8424594890562</v>
      </c>
      <c r="O155" s="284"/>
      <c r="Q155" s="284">
        <f>MAX(C155:N155)</f>
        <v>4081.4998214886623</v>
      </c>
      <c r="R155" s="282"/>
      <c r="T155" s="255">
        <f>+'GNCP FCST'!O$71</f>
        <v>4081.4998214886623</v>
      </c>
      <c r="U155" s="255">
        <f>+Q155-T155</f>
        <v>0</v>
      </c>
    </row>
    <row r="156" spans="1:21">
      <c r="A156" s="253" t="str">
        <f>B152&amp;" "&amp;B156</f>
        <v>SL-2 CP</v>
      </c>
      <c r="B156" s="254" t="s">
        <v>148</v>
      </c>
      <c r="C156" s="284">
        <f>+'CP FCST'!B$71</f>
        <v>3962.0823928458581</v>
      </c>
      <c r="D156" s="284">
        <f>+'CP FCST'!C$71</f>
        <v>4054.539319730723</v>
      </c>
      <c r="E156" s="284">
        <f>+'CP FCST'!D$71</f>
        <v>4081.4998214886623</v>
      </c>
      <c r="F156" s="284">
        <f>+'CP FCST'!E$71</f>
        <v>4074.5319442008267</v>
      </c>
      <c r="G156" s="284">
        <f>+'CP FCST'!F$71</f>
        <v>4025.1455470028263</v>
      </c>
      <c r="H156" s="284">
        <f>+'CP FCST'!G$71</f>
        <v>3986.4576620040561</v>
      </c>
      <c r="I156" s="284">
        <f>+'CP FCST'!H$71</f>
        <v>3912.3106958443718</v>
      </c>
      <c r="J156" s="284">
        <f>+'CP FCST'!I$71</f>
        <v>4039.3490313857428</v>
      </c>
      <c r="K156" s="284">
        <f>+'CP FCST'!J$71</f>
        <v>3845.8361742166671</v>
      </c>
      <c r="L156" s="284">
        <f>+'CP FCST'!K$71</f>
        <v>3766.9366092699011</v>
      </c>
      <c r="M156" s="284">
        <f>+'CP FCST'!L$71</f>
        <v>3752.0930057116352</v>
      </c>
      <c r="N156" s="284">
        <f>+'CP FCST'!M$71</f>
        <v>3804.8424594890562</v>
      </c>
      <c r="O156" s="284"/>
      <c r="P156" s="284"/>
      <c r="Q156" s="284"/>
      <c r="R156" s="255">
        <f>AVERAGE(C156:N156)</f>
        <v>3942.1353885991939</v>
      </c>
      <c r="T156" s="255">
        <f>+'CP FCST'!O$71</f>
        <v>3942.1353885991939</v>
      </c>
      <c r="U156" s="255">
        <f>R156-T156</f>
        <v>0</v>
      </c>
    </row>
    <row r="157" spans="1:21">
      <c r="A157" s="253" t="str">
        <f>B152&amp;" "&amp;B157</f>
        <v>SL-2 CP - L.F.</v>
      </c>
      <c r="B157" s="254" t="s">
        <v>1197</v>
      </c>
      <c r="C157" s="498">
        <f>'SL-2'!C13</f>
        <v>1.0000758778841261</v>
      </c>
      <c r="D157" s="498">
        <f>'SL-2'!D13</f>
        <v>0.99978379329874034</v>
      </c>
      <c r="E157" s="498">
        <f>'SL-2'!E13</f>
        <v>0.99864752059431272</v>
      </c>
      <c r="F157" s="498">
        <f>'SL-2'!F13</f>
        <v>1.0000240582897992</v>
      </c>
      <c r="G157" s="498">
        <f>'SL-2'!G13</f>
        <v>1.0000360159880335</v>
      </c>
      <c r="H157" s="498">
        <f>'SL-2'!H13</f>
        <v>1.0000971502590674</v>
      </c>
      <c r="I157" s="498">
        <f>'SL-2'!I13</f>
        <v>0.99995011481267726</v>
      </c>
      <c r="J157" s="498">
        <f>'SL-2'!J13</f>
        <v>1.0000409774539751</v>
      </c>
      <c r="K157" s="498">
        <f>'SL-2'!K13</f>
        <v>0.99991407979326186</v>
      </c>
      <c r="L157" s="498">
        <f>'SL-2'!L13</f>
        <v>0.99999923253557976</v>
      </c>
      <c r="M157" s="498">
        <f>'SL-2'!M13</f>
        <v>0.99859327687965105</v>
      </c>
      <c r="N157" s="498">
        <f>'SL-2'!N13</f>
        <v>1.0000017846362197</v>
      </c>
      <c r="O157" s="284"/>
      <c r="P157" s="284"/>
      <c r="Q157" s="284"/>
      <c r="R157" s="255"/>
    </row>
    <row r="158" spans="1:21">
      <c r="A158" s="253" t="str">
        <f>B152&amp;" "&amp;B158</f>
        <v>SL-2 GCP - L.F.</v>
      </c>
      <c r="B158" s="254" t="s">
        <v>1198</v>
      </c>
      <c r="C158" s="498">
        <f>'SL-2'!C14</f>
        <v>1.0000758778841261</v>
      </c>
      <c r="D158" s="498">
        <f>'SL-2'!D14</f>
        <v>0.99978379329874034</v>
      </c>
      <c r="E158" s="498">
        <f>'SL-2'!E14</f>
        <v>0.99864752059431272</v>
      </c>
      <c r="F158" s="498">
        <f>'SL-2'!F14</f>
        <v>1.0000240582897992</v>
      </c>
      <c r="G158" s="498">
        <f>'SL-2'!G14</f>
        <v>1.0000360159880335</v>
      </c>
      <c r="H158" s="498">
        <f>'SL-2'!H14</f>
        <v>1.0000971502590674</v>
      </c>
      <c r="I158" s="498">
        <f>'SL-2'!I14</f>
        <v>0.99995011481267726</v>
      </c>
      <c r="J158" s="498">
        <f>'SL-2'!J14</f>
        <v>1.0000409774539751</v>
      </c>
      <c r="K158" s="498">
        <f>'SL-2'!K14</f>
        <v>0.99991407979326186</v>
      </c>
      <c r="L158" s="498">
        <f>'SL-2'!L14</f>
        <v>0.99999923253557976</v>
      </c>
      <c r="M158" s="498">
        <f>'SL-2'!M14</f>
        <v>0.99859327687965105</v>
      </c>
      <c r="N158" s="498">
        <f>'SL-2'!N14</f>
        <v>1.0000017846362197</v>
      </c>
      <c r="O158" s="284"/>
      <c r="P158" s="284"/>
      <c r="Q158" s="284"/>
      <c r="R158" s="255"/>
    </row>
    <row r="159" spans="1:21">
      <c r="A159" s="253" t="str">
        <f>B152&amp;" "&amp;B159</f>
        <v>SL-2 NCP - L.F.</v>
      </c>
      <c r="B159" s="254" t="s">
        <v>1199</v>
      </c>
      <c r="C159" s="498">
        <f>'SL-2'!C15</f>
        <v>1.0000758778841261</v>
      </c>
      <c r="D159" s="498">
        <f>'SL-2'!D15</f>
        <v>0.99978379329874034</v>
      </c>
      <c r="E159" s="498">
        <f>'SL-2'!E15</f>
        <v>0.99864752059431272</v>
      </c>
      <c r="F159" s="498">
        <f>'SL-2'!F15</f>
        <v>1.0000240582897992</v>
      </c>
      <c r="G159" s="498">
        <f>'SL-2'!G15</f>
        <v>1.0000360159880335</v>
      </c>
      <c r="H159" s="498">
        <f>'SL-2'!H15</f>
        <v>1.0000971502590674</v>
      </c>
      <c r="I159" s="498">
        <f>'SL-2'!I15</f>
        <v>0.99995011481267726</v>
      </c>
      <c r="J159" s="498">
        <f>'SL-2'!J15</f>
        <v>1.0000409774539751</v>
      </c>
      <c r="K159" s="498">
        <f>'SL-2'!K15</f>
        <v>0.99991407979326186</v>
      </c>
      <c r="L159" s="498">
        <f>'SL-2'!L15</f>
        <v>0.99999923253557976</v>
      </c>
      <c r="M159" s="498">
        <f>'SL-2'!M15</f>
        <v>0.99859327687965105</v>
      </c>
      <c r="N159" s="498">
        <f>'SL-2'!N15</f>
        <v>1.0000017846362197</v>
      </c>
      <c r="O159" s="284"/>
      <c r="P159" s="284"/>
      <c r="Q159" s="284"/>
      <c r="R159" s="255"/>
    </row>
    <row r="160" spans="1:21">
      <c r="B160" s="254" t="s">
        <v>570</v>
      </c>
      <c r="C160" s="285" t="str">
        <f t="shared" ref="C160:N160" si="14">IF(C156&gt;C155,"ERROR",IF(C155&gt;C154,"ERROR","OK"))</f>
        <v>OK</v>
      </c>
      <c r="D160" s="285" t="str">
        <f t="shared" si="14"/>
        <v>OK</v>
      </c>
      <c r="E160" s="285" t="str">
        <f t="shared" si="14"/>
        <v>OK</v>
      </c>
      <c r="F160" s="285" t="str">
        <f t="shared" si="14"/>
        <v>OK</v>
      </c>
      <c r="G160" s="285" t="str">
        <f t="shared" si="14"/>
        <v>OK</v>
      </c>
      <c r="H160" s="285" t="str">
        <f t="shared" si="14"/>
        <v>OK</v>
      </c>
      <c r="I160" s="285" t="str">
        <f t="shared" si="14"/>
        <v>OK</v>
      </c>
      <c r="J160" s="285" t="str">
        <f t="shared" si="14"/>
        <v>OK</v>
      </c>
      <c r="K160" s="285" t="str">
        <f t="shared" si="14"/>
        <v>OK</v>
      </c>
      <c r="L160" s="285" t="str">
        <f t="shared" si="14"/>
        <v>OK</v>
      </c>
      <c r="M160" s="285" t="str">
        <f t="shared" si="14"/>
        <v>OK</v>
      </c>
      <c r="N160" s="285" t="str">
        <f t="shared" si="14"/>
        <v>OK</v>
      </c>
      <c r="O160" s="284"/>
      <c r="P160" s="284"/>
      <c r="Q160" s="284"/>
      <c r="R160" s="255"/>
    </row>
    <row r="161" spans="1:21">
      <c r="B161" s="259"/>
      <c r="C161" s="284"/>
      <c r="D161" s="284"/>
      <c r="E161" s="284"/>
      <c r="F161" s="284"/>
      <c r="G161" s="284"/>
      <c r="H161" s="284"/>
      <c r="I161" s="284"/>
      <c r="J161" s="284"/>
      <c r="K161" s="284"/>
      <c r="L161" s="284"/>
      <c r="M161" s="284"/>
      <c r="N161" s="284"/>
      <c r="O161" s="284"/>
      <c r="P161" s="284"/>
      <c r="Q161" s="284"/>
      <c r="R161" s="282"/>
    </row>
    <row r="162" spans="1:21">
      <c r="B162" s="252" t="s">
        <v>87</v>
      </c>
      <c r="C162" s="284"/>
      <c r="D162" s="284"/>
      <c r="E162" s="284"/>
      <c r="F162" s="284"/>
      <c r="G162" s="284"/>
      <c r="H162" s="284"/>
      <c r="I162" s="284"/>
      <c r="J162" s="284"/>
      <c r="K162" s="284"/>
      <c r="L162" s="284"/>
      <c r="M162" s="284"/>
      <c r="N162" s="284"/>
      <c r="O162" s="284"/>
      <c r="P162" s="284"/>
      <c r="Q162" s="284"/>
      <c r="R162" s="282"/>
    </row>
    <row r="163" spans="1:21">
      <c r="A163" s="253" t="str">
        <f>B162&amp;" "&amp;B163</f>
        <v>SST-D KWH Sales</v>
      </c>
      <c r="B163" s="254" t="s">
        <v>563</v>
      </c>
      <c r="C163" s="284">
        <f>+'KWH FCST'!B$73</f>
        <v>602856</v>
      </c>
      <c r="D163" s="284">
        <f>+'KWH FCST'!C$73</f>
        <v>685784</v>
      </c>
      <c r="E163" s="284">
        <f>+'KWH FCST'!D$73</f>
        <v>666585</v>
      </c>
      <c r="F163" s="284">
        <f>+'KWH FCST'!E$73</f>
        <v>1230699</v>
      </c>
      <c r="G163" s="284">
        <f>+'KWH FCST'!F$73</f>
        <v>1462083</v>
      </c>
      <c r="H163" s="284">
        <f>+'KWH FCST'!G$73</f>
        <v>1187857</v>
      </c>
      <c r="I163" s="284">
        <f>+'KWH FCST'!H$73</f>
        <v>1087713</v>
      </c>
      <c r="J163" s="284">
        <f>+'KWH FCST'!I$73</f>
        <v>1181803</v>
      </c>
      <c r="K163" s="284">
        <f>+'KWH FCST'!J$73</f>
        <v>1205075</v>
      </c>
      <c r="L163" s="284">
        <f>+'KWH FCST'!K$73</f>
        <v>1239312</v>
      </c>
      <c r="M163" s="284">
        <f>+'KWH FCST'!L$73</f>
        <v>799615</v>
      </c>
      <c r="N163" s="284">
        <f>+'KWH FCST'!M$73</f>
        <v>507544</v>
      </c>
      <c r="O163" s="284">
        <f>SUM(C163:N163)</f>
        <v>11856926</v>
      </c>
      <c r="P163" s="284"/>
      <c r="Q163" s="284"/>
      <c r="R163" s="282"/>
      <c r="T163" s="255">
        <f>VLOOKUP(B162,'Sales Forecast'!$B$7:$AO$23,39,FALSE)</f>
        <v>11856926</v>
      </c>
      <c r="U163" s="255">
        <f>+O163-T163</f>
        <v>0</v>
      </c>
    </row>
    <row r="164" spans="1:21">
      <c r="A164" s="253" t="str">
        <f>B162&amp;" "&amp;B164</f>
        <v>SST-D NCP</v>
      </c>
      <c r="B164" s="254" t="s">
        <v>133</v>
      </c>
      <c r="C164" s="284">
        <f>+'NCP FCST'!B$72</f>
        <v>2593.5189042567204</v>
      </c>
      <c r="D164" s="284">
        <f>+'NCP FCST'!C$72</f>
        <v>4194.7799959621143</v>
      </c>
      <c r="E164" s="284">
        <f>+'NCP FCST'!D$72</f>
        <v>2074.4309236034824</v>
      </c>
      <c r="F164" s="284">
        <f>+'NCP FCST'!E$72</f>
        <v>4502.7040479529442</v>
      </c>
      <c r="G164" s="284">
        <f>+'NCP FCST'!F$72</f>
        <v>4384.7171398394057</v>
      </c>
      <c r="H164" s="284">
        <f>+'NCP FCST'!G$72</f>
        <v>4269.2452020184992</v>
      </c>
      <c r="I164" s="284">
        <f>+'NCP FCST'!H$72</f>
        <v>3783.8880214331334</v>
      </c>
      <c r="J164" s="284">
        <f>+'NCP FCST'!I$72</f>
        <v>4125.9206866137783</v>
      </c>
      <c r="K164" s="284">
        <f>+'NCP FCST'!J$72</f>
        <v>4196.8912214794764</v>
      </c>
      <c r="L164" s="284">
        <f>+'NCP FCST'!K$72</f>
        <v>7191.7662933466345</v>
      </c>
      <c r="M164" s="284">
        <f>+'NCP FCST'!L$72</f>
        <v>9915.8901043602818</v>
      </c>
      <c r="N164" s="284">
        <f>+'NCP FCST'!M$72</f>
        <v>3484.258878399472</v>
      </c>
      <c r="O164" s="284"/>
      <c r="P164" s="284">
        <f>MAX(C164:N164)</f>
        <v>9915.8901043602818</v>
      </c>
      <c r="Q164" s="284"/>
      <c r="R164" s="282"/>
      <c r="T164" s="255">
        <f>+'NCP FCST'!O$72</f>
        <v>9915.8901043602818</v>
      </c>
      <c r="U164" s="255">
        <f>P164-T164</f>
        <v>0</v>
      </c>
    </row>
    <row r="165" spans="1:21">
      <c r="A165" s="253" t="str">
        <f>B162&amp;" "&amp;B165</f>
        <v>SST-D GNCP</v>
      </c>
      <c r="B165" s="254" t="s">
        <v>342</v>
      </c>
      <c r="C165" s="284">
        <f>+'GNCP FCST'!B$72</f>
        <v>2094.8997814579911</v>
      </c>
      <c r="D165" s="284">
        <f>+'GNCP FCST'!C$72</f>
        <v>3688.2855722195604</v>
      </c>
      <c r="E165" s="284">
        <f>+'GNCP FCST'!D$72</f>
        <v>1559.5730910102195</v>
      </c>
      <c r="F165" s="284">
        <f>+'GNCP FCST'!E$72</f>
        <v>3752.7793593986644</v>
      </c>
      <c r="G165" s="284">
        <f>+'GNCP FCST'!F$72</f>
        <v>3780.5827207051971</v>
      </c>
      <c r="H165" s="284">
        <f>+'GNCP FCST'!G$72</f>
        <v>3297.8128041258401</v>
      </c>
      <c r="I165" s="284">
        <f>+'GNCP FCST'!H$72</f>
        <v>3153.7324038724787</v>
      </c>
      <c r="J165" s="284">
        <f>+'GNCP FCST'!I$72</f>
        <v>3347.9186106707907</v>
      </c>
      <c r="K165" s="284">
        <f>+'GNCP FCST'!J$72</f>
        <v>3632.0019128777417</v>
      </c>
      <c r="L165" s="284">
        <f>+'GNCP FCST'!K$72</f>
        <v>5011.848283997344</v>
      </c>
      <c r="M165" s="284">
        <f>+'GNCP FCST'!L$72</f>
        <v>8201.2538466420647</v>
      </c>
      <c r="N165" s="284">
        <f>+'GNCP FCST'!M$72</f>
        <v>2237.9847529906788</v>
      </c>
      <c r="O165" s="284"/>
      <c r="Q165" s="284">
        <f>MAX(C165:N165)</f>
        <v>8201.2538466420647</v>
      </c>
      <c r="R165" s="282"/>
      <c r="T165" s="255">
        <f>+'GNCP FCST'!O$72</f>
        <v>8201.2538466420647</v>
      </c>
      <c r="U165" s="255">
        <f>+Q165-T165</f>
        <v>0</v>
      </c>
    </row>
    <row r="166" spans="1:21">
      <c r="A166" s="253" t="str">
        <f>B162&amp;" "&amp;B166</f>
        <v>SST-D CP</v>
      </c>
      <c r="B166" s="254" t="s">
        <v>148</v>
      </c>
      <c r="C166" s="284">
        <f>+'CP FCST'!B$72</f>
        <v>1075.9812695726557</v>
      </c>
      <c r="D166" s="284">
        <f>+'CP FCST'!C$72</f>
        <v>1499.8973860562123</v>
      </c>
      <c r="E166" s="284">
        <f>+'CP FCST'!D$72</f>
        <v>1167.3707862224389</v>
      </c>
      <c r="F166" s="284">
        <f>+'CP FCST'!E$72</f>
        <v>2151.2499749676181</v>
      </c>
      <c r="G166" s="284">
        <f>+'CP FCST'!F$72</f>
        <v>1889.3118054345764</v>
      </c>
      <c r="H166" s="284">
        <f>+'CP FCST'!G$72</f>
        <v>2225.6050705951811</v>
      </c>
      <c r="I166" s="284">
        <f>+'CP FCST'!H$72</f>
        <v>2122.5027104877245</v>
      </c>
      <c r="J166" s="284">
        <f>+'CP FCST'!I$72</f>
        <v>1706.8247332163101</v>
      </c>
      <c r="K166" s="284">
        <f>+'CP FCST'!J$72</f>
        <v>1233.7726965818874</v>
      </c>
      <c r="L166" s="284">
        <f>+'CP FCST'!K$72</f>
        <v>2597.3490188439355</v>
      </c>
      <c r="M166" s="284">
        <f>+'CP FCST'!L$72</f>
        <v>2591.3923655165499</v>
      </c>
      <c r="N166" s="284">
        <f>+'CP FCST'!M$72</f>
        <v>562.83343419499784</v>
      </c>
      <c r="O166" s="284"/>
      <c r="P166" s="284"/>
      <c r="Q166" s="284"/>
      <c r="R166" s="255">
        <f>AVERAGE(C166:N166)</f>
        <v>1735.3409376408408</v>
      </c>
      <c r="T166" s="255">
        <f>+'CP FCST'!O$72</f>
        <v>1735.3409376408408</v>
      </c>
      <c r="U166" s="255">
        <f>R166-T166</f>
        <v>0</v>
      </c>
    </row>
    <row r="167" spans="1:21">
      <c r="A167" s="253" t="str">
        <f>B162&amp;" "&amp;B167</f>
        <v>SST-D CP - L.F.</v>
      </c>
      <c r="B167" s="254" t="s">
        <v>1197</v>
      </c>
      <c r="C167" s="498">
        <f>'SST-1D'!C13</f>
        <v>0.82242319897925797</v>
      </c>
      <c r="D167" s="498">
        <f>'SST-1D'!D13</f>
        <v>0.68507315061113161</v>
      </c>
      <c r="E167" s="498">
        <f>'SST-1D'!E13</f>
        <v>0.85875898810042894</v>
      </c>
      <c r="F167" s="498">
        <f>'SST-1D'!F13</f>
        <v>0.85818011267357686</v>
      </c>
      <c r="G167" s="498">
        <f>'SST-1D'!G13</f>
        <v>1.1444100070588075</v>
      </c>
      <c r="H167" s="498">
        <f>'SST-1D'!H13</f>
        <v>0.77949494446656931</v>
      </c>
      <c r="I167" s="498">
        <f>'SST-1D'!I13</f>
        <v>0.73280373995468362</v>
      </c>
      <c r="J167" s="498">
        <f>'SST-1D'!J13</f>
        <v>1.0212147761752199</v>
      </c>
      <c r="K167" s="498">
        <f>'SST-1D'!K13</f>
        <v>1.3692961752602275</v>
      </c>
      <c r="L167" s="498">
        <f>'SST-1D'!L13</f>
        <v>0.65409173557945832</v>
      </c>
      <c r="M167" s="498">
        <f>'SST-1D'!M13</f>
        <v>0.41967656012176563</v>
      </c>
      <c r="N167" s="498">
        <f>'SST-1D'!N13</f>
        <v>1.2435818343986917</v>
      </c>
      <c r="O167" s="284"/>
      <c r="P167" s="284"/>
      <c r="Q167" s="284"/>
      <c r="R167" s="255"/>
    </row>
    <row r="168" spans="1:21">
      <c r="A168" s="253" t="str">
        <f>B162&amp;" "&amp;B168</f>
        <v>SST-D GCP - L.F.</v>
      </c>
      <c r="B168" s="254" t="s">
        <v>1198</v>
      </c>
      <c r="C168" s="498">
        <f>'SST-1D'!C14</f>
        <v>0.38679192663656015</v>
      </c>
      <c r="D168" s="498">
        <f>'SST-1D'!D14</f>
        <v>0.27669004603344055</v>
      </c>
      <c r="E168" s="498">
        <f>'SST-1D'!E14</f>
        <v>0.57448258488789894</v>
      </c>
      <c r="F168" s="498">
        <f>'SST-1D'!F14</f>
        <v>0.45547686207178484</v>
      </c>
      <c r="G168" s="498">
        <f>'SST-1D'!G14</f>
        <v>0.51980487341752446</v>
      </c>
      <c r="H168" s="498">
        <f>'SST-1D'!H14</f>
        <v>0.5002713880014199</v>
      </c>
      <c r="I168" s="498">
        <f>'SST-1D'!I14</f>
        <v>0.46357130266173102</v>
      </c>
      <c r="J168" s="498">
        <f>'SST-1D'!J14</f>
        <v>0.47445743973891186</v>
      </c>
      <c r="K168" s="498">
        <f>'SST-1D'!K14</f>
        <v>0.4608244483141376</v>
      </c>
      <c r="L168" s="498">
        <f>'SST-1D'!L14</f>
        <v>0.33236080605283419</v>
      </c>
      <c r="M168" s="498">
        <f>'SST-1D'!M14</f>
        <v>0.13541543886531512</v>
      </c>
      <c r="N168" s="498">
        <f>'SST-1D'!N14</f>
        <v>0.3048201265836622</v>
      </c>
      <c r="O168" s="284"/>
      <c r="P168" s="284"/>
      <c r="Q168" s="284"/>
      <c r="R168" s="255"/>
    </row>
    <row r="169" spans="1:21">
      <c r="A169" s="253" t="str">
        <f>B162&amp;" "&amp;B169</f>
        <v>SST-D NCP - L.F.</v>
      </c>
      <c r="B169" s="254" t="s">
        <v>1199</v>
      </c>
      <c r="C169" s="498">
        <f>'SST-1D'!C15</f>
        <v>0.31242892475189693</v>
      </c>
      <c r="D169" s="498">
        <f>'SST-1D'!D15</f>
        <v>0.24328138918948006</v>
      </c>
      <c r="E169" s="498">
        <f>'SST-1D'!E15</f>
        <v>0.43190041685688707</v>
      </c>
      <c r="F169" s="498">
        <f>'SST-1D'!F15</f>
        <v>0.37961725853240663</v>
      </c>
      <c r="G169" s="498">
        <f>'SST-1D'!G15</f>
        <v>0.4481851987042022</v>
      </c>
      <c r="H169" s="498">
        <f>'SST-1D'!H15</f>
        <v>0.38643865854996162</v>
      </c>
      <c r="I169" s="498">
        <f>'SST-1D'!I15</f>
        <v>0.38636974202951119</v>
      </c>
      <c r="J169" s="498">
        <f>'SST-1D'!J15</f>
        <v>0.38499162081004162</v>
      </c>
      <c r="K169" s="498">
        <f>'SST-1D'!K15</f>
        <v>0.39879882261703326</v>
      </c>
      <c r="L169" s="498">
        <f>'SST-1D'!L15</f>
        <v>0.2316179179828062</v>
      </c>
      <c r="M169" s="498">
        <f>'SST-1D'!M15</f>
        <v>0.11199966691850878</v>
      </c>
      <c r="N169" s="498">
        <f>'SST-1D'!N15</f>
        <v>0.19578992821919478</v>
      </c>
      <c r="O169" s="284"/>
      <c r="P169" s="284"/>
      <c r="Q169" s="284"/>
      <c r="R169" s="255"/>
    </row>
    <row r="170" spans="1:21">
      <c r="B170" s="254" t="s">
        <v>570</v>
      </c>
      <c r="C170" s="285" t="str">
        <f t="shared" ref="C170:N170" si="15">IF(C166&gt;C165,"ERROR",IF(C165&gt;C164,"ERROR","OK"))</f>
        <v>OK</v>
      </c>
      <c r="D170" s="285" t="str">
        <f t="shared" si="15"/>
        <v>OK</v>
      </c>
      <c r="E170" s="285" t="str">
        <f t="shared" si="15"/>
        <v>OK</v>
      </c>
      <c r="F170" s="285" t="str">
        <f t="shared" si="15"/>
        <v>OK</v>
      </c>
      <c r="G170" s="285" t="str">
        <f t="shared" si="15"/>
        <v>OK</v>
      </c>
      <c r="H170" s="285" t="str">
        <f t="shared" si="15"/>
        <v>OK</v>
      </c>
      <c r="I170" s="285" t="str">
        <f t="shared" si="15"/>
        <v>OK</v>
      </c>
      <c r="J170" s="285" t="str">
        <f t="shared" si="15"/>
        <v>OK</v>
      </c>
      <c r="K170" s="285" t="str">
        <f t="shared" si="15"/>
        <v>OK</v>
      </c>
      <c r="L170" s="285" t="str">
        <f t="shared" si="15"/>
        <v>OK</v>
      </c>
      <c r="M170" s="285" t="str">
        <f t="shared" si="15"/>
        <v>OK</v>
      </c>
      <c r="N170" s="285" t="str">
        <f t="shared" si="15"/>
        <v>OK</v>
      </c>
      <c r="O170" s="284"/>
      <c r="P170" s="284"/>
      <c r="Q170" s="284"/>
      <c r="R170" s="255"/>
    </row>
    <row r="171" spans="1:21">
      <c r="B171" s="259"/>
      <c r="C171" s="284"/>
      <c r="D171" s="284"/>
      <c r="E171" s="284"/>
      <c r="F171" s="284"/>
      <c r="G171" s="284"/>
      <c r="H171" s="284"/>
      <c r="I171" s="284"/>
      <c r="J171" s="284"/>
      <c r="K171" s="284"/>
      <c r="L171" s="284"/>
      <c r="M171" s="284"/>
      <c r="N171" s="284"/>
      <c r="O171" s="284"/>
      <c r="P171" s="284"/>
      <c r="Q171" s="284"/>
      <c r="R171" s="282"/>
    </row>
    <row r="172" spans="1:21">
      <c r="B172" s="252" t="s">
        <v>88</v>
      </c>
      <c r="C172" s="284"/>
      <c r="D172" s="284"/>
      <c r="E172" s="284"/>
      <c r="F172" s="284"/>
      <c r="G172" s="284"/>
      <c r="H172" s="284"/>
      <c r="I172" s="284"/>
      <c r="J172" s="284"/>
      <c r="K172" s="284"/>
      <c r="L172" s="284"/>
      <c r="M172" s="284"/>
      <c r="N172" s="284"/>
      <c r="O172" s="284"/>
      <c r="P172" s="284"/>
      <c r="Q172" s="284"/>
      <c r="R172" s="282"/>
    </row>
    <row r="173" spans="1:21">
      <c r="A173" s="253" t="str">
        <f>B172&amp;" "&amp;B173</f>
        <v>SST-1T KWH Sales</v>
      </c>
      <c r="B173" s="254" t="s">
        <v>563</v>
      </c>
      <c r="C173" s="284">
        <f>+'KWH FCST'!B$74</f>
        <v>5811710</v>
      </c>
      <c r="D173" s="284">
        <f>+'KWH FCST'!C$74</f>
        <v>6787344</v>
      </c>
      <c r="E173" s="284">
        <f>+'KWH FCST'!D$74</f>
        <v>8318048</v>
      </c>
      <c r="F173" s="284">
        <f>+'KWH FCST'!E$74</f>
        <v>7683818</v>
      </c>
      <c r="G173" s="284">
        <f>+'KWH FCST'!F$74</f>
        <v>10687136</v>
      </c>
      <c r="H173" s="284">
        <f>+'KWH FCST'!G$74</f>
        <v>7415962</v>
      </c>
      <c r="I173" s="284">
        <f>+'KWH FCST'!H$74</f>
        <v>7202482</v>
      </c>
      <c r="J173" s="284">
        <f>+'KWH FCST'!I$74</f>
        <v>6421378</v>
      </c>
      <c r="K173" s="284">
        <f>+'KWH FCST'!J$74</f>
        <v>4740820</v>
      </c>
      <c r="L173" s="284">
        <f>+'KWH FCST'!K$74</f>
        <v>9837782</v>
      </c>
      <c r="M173" s="284">
        <f>+'KWH FCST'!L$74</f>
        <v>9758504</v>
      </c>
      <c r="N173" s="284">
        <f>+'KWH FCST'!M$74</f>
        <v>5002770</v>
      </c>
      <c r="O173" s="284">
        <f>SUM(C173:N173)</f>
        <v>89667754</v>
      </c>
      <c r="P173" s="284"/>
      <c r="Q173" s="284"/>
      <c r="R173" s="282"/>
      <c r="T173" s="255">
        <f>VLOOKUP(B172,'Sales Forecast'!$B$7:$AO$23,39,FALSE)</f>
        <v>89667754</v>
      </c>
      <c r="U173" s="255">
        <f>+O173-T173</f>
        <v>0</v>
      </c>
    </row>
    <row r="174" spans="1:21">
      <c r="A174" s="253" t="str">
        <f>B172&amp;" "&amp;B174</f>
        <v>SST-1T NCP</v>
      </c>
      <c r="B174" s="254" t="s">
        <v>133</v>
      </c>
      <c r="C174" s="284">
        <f>+'NCP FCST'!B$73</f>
        <v>77165.349050049161</v>
      </c>
      <c r="D174" s="284">
        <f>+'NCP FCST'!C$73</f>
        <v>79339.846464051327</v>
      </c>
      <c r="E174" s="284">
        <f>+'NCP FCST'!D$73</f>
        <v>126194.63538322384</v>
      </c>
      <c r="F174" s="284">
        <f>+'NCP FCST'!E$73</f>
        <v>85236.757496452658</v>
      </c>
      <c r="G174" s="284">
        <f>+'NCP FCST'!F$73</f>
        <v>130358.62287063993</v>
      </c>
      <c r="H174" s="284">
        <f>+'NCP FCST'!G$73</f>
        <v>93864.854941203899</v>
      </c>
      <c r="I174" s="284">
        <f>+'NCP FCST'!H$73</f>
        <v>69829.322856681159</v>
      </c>
      <c r="J174" s="284">
        <f>+'NCP FCST'!I$73</f>
        <v>81030.196231143462</v>
      </c>
      <c r="K174" s="284">
        <f>+'NCP FCST'!J$73</f>
        <v>54470.549108778629</v>
      </c>
      <c r="L174" s="284">
        <f>+'NCP FCST'!K$73</f>
        <v>75766.052788883608</v>
      </c>
      <c r="M174" s="284">
        <f>+'NCP FCST'!L$73</f>
        <v>143697.99467250583</v>
      </c>
      <c r="N174" s="284">
        <f>+'NCP FCST'!M$73</f>
        <v>68168.578564909767</v>
      </c>
      <c r="O174" s="284"/>
      <c r="P174" s="284">
        <f>MAX(C174:N174)</f>
        <v>143697.99467250583</v>
      </c>
      <c r="Q174" s="284"/>
      <c r="R174" s="282"/>
      <c r="T174" s="255">
        <f>+'NCP FCST'!O$73</f>
        <v>143697.99467250583</v>
      </c>
      <c r="U174" s="255">
        <f>P174-T174</f>
        <v>0</v>
      </c>
    </row>
    <row r="175" spans="1:21">
      <c r="A175" s="253" t="str">
        <f>B172&amp;" "&amp;B175</f>
        <v>SST-1T GNCP</v>
      </c>
      <c r="B175" s="254" t="s">
        <v>342</v>
      </c>
      <c r="C175" s="284">
        <f>+'GNCP FCST'!B$73</f>
        <v>27161.062652635701</v>
      </c>
      <c r="D175" s="284">
        <f>+'GNCP FCST'!C$73</f>
        <v>35824.269817482767</v>
      </c>
      <c r="E175" s="284">
        <f>+'GNCP FCST'!D$73</f>
        <v>51499.060994838059</v>
      </c>
      <c r="F175" s="284">
        <f>+'GNCP FCST'!E$73</f>
        <v>38254.510631621291</v>
      </c>
      <c r="G175" s="284">
        <f>+'GNCP FCST'!F$73</f>
        <v>51961.080237677292</v>
      </c>
      <c r="H175" s="284">
        <f>+'GNCP FCST'!G$73</f>
        <v>42020.066943799786</v>
      </c>
      <c r="I175" s="284">
        <f>+'GNCP FCST'!H$73</f>
        <v>27417.529125675708</v>
      </c>
      <c r="J175" s="284">
        <f>+'GNCP FCST'!I$73</f>
        <v>33207.601247620143</v>
      </c>
      <c r="K175" s="284">
        <f>+'GNCP FCST'!J$73</f>
        <v>25998.538042951037</v>
      </c>
      <c r="L175" s="284">
        <f>+'GNCP FCST'!K$73</f>
        <v>35228.26656812647</v>
      </c>
      <c r="M175" s="284">
        <f>+'GNCP FCST'!L$73</f>
        <v>57625.579904252947</v>
      </c>
      <c r="N175" s="284">
        <f>+'GNCP FCST'!M$73</f>
        <v>29998.785873165416</v>
      </c>
      <c r="O175" s="284"/>
      <c r="Q175" s="284">
        <f>MAX(C175:N175)</f>
        <v>57625.579904252947</v>
      </c>
      <c r="R175" s="282"/>
      <c r="T175" s="255">
        <f>+'GNCP FCST'!O$73</f>
        <v>57625.579904252947</v>
      </c>
      <c r="U175" s="255">
        <f>+Q175-T175</f>
        <v>0</v>
      </c>
    </row>
    <row r="176" spans="1:21">
      <c r="A176" s="253" t="str">
        <f>B172&amp;" "&amp;B176</f>
        <v>SST-1T CP</v>
      </c>
      <c r="B176" s="254" t="s">
        <v>148</v>
      </c>
      <c r="C176" s="284">
        <f>+'CP FCST'!B$73</f>
        <v>11021.075215833998</v>
      </c>
      <c r="D176" s="284">
        <f>+'CP FCST'!C$73</f>
        <v>9702.0123146749138</v>
      </c>
      <c r="E176" s="284">
        <f>+'CP FCST'!D$73</f>
        <v>8563.4327641211858</v>
      </c>
      <c r="F176" s="284">
        <f>+'CP FCST'!E$73</f>
        <v>9228.2940349624841</v>
      </c>
      <c r="G176" s="284">
        <f>+'CP FCST'!F$73</f>
        <v>10153.988426159569</v>
      </c>
      <c r="H176" s="284">
        <f>+'CP FCST'!G$73</f>
        <v>8162.7682530984976</v>
      </c>
      <c r="I176" s="284">
        <f>+'CP FCST'!H$73</f>
        <v>6926.1773277994444</v>
      </c>
      <c r="J176" s="284">
        <f>+'CP FCST'!I$73</f>
        <v>6129.1825110428363</v>
      </c>
      <c r="K176" s="284">
        <f>+'CP FCST'!J$73</f>
        <v>10819.659901942814</v>
      </c>
      <c r="L176" s="284">
        <f>+'CP FCST'!K$73</f>
        <v>7217.6156372699625</v>
      </c>
      <c r="M176" s="284">
        <f>+'CP FCST'!L$73</f>
        <v>18841.53959363902</v>
      </c>
      <c r="N176" s="284">
        <f>+'CP FCST'!M$73</f>
        <v>7999.2362365977997</v>
      </c>
      <c r="O176" s="284"/>
      <c r="P176" s="284"/>
      <c r="Q176" s="284"/>
      <c r="R176" s="255">
        <f>AVERAGE(C176:N176)</f>
        <v>9563.7485180952099</v>
      </c>
      <c r="T176" s="255">
        <f>+'CP FCST'!O$73</f>
        <v>9563.7485180952099</v>
      </c>
      <c r="U176" s="255">
        <f>R176-T176</f>
        <v>0</v>
      </c>
    </row>
    <row r="177" spans="1:21">
      <c r="A177" s="253" t="str">
        <f>B172&amp;" "&amp;B177</f>
        <v>SST-1T CP - L.F.</v>
      </c>
      <c r="B177" s="254" t="s">
        <v>1197</v>
      </c>
      <c r="C177" s="498">
        <f>'SST-1T'!C13</f>
        <v>0.77404541941893379</v>
      </c>
      <c r="D177" s="498">
        <f>'SST-1T'!D13</f>
        <v>1.0482121423946116</v>
      </c>
      <c r="E177" s="498">
        <f>'SST-1T'!E13</f>
        <v>1.4608247211521603</v>
      </c>
      <c r="F177" s="498">
        <f>'SST-1T'!F13</f>
        <v>1.2490307270458127</v>
      </c>
      <c r="G177" s="498">
        <f>'SST-1T'!G13</f>
        <v>1.5564598763265356</v>
      </c>
      <c r="H177" s="498">
        <f>'SST-1T'!H13</f>
        <v>1.3268666322473692</v>
      </c>
      <c r="I177" s="498">
        <f>'SST-1T'!I13</f>
        <v>1.4869973232203042</v>
      </c>
      <c r="J177" s="498">
        <f>'SST-1T'!J13</f>
        <v>1.5452068031603396</v>
      </c>
      <c r="K177" s="498">
        <f>'SST-1T'!K13</f>
        <v>0.61426862005757321</v>
      </c>
      <c r="L177" s="498">
        <f>'SST-1T'!L13</f>
        <v>1.86849423738638</v>
      </c>
      <c r="M177" s="498">
        <f>'SST-1T'!M13</f>
        <v>0.70442346330583916</v>
      </c>
      <c r="N177" s="498">
        <f>'SST-1T'!N13</f>
        <v>0.86246717209256218</v>
      </c>
      <c r="O177" s="284"/>
      <c r="P177" s="284"/>
      <c r="Q177" s="284"/>
      <c r="R177" s="255"/>
    </row>
    <row r="178" spans="1:21">
      <c r="A178" s="253" t="str">
        <f>B172&amp;" "&amp;B178</f>
        <v>SST-1T GCP - L.F.</v>
      </c>
      <c r="B178" s="254" t="s">
        <v>1198</v>
      </c>
      <c r="C178" s="498">
        <f>'SST-1T'!C14</f>
        <v>0.28759692770286333</v>
      </c>
      <c r="D178" s="498">
        <f>'SST-1T'!D14</f>
        <v>0.28193775720127123</v>
      </c>
      <c r="E178" s="498">
        <f>'SST-1T'!E14</f>
        <v>0.21709467759288625</v>
      </c>
      <c r="F178" s="498">
        <f>'SST-1T'!F14</f>
        <v>0.27897283923488392</v>
      </c>
      <c r="G178" s="498">
        <f>'SST-1T'!G14</f>
        <v>0.276445948425667</v>
      </c>
      <c r="H178" s="498">
        <f>'SST-1T'!H14</f>
        <v>0.24511972424979722</v>
      </c>
      <c r="I178" s="498">
        <f>'SST-1T'!I14</f>
        <v>0.35308635333146576</v>
      </c>
      <c r="J178" s="498">
        <f>'SST-1T'!J14</f>
        <v>0.25990689132418715</v>
      </c>
      <c r="K178" s="498">
        <f>'SST-1T'!K14</f>
        <v>0.25326317238855151</v>
      </c>
      <c r="L178" s="498">
        <f>'SST-1T'!L14</f>
        <v>0.37534703114744911</v>
      </c>
      <c r="M178" s="498">
        <f>'SST-1T'!M14</f>
        <v>0.23519898281800178</v>
      </c>
      <c r="N178" s="498">
        <f>'SST-1T'!N14</f>
        <v>0.22414751231053512</v>
      </c>
      <c r="O178" s="284"/>
      <c r="P178" s="284"/>
      <c r="Q178" s="284"/>
      <c r="R178" s="255"/>
    </row>
    <row r="179" spans="1:21">
      <c r="A179" s="253" t="str">
        <f>B172&amp;" "&amp;B179</f>
        <v>SST-1T NCP - L.F.</v>
      </c>
      <c r="B179" s="254" t="s">
        <v>1199</v>
      </c>
      <c r="C179" s="498">
        <f>'SST-1T'!C15</f>
        <v>0.10122986895292264</v>
      </c>
      <c r="D179" s="498">
        <f>'SST-1T'!D15</f>
        <v>0.12730317407773994</v>
      </c>
      <c r="E179" s="498">
        <f>'SST-1T'!E15</f>
        <v>8.8594669726325237E-2</v>
      </c>
      <c r="F179" s="498">
        <f>'SST-1T'!F15</f>
        <v>0.12520384113495384</v>
      </c>
      <c r="G179" s="498">
        <f>'SST-1T'!G15</f>
        <v>0.11019163743223399</v>
      </c>
      <c r="H179" s="498">
        <f>'SST-1T'!H15</f>
        <v>0.10973166930981801</v>
      </c>
      <c r="I179" s="498">
        <f>'SST-1T'!I15</f>
        <v>0.13863453031347628</v>
      </c>
      <c r="J179" s="498">
        <f>'SST-1T'!J15</f>
        <v>0.10651442067327641</v>
      </c>
      <c r="K179" s="498">
        <f>'SST-1T'!K15</f>
        <v>0.12088132633054456</v>
      </c>
      <c r="L179" s="498">
        <f>'SST-1T'!L15</f>
        <v>0.17452176511902515</v>
      </c>
      <c r="M179" s="498">
        <f>'SST-1T'!M15</f>
        <v>9.4319185237530717E-2</v>
      </c>
      <c r="N179" s="498">
        <f>'SST-1T'!N15</f>
        <v>9.8640068010274667E-2</v>
      </c>
      <c r="O179" s="284"/>
      <c r="P179" s="284"/>
      <c r="Q179" s="284"/>
      <c r="R179" s="255"/>
    </row>
    <row r="180" spans="1:21">
      <c r="B180" s="254" t="s">
        <v>570</v>
      </c>
      <c r="C180" s="285" t="str">
        <f t="shared" ref="C180:N180" si="16">IF(C176&gt;C175,"ERROR",IF(C175&gt;C174,"ERROR","OK"))</f>
        <v>OK</v>
      </c>
      <c r="D180" s="285" t="str">
        <f t="shared" si="16"/>
        <v>OK</v>
      </c>
      <c r="E180" s="285" t="str">
        <f t="shared" si="16"/>
        <v>OK</v>
      </c>
      <c r="F180" s="285" t="str">
        <f t="shared" si="16"/>
        <v>OK</v>
      </c>
      <c r="G180" s="285" t="str">
        <f t="shared" si="16"/>
        <v>OK</v>
      </c>
      <c r="H180" s="285" t="str">
        <f t="shared" si="16"/>
        <v>OK</v>
      </c>
      <c r="I180" s="285" t="str">
        <f t="shared" si="16"/>
        <v>OK</v>
      </c>
      <c r="J180" s="285" t="str">
        <f t="shared" si="16"/>
        <v>OK</v>
      </c>
      <c r="K180" s="285" t="str">
        <f t="shared" si="16"/>
        <v>OK</v>
      </c>
      <c r="L180" s="285" t="str">
        <f t="shared" si="16"/>
        <v>OK</v>
      </c>
      <c r="M180" s="285" t="str">
        <f t="shared" si="16"/>
        <v>OK</v>
      </c>
      <c r="N180" s="285" t="str">
        <f t="shared" si="16"/>
        <v>OK</v>
      </c>
      <c r="O180" s="284"/>
      <c r="P180" s="284"/>
      <c r="Q180" s="284"/>
      <c r="R180" s="255"/>
    </row>
    <row r="181" spans="1:21">
      <c r="B181" s="259"/>
      <c r="C181" s="284"/>
      <c r="D181" s="284"/>
      <c r="E181" s="284"/>
      <c r="F181" s="284"/>
      <c r="G181" s="284"/>
      <c r="H181" s="284"/>
      <c r="I181" s="284"/>
      <c r="J181" s="284"/>
      <c r="K181" s="284"/>
      <c r="L181" s="284"/>
      <c r="M181" s="284"/>
      <c r="N181" s="284"/>
      <c r="O181" s="284"/>
      <c r="P181" s="284"/>
      <c r="Q181" s="284"/>
      <c r="R181" s="282"/>
    </row>
    <row r="182" spans="1:21">
      <c r="R182" s="164"/>
    </row>
    <row r="183" spans="1:21" s="260" customFormat="1" ht="15.6">
      <c r="B183" s="286" t="s">
        <v>453</v>
      </c>
      <c r="C183" s="255"/>
      <c r="D183" s="255"/>
      <c r="E183" s="255"/>
      <c r="F183" s="255"/>
      <c r="G183" s="255"/>
      <c r="H183" s="255"/>
      <c r="I183" s="255"/>
      <c r="J183" s="255"/>
      <c r="K183" s="255"/>
      <c r="L183" s="255"/>
      <c r="M183" s="255"/>
      <c r="N183" s="255"/>
      <c r="O183" s="287">
        <f>SUM(O12:O182)</f>
        <v>107246477186</v>
      </c>
      <c r="P183" s="287">
        <f>SUM(P12:P182)</f>
        <v>45500977.616284773</v>
      </c>
      <c r="Q183" s="287">
        <f>SUM(Q12:Q182)</f>
        <v>22400856.529475782</v>
      </c>
      <c r="R183" s="287">
        <f>SUM(R12:R182)</f>
        <v>18759442.337858032</v>
      </c>
      <c r="T183" s="287">
        <f>SUM(T12:T182)</f>
        <v>107333138462.48363</v>
      </c>
      <c r="U183" s="287">
        <f>SUM(U12:U182)</f>
        <v>0</v>
      </c>
    </row>
    <row r="184" spans="1:21" s="260" customFormat="1">
      <c r="C184" s="255"/>
      <c r="D184" s="255"/>
      <c r="E184" s="255"/>
      <c r="F184" s="255"/>
      <c r="G184" s="255"/>
      <c r="H184" s="255"/>
      <c r="I184" s="255"/>
      <c r="J184" s="255"/>
      <c r="K184" s="255"/>
      <c r="L184" s="255"/>
      <c r="M184" s="255"/>
      <c r="N184" s="255"/>
      <c r="O184" s="255"/>
      <c r="P184" s="255"/>
      <c r="Q184" s="255"/>
      <c r="R184" s="288"/>
      <c r="T184" s="261"/>
      <c r="U184" s="261"/>
    </row>
    <row r="185" spans="1:21" s="260" customFormat="1" ht="15.6">
      <c r="B185" s="250" t="s">
        <v>86</v>
      </c>
      <c r="C185" s="255"/>
      <c r="D185" s="255"/>
      <c r="E185" s="255"/>
      <c r="F185" s="255"/>
      <c r="G185" s="255"/>
      <c r="H185" s="255"/>
      <c r="I185" s="255"/>
      <c r="J185" s="255"/>
      <c r="K185" s="255"/>
      <c r="L185" s="255"/>
      <c r="M185" s="255"/>
      <c r="N185" s="255"/>
      <c r="O185" s="255"/>
      <c r="P185" s="255"/>
      <c r="Q185" s="255"/>
      <c r="R185" s="288"/>
      <c r="T185" s="261"/>
      <c r="U185" s="261"/>
    </row>
    <row r="186" spans="1:21">
      <c r="B186" s="252" t="s">
        <v>603</v>
      </c>
      <c r="C186" s="284"/>
      <c r="D186" s="284"/>
      <c r="E186" s="284"/>
      <c r="F186" s="284"/>
      <c r="G186" s="284"/>
      <c r="H186" s="284"/>
      <c r="I186" s="284"/>
      <c r="J186" s="284"/>
      <c r="K186" s="284"/>
      <c r="L186" s="284"/>
      <c r="M186" s="284"/>
      <c r="N186" s="284"/>
      <c r="O186" s="284"/>
      <c r="P186" s="284"/>
      <c r="Q186" s="284"/>
      <c r="R186" s="282"/>
    </row>
    <row r="187" spans="1:21">
      <c r="A187" s="253" t="str">
        <f>B186&amp;" "&amp;B187</f>
        <v>BLOUNTSTOWN KWH Sales</v>
      </c>
      <c r="B187" s="254" t="s">
        <v>563</v>
      </c>
      <c r="C187" s="284">
        <f>VLOOKUP($B186,'KWH FCST'!$A$58:$O$87,C$8,FALSE)</f>
        <v>2927123.998252566</v>
      </c>
      <c r="D187" s="284">
        <f>VLOOKUP($B186,'KWH FCST'!$A$58:$O$87,D$8,FALSE)</f>
        <v>0</v>
      </c>
      <c r="E187" s="284">
        <f>VLOOKUP($B186,'KWH FCST'!$A$58:$O$87,E$8,FALSE)</f>
        <v>0</v>
      </c>
      <c r="F187" s="284">
        <f>VLOOKUP($B186,'KWH FCST'!$A$58:$O$87,F$8,FALSE)</f>
        <v>0</v>
      </c>
      <c r="G187" s="284">
        <f>VLOOKUP($B186,'KWH FCST'!$A$58:$O$87,G$8,FALSE)</f>
        <v>0</v>
      </c>
      <c r="H187" s="284">
        <f>VLOOKUP($B186,'KWH FCST'!$A$58:$O$87,H$8,FALSE)</f>
        <v>0</v>
      </c>
      <c r="I187" s="284">
        <f>VLOOKUP($B186,'KWH FCST'!$A$58:$O$87,I$8,FALSE)</f>
        <v>0</v>
      </c>
      <c r="J187" s="284">
        <f>VLOOKUP($B186,'KWH FCST'!$A$58:$O$87,J$8,FALSE)</f>
        <v>0</v>
      </c>
      <c r="K187" s="284">
        <f>VLOOKUP($B186,'KWH FCST'!$A$58:$O$87,K$8,FALSE)</f>
        <v>0</v>
      </c>
      <c r="L187" s="284">
        <f>VLOOKUP($B186,'KWH FCST'!$A$58:$O$87,L$8,FALSE)</f>
        <v>0</v>
      </c>
      <c r="M187" s="284">
        <f>VLOOKUP($B186,'KWH FCST'!$A$58:$O$87,M$8,FALSE)</f>
        <v>0</v>
      </c>
      <c r="N187" s="284">
        <f>VLOOKUP($B186,'KWH FCST'!$A$58:$O$87,N$8,FALSE)</f>
        <v>0</v>
      </c>
      <c r="O187" s="284">
        <f>SUM(C187:N187)</f>
        <v>2927123.998252566</v>
      </c>
      <c r="P187" s="284"/>
      <c r="Q187" s="284"/>
      <c r="R187" s="282"/>
      <c r="T187" s="296">
        <f>VLOOKUP($B186,'KWH FCST'!$A$58:$O$87,14,FALSE)</f>
        <v>2927123.998252566</v>
      </c>
      <c r="U187" s="255">
        <f>+O187-T187</f>
        <v>0</v>
      </c>
    </row>
    <row r="188" spans="1:21">
      <c r="A188" s="253" t="str">
        <f>B186&amp;" "&amp;B188</f>
        <v>BLOUNTSTOWN NCP</v>
      </c>
      <c r="B188" s="254" t="s">
        <v>133</v>
      </c>
      <c r="C188" s="284">
        <f>VLOOKUP($B186,'NCP FCST'!$A$58:$O$87,C$8,FALSE)</f>
        <v>0</v>
      </c>
      <c r="D188" s="284">
        <f>VLOOKUP($B186,'NCP FCST'!$A$58:$O$87,D$8,FALSE)</f>
        <v>0</v>
      </c>
      <c r="E188" s="284">
        <f>VLOOKUP($B186,'NCP FCST'!$A$58:$O$87,E$8,FALSE)</f>
        <v>0</v>
      </c>
      <c r="F188" s="284">
        <f>VLOOKUP($B186,'NCP FCST'!$A$58:$O$87,F$8,FALSE)</f>
        <v>0</v>
      </c>
      <c r="G188" s="284">
        <f>VLOOKUP($B186,'NCP FCST'!$A$58:$O$87,G$8,FALSE)</f>
        <v>0</v>
      </c>
      <c r="H188" s="284">
        <f>VLOOKUP($B186,'NCP FCST'!$A$58:$O$87,H$8,FALSE)</f>
        <v>0</v>
      </c>
      <c r="I188" s="284">
        <f>VLOOKUP($B186,'NCP FCST'!$A$58:$O$87,I$8,FALSE)</f>
        <v>0</v>
      </c>
      <c r="J188" s="284">
        <f>VLOOKUP($B186,'NCP FCST'!$A$58:$O$87,J$8,FALSE)</f>
        <v>0</v>
      </c>
      <c r="K188" s="284">
        <f>VLOOKUP($B186,'NCP FCST'!$A$58:$O$87,K$8,FALSE)</f>
        <v>0</v>
      </c>
      <c r="L188" s="284">
        <f>VLOOKUP($B186,'NCP FCST'!$A$58:$O$87,L$8,FALSE)</f>
        <v>0</v>
      </c>
      <c r="M188" s="284">
        <f>VLOOKUP($B186,'NCP FCST'!$A$58:$O$87,M$8,FALSE)</f>
        <v>0</v>
      </c>
      <c r="N188" s="284">
        <f>VLOOKUP($B186,'NCP FCST'!$A$58:$O$87,N$8,FALSE)</f>
        <v>0</v>
      </c>
      <c r="O188" s="284"/>
      <c r="P188" s="284">
        <f>MAX(C188:N188)</f>
        <v>0</v>
      </c>
      <c r="Q188" s="284"/>
      <c r="R188" s="282"/>
      <c r="T188" s="255">
        <f>VLOOKUP($B186,'NCP FCST'!$A$58:$O$87,15,FALSE)</f>
        <v>0</v>
      </c>
      <c r="U188" s="255">
        <f>P188-T188</f>
        <v>0</v>
      </c>
    </row>
    <row r="189" spans="1:21">
      <c r="A189" s="253" t="str">
        <f>B186&amp;" "&amp;B189</f>
        <v>BLOUNTSTOWN GNCP</v>
      </c>
      <c r="B189" s="254" t="s">
        <v>342</v>
      </c>
      <c r="C189" s="284">
        <f>VLOOKUP($B186,'GNCP FCST'!$A$58:$O$87,C$8,FALSE)</f>
        <v>0</v>
      </c>
      <c r="D189" s="284">
        <f>VLOOKUP($B186,'GNCP FCST'!$A$58:$O$87,D$8,FALSE)</f>
        <v>0</v>
      </c>
      <c r="E189" s="284">
        <f>VLOOKUP($B186,'GNCP FCST'!$A$58:$O$87,E$8,FALSE)</f>
        <v>0</v>
      </c>
      <c r="F189" s="284">
        <f>VLOOKUP($B186,'GNCP FCST'!$A$58:$O$87,F$8,FALSE)</f>
        <v>0</v>
      </c>
      <c r="G189" s="284">
        <f>VLOOKUP($B186,'GNCP FCST'!$A$58:$O$87,G$8,FALSE)</f>
        <v>0</v>
      </c>
      <c r="H189" s="284">
        <f>VLOOKUP($B186,'GNCP FCST'!$A$58:$O$87,H$8,FALSE)</f>
        <v>0</v>
      </c>
      <c r="I189" s="284">
        <f>VLOOKUP($B186,'GNCP FCST'!$A$58:$O$87,I$8,FALSE)</f>
        <v>0</v>
      </c>
      <c r="J189" s="284">
        <f>VLOOKUP($B186,'GNCP FCST'!$A$58:$O$87,J$8,FALSE)</f>
        <v>0</v>
      </c>
      <c r="K189" s="284">
        <f>VLOOKUP($B186,'GNCP FCST'!$A$58:$O$87,K$8,FALSE)</f>
        <v>0</v>
      </c>
      <c r="L189" s="284">
        <f>VLOOKUP($B186,'GNCP FCST'!$A$58:$O$87,L$8,FALSE)</f>
        <v>0</v>
      </c>
      <c r="M189" s="284">
        <f>VLOOKUP($B186,'GNCP FCST'!$A$58:$O$87,M$8,FALSE)</f>
        <v>0</v>
      </c>
      <c r="N189" s="284">
        <f>VLOOKUP($B186,'GNCP FCST'!$A$58:$O$87,N$8,FALSE)</f>
        <v>0</v>
      </c>
      <c r="O189" s="284"/>
      <c r="Q189" s="284">
        <f>MAX(C189:N189)</f>
        <v>0</v>
      </c>
      <c r="R189" s="282"/>
      <c r="T189" s="255">
        <f>VLOOKUP($B186,'GNCP FCST'!$A$58:$O$87,15,FALSE)</f>
        <v>0</v>
      </c>
      <c r="U189" s="255">
        <f>+Q189-T189</f>
        <v>0</v>
      </c>
    </row>
    <row r="190" spans="1:21">
      <c r="A190" s="253" t="str">
        <f>B186&amp;" "&amp;B190</f>
        <v>BLOUNTSTOWN CP</v>
      </c>
      <c r="B190" s="254" t="s">
        <v>148</v>
      </c>
      <c r="C190" s="284">
        <f>VLOOKUP($B186,'CP FCST'!$A$58:$O$87,C$8,FALSE)</f>
        <v>0</v>
      </c>
      <c r="D190" s="284">
        <f>VLOOKUP($B186,'CP FCST'!$A$58:$O$87,D$8,FALSE)</f>
        <v>0</v>
      </c>
      <c r="E190" s="284">
        <f>VLOOKUP($B186,'CP FCST'!$A$58:$O$87,E$8,FALSE)</f>
        <v>0</v>
      </c>
      <c r="F190" s="284">
        <f>VLOOKUP($B186,'CP FCST'!$A$58:$O$87,F$8,FALSE)</f>
        <v>0</v>
      </c>
      <c r="G190" s="284">
        <f>VLOOKUP($B186,'CP FCST'!$A$58:$O$87,G$8,FALSE)</f>
        <v>0</v>
      </c>
      <c r="H190" s="284">
        <f>VLOOKUP($B186,'CP FCST'!$A$58:$O$87,H$8,FALSE)</f>
        <v>0</v>
      </c>
      <c r="I190" s="284">
        <f>VLOOKUP($B186,'CP FCST'!$A$58:$O$87,I$8,FALSE)</f>
        <v>0</v>
      </c>
      <c r="J190" s="284">
        <f>VLOOKUP($B186,'CP FCST'!$A$58:$O$87,J$8,FALSE)</f>
        <v>0</v>
      </c>
      <c r="K190" s="284">
        <f>VLOOKUP($B186,'CP FCST'!$A$58:$O$87,K$8,FALSE)</f>
        <v>0</v>
      </c>
      <c r="L190" s="284">
        <f>VLOOKUP($B186,'CP FCST'!$A$58:$O$87,L$8,FALSE)</f>
        <v>0</v>
      </c>
      <c r="M190" s="284">
        <f>VLOOKUP($B186,'CP FCST'!$A$58:$O$87,M$8,FALSE)</f>
        <v>0</v>
      </c>
      <c r="N190" s="284">
        <f>VLOOKUP($B186,'CP FCST'!$A$58:$O$87,N$8,FALSE)</f>
        <v>0</v>
      </c>
      <c r="O190" s="284"/>
      <c r="P190" s="284"/>
      <c r="Q190" s="284"/>
      <c r="R190" s="255">
        <f>AVERAGE(C190:N190)</f>
        <v>0</v>
      </c>
      <c r="T190" s="255">
        <f>VLOOKUP($B186,'CP FCST'!$A$58:$O$87,15,FALSE)</f>
        <v>0</v>
      </c>
      <c r="U190" s="255">
        <f>R190-T190</f>
        <v>0</v>
      </c>
    </row>
    <row r="191" spans="1:21">
      <c r="A191" s="253" t="str">
        <f>B186&amp;" "&amp;B191</f>
        <v>BLOUNTSTOWN CP - L.F.</v>
      </c>
      <c r="B191" s="254" t="s">
        <v>1197</v>
      </c>
      <c r="C191" s="498">
        <f>BLOUNTSTOWN!C82</f>
        <v>0</v>
      </c>
      <c r="D191" s="498">
        <f>BLOUNTSTOWN!D82</f>
        <v>0</v>
      </c>
      <c r="E191" s="498">
        <f>BLOUNTSTOWN!E82</f>
        <v>0</v>
      </c>
      <c r="F191" s="498">
        <f>BLOUNTSTOWN!F82</f>
        <v>0</v>
      </c>
      <c r="G191" s="498">
        <f>BLOUNTSTOWN!G82</f>
        <v>0</v>
      </c>
      <c r="H191" s="498">
        <f>BLOUNTSTOWN!H82</f>
        <v>0</v>
      </c>
      <c r="I191" s="498">
        <f>BLOUNTSTOWN!I82</f>
        <v>0</v>
      </c>
      <c r="J191" s="498">
        <f>BLOUNTSTOWN!J82</f>
        <v>0</v>
      </c>
      <c r="K191" s="498">
        <f>BLOUNTSTOWN!K82</f>
        <v>0</v>
      </c>
      <c r="L191" s="498">
        <f>BLOUNTSTOWN!L82</f>
        <v>0</v>
      </c>
      <c r="M191" s="498">
        <f>BLOUNTSTOWN!M82</f>
        <v>0</v>
      </c>
      <c r="N191" s="498">
        <f>BLOUNTSTOWN!N82</f>
        <v>0</v>
      </c>
      <c r="O191" s="284"/>
      <c r="P191" s="284"/>
      <c r="Q191" s="284"/>
      <c r="R191" s="255"/>
    </row>
    <row r="192" spans="1:21">
      <c r="A192" s="253" t="str">
        <f>B186&amp;" "&amp;B192</f>
        <v>BLOUNTSTOWN GCP - L.F.</v>
      </c>
      <c r="B192" s="254" t="s">
        <v>1198</v>
      </c>
      <c r="C192" s="498">
        <f>BLOUNTSTOWN!C83</f>
        <v>0</v>
      </c>
      <c r="D192" s="498">
        <f>BLOUNTSTOWN!D83</f>
        <v>0</v>
      </c>
      <c r="E192" s="498">
        <f>BLOUNTSTOWN!E83</f>
        <v>0</v>
      </c>
      <c r="F192" s="498">
        <f>BLOUNTSTOWN!F83</f>
        <v>0</v>
      </c>
      <c r="G192" s="498">
        <f>BLOUNTSTOWN!G83</f>
        <v>0</v>
      </c>
      <c r="H192" s="498">
        <f>BLOUNTSTOWN!H83</f>
        <v>0</v>
      </c>
      <c r="I192" s="498">
        <f>BLOUNTSTOWN!I83</f>
        <v>0</v>
      </c>
      <c r="J192" s="498">
        <f>BLOUNTSTOWN!J83</f>
        <v>0</v>
      </c>
      <c r="K192" s="498">
        <f>BLOUNTSTOWN!K83</f>
        <v>0</v>
      </c>
      <c r="L192" s="498">
        <f>BLOUNTSTOWN!L83</f>
        <v>0</v>
      </c>
      <c r="M192" s="498">
        <f>BLOUNTSTOWN!M83</f>
        <v>0</v>
      </c>
      <c r="N192" s="498">
        <f>BLOUNTSTOWN!N83</f>
        <v>0</v>
      </c>
      <c r="O192" s="284"/>
      <c r="P192" s="284"/>
      <c r="Q192" s="284"/>
      <c r="R192" s="255"/>
    </row>
    <row r="193" spans="1:25">
      <c r="A193" s="253" t="str">
        <f>B186&amp;" "&amp;B193</f>
        <v>BLOUNTSTOWN NCP - L.F.</v>
      </c>
      <c r="B193" s="254" t="s">
        <v>1199</v>
      </c>
      <c r="C193" s="498">
        <f>BLOUNTSTOWN!C84</f>
        <v>0</v>
      </c>
      <c r="D193" s="498">
        <f>BLOUNTSTOWN!D84</f>
        <v>0</v>
      </c>
      <c r="E193" s="498">
        <f>BLOUNTSTOWN!E84</f>
        <v>0</v>
      </c>
      <c r="F193" s="498">
        <f>BLOUNTSTOWN!F84</f>
        <v>0</v>
      </c>
      <c r="G193" s="498">
        <f>BLOUNTSTOWN!G84</f>
        <v>0</v>
      </c>
      <c r="H193" s="498">
        <f>BLOUNTSTOWN!H84</f>
        <v>0</v>
      </c>
      <c r="I193" s="498">
        <f>BLOUNTSTOWN!I84</f>
        <v>0</v>
      </c>
      <c r="J193" s="498">
        <f>BLOUNTSTOWN!J84</f>
        <v>0</v>
      </c>
      <c r="K193" s="498">
        <f>BLOUNTSTOWN!K84</f>
        <v>0</v>
      </c>
      <c r="L193" s="498">
        <f>BLOUNTSTOWN!L84</f>
        <v>0</v>
      </c>
      <c r="M193" s="498">
        <f>BLOUNTSTOWN!M84</f>
        <v>0</v>
      </c>
      <c r="N193" s="498">
        <f>BLOUNTSTOWN!N84</f>
        <v>0</v>
      </c>
      <c r="O193" s="284"/>
      <c r="P193" s="284"/>
      <c r="Q193" s="284"/>
      <c r="R193" s="255"/>
    </row>
    <row r="194" spans="1:25">
      <c r="B194" s="254" t="s">
        <v>570</v>
      </c>
      <c r="C194" s="285" t="str">
        <f>IF(C190&gt;C189,"ERROR",IF(C189&gt;C188,"ERROR","OK"))</f>
        <v>OK</v>
      </c>
      <c r="D194" s="285" t="str">
        <f t="shared" ref="D194:N194" si="17">IF(D190&gt;D189,"ERROR",IF(D189&gt;D188,"ERROR","OK"))</f>
        <v>OK</v>
      </c>
      <c r="E194" s="285" t="str">
        <f t="shared" si="17"/>
        <v>OK</v>
      </c>
      <c r="F194" s="285" t="str">
        <f t="shared" si="17"/>
        <v>OK</v>
      </c>
      <c r="G194" s="285" t="str">
        <f t="shared" si="17"/>
        <v>OK</v>
      </c>
      <c r="H194" s="285" t="str">
        <f t="shared" si="17"/>
        <v>OK</v>
      </c>
      <c r="I194" s="285" t="str">
        <f t="shared" si="17"/>
        <v>OK</v>
      </c>
      <c r="J194" s="285" t="str">
        <f t="shared" si="17"/>
        <v>OK</v>
      </c>
      <c r="K194" s="285" t="str">
        <f t="shared" si="17"/>
        <v>OK</v>
      </c>
      <c r="L194" s="285" t="str">
        <f t="shared" si="17"/>
        <v>OK</v>
      </c>
      <c r="M194" s="285" t="str">
        <f t="shared" si="17"/>
        <v>OK</v>
      </c>
      <c r="N194" s="285" t="str">
        <f t="shared" si="17"/>
        <v>OK</v>
      </c>
      <c r="O194" s="284"/>
      <c r="P194" s="284"/>
      <c r="Q194" s="284"/>
      <c r="R194" s="255"/>
    </row>
    <row r="195" spans="1:25">
      <c r="B195" s="259"/>
      <c r="C195" s="284"/>
      <c r="D195" s="284"/>
      <c r="E195" s="284"/>
      <c r="F195" s="284"/>
      <c r="G195" s="284"/>
      <c r="H195" s="284"/>
      <c r="I195" s="284"/>
      <c r="J195" s="284"/>
      <c r="K195" s="284"/>
      <c r="L195" s="284"/>
      <c r="M195" s="284"/>
      <c r="N195" s="284"/>
      <c r="O195" s="284"/>
      <c r="P195" s="284"/>
      <c r="Q195" s="284"/>
      <c r="R195" s="282"/>
    </row>
    <row r="196" spans="1:25" s="260" customFormat="1">
      <c r="B196" s="252" t="s">
        <v>983</v>
      </c>
      <c r="C196" s="255"/>
      <c r="D196" s="255"/>
      <c r="E196" s="255"/>
      <c r="F196" s="255"/>
      <c r="G196" s="255"/>
      <c r="H196" s="255"/>
      <c r="I196" s="255"/>
      <c r="J196" s="255"/>
      <c r="K196" s="255"/>
      <c r="L196" s="255"/>
      <c r="M196" s="255"/>
      <c r="N196" s="255"/>
      <c r="O196" s="284"/>
      <c r="P196" s="284"/>
      <c r="Q196" s="284"/>
      <c r="R196" s="282"/>
      <c r="T196" s="261"/>
      <c r="U196" s="261"/>
      <c r="Y196" s="163"/>
    </row>
    <row r="197" spans="1:25">
      <c r="A197" s="253" t="str">
        <f>B196&amp;" "&amp;B197</f>
        <v>FLORIDA KEYS KWH Sales</v>
      </c>
      <c r="B197" s="254" t="s">
        <v>563</v>
      </c>
      <c r="C197" s="284">
        <f>VLOOKUP($B196,'KWH FCST'!$A$58:$O$87,C$8,FALSE)</f>
        <v>56726099.68626795</v>
      </c>
      <c r="D197" s="284">
        <f>VLOOKUP($B196,'KWH FCST'!$A$58:$O$87,D$8,FALSE)</f>
        <v>56898680.068652593</v>
      </c>
      <c r="E197" s="284">
        <f>VLOOKUP($B196,'KWH FCST'!$A$58:$O$87,E$8,FALSE)</f>
        <v>53651942.578917503</v>
      </c>
      <c r="F197" s="284">
        <f>VLOOKUP($B196,'KWH FCST'!$A$58:$O$87,F$8,FALSE)</f>
        <v>61310285.553964131</v>
      </c>
      <c r="G197" s="284">
        <f>VLOOKUP($B196,'KWH FCST'!$A$58:$O$87,G$8,FALSE)</f>
        <v>64372571.632696867</v>
      </c>
      <c r="H197" s="284">
        <f>VLOOKUP($B196,'KWH FCST'!$A$58:$O$87,H$8,FALSE)</f>
        <v>72852357.595788568</v>
      </c>
      <c r="I197" s="284">
        <f>VLOOKUP($B196,'KWH FCST'!$A$58:$O$87,I$8,FALSE)</f>
        <v>79286019.678151041</v>
      </c>
      <c r="J197" s="284">
        <f>VLOOKUP($B196,'KWH FCST'!$A$58:$O$87,J$8,FALSE)</f>
        <v>86702208.746304601</v>
      </c>
      <c r="K197" s="284">
        <f>VLOOKUP($B196,'KWH FCST'!$A$58:$O$87,K$8,FALSE)</f>
        <v>85960980.486881137</v>
      </c>
      <c r="L197" s="284">
        <f>VLOOKUP($B196,'KWH FCST'!$A$58:$O$87,L$8,FALSE)</f>
        <v>73136975.095376074</v>
      </c>
      <c r="M197" s="284">
        <f>VLOOKUP($B196,'KWH FCST'!$A$58:$O$87,M$8,FALSE)</f>
        <v>67623525.068842202</v>
      </c>
      <c r="N197" s="284">
        <f>VLOOKUP($B196,'KWH FCST'!$A$58:$O$87,N$8,FALSE)</f>
        <v>55652102.077390432</v>
      </c>
      <c r="O197" s="284">
        <f>SUM(C197:N197)</f>
        <v>814173748.26923299</v>
      </c>
      <c r="P197" s="284"/>
      <c r="Q197" s="284"/>
      <c r="R197" s="282"/>
      <c r="T197" s="296">
        <f>VLOOKUP($B196,'KWH FCST'!$A$58:$O$87,14,FALSE)</f>
        <v>814173748.26923299</v>
      </c>
      <c r="U197" s="255">
        <f>+O197-T197</f>
        <v>0</v>
      </c>
      <c r="Y197" s="163"/>
    </row>
    <row r="198" spans="1:25">
      <c r="A198" s="253" t="str">
        <f>B196&amp;" "&amp;B198</f>
        <v>FLORIDA KEYS NCP</v>
      </c>
      <c r="B198" s="254" t="s">
        <v>133</v>
      </c>
      <c r="C198" s="284">
        <f>VLOOKUP($B196,'NCP FCST'!$A$58:$O$87,C$8,FALSE)</f>
        <v>127064.78774922132</v>
      </c>
      <c r="D198" s="284">
        <f>VLOOKUP($B196,'NCP FCST'!$A$58:$O$87,D$8,FALSE)</f>
        <v>125678.96472347097</v>
      </c>
      <c r="E198" s="284">
        <f>VLOOKUP($B196,'NCP FCST'!$A$58:$O$87,E$8,FALSE)</f>
        <v>133007.53045568668</v>
      </c>
      <c r="F198" s="284">
        <f>VLOOKUP($B196,'NCP FCST'!$A$58:$O$87,F$8,FALSE)</f>
        <v>138253.75554397303</v>
      </c>
      <c r="G198" s="284">
        <f>VLOOKUP($B196,'NCP FCST'!$A$58:$O$87,G$8,FALSE)</f>
        <v>151373.4919895276</v>
      </c>
      <c r="H198" s="284">
        <f>VLOOKUP($B196,'NCP FCST'!$A$58:$O$87,H$8,FALSE)</f>
        <v>154828.47225884761</v>
      </c>
      <c r="I198" s="284">
        <f>VLOOKUP($B196,'NCP FCST'!$A$58:$O$87,I$8,FALSE)</f>
        <v>162584.70506904923</v>
      </c>
      <c r="J198" s="284">
        <f>VLOOKUP($B196,'NCP FCST'!$A$58:$O$87,J$8,FALSE)</f>
        <v>162016.21781365061</v>
      </c>
      <c r="K198" s="284">
        <f>VLOOKUP($B196,'NCP FCST'!$A$58:$O$87,K$8,FALSE)</f>
        <v>152912.57936841325</v>
      </c>
      <c r="L198" s="284">
        <f>VLOOKUP($B196,'NCP FCST'!$A$58:$O$87,L$8,FALSE)</f>
        <v>138146.0758434821</v>
      </c>
      <c r="M198" s="284">
        <f>VLOOKUP($B196,'NCP FCST'!$A$58:$O$87,M$8,FALSE)</f>
        <v>123425.47613882527</v>
      </c>
      <c r="N198" s="284">
        <f>VLOOKUP($B196,'NCP FCST'!$A$58:$O$87,N$8,FALSE)</f>
        <v>128105.0915332975</v>
      </c>
      <c r="O198" s="284"/>
      <c r="P198" s="284">
        <f>MAX(C198:N198)</f>
        <v>162584.70506904923</v>
      </c>
      <c r="Q198" s="284"/>
      <c r="R198" s="282"/>
      <c r="T198" s="255">
        <f>VLOOKUP($B196,'NCP FCST'!$A$58:$O$87,15,FALSE)</f>
        <v>162584.70506904923</v>
      </c>
      <c r="U198" s="255">
        <f>P198-T198</f>
        <v>0</v>
      </c>
      <c r="Y198" s="163"/>
    </row>
    <row r="199" spans="1:25">
      <c r="A199" s="253" t="str">
        <f>B196&amp;" "&amp;B199</f>
        <v>FLORIDA KEYS GNCP</v>
      </c>
      <c r="B199" s="254" t="s">
        <v>342</v>
      </c>
      <c r="C199" s="284">
        <f>VLOOKUP($B196,'GNCP FCST'!$A$58:$O$87,C$8,FALSE)</f>
        <v>127064.78774922132</v>
      </c>
      <c r="D199" s="284">
        <f>VLOOKUP($B196,'GNCP FCST'!$A$58:$O$87,D$8,FALSE)</f>
        <v>125678.96472347097</v>
      </c>
      <c r="E199" s="284">
        <f>VLOOKUP($B196,'GNCP FCST'!$A$58:$O$87,E$8,FALSE)</f>
        <v>133007.53045568668</v>
      </c>
      <c r="F199" s="284">
        <f>VLOOKUP($B196,'GNCP FCST'!$A$58:$O$87,F$8,FALSE)</f>
        <v>138253.75554397303</v>
      </c>
      <c r="G199" s="284">
        <f>VLOOKUP($B196,'GNCP FCST'!$A$58:$O$87,G$8,FALSE)</f>
        <v>151373.4919895276</v>
      </c>
      <c r="H199" s="284">
        <f>VLOOKUP($B196,'GNCP FCST'!$A$58:$O$87,H$8,FALSE)</f>
        <v>154828.47225884761</v>
      </c>
      <c r="I199" s="284">
        <f>VLOOKUP($B196,'GNCP FCST'!$A$58:$O$87,I$8,FALSE)</f>
        <v>162584.70506904923</v>
      </c>
      <c r="J199" s="284">
        <f>VLOOKUP($B196,'GNCP FCST'!$A$58:$O$87,J$8,FALSE)</f>
        <v>162016.21781365061</v>
      </c>
      <c r="K199" s="284">
        <f>VLOOKUP($B196,'GNCP FCST'!$A$58:$O$87,K$8,FALSE)</f>
        <v>152912.57936841325</v>
      </c>
      <c r="L199" s="284">
        <f>VLOOKUP($B196,'GNCP FCST'!$A$58:$O$87,L$8,FALSE)</f>
        <v>138146.0758434821</v>
      </c>
      <c r="M199" s="284">
        <f>VLOOKUP($B196,'GNCP FCST'!$A$58:$O$87,M$8,FALSE)</f>
        <v>123425.47613882527</v>
      </c>
      <c r="N199" s="284">
        <f>VLOOKUP($B196,'GNCP FCST'!$A$58:$O$87,N$8,FALSE)</f>
        <v>128105.0915332975</v>
      </c>
      <c r="O199" s="284"/>
      <c r="Q199" s="284">
        <f>MAX(C199:N199)</f>
        <v>162584.70506904923</v>
      </c>
      <c r="R199" s="282"/>
      <c r="T199" s="255">
        <f>VLOOKUP($B196,'GNCP FCST'!$A$58:$O$87,15,FALSE)</f>
        <v>162584.70506904923</v>
      </c>
      <c r="U199" s="255">
        <f>+Q199-T199</f>
        <v>0</v>
      </c>
      <c r="Y199" s="163"/>
    </row>
    <row r="200" spans="1:25">
      <c r="A200" s="253" t="str">
        <f>B196&amp;" "&amp;B200</f>
        <v>FLORIDA KEYS CP</v>
      </c>
      <c r="B200" s="254" t="s">
        <v>148</v>
      </c>
      <c r="C200" s="284">
        <f>VLOOKUP($B196,'CP FCST'!$A$58:$O$87,C$8,FALSE)</f>
        <v>110001.33761168281</v>
      </c>
      <c r="D200" s="284">
        <f>VLOOKUP($B196,'CP FCST'!$A$58:$O$87,D$8,FALSE)</f>
        <v>117045.37158572645</v>
      </c>
      <c r="E200" s="284">
        <f>VLOOKUP($B196,'CP FCST'!$A$58:$O$87,E$8,FALSE)</f>
        <v>111072.60348421408</v>
      </c>
      <c r="F200" s="284">
        <f>VLOOKUP($B196,'CP FCST'!$A$58:$O$87,F$8,FALSE)</f>
        <v>131904.56711477655</v>
      </c>
      <c r="G200" s="284">
        <f>VLOOKUP($B196,'CP FCST'!$A$58:$O$87,G$8,FALSE)</f>
        <v>140213.20789276794</v>
      </c>
      <c r="H200" s="284">
        <f>VLOOKUP($B196,'CP FCST'!$A$58:$O$87,H$8,FALSE)</f>
        <v>144301.15246978568</v>
      </c>
      <c r="I200" s="284">
        <f>VLOOKUP($B196,'CP FCST'!$A$58:$O$87,I$8,FALSE)</f>
        <v>155346.66662196617</v>
      </c>
      <c r="J200" s="284">
        <f>VLOOKUP($B196,'CP FCST'!$A$58:$O$87,J$8,FALSE)</f>
        <v>152483.48089780848</v>
      </c>
      <c r="K200" s="284">
        <f>VLOOKUP($B196,'CP FCST'!$A$58:$O$87,K$8,FALSE)</f>
        <v>140672.40946206337</v>
      </c>
      <c r="L200" s="284">
        <f>VLOOKUP($B196,'CP FCST'!$A$58:$O$87,L$8,FALSE)</f>
        <v>134494.24380944361</v>
      </c>
      <c r="M200" s="284">
        <f>VLOOKUP($B196,'CP FCST'!$A$58:$O$87,M$8,FALSE)</f>
        <v>119320.06141392268</v>
      </c>
      <c r="N200" s="284">
        <f>VLOOKUP($B196,'CP FCST'!$A$58:$O$87,N$8,FALSE)</f>
        <v>113729.81405168137</v>
      </c>
      <c r="O200" s="284"/>
      <c r="P200" s="284"/>
      <c r="Q200" s="284"/>
      <c r="R200" s="255">
        <f>AVERAGE(C200:N200)</f>
        <v>130882.07636798661</v>
      </c>
      <c r="T200" s="255">
        <f>VLOOKUP($B196,'CP FCST'!$A$58:$O$87,15,FALSE)</f>
        <v>130882.07636798661</v>
      </c>
      <c r="U200" s="255">
        <f>R200-T200</f>
        <v>0</v>
      </c>
      <c r="Y200" s="163"/>
    </row>
    <row r="201" spans="1:25">
      <c r="A201" s="253" t="str">
        <f>B196&amp;" "&amp;B201</f>
        <v>FLORIDA KEYS CP - L.F.</v>
      </c>
      <c r="B201" s="254" t="s">
        <v>1197</v>
      </c>
      <c r="C201" s="498">
        <f>FKEC!C82</f>
        <v>0.69312573190687832</v>
      </c>
      <c r="D201" s="498">
        <f>FKEC!D82</f>
        <v>0.72340028244561394</v>
      </c>
      <c r="E201" s="498">
        <f>FKEC!E82</f>
        <v>0.64924044080033638</v>
      </c>
      <c r="F201" s="498">
        <f>FKEC!F82</f>
        <v>0.6455665352846337</v>
      </c>
      <c r="G201" s="498">
        <f>FKEC!G82</f>
        <v>0.61707648658913616</v>
      </c>
      <c r="H201" s="498">
        <f>FKEC!H82</f>
        <v>0.70119904285128309</v>
      </c>
      <c r="I201" s="498">
        <f>FKEC!I82</f>
        <v>0.68599624998412623</v>
      </c>
      <c r="J201" s="498">
        <f>FKEC!J82</f>
        <v>0.76424820658212067</v>
      </c>
      <c r="K201" s="498">
        <f>FKEC!K82</f>
        <v>0.84871120877773154</v>
      </c>
      <c r="L201" s="498">
        <f>FKEC!L82</f>
        <v>0.73090403794648828</v>
      </c>
      <c r="M201" s="498">
        <f>FKEC!M82</f>
        <v>0.78713974400163256</v>
      </c>
      <c r="N201" s="498">
        <f>FKEC!N82</f>
        <v>0.65770979310332334</v>
      </c>
      <c r="O201" s="284"/>
      <c r="P201" s="284"/>
      <c r="Q201" s="284"/>
      <c r="R201" s="255"/>
      <c r="Y201" s="163"/>
    </row>
    <row r="202" spans="1:25">
      <c r="A202" s="253" t="str">
        <f>B196&amp;" "&amp;B202</f>
        <v>FLORIDA KEYS GCP - L.F.</v>
      </c>
      <c r="B202" s="254" t="s">
        <v>1198</v>
      </c>
      <c r="C202" s="498">
        <f>FKEC!C83</f>
        <v>0.60004631490285176</v>
      </c>
      <c r="D202" s="498">
        <f>FKEC!D83</f>
        <v>0.6737058588154794</v>
      </c>
      <c r="E202" s="498">
        <f>FKEC!E83</f>
        <v>0.54217100189644918</v>
      </c>
      <c r="F202" s="498">
        <f>FKEC!F83</f>
        <v>0.61591943050995013</v>
      </c>
      <c r="G202" s="498">
        <f>FKEC!G83</f>
        <v>0.57158140809651936</v>
      </c>
      <c r="H202" s="498">
        <f>FKEC!H83</f>
        <v>0.65352211074580746</v>
      </c>
      <c r="I202" s="498">
        <f>FKEC!I83</f>
        <v>0.65545667844305677</v>
      </c>
      <c r="J202" s="498">
        <f>FKEC!J83</f>
        <v>0.71928124469358257</v>
      </c>
      <c r="K202" s="498">
        <f>FKEC!K83</f>
        <v>0.78077455216144198</v>
      </c>
      <c r="L202" s="498">
        <f>FKEC!L83</f>
        <v>0.71158290440516947</v>
      </c>
      <c r="M202" s="498">
        <f>FKEC!M83</f>
        <v>0.76095766882012283</v>
      </c>
      <c r="N202" s="498">
        <f>FKEC!N83</f>
        <v>0.58390507023811944</v>
      </c>
      <c r="O202" s="284"/>
      <c r="P202" s="284"/>
      <c r="Q202" s="284"/>
      <c r="R202" s="255"/>
      <c r="Y202" s="163"/>
    </row>
    <row r="203" spans="1:25">
      <c r="A203" s="253" t="str">
        <f>B196&amp;" "&amp;B203</f>
        <v>FLORIDA KEYS NCP - L.F.</v>
      </c>
      <c r="B203" s="254" t="s">
        <v>1199</v>
      </c>
      <c r="C203" s="498">
        <f>FKEC!C84</f>
        <v>0.60004631490285176</v>
      </c>
      <c r="D203" s="498">
        <f>FKEC!D84</f>
        <v>0.6737058588154794</v>
      </c>
      <c r="E203" s="498">
        <f>FKEC!E84</f>
        <v>0.54217100189644918</v>
      </c>
      <c r="F203" s="498">
        <f>FKEC!F84</f>
        <v>0.61591943050995013</v>
      </c>
      <c r="G203" s="498">
        <f>FKEC!G84</f>
        <v>0.57158140809651936</v>
      </c>
      <c r="H203" s="498">
        <f>FKEC!H84</f>
        <v>0.65352211074580746</v>
      </c>
      <c r="I203" s="498">
        <f>FKEC!I84</f>
        <v>0.65545667844305677</v>
      </c>
      <c r="J203" s="498">
        <f>FKEC!J84</f>
        <v>0.71928124469358257</v>
      </c>
      <c r="K203" s="498">
        <f>FKEC!K84</f>
        <v>0.78077455216144198</v>
      </c>
      <c r="L203" s="498">
        <f>FKEC!L84</f>
        <v>0.71158290440516947</v>
      </c>
      <c r="M203" s="498">
        <f>FKEC!M84</f>
        <v>0.76095766882012283</v>
      </c>
      <c r="N203" s="498">
        <f>FKEC!N84</f>
        <v>0.58390507023811944</v>
      </c>
      <c r="O203" s="284"/>
      <c r="P203" s="284"/>
      <c r="Q203" s="284"/>
      <c r="R203" s="255"/>
      <c r="Y203" s="163"/>
    </row>
    <row r="204" spans="1:25">
      <c r="B204" s="254" t="s">
        <v>570</v>
      </c>
      <c r="C204" s="285" t="str">
        <f t="shared" ref="C204:N204" si="18">IF(C200&gt;C199,"ERROR",IF(C199&gt;C198,"ERROR","OK"))</f>
        <v>OK</v>
      </c>
      <c r="D204" s="285" t="str">
        <f t="shared" si="18"/>
        <v>OK</v>
      </c>
      <c r="E204" s="285" t="str">
        <f t="shared" si="18"/>
        <v>OK</v>
      </c>
      <c r="F204" s="285" t="str">
        <f t="shared" si="18"/>
        <v>OK</v>
      </c>
      <c r="G204" s="285" t="str">
        <f t="shared" si="18"/>
        <v>OK</v>
      </c>
      <c r="H204" s="285" t="str">
        <f t="shared" si="18"/>
        <v>OK</v>
      </c>
      <c r="I204" s="285" t="str">
        <f t="shared" si="18"/>
        <v>OK</v>
      </c>
      <c r="J204" s="285" t="str">
        <f t="shared" si="18"/>
        <v>OK</v>
      </c>
      <c r="K204" s="285" t="str">
        <f t="shared" si="18"/>
        <v>OK</v>
      </c>
      <c r="L204" s="285" t="str">
        <f t="shared" si="18"/>
        <v>OK</v>
      </c>
      <c r="M204" s="285" t="str">
        <f t="shared" si="18"/>
        <v>OK</v>
      </c>
      <c r="N204" s="285" t="str">
        <f t="shared" si="18"/>
        <v>OK</v>
      </c>
      <c r="O204" s="284"/>
      <c r="P204" s="284"/>
      <c r="Q204" s="284"/>
      <c r="R204" s="255"/>
      <c r="Y204" s="163"/>
    </row>
    <row r="205" spans="1:25">
      <c r="B205" s="259"/>
      <c r="C205" s="284"/>
      <c r="D205" s="284"/>
      <c r="E205" s="284"/>
      <c r="F205" s="284"/>
      <c r="G205" s="284"/>
      <c r="H205" s="284"/>
      <c r="I205" s="284"/>
      <c r="J205" s="284"/>
      <c r="K205" s="284"/>
      <c r="L205" s="284"/>
      <c r="M205" s="284"/>
      <c r="N205" s="284"/>
      <c r="O205" s="284"/>
      <c r="P205" s="284"/>
      <c r="Q205" s="284"/>
      <c r="R205" s="282"/>
      <c r="Y205" s="163"/>
    </row>
    <row r="206" spans="1:25">
      <c r="A206" s="260"/>
      <c r="B206" s="252" t="s">
        <v>1192</v>
      </c>
      <c r="O206" s="284"/>
      <c r="P206" s="284"/>
      <c r="Q206" s="284"/>
      <c r="R206" s="282"/>
      <c r="S206" s="260"/>
      <c r="T206" s="261"/>
      <c r="U206" s="261"/>
      <c r="Y206" s="163"/>
    </row>
    <row r="207" spans="1:25">
      <c r="A207" s="253" t="str">
        <f>B206&amp;" "&amp;B207</f>
        <v>HOMESTEAD KWH Sales</v>
      </c>
      <c r="B207" s="254" t="s">
        <v>563</v>
      </c>
      <c r="C207" s="284">
        <f>VLOOKUP($B206,'KWH FCST'!$A$58:$O$87,C$8,FALSE)</f>
        <v>0</v>
      </c>
      <c r="D207" s="284">
        <f>VLOOKUP($B206,'KWH FCST'!$A$58:$O$87,D$8,FALSE)</f>
        <v>84000</v>
      </c>
      <c r="E207" s="284">
        <f>VLOOKUP($B206,'KWH FCST'!$A$58:$O$87,E$8,FALSE)</f>
        <v>0</v>
      </c>
      <c r="F207" s="284">
        <f>VLOOKUP($B206,'KWH FCST'!$A$58:$O$87,F$8,FALSE)</f>
        <v>0</v>
      </c>
      <c r="G207" s="284">
        <f>VLOOKUP($B206,'KWH FCST'!$A$58:$O$87,G$8,FALSE)</f>
        <v>0</v>
      </c>
      <c r="H207" s="284">
        <f>VLOOKUP($B206,'KWH FCST'!$A$58:$O$87,H$8,FALSE)</f>
        <v>0</v>
      </c>
      <c r="I207" s="284">
        <f>VLOOKUP($B206,'KWH FCST'!$A$58:$O$87,I$8,FALSE)</f>
        <v>0</v>
      </c>
      <c r="J207" s="284">
        <f>VLOOKUP($B206,'KWH FCST'!$A$58:$O$87,J$8,FALSE)</f>
        <v>0</v>
      </c>
      <c r="K207" s="284">
        <f>VLOOKUP($B206,'KWH FCST'!$A$58:$O$87,K$8,FALSE)</f>
        <v>84000</v>
      </c>
      <c r="L207" s="284">
        <f>VLOOKUP($B206,'KWH FCST'!$A$58:$O$87,L$8,FALSE)</f>
        <v>0</v>
      </c>
      <c r="M207" s="284">
        <f>VLOOKUP($B206,'KWH FCST'!$A$58:$O$87,M$8,FALSE)</f>
        <v>0</v>
      </c>
      <c r="N207" s="284">
        <f>VLOOKUP($B206,'KWH FCST'!$A$58:$O$87,N$8,FALSE)</f>
        <v>0</v>
      </c>
      <c r="O207" s="284">
        <f>SUM(C207:N207)</f>
        <v>168000</v>
      </c>
      <c r="P207" s="284"/>
      <c r="Q207" s="284"/>
      <c r="R207" s="282"/>
      <c r="T207" s="296">
        <f>VLOOKUP($B206,'KWH FCST'!$A$58:$O$87,14,FALSE)</f>
        <v>168000</v>
      </c>
      <c r="U207" s="255">
        <f>+O207-T207</f>
        <v>0</v>
      </c>
      <c r="Y207" s="163"/>
    </row>
    <row r="208" spans="1:25">
      <c r="A208" s="253" t="str">
        <f>B206&amp;" "&amp;B208</f>
        <v>HOMESTEAD NCP</v>
      </c>
      <c r="B208" s="254" t="s">
        <v>133</v>
      </c>
      <c r="C208" s="284">
        <f>VLOOKUP($B206,'NCP FCST'!$A$58:$O$87,C$8,FALSE)</f>
        <v>21000</v>
      </c>
      <c r="D208" s="284">
        <f>VLOOKUP($B206,'NCP FCST'!$A$58:$O$87,D$8,FALSE)</f>
        <v>0</v>
      </c>
      <c r="E208" s="284">
        <f>VLOOKUP($B206,'NCP FCST'!$A$58:$O$87,E$8,FALSE)</f>
        <v>0</v>
      </c>
      <c r="F208" s="284">
        <f>VLOOKUP($B206,'NCP FCST'!$A$58:$O$87,F$8,FALSE)</f>
        <v>0</v>
      </c>
      <c r="G208" s="284">
        <f>VLOOKUP($B206,'NCP FCST'!$A$58:$O$87,G$8,FALSE)</f>
        <v>0</v>
      </c>
      <c r="H208" s="284">
        <f>VLOOKUP($B206,'NCP FCST'!$A$58:$O$87,H$8,FALSE)</f>
        <v>0</v>
      </c>
      <c r="I208" s="284">
        <f>VLOOKUP($B206,'NCP FCST'!$A$58:$O$87,I$8,FALSE)</f>
        <v>0</v>
      </c>
      <c r="J208" s="284">
        <f>VLOOKUP($B206,'NCP FCST'!$A$58:$O$87,J$8,FALSE)</f>
        <v>21000</v>
      </c>
      <c r="K208" s="284">
        <f>VLOOKUP($B206,'NCP FCST'!$A$58:$O$87,K$8,FALSE)</f>
        <v>0</v>
      </c>
      <c r="L208" s="284">
        <f>VLOOKUP($B206,'NCP FCST'!$A$58:$O$87,L$8,FALSE)</f>
        <v>0</v>
      </c>
      <c r="M208" s="284">
        <f>VLOOKUP($B206,'NCP FCST'!$A$58:$O$87,M$8,FALSE)</f>
        <v>0</v>
      </c>
      <c r="N208" s="284">
        <f>VLOOKUP($B206,'NCP FCST'!$A$58:$O$87,N$8,FALSE)</f>
        <v>0</v>
      </c>
      <c r="O208" s="284"/>
      <c r="P208" s="284">
        <f>MAX(C208:N208)</f>
        <v>21000</v>
      </c>
      <c r="Q208" s="284"/>
      <c r="R208" s="282"/>
      <c r="T208" s="255">
        <f>VLOOKUP($B206,'NCP FCST'!$A$58:$O$87,15,FALSE)</f>
        <v>21000</v>
      </c>
      <c r="U208" s="255">
        <f>P208-T208</f>
        <v>0</v>
      </c>
      <c r="Y208" s="163"/>
    </row>
    <row r="209" spans="1:25">
      <c r="A209" s="253" t="str">
        <f>B206&amp;" "&amp;B209</f>
        <v>HOMESTEAD GNCP</v>
      </c>
      <c r="B209" s="254" t="s">
        <v>342</v>
      </c>
      <c r="C209" s="284">
        <f>VLOOKUP($B206,'GNCP FCST'!$A$58:$O$87,C$8,FALSE)</f>
        <v>21000</v>
      </c>
      <c r="D209" s="284">
        <f>VLOOKUP($B206,'GNCP FCST'!$A$58:$O$87,D$8,FALSE)</f>
        <v>0</v>
      </c>
      <c r="E209" s="284">
        <f>VLOOKUP($B206,'GNCP FCST'!$A$58:$O$87,E$8,FALSE)</f>
        <v>0</v>
      </c>
      <c r="F209" s="284">
        <f>VLOOKUP($B206,'GNCP FCST'!$A$58:$O$87,F$8,FALSE)</f>
        <v>0</v>
      </c>
      <c r="G209" s="284">
        <f>VLOOKUP($B206,'GNCP FCST'!$A$58:$O$87,G$8,FALSE)</f>
        <v>0</v>
      </c>
      <c r="H209" s="284">
        <f>VLOOKUP($B206,'GNCP FCST'!$A$58:$O$87,H$8,FALSE)</f>
        <v>0</v>
      </c>
      <c r="I209" s="284">
        <f>VLOOKUP($B206,'GNCP FCST'!$A$58:$O$87,I$8,FALSE)</f>
        <v>0</v>
      </c>
      <c r="J209" s="284">
        <f>VLOOKUP($B206,'GNCP FCST'!$A$58:$O$87,J$8,FALSE)</f>
        <v>21000</v>
      </c>
      <c r="K209" s="284">
        <f>VLOOKUP($B206,'GNCP FCST'!$A$58:$O$87,K$8,FALSE)</f>
        <v>0</v>
      </c>
      <c r="L209" s="284">
        <f>VLOOKUP($B206,'GNCP FCST'!$A$58:$O$87,L$8,FALSE)</f>
        <v>0</v>
      </c>
      <c r="M209" s="284">
        <f>VLOOKUP($B206,'GNCP FCST'!$A$58:$O$87,M$8,FALSE)</f>
        <v>0</v>
      </c>
      <c r="N209" s="284">
        <f>VLOOKUP($B206,'GNCP FCST'!$A$58:$O$87,N$8,FALSE)</f>
        <v>0</v>
      </c>
      <c r="O209" s="284"/>
      <c r="Q209" s="284">
        <f>MAX(C209:N209)</f>
        <v>21000</v>
      </c>
      <c r="R209" s="282"/>
      <c r="T209" s="255">
        <f>VLOOKUP($B206,'GNCP FCST'!$A$58:$O$87,15,FALSE)</f>
        <v>21000</v>
      </c>
      <c r="U209" s="255">
        <f>+Q209-T209</f>
        <v>0</v>
      </c>
      <c r="Y209" s="163"/>
    </row>
    <row r="210" spans="1:25">
      <c r="A210" s="253" t="str">
        <f>B206&amp;" "&amp;B210</f>
        <v>HOMESTEAD CP</v>
      </c>
      <c r="B210" s="254" t="s">
        <v>148</v>
      </c>
      <c r="C210" s="284">
        <f>VLOOKUP($B206,'CP FCST'!$A$58:$O$87,C$8,FALSE)</f>
        <v>20551.230994807815</v>
      </c>
      <c r="D210" s="284">
        <f>VLOOKUP($B206,'CP FCST'!$A$58:$O$87,D$8,FALSE)</f>
        <v>0</v>
      </c>
      <c r="E210" s="284">
        <f>VLOOKUP($B206,'CP FCST'!$A$58:$O$87,E$8,FALSE)</f>
        <v>0</v>
      </c>
      <c r="F210" s="284">
        <f>VLOOKUP($B206,'CP FCST'!$A$58:$O$87,F$8,FALSE)</f>
        <v>0</v>
      </c>
      <c r="G210" s="284">
        <f>VLOOKUP($B206,'CP FCST'!$A$58:$O$87,G$8,FALSE)</f>
        <v>0</v>
      </c>
      <c r="H210" s="284">
        <f>VLOOKUP($B206,'CP FCST'!$A$58:$O$87,H$8,FALSE)</f>
        <v>0</v>
      </c>
      <c r="I210" s="284">
        <f>VLOOKUP($B206,'CP FCST'!$A$58:$O$87,I$8,FALSE)</f>
        <v>0</v>
      </c>
      <c r="J210" s="284">
        <f>VLOOKUP($B206,'CP FCST'!$A$58:$O$87,J$8,FALSE)</f>
        <v>20551.230994807815</v>
      </c>
      <c r="K210" s="284">
        <f>VLOOKUP($B206,'CP FCST'!$A$58:$O$87,K$8,FALSE)</f>
        <v>0</v>
      </c>
      <c r="L210" s="284">
        <f>VLOOKUP($B206,'CP FCST'!$A$58:$O$87,L$8,FALSE)</f>
        <v>0</v>
      </c>
      <c r="M210" s="284">
        <f>VLOOKUP($B206,'CP FCST'!$A$58:$O$87,M$8,FALSE)</f>
        <v>0</v>
      </c>
      <c r="N210" s="284">
        <f>VLOOKUP($B206,'CP FCST'!$A$58:$O$87,N$8,FALSE)</f>
        <v>0</v>
      </c>
      <c r="O210" s="284"/>
      <c r="P210" s="284"/>
      <c r="Q210" s="284"/>
      <c r="R210" s="255">
        <f>AVERAGE(C210:N210)</f>
        <v>3425.2051658013024</v>
      </c>
      <c r="T210" s="255">
        <f>VLOOKUP($B206,'CP FCST'!$A$58:$O$87,15,FALSE)</f>
        <v>3425.2051658013024</v>
      </c>
      <c r="U210" s="255">
        <f>R210-T210</f>
        <v>0</v>
      </c>
      <c r="Y210" s="163"/>
    </row>
    <row r="211" spans="1:25">
      <c r="A211" s="253" t="str">
        <f>B206&amp;" "&amp;B211</f>
        <v>HOMESTEAD CP - L.F.</v>
      </c>
      <c r="B211" s="254" t="s">
        <v>1197</v>
      </c>
      <c r="C211" s="498">
        <f>HOMESTEAD!C82</f>
        <v>0</v>
      </c>
      <c r="D211" s="498">
        <f>HOMESTEAD!D82</f>
        <v>0</v>
      </c>
      <c r="E211" s="498">
        <f>HOMESTEAD!E82</f>
        <v>0</v>
      </c>
      <c r="F211" s="498">
        <f>HOMESTEAD!F82</f>
        <v>0</v>
      </c>
      <c r="G211" s="498">
        <f>HOMESTEAD!G82</f>
        <v>0</v>
      </c>
      <c r="H211" s="498">
        <f>HOMESTEAD!H82</f>
        <v>0</v>
      </c>
      <c r="I211" s="498">
        <f>HOMESTEAD!I82</f>
        <v>0</v>
      </c>
      <c r="J211" s="498">
        <f>HOMESTEAD!J82</f>
        <v>0</v>
      </c>
      <c r="K211" s="498">
        <f>HOMESTEAD!K82</f>
        <v>0</v>
      </c>
      <c r="L211" s="498">
        <f>HOMESTEAD!L82</f>
        <v>0</v>
      </c>
      <c r="M211" s="498">
        <f>HOMESTEAD!M82</f>
        <v>0</v>
      </c>
      <c r="N211" s="498">
        <f>HOMESTEAD!N82</f>
        <v>0</v>
      </c>
      <c r="O211" s="284"/>
      <c r="P211" s="284"/>
      <c r="Q211" s="284"/>
      <c r="R211" s="255"/>
      <c r="Y211" s="163"/>
    </row>
    <row r="212" spans="1:25">
      <c r="A212" s="253" t="str">
        <f>B206&amp;" "&amp;B212</f>
        <v>HOMESTEAD GCP - L.F.</v>
      </c>
      <c r="B212" s="254" t="s">
        <v>1198</v>
      </c>
      <c r="C212" s="498">
        <f>HOMESTEAD!C83</f>
        <v>0</v>
      </c>
      <c r="D212" s="498">
        <f>HOMESTEAD!D83</f>
        <v>0</v>
      </c>
      <c r="E212" s="498">
        <f>HOMESTEAD!E83</f>
        <v>0</v>
      </c>
      <c r="F212" s="498">
        <f>HOMESTEAD!F83</f>
        <v>0</v>
      </c>
      <c r="G212" s="498">
        <f>HOMESTEAD!G83</f>
        <v>0</v>
      </c>
      <c r="H212" s="498">
        <f>HOMESTEAD!H83</f>
        <v>0</v>
      </c>
      <c r="I212" s="498">
        <f>HOMESTEAD!I83</f>
        <v>0</v>
      </c>
      <c r="J212" s="498">
        <f>HOMESTEAD!J83</f>
        <v>0</v>
      </c>
      <c r="K212" s="498">
        <f>HOMESTEAD!K83</f>
        <v>0</v>
      </c>
      <c r="L212" s="498">
        <f>HOMESTEAD!L83</f>
        <v>0</v>
      </c>
      <c r="M212" s="498">
        <f>HOMESTEAD!M83</f>
        <v>0</v>
      </c>
      <c r="N212" s="498">
        <f>HOMESTEAD!N83</f>
        <v>0</v>
      </c>
      <c r="O212" s="284"/>
      <c r="P212" s="284"/>
      <c r="Q212" s="284"/>
      <c r="R212" s="255"/>
      <c r="Y212" s="163"/>
    </row>
    <row r="213" spans="1:25">
      <c r="A213" s="253" t="str">
        <f>B206&amp;" "&amp;B213</f>
        <v>HOMESTEAD NCP - L.F.</v>
      </c>
      <c r="B213" s="254" t="s">
        <v>1199</v>
      </c>
      <c r="C213" s="498">
        <f>HOMESTEAD!C84</f>
        <v>0</v>
      </c>
      <c r="D213" s="498">
        <f>HOMESTEAD!D84</f>
        <v>0</v>
      </c>
      <c r="E213" s="498">
        <f>HOMESTEAD!E84</f>
        <v>0</v>
      </c>
      <c r="F213" s="498">
        <f>HOMESTEAD!F84</f>
        <v>0</v>
      </c>
      <c r="G213" s="498">
        <f>HOMESTEAD!G84</f>
        <v>0</v>
      </c>
      <c r="H213" s="498">
        <f>HOMESTEAD!H84</f>
        <v>0</v>
      </c>
      <c r="I213" s="498">
        <f>HOMESTEAD!I84</f>
        <v>0</v>
      </c>
      <c r="J213" s="498">
        <f>HOMESTEAD!J84</f>
        <v>0</v>
      </c>
      <c r="K213" s="498">
        <f>HOMESTEAD!K84</f>
        <v>0</v>
      </c>
      <c r="L213" s="498">
        <f>HOMESTEAD!L84</f>
        <v>0</v>
      </c>
      <c r="M213" s="498">
        <f>HOMESTEAD!M84</f>
        <v>0</v>
      </c>
      <c r="N213" s="498">
        <f>HOMESTEAD!N84</f>
        <v>0</v>
      </c>
      <c r="O213" s="284"/>
      <c r="P213" s="284"/>
      <c r="Q213" s="284"/>
      <c r="R213" s="255"/>
      <c r="Y213" s="163"/>
    </row>
    <row r="214" spans="1:25">
      <c r="B214" s="254" t="s">
        <v>570</v>
      </c>
      <c r="C214" s="285" t="str">
        <f t="shared" ref="C214:N214" si="19">IF(C210&gt;C209,"ERROR",IF(C209&gt;C208,"ERROR","OK"))</f>
        <v>OK</v>
      </c>
      <c r="D214" s="285" t="str">
        <f t="shared" si="19"/>
        <v>OK</v>
      </c>
      <c r="E214" s="285" t="str">
        <f t="shared" si="19"/>
        <v>OK</v>
      </c>
      <c r="F214" s="285" t="str">
        <f t="shared" si="19"/>
        <v>OK</v>
      </c>
      <c r="G214" s="285" t="str">
        <f t="shared" si="19"/>
        <v>OK</v>
      </c>
      <c r="H214" s="285" t="str">
        <f t="shared" si="19"/>
        <v>OK</v>
      </c>
      <c r="I214" s="285" t="str">
        <f t="shared" si="19"/>
        <v>OK</v>
      </c>
      <c r="J214" s="285" t="str">
        <f t="shared" si="19"/>
        <v>OK</v>
      </c>
      <c r="K214" s="285" t="str">
        <f t="shared" si="19"/>
        <v>OK</v>
      </c>
      <c r="L214" s="285" t="str">
        <f t="shared" si="19"/>
        <v>OK</v>
      </c>
      <c r="M214" s="285" t="str">
        <f t="shared" si="19"/>
        <v>OK</v>
      </c>
      <c r="N214" s="285" t="str">
        <f t="shared" si="19"/>
        <v>OK</v>
      </c>
      <c r="O214" s="284"/>
      <c r="P214" s="284"/>
      <c r="Q214" s="284"/>
      <c r="R214" s="255"/>
      <c r="Y214" s="163"/>
    </row>
    <row r="215" spans="1:25">
      <c r="B215" s="259"/>
      <c r="C215" s="284"/>
      <c r="D215" s="284"/>
      <c r="E215" s="284"/>
      <c r="F215" s="284"/>
      <c r="G215" s="284"/>
      <c r="H215" s="284"/>
      <c r="I215" s="284"/>
      <c r="J215" s="284"/>
      <c r="K215" s="284"/>
      <c r="L215" s="284"/>
      <c r="M215" s="284"/>
      <c r="N215" s="284"/>
      <c r="O215" s="284"/>
      <c r="P215" s="284"/>
      <c r="Q215" s="284"/>
      <c r="R215" s="282"/>
      <c r="Y215" s="163"/>
    </row>
    <row r="216" spans="1:25">
      <c r="B216" s="252" t="s">
        <v>984</v>
      </c>
      <c r="C216" s="284"/>
      <c r="D216" s="284"/>
      <c r="E216" s="284"/>
      <c r="F216" s="284"/>
      <c r="G216" s="284"/>
      <c r="H216" s="284"/>
      <c r="I216" s="284"/>
      <c r="J216" s="284"/>
      <c r="K216" s="284"/>
      <c r="L216" s="284"/>
      <c r="M216" s="284"/>
      <c r="N216" s="284"/>
      <c r="O216" s="284"/>
      <c r="P216" s="284"/>
      <c r="Q216" s="284"/>
      <c r="R216" s="282"/>
    </row>
    <row r="217" spans="1:25">
      <c r="A217" s="253" t="str">
        <f>B216&amp;" "&amp;B217</f>
        <v>LEE COUNTY KWH Sales</v>
      </c>
      <c r="B217" s="254" t="s">
        <v>563</v>
      </c>
      <c r="C217" s="284">
        <f>VLOOKUP($B216,'KWH FCST'!$A$58:$O$87,C$8,FALSE)</f>
        <v>286734034</v>
      </c>
      <c r="D217" s="284">
        <f>VLOOKUP($B216,'KWH FCST'!$A$58:$O$87,D$8,FALSE)</f>
        <v>283976641</v>
      </c>
      <c r="E217" s="284">
        <f>VLOOKUP($B216,'KWH FCST'!$A$58:$O$87,E$8,FALSE)</f>
        <v>275764422</v>
      </c>
      <c r="F217" s="284">
        <f>VLOOKUP($B216,'KWH FCST'!$A$58:$O$87,F$8,FALSE)</f>
        <v>327267208</v>
      </c>
      <c r="G217" s="284">
        <f>VLOOKUP($B216,'KWH FCST'!$A$58:$O$87,G$8,FALSE)</f>
        <v>357933924</v>
      </c>
      <c r="H217" s="284">
        <f>VLOOKUP($B216,'KWH FCST'!$A$58:$O$87,H$8,FALSE)</f>
        <v>362782752</v>
      </c>
      <c r="I217" s="284">
        <f>VLOOKUP($B216,'KWH FCST'!$A$58:$O$87,I$8,FALSE)</f>
        <v>374673121</v>
      </c>
      <c r="J217" s="284">
        <f>VLOOKUP($B216,'KWH FCST'!$A$58:$O$87,J$8,FALSE)</f>
        <v>352543565</v>
      </c>
      <c r="K217" s="284">
        <f>VLOOKUP($B216,'KWH FCST'!$A$58:$O$87,K$8,FALSE)</f>
        <v>378177521</v>
      </c>
      <c r="L217" s="284">
        <f>VLOOKUP($B216,'KWH FCST'!$A$58:$O$87,L$8,FALSE)</f>
        <v>373296754</v>
      </c>
      <c r="M217" s="284">
        <f>VLOOKUP($B216,'KWH FCST'!$A$58:$O$87,M$8,FALSE)</f>
        <v>341336638</v>
      </c>
      <c r="N217" s="284">
        <f>VLOOKUP($B216,'KWH FCST'!$A$58:$O$87,N$8,FALSE)</f>
        <v>310714022</v>
      </c>
      <c r="O217" s="284">
        <f>SUM(C217:N217)</f>
        <v>4025200602</v>
      </c>
      <c r="P217" s="284"/>
      <c r="Q217" s="284"/>
      <c r="R217" s="282"/>
      <c r="T217" s="296">
        <f>VLOOKUP($B216,'KWH FCST'!$A$58:$O$87,14,FALSE)</f>
        <v>4025200602</v>
      </c>
      <c r="U217" s="255">
        <f>+O217-T217</f>
        <v>0</v>
      </c>
    </row>
    <row r="218" spans="1:25">
      <c r="A218" s="253" t="str">
        <f>B216&amp;" "&amp;B218</f>
        <v>LEE COUNTY NCP</v>
      </c>
      <c r="B218" s="254" t="s">
        <v>133</v>
      </c>
      <c r="C218" s="284">
        <f>VLOOKUP($B216,'NCP FCST'!$A$58:$O$87,C$8,FALSE)</f>
        <v>752102</v>
      </c>
      <c r="D218" s="284">
        <f>VLOOKUP($B216,'NCP FCST'!$A$58:$O$87,D$8,FALSE)</f>
        <v>672677</v>
      </c>
      <c r="E218" s="284">
        <f>VLOOKUP($B216,'NCP FCST'!$A$58:$O$87,E$8,FALSE)</f>
        <v>619483</v>
      </c>
      <c r="F218" s="284">
        <f>VLOOKUP($B216,'NCP FCST'!$A$58:$O$87,F$8,FALSE)</f>
        <v>632208</v>
      </c>
      <c r="G218" s="284">
        <f>VLOOKUP($B216,'NCP FCST'!$A$58:$O$87,G$8,FALSE)</f>
        <v>721094</v>
      </c>
      <c r="H218" s="284">
        <f>VLOOKUP($B216,'NCP FCST'!$A$58:$O$87,H$8,FALSE)</f>
        <v>776545</v>
      </c>
      <c r="I218" s="284">
        <f>VLOOKUP($B216,'NCP FCST'!$A$58:$O$87,I$8,FALSE)</f>
        <v>782863</v>
      </c>
      <c r="J218" s="284">
        <f>VLOOKUP($B216,'NCP FCST'!$A$58:$O$87,J$8,FALSE)</f>
        <v>795259</v>
      </c>
      <c r="K218" s="284">
        <f>VLOOKUP($B216,'NCP FCST'!$A$58:$O$87,K$8,FALSE)</f>
        <v>760044</v>
      </c>
      <c r="L218" s="284">
        <f>VLOOKUP($B216,'NCP FCST'!$A$58:$O$87,L$8,FALSE)</f>
        <v>713212</v>
      </c>
      <c r="M218" s="284">
        <f>VLOOKUP($B216,'NCP FCST'!$A$58:$O$87,M$8,FALSE)</f>
        <v>585750</v>
      </c>
      <c r="N218" s="284">
        <f>VLOOKUP($B216,'NCP FCST'!$A$58:$O$87,N$8,FALSE)</f>
        <v>554266</v>
      </c>
      <c r="O218" s="284"/>
      <c r="P218" s="284">
        <f>MAX(C218:N218)</f>
        <v>795259</v>
      </c>
      <c r="Q218" s="284"/>
      <c r="R218" s="282"/>
      <c r="T218" s="255">
        <f>VLOOKUP($B216,'NCP FCST'!$A$58:$O$87,15,FALSE)</f>
        <v>795259</v>
      </c>
      <c r="U218" s="255">
        <f>P218-T218</f>
        <v>0</v>
      </c>
    </row>
    <row r="219" spans="1:25">
      <c r="A219" s="253" t="str">
        <f>B216&amp;" "&amp;B219</f>
        <v>LEE COUNTY GNCP</v>
      </c>
      <c r="B219" s="254" t="s">
        <v>342</v>
      </c>
      <c r="C219" s="284">
        <f>VLOOKUP($B216,'GNCP FCST'!$A$58:$O$87,C$8,FALSE)</f>
        <v>752102</v>
      </c>
      <c r="D219" s="284">
        <f>VLOOKUP($B216,'GNCP FCST'!$A$58:$O$87,D$8,FALSE)</f>
        <v>672677</v>
      </c>
      <c r="E219" s="284">
        <f>VLOOKUP($B216,'GNCP FCST'!$A$58:$O$87,E$8,FALSE)</f>
        <v>619483</v>
      </c>
      <c r="F219" s="284">
        <f>VLOOKUP($B216,'GNCP FCST'!$A$58:$O$87,F$8,FALSE)</f>
        <v>632208</v>
      </c>
      <c r="G219" s="284">
        <f>VLOOKUP($B216,'GNCP FCST'!$A$58:$O$87,G$8,FALSE)</f>
        <v>721094</v>
      </c>
      <c r="H219" s="284">
        <f>VLOOKUP($B216,'GNCP FCST'!$A$58:$O$87,H$8,FALSE)</f>
        <v>776545</v>
      </c>
      <c r="I219" s="284">
        <f>VLOOKUP($B216,'GNCP FCST'!$A$58:$O$87,I$8,FALSE)</f>
        <v>782863</v>
      </c>
      <c r="J219" s="284">
        <f>VLOOKUP($B216,'GNCP FCST'!$A$58:$O$87,J$8,FALSE)</f>
        <v>795259</v>
      </c>
      <c r="K219" s="284">
        <f>VLOOKUP($B216,'GNCP FCST'!$A$58:$O$87,K$8,FALSE)</f>
        <v>760044</v>
      </c>
      <c r="L219" s="284">
        <f>VLOOKUP($B216,'GNCP FCST'!$A$58:$O$87,L$8,FALSE)</f>
        <v>713212</v>
      </c>
      <c r="M219" s="284">
        <f>VLOOKUP($B216,'GNCP FCST'!$A$58:$O$87,M$8,FALSE)</f>
        <v>585750</v>
      </c>
      <c r="N219" s="284">
        <f>VLOOKUP($B216,'GNCP FCST'!$A$58:$O$87,N$8,FALSE)</f>
        <v>554266</v>
      </c>
      <c r="O219" s="284"/>
      <c r="Q219" s="284">
        <f>MAX(C219:N219)</f>
        <v>795259</v>
      </c>
      <c r="R219" s="282"/>
      <c r="T219" s="255">
        <f>VLOOKUP($B216,'GNCP FCST'!$A$58:$O$87,15,FALSE)</f>
        <v>795259</v>
      </c>
      <c r="U219" s="255">
        <f>+Q219-T219</f>
        <v>0</v>
      </c>
    </row>
    <row r="220" spans="1:25">
      <c r="A220" s="253" t="str">
        <f>B216&amp;" "&amp;B220</f>
        <v>LEE COUNTY CP</v>
      </c>
      <c r="B220" s="254" t="s">
        <v>148</v>
      </c>
      <c r="C220" s="284">
        <f>VLOOKUP($B216,'CP FCST'!$A$58:$O$87,C$8,FALSE)</f>
        <v>729243.6675621185</v>
      </c>
      <c r="D220" s="284">
        <f>VLOOKUP($B216,'CP FCST'!$A$58:$O$87,D$8,FALSE)</f>
        <v>654650.46165759023</v>
      </c>
      <c r="E220" s="284">
        <f>VLOOKUP($B216,'CP FCST'!$A$58:$O$87,E$8,FALSE)</f>
        <v>603275.64951211831</v>
      </c>
      <c r="F220" s="284">
        <f>VLOOKUP($B216,'CP FCST'!$A$58:$O$87,F$8,FALSE)</f>
        <v>591012.52546677541</v>
      </c>
      <c r="G220" s="284">
        <f>VLOOKUP($B216,'CP FCST'!$A$58:$O$87,G$8,FALSE)</f>
        <v>684847.26003287057</v>
      </c>
      <c r="H220" s="284">
        <f>VLOOKUP($B216,'CP FCST'!$A$58:$O$87,H$8,FALSE)</f>
        <v>752108.90504498081</v>
      </c>
      <c r="I220" s="284">
        <f>VLOOKUP($B216,'CP FCST'!$A$58:$O$87,I$8,FALSE)</f>
        <v>733115.22753193637</v>
      </c>
      <c r="J220" s="284">
        <f>VLOOKUP($B216,'CP FCST'!$A$58:$O$87,J$8,FALSE)</f>
        <v>766732.83892759238</v>
      </c>
      <c r="K220" s="284">
        <f>VLOOKUP($B216,'CP FCST'!$A$58:$O$87,K$8,FALSE)</f>
        <v>658437.90981861157</v>
      </c>
      <c r="L220" s="284">
        <f>VLOOKUP($B216,'CP FCST'!$A$58:$O$87,L$8,FALSE)</f>
        <v>693524.83414618904</v>
      </c>
      <c r="M220" s="284">
        <f>VLOOKUP($B216,'CP FCST'!$A$58:$O$87,M$8,FALSE)</f>
        <v>569677.30658885243</v>
      </c>
      <c r="N220" s="284">
        <f>VLOOKUP($B216,'CP FCST'!$A$58:$O$87,N$8,FALSE)</f>
        <v>535486.95004009875</v>
      </c>
      <c r="O220" s="284"/>
      <c r="P220" s="284"/>
      <c r="Q220" s="284"/>
      <c r="R220" s="255">
        <f>AVERAGE(C220:N220)</f>
        <v>664342.7946941444</v>
      </c>
      <c r="T220" s="255">
        <f>VLOOKUP($B216,'CP FCST'!$A$58:$O$87,15,FALSE)</f>
        <v>664342.7946941444</v>
      </c>
      <c r="U220" s="255">
        <f>R220-T220</f>
        <v>0</v>
      </c>
    </row>
    <row r="221" spans="1:25">
      <c r="A221" s="253" t="str">
        <f>B216&amp;" "&amp;B221</f>
        <v>LEE COUNTY CP - L.F.</v>
      </c>
      <c r="B221" s="254" t="s">
        <v>1197</v>
      </c>
      <c r="C221" s="498">
        <f>LCEC!C83</f>
        <v>0.52848618936607838</v>
      </c>
      <c r="D221" s="498">
        <f>LCEC!D83</f>
        <v>0.6455113254367647</v>
      </c>
      <c r="E221" s="498">
        <f>LCEC!E83</f>
        <v>0.61439758945759382</v>
      </c>
      <c r="F221" s="498">
        <f>LCEC!F83</f>
        <v>0.76908317388011327</v>
      </c>
      <c r="G221" s="498">
        <f>LCEC!G83</f>
        <v>0.70248362218442217</v>
      </c>
      <c r="H221" s="498">
        <f>LCEC!H83</f>
        <v>0.66993613551643705</v>
      </c>
      <c r="I221" s="498">
        <f>LCEC!I83</f>
        <v>0.6869218993926226</v>
      </c>
      <c r="J221" s="498">
        <f>LCEC!J83</f>
        <v>0.61801041201121776</v>
      </c>
      <c r="K221" s="498">
        <f>LCEC!K83</f>
        <v>0.79771615381189231</v>
      </c>
      <c r="L221" s="498">
        <f>LCEC!L83</f>
        <v>0.72346789072439777</v>
      </c>
      <c r="M221" s="498">
        <f>LCEC!M83</f>
        <v>0.83218807982295318</v>
      </c>
      <c r="N221" s="498">
        <f>LCEC!N83</f>
        <v>0.7799001892102897</v>
      </c>
      <c r="O221" s="284"/>
      <c r="P221" s="284"/>
      <c r="Q221" s="284"/>
      <c r="R221" s="255"/>
    </row>
    <row r="222" spans="1:25">
      <c r="A222" s="253" t="str">
        <f>B216&amp;" "&amp;B222</f>
        <v>LEE COUNTY GCP - L.F.</v>
      </c>
      <c r="B222" s="254" t="s">
        <v>1198</v>
      </c>
      <c r="C222" s="498">
        <f>LCEC!C84</f>
        <v>0.51242412197979437</v>
      </c>
      <c r="D222" s="498">
        <f>LCEC!D84</f>
        <v>0.62821277849901358</v>
      </c>
      <c r="E222" s="498">
        <f>LCEC!E84</f>
        <v>0.59832328706148463</v>
      </c>
      <c r="F222" s="498">
        <f>LCEC!F84</f>
        <v>0.71896873954282281</v>
      </c>
      <c r="G222" s="498">
        <f>LCEC!G84</f>
        <v>0.66717235737777292</v>
      </c>
      <c r="H222" s="498">
        <f>LCEC!H84</f>
        <v>0.64885477767976529</v>
      </c>
      <c r="I222" s="498">
        <f>LCEC!I84</f>
        <v>0.64327079523478881</v>
      </c>
      <c r="J222" s="498">
        <f>LCEC!J84</f>
        <v>0.59584220698938595</v>
      </c>
      <c r="K222" s="498">
        <f>LCEC!K84</f>
        <v>0.69107388117588509</v>
      </c>
      <c r="L222" s="498">
        <f>LCEC!L84</f>
        <v>0.70349762612621658</v>
      </c>
      <c r="M222" s="498">
        <f>LCEC!M84</f>
        <v>0.8093532460757813</v>
      </c>
      <c r="N222" s="498">
        <f>LCEC!N84</f>
        <v>0.7534764420980431</v>
      </c>
      <c r="O222" s="284"/>
      <c r="P222" s="284"/>
      <c r="Q222" s="284"/>
      <c r="R222" s="255"/>
    </row>
    <row r="223" spans="1:25">
      <c r="A223" s="253" t="str">
        <f>B216&amp;" "&amp;B223</f>
        <v>LEE COUNTY NCP - L.F.</v>
      </c>
      <c r="B223" s="254" t="s">
        <v>1199</v>
      </c>
      <c r="C223" s="498">
        <f>LCEC!C85</f>
        <v>0.51242412197979437</v>
      </c>
      <c r="D223" s="498">
        <f>LCEC!D85</f>
        <v>0.62821277849901358</v>
      </c>
      <c r="E223" s="498">
        <f>LCEC!E85</f>
        <v>0.59832328706148463</v>
      </c>
      <c r="F223" s="498">
        <f>LCEC!F85</f>
        <v>0.71896873954282281</v>
      </c>
      <c r="G223" s="498">
        <f>LCEC!G85</f>
        <v>0.66717235737777292</v>
      </c>
      <c r="H223" s="498">
        <f>LCEC!H85</f>
        <v>0.64885477767976529</v>
      </c>
      <c r="I223" s="498">
        <f>LCEC!I85</f>
        <v>0.64327079523478881</v>
      </c>
      <c r="J223" s="498">
        <f>LCEC!J85</f>
        <v>0.59584220698938595</v>
      </c>
      <c r="K223" s="498">
        <f>LCEC!K85</f>
        <v>0.69107388117588509</v>
      </c>
      <c r="L223" s="498">
        <f>LCEC!L85</f>
        <v>0.70349762612621658</v>
      </c>
      <c r="M223" s="498">
        <f>LCEC!M85</f>
        <v>0.8093532460757813</v>
      </c>
      <c r="N223" s="498">
        <f>LCEC!N85</f>
        <v>0.7534764420980431</v>
      </c>
      <c r="O223" s="284"/>
      <c r="P223" s="284"/>
      <c r="Q223" s="284"/>
      <c r="R223" s="255"/>
    </row>
    <row r="224" spans="1:25">
      <c r="B224" s="254" t="s">
        <v>570</v>
      </c>
      <c r="C224" s="285" t="str">
        <f t="shared" ref="C224:N224" si="20">IF(C220&gt;C219,"ERROR",IF(C219&gt;C218,"ERROR","OK"))</f>
        <v>OK</v>
      </c>
      <c r="D224" s="285" t="str">
        <f t="shared" si="20"/>
        <v>OK</v>
      </c>
      <c r="E224" s="285" t="str">
        <f t="shared" si="20"/>
        <v>OK</v>
      </c>
      <c r="F224" s="285" t="str">
        <f t="shared" si="20"/>
        <v>OK</v>
      </c>
      <c r="G224" s="285" t="str">
        <f t="shared" si="20"/>
        <v>OK</v>
      </c>
      <c r="H224" s="285" t="str">
        <f t="shared" si="20"/>
        <v>OK</v>
      </c>
      <c r="I224" s="285" t="str">
        <f t="shared" si="20"/>
        <v>OK</v>
      </c>
      <c r="J224" s="285" t="str">
        <f t="shared" si="20"/>
        <v>OK</v>
      </c>
      <c r="K224" s="285" t="str">
        <f t="shared" si="20"/>
        <v>OK</v>
      </c>
      <c r="L224" s="285" t="str">
        <f t="shared" si="20"/>
        <v>OK</v>
      </c>
      <c r="M224" s="285" t="str">
        <f t="shared" si="20"/>
        <v>OK</v>
      </c>
      <c r="N224" s="285" t="str">
        <f t="shared" si="20"/>
        <v>OK</v>
      </c>
      <c r="O224" s="284"/>
      <c r="P224" s="284"/>
      <c r="Q224" s="284"/>
      <c r="R224" s="255"/>
    </row>
    <row r="225" spans="1:21">
      <c r="B225" s="259"/>
      <c r="C225" s="284"/>
      <c r="D225" s="284"/>
      <c r="E225" s="284"/>
      <c r="F225" s="284"/>
      <c r="G225" s="284"/>
      <c r="H225" s="284"/>
      <c r="I225" s="284"/>
      <c r="J225" s="284"/>
      <c r="K225" s="284"/>
      <c r="L225" s="284"/>
      <c r="M225" s="284"/>
      <c r="N225" s="284"/>
      <c r="O225" s="284"/>
      <c r="P225" s="284"/>
      <c r="Q225" s="284"/>
      <c r="R225" s="282"/>
    </row>
    <row r="226" spans="1:21" s="260" customFormat="1">
      <c r="B226" s="252" t="s">
        <v>985</v>
      </c>
      <c r="C226" s="255"/>
      <c r="D226" s="255"/>
      <c r="E226" s="255"/>
      <c r="F226" s="255"/>
      <c r="G226" s="255"/>
      <c r="H226" s="255"/>
      <c r="I226" s="255"/>
      <c r="J226" s="255"/>
      <c r="K226" s="255"/>
      <c r="L226" s="255"/>
      <c r="M226" s="255"/>
      <c r="N226" s="255"/>
      <c r="O226" s="284"/>
      <c r="P226" s="284"/>
      <c r="Q226" s="284"/>
      <c r="R226" s="282"/>
      <c r="T226" s="261"/>
      <c r="U226" s="261"/>
    </row>
    <row r="227" spans="1:21">
      <c r="A227" s="253" t="str">
        <f>B226&amp;" "&amp;B227</f>
        <v>NEW SMYRNA BEACH KWH Sales</v>
      </c>
      <c r="B227" s="254" t="s">
        <v>563</v>
      </c>
      <c r="C227" s="284">
        <f>VLOOKUP($B226,'KWH FCST'!$A$58:$O$87,C$8,FALSE)</f>
        <v>18600000</v>
      </c>
      <c r="D227" s="284">
        <f>VLOOKUP($B226,'KWH FCST'!$A$58:$O$87,D$8,FALSE)</f>
        <v>180000</v>
      </c>
      <c r="E227" s="284">
        <f>VLOOKUP($B226,'KWH FCST'!$A$58:$O$87,E$8,FALSE)</f>
        <v>0</v>
      </c>
      <c r="F227" s="284">
        <f>VLOOKUP($B226,'KWH FCST'!$A$58:$O$87,F$8,FALSE)</f>
        <v>0</v>
      </c>
      <c r="G227" s="284">
        <f>VLOOKUP($B226,'KWH FCST'!$A$58:$O$87,G$8,FALSE)</f>
        <v>0</v>
      </c>
      <c r="H227" s="284">
        <f>VLOOKUP($B226,'KWH FCST'!$A$58:$O$87,H$8,FALSE)</f>
        <v>0</v>
      </c>
      <c r="I227" s="284">
        <f>VLOOKUP($B226,'KWH FCST'!$A$58:$O$87,I$8,FALSE)</f>
        <v>0</v>
      </c>
      <c r="J227" s="284">
        <f>VLOOKUP($B226,'KWH FCST'!$A$58:$O$87,J$8,FALSE)</f>
        <v>0</v>
      </c>
      <c r="K227" s="284">
        <f>VLOOKUP($B226,'KWH FCST'!$A$58:$O$87,K$8,FALSE)</f>
        <v>180000</v>
      </c>
      <c r="L227" s="284">
        <f>VLOOKUP($B226,'KWH FCST'!$A$58:$O$87,L$8,FALSE)</f>
        <v>0</v>
      </c>
      <c r="M227" s="284">
        <f>VLOOKUP($B226,'KWH FCST'!$A$58:$O$87,M$8,FALSE)</f>
        <v>0</v>
      </c>
      <c r="N227" s="284">
        <f>VLOOKUP($B226,'KWH FCST'!$A$58:$O$87,N$8,FALSE)</f>
        <v>0</v>
      </c>
      <c r="O227" s="284">
        <f>SUM(C227:N227)</f>
        <v>18960000</v>
      </c>
      <c r="P227" s="284"/>
      <c r="Q227" s="284"/>
      <c r="R227" s="282"/>
      <c r="T227" s="296">
        <f>VLOOKUP($B226,'KWH FCST'!$A$58:$O$87,14,FALSE)</f>
        <v>18960000</v>
      </c>
      <c r="U227" s="255">
        <f>+O227-T227</f>
        <v>0</v>
      </c>
    </row>
    <row r="228" spans="1:21">
      <c r="A228" s="253" t="str">
        <f>B226&amp;" "&amp;B228</f>
        <v>NEW SMYRNA BEACH NCP</v>
      </c>
      <c r="B228" s="254" t="s">
        <v>133</v>
      </c>
      <c r="C228" s="284">
        <f>VLOOKUP($B226,'NCP FCST'!$A$58:$O$87,C$8,FALSE)</f>
        <v>45000</v>
      </c>
      <c r="D228" s="284">
        <f>VLOOKUP($B226,'NCP FCST'!$A$58:$O$87,D$8,FALSE)</f>
        <v>0</v>
      </c>
      <c r="E228" s="284">
        <f>VLOOKUP($B226,'NCP FCST'!$A$58:$O$87,E$8,FALSE)</f>
        <v>0</v>
      </c>
      <c r="F228" s="284">
        <f>VLOOKUP($B226,'NCP FCST'!$A$58:$O$87,F$8,FALSE)</f>
        <v>0</v>
      </c>
      <c r="G228" s="284">
        <f>VLOOKUP($B226,'NCP FCST'!$A$58:$O$87,G$8,FALSE)</f>
        <v>0</v>
      </c>
      <c r="H228" s="284">
        <f>VLOOKUP($B226,'NCP FCST'!$A$58:$O$87,H$8,FALSE)</f>
        <v>0</v>
      </c>
      <c r="I228" s="284">
        <f>VLOOKUP($B226,'NCP FCST'!$A$58:$O$87,I$8,FALSE)</f>
        <v>0</v>
      </c>
      <c r="J228" s="284">
        <f>VLOOKUP($B226,'NCP FCST'!$A$58:$O$87,J$8,FALSE)</f>
        <v>45000</v>
      </c>
      <c r="K228" s="284">
        <f>VLOOKUP($B226,'NCP FCST'!$A$58:$O$87,K$8,FALSE)</f>
        <v>0</v>
      </c>
      <c r="L228" s="284">
        <f>VLOOKUP($B226,'NCP FCST'!$A$58:$O$87,L$8,FALSE)</f>
        <v>0</v>
      </c>
      <c r="M228" s="284">
        <f>VLOOKUP($B226,'NCP FCST'!$A$58:$O$87,M$8,FALSE)</f>
        <v>0</v>
      </c>
      <c r="N228" s="284">
        <f>VLOOKUP($B226,'NCP FCST'!$A$58:$O$87,N$8,FALSE)</f>
        <v>0</v>
      </c>
      <c r="O228" s="284"/>
      <c r="P228" s="284">
        <f>MAX(C228:N228)</f>
        <v>45000</v>
      </c>
      <c r="Q228" s="284"/>
      <c r="R228" s="282"/>
      <c r="T228" s="255">
        <f>VLOOKUP($B226,'NCP FCST'!$A$58:$O$87,15,FALSE)</f>
        <v>45000</v>
      </c>
      <c r="U228" s="255">
        <f>P228-T228</f>
        <v>0</v>
      </c>
    </row>
    <row r="229" spans="1:21">
      <c r="A229" s="253" t="str">
        <f>B226&amp;" "&amp;B229</f>
        <v>NEW SMYRNA BEACH GNCP</v>
      </c>
      <c r="B229" s="254" t="s">
        <v>342</v>
      </c>
      <c r="C229" s="284">
        <f>VLOOKUP($B226,'GNCP FCST'!$A$58:$O$87,C$8,FALSE)</f>
        <v>45000</v>
      </c>
      <c r="D229" s="284">
        <f>VLOOKUP($B226,'GNCP FCST'!$A$58:$O$87,D$8,FALSE)</f>
        <v>0</v>
      </c>
      <c r="E229" s="284">
        <f>VLOOKUP($B226,'GNCP FCST'!$A$58:$O$87,E$8,FALSE)</f>
        <v>0</v>
      </c>
      <c r="F229" s="284">
        <f>VLOOKUP($B226,'GNCP FCST'!$A$58:$O$87,F$8,FALSE)</f>
        <v>0</v>
      </c>
      <c r="G229" s="284">
        <f>VLOOKUP($B226,'GNCP FCST'!$A$58:$O$87,G$8,FALSE)</f>
        <v>0</v>
      </c>
      <c r="H229" s="284">
        <f>VLOOKUP($B226,'GNCP FCST'!$A$58:$O$87,H$8,FALSE)</f>
        <v>0</v>
      </c>
      <c r="I229" s="284">
        <f>VLOOKUP($B226,'GNCP FCST'!$A$58:$O$87,I$8,FALSE)</f>
        <v>0</v>
      </c>
      <c r="J229" s="284">
        <f>VLOOKUP($B226,'GNCP FCST'!$A$58:$O$87,J$8,FALSE)</f>
        <v>45000</v>
      </c>
      <c r="K229" s="284">
        <f>VLOOKUP($B226,'GNCP FCST'!$A$58:$O$87,K$8,FALSE)</f>
        <v>0</v>
      </c>
      <c r="L229" s="284">
        <f>VLOOKUP($B226,'GNCP FCST'!$A$58:$O$87,L$8,FALSE)</f>
        <v>0</v>
      </c>
      <c r="M229" s="284">
        <f>VLOOKUP($B226,'GNCP FCST'!$A$58:$O$87,M$8,FALSE)</f>
        <v>0</v>
      </c>
      <c r="N229" s="284">
        <f>VLOOKUP($B226,'GNCP FCST'!$A$58:$O$87,N$8,FALSE)</f>
        <v>0</v>
      </c>
      <c r="O229" s="284"/>
      <c r="Q229" s="284">
        <f>MAX(C229:N229)</f>
        <v>45000</v>
      </c>
      <c r="R229" s="282"/>
      <c r="T229" s="255">
        <f>VLOOKUP($B226,'GNCP FCST'!$A$58:$O$87,15,FALSE)</f>
        <v>45000</v>
      </c>
      <c r="U229" s="255">
        <f>+Q229-T229</f>
        <v>0</v>
      </c>
    </row>
    <row r="230" spans="1:21">
      <c r="A230" s="253" t="str">
        <f>B226&amp;" "&amp;B230</f>
        <v>NEW SMYRNA BEACH CP</v>
      </c>
      <c r="B230" s="254" t="s">
        <v>148</v>
      </c>
      <c r="C230" s="284">
        <f>VLOOKUP($B226,'CP FCST'!$A$58:$O$87,C$8,FALSE)</f>
        <v>44038.35213173103</v>
      </c>
      <c r="D230" s="284">
        <f>VLOOKUP($B226,'CP FCST'!$A$58:$O$87,D$8,FALSE)</f>
        <v>0</v>
      </c>
      <c r="E230" s="284">
        <f>VLOOKUP($B226,'CP FCST'!$A$58:$O$87,E$8,FALSE)</f>
        <v>0</v>
      </c>
      <c r="F230" s="284">
        <f>VLOOKUP($B226,'CP FCST'!$A$58:$O$87,F$8,FALSE)</f>
        <v>0</v>
      </c>
      <c r="G230" s="284">
        <f>VLOOKUP($B226,'CP FCST'!$A$58:$O$87,G$8,FALSE)</f>
        <v>0</v>
      </c>
      <c r="H230" s="284">
        <f>VLOOKUP($B226,'CP FCST'!$A$58:$O$87,H$8,FALSE)</f>
        <v>0</v>
      </c>
      <c r="I230" s="284">
        <f>VLOOKUP($B226,'CP FCST'!$A$58:$O$87,I$8,FALSE)</f>
        <v>0</v>
      </c>
      <c r="J230" s="284">
        <f>VLOOKUP($B226,'CP FCST'!$A$58:$O$87,J$8,FALSE)</f>
        <v>44038.35213173103</v>
      </c>
      <c r="K230" s="284">
        <f>VLOOKUP($B226,'CP FCST'!$A$58:$O$87,K$8,FALSE)</f>
        <v>0</v>
      </c>
      <c r="L230" s="284">
        <f>VLOOKUP($B226,'CP FCST'!$A$58:$O$87,L$8,FALSE)</f>
        <v>0</v>
      </c>
      <c r="M230" s="284">
        <f>VLOOKUP($B226,'CP FCST'!$A$58:$O$87,M$8,FALSE)</f>
        <v>0</v>
      </c>
      <c r="N230" s="284">
        <f>VLOOKUP($B226,'CP FCST'!$A$58:$O$87,N$8,FALSE)</f>
        <v>0</v>
      </c>
      <c r="O230" s="284"/>
      <c r="P230" s="284"/>
      <c r="Q230" s="284"/>
      <c r="R230" s="255">
        <f>AVERAGE(C230:N230)</f>
        <v>7339.7253552885049</v>
      </c>
      <c r="T230" s="255">
        <f>VLOOKUP($B226,'CP FCST'!$A$58:$O$87,15,FALSE)</f>
        <v>7339.7253552885049</v>
      </c>
      <c r="U230" s="255">
        <f>R230-T230</f>
        <v>0</v>
      </c>
    </row>
    <row r="231" spans="1:21">
      <c r="A231" s="253" t="str">
        <f>B226&amp;" "&amp;B231</f>
        <v>NEW SMYRNA BEACH CP - L.F.</v>
      </c>
      <c r="B231" s="254" t="s">
        <v>1197</v>
      </c>
      <c r="C231" s="498">
        <f>'NEW SMYRNA'!C82</f>
        <v>0.5676869998499946</v>
      </c>
      <c r="D231" s="498">
        <f>'NEW SMYRNA'!D82</f>
        <v>0</v>
      </c>
      <c r="E231" s="498">
        <f>'NEW SMYRNA'!E82</f>
        <v>0</v>
      </c>
      <c r="F231" s="498">
        <f>'NEW SMYRNA'!F82</f>
        <v>0</v>
      </c>
      <c r="G231" s="498">
        <f>'NEW SMYRNA'!G82</f>
        <v>0</v>
      </c>
      <c r="H231" s="498">
        <f>'NEW SMYRNA'!H82</f>
        <v>0</v>
      </c>
      <c r="I231" s="498">
        <f>'NEW SMYRNA'!I82</f>
        <v>0</v>
      </c>
      <c r="J231" s="498">
        <f>'NEW SMYRNA'!J82</f>
        <v>0</v>
      </c>
      <c r="K231" s="498">
        <f>'NEW SMYRNA'!K82</f>
        <v>0</v>
      </c>
      <c r="L231" s="498">
        <f>'NEW SMYRNA'!L82</f>
        <v>0</v>
      </c>
      <c r="M231" s="498">
        <f>'NEW SMYRNA'!M82</f>
        <v>0</v>
      </c>
      <c r="N231" s="498">
        <f>'NEW SMYRNA'!N82</f>
        <v>0</v>
      </c>
      <c r="O231" s="284"/>
      <c r="P231" s="284"/>
      <c r="Q231" s="284"/>
      <c r="R231" s="255"/>
    </row>
    <row r="232" spans="1:21">
      <c r="A232" s="253" t="str">
        <f>B226&amp;" "&amp;B232</f>
        <v>NEW SMYRNA BEACH GCP - L.F.</v>
      </c>
      <c r="B232" s="254" t="s">
        <v>1198</v>
      </c>
      <c r="C232" s="498">
        <f>'NEW SMYRNA'!C83</f>
        <v>0.55555555555555558</v>
      </c>
      <c r="D232" s="498">
        <f>'NEW SMYRNA'!D83</f>
        <v>0</v>
      </c>
      <c r="E232" s="498">
        <f>'NEW SMYRNA'!E83</f>
        <v>0</v>
      </c>
      <c r="F232" s="498">
        <f>'NEW SMYRNA'!F83</f>
        <v>0</v>
      </c>
      <c r="G232" s="498">
        <f>'NEW SMYRNA'!G83</f>
        <v>0</v>
      </c>
      <c r="H232" s="498">
        <f>'NEW SMYRNA'!H83</f>
        <v>0</v>
      </c>
      <c r="I232" s="498">
        <f>'NEW SMYRNA'!I83</f>
        <v>0</v>
      </c>
      <c r="J232" s="498">
        <f>'NEW SMYRNA'!J83</f>
        <v>0</v>
      </c>
      <c r="K232" s="498">
        <f>'NEW SMYRNA'!K83</f>
        <v>0</v>
      </c>
      <c r="L232" s="498">
        <f>'NEW SMYRNA'!L83</f>
        <v>0</v>
      </c>
      <c r="M232" s="498">
        <f>'NEW SMYRNA'!M83</f>
        <v>0</v>
      </c>
      <c r="N232" s="498">
        <f>'NEW SMYRNA'!N83</f>
        <v>0</v>
      </c>
      <c r="O232" s="284"/>
      <c r="P232" s="284"/>
      <c r="Q232" s="284"/>
      <c r="R232" s="255"/>
    </row>
    <row r="233" spans="1:21">
      <c r="A233" s="253" t="str">
        <f>B226&amp;" "&amp;B233</f>
        <v>NEW SMYRNA BEACH NCP - L.F.</v>
      </c>
      <c r="B233" s="254" t="s">
        <v>1199</v>
      </c>
      <c r="C233" s="498">
        <f>'NEW SMYRNA'!C84</f>
        <v>0.55555555555555558</v>
      </c>
      <c r="D233" s="498">
        <f>'NEW SMYRNA'!D84</f>
        <v>0</v>
      </c>
      <c r="E233" s="498">
        <f>'NEW SMYRNA'!E84</f>
        <v>0</v>
      </c>
      <c r="F233" s="498">
        <f>'NEW SMYRNA'!F84</f>
        <v>0</v>
      </c>
      <c r="G233" s="498">
        <f>'NEW SMYRNA'!G84</f>
        <v>0</v>
      </c>
      <c r="H233" s="498">
        <f>'NEW SMYRNA'!H84</f>
        <v>0</v>
      </c>
      <c r="I233" s="498">
        <f>'NEW SMYRNA'!I84</f>
        <v>0</v>
      </c>
      <c r="J233" s="498">
        <f>'NEW SMYRNA'!J84</f>
        <v>0</v>
      </c>
      <c r="K233" s="498">
        <f>'NEW SMYRNA'!K84</f>
        <v>0</v>
      </c>
      <c r="L233" s="498">
        <f>'NEW SMYRNA'!L84</f>
        <v>0</v>
      </c>
      <c r="M233" s="498">
        <f>'NEW SMYRNA'!M84</f>
        <v>0</v>
      </c>
      <c r="N233" s="498">
        <f>'NEW SMYRNA'!N84</f>
        <v>0</v>
      </c>
      <c r="O233" s="284"/>
      <c r="P233" s="284"/>
      <c r="Q233" s="284"/>
      <c r="R233" s="255"/>
    </row>
    <row r="234" spans="1:21">
      <c r="B234" s="254" t="s">
        <v>570</v>
      </c>
      <c r="C234" s="285" t="str">
        <f t="shared" ref="C234:N234" si="21">IF(C230&gt;C229,"ERROR",IF(C229&gt;C228,"ERROR","OK"))</f>
        <v>OK</v>
      </c>
      <c r="D234" s="285" t="str">
        <f t="shared" si="21"/>
        <v>OK</v>
      </c>
      <c r="E234" s="285" t="str">
        <f t="shared" si="21"/>
        <v>OK</v>
      </c>
      <c r="F234" s="285" t="str">
        <f t="shared" si="21"/>
        <v>OK</v>
      </c>
      <c r="G234" s="285" t="str">
        <f t="shared" si="21"/>
        <v>OK</v>
      </c>
      <c r="H234" s="285" t="str">
        <f t="shared" si="21"/>
        <v>OK</v>
      </c>
      <c r="I234" s="285" t="str">
        <f t="shared" si="21"/>
        <v>OK</v>
      </c>
      <c r="J234" s="285" t="str">
        <f t="shared" si="21"/>
        <v>OK</v>
      </c>
      <c r="K234" s="285" t="str">
        <f t="shared" si="21"/>
        <v>OK</v>
      </c>
      <c r="L234" s="285" t="str">
        <f t="shared" si="21"/>
        <v>OK</v>
      </c>
      <c r="M234" s="285" t="str">
        <f t="shared" si="21"/>
        <v>OK</v>
      </c>
      <c r="N234" s="285" t="str">
        <f t="shared" si="21"/>
        <v>OK</v>
      </c>
      <c r="O234" s="284"/>
      <c r="P234" s="284"/>
      <c r="Q234" s="284"/>
      <c r="R234" s="255"/>
    </row>
    <row r="235" spans="1:21">
      <c r="B235" s="254"/>
      <c r="C235" s="284"/>
      <c r="D235" s="284"/>
      <c r="E235" s="284"/>
      <c r="F235" s="284"/>
      <c r="G235" s="284"/>
      <c r="H235" s="284"/>
      <c r="I235" s="284"/>
      <c r="J235" s="284"/>
      <c r="K235" s="284"/>
      <c r="L235" s="284"/>
      <c r="M235" s="284"/>
      <c r="N235" s="284"/>
      <c r="O235" s="284"/>
      <c r="P235" s="284"/>
      <c r="Q235" s="284"/>
      <c r="R235" s="255"/>
    </row>
    <row r="236" spans="1:21">
      <c r="A236" s="260"/>
      <c r="B236" s="252" t="s">
        <v>1193</v>
      </c>
      <c r="O236" s="284"/>
      <c r="P236" s="284"/>
      <c r="Q236" s="284"/>
      <c r="R236" s="282"/>
      <c r="S236" s="260"/>
      <c r="T236" s="261"/>
      <c r="U236" s="261"/>
    </row>
    <row r="237" spans="1:21">
      <c r="A237" s="253" t="str">
        <f>B236&amp;" "&amp;B237</f>
        <v>QUINCY KWH Sales</v>
      </c>
      <c r="B237" s="254" t="s">
        <v>563</v>
      </c>
      <c r="C237" s="284">
        <f>VLOOKUP($B236,'KWH FCST'!$A$58:$O$87,C$8,FALSE)</f>
        <v>0</v>
      </c>
      <c r="D237" s="284">
        <f>VLOOKUP($B236,'KWH FCST'!$A$58:$O$87,D$8,FALSE)</f>
        <v>76000</v>
      </c>
      <c r="E237" s="284">
        <f>VLOOKUP($B236,'KWH FCST'!$A$58:$O$87,E$8,FALSE)</f>
        <v>0</v>
      </c>
      <c r="F237" s="284">
        <f>VLOOKUP($B236,'KWH FCST'!$A$58:$O$87,F$8,FALSE)</f>
        <v>0</v>
      </c>
      <c r="G237" s="284">
        <f>VLOOKUP($B236,'KWH FCST'!$A$58:$O$87,G$8,FALSE)</f>
        <v>0</v>
      </c>
      <c r="H237" s="284">
        <f>VLOOKUP($B236,'KWH FCST'!$A$58:$O$87,H$8,FALSE)</f>
        <v>0</v>
      </c>
      <c r="I237" s="284">
        <f>VLOOKUP($B236,'KWH FCST'!$A$58:$O$87,I$8,FALSE)</f>
        <v>0</v>
      </c>
      <c r="J237" s="284">
        <f>VLOOKUP($B236,'KWH FCST'!$A$58:$O$87,J$8,FALSE)</f>
        <v>0</v>
      </c>
      <c r="K237" s="284">
        <f>VLOOKUP($B236,'KWH FCST'!$A$58:$O$87,K$8,FALSE)</f>
        <v>76000</v>
      </c>
      <c r="L237" s="284">
        <f>VLOOKUP($B236,'KWH FCST'!$A$58:$O$87,L$8,FALSE)</f>
        <v>0</v>
      </c>
      <c r="M237" s="284">
        <f>VLOOKUP($B236,'KWH FCST'!$A$58:$O$87,M$8,FALSE)</f>
        <v>0</v>
      </c>
      <c r="N237" s="284">
        <f>VLOOKUP($B236,'KWH FCST'!$A$58:$O$87,N$8,FALSE)</f>
        <v>0</v>
      </c>
      <c r="O237" s="284">
        <f>SUM(C237:N237)</f>
        <v>152000</v>
      </c>
      <c r="P237" s="284"/>
      <c r="Q237" s="284"/>
      <c r="R237" s="282"/>
      <c r="T237" s="296">
        <f>VLOOKUP($B236,'KWH FCST'!$A$58:$O$87,14,FALSE)</f>
        <v>152000</v>
      </c>
      <c r="U237" s="255">
        <f>+O237-T237</f>
        <v>0</v>
      </c>
    </row>
    <row r="238" spans="1:21">
      <c r="A238" s="253" t="str">
        <f>B236&amp;" "&amp;B238</f>
        <v>QUINCY NCP</v>
      </c>
      <c r="B238" s="254" t="s">
        <v>133</v>
      </c>
      <c r="C238" s="284">
        <f>VLOOKUP($B236,'NCP FCST'!$A$58:$O$87,C$8,FALSE)</f>
        <v>19000</v>
      </c>
      <c r="D238" s="284">
        <f>VLOOKUP($B236,'NCP FCST'!$A$58:$O$87,D$8,FALSE)</f>
        <v>0</v>
      </c>
      <c r="E238" s="284">
        <f>VLOOKUP($B236,'NCP FCST'!$A$58:$O$87,E$8,FALSE)</f>
        <v>0</v>
      </c>
      <c r="F238" s="284">
        <f>VLOOKUP($B236,'NCP FCST'!$A$58:$O$87,F$8,FALSE)</f>
        <v>0</v>
      </c>
      <c r="G238" s="284">
        <f>VLOOKUP($B236,'NCP FCST'!$A$58:$O$87,G$8,FALSE)</f>
        <v>0</v>
      </c>
      <c r="H238" s="284">
        <f>VLOOKUP($B236,'NCP FCST'!$A$58:$O$87,H$8,FALSE)</f>
        <v>0</v>
      </c>
      <c r="I238" s="284">
        <f>VLOOKUP($B236,'NCP FCST'!$A$58:$O$87,I$8,FALSE)</f>
        <v>0</v>
      </c>
      <c r="J238" s="284">
        <f>VLOOKUP($B236,'NCP FCST'!$A$58:$O$87,J$8,FALSE)</f>
        <v>19000</v>
      </c>
      <c r="K238" s="284">
        <f>VLOOKUP($B236,'NCP FCST'!$A$58:$O$87,K$8,FALSE)</f>
        <v>0</v>
      </c>
      <c r="L238" s="284">
        <f>VLOOKUP($B236,'NCP FCST'!$A$58:$O$87,L$8,FALSE)</f>
        <v>0</v>
      </c>
      <c r="M238" s="284">
        <f>VLOOKUP($B236,'NCP FCST'!$A$58:$O$87,M$8,FALSE)</f>
        <v>0</v>
      </c>
      <c r="N238" s="284">
        <f>VLOOKUP($B236,'NCP FCST'!$A$58:$O$87,N$8,FALSE)</f>
        <v>0</v>
      </c>
      <c r="O238" s="284"/>
      <c r="P238" s="284">
        <f>MAX(C238:N238)</f>
        <v>19000</v>
      </c>
      <c r="Q238" s="284"/>
      <c r="R238" s="282"/>
      <c r="T238" s="255">
        <f>VLOOKUP($B236,'NCP FCST'!$A$58:$O$87,15,FALSE)</f>
        <v>19000</v>
      </c>
      <c r="U238" s="255">
        <f>P238-T238</f>
        <v>0</v>
      </c>
    </row>
    <row r="239" spans="1:21">
      <c r="A239" s="253" t="str">
        <f>B236&amp;" "&amp;B239</f>
        <v>QUINCY GNCP</v>
      </c>
      <c r="B239" s="254" t="s">
        <v>342</v>
      </c>
      <c r="C239" s="284">
        <f>VLOOKUP($B236,'GNCP FCST'!$A$58:$O$87,C$8,FALSE)</f>
        <v>19000</v>
      </c>
      <c r="D239" s="284">
        <f>VLOOKUP($B236,'GNCP FCST'!$A$58:$O$87,D$8,FALSE)</f>
        <v>0</v>
      </c>
      <c r="E239" s="284">
        <f>VLOOKUP($B236,'GNCP FCST'!$A$58:$O$87,E$8,FALSE)</f>
        <v>0</v>
      </c>
      <c r="F239" s="284">
        <f>VLOOKUP($B236,'GNCP FCST'!$A$58:$O$87,F$8,FALSE)</f>
        <v>0</v>
      </c>
      <c r="G239" s="284">
        <f>VLOOKUP($B236,'GNCP FCST'!$A$58:$O$87,G$8,FALSE)</f>
        <v>0</v>
      </c>
      <c r="H239" s="284">
        <f>VLOOKUP($B236,'GNCP FCST'!$A$58:$O$87,H$8,FALSE)</f>
        <v>0</v>
      </c>
      <c r="I239" s="284">
        <f>VLOOKUP($B236,'GNCP FCST'!$A$58:$O$87,I$8,FALSE)</f>
        <v>0</v>
      </c>
      <c r="J239" s="284">
        <f>VLOOKUP($B236,'GNCP FCST'!$A$58:$O$87,J$8,FALSE)</f>
        <v>19000</v>
      </c>
      <c r="K239" s="284">
        <f>VLOOKUP($B236,'GNCP FCST'!$A$58:$O$87,K$8,FALSE)</f>
        <v>0</v>
      </c>
      <c r="L239" s="284">
        <f>VLOOKUP($B236,'GNCP FCST'!$A$58:$O$87,L$8,FALSE)</f>
        <v>0</v>
      </c>
      <c r="M239" s="284">
        <f>VLOOKUP($B236,'GNCP FCST'!$A$58:$O$87,M$8,FALSE)</f>
        <v>0</v>
      </c>
      <c r="N239" s="284">
        <f>VLOOKUP($B236,'GNCP FCST'!$A$58:$O$87,N$8,FALSE)</f>
        <v>0</v>
      </c>
      <c r="O239" s="284"/>
      <c r="Q239" s="284">
        <f>MAX(C239:N239)</f>
        <v>19000</v>
      </c>
      <c r="R239" s="282"/>
      <c r="T239" s="255">
        <f>VLOOKUP($B236,'GNCP FCST'!$A$58:$O$87,15,FALSE)</f>
        <v>19000</v>
      </c>
      <c r="U239" s="255">
        <f>+Q239-T239</f>
        <v>0</v>
      </c>
    </row>
    <row r="240" spans="1:21">
      <c r="A240" s="253" t="str">
        <f>B236&amp;" "&amp;B240</f>
        <v>QUINCY CP</v>
      </c>
      <c r="B240" s="254" t="s">
        <v>148</v>
      </c>
      <c r="C240" s="284">
        <f>VLOOKUP($B236,'CP FCST'!$A$58:$O$87,C$8,FALSE)</f>
        <v>18593.970900064214</v>
      </c>
      <c r="D240" s="284">
        <f>VLOOKUP($B236,'CP FCST'!$A$58:$O$87,D$8,FALSE)</f>
        <v>0</v>
      </c>
      <c r="E240" s="284">
        <f>VLOOKUP($B236,'CP FCST'!$A$58:$O$87,E$8,FALSE)</f>
        <v>0</v>
      </c>
      <c r="F240" s="284">
        <f>VLOOKUP($B236,'CP FCST'!$A$58:$O$87,F$8,FALSE)</f>
        <v>0</v>
      </c>
      <c r="G240" s="284">
        <f>VLOOKUP($B236,'CP FCST'!$A$58:$O$87,G$8,FALSE)</f>
        <v>0</v>
      </c>
      <c r="H240" s="284">
        <f>VLOOKUP($B236,'CP FCST'!$A$58:$O$87,H$8,FALSE)</f>
        <v>0</v>
      </c>
      <c r="I240" s="284">
        <f>VLOOKUP($B236,'CP FCST'!$A$58:$O$87,I$8,FALSE)</f>
        <v>0</v>
      </c>
      <c r="J240" s="284">
        <f>VLOOKUP($B236,'CP FCST'!$A$58:$O$87,J$8,FALSE)</f>
        <v>18593.970900064211</v>
      </c>
      <c r="K240" s="284">
        <f>VLOOKUP($B236,'CP FCST'!$A$58:$O$87,K$8,FALSE)</f>
        <v>0</v>
      </c>
      <c r="L240" s="284">
        <f>VLOOKUP($B236,'CP FCST'!$A$58:$O$87,L$8,FALSE)</f>
        <v>0</v>
      </c>
      <c r="M240" s="284">
        <f>VLOOKUP($B236,'CP FCST'!$A$58:$O$87,M$8,FALSE)</f>
        <v>0</v>
      </c>
      <c r="N240" s="284">
        <f>VLOOKUP($B236,'CP FCST'!$A$58:$O$87,N$8,FALSE)</f>
        <v>0</v>
      </c>
      <c r="O240" s="284"/>
      <c r="P240" s="284"/>
      <c r="Q240" s="284"/>
      <c r="R240" s="255">
        <f>AVERAGE(C240:N240)</f>
        <v>3098.9951500107018</v>
      </c>
      <c r="T240" s="255">
        <f>VLOOKUP($B236,'CP FCST'!$A$58:$O$87,15,FALSE)</f>
        <v>3098.9951500107018</v>
      </c>
      <c r="U240" s="255">
        <f>R240-T240</f>
        <v>0</v>
      </c>
    </row>
    <row r="241" spans="1:21">
      <c r="A241" s="253" t="str">
        <f>B236&amp;" "&amp;B241</f>
        <v>QUINCY CP - L.F.</v>
      </c>
      <c r="B241" s="254" t="s">
        <v>1197</v>
      </c>
      <c r="C241" s="498">
        <f>QUINCY!C82</f>
        <v>0</v>
      </c>
      <c r="D241" s="498">
        <f>QUINCY!D82</f>
        <v>0</v>
      </c>
      <c r="E241" s="498">
        <f>QUINCY!E82</f>
        <v>0</v>
      </c>
      <c r="F241" s="498">
        <f>QUINCY!F82</f>
        <v>0</v>
      </c>
      <c r="G241" s="498">
        <f>QUINCY!G82</f>
        <v>0</v>
      </c>
      <c r="H241" s="498">
        <f>QUINCY!H82</f>
        <v>0</v>
      </c>
      <c r="I241" s="498">
        <f>QUINCY!I82</f>
        <v>0</v>
      </c>
      <c r="J241" s="498">
        <f>QUINCY!J82</f>
        <v>0</v>
      </c>
      <c r="K241" s="498">
        <f>QUINCY!K82</f>
        <v>0</v>
      </c>
      <c r="L241" s="498">
        <f>QUINCY!L82</f>
        <v>0</v>
      </c>
      <c r="M241" s="498">
        <f>QUINCY!M82</f>
        <v>0</v>
      </c>
      <c r="N241" s="498">
        <f>QUINCY!N82</f>
        <v>0</v>
      </c>
      <c r="O241" s="284"/>
      <c r="P241" s="284"/>
      <c r="Q241" s="284"/>
      <c r="R241" s="255"/>
    </row>
    <row r="242" spans="1:21">
      <c r="A242" s="253" t="str">
        <f>B236&amp;" "&amp;B242</f>
        <v>QUINCY GCP - L.F.</v>
      </c>
      <c r="B242" s="254" t="s">
        <v>1198</v>
      </c>
      <c r="C242" s="498">
        <f>QUINCY!C83</f>
        <v>0</v>
      </c>
      <c r="D242" s="498">
        <f>QUINCY!D83</f>
        <v>0</v>
      </c>
      <c r="E242" s="498">
        <f>QUINCY!E83</f>
        <v>0</v>
      </c>
      <c r="F242" s="498">
        <f>QUINCY!F83</f>
        <v>0</v>
      </c>
      <c r="G242" s="498">
        <f>QUINCY!G83</f>
        <v>0</v>
      </c>
      <c r="H242" s="498">
        <f>QUINCY!H83</f>
        <v>0</v>
      </c>
      <c r="I242" s="498">
        <f>QUINCY!I83</f>
        <v>0</v>
      </c>
      <c r="J242" s="498">
        <f>QUINCY!J83</f>
        <v>0</v>
      </c>
      <c r="K242" s="498">
        <f>QUINCY!K83</f>
        <v>0</v>
      </c>
      <c r="L242" s="498">
        <f>QUINCY!L83</f>
        <v>0</v>
      </c>
      <c r="M242" s="498">
        <f>QUINCY!M83</f>
        <v>0</v>
      </c>
      <c r="N242" s="498">
        <f>QUINCY!N83</f>
        <v>0</v>
      </c>
      <c r="O242" s="284"/>
      <c r="P242" s="284"/>
      <c r="Q242" s="284"/>
      <c r="R242" s="255"/>
    </row>
    <row r="243" spans="1:21">
      <c r="A243" s="253" t="str">
        <f>B236&amp;" "&amp;B243</f>
        <v>QUINCY NCP - L.F.</v>
      </c>
      <c r="B243" s="254" t="s">
        <v>1199</v>
      </c>
      <c r="C243" s="498">
        <f>QUINCY!C84</f>
        <v>0</v>
      </c>
      <c r="D243" s="498">
        <f>QUINCY!D84</f>
        <v>0</v>
      </c>
      <c r="E243" s="498">
        <f>QUINCY!E84</f>
        <v>0</v>
      </c>
      <c r="F243" s="498">
        <f>QUINCY!F84</f>
        <v>0</v>
      </c>
      <c r="G243" s="498">
        <f>QUINCY!G84</f>
        <v>0</v>
      </c>
      <c r="H243" s="498">
        <f>QUINCY!H84</f>
        <v>0</v>
      </c>
      <c r="I243" s="498">
        <f>QUINCY!I84</f>
        <v>0</v>
      </c>
      <c r="J243" s="498">
        <f>QUINCY!J84</f>
        <v>0</v>
      </c>
      <c r="K243" s="498">
        <f>QUINCY!K84</f>
        <v>0</v>
      </c>
      <c r="L243" s="498">
        <f>QUINCY!L84</f>
        <v>0</v>
      </c>
      <c r="M243" s="498">
        <f>QUINCY!M84</f>
        <v>0</v>
      </c>
      <c r="N243" s="498">
        <f>QUINCY!N84</f>
        <v>0</v>
      </c>
      <c r="O243" s="284"/>
      <c r="P243" s="284"/>
      <c r="Q243" s="284"/>
      <c r="R243" s="255"/>
    </row>
    <row r="244" spans="1:21">
      <c r="B244" s="254" t="s">
        <v>570</v>
      </c>
      <c r="C244" s="285" t="str">
        <f t="shared" ref="C244:N244" si="22">IF(C240&gt;C239,"ERROR",IF(C239&gt;C238,"ERROR","OK"))</f>
        <v>OK</v>
      </c>
      <c r="D244" s="285" t="str">
        <f t="shared" si="22"/>
        <v>OK</v>
      </c>
      <c r="E244" s="285" t="str">
        <f t="shared" si="22"/>
        <v>OK</v>
      </c>
      <c r="F244" s="285" t="str">
        <f t="shared" si="22"/>
        <v>OK</v>
      </c>
      <c r="G244" s="285" t="str">
        <f t="shared" si="22"/>
        <v>OK</v>
      </c>
      <c r="H244" s="285" t="str">
        <f t="shared" si="22"/>
        <v>OK</v>
      </c>
      <c r="I244" s="285" t="str">
        <f t="shared" si="22"/>
        <v>OK</v>
      </c>
      <c r="J244" s="285" t="str">
        <f t="shared" si="22"/>
        <v>OK</v>
      </c>
      <c r="K244" s="285" t="str">
        <f t="shared" si="22"/>
        <v>OK</v>
      </c>
      <c r="L244" s="285" t="str">
        <f t="shared" si="22"/>
        <v>OK</v>
      </c>
      <c r="M244" s="285" t="str">
        <f t="shared" si="22"/>
        <v>OK</v>
      </c>
      <c r="N244" s="285" t="str">
        <f t="shared" si="22"/>
        <v>OK</v>
      </c>
      <c r="O244" s="284"/>
      <c r="P244" s="284"/>
      <c r="Q244" s="284"/>
      <c r="R244" s="255"/>
    </row>
    <row r="245" spans="1:21">
      <c r="B245" s="254"/>
      <c r="C245" s="284"/>
      <c r="D245" s="284"/>
      <c r="E245" s="284"/>
      <c r="F245" s="284"/>
      <c r="G245" s="284"/>
      <c r="H245" s="284"/>
      <c r="I245" s="284"/>
      <c r="J245" s="284"/>
      <c r="K245" s="284"/>
      <c r="L245" s="284"/>
      <c r="M245" s="284"/>
      <c r="N245" s="284"/>
      <c r="O245" s="284"/>
      <c r="P245" s="284"/>
      <c r="Q245" s="284"/>
      <c r="R245" s="255"/>
    </row>
    <row r="246" spans="1:21" s="260" customFormat="1">
      <c r="B246" s="252" t="s">
        <v>1060</v>
      </c>
      <c r="C246" s="255"/>
      <c r="D246" s="255"/>
      <c r="E246" s="255"/>
      <c r="F246" s="255"/>
      <c r="G246" s="255"/>
      <c r="H246" s="255"/>
      <c r="I246" s="255"/>
      <c r="J246" s="255"/>
      <c r="K246" s="255"/>
      <c r="L246" s="255"/>
      <c r="M246" s="255"/>
      <c r="N246" s="255"/>
      <c r="O246" s="284"/>
      <c r="P246" s="284"/>
      <c r="Q246" s="284"/>
      <c r="R246" s="282"/>
      <c r="T246" s="261"/>
      <c r="U246" s="261"/>
    </row>
    <row r="247" spans="1:21" s="260" customFormat="1">
      <c r="A247" s="253" t="str">
        <f>B246&amp;" "&amp;B247</f>
        <v>SEMINOLE AGREEMENT KWH Sales</v>
      </c>
      <c r="B247" s="254" t="s">
        <v>563</v>
      </c>
      <c r="C247" s="284">
        <f>VLOOKUP($B246,'KWH FCST'!$A$58:$O$87,C$8,FALSE)</f>
        <v>13575000</v>
      </c>
      <c r="D247" s="284">
        <f>VLOOKUP($B246,'KWH FCST'!$A$58:$O$87,D$8,FALSE)</f>
        <v>73250000</v>
      </c>
      <c r="E247" s="284">
        <f>VLOOKUP($B246,'KWH FCST'!$A$58:$O$87,E$8,FALSE)</f>
        <v>85800000</v>
      </c>
      <c r="F247" s="284">
        <f>VLOOKUP($B246,'KWH FCST'!$A$58:$O$87,F$8,FALSE)</f>
        <v>111860000</v>
      </c>
      <c r="G247" s="284">
        <f>VLOOKUP($B246,'KWH FCST'!$A$58:$O$87,G$8,FALSE)</f>
        <v>125830000</v>
      </c>
      <c r="H247" s="284">
        <f>VLOOKUP($B246,'KWH FCST'!$A$58:$O$87,H$8,FALSE)</f>
        <v>113525000</v>
      </c>
      <c r="I247" s="284">
        <f>VLOOKUP($B246,'KWH FCST'!$A$58:$O$87,I$8,FALSE)</f>
        <v>115975000</v>
      </c>
      <c r="J247" s="284">
        <f>VLOOKUP($B246,'KWH FCST'!$A$58:$O$87,J$8,FALSE)</f>
        <v>144250000</v>
      </c>
      <c r="K247" s="284">
        <f>VLOOKUP($B246,'KWH FCST'!$A$58:$O$87,K$8,FALSE)</f>
        <v>96050000</v>
      </c>
      <c r="L247" s="284">
        <f>VLOOKUP($B246,'KWH FCST'!$A$58:$O$87,L$8,FALSE)</f>
        <v>91130000</v>
      </c>
      <c r="M247" s="284">
        <f>VLOOKUP($B246,'KWH FCST'!$A$58:$O$87,M$8,FALSE)</f>
        <v>87075000</v>
      </c>
      <c r="N247" s="284">
        <f>VLOOKUP($B246,'KWH FCST'!$A$58:$O$87,N$8,FALSE)</f>
        <v>44020000</v>
      </c>
      <c r="O247" s="284">
        <f>SUM(C247:N247)</f>
        <v>1102340000</v>
      </c>
      <c r="P247" s="284"/>
      <c r="Q247" s="284"/>
      <c r="R247" s="282"/>
      <c r="S247" s="253"/>
      <c r="T247" s="296">
        <f>VLOOKUP($B246,'KWH FCST'!$A$58:$O$87,14,FALSE)</f>
        <v>1102340000</v>
      </c>
      <c r="U247" s="255">
        <f>+O247-T247</f>
        <v>0</v>
      </c>
    </row>
    <row r="248" spans="1:21" s="260" customFormat="1">
      <c r="A248" s="253" t="str">
        <f>B246&amp;" "&amp;B248</f>
        <v>SEMINOLE AGREEMENT NCP</v>
      </c>
      <c r="B248" s="254" t="s">
        <v>133</v>
      </c>
      <c r="C248" s="284">
        <f>VLOOKUP($B246,'NCP FCST'!$A$58:$O$87,C$8,FALSE)</f>
        <v>200000</v>
      </c>
      <c r="D248" s="284">
        <f>VLOOKUP($B246,'NCP FCST'!$A$58:$O$87,D$8,FALSE)</f>
        <v>200000</v>
      </c>
      <c r="E248" s="284">
        <f>VLOOKUP($B246,'NCP FCST'!$A$58:$O$87,E$8,FALSE)</f>
        <v>200000</v>
      </c>
      <c r="F248" s="284">
        <f>VLOOKUP($B246,'NCP FCST'!$A$58:$O$87,F$8,FALSE)</f>
        <v>200000</v>
      </c>
      <c r="G248" s="284">
        <f>VLOOKUP($B246,'NCP FCST'!$A$58:$O$87,G$8,FALSE)</f>
        <v>200000</v>
      </c>
      <c r="H248" s="284">
        <f>VLOOKUP($B246,'NCP FCST'!$A$58:$O$87,H$8,FALSE)</f>
        <v>200000</v>
      </c>
      <c r="I248" s="284">
        <f>VLOOKUP($B246,'NCP FCST'!$A$58:$O$87,I$8,FALSE)</f>
        <v>200000</v>
      </c>
      <c r="J248" s="284">
        <f>VLOOKUP($B246,'NCP FCST'!$A$58:$O$87,J$8,FALSE)</f>
        <v>200000</v>
      </c>
      <c r="K248" s="284">
        <f>VLOOKUP($B246,'NCP FCST'!$A$58:$O$87,K$8,FALSE)</f>
        <v>200000</v>
      </c>
      <c r="L248" s="284">
        <f>VLOOKUP($B246,'NCP FCST'!$A$58:$O$87,L$8,FALSE)</f>
        <v>200000</v>
      </c>
      <c r="M248" s="284">
        <f>VLOOKUP($B246,'NCP FCST'!$A$58:$O$87,M$8,FALSE)</f>
        <v>200000</v>
      </c>
      <c r="N248" s="284">
        <f>VLOOKUP($B246,'NCP FCST'!$A$58:$O$87,N$8,FALSE)</f>
        <v>200000</v>
      </c>
      <c r="O248" s="284"/>
      <c r="P248" s="284">
        <f>MAX(C248:N248)</f>
        <v>200000</v>
      </c>
      <c r="Q248" s="284"/>
      <c r="R248" s="282"/>
      <c r="S248" s="253"/>
      <c r="T248" s="255">
        <f>VLOOKUP($B246,'NCP FCST'!$A$58:$O$87,15,FALSE)</f>
        <v>200000</v>
      </c>
      <c r="U248" s="255">
        <f>P248-T248</f>
        <v>0</v>
      </c>
    </row>
    <row r="249" spans="1:21" s="260" customFormat="1">
      <c r="A249" s="253" t="str">
        <f>B246&amp;" "&amp;B249</f>
        <v>SEMINOLE AGREEMENT GNCP</v>
      </c>
      <c r="B249" s="254" t="s">
        <v>342</v>
      </c>
      <c r="C249" s="284">
        <f>VLOOKUP($B246,'GNCP FCST'!$A$58:$O$87,C$8,FALSE)</f>
        <v>200000</v>
      </c>
      <c r="D249" s="284">
        <f>VLOOKUP($B246,'GNCP FCST'!$A$58:$O$87,D$8,FALSE)</f>
        <v>200000</v>
      </c>
      <c r="E249" s="284">
        <f>VLOOKUP($B246,'GNCP FCST'!$A$58:$O$87,E$8,FALSE)</f>
        <v>200000</v>
      </c>
      <c r="F249" s="284">
        <f>VLOOKUP($B246,'GNCP FCST'!$A$58:$O$87,F$8,FALSE)</f>
        <v>200000</v>
      </c>
      <c r="G249" s="284">
        <f>VLOOKUP($B246,'GNCP FCST'!$A$58:$O$87,G$8,FALSE)</f>
        <v>200000</v>
      </c>
      <c r="H249" s="284">
        <f>VLOOKUP($B246,'GNCP FCST'!$A$58:$O$87,H$8,FALSE)</f>
        <v>200000</v>
      </c>
      <c r="I249" s="284">
        <f>VLOOKUP($B246,'GNCP FCST'!$A$58:$O$87,I$8,FALSE)</f>
        <v>200000</v>
      </c>
      <c r="J249" s="284">
        <f>VLOOKUP($B246,'GNCP FCST'!$A$58:$O$87,J$8,FALSE)</f>
        <v>200000</v>
      </c>
      <c r="K249" s="284">
        <f>VLOOKUP($B246,'GNCP FCST'!$A$58:$O$87,K$8,FALSE)</f>
        <v>200000</v>
      </c>
      <c r="L249" s="284">
        <f>VLOOKUP($B246,'GNCP FCST'!$A$58:$O$87,L$8,FALSE)</f>
        <v>200000</v>
      </c>
      <c r="M249" s="284">
        <f>VLOOKUP($B246,'GNCP FCST'!$A$58:$O$87,M$8,FALSE)</f>
        <v>200000</v>
      </c>
      <c r="N249" s="284">
        <f>VLOOKUP($B246,'GNCP FCST'!$A$58:$O$87,N$8,FALSE)</f>
        <v>200000</v>
      </c>
      <c r="O249" s="284"/>
      <c r="P249" s="255"/>
      <c r="Q249" s="284">
        <f>MAX(C249:N249)</f>
        <v>200000</v>
      </c>
      <c r="R249" s="282"/>
      <c r="S249" s="253"/>
      <c r="T249" s="255">
        <f>VLOOKUP($B246,'GNCP FCST'!$A$58:$O$87,15,FALSE)</f>
        <v>200000</v>
      </c>
      <c r="U249" s="255">
        <f>+Q249-T249</f>
        <v>0</v>
      </c>
    </row>
    <row r="250" spans="1:21" s="260" customFormat="1">
      <c r="A250" s="253" t="str">
        <f>B246&amp;" "&amp;B250</f>
        <v>SEMINOLE AGREEMENT CP</v>
      </c>
      <c r="B250" s="254" t="s">
        <v>148</v>
      </c>
      <c r="C250" s="284">
        <f>VLOOKUP($B246,'CP FCST'!$A$58:$O$87,C$8,FALSE)</f>
        <v>195726.00947436012</v>
      </c>
      <c r="D250" s="284">
        <f>VLOOKUP($B246,'CP FCST'!$A$58:$O$87,D$8,FALSE)</f>
        <v>195726.00947436015</v>
      </c>
      <c r="E250" s="284">
        <f>VLOOKUP($B246,'CP FCST'!$A$58:$O$87,E$8,FALSE)</f>
        <v>195726.00947436018</v>
      </c>
      <c r="F250" s="284">
        <f>VLOOKUP($B246,'CP FCST'!$A$58:$O$87,F$8,FALSE)</f>
        <v>195726.00947436015</v>
      </c>
      <c r="G250" s="284">
        <f>VLOOKUP($B246,'CP FCST'!$A$58:$O$87,G$8,FALSE)</f>
        <v>195726.00947436012</v>
      </c>
      <c r="H250" s="284">
        <f>VLOOKUP($B246,'CP FCST'!$A$58:$O$87,H$8,FALSE)</f>
        <v>195726.00947436015</v>
      </c>
      <c r="I250" s="284">
        <f>VLOOKUP($B246,'CP FCST'!$A$58:$O$87,I$8,FALSE)</f>
        <v>195726.00947436015</v>
      </c>
      <c r="J250" s="284">
        <f>VLOOKUP($B246,'CP FCST'!$A$58:$O$87,J$8,FALSE)</f>
        <v>195726.00947436012</v>
      </c>
      <c r="K250" s="284">
        <f>VLOOKUP($B246,'CP FCST'!$A$58:$O$87,K$8,FALSE)</f>
        <v>195726.00947436015</v>
      </c>
      <c r="L250" s="284">
        <f>VLOOKUP($B246,'CP FCST'!$A$58:$O$87,L$8,FALSE)</f>
        <v>195726.00947436015</v>
      </c>
      <c r="M250" s="284">
        <f>VLOOKUP($B246,'CP FCST'!$A$58:$O$87,M$8,FALSE)</f>
        <v>195726.00947436012</v>
      </c>
      <c r="N250" s="284">
        <f>VLOOKUP($B246,'CP FCST'!$A$58:$O$87,N$8,FALSE)</f>
        <v>195726.00947436015</v>
      </c>
      <c r="O250" s="284"/>
      <c r="P250" s="284"/>
      <c r="Q250" s="284"/>
      <c r="R250" s="255">
        <f>AVERAGE(C250:N250)</f>
        <v>195726.00947436015</v>
      </c>
      <c r="S250" s="253"/>
      <c r="T250" s="255">
        <f>VLOOKUP($B246,'CP FCST'!$A$58:$O$87,15,FALSE)</f>
        <v>195726.00947436015</v>
      </c>
      <c r="U250" s="255">
        <f>R250-T250</f>
        <v>0</v>
      </c>
    </row>
    <row r="251" spans="1:21" s="260" customFormat="1">
      <c r="A251" s="253" t="str">
        <f>B246&amp;" "&amp;B251</f>
        <v>SEMINOLE AGREEMENT CP - L.F.</v>
      </c>
      <c r="B251" s="254" t="s">
        <v>1197</v>
      </c>
      <c r="C251" s="498">
        <f>SEMINOLE!C82</f>
        <v>9.3221988181012225E-2</v>
      </c>
      <c r="D251" s="498">
        <f>SEMINOLE!D82</f>
        <v>0.55691615275462625</v>
      </c>
      <c r="E251" s="498">
        <f>SEMINOLE!E82</f>
        <v>0.58920416839269585</v>
      </c>
      <c r="F251" s="498">
        <f>SEMINOLE!F82</f>
        <v>0.79376834754025483</v>
      </c>
      <c r="G251" s="498">
        <f>SEMINOLE!G82</f>
        <v>0.86409744182812276</v>
      </c>
      <c r="H251" s="498">
        <f>SEMINOLE!H82</f>
        <v>0.80558333322463282</v>
      </c>
      <c r="I251" s="498">
        <f>SEMINOLE!I82</f>
        <v>0.79642136864036017</v>
      </c>
      <c r="J251" s="498">
        <f>SEMINOLE!J82</f>
        <v>0.99059092413340788</v>
      </c>
      <c r="K251" s="498">
        <f>SEMINOLE!K82</f>
        <v>0.6815792041948997</v>
      </c>
      <c r="L251" s="498">
        <f>SEMINOLE!L82</f>
        <v>0.62580624552012099</v>
      </c>
      <c r="M251" s="498">
        <f>SEMINOLE!M82</f>
        <v>0.61789181889922851</v>
      </c>
      <c r="N251" s="498">
        <f>SEMINOLE!N82</f>
        <v>0.30229332742012205</v>
      </c>
      <c r="O251" s="284"/>
      <c r="P251" s="284"/>
      <c r="Q251" s="284"/>
      <c r="R251" s="255"/>
      <c r="S251" s="253"/>
      <c r="T251" s="255"/>
      <c r="U251" s="255"/>
    </row>
    <row r="252" spans="1:21" s="260" customFormat="1">
      <c r="A252" s="253" t="str">
        <f>B246&amp;" "&amp;B252</f>
        <v>SEMINOLE AGREEMENT GCP - L.F.</v>
      </c>
      <c r="B252" s="254" t="s">
        <v>1198</v>
      </c>
      <c r="C252" s="498">
        <f>SEMINOLE!C83</f>
        <v>9.1229838709677422E-2</v>
      </c>
      <c r="D252" s="498">
        <f>SEMINOLE!D83</f>
        <v>0.54501488095238093</v>
      </c>
      <c r="E252" s="498">
        <f>SEMINOLE!E83</f>
        <v>0.57661290322580649</v>
      </c>
      <c r="F252" s="498">
        <f>SEMINOLE!F83</f>
        <v>0.77680555555555564</v>
      </c>
      <c r="G252" s="498">
        <f>SEMINOLE!G83</f>
        <v>0.84563172043010748</v>
      </c>
      <c r="H252" s="498">
        <f>SEMINOLE!H83</f>
        <v>0.78836805555555567</v>
      </c>
      <c r="I252" s="498">
        <f>SEMINOLE!I83</f>
        <v>0.77940188172043012</v>
      </c>
      <c r="J252" s="498">
        <f>SEMINOLE!J83</f>
        <v>0.96942204301075263</v>
      </c>
      <c r="K252" s="498">
        <f>SEMINOLE!K83</f>
        <v>0.66701388888888891</v>
      </c>
      <c r="L252" s="498">
        <f>SEMINOLE!L83</f>
        <v>0.61243279569892473</v>
      </c>
      <c r="M252" s="498">
        <f>SEMINOLE!M83</f>
        <v>0.60468750000000004</v>
      </c>
      <c r="N252" s="498">
        <f>SEMINOLE!N83</f>
        <v>0.29583333333333334</v>
      </c>
      <c r="O252" s="284"/>
      <c r="P252" s="284"/>
      <c r="Q252" s="284"/>
      <c r="R252" s="255"/>
      <c r="S252" s="253"/>
      <c r="T252" s="255"/>
      <c r="U252" s="255"/>
    </row>
    <row r="253" spans="1:21" s="260" customFormat="1">
      <c r="A253" s="253" t="str">
        <f>B246&amp;" "&amp;B253</f>
        <v>SEMINOLE AGREEMENT NCP - L.F.</v>
      </c>
      <c r="B253" s="254" t="s">
        <v>1199</v>
      </c>
      <c r="C253" s="498">
        <f>SEMINOLE!C84</f>
        <v>9.1229838709677422E-2</v>
      </c>
      <c r="D253" s="498">
        <f>SEMINOLE!D84</f>
        <v>0.54501488095238093</v>
      </c>
      <c r="E253" s="498">
        <f>SEMINOLE!E84</f>
        <v>0.57661290322580649</v>
      </c>
      <c r="F253" s="498">
        <f>SEMINOLE!F84</f>
        <v>0.77680555555555564</v>
      </c>
      <c r="G253" s="498">
        <f>SEMINOLE!G84</f>
        <v>0.84563172043010748</v>
      </c>
      <c r="H253" s="498">
        <f>SEMINOLE!H84</f>
        <v>0.78836805555555567</v>
      </c>
      <c r="I253" s="498">
        <f>SEMINOLE!I84</f>
        <v>0.77940188172043012</v>
      </c>
      <c r="J253" s="498">
        <f>SEMINOLE!J84</f>
        <v>0.96942204301075263</v>
      </c>
      <c r="K253" s="498">
        <f>SEMINOLE!K84</f>
        <v>0.66701388888888891</v>
      </c>
      <c r="L253" s="498">
        <f>SEMINOLE!L84</f>
        <v>0.61243279569892473</v>
      </c>
      <c r="M253" s="498">
        <f>SEMINOLE!M84</f>
        <v>0.60468750000000004</v>
      </c>
      <c r="N253" s="498">
        <f>SEMINOLE!N84</f>
        <v>0.29583333333333334</v>
      </c>
      <c r="O253" s="284"/>
      <c r="P253" s="284"/>
      <c r="Q253" s="284"/>
      <c r="R253" s="255"/>
      <c r="S253" s="253"/>
      <c r="T253" s="255"/>
      <c r="U253" s="255"/>
    </row>
    <row r="254" spans="1:21" s="260" customFormat="1">
      <c r="B254" s="254" t="s">
        <v>570</v>
      </c>
      <c r="C254" s="285" t="str">
        <f t="shared" ref="C254:N254" si="23">IF(C250&gt;C249,"ERROR",IF(C249&gt;C248,"ERROR","OK"))</f>
        <v>OK</v>
      </c>
      <c r="D254" s="285" t="str">
        <f t="shared" si="23"/>
        <v>OK</v>
      </c>
      <c r="E254" s="285" t="str">
        <f t="shared" si="23"/>
        <v>OK</v>
      </c>
      <c r="F254" s="285" t="str">
        <f t="shared" si="23"/>
        <v>OK</v>
      </c>
      <c r="G254" s="285" t="str">
        <f t="shared" si="23"/>
        <v>OK</v>
      </c>
      <c r="H254" s="285" t="str">
        <f t="shared" si="23"/>
        <v>OK</v>
      </c>
      <c r="I254" s="285" t="str">
        <f t="shared" si="23"/>
        <v>OK</v>
      </c>
      <c r="J254" s="285" t="str">
        <f t="shared" si="23"/>
        <v>OK</v>
      </c>
      <c r="K254" s="285" t="str">
        <f t="shared" si="23"/>
        <v>OK</v>
      </c>
      <c r="L254" s="285" t="str">
        <f t="shared" si="23"/>
        <v>OK</v>
      </c>
      <c r="M254" s="285" t="str">
        <f t="shared" si="23"/>
        <v>OK</v>
      </c>
      <c r="N254" s="285" t="str">
        <f t="shared" si="23"/>
        <v>OK</v>
      </c>
      <c r="O254" s="284"/>
      <c r="P254" s="284"/>
      <c r="Q254" s="284"/>
      <c r="R254" s="255"/>
      <c r="S254" s="253"/>
      <c r="T254" s="255"/>
      <c r="U254" s="255"/>
    </row>
    <row r="255" spans="1:21">
      <c r="B255" s="254"/>
      <c r="C255" s="284"/>
      <c r="D255" s="284"/>
      <c r="E255" s="284"/>
      <c r="F255" s="284"/>
      <c r="G255" s="284"/>
      <c r="H255" s="284"/>
      <c r="I255" s="284"/>
      <c r="J255" s="284"/>
      <c r="K255" s="284"/>
      <c r="L255" s="284"/>
      <c r="M255" s="284"/>
      <c r="N255" s="284"/>
      <c r="O255" s="284"/>
      <c r="P255" s="284"/>
      <c r="Q255" s="284"/>
      <c r="R255" s="255"/>
    </row>
    <row r="256" spans="1:21" s="263" customFormat="1">
      <c r="B256" s="252" t="s">
        <v>724</v>
      </c>
      <c r="C256" s="255"/>
      <c r="D256" s="255"/>
      <c r="E256" s="255"/>
      <c r="F256" s="255"/>
      <c r="G256" s="255"/>
      <c r="H256" s="255"/>
      <c r="I256" s="255"/>
      <c r="J256" s="255"/>
      <c r="K256" s="255"/>
      <c r="L256" s="255"/>
      <c r="M256" s="255"/>
      <c r="N256" s="255"/>
      <c r="O256" s="284"/>
      <c r="P256" s="284"/>
      <c r="Q256" s="284"/>
      <c r="R256" s="282"/>
      <c r="S256" s="260"/>
      <c r="T256" s="261"/>
      <c r="U256" s="261"/>
    </row>
    <row r="257" spans="1:21" s="263" customFormat="1">
      <c r="A257" s="253" t="str">
        <f>B256&amp;" "&amp;B257</f>
        <v>WAUCHULA KWH Sales</v>
      </c>
      <c r="B257" s="254" t="s">
        <v>563</v>
      </c>
      <c r="C257" s="284">
        <f>VLOOKUP($B256,'KWH FCST'!$A$58:$O$87,C$8,FALSE)</f>
        <v>4479042.2992308391</v>
      </c>
      <c r="D257" s="284">
        <f>VLOOKUP($B256,'KWH FCST'!$A$58:$O$87,D$8,FALSE)</f>
        <v>0</v>
      </c>
      <c r="E257" s="284">
        <f>VLOOKUP($B256,'KWH FCST'!$A$58:$O$87,E$8,FALSE)</f>
        <v>0</v>
      </c>
      <c r="F257" s="284">
        <f>VLOOKUP($B256,'KWH FCST'!$A$58:$O$87,F$8,FALSE)</f>
        <v>0</v>
      </c>
      <c r="G257" s="284">
        <f>VLOOKUP($B256,'KWH FCST'!$A$58:$O$87,G$8,FALSE)</f>
        <v>0</v>
      </c>
      <c r="H257" s="284">
        <f>VLOOKUP($B256,'KWH FCST'!$A$58:$O$87,H$8,FALSE)</f>
        <v>0</v>
      </c>
      <c r="I257" s="284">
        <f>VLOOKUP($B256,'KWH FCST'!$A$58:$O$87,I$8,FALSE)</f>
        <v>0</v>
      </c>
      <c r="J257" s="284">
        <f>VLOOKUP($B256,'KWH FCST'!$A$58:$O$87,J$8,FALSE)</f>
        <v>0</v>
      </c>
      <c r="K257" s="284">
        <f>VLOOKUP($B256,'KWH FCST'!$A$58:$O$87,K$8,FALSE)</f>
        <v>0</v>
      </c>
      <c r="L257" s="284">
        <f>VLOOKUP($B256,'KWH FCST'!$A$58:$O$87,L$8,FALSE)</f>
        <v>0</v>
      </c>
      <c r="M257" s="284">
        <f>VLOOKUP($B256,'KWH FCST'!$A$58:$O$87,M$8,FALSE)</f>
        <v>0</v>
      </c>
      <c r="N257" s="284">
        <f>VLOOKUP($B256,'KWH FCST'!$A$58:$O$87,N$8,FALSE)</f>
        <v>0</v>
      </c>
      <c r="O257" s="284">
        <f>SUM(C257:N257)</f>
        <v>4479042.2992308391</v>
      </c>
      <c r="P257" s="284"/>
      <c r="Q257" s="284"/>
      <c r="R257" s="282"/>
      <c r="S257" s="253"/>
      <c r="T257" s="296">
        <f>VLOOKUP($B256,'KWH FCST'!$A$58:$O$87,14,FALSE)</f>
        <v>4479042.2992308391</v>
      </c>
      <c r="U257" s="255">
        <f>+O257-T257</f>
        <v>0</v>
      </c>
    </row>
    <row r="258" spans="1:21" s="263" customFormat="1">
      <c r="A258" s="253" t="str">
        <f>B256&amp;" "&amp;B258</f>
        <v>WAUCHULA NCP</v>
      </c>
      <c r="B258" s="254" t="s">
        <v>133</v>
      </c>
      <c r="C258" s="284">
        <f>VLOOKUP($B256,'NCP FCST'!$A$58:$O$87,C$8,FALSE)</f>
        <v>0</v>
      </c>
      <c r="D258" s="284">
        <f>VLOOKUP($B256,'NCP FCST'!$A$58:$O$87,D$8,FALSE)</f>
        <v>0</v>
      </c>
      <c r="E258" s="284">
        <f>VLOOKUP($B256,'NCP FCST'!$A$58:$O$87,E$8,FALSE)</f>
        <v>0</v>
      </c>
      <c r="F258" s="284">
        <f>VLOOKUP($B256,'NCP FCST'!$A$58:$O$87,F$8,FALSE)</f>
        <v>0</v>
      </c>
      <c r="G258" s="284">
        <f>VLOOKUP($B256,'NCP FCST'!$A$58:$O$87,G$8,FALSE)</f>
        <v>0</v>
      </c>
      <c r="H258" s="284">
        <f>VLOOKUP($B256,'NCP FCST'!$A$58:$O$87,H$8,FALSE)</f>
        <v>0</v>
      </c>
      <c r="I258" s="284">
        <f>VLOOKUP($B256,'NCP FCST'!$A$58:$O$87,I$8,FALSE)</f>
        <v>0</v>
      </c>
      <c r="J258" s="284">
        <f>VLOOKUP($B256,'NCP FCST'!$A$58:$O$87,J$8,FALSE)</f>
        <v>0</v>
      </c>
      <c r="K258" s="284">
        <f>VLOOKUP($B256,'NCP FCST'!$A$58:$O$87,K$8,FALSE)</f>
        <v>0</v>
      </c>
      <c r="L258" s="284">
        <f>VLOOKUP($B256,'NCP FCST'!$A$58:$O$87,L$8,FALSE)</f>
        <v>0</v>
      </c>
      <c r="M258" s="284">
        <f>VLOOKUP($B256,'NCP FCST'!$A$58:$O$87,M$8,FALSE)</f>
        <v>0</v>
      </c>
      <c r="N258" s="284">
        <f>VLOOKUP($B256,'NCP FCST'!$A$58:$O$87,N$8,FALSE)</f>
        <v>0</v>
      </c>
      <c r="O258" s="284"/>
      <c r="P258" s="284">
        <f>MAX(C258:N258)</f>
        <v>0</v>
      </c>
      <c r="Q258" s="284"/>
      <c r="R258" s="282"/>
      <c r="S258" s="253"/>
      <c r="T258" s="255">
        <f>VLOOKUP($B256,'NCP FCST'!$A$58:$O$87,15,FALSE)</f>
        <v>0</v>
      </c>
      <c r="U258" s="255">
        <f>P258-T258</f>
        <v>0</v>
      </c>
    </row>
    <row r="259" spans="1:21" s="263" customFormat="1">
      <c r="A259" s="253" t="str">
        <f>B256&amp;" "&amp;B259</f>
        <v>WAUCHULA GNCP</v>
      </c>
      <c r="B259" s="254" t="s">
        <v>342</v>
      </c>
      <c r="C259" s="284">
        <f>VLOOKUP($B256,'GNCP FCST'!$A$58:$O$87,C$8,FALSE)</f>
        <v>0</v>
      </c>
      <c r="D259" s="284">
        <f>VLOOKUP($B256,'GNCP FCST'!$A$58:$O$87,D$8,FALSE)</f>
        <v>0</v>
      </c>
      <c r="E259" s="284">
        <f>VLOOKUP($B256,'GNCP FCST'!$A$58:$O$87,E$8,FALSE)</f>
        <v>0</v>
      </c>
      <c r="F259" s="284">
        <f>VLOOKUP($B256,'GNCP FCST'!$A$58:$O$87,F$8,FALSE)</f>
        <v>0</v>
      </c>
      <c r="G259" s="284">
        <f>VLOOKUP($B256,'GNCP FCST'!$A$58:$O$87,G$8,FALSE)</f>
        <v>0</v>
      </c>
      <c r="H259" s="284">
        <f>VLOOKUP($B256,'GNCP FCST'!$A$58:$O$87,H$8,FALSE)</f>
        <v>0</v>
      </c>
      <c r="I259" s="284">
        <f>VLOOKUP($B256,'GNCP FCST'!$A$58:$O$87,I$8,FALSE)</f>
        <v>0</v>
      </c>
      <c r="J259" s="284">
        <f>VLOOKUP($B256,'GNCP FCST'!$A$58:$O$87,J$8,FALSE)</f>
        <v>0</v>
      </c>
      <c r="K259" s="284">
        <f>VLOOKUP($B256,'GNCP FCST'!$A$58:$O$87,K$8,FALSE)</f>
        <v>0</v>
      </c>
      <c r="L259" s="284">
        <f>VLOOKUP($B256,'GNCP FCST'!$A$58:$O$87,L$8,FALSE)</f>
        <v>0</v>
      </c>
      <c r="M259" s="284">
        <f>VLOOKUP($B256,'GNCP FCST'!$A$58:$O$87,M$8,FALSE)</f>
        <v>0</v>
      </c>
      <c r="N259" s="284">
        <f>VLOOKUP($B256,'GNCP FCST'!$A$58:$O$87,N$8,FALSE)</f>
        <v>0</v>
      </c>
      <c r="O259" s="284"/>
      <c r="P259" s="255"/>
      <c r="Q259" s="284">
        <f>MAX(C259:N259)</f>
        <v>0</v>
      </c>
      <c r="R259" s="282"/>
      <c r="S259" s="253"/>
      <c r="T259" s="255">
        <f>VLOOKUP($B256,'GNCP FCST'!$A$58:$O$87,15,FALSE)</f>
        <v>0</v>
      </c>
      <c r="U259" s="255">
        <f>+Q259-T259</f>
        <v>0</v>
      </c>
    </row>
    <row r="260" spans="1:21" s="263" customFormat="1">
      <c r="A260" s="253" t="str">
        <f>B256&amp;" "&amp;B260</f>
        <v>WAUCHULA CP</v>
      </c>
      <c r="B260" s="254" t="s">
        <v>148</v>
      </c>
      <c r="C260" s="284">
        <f>VLOOKUP($B256,'CP FCST'!$A$58:$O$87,C$8,FALSE)</f>
        <v>0</v>
      </c>
      <c r="D260" s="284">
        <f>VLOOKUP($B256,'CP FCST'!$A$58:$O$87,D$8,FALSE)</f>
        <v>0</v>
      </c>
      <c r="E260" s="284">
        <f>VLOOKUP($B256,'CP FCST'!$A$58:$O$87,E$8,FALSE)</f>
        <v>0</v>
      </c>
      <c r="F260" s="284">
        <f>VLOOKUP($B256,'CP FCST'!$A$58:$O$87,F$8,FALSE)</f>
        <v>0</v>
      </c>
      <c r="G260" s="284">
        <f>VLOOKUP($B256,'CP FCST'!$A$58:$O$87,G$8,FALSE)</f>
        <v>0</v>
      </c>
      <c r="H260" s="284">
        <f>VLOOKUP($B256,'CP FCST'!$A$58:$O$87,H$8,FALSE)</f>
        <v>0</v>
      </c>
      <c r="I260" s="284">
        <f>VLOOKUP($B256,'CP FCST'!$A$58:$O$87,I$8,FALSE)</f>
        <v>0</v>
      </c>
      <c r="J260" s="284">
        <f>VLOOKUP($B256,'CP FCST'!$A$58:$O$87,J$8,FALSE)</f>
        <v>0</v>
      </c>
      <c r="K260" s="284">
        <f>VLOOKUP($B256,'CP FCST'!$A$58:$O$87,K$8,FALSE)</f>
        <v>0</v>
      </c>
      <c r="L260" s="284">
        <f>VLOOKUP($B256,'CP FCST'!$A$58:$O$87,L$8,FALSE)</f>
        <v>0</v>
      </c>
      <c r="M260" s="284">
        <f>VLOOKUP($B256,'CP FCST'!$A$58:$O$87,M$8,FALSE)</f>
        <v>0</v>
      </c>
      <c r="N260" s="284">
        <f>VLOOKUP($B256,'CP FCST'!$A$58:$O$87,N$8,FALSE)</f>
        <v>0</v>
      </c>
      <c r="O260" s="284"/>
      <c r="P260" s="284"/>
      <c r="Q260" s="284"/>
      <c r="R260" s="255">
        <f>AVERAGE(C260:N260)</f>
        <v>0</v>
      </c>
      <c r="S260" s="253"/>
      <c r="T260" s="255">
        <f>VLOOKUP($B256,'CP FCST'!$A$58:$O$87,15,FALSE)</f>
        <v>0</v>
      </c>
      <c r="U260" s="255">
        <f>R260-T260</f>
        <v>0</v>
      </c>
    </row>
    <row r="261" spans="1:21" s="263" customFormat="1">
      <c r="A261" s="253" t="str">
        <f>B256&amp;" "&amp;B261</f>
        <v>WAUCHULA CP - L.F.</v>
      </c>
      <c r="B261" s="254" t="s">
        <v>1197</v>
      </c>
      <c r="C261" s="498">
        <f>WAUCHULA!C76</f>
        <v>0</v>
      </c>
      <c r="D261" s="498">
        <f>WAUCHULA!D76</f>
        <v>0</v>
      </c>
      <c r="E261" s="498">
        <f>WAUCHULA!E76</f>
        <v>0</v>
      </c>
      <c r="F261" s="498">
        <f>WAUCHULA!F76</f>
        <v>0</v>
      </c>
      <c r="G261" s="498">
        <f>WAUCHULA!G76</f>
        <v>0</v>
      </c>
      <c r="H261" s="498">
        <f>WAUCHULA!H76</f>
        <v>0</v>
      </c>
      <c r="I261" s="498">
        <f>WAUCHULA!I76</f>
        <v>0</v>
      </c>
      <c r="J261" s="498">
        <f>WAUCHULA!J76</f>
        <v>0</v>
      </c>
      <c r="K261" s="498">
        <f>WAUCHULA!K76</f>
        <v>0</v>
      </c>
      <c r="L261" s="498">
        <f>WAUCHULA!L76</f>
        <v>0</v>
      </c>
      <c r="M261" s="498">
        <f>WAUCHULA!M76</f>
        <v>0</v>
      </c>
      <c r="N261" s="498">
        <f>WAUCHULA!N76</f>
        <v>0</v>
      </c>
      <c r="O261" s="284"/>
      <c r="P261" s="284"/>
      <c r="Q261" s="284"/>
      <c r="R261" s="255"/>
      <c r="S261" s="253"/>
      <c r="T261" s="255"/>
      <c r="U261" s="255"/>
    </row>
    <row r="262" spans="1:21" s="263" customFormat="1">
      <c r="A262" s="253" t="str">
        <f>B256&amp;" "&amp;B262</f>
        <v>WAUCHULA GCP - L.F.</v>
      </c>
      <c r="B262" s="254" t="s">
        <v>1198</v>
      </c>
      <c r="C262" s="498">
        <f>WAUCHULA!C77</f>
        <v>0</v>
      </c>
      <c r="D262" s="498">
        <f>WAUCHULA!D77</f>
        <v>0</v>
      </c>
      <c r="E262" s="498">
        <f>WAUCHULA!E77</f>
        <v>0</v>
      </c>
      <c r="F262" s="498">
        <f>WAUCHULA!F77</f>
        <v>0</v>
      </c>
      <c r="G262" s="498">
        <f>WAUCHULA!G77</f>
        <v>0</v>
      </c>
      <c r="H262" s="498">
        <f>WAUCHULA!H77</f>
        <v>0</v>
      </c>
      <c r="I262" s="498">
        <f>WAUCHULA!I77</f>
        <v>0</v>
      </c>
      <c r="J262" s="498">
        <f>WAUCHULA!J77</f>
        <v>0</v>
      </c>
      <c r="K262" s="498">
        <f>WAUCHULA!K77</f>
        <v>0</v>
      </c>
      <c r="L262" s="498">
        <f>WAUCHULA!L77</f>
        <v>0</v>
      </c>
      <c r="M262" s="498">
        <f>WAUCHULA!M77</f>
        <v>0</v>
      </c>
      <c r="N262" s="498">
        <f>WAUCHULA!N77</f>
        <v>0</v>
      </c>
      <c r="O262" s="284"/>
      <c r="P262" s="284"/>
      <c r="Q262" s="284"/>
      <c r="R262" s="255"/>
      <c r="S262" s="253"/>
      <c r="T262" s="255"/>
      <c r="U262" s="255"/>
    </row>
    <row r="263" spans="1:21" s="263" customFormat="1">
      <c r="A263" s="253" t="str">
        <f>B256&amp;" "&amp;B263</f>
        <v>WAUCHULA NCP - L.F.</v>
      </c>
      <c r="B263" s="254" t="s">
        <v>1199</v>
      </c>
      <c r="C263" s="498">
        <f>WAUCHULA!C78</f>
        <v>0</v>
      </c>
      <c r="D263" s="498">
        <f>WAUCHULA!D78</f>
        <v>0</v>
      </c>
      <c r="E263" s="498">
        <f>WAUCHULA!E78</f>
        <v>0</v>
      </c>
      <c r="F263" s="498">
        <f>WAUCHULA!F78</f>
        <v>0</v>
      </c>
      <c r="G263" s="498">
        <f>WAUCHULA!G78</f>
        <v>0</v>
      </c>
      <c r="H263" s="498">
        <f>WAUCHULA!H78</f>
        <v>0</v>
      </c>
      <c r="I263" s="498">
        <f>WAUCHULA!I78</f>
        <v>0</v>
      </c>
      <c r="J263" s="498">
        <f>WAUCHULA!J78</f>
        <v>0</v>
      </c>
      <c r="K263" s="498">
        <f>WAUCHULA!K78</f>
        <v>0</v>
      </c>
      <c r="L263" s="498">
        <f>WAUCHULA!L78</f>
        <v>0</v>
      </c>
      <c r="M263" s="498">
        <f>WAUCHULA!M78</f>
        <v>0</v>
      </c>
      <c r="N263" s="498">
        <f>WAUCHULA!N78</f>
        <v>0</v>
      </c>
      <c r="O263" s="284"/>
      <c r="P263" s="284"/>
      <c r="Q263" s="284"/>
      <c r="R263" s="255"/>
      <c r="S263" s="253"/>
      <c r="T263" s="255"/>
      <c r="U263" s="255"/>
    </row>
    <row r="264" spans="1:21" s="263" customFormat="1">
      <c r="B264" s="254" t="s">
        <v>570</v>
      </c>
      <c r="C264" s="285" t="str">
        <f t="shared" ref="C264:N264" si="24">IF(C260&gt;C259,"ERROR",IF(C259&gt;C258,"ERROR","OK"))</f>
        <v>OK</v>
      </c>
      <c r="D264" s="285" t="str">
        <f t="shared" si="24"/>
        <v>OK</v>
      </c>
      <c r="E264" s="285" t="str">
        <f t="shared" si="24"/>
        <v>OK</v>
      </c>
      <c r="F264" s="285" t="str">
        <f t="shared" si="24"/>
        <v>OK</v>
      </c>
      <c r="G264" s="285" t="str">
        <f t="shared" si="24"/>
        <v>OK</v>
      </c>
      <c r="H264" s="285" t="str">
        <f t="shared" si="24"/>
        <v>OK</v>
      </c>
      <c r="I264" s="285" t="str">
        <f t="shared" si="24"/>
        <v>OK</v>
      </c>
      <c r="J264" s="285" t="str">
        <f t="shared" si="24"/>
        <v>OK</v>
      </c>
      <c r="K264" s="285" t="str">
        <f t="shared" si="24"/>
        <v>OK</v>
      </c>
      <c r="L264" s="285" t="str">
        <f t="shared" si="24"/>
        <v>OK</v>
      </c>
      <c r="M264" s="285" t="str">
        <f t="shared" si="24"/>
        <v>OK</v>
      </c>
      <c r="N264" s="285" t="str">
        <f t="shared" si="24"/>
        <v>OK</v>
      </c>
      <c r="O264" s="284"/>
      <c r="P264" s="284"/>
      <c r="Q264" s="284"/>
      <c r="R264" s="255"/>
      <c r="S264" s="253"/>
      <c r="T264" s="255"/>
      <c r="U264" s="255"/>
    </row>
    <row r="265" spans="1:21" s="263" customFormat="1">
      <c r="B265" s="254"/>
      <c r="C265" s="284"/>
      <c r="D265" s="284"/>
      <c r="E265" s="284"/>
      <c r="F265" s="284"/>
      <c r="G265" s="284"/>
      <c r="H265" s="284"/>
      <c r="I265" s="284"/>
      <c r="J265" s="284"/>
      <c r="K265" s="284"/>
      <c r="L265" s="284"/>
      <c r="M265" s="284"/>
      <c r="N265" s="284"/>
      <c r="O265" s="284"/>
      <c r="P265" s="284"/>
      <c r="Q265" s="284"/>
      <c r="R265" s="255"/>
      <c r="S265" s="253"/>
      <c r="T265" s="255"/>
      <c r="U265" s="255"/>
    </row>
    <row r="266" spans="1:21" s="263" customFormat="1">
      <c r="B266" s="252" t="s">
        <v>986</v>
      </c>
      <c r="C266" s="255"/>
      <c r="D266" s="255"/>
      <c r="E266" s="255"/>
      <c r="F266" s="255"/>
      <c r="G266" s="255"/>
      <c r="H266" s="255"/>
      <c r="I266" s="255"/>
      <c r="J266" s="255"/>
      <c r="K266" s="255"/>
      <c r="L266" s="255"/>
      <c r="M266" s="255"/>
      <c r="N266" s="255"/>
      <c r="O266" s="284"/>
      <c r="P266" s="284"/>
      <c r="Q266" s="284"/>
      <c r="R266" s="282"/>
      <c r="S266" s="260"/>
      <c r="T266" s="261"/>
      <c r="U266" s="261"/>
    </row>
    <row r="267" spans="1:21" s="263" customFormat="1">
      <c r="A267" s="253" t="str">
        <f>B266&amp;" "&amp;B267</f>
        <v>WINTER PARK KWH Sales</v>
      </c>
      <c r="B267" s="254" t="s">
        <v>563</v>
      </c>
      <c r="C267" s="284">
        <f>VLOOKUP($B266,'KWH FCST'!$A$58:$O$87,C$8,FALSE)</f>
        <v>18631660.261500016</v>
      </c>
      <c r="D267" s="284">
        <f>VLOOKUP($B266,'KWH FCST'!$A$58:$O$87,D$8,FALSE)</f>
        <v>240000</v>
      </c>
      <c r="E267" s="284">
        <f>VLOOKUP($B266,'KWH FCST'!$A$58:$O$87,E$8,FALSE)</f>
        <v>0</v>
      </c>
      <c r="F267" s="284">
        <f>VLOOKUP($B266,'KWH FCST'!$A$58:$O$87,F$8,FALSE)</f>
        <v>0</v>
      </c>
      <c r="G267" s="284">
        <f>VLOOKUP($B266,'KWH FCST'!$A$58:$O$87,G$8,FALSE)</f>
        <v>0</v>
      </c>
      <c r="H267" s="284">
        <f>VLOOKUP($B266,'KWH FCST'!$A$58:$O$87,H$8,FALSE)</f>
        <v>0</v>
      </c>
      <c r="I267" s="284">
        <f>VLOOKUP($B266,'KWH FCST'!$A$58:$O$87,I$8,FALSE)</f>
        <v>0</v>
      </c>
      <c r="J267" s="284">
        <f>VLOOKUP($B266,'KWH FCST'!$A$58:$O$87,J$8,FALSE)</f>
        <v>0</v>
      </c>
      <c r="K267" s="284">
        <f>VLOOKUP($B266,'KWH FCST'!$A$58:$O$87,K$8,FALSE)</f>
        <v>240000</v>
      </c>
      <c r="L267" s="284">
        <f>VLOOKUP($B266,'KWH FCST'!$A$58:$O$87,L$8,FALSE)</f>
        <v>0</v>
      </c>
      <c r="M267" s="284">
        <f>VLOOKUP($B266,'KWH FCST'!$A$58:$O$87,M$8,FALSE)</f>
        <v>0</v>
      </c>
      <c r="N267" s="284">
        <f>VLOOKUP($B266,'KWH FCST'!$A$58:$O$87,N$8,FALSE)</f>
        <v>0</v>
      </c>
      <c r="O267" s="284">
        <f>SUM(C267:N267)</f>
        <v>19111660.261500016</v>
      </c>
      <c r="P267" s="284"/>
      <c r="Q267" s="284"/>
      <c r="R267" s="282"/>
      <c r="S267" s="253"/>
      <c r="T267" s="296">
        <f>VLOOKUP($B266,'KWH FCST'!$A$58:$O$87,14,FALSE)</f>
        <v>19111660.261500016</v>
      </c>
      <c r="U267" s="255">
        <f>+O267-T267</f>
        <v>0</v>
      </c>
    </row>
    <row r="268" spans="1:21" s="263" customFormat="1">
      <c r="A268" s="253" t="str">
        <f>B266&amp;" "&amp;B268</f>
        <v>WINTER PARK NCP</v>
      </c>
      <c r="B268" s="254" t="s">
        <v>133</v>
      </c>
      <c r="C268" s="284">
        <f>VLOOKUP($B266,'NCP FCST'!$A$58:$O$87,C$8,FALSE)</f>
        <v>60000</v>
      </c>
      <c r="D268" s="284">
        <f>VLOOKUP($B266,'NCP FCST'!$A$58:$O$87,D$8,FALSE)</f>
        <v>0</v>
      </c>
      <c r="E268" s="284">
        <f>VLOOKUP($B266,'NCP FCST'!$A$58:$O$87,E$8,FALSE)</f>
        <v>0</v>
      </c>
      <c r="F268" s="284">
        <f>VLOOKUP($B266,'NCP FCST'!$A$58:$O$87,F$8,FALSE)</f>
        <v>0</v>
      </c>
      <c r="G268" s="284">
        <f>VLOOKUP($B266,'NCP FCST'!$A$58:$O$87,G$8,FALSE)</f>
        <v>0</v>
      </c>
      <c r="H268" s="284">
        <f>VLOOKUP($B266,'NCP FCST'!$A$58:$O$87,H$8,FALSE)</f>
        <v>0</v>
      </c>
      <c r="I268" s="284">
        <f>VLOOKUP($B266,'NCP FCST'!$A$58:$O$87,I$8,FALSE)</f>
        <v>0</v>
      </c>
      <c r="J268" s="284">
        <f>VLOOKUP($B266,'NCP FCST'!$A$58:$O$87,J$8,FALSE)</f>
        <v>60000</v>
      </c>
      <c r="K268" s="284">
        <f>VLOOKUP($B266,'NCP FCST'!$A$58:$O$87,K$8,FALSE)</f>
        <v>0</v>
      </c>
      <c r="L268" s="284">
        <f>VLOOKUP($B266,'NCP FCST'!$A$58:$O$87,L$8,FALSE)</f>
        <v>0</v>
      </c>
      <c r="M268" s="284">
        <f>VLOOKUP($B266,'NCP FCST'!$A$58:$O$87,M$8,FALSE)</f>
        <v>0</v>
      </c>
      <c r="N268" s="284">
        <f>VLOOKUP($B266,'NCP FCST'!$A$58:$O$87,N$8,FALSE)</f>
        <v>0</v>
      </c>
      <c r="O268" s="284"/>
      <c r="P268" s="284">
        <f>MAX(C268:N268)</f>
        <v>60000</v>
      </c>
      <c r="Q268" s="284"/>
      <c r="R268" s="282"/>
      <c r="S268" s="253"/>
      <c r="T268" s="255">
        <f>VLOOKUP($B266,'NCP FCST'!$A$58:$O$87,15,FALSE)</f>
        <v>60000</v>
      </c>
      <c r="U268" s="255">
        <f>P268-T268</f>
        <v>0</v>
      </c>
    </row>
    <row r="269" spans="1:21" s="263" customFormat="1">
      <c r="A269" s="253" t="str">
        <f>B266&amp;" "&amp;B269</f>
        <v>WINTER PARK GNCP</v>
      </c>
      <c r="B269" s="254" t="s">
        <v>342</v>
      </c>
      <c r="C269" s="284">
        <f>VLOOKUP($B266,'GNCP FCST'!$A$58:$O$87,C$8,FALSE)</f>
        <v>60000</v>
      </c>
      <c r="D269" s="284">
        <f>VLOOKUP($B266,'GNCP FCST'!$A$58:$O$87,D$8,FALSE)</f>
        <v>0</v>
      </c>
      <c r="E269" s="284">
        <f>VLOOKUP($B266,'GNCP FCST'!$A$58:$O$87,E$8,FALSE)</f>
        <v>0</v>
      </c>
      <c r="F269" s="284">
        <f>VLOOKUP($B266,'GNCP FCST'!$A$58:$O$87,F$8,FALSE)</f>
        <v>0</v>
      </c>
      <c r="G269" s="284">
        <f>VLOOKUP($B266,'GNCP FCST'!$A$58:$O$87,G$8,FALSE)</f>
        <v>0</v>
      </c>
      <c r="H269" s="284">
        <f>VLOOKUP($B266,'GNCP FCST'!$A$58:$O$87,H$8,FALSE)</f>
        <v>0</v>
      </c>
      <c r="I269" s="284">
        <f>VLOOKUP($B266,'GNCP FCST'!$A$58:$O$87,I$8,FALSE)</f>
        <v>0</v>
      </c>
      <c r="J269" s="284">
        <f>VLOOKUP($B266,'GNCP FCST'!$A$58:$O$87,J$8,FALSE)</f>
        <v>60000</v>
      </c>
      <c r="K269" s="284">
        <f>VLOOKUP($B266,'GNCP FCST'!$A$58:$O$87,K$8,FALSE)</f>
        <v>0</v>
      </c>
      <c r="L269" s="284">
        <f>VLOOKUP($B266,'GNCP FCST'!$A$58:$O$87,L$8,FALSE)</f>
        <v>0</v>
      </c>
      <c r="M269" s="284">
        <f>VLOOKUP($B266,'GNCP FCST'!$A$58:$O$87,M$8,FALSE)</f>
        <v>0</v>
      </c>
      <c r="N269" s="284">
        <f>VLOOKUP($B266,'GNCP FCST'!$A$58:$O$87,N$8,FALSE)</f>
        <v>0</v>
      </c>
      <c r="O269" s="284"/>
      <c r="P269" s="255"/>
      <c r="Q269" s="284">
        <f>MAX(C269:N269)</f>
        <v>60000</v>
      </c>
      <c r="R269" s="282"/>
      <c r="S269" s="253"/>
      <c r="T269" s="255">
        <f>VLOOKUP($B266,'GNCP FCST'!$A$58:$O$87,15,FALSE)</f>
        <v>60000</v>
      </c>
      <c r="U269" s="255">
        <f>+Q269-T269</f>
        <v>0</v>
      </c>
    </row>
    <row r="270" spans="1:21" s="263" customFormat="1">
      <c r="A270" s="253" t="str">
        <f>B266&amp;" "&amp;B270</f>
        <v>WINTER PARK CP</v>
      </c>
      <c r="B270" s="254" t="s">
        <v>148</v>
      </c>
      <c r="C270" s="284">
        <f>VLOOKUP($B266,'CP FCST'!$A$58:$O$87,C$8,FALSE)</f>
        <v>58717.80284230804</v>
      </c>
      <c r="D270" s="284">
        <f>VLOOKUP($B266,'CP FCST'!$A$58:$O$87,D$8,FALSE)</f>
        <v>0</v>
      </c>
      <c r="E270" s="284">
        <f>VLOOKUP($B266,'CP FCST'!$A$58:$O$87,E$8,FALSE)</f>
        <v>0</v>
      </c>
      <c r="F270" s="284">
        <f>VLOOKUP($B266,'CP FCST'!$A$58:$O$87,F$8,FALSE)</f>
        <v>0</v>
      </c>
      <c r="G270" s="284">
        <f>VLOOKUP($B266,'CP FCST'!$A$58:$O$87,G$8,FALSE)</f>
        <v>0</v>
      </c>
      <c r="H270" s="284">
        <f>VLOOKUP($B266,'CP FCST'!$A$58:$O$87,H$8,FALSE)</f>
        <v>0</v>
      </c>
      <c r="I270" s="284">
        <f>VLOOKUP($B266,'CP FCST'!$A$58:$O$87,I$8,FALSE)</f>
        <v>0</v>
      </c>
      <c r="J270" s="284">
        <f>VLOOKUP($B266,'CP FCST'!$A$58:$O$87,J$8,FALSE)</f>
        <v>58717.80284230804</v>
      </c>
      <c r="K270" s="284">
        <f>VLOOKUP($B266,'CP FCST'!$A$58:$O$87,K$8,FALSE)</f>
        <v>0</v>
      </c>
      <c r="L270" s="284">
        <f>VLOOKUP($B266,'CP FCST'!$A$58:$O$87,L$8,FALSE)</f>
        <v>0</v>
      </c>
      <c r="M270" s="284">
        <f>VLOOKUP($B266,'CP FCST'!$A$58:$O$87,M$8,FALSE)</f>
        <v>0</v>
      </c>
      <c r="N270" s="284">
        <f>VLOOKUP($B266,'CP FCST'!$A$58:$O$87,N$8,FALSE)</f>
        <v>0</v>
      </c>
      <c r="O270" s="284"/>
      <c r="P270" s="284"/>
      <c r="Q270" s="284"/>
      <c r="R270" s="255">
        <f>AVERAGE(C270:N270)</f>
        <v>9786.3004737180072</v>
      </c>
      <c r="S270" s="253"/>
      <c r="T270" s="255">
        <f>VLOOKUP($B266,'CP FCST'!$A$58:$O$87,15,FALSE)</f>
        <v>9786.3004737180072</v>
      </c>
      <c r="U270" s="255">
        <f>R270-T270</f>
        <v>0</v>
      </c>
    </row>
    <row r="271" spans="1:21" s="263" customFormat="1">
      <c r="A271" s="253" t="str">
        <f>B266&amp;" "&amp;B271</f>
        <v>WINTER PARK CP - L.F.</v>
      </c>
      <c r="B271" s="254" t="s">
        <v>1197</v>
      </c>
      <c r="C271" s="498">
        <f>'WINTER PARK'!C82</f>
        <v>0.42648997242239151</v>
      </c>
      <c r="D271" s="498">
        <f>'WINTER PARK'!D82</f>
        <v>0</v>
      </c>
      <c r="E271" s="498">
        <f>'WINTER PARK'!E82</f>
        <v>0</v>
      </c>
      <c r="F271" s="498">
        <f>'WINTER PARK'!F82</f>
        <v>0</v>
      </c>
      <c r="G271" s="498">
        <f>'WINTER PARK'!G82</f>
        <v>0</v>
      </c>
      <c r="H271" s="498">
        <f>'WINTER PARK'!H82</f>
        <v>0</v>
      </c>
      <c r="I271" s="498">
        <f>'WINTER PARK'!I82</f>
        <v>0</v>
      </c>
      <c r="J271" s="498">
        <f>'WINTER PARK'!J82</f>
        <v>0</v>
      </c>
      <c r="K271" s="498">
        <f>'WINTER PARK'!K82</f>
        <v>0</v>
      </c>
      <c r="L271" s="498">
        <f>'WINTER PARK'!L82</f>
        <v>0</v>
      </c>
      <c r="M271" s="498">
        <f>'WINTER PARK'!M82</f>
        <v>0</v>
      </c>
      <c r="N271" s="498">
        <f>'WINTER PARK'!N82</f>
        <v>0</v>
      </c>
      <c r="O271" s="284"/>
      <c r="P271" s="284"/>
      <c r="Q271" s="284"/>
      <c r="R271" s="255"/>
      <c r="S271" s="253"/>
      <c r="T271" s="255"/>
      <c r="U271" s="255"/>
    </row>
    <row r="272" spans="1:21" s="263" customFormat="1">
      <c r="A272" s="253" t="str">
        <f>B266&amp;" "&amp;B272</f>
        <v>WINTER PARK GCP - L.F.</v>
      </c>
      <c r="B272" s="254" t="s">
        <v>1198</v>
      </c>
      <c r="C272" s="498">
        <f>'WINTER PARK'!C83</f>
        <v>0.41737590191532298</v>
      </c>
      <c r="D272" s="498">
        <f>'WINTER PARK'!D83</f>
        <v>0</v>
      </c>
      <c r="E272" s="498">
        <f>'WINTER PARK'!E83</f>
        <v>0</v>
      </c>
      <c r="F272" s="498">
        <f>'WINTER PARK'!F83</f>
        <v>0</v>
      </c>
      <c r="G272" s="498">
        <f>'WINTER PARK'!G83</f>
        <v>0</v>
      </c>
      <c r="H272" s="498">
        <f>'WINTER PARK'!H83</f>
        <v>0</v>
      </c>
      <c r="I272" s="498">
        <f>'WINTER PARK'!I83</f>
        <v>0</v>
      </c>
      <c r="J272" s="498">
        <f>'WINTER PARK'!J83</f>
        <v>0</v>
      </c>
      <c r="K272" s="498">
        <f>'WINTER PARK'!K83</f>
        <v>0</v>
      </c>
      <c r="L272" s="498">
        <f>'WINTER PARK'!L83</f>
        <v>0</v>
      </c>
      <c r="M272" s="498">
        <f>'WINTER PARK'!M83</f>
        <v>0</v>
      </c>
      <c r="N272" s="498">
        <f>'WINTER PARK'!N83</f>
        <v>0</v>
      </c>
      <c r="O272" s="284"/>
      <c r="P272" s="284"/>
      <c r="Q272" s="284"/>
      <c r="R272" s="255"/>
      <c r="S272" s="253"/>
      <c r="T272" s="255"/>
      <c r="U272" s="255"/>
    </row>
    <row r="273" spans="1:21" s="263" customFormat="1">
      <c r="A273" s="253" t="str">
        <f>B266&amp;" "&amp;B273</f>
        <v>WINTER PARK NCP - L.F.</v>
      </c>
      <c r="B273" s="254" t="s">
        <v>1199</v>
      </c>
      <c r="C273" s="498">
        <f>'WINTER PARK'!C84</f>
        <v>0.41737590191532298</v>
      </c>
      <c r="D273" s="498">
        <f>'WINTER PARK'!D84</f>
        <v>0</v>
      </c>
      <c r="E273" s="498">
        <f>'WINTER PARK'!E84</f>
        <v>0</v>
      </c>
      <c r="F273" s="498">
        <f>'WINTER PARK'!F84</f>
        <v>0</v>
      </c>
      <c r="G273" s="498">
        <f>'WINTER PARK'!G84</f>
        <v>0</v>
      </c>
      <c r="H273" s="498">
        <f>'WINTER PARK'!H84</f>
        <v>0</v>
      </c>
      <c r="I273" s="498">
        <f>'WINTER PARK'!I84</f>
        <v>0</v>
      </c>
      <c r="J273" s="498">
        <f>'WINTER PARK'!J84</f>
        <v>0</v>
      </c>
      <c r="K273" s="498">
        <f>'WINTER PARK'!K84</f>
        <v>0</v>
      </c>
      <c r="L273" s="498">
        <f>'WINTER PARK'!L84</f>
        <v>0</v>
      </c>
      <c r="M273" s="498">
        <f>'WINTER PARK'!M84</f>
        <v>0</v>
      </c>
      <c r="N273" s="498">
        <f>'WINTER PARK'!N84</f>
        <v>0</v>
      </c>
      <c r="O273" s="284"/>
      <c r="P273" s="284"/>
      <c r="Q273" s="284"/>
      <c r="R273" s="255"/>
      <c r="S273" s="253"/>
      <c r="T273" s="255"/>
      <c r="U273" s="255"/>
    </row>
    <row r="274" spans="1:21" s="263" customFormat="1">
      <c r="B274" s="254" t="s">
        <v>570</v>
      </c>
      <c r="C274" s="285" t="str">
        <f t="shared" ref="C274:N274" si="25">IF(C270&gt;C269,"ERROR",IF(C269&gt;C268,"ERROR","OK"))</f>
        <v>OK</v>
      </c>
      <c r="D274" s="285" t="str">
        <f t="shared" si="25"/>
        <v>OK</v>
      </c>
      <c r="E274" s="285" t="str">
        <f t="shared" si="25"/>
        <v>OK</v>
      </c>
      <c r="F274" s="285" t="str">
        <f t="shared" si="25"/>
        <v>OK</v>
      </c>
      <c r="G274" s="285" t="str">
        <f t="shared" si="25"/>
        <v>OK</v>
      </c>
      <c r="H274" s="285" t="str">
        <f t="shared" si="25"/>
        <v>OK</v>
      </c>
      <c r="I274" s="285" t="str">
        <f t="shared" si="25"/>
        <v>OK</v>
      </c>
      <c r="J274" s="285" t="str">
        <f t="shared" si="25"/>
        <v>OK</v>
      </c>
      <c r="K274" s="285" t="str">
        <f t="shared" si="25"/>
        <v>OK</v>
      </c>
      <c r="L274" s="285" t="str">
        <f t="shared" si="25"/>
        <v>OK</v>
      </c>
      <c r="M274" s="285" t="str">
        <f t="shared" si="25"/>
        <v>OK</v>
      </c>
      <c r="N274" s="285" t="str">
        <f t="shared" si="25"/>
        <v>OK</v>
      </c>
      <c r="O274" s="284"/>
      <c r="P274" s="284"/>
      <c r="Q274" s="284"/>
      <c r="R274" s="255"/>
      <c r="S274" s="253"/>
      <c r="T274" s="255"/>
      <c r="U274" s="255"/>
    </row>
    <row r="275" spans="1:21" s="263" customFormat="1">
      <c r="B275" s="254"/>
      <c r="C275" s="284"/>
      <c r="D275" s="284"/>
      <c r="E275" s="284"/>
      <c r="F275" s="284"/>
      <c r="G275" s="284"/>
      <c r="H275" s="284"/>
      <c r="I275" s="284"/>
      <c r="J275" s="284"/>
      <c r="K275" s="284"/>
      <c r="L275" s="284"/>
      <c r="M275" s="284"/>
      <c r="N275" s="284"/>
      <c r="O275" s="284"/>
      <c r="P275" s="284"/>
      <c r="Q275" s="284"/>
      <c r="R275" s="255"/>
      <c r="S275" s="253"/>
      <c r="T275" s="255"/>
      <c r="U275" s="255"/>
    </row>
    <row r="276" spans="1:21" s="263" customFormat="1">
      <c r="B276" s="260"/>
      <c r="C276" s="264"/>
      <c r="D276" s="264"/>
      <c r="E276" s="264"/>
      <c r="F276" s="264"/>
      <c r="G276" s="264"/>
      <c r="H276" s="264"/>
      <c r="I276" s="264"/>
      <c r="J276" s="264"/>
      <c r="K276" s="264"/>
      <c r="L276" s="264"/>
      <c r="M276" s="264"/>
      <c r="N276" s="264"/>
      <c r="O276" s="255"/>
      <c r="P276" s="255"/>
      <c r="Q276" s="255"/>
      <c r="R276" s="288"/>
      <c r="S276" s="260"/>
      <c r="T276" s="261"/>
      <c r="U276" s="261"/>
    </row>
    <row r="277" spans="1:21" s="263" customFormat="1" ht="15.6">
      <c r="B277" s="286" t="s">
        <v>509</v>
      </c>
      <c r="C277" s="264"/>
      <c r="D277" s="264"/>
      <c r="E277" s="264"/>
      <c r="F277" s="264"/>
      <c r="G277" s="264"/>
      <c r="H277" s="264"/>
      <c r="I277" s="264"/>
      <c r="J277" s="264"/>
      <c r="K277" s="264"/>
      <c r="L277" s="264"/>
      <c r="M277" s="264"/>
      <c r="N277" s="264"/>
      <c r="O277" s="287">
        <f>SUM(O186:O276)</f>
        <v>5987512176.8282166</v>
      </c>
      <c r="P277" s="287">
        <f>SUM(P186:P276)</f>
        <v>1302843.7050690493</v>
      </c>
      <c r="Q277" s="287">
        <f>SUM(Q186:Q276)</f>
        <v>1302843.7050690493</v>
      </c>
      <c r="R277" s="287">
        <f>SUM(R186:R276)</f>
        <v>1014601.1066813095</v>
      </c>
      <c r="S277" s="260"/>
      <c r="T277" s="287">
        <f>SUM(T186:T276)</f>
        <v>5991132465.3450356</v>
      </c>
      <c r="U277" s="287">
        <f>SUM(U186:U276)</f>
        <v>0</v>
      </c>
    </row>
    <row r="278" spans="1:21" s="263" customFormat="1">
      <c r="B278" s="260"/>
      <c r="C278" s="264"/>
      <c r="D278" s="264"/>
      <c r="E278" s="264"/>
      <c r="F278" s="264"/>
      <c r="G278" s="264"/>
      <c r="H278" s="264"/>
      <c r="I278" s="264"/>
      <c r="J278" s="264"/>
      <c r="K278" s="264"/>
      <c r="L278" s="264"/>
      <c r="M278" s="264"/>
      <c r="N278" s="264"/>
      <c r="O278" s="255"/>
      <c r="P278" s="255"/>
      <c r="Q278" s="255"/>
      <c r="R278" s="289"/>
      <c r="S278" s="260"/>
      <c r="T278" s="289"/>
      <c r="U278" s="289"/>
    </row>
    <row r="279" spans="1:21" s="263" customFormat="1" ht="16.2" thickBot="1">
      <c r="B279" s="286" t="s">
        <v>571</v>
      </c>
      <c r="C279" s="264"/>
      <c r="D279" s="264"/>
      <c r="E279" s="264"/>
      <c r="F279" s="264"/>
      <c r="G279" s="264"/>
      <c r="H279" s="264"/>
      <c r="I279" s="264"/>
      <c r="J279" s="264"/>
      <c r="K279" s="264"/>
      <c r="L279" s="264"/>
      <c r="M279" s="264"/>
      <c r="N279" s="264"/>
      <c r="O279" s="290">
        <f>+O183+O277</f>
        <v>113233989362.82822</v>
      </c>
      <c r="P279" s="290">
        <f>+P183+P277</f>
        <v>46803821.321353823</v>
      </c>
      <c r="Q279" s="290">
        <f>+Q183+Q277</f>
        <v>23703700.234544832</v>
      </c>
      <c r="R279" s="290">
        <f>+R183+R277</f>
        <v>19774043.444539342</v>
      </c>
      <c r="S279" s="260"/>
      <c r="T279" s="290">
        <f>+T183+T277</f>
        <v>113324270927.82866</v>
      </c>
      <c r="U279" s="290">
        <f>+U183+U277</f>
        <v>0</v>
      </c>
    </row>
    <row r="280" spans="1:21" s="263" customFormat="1" ht="13.8" thickTop="1">
      <c r="B280" s="260"/>
      <c r="C280" s="264"/>
      <c r="D280" s="264"/>
      <c r="E280" s="264"/>
      <c r="F280" s="264"/>
      <c r="G280" s="264"/>
      <c r="H280" s="264"/>
      <c r="I280" s="264"/>
      <c r="J280" s="264"/>
      <c r="K280" s="264"/>
      <c r="L280" s="264"/>
      <c r="M280" s="264"/>
      <c r="N280" s="264"/>
      <c r="O280" s="255"/>
      <c r="P280" s="255"/>
      <c r="Q280" s="255"/>
      <c r="R280" s="288"/>
      <c r="S280" s="260"/>
      <c r="T280" s="261"/>
      <c r="U280" s="261"/>
    </row>
    <row r="281" spans="1:21" s="263" customFormat="1">
      <c r="B281" s="260"/>
      <c r="C281" s="264"/>
      <c r="D281" s="264"/>
      <c r="E281" s="264"/>
      <c r="F281" s="264"/>
      <c r="G281" s="264"/>
      <c r="H281" s="264"/>
      <c r="I281" s="264"/>
      <c r="J281" s="264"/>
      <c r="K281" s="264"/>
      <c r="L281" s="264"/>
      <c r="M281" s="264"/>
      <c r="N281" s="264"/>
      <c r="O281" s="255"/>
      <c r="P281" s="255"/>
      <c r="Q281" s="255"/>
      <c r="R281" s="288"/>
      <c r="S281" s="260"/>
      <c r="T281" s="261"/>
      <c r="U281" s="261"/>
    </row>
    <row r="282" spans="1:21" s="263" customFormat="1">
      <c r="B282" s="253"/>
      <c r="C282" s="264"/>
      <c r="D282" s="264"/>
      <c r="E282" s="264"/>
      <c r="F282" s="264"/>
      <c r="G282" s="264"/>
      <c r="H282" s="264"/>
      <c r="I282" s="264"/>
      <c r="J282" s="264"/>
      <c r="K282" s="264"/>
      <c r="L282" s="264"/>
      <c r="M282" s="264"/>
      <c r="N282" s="264"/>
      <c r="O282" s="255"/>
      <c r="P282" s="255"/>
      <c r="Q282" s="255"/>
      <c r="R282" s="253"/>
      <c r="S282" s="253"/>
      <c r="T282" s="255"/>
      <c r="U282" s="255"/>
    </row>
    <row r="283" spans="1:21" s="263" customFormat="1">
      <c r="C283" s="264"/>
      <c r="D283" s="264"/>
      <c r="E283" s="264"/>
      <c r="F283" s="264"/>
      <c r="G283" s="264"/>
      <c r="H283" s="264"/>
      <c r="I283" s="264"/>
      <c r="J283" s="264"/>
      <c r="K283" s="264"/>
      <c r="L283" s="264"/>
      <c r="M283" s="264"/>
      <c r="N283" s="264"/>
      <c r="O283" s="264"/>
      <c r="P283" s="264"/>
      <c r="Q283" s="264"/>
      <c r="T283" s="264"/>
      <c r="U283" s="264"/>
    </row>
    <row r="284" spans="1:21" s="263" customFormat="1">
      <c r="C284" s="264"/>
      <c r="D284" s="264"/>
      <c r="E284" s="264"/>
      <c r="F284" s="264"/>
      <c r="G284" s="264"/>
      <c r="H284" s="264"/>
      <c r="I284" s="264"/>
      <c r="J284" s="264"/>
      <c r="K284" s="264"/>
      <c r="L284" s="264"/>
      <c r="M284" s="264"/>
      <c r="N284" s="264"/>
      <c r="O284" s="264"/>
      <c r="P284" s="264"/>
      <c r="Q284" s="264"/>
      <c r="T284" s="264"/>
      <c r="U284" s="264"/>
    </row>
    <row r="285" spans="1:21" s="263" customFormat="1">
      <c r="C285" s="264"/>
      <c r="D285" s="264"/>
      <c r="E285" s="264"/>
      <c r="F285" s="264"/>
      <c r="G285" s="264"/>
      <c r="H285" s="264"/>
      <c r="I285" s="264"/>
      <c r="J285" s="264"/>
      <c r="K285" s="264"/>
      <c r="L285" s="264"/>
      <c r="M285" s="264"/>
      <c r="N285" s="264"/>
      <c r="O285" s="264"/>
      <c r="P285" s="264"/>
      <c r="Q285" s="264"/>
      <c r="T285" s="264"/>
      <c r="U285" s="264"/>
    </row>
    <row r="286" spans="1:21" s="263" customFormat="1">
      <c r="C286" s="264"/>
      <c r="D286" s="264"/>
      <c r="E286" s="264"/>
      <c r="F286" s="264"/>
      <c r="G286" s="264"/>
      <c r="H286" s="264"/>
      <c r="I286" s="264"/>
      <c r="J286" s="264"/>
      <c r="K286" s="264"/>
      <c r="L286" s="264"/>
      <c r="M286" s="264"/>
      <c r="N286" s="264"/>
      <c r="O286" s="264"/>
      <c r="P286" s="264"/>
      <c r="Q286" s="264"/>
      <c r="T286" s="264"/>
      <c r="U286" s="264"/>
    </row>
    <row r="287" spans="1:21" s="263" customFormat="1">
      <c r="C287" s="264"/>
      <c r="D287" s="264"/>
      <c r="E287" s="264"/>
      <c r="F287" s="264"/>
      <c r="G287" s="264"/>
      <c r="H287" s="264"/>
      <c r="I287" s="264"/>
      <c r="J287" s="264"/>
      <c r="K287" s="264"/>
      <c r="L287" s="264"/>
      <c r="M287" s="264"/>
      <c r="N287" s="264"/>
      <c r="O287" s="264"/>
      <c r="P287" s="264"/>
      <c r="Q287" s="264"/>
      <c r="T287" s="264"/>
      <c r="U287" s="264"/>
    </row>
    <row r="288" spans="1:21" s="263" customFormat="1">
      <c r="C288" s="264"/>
      <c r="D288" s="264"/>
      <c r="E288" s="264"/>
      <c r="F288" s="264"/>
      <c r="G288" s="264"/>
      <c r="H288" s="264"/>
      <c r="I288" s="264"/>
      <c r="J288" s="264"/>
      <c r="K288" s="264"/>
      <c r="L288" s="264"/>
      <c r="M288" s="264"/>
      <c r="N288" s="264"/>
      <c r="O288" s="264"/>
      <c r="P288" s="264"/>
      <c r="Q288" s="264"/>
      <c r="T288" s="264"/>
      <c r="U288" s="264"/>
    </row>
    <row r="289" spans="3:21" s="263" customFormat="1">
      <c r="C289" s="264"/>
      <c r="D289" s="264"/>
      <c r="E289" s="264"/>
      <c r="F289" s="264"/>
      <c r="G289" s="264"/>
      <c r="H289" s="264"/>
      <c r="I289" s="264"/>
      <c r="J289" s="264"/>
      <c r="K289" s="264"/>
      <c r="L289" s="264"/>
      <c r="M289" s="264"/>
      <c r="N289" s="264"/>
      <c r="O289" s="264"/>
      <c r="P289" s="264"/>
      <c r="Q289" s="264"/>
      <c r="T289" s="264"/>
      <c r="U289" s="264"/>
    </row>
    <row r="290" spans="3:21" s="263" customFormat="1">
      <c r="C290" s="264"/>
      <c r="D290" s="264"/>
      <c r="E290" s="264"/>
      <c r="F290" s="264"/>
      <c r="G290" s="264"/>
      <c r="H290" s="264"/>
      <c r="I290" s="264"/>
      <c r="J290" s="264"/>
      <c r="K290" s="264"/>
      <c r="L290" s="264"/>
      <c r="M290" s="264"/>
      <c r="N290" s="264"/>
      <c r="O290" s="264"/>
      <c r="P290" s="264"/>
      <c r="Q290" s="264"/>
      <c r="T290" s="264"/>
      <c r="U290" s="264"/>
    </row>
    <row r="291" spans="3:21" s="263" customFormat="1">
      <c r="C291" s="264"/>
      <c r="D291" s="264"/>
      <c r="E291" s="264"/>
      <c r="F291" s="264"/>
      <c r="G291" s="264"/>
      <c r="H291" s="264"/>
      <c r="I291" s="264"/>
      <c r="J291" s="264"/>
      <c r="K291" s="264"/>
      <c r="L291" s="264"/>
      <c r="M291" s="264"/>
      <c r="N291" s="264"/>
      <c r="O291" s="264"/>
      <c r="P291" s="264"/>
      <c r="Q291" s="264"/>
      <c r="T291" s="264"/>
      <c r="U291" s="264"/>
    </row>
    <row r="292" spans="3:21" s="263" customFormat="1">
      <c r="C292" s="264"/>
      <c r="D292" s="264"/>
      <c r="E292" s="264"/>
      <c r="F292" s="264"/>
      <c r="G292" s="264"/>
      <c r="H292" s="264"/>
      <c r="I292" s="264"/>
      <c r="J292" s="264"/>
      <c r="K292" s="264"/>
      <c r="L292" s="264"/>
      <c r="M292" s="264"/>
      <c r="N292" s="264"/>
      <c r="O292" s="264"/>
      <c r="P292" s="264"/>
      <c r="Q292" s="264"/>
      <c r="T292" s="264"/>
      <c r="U292" s="264"/>
    </row>
    <row r="293" spans="3:21" s="263" customFormat="1">
      <c r="C293" s="264"/>
      <c r="D293" s="264"/>
      <c r="E293" s="264"/>
      <c r="F293" s="264"/>
      <c r="G293" s="264"/>
      <c r="H293" s="264"/>
      <c r="I293" s="264"/>
      <c r="J293" s="264"/>
      <c r="K293" s="264"/>
      <c r="L293" s="264"/>
      <c r="M293" s="264"/>
      <c r="N293" s="264"/>
      <c r="O293" s="264"/>
      <c r="P293" s="264"/>
      <c r="Q293" s="264"/>
      <c r="T293" s="264"/>
      <c r="U293" s="264"/>
    </row>
    <row r="294" spans="3:21" s="263" customFormat="1">
      <c r="C294" s="264"/>
      <c r="D294" s="264"/>
      <c r="E294" s="264"/>
      <c r="F294" s="264"/>
      <c r="G294" s="264"/>
      <c r="H294" s="264"/>
      <c r="I294" s="264"/>
      <c r="J294" s="264"/>
      <c r="K294" s="264"/>
      <c r="L294" s="264"/>
      <c r="M294" s="264"/>
      <c r="N294" s="264"/>
      <c r="O294" s="264"/>
      <c r="P294" s="264"/>
      <c r="Q294" s="264"/>
      <c r="T294" s="264"/>
      <c r="U294" s="264"/>
    </row>
    <row r="295" spans="3:21" s="263" customFormat="1">
      <c r="C295" s="264"/>
      <c r="D295" s="264"/>
      <c r="E295" s="264"/>
      <c r="F295" s="264"/>
      <c r="G295" s="264"/>
      <c r="H295" s="264"/>
      <c r="I295" s="264"/>
      <c r="J295" s="264"/>
      <c r="K295" s="264"/>
      <c r="L295" s="264"/>
      <c r="M295" s="264"/>
      <c r="N295" s="264"/>
      <c r="O295" s="264"/>
      <c r="P295" s="264"/>
      <c r="Q295" s="264"/>
      <c r="T295" s="264"/>
      <c r="U295" s="264"/>
    </row>
    <row r="296" spans="3:21" s="263" customFormat="1">
      <c r="C296" s="264"/>
      <c r="D296" s="264"/>
      <c r="E296" s="264"/>
      <c r="F296" s="264"/>
      <c r="G296" s="264"/>
      <c r="H296" s="264"/>
      <c r="I296" s="264"/>
      <c r="J296" s="264"/>
      <c r="K296" s="264"/>
      <c r="L296" s="264"/>
      <c r="M296" s="264"/>
      <c r="N296" s="264"/>
      <c r="O296" s="264"/>
      <c r="P296" s="264"/>
      <c r="Q296" s="264"/>
      <c r="T296" s="264"/>
      <c r="U296" s="264"/>
    </row>
    <row r="297" spans="3:21" s="263" customFormat="1">
      <c r="C297" s="264"/>
      <c r="D297" s="264"/>
      <c r="E297" s="264"/>
      <c r="F297" s="264"/>
      <c r="G297" s="264"/>
      <c r="H297" s="264"/>
      <c r="I297" s="264"/>
      <c r="J297" s="264"/>
      <c r="K297" s="264"/>
      <c r="L297" s="264"/>
      <c r="M297" s="264"/>
      <c r="N297" s="264"/>
      <c r="O297" s="264"/>
      <c r="P297" s="264"/>
      <c r="Q297" s="264"/>
      <c r="T297" s="264"/>
      <c r="U297" s="264"/>
    </row>
    <row r="298" spans="3:21" s="263" customFormat="1">
      <c r="C298" s="264"/>
      <c r="D298" s="264"/>
      <c r="E298" s="264"/>
      <c r="F298" s="264"/>
      <c r="G298" s="264"/>
      <c r="H298" s="264"/>
      <c r="I298" s="264"/>
      <c r="J298" s="264"/>
      <c r="K298" s="264"/>
      <c r="L298" s="264"/>
      <c r="M298" s="264"/>
      <c r="N298" s="264"/>
      <c r="O298" s="264"/>
      <c r="P298" s="264"/>
      <c r="Q298" s="264"/>
      <c r="T298" s="264"/>
      <c r="U298" s="264"/>
    </row>
    <row r="299" spans="3:21" s="263" customFormat="1">
      <c r="C299" s="264"/>
      <c r="D299" s="264"/>
      <c r="E299" s="264"/>
      <c r="F299" s="264"/>
      <c r="G299" s="264"/>
      <c r="H299" s="264"/>
      <c r="I299" s="264"/>
      <c r="J299" s="264"/>
      <c r="K299" s="264"/>
      <c r="L299" s="264"/>
      <c r="M299" s="264"/>
      <c r="N299" s="264"/>
      <c r="O299" s="264"/>
      <c r="P299" s="264"/>
      <c r="Q299" s="264"/>
      <c r="T299" s="264"/>
      <c r="U299" s="264"/>
    </row>
    <row r="300" spans="3:21" s="263" customFormat="1">
      <c r="C300" s="264"/>
      <c r="D300" s="264"/>
      <c r="E300" s="264"/>
      <c r="F300" s="264"/>
      <c r="G300" s="264"/>
      <c r="H300" s="264"/>
      <c r="I300" s="264"/>
      <c r="J300" s="264"/>
      <c r="K300" s="264"/>
      <c r="L300" s="264"/>
      <c r="M300" s="264"/>
      <c r="N300" s="264"/>
      <c r="O300" s="264"/>
      <c r="P300" s="264"/>
      <c r="Q300" s="264"/>
      <c r="T300" s="264"/>
      <c r="U300" s="264"/>
    </row>
    <row r="301" spans="3:21" s="263" customFormat="1">
      <c r="C301" s="264"/>
      <c r="D301" s="264"/>
      <c r="E301" s="264"/>
      <c r="F301" s="264"/>
      <c r="G301" s="264"/>
      <c r="H301" s="264"/>
      <c r="I301" s="264"/>
      <c r="J301" s="264"/>
      <c r="K301" s="264"/>
      <c r="L301" s="264"/>
      <c r="M301" s="264"/>
      <c r="N301" s="264"/>
      <c r="O301" s="264"/>
      <c r="P301" s="264"/>
      <c r="Q301" s="264"/>
      <c r="T301" s="264"/>
      <c r="U301" s="264"/>
    </row>
    <row r="302" spans="3:21" s="263" customFormat="1">
      <c r="C302" s="264"/>
      <c r="D302" s="264"/>
      <c r="E302" s="264"/>
      <c r="F302" s="264"/>
      <c r="G302" s="264"/>
      <c r="H302" s="264"/>
      <c r="I302" s="264"/>
      <c r="J302" s="264"/>
      <c r="K302" s="264"/>
      <c r="L302" s="264"/>
      <c r="M302" s="264"/>
      <c r="N302" s="264"/>
      <c r="O302" s="264"/>
      <c r="P302" s="264"/>
      <c r="Q302" s="264"/>
      <c r="T302" s="264"/>
      <c r="U302" s="264"/>
    </row>
    <row r="303" spans="3:21" s="263" customFormat="1">
      <c r="C303" s="264"/>
      <c r="D303" s="264"/>
      <c r="E303" s="264"/>
      <c r="F303" s="264"/>
      <c r="G303" s="264"/>
      <c r="H303" s="264"/>
      <c r="I303" s="264"/>
      <c r="J303" s="264"/>
      <c r="K303" s="264"/>
      <c r="L303" s="264"/>
      <c r="M303" s="264"/>
      <c r="N303" s="264"/>
      <c r="O303" s="264"/>
      <c r="P303" s="264"/>
      <c r="Q303" s="264"/>
      <c r="T303" s="264"/>
      <c r="U303" s="264"/>
    </row>
    <row r="304" spans="3:21" s="263" customFormat="1">
      <c r="C304" s="264"/>
      <c r="D304" s="264"/>
      <c r="E304" s="264"/>
      <c r="F304" s="264"/>
      <c r="G304" s="264"/>
      <c r="H304" s="264"/>
      <c r="I304" s="264"/>
      <c r="J304" s="264"/>
      <c r="K304" s="264"/>
      <c r="L304" s="264"/>
      <c r="M304" s="264"/>
      <c r="N304" s="264"/>
      <c r="O304" s="264"/>
      <c r="P304" s="264"/>
      <c r="Q304" s="264"/>
      <c r="T304" s="264"/>
      <c r="U304" s="264"/>
    </row>
    <row r="305" spans="3:21" s="263" customFormat="1">
      <c r="C305" s="264"/>
      <c r="D305" s="264"/>
      <c r="E305" s="264"/>
      <c r="F305" s="264"/>
      <c r="G305" s="264"/>
      <c r="H305" s="264"/>
      <c r="I305" s="264"/>
      <c r="J305" s="264"/>
      <c r="K305" s="264"/>
      <c r="L305" s="264"/>
      <c r="M305" s="264"/>
      <c r="N305" s="264"/>
      <c r="O305" s="264"/>
      <c r="P305" s="264"/>
      <c r="Q305" s="264"/>
      <c r="T305" s="264"/>
      <c r="U305" s="264"/>
    </row>
    <row r="306" spans="3:21" s="263" customFormat="1">
      <c r="C306" s="264"/>
      <c r="D306" s="264"/>
      <c r="E306" s="264"/>
      <c r="F306" s="264"/>
      <c r="G306" s="264"/>
      <c r="H306" s="264"/>
      <c r="I306" s="264"/>
      <c r="J306" s="264"/>
      <c r="K306" s="264"/>
      <c r="L306" s="264"/>
      <c r="M306" s="264"/>
      <c r="N306" s="264"/>
      <c r="O306" s="264"/>
      <c r="P306" s="264"/>
      <c r="Q306" s="264"/>
      <c r="T306" s="264"/>
      <c r="U306" s="264"/>
    </row>
    <row r="307" spans="3:21" s="263" customFormat="1">
      <c r="C307" s="264"/>
      <c r="D307" s="264"/>
      <c r="E307" s="264"/>
      <c r="F307" s="264"/>
      <c r="G307" s="264"/>
      <c r="H307" s="264"/>
      <c r="I307" s="264"/>
      <c r="J307" s="264"/>
      <c r="K307" s="264"/>
      <c r="L307" s="264"/>
      <c r="M307" s="264"/>
      <c r="N307" s="264"/>
      <c r="O307" s="264"/>
      <c r="P307" s="264"/>
      <c r="Q307" s="264"/>
      <c r="T307" s="264"/>
      <c r="U307" s="264"/>
    </row>
    <row r="308" spans="3:21" s="263" customFormat="1">
      <c r="C308" s="264"/>
      <c r="D308" s="264"/>
      <c r="E308" s="264"/>
      <c r="F308" s="264"/>
      <c r="G308" s="264"/>
      <c r="H308" s="264"/>
      <c r="I308" s="264"/>
      <c r="J308" s="264"/>
      <c r="K308" s="264"/>
      <c r="L308" s="264"/>
      <c r="M308" s="264"/>
      <c r="N308" s="264"/>
      <c r="O308" s="264"/>
      <c r="P308" s="264"/>
      <c r="Q308" s="264"/>
      <c r="T308" s="264"/>
      <c r="U308" s="264"/>
    </row>
    <row r="309" spans="3:21" s="263" customFormat="1">
      <c r="C309" s="264"/>
      <c r="D309" s="264"/>
      <c r="E309" s="264"/>
      <c r="F309" s="264"/>
      <c r="G309" s="264"/>
      <c r="H309" s="264"/>
      <c r="I309" s="264"/>
      <c r="J309" s="264"/>
      <c r="K309" s="264"/>
      <c r="L309" s="264"/>
      <c r="M309" s="264"/>
      <c r="N309" s="264"/>
      <c r="O309" s="264"/>
      <c r="P309" s="264"/>
      <c r="Q309" s="264"/>
      <c r="T309" s="264"/>
      <c r="U309" s="264"/>
    </row>
    <row r="310" spans="3:21" s="263" customFormat="1">
      <c r="C310" s="264"/>
      <c r="D310" s="264"/>
      <c r="E310" s="264"/>
      <c r="F310" s="264"/>
      <c r="G310" s="264"/>
      <c r="H310" s="264"/>
      <c r="I310" s="264"/>
      <c r="J310" s="264"/>
      <c r="K310" s="264"/>
      <c r="L310" s="264"/>
      <c r="M310" s="264"/>
      <c r="N310" s="264"/>
      <c r="O310" s="264"/>
      <c r="P310" s="264"/>
      <c r="Q310" s="264"/>
      <c r="T310" s="264"/>
      <c r="U310" s="264"/>
    </row>
    <row r="311" spans="3:21" s="263" customFormat="1">
      <c r="C311" s="264"/>
      <c r="D311" s="264"/>
      <c r="E311" s="264"/>
      <c r="F311" s="264"/>
      <c r="G311" s="264"/>
      <c r="H311" s="264"/>
      <c r="I311" s="264"/>
      <c r="J311" s="264"/>
      <c r="K311" s="264"/>
      <c r="L311" s="264"/>
      <c r="M311" s="264"/>
      <c r="N311" s="264"/>
      <c r="O311" s="264"/>
      <c r="P311" s="264"/>
      <c r="Q311" s="264"/>
      <c r="T311" s="264"/>
      <c r="U311" s="264"/>
    </row>
    <row r="312" spans="3:21" s="263" customFormat="1">
      <c r="C312" s="264"/>
      <c r="D312" s="264"/>
      <c r="E312" s="264"/>
      <c r="F312" s="264"/>
      <c r="G312" s="264"/>
      <c r="H312" s="264"/>
      <c r="I312" s="264"/>
      <c r="J312" s="264"/>
      <c r="K312" s="264"/>
      <c r="L312" s="264"/>
      <c r="M312" s="264"/>
      <c r="N312" s="264"/>
      <c r="O312" s="264"/>
      <c r="P312" s="264"/>
      <c r="Q312" s="264"/>
      <c r="T312" s="264"/>
      <c r="U312" s="264"/>
    </row>
    <row r="313" spans="3:21" s="263" customFormat="1">
      <c r="C313" s="264"/>
      <c r="D313" s="264"/>
      <c r="E313" s="264"/>
      <c r="F313" s="264"/>
      <c r="G313" s="264"/>
      <c r="H313" s="264"/>
      <c r="I313" s="264"/>
      <c r="J313" s="264"/>
      <c r="K313" s="264"/>
      <c r="L313" s="264"/>
      <c r="M313" s="264"/>
      <c r="N313" s="264"/>
      <c r="O313" s="264"/>
      <c r="P313" s="264"/>
      <c r="Q313" s="264"/>
      <c r="T313" s="264"/>
      <c r="U313" s="264"/>
    </row>
    <row r="314" spans="3:21" s="263" customFormat="1">
      <c r="C314" s="264"/>
      <c r="D314" s="264"/>
      <c r="E314" s="264"/>
      <c r="F314" s="264"/>
      <c r="G314" s="264"/>
      <c r="H314" s="264"/>
      <c r="I314" s="264"/>
      <c r="J314" s="264"/>
      <c r="K314" s="264"/>
      <c r="L314" s="264"/>
      <c r="M314" s="264"/>
      <c r="N314" s="264"/>
      <c r="O314" s="264"/>
      <c r="P314" s="264"/>
      <c r="Q314" s="264"/>
      <c r="T314" s="264"/>
      <c r="U314" s="264"/>
    </row>
    <row r="315" spans="3:21" s="263" customFormat="1">
      <c r="C315" s="264"/>
      <c r="D315" s="264"/>
      <c r="E315" s="264"/>
      <c r="F315" s="264"/>
      <c r="G315" s="264"/>
      <c r="H315" s="264"/>
      <c r="I315" s="264"/>
      <c r="J315" s="264"/>
      <c r="K315" s="264"/>
      <c r="L315" s="264"/>
      <c r="M315" s="264"/>
      <c r="N315" s="264"/>
      <c r="O315" s="264"/>
      <c r="P315" s="264"/>
      <c r="Q315" s="264"/>
      <c r="T315" s="264"/>
      <c r="U315" s="264"/>
    </row>
    <row r="316" spans="3:21" s="263" customFormat="1">
      <c r="C316" s="264"/>
      <c r="D316" s="264"/>
      <c r="E316" s="264"/>
      <c r="F316" s="264"/>
      <c r="G316" s="264"/>
      <c r="H316" s="264"/>
      <c r="I316" s="264"/>
      <c r="J316" s="264"/>
      <c r="K316" s="264"/>
      <c r="L316" s="264"/>
      <c r="M316" s="264"/>
      <c r="N316" s="264"/>
      <c r="O316" s="264"/>
      <c r="P316" s="264"/>
      <c r="Q316" s="264"/>
      <c r="T316" s="264"/>
      <c r="U316" s="264"/>
    </row>
    <row r="317" spans="3:21" s="263" customFormat="1">
      <c r="C317" s="264"/>
      <c r="D317" s="264"/>
      <c r="E317" s="264"/>
      <c r="F317" s="264"/>
      <c r="G317" s="264"/>
      <c r="H317" s="264"/>
      <c r="I317" s="264"/>
      <c r="J317" s="264"/>
      <c r="K317" s="264"/>
      <c r="L317" s="264"/>
      <c r="M317" s="264"/>
      <c r="N317" s="264"/>
      <c r="O317" s="264"/>
      <c r="P317" s="264"/>
      <c r="Q317" s="264"/>
      <c r="T317" s="264"/>
      <c r="U317" s="264"/>
    </row>
    <row r="318" spans="3:21" s="263" customFormat="1">
      <c r="C318" s="264"/>
      <c r="D318" s="264"/>
      <c r="E318" s="264"/>
      <c r="F318" s="264"/>
      <c r="G318" s="264"/>
      <c r="H318" s="264"/>
      <c r="I318" s="264"/>
      <c r="J318" s="264"/>
      <c r="K318" s="264"/>
      <c r="L318" s="264"/>
      <c r="M318" s="264"/>
      <c r="N318" s="264"/>
      <c r="O318" s="264"/>
      <c r="P318" s="264"/>
      <c r="Q318" s="264"/>
      <c r="T318" s="264"/>
      <c r="U318" s="264"/>
    </row>
    <row r="319" spans="3:21" s="263" customFormat="1">
      <c r="C319" s="264"/>
      <c r="D319" s="264"/>
      <c r="E319" s="264"/>
      <c r="F319" s="264"/>
      <c r="G319" s="264"/>
      <c r="H319" s="264"/>
      <c r="I319" s="264"/>
      <c r="J319" s="264"/>
      <c r="K319" s="264"/>
      <c r="L319" s="264"/>
      <c r="M319" s="264"/>
      <c r="N319" s="264"/>
      <c r="O319" s="264"/>
      <c r="P319" s="264"/>
      <c r="Q319" s="264"/>
      <c r="T319" s="264"/>
      <c r="U319" s="264"/>
    </row>
    <row r="320" spans="3:21" s="263" customFormat="1">
      <c r="C320" s="264"/>
      <c r="D320" s="264"/>
      <c r="E320" s="264"/>
      <c r="F320" s="264"/>
      <c r="G320" s="264"/>
      <c r="H320" s="264"/>
      <c r="I320" s="264"/>
      <c r="J320" s="264"/>
      <c r="K320" s="264"/>
      <c r="L320" s="264"/>
      <c r="M320" s="264"/>
      <c r="N320" s="264"/>
      <c r="O320" s="264"/>
      <c r="P320" s="264"/>
      <c r="Q320" s="264"/>
      <c r="T320" s="264"/>
      <c r="U320" s="264"/>
    </row>
    <row r="321" spans="3:21" s="263" customFormat="1">
      <c r="C321" s="264"/>
      <c r="D321" s="264"/>
      <c r="E321" s="264"/>
      <c r="F321" s="264"/>
      <c r="G321" s="264"/>
      <c r="H321" s="264"/>
      <c r="I321" s="264"/>
      <c r="J321" s="264"/>
      <c r="K321" s="264"/>
      <c r="L321" s="264"/>
      <c r="M321" s="264"/>
      <c r="N321" s="264"/>
      <c r="O321" s="264"/>
      <c r="P321" s="264"/>
      <c r="Q321" s="264"/>
      <c r="T321" s="264"/>
      <c r="U321" s="264"/>
    </row>
    <row r="322" spans="3:21" s="263" customFormat="1">
      <c r="C322" s="264"/>
      <c r="D322" s="264"/>
      <c r="E322" s="264"/>
      <c r="F322" s="264"/>
      <c r="G322" s="264"/>
      <c r="H322" s="264"/>
      <c r="I322" s="264"/>
      <c r="J322" s="264"/>
      <c r="K322" s="264"/>
      <c r="L322" s="264"/>
      <c r="M322" s="264"/>
      <c r="N322" s="264"/>
      <c r="O322" s="264"/>
      <c r="P322" s="264"/>
      <c r="Q322" s="264"/>
      <c r="T322" s="264"/>
      <c r="U322" s="264"/>
    </row>
    <row r="323" spans="3:21" s="263" customFormat="1">
      <c r="C323" s="264"/>
      <c r="D323" s="264"/>
      <c r="E323" s="264"/>
      <c r="F323" s="264"/>
      <c r="G323" s="264"/>
      <c r="H323" s="264"/>
      <c r="I323" s="264"/>
      <c r="J323" s="264"/>
      <c r="K323" s="264"/>
      <c r="L323" s="264"/>
      <c r="M323" s="264"/>
      <c r="N323" s="264"/>
      <c r="O323" s="264"/>
      <c r="P323" s="264"/>
      <c r="Q323" s="264"/>
      <c r="T323" s="264"/>
      <c r="U323" s="264"/>
    </row>
    <row r="324" spans="3:21" s="263" customFormat="1">
      <c r="C324" s="264"/>
      <c r="D324" s="264"/>
      <c r="E324" s="264"/>
      <c r="F324" s="264"/>
      <c r="G324" s="264"/>
      <c r="H324" s="264"/>
      <c r="I324" s="264"/>
      <c r="J324" s="264"/>
      <c r="K324" s="264"/>
      <c r="L324" s="264"/>
      <c r="M324" s="264"/>
      <c r="N324" s="264"/>
      <c r="O324" s="264"/>
      <c r="P324" s="264"/>
      <c r="Q324" s="264"/>
      <c r="T324" s="264"/>
      <c r="U324" s="264"/>
    </row>
    <row r="325" spans="3:21" s="263" customFormat="1">
      <c r="C325" s="264"/>
      <c r="D325" s="264"/>
      <c r="E325" s="264"/>
      <c r="F325" s="264"/>
      <c r="G325" s="264"/>
      <c r="H325" s="264"/>
      <c r="I325" s="264"/>
      <c r="J325" s="264"/>
      <c r="K325" s="264"/>
      <c r="L325" s="264"/>
      <c r="M325" s="264"/>
      <c r="N325" s="264"/>
      <c r="O325" s="264"/>
      <c r="P325" s="264"/>
      <c r="Q325" s="264"/>
      <c r="T325" s="264"/>
      <c r="U325" s="264"/>
    </row>
    <row r="326" spans="3:21" s="263" customFormat="1">
      <c r="C326" s="264"/>
      <c r="D326" s="264"/>
      <c r="E326" s="264"/>
      <c r="F326" s="264"/>
      <c r="G326" s="264"/>
      <c r="H326" s="264"/>
      <c r="I326" s="264"/>
      <c r="J326" s="264"/>
      <c r="K326" s="264"/>
      <c r="L326" s="264"/>
      <c r="M326" s="264"/>
      <c r="N326" s="264"/>
      <c r="O326" s="264"/>
      <c r="P326" s="264"/>
      <c r="Q326" s="264"/>
      <c r="T326" s="264"/>
      <c r="U326" s="264"/>
    </row>
    <row r="327" spans="3:21" s="263" customFormat="1">
      <c r="C327" s="264"/>
      <c r="D327" s="264"/>
      <c r="E327" s="264"/>
      <c r="F327" s="264"/>
      <c r="G327" s="264"/>
      <c r="H327" s="264"/>
      <c r="I327" s="264"/>
      <c r="J327" s="264"/>
      <c r="K327" s="264"/>
      <c r="L327" s="264"/>
      <c r="M327" s="264"/>
      <c r="N327" s="264"/>
      <c r="O327" s="264"/>
      <c r="P327" s="264"/>
      <c r="Q327" s="264"/>
      <c r="T327" s="264"/>
      <c r="U327" s="264"/>
    </row>
    <row r="328" spans="3:21" s="263" customFormat="1">
      <c r="C328" s="264"/>
      <c r="D328" s="264"/>
      <c r="E328" s="264"/>
      <c r="F328" s="264"/>
      <c r="G328" s="264"/>
      <c r="H328" s="264"/>
      <c r="I328" s="264"/>
      <c r="J328" s="264"/>
      <c r="K328" s="264"/>
      <c r="L328" s="264"/>
      <c r="M328" s="264"/>
      <c r="N328" s="264"/>
      <c r="O328" s="264"/>
      <c r="P328" s="264"/>
      <c r="Q328" s="264"/>
      <c r="T328" s="264"/>
      <c r="U328" s="264"/>
    </row>
    <row r="329" spans="3:21" s="263" customFormat="1">
      <c r="C329" s="264"/>
      <c r="D329" s="264"/>
      <c r="E329" s="264"/>
      <c r="F329" s="264"/>
      <c r="G329" s="264"/>
      <c r="H329" s="264"/>
      <c r="I329" s="264"/>
      <c r="J329" s="264"/>
      <c r="K329" s="264"/>
      <c r="L329" s="264"/>
      <c r="M329" s="264"/>
      <c r="N329" s="264"/>
      <c r="O329" s="264"/>
      <c r="P329" s="264"/>
      <c r="Q329" s="264"/>
      <c r="T329" s="264"/>
      <c r="U329" s="264"/>
    </row>
    <row r="330" spans="3:21" s="263" customFormat="1">
      <c r="C330" s="264"/>
      <c r="D330" s="264"/>
      <c r="E330" s="264"/>
      <c r="F330" s="264"/>
      <c r="G330" s="264"/>
      <c r="H330" s="264"/>
      <c r="I330" s="264"/>
      <c r="J330" s="264"/>
      <c r="K330" s="264"/>
      <c r="L330" s="264"/>
      <c r="M330" s="264"/>
      <c r="N330" s="264"/>
      <c r="O330" s="264"/>
      <c r="P330" s="264"/>
      <c r="Q330" s="264"/>
      <c r="T330" s="264"/>
      <c r="U330" s="264"/>
    </row>
    <row r="331" spans="3:21" s="263" customFormat="1">
      <c r="C331" s="264"/>
      <c r="D331" s="264"/>
      <c r="E331" s="264"/>
      <c r="F331" s="264"/>
      <c r="G331" s="264"/>
      <c r="H331" s="264"/>
      <c r="I331" s="264"/>
      <c r="J331" s="264"/>
      <c r="K331" s="264"/>
      <c r="L331" s="264"/>
      <c r="M331" s="264"/>
      <c r="N331" s="264"/>
      <c r="O331" s="264"/>
      <c r="P331" s="264"/>
      <c r="Q331" s="264"/>
      <c r="T331" s="264"/>
      <c r="U331" s="264"/>
    </row>
    <row r="332" spans="3:21" s="263" customFormat="1">
      <c r="C332" s="264"/>
      <c r="D332" s="264"/>
      <c r="E332" s="264"/>
      <c r="F332" s="264"/>
      <c r="G332" s="264"/>
      <c r="H332" s="264"/>
      <c r="I332" s="264"/>
      <c r="J332" s="264"/>
      <c r="K332" s="264"/>
      <c r="L332" s="264"/>
      <c r="M332" s="264"/>
      <c r="N332" s="264"/>
      <c r="O332" s="264"/>
      <c r="P332" s="264"/>
      <c r="Q332" s="264"/>
      <c r="T332" s="264"/>
      <c r="U332" s="264"/>
    </row>
    <row r="333" spans="3:21" s="263" customFormat="1">
      <c r="C333" s="264"/>
      <c r="D333" s="264"/>
      <c r="E333" s="264"/>
      <c r="F333" s="264"/>
      <c r="G333" s="264"/>
      <c r="H333" s="264"/>
      <c r="I333" s="264"/>
      <c r="J333" s="264"/>
      <c r="K333" s="264"/>
      <c r="L333" s="264"/>
      <c r="M333" s="264"/>
      <c r="N333" s="264"/>
      <c r="O333" s="264"/>
      <c r="P333" s="264"/>
      <c r="Q333" s="264"/>
      <c r="T333" s="264"/>
      <c r="U333" s="264"/>
    </row>
    <row r="334" spans="3:21" s="263" customFormat="1">
      <c r="C334" s="264"/>
      <c r="D334" s="264"/>
      <c r="E334" s="264"/>
      <c r="F334" s="264"/>
      <c r="G334" s="264"/>
      <c r="H334" s="264"/>
      <c r="I334" s="264"/>
      <c r="J334" s="264"/>
      <c r="K334" s="264"/>
      <c r="L334" s="264"/>
      <c r="M334" s="264"/>
      <c r="N334" s="264"/>
      <c r="O334" s="264"/>
      <c r="P334" s="264"/>
      <c r="Q334" s="264"/>
      <c r="T334" s="264"/>
      <c r="U334" s="264"/>
    </row>
    <row r="335" spans="3:21" s="263" customFormat="1">
      <c r="C335" s="264"/>
      <c r="D335" s="264"/>
      <c r="E335" s="264"/>
      <c r="F335" s="264"/>
      <c r="G335" s="264"/>
      <c r="H335" s="264"/>
      <c r="I335" s="264"/>
      <c r="J335" s="264"/>
      <c r="K335" s="264"/>
      <c r="L335" s="264"/>
      <c r="M335" s="264"/>
      <c r="N335" s="264"/>
      <c r="O335" s="264"/>
      <c r="P335" s="264"/>
      <c r="Q335" s="264"/>
      <c r="T335" s="264"/>
      <c r="U335" s="264"/>
    </row>
    <row r="336" spans="3:21" s="263" customFormat="1">
      <c r="C336" s="264"/>
      <c r="D336" s="264"/>
      <c r="E336" s="264"/>
      <c r="F336" s="264"/>
      <c r="G336" s="264"/>
      <c r="H336" s="264"/>
      <c r="I336" s="264"/>
      <c r="J336" s="264"/>
      <c r="K336" s="264"/>
      <c r="L336" s="264"/>
      <c r="M336" s="264"/>
      <c r="N336" s="264"/>
      <c r="O336" s="264"/>
      <c r="P336" s="264"/>
      <c r="Q336" s="264"/>
      <c r="T336" s="264"/>
      <c r="U336" s="264"/>
    </row>
    <row r="337" spans="3:21" s="263" customFormat="1">
      <c r="C337" s="264"/>
      <c r="D337" s="264"/>
      <c r="E337" s="264"/>
      <c r="F337" s="264"/>
      <c r="G337" s="264"/>
      <c r="H337" s="264"/>
      <c r="I337" s="264"/>
      <c r="J337" s="264"/>
      <c r="K337" s="264"/>
      <c r="L337" s="264"/>
      <c r="M337" s="264"/>
      <c r="N337" s="264"/>
      <c r="O337" s="264"/>
      <c r="P337" s="264"/>
      <c r="Q337" s="264"/>
      <c r="T337" s="264"/>
      <c r="U337" s="264"/>
    </row>
    <row r="338" spans="3:21" s="263" customFormat="1">
      <c r="C338" s="264"/>
      <c r="D338" s="264"/>
      <c r="E338" s="264"/>
      <c r="F338" s="264"/>
      <c r="G338" s="264"/>
      <c r="H338" s="264"/>
      <c r="I338" s="264"/>
      <c r="J338" s="264"/>
      <c r="K338" s="264"/>
      <c r="L338" s="264"/>
      <c r="M338" s="264"/>
      <c r="N338" s="264"/>
      <c r="O338" s="264"/>
      <c r="P338" s="264"/>
      <c r="Q338" s="264"/>
      <c r="T338" s="264"/>
      <c r="U338" s="264"/>
    </row>
    <row r="339" spans="3:21" s="263" customFormat="1">
      <c r="C339" s="264"/>
      <c r="D339" s="264"/>
      <c r="E339" s="264"/>
      <c r="F339" s="264"/>
      <c r="G339" s="264"/>
      <c r="H339" s="264"/>
      <c r="I339" s="264"/>
      <c r="J339" s="264"/>
      <c r="K339" s="264"/>
      <c r="L339" s="264"/>
      <c r="M339" s="264"/>
      <c r="N339" s="264"/>
      <c r="O339" s="264"/>
      <c r="P339" s="264"/>
      <c r="Q339" s="264"/>
      <c r="T339" s="264"/>
      <c r="U339" s="264"/>
    </row>
    <row r="340" spans="3:21" s="263" customFormat="1">
      <c r="C340" s="264"/>
      <c r="D340" s="264"/>
      <c r="E340" s="264"/>
      <c r="F340" s="264"/>
      <c r="G340" s="264"/>
      <c r="H340" s="264"/>
      <c r="I340" s="264"/>
      <c r="J340" s="264"/>
      <c r="K340" s="264"/>
      <c r="L340" s="264"/>
      <c r="M340" s="264"/>
      <c r="N340" s="264"/>
      <c r="O340" s="264"/>
      <c r="P340" s="264"/>
      <c r="Q340" s="264"/>
      <c r="T340" s="264"/>
      <c r="U340" s="264"/>
    </row>
    <row r="341" spans="3:21" s="263" customFormat="1">
      <c r="C341" s="264"/>
      <c r="D341" s="264"/>
      <c r="E341" s="264"/>
      <c r="F341" s="264"/>
      <c r="G341" s="264"/>
      <c r="H341" s="264"/>
      <c r="I341" s="264"/>
      <c r="J341" s="264"/>
      <c r="K341" s="264"/>
      <c r="L341" s="264"/>
      <c r="M341" s="264"/>
      <c r="N341" s="264"/>
      <c r="O341" s="264"/>
      <c r="P341" s="264"/>
      <c r="Q341" s="264"/>
      <c r="T341" s="264"/>
      <c r="U341" s="264"/>
    </row>
    <row r="342" spans="3:21" s="263" customFormat="1">
      <c r="C342" s="264"/>
      <c r="D342" s="264"/>
      <c r="E342" s="264"/>
      <c r="F342" s="264"/>
      <c r="G342" s="264"/>
      <c r="H342" s="264"/>
      <c r="I342" s="264"/>
      <c r="J342" s="264"/>
      <c r="K342" s="264"/>
      <c r="L342" s="264"/>
      <c r="M342" s="264"/>
      <c r="N342" s="264"/>
      <c r="O342" s="264"/>
      <c r="P342" s="264"/>
      <c r="Q342" s="264"/>
      <c r="T342" s="264"/>
      <c r="U342" s="264"/>
    </row>
    <row r="343" spans="3:21" s="263" customFormat="1">
      <c r="C343" s="264"/>
      <c r="D343" s="264"/>
      <c r="E343" s="264"/>
      <c r="F343" s="264"/>
      <c r="G343" s="264"/>
      <c r="H343" s="264"/>
      <c r="I343" s="264"/>
      <c r="J343" s="264"/>
      <c r="K343" s="264"/>
      <c r="L343" s="264"/>
      <c r="M343" s="264"/>
      <c r="N343" s="264"/>
      <c r="O343" s="264"/>
      <c r="P343" s="264"/>
      <c r="Q343" s="264"/>
      <c r="T343" s="264"/>
      <c r="U343" s="264"/>
    </row>
    <row r="344" spans="3:21" s="263" customFormat="1">
      <c r="C344" s="264"/>
      <c r="D344" s="264"/>
      <c r="E344" s="264"/>
      <c r="F344" s="264"/>
      <c r="G344" s="264"/>
      <c r="H344" s="264"/>
      <c r="I344" s="264"/>
      <c r="J344" s="264"/>
      <c r="K344" s="264"/>
      <c r="L344" s="264"/>
      <c r="M344" s="264"/>
      <c r="N344" s="264"/>
      <c r="O344" s="264"/>
      <c r="P344" s="264"/>
      <c r="Q344" s="264"/>
      <c r="T344" s="264"/>
      <c r="U344" s="264"/>
    </row>
    <row r="345" spans="3:21" s="263" customFormat="1">
      <c r="C345" s="264"/>
      <c r="D345" s="264"/>
      <c r="E345" s="264"/>
      <c r="F345" s="264"/>
      <c r="G345" s="264"/>
      <c r="H345" s="264"/>
      <c r="I345" s="264"/>
      <c r="J345" s="264"/>
      <c r="K345" s="264"/>
      <c r="L345" s="264"/>
      <c r="M345" s="264"/>
      <c r="N345" s="264"/>
      <c r="O345" s="264"/>
      <c r="P345" s="264"/>
      <c r="Q345" s="264"/>
      <c r="T345" s="264"/>
      <c r="U345" s="264"/>
    </row>
    <row r="346" spans="3:21" s="263" customFormat="1">
      <c r="C346" s="264"/>
      <c r="D346" s="264"/>
      <c r="E346" s="264"/>
      <c r="F346" s="264"/>
      <c r="G346" s="264"/>
      <c r="H346" s="264"/>
      <c r="I346" s="264"/>
      <c r="J346" s="264"/>
      <c r="K346" s="264"/>
      <c r="L346" s="264"/>
      <c r="M346" s="264"/>
      <c r="N346" s="264"/>
      <c r="O346" s="264"/>
      <c r="P346" s="264"/>
      <c r="Q346" s="264"/>
      <c r="T346" s="264"/>
      <c r="U346" s="264"/>
    </row>
    <row r="347" spans="3:21" s="263" customFormat="1">
      <c r="C347" s="264"/>
      <c r="D347" s="264"/>
      <c r="E347" s="264"/>
      <c r="F347" s="264"/>
      <c r="G347" s="264"/>
      <c r="H347" s="264"/>
      <c r="I347" s="264"/>
      <c r="J347" s="264"/>
      <c r="K347" s="264"/>
      <c r="L347" s="264"/>
      <c r="M347" s="264"/>
      <c r="N347" s="264"/>
      <c r="O347" s="264"/>
      <c r="P347" s="264"/>
      <c r="Q347" s="264"/>
      <c r="T347" s="264"/>
      <c r="U347" s="264"/>
    </row>
    <row r="348" spans="3:21" s="263" customFormat="1">
      <c r="C348" s="264"/>
      <c r="D348" s="264"/>
      <c r="E348" s="264"/>
      <c r="F348" s="264"/>
      <c r="G348" s="264"/>
      <c r="H348" s="264"/>
      <c r="I348" s="264"/>
      <c r="J348" s="264"/>
      <c r="K348" s="264"/>
      <c r="L348" s="264"/>
      <c r="M348" s="264"/>
      <c r="N348" s="264"/>
      <c r="O348" s="264"/>
      <c r="P348" s="264"/>
      <c r="Q348" s="264"/>
      <c r="T348" s="264"/>
      <c r="U348" s="264"/>
    </row>
    <row r="349" spans="3:21" s="263" customFormat="1">
      <c r="C349" s="264"/>
      <c r="D349" s="264"/>
      <c r="E349" s="264"/>
      <c r="F349" s="264"/>
      <c r="G349" s="264"/>
      <c r="H349" s="264"/>
      <c r="I349" s="264"/>
      <c r="J349" s="264"/>
      <c r="K349" s="264"/>
      <c r="L349" s="264"/>
      <c r="M349" s="264"/>
      <c r="N349" s="264"/>
      <c r="O349" s="264"/>
      <c r="P349" s="264"/>
      <c r="Q349" s="264"/>
      <c r="T349" s="264"/>
      <c r="U349" s="264"/>
    </row>
    <row r="350" spans="3:21" s="263" customFormat="1">
      <c r="C350" s="264"/>
      <c r="D350" s="264"/>
      <c r="E350" s="264"/>
      <c r="F350" s="264"/>
      <c r="G350" s="264"/>
      <c r="H350" s="264"/>
      <c r="I350" s="264"/>
      <c r="J350" s="264"/>
      <c r="K350" s="264"/>
      <c r="L350" s="264"/>
      <c r="M350" s="264"/>
      <c r="N350" s="264"/>
      <c r="O350" s="264"/>
      <c r="P350" s="264"/>
      <c r="Q350" s="264"/>
      <c r="T350" s="264"/>
      <c r="U350" s="264"/>
    </row>
    <row r="351" spans="3:21" s="263" customFormat="1">
      <c r="C351" s="264"/>
      <c r="D351" s="264"/>
      <c r="E351" s="264"/>
      <c r="F351" s="264"/>
      <c r="G351" s="264"/>
      <c r="H351" s="264"/>
      <c r="I351" s="264"/>
      <c r="J351" s="264"/>
      <c r="K351" s="264"/>
      <c r="L351" s="264"/>
      <c r="M351" s="264"/>
      <c r="N351" s="264"/>
      <c r="O351" s="264"/>
      <c r="P351" s="264"/>
      <c r="Q351" s="264"/>
      <c r="T351" s="264"/>
      <c r="U351" s="264"/>
    </row>
    <row r="352" spans="3:21" s="263" customFormat="1">
      <c r="C352" s="264"/>
      <c r="D352" s="264"/>
      <c r="E352" s="264"/>
      <c r="F352" s="264"/>
      <c r="G352" s="264"/>
      <c r="H352" s="264"/>
      <c r="I352" s="264"/>
      <c r="J352" s="264"/>
      <c r="K352" s="264"/>
      <c r="L352" s="264"/>
      <c r="M352" s="264"/>
      <c r="N352" s="264"/>
      <c r="O352" s="264"/>
      <c r="P352" s="264"/>
      <c r="Q352" s="264"/>
      <c r="T352" s="264"/>
      <c r="U352" s="264"/>
    </row>
    <row r="353" spans="3:21" s="263" customFormat="1">
      <c r="C353" s="264"/>
      <c r="D353" s="264"/>
      <c r="E353" s="264"/>
      <c r="F353" s="264"/>
      <c r="G353" s="264"/>
      <c r="H353" s="264"/>
      <c r="I353" s="264"/>
      <c r="J353" s="264"/>
      <c r="K353" s="264"/>
      <c r="L353" s="264"/>
      <c r="M353" s="264"/>
      <c r="N353" s="264"/>
      <c r="O353" s="264"/>
      <c r="P353" s="264"/>
      <c r="Q353" s="264"/>
      <c r="T353" s="264"/>
      <c r="U353" s="264"/>
    </row>
    <row r="354" spans="3:21" s="263" customFormat="1">
      <c r="C354" s="264"/>
      <c r="D354" s="264"/>
      <c r="E354" s="264"/>
      <c r="F354" s="264"/>
      <c r="G354" s="264"/>
      <c r="H354" s="264"/>
      <c r="I354" s="264"/>
      <c r="J354" s="264"/>
      <c r="K354" s="264"/>
      <c r="L354" s="264"/>
      <c r="M354" s="264"/>
      <c r="N354" s="264"/>
      <c r="O354" s="264"/>
      <c r="P354" s="264"/>
      <c r="Q354" s="264"/>
      <c r="T354" s="264"/>
      <c r="U354" s="264"/>
    </row>
    <row r="355" spans="3:21" s="263" customFormat="1">
      <c r="C355" s="264"/>
      <c r="D355" s="264"/>
      <c r="E355" s="264"/>
      <c r="F355" s="264"/>
      <c r="G355" s="264"/>
      <c r="H355" s="264"/>
      <c r="I355" s="264"/>
      <c r="J355" s="264"/>
      <c r="K355" s="264"/>
      <c r="L355" s="264"/>
      <c r="M355" s="264"/>
      <c r="N355" s="264"/>
      <c r="O355" s="264"/>
      <c r="P355" s="264"/>
      <c r="Q355" s="264"/>
      <c r="T355" s="264"/>
      <c r="U355" s="264"/>
    </row>
    <row r="356" spans="3:21" s="263" customFormat="1">
      <c r="C356" s="264"/>
      <c r="D356" s="264"/>
      <c r="E356" s="264"/>
      <c r="F356" s="264"/>
      <c r="G356" s="264"/>
      <c r="H356" s="264"/>
      <c r="I356" s="264"/>
      <c r="J356" s="264"/>
      <c r="K356" s="264"/>
      <c r="L356" s="264"/>
      <c r="M356" s="264"/>
      <c r="N356" s="264"/>
      <c r="O356" s="264"/>
      <c r="P356" s="264"/>
      <c r="Q356" s="264"/>
      <c r="T356" s="264"/>
      <c r="U356" s="264"/>
    </row>
    <row r="357" spans="3:21" s="263" customFormat="1">
      <c r="C357" s="264"/>
      <c r="D357" s="264"/>
      <c r="E357" s="264"/>
      <c r="F357" s="264"/>
      <c r="G357" s="264"/>
      <c r="H357" s="264"/>
      <c r="I357" s="264"/>
      <c r="J357" s="264"/>
      <c r="K357" s="264"/>
      <c r="L357" s="264"/>
      <c r="M357" s="264"/>
      <c r="N357" s="264"/>
      <c r="O357" s="264"/>
      <c r="P357" s="264"/>
      <c r="Q357" s="264"/>
      <c r="T357" s="264"/>
      <c r="U357" s="264"/>
    </row>
    <row r="358" spans="3:21" s="263" customFormat="1">
      <c r="C358" s="264"/>
      <c r="D358" s="264"/>
      <c r="E358" s="264"/>
      <c r="F358" s="264"/>
      <c r="G358" s="264"/>
      <c r="H358" s="264"/>
      <c r="I358" s="264"/>
      <c r="J358" s="264"/>
      <c r="K358" s="264"/>
      <c r="L358" s="264"/>
      <c r="M358" s="264"/>
      <c r="N358" s="264"/>
      <c r="O358" s="264"/>
      <c r="P358" s="264"/>
      <c r="Q358" s="264"/>
      <c r="T358" s="264"/>
      <c r="U358" s="264"/>
    </row>
    <row r="359" spans="3:21" s="263" customFormat="1">
      <c r="C359" s="264"/>
      <c r="D359" s="264"/>
      <c r="E359" s="264"/>
      <c r="F359" s="264"/>
      <c r="G359" s="264"/>
      <c r="H359" s="264"/>
      <c r="I359" s="264"/>
      <c r="J359" s="264"/>
      <c r="K359" s="264"/>
      <c r="L359" s="264"/>
      <c r="M359" s="264"/>
      <c r="N359" s="264"/>
      <c r="O359" s="264"/>
      <c r="P359" s="264"/>
      <c r="Q359" s="264"/>
      <c r="T359" s="264"/>
      <c r="U359" s="264"/>
    </row>
    <row r="360" spans="3:21" s="263" customFormat="1">
      <c r="C360" s="264"/>
      <c r="D360" s="264"/>
      <c r="E360" s="264"/>
      <c r="F360" s="264"/>
      <c r="G360" s="264"/>
      <c r="H360" s="264"/>
      <c r="I360" s="264"/>
      <c r="J360" s="264"/>
      <c r="K360" s="264"/>
      <c r="L360" s="264"/>
      <c r="M360" s="264"/>
      <c r="N360" s="264"/>
      <c r="O360" s="264"/>
      <c r="P360" s="264"/>
      <c r="Q360" s="264"/>
      <c r="T360" s="264"/>
      <c r="U360" s="264"/>
    </row>
    <row r="361" spans="3:21" s="263" customFormat="1">
      <c r="C361" s="264"/>
      <c r="D361" s="264"/>
      <c r="E361" s="264"/>
      <c r="F361" s="264"/>
      <c r="G361" s="264"/>
      <c r="H361" s="264"/>
      <c r="I361" s="264"/>
      <c r="J361" s="264"/>
      <c r="K361" s="264"/>
      <c r="L361" s="264"/>
      <c r="M361" s="264"/>
      <c r="N361" s="264"/>
      <c r="O361" s="264"/>
      <c r="P361" s="264"/>
      <c r="Q361" s="264"/>
      <c r="T361" s="264"/>
      <c r="U361" s="264"/>
    </row>
    <row r="362" spans="3:21" s="263" customFormat="1">
      <c r="C362" s="264"/>
      <c r="D362" s="264"/>
      <c r="E362" s="264"/>
      <c r="F362" s="264"/>
      <c r="G362" s="264"/>
      <c r="H362" s="264"/>
      <c r="I362" s="264"/>
      <c r="J362" s="264"/>
      <c r="K362" s="264"/>
      <c r="L362" s="264"/>
      <c r="M362" s="264"/>
      <c r="N362" s="264"/>
      <c r="O362" s="264"/>
      <c r="P362" s="264"/>
      <c r="Q362" s="264"/>
      <c r="T362" s="264"/>
      <c r="U362" s="264"/>
    </row>
    <row r="363" spans="3:21" s="263" customFormat="1">
      <c r="C363" s="264"/>
      <c r="D363" s="264"/>
      <c r="E363" s="264"/>
      <c r="F363" s="264"/>
      <c r="G363" s="264"/>
      <c r="H363" s="264"/>
      <c r="I363" s="264"/>
      <c r="J363" s="264"/>
      <c r="K363" s="264"/>
      <c r="L363" s="264"/>
      <c r="M363" s="264"/>
      <c r="N363" s="264"/>
      <c r="O363" s="264"/>
      <c r="P363" s="264"/>
      <c r="Q363" s="264"/>
      <c r="T363" s="264"/>
      <c r="U363" s="264"/>
    </row>
    <row r="364" spans="3:21" s="263" customFormat="1">
      <c r="C364" s="264"/>
      <c r="D364" s="264"/>
      <c r="E364" s="264"/>
      <c r="F364" s="264"/>
      <c r="G364" s="264"/>
      <c r="H364" s="264"/>
      <c r="I364" s="264"/>
      <c r="J364" s="264"/>
      <c r="K364" s="264"/>
      <c r="L364" s="264"/>
      <c r="M364" s="264"/>
      <c r="N364" s="264"/>
      <c r="O364" s="264"/>
      <c r="P364" s="264"/>
      <c r="Q364" s="264"/>
      <c r="T364" s="264"/>
      <c r="U364" s="264"/>
    </row>
    <row r="365" spans="3:21" s="263" customFormat="1">
      <c r="C365" s="264"/>
      <c r="D365" s="264"/>
      <c r="E365" s="264"/>
      <c r="F365" s="264"/>
      <c r="G365" s="264"/>
      <c r="H365" s="264"/>
      <c r="I365" s="264"/>
      <c r="J365" s="264"/>
      <c r="K365" s="264"/>
      <c r="L365" s="264"/>
      <c r="M365" s="264"/>
      <c r="N365" s="264"/>
      <c r="O365" s="264"/>
      <c r="P365" s="264"/>
      <c r="Q365" s="264"/>
      <c r="T365" s="264"/>
      <c r="U365" s="264"/>
    </row>
    <row r="366" spans="3:21" s="263" customFormat="1">
      <c r="C366" s="264"/>
      <c r="D366" s="264"/>
      <c r="E366" s="264"/>
      <c r="F366" s="264"/>
      <c r="G366" s="264"/>
      <c r="H366" s="264"/>
      <c r="I366" s="264"/>
      <c r="J366" s="264"/>
      <c r="K366" s="264"/>
      <c r="L366" s="264"/>
      <c r="M366" s="264"/>
      <c r="N366" s="264"/>
      <c r="O366" s="264"/>
      <c r="P366" s="264"/>
      <c r="Q366" s="264"/>
      <c r="T366" s="264"/>
      <c r="U366" s="264"/>
    </row>
    <row r="367" spans="3:21" s="263" customFormat="1">
      <c r="C367" s="264"/>
      <c r="D367" s="264"/>
      <c r="E367" s="264"/>
      <c r="F367" s="264"/>
      <c r="G367" s="264"/>
      <c r="H367" s="264"/>
      <c r="I367" s="264"/>
      <c r="J367" s="264"/>
      <c r="K367" s="264"/>
      <c r="L367" s="264"/>
      <c r="M367" s="264"/>
      <c r="N367" s="264"/>
      <c r="O367" s="264"/>
      <c r="P367" s="264"/>
      <c r="Q367" s="264"/>
      <c r="T367" s="264"/>
      <c r="U367" s="264"/>
    </row>
    <row r="368" spans="3:21" s="263" customFormat="1">
      <c r="C368" s="264"/>
      <c r="D368" s="264"/>
      <c r="E368" s="264"/>
      <c r="F368" s="264"/>
      <c r="G368" s="264"/>
      <c r="H368" s="264"/>
      <c r="I368" s="264"/>
      <c r="J368" s="264"/>
      <c r="K368" s="264"/>
      <c r="L368" s="264"/>
      <c r="M368" s="264"/>
      <c r="N368" s="264"/>
      <c r="O368" s="264"/>
      <c r="P368" s="264"/>
      <c r="Q368" s="264"/>
      <c r="T368" s="264"/>
      <c r="U368" s="264"/>
    </row>
    <row r="369" spans="3:21" s="263" customFormat="1">
      <c r="C369" s="264"/>
      <c r="D369" s="264"/>
      <c r="E369" s="264"/>
      <c r="F369" s="264"/>
      <c r="G369" s="264"/>
      <c r="H369" s="264"/>
      <c r="I369" s="264"/>
      <c r="J369" s="264"/>
      <c r="K369" s="264"/>
      <c r="L369" s="264"/>
      <c r="M369" s="264"/>
      <c r="N369" s="264"/>
      <c r="O369" s="264"/>
      <c r="P369" s="264"/>
      <c r="Q369" s="264"/>
      <c r="T369" s="264"/>
      <c r="U369" s="264"/>
    </row>
    <row r="370" spans="3:21" s="263" customFormat="1">
      <c r="C370" s="264"/>
      <c r="D370" s="264"/>
      <c r="E370" s="264"/>
      <c r="F370" s="264"/>
      <c r="G370" s="264"/>
      <c r="H370" s="264"/>
      <c r="I370" s="264"/>
      <c r="J370" s="264"/>
      <c r="K370" s="264"/>
      <c r="L370" s="264"/>
      <c r="M370" s="264"/>
      <c r="N370" s="264"/>
      <c r="O370" s="264"/>
      <c r="P370" s="264"/>
      <c r="Q370" s="264"/>
      <c r="T370" s="264"/>
      <c r="U370" s="264"/>
    </row>
    <row r="371" spans="3:21" s="263" customFormat="1">
      <c r="C371" s="264"/>
      <c r="D371" s="264"/>
      <c r="E371" s="264"/>
      <c r="F371" s="264"/>
      <c r="G371" s="264"/>
      <c r="H371" s="264"/>
      <c r="I371" s="264"/>
      <c r="J371" s="264"/>
      <c r="K371" s="264"/>
      <c r="L371" s="264"/>
      <c r="M371" s="264"/>
      <c r="N371" s="264"/>
      <c r="O371" s="264"/>
      <c r="P371" s="264"/>
      <c r="Q371" s="264"/>
      <c r="T371" s="264"/>
      <c r="U371" s="264"/>
    </row>
    <row r="372" spans="3:21" s="263" customFormat="1">
      <c r="C372" s="264"/>
      <c r="D372" s="264"/>
      <c r="E372" s="264"/>
      <c r="F372" s="264"/>
      <c r="G372" s="264"/>
      <c r="H372" s="264"/>
      <c r="I372" s="264"/>
      <c r="J372" s="264"/>
      <c r="K372" s="264"/>
      <c r="L372" s="264"/>
      <c r="M372" s="264"/>
      <c r="N372" s="264"/>
      <c r="O372" s="264"/>
      <c r="P372" s="264"/>
      <c r="Q372" s="264"/>
      <c r="T372" s="264"/>
      <c r="U372" s="264"/>
    </row>
    <row r="373" spans="3:21" s="263" customFormat="1">
      <c r="C373" s="264"/>
      <c r="D373" s="264"/>
      <c r="E373" s="264"/>
      <c r="F373" s="264"/>
      <c r="G373" s="264"/>
      <c r="H373" s="264"/>
      <c r="I373" s="264"/>
      <c r="J373" s="264"/>
      <c r="K373" s="264"/>
      <c r="L373" s="264"/>
      <c r="M373" s="264"/>
      <c r="N373" s="264"/>
      <c r="O373" s="264"/>
      <c r="P373" s="264"/>
      <c r="Q373" s="264"/>
      <c r="T373" s="264"/>
      <c r="U373" s="264"/>
    </row>
    <row r="374" spans="3:21" s="263" customFormat="1">
      <c r="C374" s="264"/>
      <c r="D374" s="264"/>
      <c r="E374" s="264"/>
      <c r="F374" s="264"/>
      <c r="G374" s="264"/>
      <c r="H374" s="264"/>
      <c r="I374" s="264"/>
      <c r="J374" s="264"/>
      <c r="K374" s="264"/>
      <c r="L374" s="264"/>
      <c r="M374" s="264"/>
      <c r="N374" s="264"/>
      <c r="O374" s="264"/>
      <c r="P374" s="264"/>
      <c r="Q374" s="264"/>
      <c r="T374" s="264"/>
      <c r="U374" s="264"/>
    </row>
    <row r="375" spans="3:21" s="263" customFormat="1">
      <c r="C375" s="264"/>
      <c r="D375" s="264"/>
      <c r="E375" s="264"/>
      <c r="F375" s="264"/>
      <c r="G375" s="264"/>
      <c r="H375" s="264"/>
      <c r="I375" s="264"/>
      <c r="J375" s="264"/>
      <c r="K375" s="264"/>
      <c r="L375" s="264"/>
      <c r="M375" s="264"/>
      <c r="N375" s="264"/>
      <c r="O375" s="264"/>
      <c r="P375" s="264"/>
      <c r="Q375" s="264"/>
      <c r="T375" s="264"/>
      <c r="U375" s="264"/>
    </row>
    <row r="376" spans="3:21" s="263" customFormat="1">
      <c r="C376" s="264"/>
      <c r="D376" s="264"/>
      <c r="E376" s="264"/>
      <c r="F376" s="264"/>
      <c r="G376" s="264"/>
      <c r="H376" s="264"/>
      <c r="I376" s="264"/>
      <c r="J376" s="264"/>
      <c r="K376" s="264"/>
      <c r="L376" s="264"/>
      <c r="M376" s="264"/>
      <c r="N376" s="264"/>
      <c r="O376" s="264"/>
      <c r="P376" s="264"/>
      <c r="Q376" s="264"/>
      <c r="T376" s="264"/>
      <c r="U376" s="264"/>
    </row>
    <row r="377" spans="3:21" s="263" customFormat="1">
      <c r="C377" s="264"/>
      <c r="D377" s="264"/>
      <c r="E377" s="264"/>
      <c r="F377" s="264"/>
      <c r="G377" s="264"/>
      <c r="H377" s="264"/>
      <c r="I377" s="264"/>
      <c r="J377" s="264"/>
      <c r="K377" s="264"/>
      <c r="L377" s="264"/>
      <c r="M377" s="264"/>
      <c r="N377" s="264"/>
      <c r="O377" s="264"/>
      <c r="P377" s="264"/>
      <c r="Q377" s="264"/>
      <c r="T377" s="264"/>
      <c r="U377" s="264"/>
    </row>
    <row r="378" spans="3:21" s="263" customFormat="1">
      <c r="C378" s="264"/>
      <c r="D378" s="264"/>
      <c r="E378" s="264"/>
      <c r="F378" s="264"/>
      <c r="G378" s="264"/>
      <c r="H378" s="264"/>
      <c r="I378" s="264"/>
      <c r="J378" s="264"/>
      <c r="K378" s="264"/>
      <c r="L378" s="264"/>
      <c r="M378" s="264"/>
      <c r="N378" s="264"/>
      <c r="O378" s="264"/>
      <c r="P378" s="264"/>
      <c r="Q378" s="264"/>
      <c r="T378" s="264"/>
      <c r="U378" s="264"/>
    </row>
    <row r="379" spans="3:21" s="263" customFormat="1">
      <c r="C379" s="264"/>
      <c r="D379" s="264"/>
      <c r="E379" s="264"/>
      <c r="F379" s="264"/>
      <c r="G379" s="264"/>
      <c r="H379" s="264"/>
      <c r="I379" s="264"/>
      <c r="J379" s="264"/>
      <c r="K379" s="264"/>
      <c r="L379" s="264"/>
      <c r="M379" s="264"/>
      <c r="N379" s="264"/>
      <c r="O379" s="264"/>
      <c r="P379" s="264"/>
      <c r="Q379" s="264"/>
      <c r="T379" s="264"/>
      <c r="U379" s="264"/>
    </row>
    <row r="380" spans="3:21" s="263" customFormat="1">
      <c r="C380" s="264"/>
      <c r="D380" s="264"/>
      <c r="E380" s="264"/>
      <c r="F380" s="264"/>
      <c r="G380" s="264"/>
      <c r="H380" s="264"/>
      <c r="I380" s="264"/>
      <c r="J380" s="264"/>
      <c r="K380" s="264"/>
      <c r="L380" s="264"/>
      <c r="M380" s="264"/>
      <c r="N380" s="264"/>
      <c r="O380" s="264"/>
      <c r="P380" s="264"/>
      <c r="Q380" s="264"/>
      <c r="T380" s="264"/>
      <c r="U380" s="264"/>
    </row>
    <row r="381" spans="3:21" s="263" customFormat="1">
      <c r="C381" s="264"/>
      <c r="D381" s="264"/>
      <c r="E381" s="264"/>
      <c r="F381" s="264"/>
      <c r="G381" s="264"/>
      <c r="H381" s="264"/>
      <c r="I381" s="264"/>
      <c r="J381" s="264"/>
      <c r="K381" s="264"/>
      <c r="L381" s="264"/>
      <c r="M381" s="264"/>
      <c r="N381" s="264"/>
      <c r="O381" s="264"/>
      <c r="P381" s="264"/>
      <c r="Q381" s="264"/>
      <c r="T381" s="264"/>
      <c r="U381" s="264"/>
    </row>
    <row r="382" spans="3:21" s="263" customFormat="1">
      <c r="C382" s="264"/>
      <c r="D382" s="264"/>
      <c r="E382" s="264"/>
      <c r="F382" s="264"/>
      <c r="G382" s="264"/>
      <c r="H382" s="264"/>
      <c r="I382" s="264"/>
      <c r="J382" s="264"/>
      <c r="K382" s="264"/>
      <c r="L382" s="264"/>
      <c r="M382" s="264"/>
      <c r="N382" s="264"/>
      <c r="O382" s="264"/>
      <c r="P382" s="264"/>
      <c r="Q382" s="264"/>
      <c r="T382" s="264"/>
      <c r="U382" s="264"/>
    </row>
    <row r="383" spans="3:21" s="263" customFormat="1">
      <c r="C383" s="264"/>
      <c r="D383" s="264"/>
      <c r="E383" s="264"/>
      <c r="F383" s="264"/>
      <c r="G383" s="264"/>
      <c r="H383" s="264"/>
      <c r="I383" s="264"/>
      <c r="J383" s="264"/>
      <c r="K383" s="264"/>
      <c r="L383" s="264"/>
      <c r="M383" s="264"/>
      <c r="N383" s="264"/>
      <c r="O383" s="264"/>
      <c r="P383" s="264"/>
      <c r="Q383" s="264"/>
      <c r="T383" s="264"/>
      <c r="U383" s="264"/>
    </row>
    <row r="384" spans="3:21" s="263" customFormat="1">
      <c r="C384" s="264"/>
      <c r="D384" s="264"/>
      <c r="E384" s="264"/>
      <c r="F384" s="264"/>
      <c r="G384" s="264"/>
      <c r="H384" s="264"/>
      <c r="I384" s="264"/>
      <c r="J384" s="264"/>
      <c r="K384" s="264"/>
      <c r="L384" s="264"/>
      <c r="M384" s="264"/>
      <c r="N384" s="264"/>
      <c r="O384" s="264"/>
      <c r="P384" s="264"/>
      <c r="Q384" s="264"/>
      <c r="T384" s="264"/>
      <c r="U384" s="264"/>
    </row>
    <row r="385" spans="3:21" s="263" customFormat="1">
      <c r="C385" s="264"/>
      <c r="D385" s="264"/>
      <c r="E385" s="264"/>
      <c r="F385" s="264"/>
      <c r="G385" s="264"/>
      <c r="H385" s="264"/>
      <c r="I385" s="264"/>
      <c r="J385" s="264"/>
      <c r="K385" s="264"/>
      <c r="L385" s="264"/>
      <c r="M385" s="264"/>
      <c r="N385" s="264"/>
      <c r="O385" s="264"/>
      <c r="P385" s="264"/>
      <c r="Q385" s="264"/>
      <c r="T385" s="264"/>
      <c r="U385" s="264"/>
    </row>
    <row r="386" spans="3:21" s="263" customFormat="1">
      <c r="C386" s="264"/>
      <c r="D386" s="264"/>
      <c r="E386" s="264"/>
      <c r="F386" s="264"/>
      <c r="G386" s="264"/>
      <c r="H386" s="264"/>
      <c r="I386" s="264"/>
      <c r="J386" s="264"/>
      <c r="K386" s="264"/>
      <c r="L386" s="264"/>
      <c r="M386" s="264"/>
      <c r="N386" s="264"/>
      <c r="O386" s="264"/>
      <c r="P386" s="264"/>
      <c r="Q386" s="264"/>
      <c r="T386" s="264"/>
      <c r="U386" s="264"/>
    </row>
    <row r="387" spans="3:21" s="263" customFormat="1">
      <c r="C387" s="264"/>
      <c r="D387" s="264"/>
      <c r="E387" s="264"/>
      <c r="F387" s="264"/>
      <c r="G387" s="264"/>
      <c r="H387" s="264"/>
      <c r="I387" s="264"/>
      <c r="J387" s="264"/>
      <c r="K387" s="264"/>
      <c r="L387" s="264"/>
      <c r="M387" s="264"/>
      <c r="N387" s="264"/>
      <c r="O387" s="264"/>
      <c r="P387" s="264"/>
      <c r="Q387" s="264"/>
      <c r="T387" s="264"/>
      <c r="U387" s="264"/>
    </row>
    <row r="388" spans="3:21" s="263" customFormat="1">
      <c r="C388" s="264"/>
      <c r="D388" s="264"/>
      <c r="E388" s="264"/>
      <c r="F388" s="264"/>
      <c r="G388" s="264"/>
      <c r="H388" s="264"/>
      <c r="I388" s="264"/>
      <c r="J388" s="264"/>
      <c r="K388" s="264"/>
      <c r="L388" s="264"/>
      <c r="M388" s="264"/>
      <c r="N388" s="264"/>
      <c r="O388" s="264"/>
      <c r="P388" s="264"/>
      <c r="Q388" s="264"/>
      <c r="T388" s="264"/>
      <c r="U388" s="264"/>
    </row>
    <row r="389" spans="3:21" s="263" customFormat="1">
      <c r="C389" s="264"/>
      <c r="D389" s="264"/>
      <c r="E389" s="264"/>
      <c r="F389" s="264"/>
      <c r="G389" s="264"/>
      <c r="H389" s="264"/>
      <c r="I389" s="264"/>
      <c r="J389" s="264"/>
      <c r="K389" s="264"/>
      <c r="L389" s="264"/>
      <c r="M389" s="264"/>
      <c r="N389" s="264"/>
      <c r="O389" s="264"/>
      <c r="P389" s="264"/>
      <c r="Q389" s="264"/>
      <c r="T389" s="264"/>
      <c r="U389" s="264"/>
    </row>
    <row r="390" spans="3:21" s="263" customFormat="1">
      <c r="C390" s="264"/>
      <c r="D390" s="264"/>
      <c r="E390" s="264"/>
      <c r="F390" s="264"/>
      <c r="G390" s="264"/>
      <c r="H390" s="264"/>
      <c r="I390" s="264"/>
      <c r="J390" s="264"/>
      <c r="K390" s="264"/>
      <c r="L390" s="264"/>
      <c r="M390" s="264"/>
      <c r="N390" s="264"/>
      <c r="O390" s="264"/>
      <c r="P390" s="264"/>
      <c r="Q390" s="264"/>
      <c r="T390" s="264"/>
      <c r="U390" s="264"/>
    </row>
    <row r="391" spans="3:21" s="263" customFormat="1">
      <c r="C391" s="264"/>
      <c r="D391" s="264"/>
      <c r="E391" s="264"/>
      <c r="F391" s="264"/>
      <c r="G391" s="264"/>
      <c r="H391" s="264"/>
      <c r="I391" s="264"/>
      <c r="J391" s="264"/>
      <c r="K391" s="264"/>
      <c r="L391" s="264"/>
      <c r="M391" s="264"/>
      <c r="N391" s="264"/>
      <c r="O391" s="264"/>
      <c r="P391" s="264"/>
      <c r="Q391" s="264"/>
      <c r="T391" s="264"/>
      <c r="U391" s="264"/>
    </row>
    <row r="392" spans="3:21" s="263" customFormat="1">
      <c r="C392" s="264"/>
      <c r="D392" s="264"/>
      <c r="E392" s="264"/>
      <c r="F392" s="264"/>
      <c r="G392" s="264"/>
      <c r="H392" s="264"/>
      <c r="I392" s="264"/>
      <c r="J392" s="264"/>
      <c r="K392" s="264"/>
      <c r="L392" s="264"/>
      <c r="M392" s="264"/>
      <c r="N392" s="264"/>
      <c r="O392" s="264"/>
      <c r="P392" s="264"/>
      <c r="Q392" s="264"/>
      <c r="T392" s="264"/>
      <c r="U392" s="264"/>
    </row>
    <row r="393" spans="3:21" s="263" customFormat="1">
      <c r="C393" s="264"/>
      <c r="D393" s="264"/>
      <c r="E393" s="264"/>
      <c r="F393" s="264"/>
      <c r="G393" s="264"/>
      <c r="H393" s="264"/>
      <c r="I393" s="264"/>
      <c r="J393" s="264"/>
      <c r="K393" s="264"/>
      <c r="L393" s="264"/>
      <c r="M393" s="264"/>
      <c r="N393" s="264"/>
      <c r="O393" s="264"/>
      <c r="P393" s="264"/>
      <c r="Q393" s="264"/>
      <c r="T393" s="264"/>
      <c r="U393" s="264"/>
    </row>
    <row r="394" spans="3:21" s="263" customFormat="1">
      <c r="C394" s="264"/>
      <c r="D394" s="264"/>
      <c r="E394" s="264"/>
      <c r="F394" s="264"/>
      <c r="G394" s="264"/>
      <c r="H394" s="264"/>
      <c r="I394" s="264"/>
      <c r="J394" s="264"/>
      <c r="K394" s="264"/>
      <c r="L394" s="264"/>
      <c r="M394" s="264"/>
      <c r="N394" s="264"/>
      <c r="O394" s="264"/>
      <c r="P394" s="264"/>
      <c r="Q394" s="264"/>
      <c r="T394" s="264"/>
      <c r="U394" s="264"/>
    </row>
    <row r="395" spans="3:21" s="263" customFormat="1">
      <c r="C395" s="264"/>
      <c r="D395" s="264"/>
      <c r="E395" s="264"/>
      <c r="F395" s="264"/>
      <c r="G395" s="264"/>
      <c r="H395" s="264"/>
      <c r="I395" s="264"/>
      <c r="J395" s="264"/>
      <c r="K395" s="264"/>
      <c r="L395" s="264"/>
      <c r="M395" s="264"/>
      <c r="N395" s="264"/>
      <c r="O395" s="264"/>
      <c r="P395" s="264"/>
      <c r="Q395" s="264"/>
      <c r="T395" s="264"/>
      <c r="U395" s="264"/>
    </row>
    <row r="396" spans="3:21" s="263" customFormat="1">
      <c r="C396" s="264"/>
      <c r="D396" s="264"/>
      <c r="E396" s="264"/>
      <c r="F396" s="264"/>
      <c r="G396" s="264"/>
      <c r="H396" s="264"/>
      <c r="I396" s="264"/>
      <c r="J396" s="264"/>
      <c r="K396" s="264"/>
      <c r="L396" s="264"/>
      <c r="M396" s="264"/>
      <c r="N396" s="264"/>
      <c r="O396" s="264"/>
      <c r="P396" s="264"/>
      <c r="Q396" s="264"/>
      <c r="T396" s="264"/>
      <c r="U396" s="264"/>
    </row>
    <row r="397" spans="3:21" s="263" customFormat="1">
      <c r="C397" s="264"/>
      <c r="D397" s="264"/>
      <c r="E397" s="264"/>
      <c r="F397" s="264"/>
      <c r="G397" s="264"/>
      <c r="H397" s="264"/>
      <c r="I397" s="264"/>
      <c r="J397" s="264"/>
      <c r="K397" s="264"/>
      <c r="L397" s="264"/>
      <c r="M397" s="264"/>
      <c r="N397" s="264"/>
      <c r="O397" s="264"/>
      <c r="P397" s="264"/>
      <c r="Q397" s="264"/>
      <c r="T397" s="264"/>
      <c r="U397" s="264"/>
    </row>
    <row r="398" spans="3:21" s="263" customFormat="1">
      <c r="C398" s="264"/>
      <c r="D398" s="264"/>
      <c r="E398" s="264"/>
      <c r="F398" s="264"/>
      <c r="G398" s="264"/>
      <c r="H398" s="264"/>
      <c r="I398" s="264"/>
      <c r="J398" s="264"/>
      <c r="K398" s="264"/>
      <c r="L398" s="264"/>
      <c r="M398" s="264"/>
      <c r="N398" s="264"/>
      <c r="O398" s="264"/>
      <c r="P398" s="264"/>
      <c r="Q398" s="264"/>
      <c r="T398" s="264"/>
      <c r="U398" s="264"/>
    </row>
    <row r="399" spans="3:21" s="263" customFormat="1">
      <c r="C399" s="264"/>
      <c r="D399" s="264"/>
      <c r="E399" s="264"/>
      <c r="F399" s="264"/>
      <c r="G399" s="264"/>
      <c r="H399" s="264"/>
      <c r="I399" s="264"/>
      <c r="J399" s="264"/>
      <c r="K399" s="264"/>
      <c r="L399" s="264"/>
      <c r="M399" s="264"/>
      <c r="N399" s="264"/>
      <c r="O399" s="264"/>
      <c r="P399" s="264"/>
      <c r="Q399" s="264"/>
      <c r="T399" s="264"/>
      <c r="U399" s="264"/>
    </row>
    <row r="400" spans="3:21" s="263" customFormat="1">
      <c r="C400" s="264"/>
      <c r="D400" s="264"/>
      <c r="E400" s="264"/>
      <c r="F400" s="264"/>
      <c r="G400" s="264"/>
      <c r="H400" s="264"/>
      <c r="I400" s="264"/>
      <c r="J400" s="264"/>
      <c r="K400" s="264"/>
      <c r="L400" s="264"/>
      <c r="M400" s="264"/>
      <c r="N400" s="264"/>
      <c r="O400" s="264"/>
      <c r="P400" s="264"/>
      <c r="Q400" s="264"/>
      <c r="T400" s="264"/>
      <c r="U400" s="264"/>
    </row>
    <row r="401" spans="3:21" s="263" customFormat="1">
      <c r="C401" s="264"/>
      <c r="D401" s="264"/>
      <c r="E401" s="264"/>
      <c r="F401" s="264"/>
      <c r="G401" s="264"/>
      <c r="H401" s="264"/>
      <c r="I401" s="264"/>
      <c r="J401" s="264"/>
      <c r="K401" s="264"/>
      <c r="L401" s="264"/>
      <c r="M401" s="264"/>
      <c r="N401" s="264"/>
      <c r="O401" s="264"/>
      <c r="P401" s="264"/>
      <c r="Q401" s="264"/>
      <c r="T401" s="264"/>
      <c r="U401" s="264"/>
    </row>
    <row r="402" spans="3:21" s="263" customFormat="1">
      <c r="C402" s="264"/>
      <c r="D402" s="264"/>
      <c r="E402" s="264"/>
      <c r="F402" s="264"/>
      <c r="G402" s="264"/>
      <c r="H402" s="264"/>
      <c r="I402" s="264"/>
      <c r="J402" s="264"/>
      <c r="K402" s="264"/>
      <c r="L402" s="264"/>
      <c r="M402" s="264"/>
      <c r="N402" s="264"/>
      <c r="O402" s="264"/>
      <c r="P402" s="264"/>
      <c r="Q402" s="264"/>
      <c r="T402" s="264"/>
      <c r="U402" s="264"/>
    </row>
    <row r="403" spans="3:21" s="263" customFormat="1">
      <c r="C403" s="264"/>
      <c r="D403" s="264"/>
      <c r="E403" s="264"/>
      <c r="F403" s="264"/>
      <c r="G403" s="264"/>
      <c r="H403" s="264"/>
      <c r="I403" s="264"/>
      <c r="J403" s="264"/>
      <c r="K403" s="264"/>
      <c r="L403" s="264"/>
      <c r="M403" s="264"/>
      <c r="N403" s="264"/>
      <c r="O403" s="264"/>
      <c r="P403" s="264"/>
      <c r="Q403" s="264"/>
      <c r="T403" s="264"/>
      <c r="U403" s="264"/>
    </row>
    <row r="404" spans="3:21" s="263" customFormat="1">
      <c r="C404" s="264"/>
      <c r="D404" s="264"/>
      <c r="E404" s="264"/>
      <c r="F404" s="264"/>
      <c r="G404" s="264"/>
      <c r="H404" s="264"/>
      <c r="I404" s="264"/>
      <c r="J404" s="264"/>
      <c r="K404" s="264"/>
      <c r="L404" s="264"/>
      <c r="M404" s="264"/>
      <c r="N404" s="264"/>
      <c r="O404" s="264"/>
      <c r="P404" s="264"/>
      <c r="Q404" s="264"/>
      <c r="T404" s="264"/>
      <c r="U404" s="264"/>
    </row>
    <row r="405" spans="3:21" s="263" customFormat="1">
      <c r="C405" s="264"/>
      <c r="D405" s="264"/>
      <c r="E405" s="264"/>
      <c r="F405" s="264"/>
      <c r="G405" s="264"/>
      <c r="H405" s="264"/>
      <c r="I405" s="264"/>
      <c r="J405" s="264"/>
      <c r="K405" s="264"/>
      <c r="L405" s="264"/>
      <c r="M405" s="264"/>
      <c r="N405" s="264"/>
      <c r="O405" s="264"/>
      <c r="P405" s="264"/>
      <c r="Q405" s="264"/>
      <c r="T405" s="264"/>
      <c r="U405" s="264"/>
    </row>
    <row r="406" spans="3:21" s="263" customFormat="1">
      <c r="C406" s="264"/>
      <c r="D406" s="264"/>
      <c r="E406" s="264"/>
      <c r="F406" s="264"/>
      <c r="G406" s="264"/>
      <c r="H406" s="264"/>
      <c r="I406" s="264"/>
      <c r="J406" s="264"/>
      <c r="K406" s="264"/>
      <c r="L406" s="264"/>
      <c r="M406" s="264"/>
      <c r="N406" s="264"/>
      <c r="O406" s="264"/>
      <c r="P406" s="264"/>
      <c r="Q406" s="264"/>
      <c r="T406" s="264"/>
      <c r="U406" s="264"/>
    </row>
    <row r="407" spans="3:21" s="263" customFormat="1">
      <c r="C407" s="264"/>
      <c r="D407" s="264"/>
      <c r="E407" s="264"/>
      <c r="F407" s="264"/>
      <c r="G407" s="264"/>
      <c r="H407" s="264"/>
      <c r="I407" s="264"/>
      <c r="J407" s="264"/>
      <c r="K407" s="264"/>
      <c r="L407" s="264"/>
      <c r="M407" s="264"/>
      <c r="N407" s="264"/>
      <c r="O407" s="264"/>
      <c r="P407" s="264"/>
      <c r="Q407" s="264"/>
      <c r="T407" s="264"/>
      <c r="U407" s="264"/>
    </row>
    <row r="408" spans="3:21" s="263" customFormat="1">
      <c r="C408" s="264"/>
      <c r="D408" s="264"/>
      <c r="E408" s="264"/>
      <c r="F408" s="264"/>
      <c r="G408" s="264"/>
      <c r="H408" s="264"/>
      <c r="I408" s="264"/>
      <c r="J408" s="264"/>
      <c r="K408" s="264"/>
      <c r="L408" s="264"/>
      <c r="M408" s="264"/>
      <c r="N408" s="264"/>
      <c r="O408" s="264"/>
      <c r="P408" s="264"/>
      <c r="Q408" s="264"/>
      <c r="T408" s="264"/>
      <c r="U408" s="264"/>
    </row>
    <row r="409" spans="3:21" s="263" customFormat="1">
      <c r="C409" s="264"/>
      <c r="D409" s="264"/>
      <c r="E409" s="264"/>
      <c r="F409" s="264"/>
      <c r="G409" s="264"/>
      <c r="H409" s="264"/>
      <c r="I409" s="264"/>
      <c r="J409" s="264"/>
      <c r="K409" s="264"/>
      <c r="L409" s="264"/>
      <c r="M409" s="264"/>
      <c r="N409" s="264"/>
      <c r="O409" s="264"/>
      <c r="P409" s="264"/>
      <c r="Q409" s="264"/>
      <c r="T409" s="264"/>
      <c r="U409" s="264"/>
    </row>
    <row r="410" spans="3:21" s="263" customFormat="1">
      <c r="C410" s="264"/>
      <c r="D410" s="264"/>
      <c r="E410" s="264"/>
      <c r="F410" s="264"/>
      <c r="G410" s="264"/>
      <c r="H410" s="264"/>
      <c r="I410" s="264"/>
      <c r="J410" s="264"/>
      <c r="K410" s="264"/>
      <c r="L410" s="264"/>
      <c r="M410" s="264"/>
      <c r="N410" s="264"/>
      <c r="O410" s="264"/>
      <c r="P410" s="264"/>
      <c r="Q410" s="264"/>
      <c r="T410" s="264"/>
      <c r="U410" s="264"/>
    </row>
    <row r="411" spans="3:21" s="263" customFormat="1">
      <c r="C411" s="264"/>
      <c r="D411" s="264"/>
      <c r="E411" s="264"/>
      <c r="F411" s="264"/>
      <c r="G411" s="264"/>
      <c r="H411" s="264"/>
      <c r="I411" s="264"/>
      <c r="J411" s="264"/>
      <c r="K411" s="264"/>
      <c r="L411" s="264"/>
      <c r="M411" s="264"/>
      <c r="N411" s="264"/>
      <c r="O411" s="264"/>
      <c r="P411" s="264"/>
      <c r="Q411" s="264"/>
      <c r="T411" s="264"/>
      <c r="U411" s="264"/>
    </row>
    <row r="412" spans="3:21" s="263" customFormat="1">
      <c r="C412" s="264"/>
      <c r="D412" s="264"/>
      <c r="E412" s="264"/>
      <c r="F412" s="264"/>
      <c r="G412" s="264"/>
      <c r="H412" s="264"/>
      <c r="I412" s="264"/>
      <c r="J412" s="264"/>
      <c r="K412" s="264"/>
      <c r="L412" s="264"/>
      <c r="M412" s="264"/>
      <c r="N412" s="264"/>
      <c r="O412" s="264"/>
      <c r="P412" s="264"/>
      <c r="Q412" s="264"/>
      <c r="T412" s="264"/>
      <c r="U412" s="264"/>
    </row>
    <row r="413" spans="3:21" s="263" customFormat="1">
      <c r="C413" s="264"/>
      <c r="D413" s="264"/>
      <c r="E413" s="264"/>
      <c r="F413" s="264"/>
      <c r="G413" s="264"/>
      <c r="H413" s="264"/>
      <c r="I413" s="264"/>
      <c r="J413" s="264"/>
      <c r="K413" s="264"/>
      <c r="L413" s="264"/>
      <c r="M413" s="264"/>
      <c r="N413" s="264"/>
      <c r="O413" s="264"/>
      <c r="P413" s="264"/>
      <c r="Q413" s="264"/>
      <c r="T413" s="264"/>
      <c r="U413" s="264"/>
    </row>
    <row r="414" spans="3:21" s="263" customFormat="1">
      <c r="C414" s="264"/>
      <c r="D414" s="264"/>
      <c r="E414" s="264"/>
      <c r="F414" s="264"/>
      <c r="G414" s="264"/>
      <c r="H414" s="264"/>
      <c r="I414" s="264"/>
      <c r="J414" s="264"/>
      <c r="K414" s="264"/>
      <c r="L414" s="264"/>
      <c r="M414" s="264"/>
      <c r="N414" s="264"/>
      <c r="O414" s="264"/>
      <c r="P414" s="264"/>
      <c r="Q414" s="264"/>
      <c r="T414" s="264"/>
      <c r="U414" s="264"/>
    </row>
    <row r="415" spans="3:21" s="263" customFormat="1">
      <c r="C415" s="264"/>
      <c r="D415" s="264"/>
      <c r="E415" s="264"/>
      <c r="F415" s="264"/>
      <c r="G415" s="264"/>
      <c r="H415" s="264"/>
      <c r="I415" s="264"/>
      <c r="J415" s="264"/>
      <c r="K415" s="264"/>
      <c r="L415" s="264"/>
      <c r="M415" s="264"/>
      <c r="N415" s="264"/>
      <c r="O415" s="264"/>
      <c r="P415" s="264"/>
      <c r="Q415" s="264"/>
      <c r="T415" s="264"/>
      <c r="U415" s="264"/>
    </row>
    <row r="416" spans="3:21" s="263" customFormat="1">
      <c r="C416" s="264"/>
      <c r="D416" s="264"/>
      <c r="E416" s="264"/>
      <c r="F416" s="264"/>
      <c r="G416" s="264"/>
      <c r="H416" s="264"/>
      <c r="I416" s="264"/>
      <c r="J416" s="264"/>
      <c r="K416" s="264"/>
      <c r="L416" s="264"/>
      <c r="M416" s="264"/>
      <c r="N416" s="264"/>
      <c r="O416" s="264"/>
      <c r="P416" s="264"/>
      <c r="Q416" s="264"/>
      <c r="T416" s="264"/>
      <c r="U416" s="264"/>
    </row>
    <row r="417" spans="2:21" s="263" customFormat="1">
      <c r="C417" s="264"/>
      <c r="D417" s="264"/>
      <c r="E417" s="264"/>
      <c r="F417" s="264"/>
      <c r="G417" s="264"/>
      <c r="H417" s="264"/>
      <c r="I417" s="264"/>
      <c r="J417" s="264"/>
      <c r="K417" s="264"/>
      <c r="L417" s="264"/>
      <c r="M417" s="264"/>
      <c r="N417" s="264"/>
      <c r="O417" s="264"/>
      <c r="P417" s="264"/>
      <c r="Q417" s="264"/>
      <c r="T417" s="264"/>
      <c r="U417" s="264"/>
    </row>
    <row r="418" spans="2:21" s="263" customFormat="1">
      <c r="C418" s="264"/>
      <c r="D418" s="264"/>
      <c r="E418" s="264"/>
      <c r="F418" s="264"/>
      <c r="G418" s="264"/>
      <c r="H418" s="264"/>
      <c r="I418" s="264"/>
      <c r="J418" s="264"/>
      <c r="K418" s="264"/>
      <c r="L418" s="264"/>
      <c r="M418" s="264"/>
      <c r="N418" s="264"/>
      <c r="O418" s="264"/>
      <c r="P418" s="264"/>
      <c r="Q418" s="264"/>
      <c r="T418" s="264"/>
      <c r="U418" s="264"/>
    </row>
    <row r="419" spans="2:21" s="263" customFormat="1">
      <c r="C419" s="264"/>
      <c r="D419" s="264"/>
      <c r="E419" s="264"/>
      <c r="F419" s="264"/>
      <c r="G419" s="264"/>
      <c r="H419" s="264"/>
      <c r="I419" s="264"/>
      <c r="J419" s="264"/>
      <c r="K419" s="264"/>
      <c r="L419" s="264"/>
      <c r="M419" s="264"/>
      <c r="N419" s="264"/>
      <c r="O419" s="264"/>
      <c r="P419" s="264"/>
      <c r="Q419" s="264"/>
      <c r="T419" s="264"/>
      <c r="U419" s="264"/>
    </row>
    <row r="420" spans="2:21" s="263" customFormat="1">
      <c r="C420" s="264"/>
      <c r="D420" s="264"/>
      <c r="E420" s="264"/>
      <c r="F420" s="264"/>
      <c r="G420" s="264"/>
      <c r="H420" s="264"/>
      <c r="I420" s="264"/>
      <c r="J420" s="264"/>
      <c r="K420" s="264"/>
      <c r="L420" s="264"/>
      <c r="M420" s="264"/>
      <c r="N420" s="264"/>
      <c r="O420" s="264"/>
      <c r="P420" s="264"/>
      <c r="Q420" s="264"/>
      <c r="T420" s="264"/>
      <c r="U420" s="264"/>
    </row>
    <row r="421" spans="2:21" s="263" customFormat="1">
      <c r="C421" s="264"/>
      <c r="D421" s="264"/>
      <c r="E421" s="264"/>
      <c r="F421" s="264"/>
      <c r="G421" s="264"/>
      <c r="H421" s="264"/>
      <c r="I421" s="264"/>
      <c r="J421" s="264"/>
      <c r="K421" s="264"/>
      <c r="L421" s="264"/>
      <c r="M421" s="264"/>
      <c r="N421" s="264"/>
      <c r="O421" s="264"/>
      <c r="P421" s="264"/>
      <c r="Q421" s="264"/>
      <c r="T421" s="264"/>
      <c r="U421" s="264"/>
    </row>
    <row r="422" spans="2:21">
      <c r="B422" s="263"/>
      <c r="O422" s="264"/>
      <c r="P422" s="264"/>
      <c r="Q422" s="264"/>
      <c r="R422" s="263"/>
      <c r="S422" s="263"/>
      <c r="T422" s="264"/>
      <c r="U422" s="264"/>
    </row>
    <row r="423" spans="2:21">
      <c r="B423" s="263"/>
      <c r="O423" s="264"/>
      <c r="P423" s="264"/>
      <c r="Q423" s="264"/>
      <c r="R423" s="263"/>
      <c r="S423" s="263"/>
      <c r="T423" s="264"/>
      <c r="U423" s="264"/>
    </row>
    <row r="424" spans="2:21">
      <c r="B424" s="263"/>
      <c r="O424" s="264"/>
      <c r="P424" s="264"/>
      <c r="Q424" s="264"/>
      <c r="R424" s="263"/>
      <c r="S424" s="263"/>
      <c r="T424" s="264"/>
      <c r="U424" s="264"/>
    </row>
    <row r="425" spans="2:21">
      <c r="B425" s="263"/>
      <c r="O425" s="264"/>
      <c r="P425" s="264"/>
      <c r="Q425" s="264"/>
      <c r="R425" s="263"/>
      <c r="S425" s="263"/>
      <c r="T425" s="264"/>
      <c r="U425" s="264"/>
    </row>
    <row r="426" spans="2:21">
      <c r="B426" s="263"/>
      <c r="O426" s="264"/>
      <c r="P426" s="264"/>
      <c r="Q426" s="264"/>
      <c r="R426" s="263"/>
      <c r="S426" s="263"/>
      <c r="T426" s="264"/>
      <c r="U426" s="264"/>
    </row>
    <row r="427" spans="2:21">
      <c r="B427" s="263"/>
      <c r="O427" s="264"/>
      <c r="P427" s="264"/>
      <c r="Q427" s="264"/>
      <c r="R427" s="263"/>
      <c r="S427" s="263"/>
      <c r="T427" s="264"/>
      <c r="U427" s="264"/>
    </row>
    <row r="428" spans="2:21">
      <c r="B428" s="263"/>
      <c r="O428" s="264"/>
      <c r="P428" s="264"/>
      <c r="Q428" s="264"/>
      <c r="R428" s="263"/>
      <c r="S428" s="263"/>
      <c r="T428" s="264"/>
      <c r="U428" s="264"/>
    </row>
    <row r="429" spans="2:21">
      <c r="B429" s="263"/>
      <c r="O429" s="264"/>
      <c r="P429" s="264"/>
      <c r="Q429" s="264"/>
      <c r="R429" s="263"/>
      <c r="S429" s="263"/>
      <c r="T429" s="264"/>
      <c r="U429" s="264"/>
    </row>
    <row r="430" spans="2:21">
      <c r="B430" s="263"/>
      <c r="O430" s="264"/>
      <c r="P430" s="264"/>
      <c r="Q430" s="264"/>
      <c r="R430" s="263"/>
      <c r="S430" s="263"/>
      <c r="T430" s="264"/>
      <c r="U430" s="264"/>
    </row>
    <row r="431" spans="2:21">
      <c r="B431" s="263"/>
      <c r="O431" s="264"/>
      <c r="P431" s="264"/>
      <c r="Q431" s="264"/>
      <c r="R431" s="263"/>
      <c r="S431" s="263"/>
      <c r="T431" s="264"/>
      <c r="U431" s="264"/>
    </row>
    <row r="432" spans="2:21">
      <c r="B432" s="263"/>
      <c r="O432" s="264"/>
      <c r="P432" s="264"/>
      <c r="Q432" s="264"/>
      <c r="R432" s="263"/>
      <c r="S432" s="263"/>
      <c r="T432" s="264"/>
      <c r="U432" s="264"/>
    </row>
    <row r="433" spans="2:21">
      <c r="B433" s="263"/>
      <c r="O433" s="264"/>
      <c r="P433" s="264"/>
      <c r="Q433" s="264"/>
      <c r="R433" s="263"/>
      <c r="S433" s="263"/>
      <c r="T433" s="264"/>
      <c r="U433" s="264"/>
    </row>
    <row r="434" spans="2:21">
      <c r="B434" s="263"/>
      <c r="O434" s="264"/>
      <c r="P434" s="264"/>
      <c r="Q434" s="264"/>
      <c r="R434" s="263"/>
      <c r="S434" s="263"/>
      <c r="T434" s="264"/>
      <c r="U434" s="264"/>
    </row>
    <row r="435" spans="2:21">
      <c r="B435" s="263"/>
      <c r="O435" s="264"/>
      <c r="P435" s="264"/>
      <c r="Q435" s="264"/>
      <c r="R435" s="263"/>
      <c r="S435" s="263"/>
      <c r="T435" s="264"/>
      <c r="U435" s="264"/>
    </row>
    <row r="436" spans="2:21">
      <c r="B436" s="263"/>
      <c r="O436" s="264"/>
      <c r="P436" s="264"/>
      <c r="Q436" s="264"/>
      <c r="R436" s="263"/>
      <c r="S436" s="263"/>
      <c r="T436" s="264"/>
      <c r="U436" s="264"/>
    </row>
    <row r="437" spans="2:21">
      <c r="B437" s="263"/>
      <c r="O437" s="264"/>
      <c r="P437" s="264"/>
      <c r="Q437" s="264"/>
      <c r="R437" s="263"/>
      <c r="S437" s="263"/>
      <c r="T437" s="264"/>
      <c r="U437" s="264"/>
    </row>
    <row r="438" spans="2:21">
      <c r="B438" s="263"/>
      <c r="O438" s="264"/>
      <c r="P438" s="264"/>
      <c r="Q438" s="264"/>
      <c r="R438" s="263"/>
      <c r="S438" s="263"/>
      <c r="T438" s="264"/>
      <c r="U438" s="264"/>
    </row>
    <row r="439" spans="2:21">
      <c r="B439" s="263"/>
      <c r="O439" s="264"/>
      <c r="P439" s="264"/>
      <c r="Q439" s="264"/>
      <c r="R439" s="263"/>
      <c r="S439" s="263"/>
      <c r="T439" s="264"/>
      <c r="U439" s="264"/>
    </row>
    <row r="440" spans="2:21" ht="409.6">
      <c r="B440" s="263"/>
      <c r="O440" s="264"/>
      <c r="P440" s="264"/>
      <c r="Q440" s="264"/>
      <c r="R440" s="263"/>
      <c r="S440" s="263"/>
      <c r="T440" s="264"/>
      <c r="U440" s="264"/>
    </row>
    <row r="441" spans="2:21" ht="409.6">
      <c r="B441" s="263"/>
      <c r="O441" s="264"/>
      <c r="P441" s="264"/>
      <c r="Q441" s="264"/>
      <c r="R441" s="263"/>
      <c r="S441" s="263"/>
      <c r="T441" s="264"/>
      <c r="U441" s="264"/>
    </row>
    <row r="442" spans="2:21">
      <c r="B442" s="263"/>
      <c r="O442" s="264"/>
      <c r="P442" s="264"/>
      <c r="Q442" s="264"/>
      <c r="R442" s="263"/>
      <c r="S442" s="263"/>
      <c r="T442" s="264"/>
      <c r="U442" s="264"/>
    </row>
  </sheetData>
  <conditionalFormatting sqref="C234:N234 C194:N194 C30:N30 C40:N40 C224:N224 C60:N60 C70:N70 C80:N80 C90:N90 C100:N100 C110:N110 C120:N120 C130:N130 C140:N140 C150:N150 C160:N160 C170:N170 C180:N180 C50:N50 C204:N204 C20:N20">
    <cfRule type="cellIs" dxfId="326" priority="40" stopIfTrue="1" operator="equal">
      <formula>"ERROR"</formula>
    </cfRule>
  </conditionalFormatting>
  <conditionalFormatting sqref="C254:N254">
    <cfRule type="cellIs" dxfId="325" priority="32" stopIfTrue="1" operator="equal">
      <formula>"ERROR"</formula>
    </cfRule>
  </conditionalFormatting>
  <conditionalFormatting sqref="C264:N264">
    <cfRule type="cellIs" dxfId="324" priority="31" stopIfTrue="1" operator="equal">
      <formula>"ERROR"</formula>
    </cfRule>
  </conditionalFormatting>
  <conditionalFormatting sqref="C274:N274">
    <cfRule type="cellIs" dxfId="323" priority="30" stopIfTrue="1" operator="equal">
      <formula>"ERROR"</formula>
    </cfRule>
  </conditionalFormatting>
  <conditionalFormatting sqref="C214:N214">
    <cfRule type="cellIs" dxfId="322" priority="29" stopIfTrue="1" operator="equal">
      <formula>"ERROR"</formula>
    </cfRule>
  </conditionalFormatting>
  <conditionalFormatting sqref="C244:N244">
    <cfRule type="cellIs" dxfId="321" priority="28" stopIfTrue="1" operator="equal">
      <formula>"ERROR"</formula>
    </cfRule>
  </conditionalFormatting>
  <conditionalFormatting sqref="C201:N203">
    <cfRule type="cellIs" dxfId="320" priority="27" operator="equal">
      <formula>0</formula>
    </cfRule>
  </conditionalFormatting>
  <conditionalFormatting sqref="C17:N19">
    <cfRule type="cellIs" dxfId="319" priority="1" operator="equal">
      <formula>0</formula>
    </cfRule>
  </conditionalFormatting>
  <conditionalFormatting sqref="C211:N213">
    <cfRule type="cellIs" dxfId="318" priority="25" operator="equal">
      <formula>0</formula>
    </cfRule>
  </conditionalFormatting>
  <conditionalFormatting sqref="C221:N223">
    <cfRule type="cellIs" dxfId="317" priority="24" operator="equal">
      <formula>0</formula>
    </cfRule>
  </conditionalFormatting>
  <conditionalFormatting sqref="C231:N233">
    <cfRule type="cellIs" dxfId="316" priority="23" operator="equal">
      <formula>0</formula>
    </cfRule>
  </conditionalFormatting>
  <conditionalFormatting sqref="C241:N243">
    <cfRule type="cellIs" dxfId="315" priority="22" operator="equal">
      <formula>0</formula>
    </cfRule>
  </conditionalFormatting>
  <conditionalFormatting sqref="C251:N253">
    <cfRule type="cellIs" dxfId="314" priority="21" operator="equal">
      <formula>0</formula>
    </cfRule>
  </conditionalFormatting>
  <conditionalFormatting sqref="C261:N263">
    <cfRule type="cellIs" dxfId="313" priority="20" operator="equal">
      <formula>0</formula>
    </cfRule>
  </conditionalFormatting>
  <conditionalFormatting sqref="C271:N273">
    <cfRule type="cellIs" dxfId="312" priority="19" operator="equal">
      <formula>0</formula>
    </cfRule>
  </conditionalFormatting>
  <conditionalFormatting sqref="C191:N193">
    <cfRule type="cellIs" dxfId="311" priority="18" operator="equal">
      <formula>0</formula>
    </cfRule>
  </conditionalFormatting>
  <conditionalFormatting sqref="C177:N179">
    <cfRule type="cellIs" dxfId="310" priority="17" operator="equal">
      <formula>0</formula>
    </cfRule>
  </conditionalFormatting>
  <conditionalFormatting sqref="C167:N169">
    <cfRule type="cellIs" dxfId="309" priority="16" operator="equal">
      <formula>0</formula>
    </cfRule>
  </conditionalFormatting>
  <conditionalFormatting sqref="C157:N159">
    <cfRule type="cellIs" dxfId="308" priority="15" operator="equal">
      <formula>0</formula>
    </cfRule>
  </conditionalFormatting>
  <conditionalFormatting sqref="C147:N149">
    <cfRule type="cellIs" dxfId="307" priority="14" operator="equal">
      <formula>0</formula>
    </cfRule>
  </conditionalFormatting>
  <conditionalFormatting sqref="C137:N139">
    <cfRule type="cellIs" dxfId="306" priority="13" operator="equal">
      <formula>0</formula>
    </cfRule>
  </conditionalFormatting>
  <conditionalFormatting sqref="C127:N129">
    <cfRule type="cellIs" dxfId="305" priority="12" operator="equal">
      <formula>0</formula>
    </cfRule>
  </conditionalFormatting>
  <conditionalFormatting sqref="C117:N119">
    <cfRule type="cellIs" dxfId="304" priority="11" operator="equal">
      <formula>0</formula>
    </cfRule>
  </conditionalFormatting>
  <conditionalFormatting sqref="C107:N109">
    <cfRule type="cellIs" dxfId="303" priority="10" operator="equal">
      <formula>0</formula>
    </cfRule>
  </conditionalFormatting>
  <conditionalFormatting sqref="C97:N99">
    <cfRule type="cellIs" dxfId="302" priority="9" operator="equal">
      <formula>0</formula>
    </cfRule>
  </conditionalFormatting>
  <conditionalFormatting sqref="C87:N89">
    <cfRule type="cellIs" dxfId="301" priority="8" operator="equal">
      <formula>0</formula>
    </cfRule>
  </conditionalFormatting>
  <conditionalFormatting sqref="C77:N79">
    <cfRule type="cellIs" dxfId="300" priority="7" operator="equal">
      <formula>0</formula>
    </cfRule>
  </conditionalFormatting>
  <conditionalFormatting sqref="C67:N69">
    <cfRule type="cellIs" dxfId="299" priority="6" operator="equal">
      <formula>0</formula>
    </cfRule>
  </conditionalFormatting>
  <conditionalFormatting sqref="C57:N59">
    <cfRule type="cellIs" dxfId="298" priority="5" operator="equal">
      <formula>0</formula>
    </cfRule>
  </conditionalFormatting>
  <conditionalFormatting sqref="C47:N49">
    <cfRule type="cellIs" dxfId="297" priority="4" operator="equal">
      <formula>0</formula>
    </cfRule>
  </conditionalFormatting>
  <conditionalFormatting sqref="C37:N39">
    <cfRule type="cellIs" dxfId="296" priority="3" operator="equal">
      <formula>0</formula>
    </cfRule>
  </conditionalFormatting>
  <conditionalFormatting sqref="C27:N29">
    <cfRule type="cellIs" dxfId="295" priority="2" operator="equal">
      <formula>0</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P2158"/>
  <sheetViews>
    <sheetView showGridLines="0" zoomScale="75" zoomScaleNormal="75" zoomScaleSheetLayoutView="75" workbookViewId="0">
      <selection activeCell="A2" sqref="A1:A2"/>
    </sheetView>
  </sheetViews>
  <sheetFormatPr defaultRowHeight="13.2"/>
  <cols>
    <col min="1" max="1" width="25.109375" bestFit="1" customWidth="1"/>
    <col min="2" max="2" width="34.33203125" customWidth="1"/>
    <col min="3" max="3" width="8.6640625" customWidth="1"/>
    <col min="4" max="4" width="15.6640625" customWidth="1"/>
    <col min="5" max="16" width="11.6640625" customWidth="1"/>
    <col min="17" max="17" width="12.6640625" customWidth="1"/>
  </cols>
  <sheetData>
    <row r="1" spans="1:16" s="8" customFormat="1">
      <c r="A1" s="8" t="s">
        <v>1323</v>
      </c>
    </row>
    <row r="2" spans="1:16" s="8" customFormat="1">
      <c r="A2" s="8" t="s">
        <v>1267</v>
      </c>
    </row>
    <row r="3" spans="1:16" s="8" customFormat="1"/>
    <row r="4" spans="1:16">
      <c r="A4" t="s">
        <v>883</v>
      </c>
      <c r="B4" t="s">
        <v>1001</v>
      </c>
    </row>
    <row r="5" spans="1:16">
      <c r="B5" t="s">
        <v>252</v>
      </c>
    </row>
    <row r="6" spans="1:16">
      <c r="B6" t="s">
        <v>251</v>
      </c>
    </row>
    <row r="7" spans="1:16">
      <c r="C7" t="s">
        <v>102</v>
      </c>
    </row>
    <row r="8" spans="1:16">
      <c r="C8" t="s">
        <v>103</v>
      </c>
    </row>
    <row r="9" spans="1:16">
      <c r="C9" t="s">
        <v>104</v>
      </c>
    </row>
    <row r="10" spans="1:16">
      <c r="B10" t="s">
        <v>250</v>
      </c>
    </row>
    <row r="11" spans="1:16">
      <c r="B11" t="s">
        <v>884</v>
      </c>
    </row>
    <row r="12" spans="1:16">
      <c r="B12" t="s">
        <v>105</v>
      </c>
      <c r="P12" s="1"/>
    </row>
    <row r="13" spans="1:16">
      <c r="B13" t="s">
        <v>106</v>
      </c>
      <c r="D13" s="1">
        <v>40912</v>
      </c>
      <c r="E13" s="1">
        <v>40963</v>
      </c>
      <c r="F13" s="1">
        <v>40990</v>
      </c>
      <c r="G13" s="1">
        <v>41003</v>
      </c>
      <c r="H13" s="1">
        <v>41059</v>
      </c>
      <c r="I13" s="1">
        <v>41064</v>
      </c>
      <c r="J13" s="1">
        <v>41116</v>
      </c>
      <c r="K13" s="1">
        <v>41130</v>
      </c>
      <c r="L13" s="1">
        <v>41153</v>
      </c>
      <c r="M13" s="1">
        <v>41187</v>
      </c>
      <c r="N13" s="1">
        <v>41225</v>
      </c>
      <c r="O13" s="1">
        <v>41253</v>
      </c>
    </row>
    <row r="14" spans="1:16">
      <c r="B14" t="s">
        <v>107</v>
      </c>
      <c r="D14" s="80" t="s">
        <v>885</v>
      </c>
      <c r="E14" s="80" t="s">
        <v>886</v>
      </c>
      <c r="F14" s="80" t="s">
        <v>310</v>
      </c>
      <c r="G14" s="80" t="s">
        <v>885</v>
      </c>
      <c r="H14" s="80" t="s">
        <v>885</v>
      </c>
      <c r="I14" s="80" t="s">
        <v>887</v>
      </c>
      <c r="J14" s="80" t="s">
        <v>310</v>
      </c>
      <c r="K14" s="80" t="s">
        <v>310</v>
      </c>
      <c r="L14" s="80" t="s">
        <v>888</v>
      </c>
      <c r="M14" s="80" t="s">
        <v>886</v>
      </c>
      <c r="N14" s="80" t="s">
        <v>887</v>
      </c>
      <c r="O14" s="80" t="s">
        <v>887</v>
      </c>
      <c r="P14" s="2"/>
    </row>
    <row r="15" spans="1:16">
      <c r="B15" t="s">
        <v>112</v>
      </c>
      <c r="D15" s="2">
        <v>0.33333333333333331</v>
      </c>
      <c r="E15" s="2">
        <v>0.66666666666666663</v>
      </c>
      <c r="F15" s="2">
        <v>0.70833333333333337</v>
      </c>
      <c r="G15" s="2">
        <v>0.75</v>
      </c>
      <c r="H15" s="2">
        <v>0.70833333333333337</v>
      </c>
      <c r="I15" s="2">
        <v>0.70833333333333337</v>
      </c>
      <c r="J15" s="2">
        <v>0.70833333333333337</v>
      </c>
      <c r="K15" s="2">
        <v>0.70833333333333337</v>
      </c>
      <c r="L15" s="2">
        <v>0.70833333333333337</v>
      </c>
      <c r="M15" s="2">
        <v>0.66666666666666663</v>
      </c>
      <c r="N15" s="2">
        <v>0.79166666666666663</v>
      </c>
      <c r="O15" s="2">
        <v>0.79166666666666663</v>
      </c>
    </row>
    <row r="16" spans="1:16">
      <c r="B16" t="s">
        <v>113</v>
      </c>
      <c r="D16">
        <v>17934</v>
      </c>
      <c r="E16">
        <v>16228</v>
      </c>
      <c r="F16">
        <v>16310</v>
      </c>
      <c r="G16">
        <v>18108</v>
      </c>
      <c r="H16">
        <v>19981</v>
      </c>
      <c r="I16">
        <v>20351</v>
      </c>
      <c r="J16">
        <v>21343</v>
      </c>
      <c r="K16">
        <v>21440</v>
      </c>
      <c r="L16">
        <v>19711</v>
      </c>
      <c r="M16">
        <v>19337</v>
      </c>
      <c r="N16">
        <v>14282</v>
      </c>
      <c r="O16">
        <v>16025</v>
      </c>
    </row>
    <row r="21" spans="2:16">
      <c r="P21" s="2"/>
    </row>
    <row r="22" spans="2:16">
      <c r="B22" t="s">
        <v>114</v>
      </c>
      <c r="D22" s="2">
        <v>0.29652777777777778</v>
      </c>
      <c r="E22" s="2">
        <v>0.28402777777777777</v>
      </c>
      <c r="F22" s="2">
        <v>0.30694444444444441</v>
      </c>
      <c r="G22" s="2">
        <v>0.29722222222222222</v>
      </c>
      <c r="H22" s="2">
        <v>0.27083333333333331</v>
      </c>
      <c r="I22" s="2">
        <v>0.27013888888888887</v>
      </c>
      <c r="J22" s="2">
        <v>0.28055555555555556</v>
      </c>
      <c r="K22" s="2">
        <v>0.28541666666666665</v>
      </c>
      <c r="L22" s="2">
        <v>0.29166666666666669</v>
      </c>
      <c r="M22" s="2">
        <v>0.30138888888888887</v>
      </c>
      <c r="N22" s="2">
        <v>0.27499999999999997</v>
      </c>
      <c r="O22" s="2">
        <v>0.28888888888888892</v>
      </c>
      <c r="P22" s="2"/>
    </row>
    <row r="23" spans="2:16">
      <c r="B23" t="s">
        <v>115</v>
      </c>
      <c r="D23" s="2">
        <v>0.73819444444444438</v>
      </c>
      <c r="E23" s="2">
        <v>0.7631944444444444</v>
      </c>
      <c r="F23" s="2">
        <v>0.81458333333333333</v>
      </c>
      <c r="G23" s="2">
        <v>0.81874999999999998</v>
      </c>
      <c r="H23" s="2">
        <v>0.83750000000000002</v>
      </c>
      <c r="I23" s="2">
        <v>0.83888888888888891</v>
      </c>
      <c r="J23" s="2">
        <v>0.83958333333333324</v>
      </c>
      <c r="K23" s="2">
        <v>0.8340277777777777</v>
      </c>
      <c r="L23" s="2">
        <v>0.81944444444444453</v>
      </c>
      <c r="M23" s="2">
        <v>0.79305555555555562</v>
      </c>
      <c r="N23" s="2">
        <v>0.73125000000000007</v>
      </c>
      <c r="O23" s="2">
        <v>0.73055555555555562</v>
      </c>
    </row>
    <row r="26" spans="2:16">
      <c r="B26" t="s">
        <v>889</v>
      </c>
    </row>
    <row r="28" spans="2:16">
      <c r="C28" t="s">
        <v>890</v>
      </c>
    </row>
    <row r="29" spans="2:16">
      <c r="C29" t="s">
        <v>891</v>
      </c>
    </row>
    <row r="30" spans="2:16">
      <c r="C30" t="s">
        <v>892</v>
      </c>
    </row>
    <row r="31" spans="2:16">
      <c r="C31" t="s">
        <v>893</v>
      </c>
    </row>
    <row r="32" spans="2:16">
      <c r="C32" t="s">
        <v>894</v>
      </c>
    </row>
    <row r="33" spans="2:10">
      <c r="C33" t="s">
        <v>895</v>
      </c>
    </row>
    <row r="34" spans="2:10">
      <c r="C34" t="s">
        <v>896</v>
      </c>
    </row>
    <row r="35" spans="2:10">
      <c r="C35" t="s">
        <v>897</v>
      </c>
    </row>
    <row r="36" spans="2:10">
      <c r="C36" t="s">
        <v>898</v>
      </c>
    </row>
    <row r="37" spans="2:10">
      <c r="C37" t="s">
        <v>899</v>
      </c>
    </row>
    <row r="38" spans="2:10">
      <c r="C38" t="s">
        <v>900</v>
      </c>
    </row>
    <row r="39" spans="2:10" ht="409.6">
      <c r="C39" t="s">
        <v>901</v>
      </c>
    </row>
    <row r="40" spans="2:10" ht="409.6">
      <c r="C40" t="s">
        <v>902</v>
      </c>
    </row>
    <row r="45" spans="2:10">
      <c r="B45" t="s">
        <v>903</v>
      </c>
    </row>
    <row r="47" spans="2:10">
      <c r="C47" t="s">
        <v>117</v>
      </c>
      <c r="J47" t="s">
        <v>742</v>
      </c>
    </row>
    <row r="48" spans="2:10" ht="409.6">
      <c r="C48" t="s">
        <v>597</v>
      </c>
      <c r="J48" t="s">
        <v>598</v>
      </c>
    </row>
    <row r="49" spans="1:16">
      <c r="C49" t="s">
        <v>118</v>
      </c>
      <c r="J49" t="s">
        <v>599</v>
      </c>
    </row>
    <row r="50" spans="1:16">
      <c r="C50" t="s">
        <v>600</v>
      </c>
      <c r="J50" t="s">
        <v>119</v>
      </c>
    </row>
    <row r="52" spans="1:16">
      <c r="B52" s="3"/>
    </row>
    <row r="53" spans="1:16">
      <c r="A53" t="str">
        <f>B53&amp;C53</f>
        <v xml:space="preserve">BLOUNTSTOWN Wholesale City of Blountstown </v>
      </c>
      <c r="B53" t="s">
        <v>601</v>
      </c>
      <c r="C53" t="s">
        <v>602</v>
      </c>
      <c r="P53" s="4"/>
    </row>
    <row r="54" spans="1:16">
      <c r="A54" t="str">
        <f t="shared" ref="A54:A117" si="0">B54&amp;C54</f>
        <v xml:space="preserve">BLOUNTSTOWNMONTH </v>
      </c>
      <c r="B54" t="s">
        <v>603</v>
      </c>
      <c r="C54" t="s">
        <v>123</v>
      </c>
      <c r="D54" s="4">
        <v>40909</v>
      </c>
      <c r="E54" s="4">
        <v>40940</v>
      </c>
      <c r="F54" s="4">
        <v>40969</v>
      </c>
      <c r="G54" s="4">
        <v>41000</v>
      </c>
      <c r="H54" s="4">
        <v>41030</v>
      </c>
      <c r="I54" s="4">
        <v>41061</v>
      </c>
      <c r="J54" s="4">
        <v>41091</v>
      </c>
      <c r="K54" s="4">
        <v>41122</v>
      </c>
      <c r="L54" s="4">
        <v>41153</v>
      </c>
      <c r="M54" s="4">
        <v>41183</v>
      </c>
      <c r="N54" s="4">
        <v>41214</v>
      </c>
      <c r="O54" s="4">
        <v>41244</v>
      </c>
    </row>
    <row r="55" spans="1:16">
      <c r="A55" t="str">
        <f t="shared" si="0"/>
        <v xml:space="preserve">BLOUNTSTOWNCUSTOMERS </v>
      </c>
      <c r="B55" t="s">
        <v>603</v>
      </c>
      <c r="C55" t="s">
        <v>124</v>
      </c>
      <c r="H55">
        <v>3</v>
      </c>
      <c r="I55">
        <v>4</v>
      </c>
      <c r="J55">
        <v>4</v>
      </c>
      <c r="K55">
        <v>4</v>
      </c>
      <c r="L55">
        <v>4</v>
      </c>
      <c r="M55">
        <v>4</v>
      </c>
      <c r="N55">
        <v>4</v>
      </c>
      <c r="O55">
        <v>4</v>
      </c>
    </row>
    <row r="56" spans="1:16">
      <c r="A56" t="str">
        <f t="shared" si="0"/>
        <v xml:space="preserve">BLOUNTSTOWNSALES </v>
      </c>
      <c r="B56" t="s">
        <v>603</v>
      </c>
      <c r="C56" t="s">
        <v>125</v>
      </c>
      <c r="H56">
        <v>62296913</v>
      </c>
      <c r="I56">
        <v>75993810</v>
      </c>
      <c r="J56">
        <v>79622845</v>
      </c>
      <c r="K56">
        <v>88049119</v>
      </c>
      <c r="L56">
        <v>88321780</v>
      </c>
      <c r="M56">
        <v>76919724</v>
      </c>
      <c r="N56">
        <v>71039401</v>
      </c>
      <c r="O56">
        <v>52889179</v>
      </c>
    </row>
    <row r="57" spans="1:16">
      <c r="A57" t="str">
        <f t="shared" si="0"/>
        <v>BLOUNTSTOWNKW</v>
      </c>
      <c r="B57" t="s">
        <v>603</v>
      </c>
      <c r="C57" t="s">
        <v>126</v>
      </c>
    </row>
    <row r="58" spans="1:16">
      <c r="A58" t="str">
        <f t="shared" si="0"/>
        <v>BLOUNTSTOWNN</v>
      </c>
      <c r="B58" t="s">
        <v>603</v>
      </c>
      <c r="C58" t="s">
        <v>127</v>
      </c>
      <c r="H58">
        <v>1</v>
      </c>
      <c r="I58">
        <v>1</v>
      </c>
      <c r="J58">
        <v>1</v>
      </c>
      <c r="K58">
        <v>1</v>
      </c>
      <c r="L58">
        <v>1</v>
      </c>
      <c r="M58">
        <v>1</v>
      </c>
      <c r="N58">
        <v>1</v>
      </c>
      <c r="O58">
        <v>1</v>
      </c>
      <c r="P58" s="10"/>
    </row>
    <row r="59" spans="1:16">
      <c r="A59" t="str">
        <f t="shared" si="0"/>
        <v>BLOUNTSTOWNRLR ENERGY:</v>
      </c>
      <c r="B59" t="s">
        <v>603</v>
      </c>
      <c r="C59" t="s">
        <v>61</v>
      </c>
      <c r="P59" s="10"/>
    </row>
    <row r="60" spans="1:16">
      <c r="A60" t="str">
        <f t="shared" si="0"/>
        <v>BLOUNTSTOWNKWH</v>
      </c>
      <c r="B60" t="s">
        <v>603</v>
      </c>
      <c r="C60" t="s">
        <v>128</v>
      </c>
      <c r="H60">
        <v>3589862</v>
      </c>
      <c r="I60">
        <v>3674229</v>
      </c>
      <c r="J60">
        <v>4116013</v>
      </c>
      <c r="K60">
        <v>3897045</v>
      </c>
      <c r="L60">
        <v>3490948</v>
      </c>
      <c r="M60">
        <v>3039865</v>
      </c>
      <c r="N60">
        <v>2758265</v>
      </c>
      <c r="O60">
        <v>3043736</v>
      </c>
    </row>
    <row r="61" spans="1:16">
      <c r="A61" t="str">
        <f t="shared" si="0"/>
        <v>BLOUNTSTOWNKWH ONPK</v>
      </c>
      <c r="B61" t="s">
        <v>603</v>
      </c>
      <c r="C61" t="s">
        <v>129</v>
      </c>
      <c r="H61">
        <v>1236115</v>
      </c>
      <c r="I61">
        <v>1251097</v>
      </c>
      <c r="J61">
        <v>1312891</v>
      </c>
      <c r="K61">
        <v>1351874</v>
      </c>
      <c r="L61">
        <v>1052865</v>
      </c>
      <c r="M61">
        <v>1039136</v>
      </c>
      <c r="N61">
        <v>703847</v>
      </c>
      <c r="O61">
        <v>710016</v>
      </c>
    </row>
    <row r="62" spans="1:16">
      <c r="A62" t="str">
        <f t="shared" si="0"/>
        <v>BLOUNTSTOWNKWH OFFPK</v>
      </c>
      <c r="B62" t="s">
        <v>603</v>
      </c>
      <c r="C62" t="s">
        <v>130</v>
      </c>
      <c r="H62">
        <v>2353747</v>
      </c>
      <c r="I62">
        <v>2423132</v>
      </c>
      <c r="J62">
        <v>2803123</v>
      </c>
      <c r="K62">
        <v>2545171</v>
      </c>
      <c r="L62">
        <v>2438082</v>
      </c>
      <c r="M62">
        <v>2000730</v>
      </c>
      <c r="N62">
        <v>2054418</v>
      </c>
      <c r="O62">
        <v>2333720</v>
      </c>
      <c r="P62" s="5"/>
    </row>
    <row r="63" spans="1:16">
      <c r="A63" t="str">
        <f t="shared" si="0"/>
        <v>BLOUNTSTOWNKWH ONPK%</v>
      </c>
      <c r="B63" t="s">
        <v>603</v>
      </c>
      <c r="C63" t="s">
        <v>131</v>
      </c>
      <c r="D63" s="6"/>
      <c r="E63" s="6"/>
      <c r="F63" s="6"/>
      <c r="G63" s="6"/>
      <c r="H63" s="5">
        <v>0.34433000000000002</v>
      </c>
      <c r="I63" s="5">
        <v>0.34050999999999998</v>
      </c>
      <c r="J63" s="5">
        <v>0.31896999999999998</v>
      </c>
      <c r="K63" s="5">
        <v>0.34689999999999999</v>
      </c>
      <c r="L63" s="5">
        <v>0.30159999999999998</v>
      </c>
      <c r="M63" s="5">
        <v>0.34183999999999998</v>
      </c>
      <c r="N63" s="5">
        <v>0.25518000000000002</v>
      </c>
      <c r="O63" s="5">
        <v>0.23327000000000001</v>
      </c>
      <c r="P63" s="5"/>
    </row>
    <row r="64" spans="1:16">
      <c r="A64" t="str">
        <f t="shared" si="0"/>
        <v>BLOUNTSTOWNKWH OFFPK%</v>
      </c>
      <c r="B64" t="s">
        <v>603</v>
      </c>
      <c r="C64" t="s">
        <v>132</v>
      </c>
      <c r="D64" s="6"/>
      <c r="E64" s="6"/>
      <c r="F64" s="6"/>
      <c r="G64" s="6"/>
      <c r="H64" s="5">
        <v>0.65566999999999998</v>
      </c>
      <c r="I64" s="5">
        <v>0.65949000000000002</v>
      </c>
      <c r="J64" s="5">
        <v>0.68103000000000002</v>
      </c>
      <c r="K64" s="5">
        <v>0.65310000000000001</v>
      </c>
      <c r="L64" s="5">
        <v>0.69840000000000002</v>
      </c>
      <c r="M64" s="5">
        <v>0.65815999999999997</v>
      </c>
      <c r="N64" s="5">
        <v>0.74482000000000004</v>
      </c>
      <c r="O64" s="5">
        <v>0.76673000000000002</v>
      </c>
    </row>
    <row r="65" spans="1:16">
      <c r="A65" t="str">
        <f t="shared" si="0"/>
        <v>BLOUNTSTOWNDEMAND (KW):</v>
      </c>
      <c r="B65" t="s">
        <v>603</v>
      </c>
      <c r="C65" t="s">
        <v>62</v>
      </c>
      <c r="P65" s="89"/>
    </row>
    <row r="66" spans="1:16">
      <c r="A66" t="str">
        <f t="shared" si="0"/>
        <v>BLOUNTSTOWNNCP</v>
      </c>
      <c r="B66" t="s">
        <v>603</v>
      </c>
      <c r="C66" t="s">
        <v>133</v>
      </c>
      <c r="H66">
        <v>8313</v>
      </c>
      <c r="I66">
        <v>8105</v>
      </c>
      <c r="J66">
        <v>8571</v>
      </c>
      <c r="K66">
        <v>8455</v>
      </c>
      <c r="L66">
        <v>7681</v>
      </c>
      <c r="M66">
        <v>6442</v>
      </c>
      <c r="N66">
        <v>6021</v>
      </c>
      <c r="O66">
        <v>6464</v>
      </c>
    </row>
    <row r="67" spans="1:16">
      <c r="A67" t="str">
        <f t="shared" si="0"/>
        <v>BLOUNTSTOWNNCP ONPK</v>
      </c>
      <c r="B67" t="s">
        <v>603</v>
      </c>
      <c r="C67" t="s">
        <v>134</v>
      </c>
      <c r="H67">
        <v>8313</v>
      </c>
      <c r="I67">
        <v>8105</v>
      </c>
      <c r="J67">
        <v>8571</v>
      </c>
      <c r="K67">
        <v>8455</v>
      </c>
      <c r="L67">
        <v>7681</v>
      </c>
      <c r="M67">
        <v>6442</v>
      </c>
      <c r="N67">
        <v>6021</v>
      </c>
      <c r="O67">
        <v>6200</v>
      </c>
    </row>
    <row r="68" spans="1:16">
      <c r="A68" t="str">
        <f t="shared" si="0"/>
        <v>BLOUNTSTOWNNCP OFFPK</v>
      </c>
      <c r="B68" t="s">
        <v>603</v>
      </c>
      <c r="C68" t="s">
        <v>135</v>
      </c>
      <c r="H68">
        <v>7220</v>
      </c>
      <c r="I68">
        <v>7683</v>
      </c>
      <c r="J68">
        <v>7625</v>
      </c>
      <c r="K68">
        <v>7252</v>
      </c>
      <c r="L68">
        <v>6936</v>
      </c>
      <c r="M68">
        <v>5980</v>
      </c>
      <c r="N68">
        <v>5378</v>
      </c>
      <c r="O68">
        <v>6464</v>
      </c>
    </row>
    <row r="69" spans="1:16">
      <c r="A69" t="str">
        <f t="shared" si="0"/>
        <v>BLOUNTSTOWNGCP DATE</v>
      </c>
      <c r="B69" t="s">
        <v>603</v>
      </c>
      <c r="C69" t="s">
        <v>136</v>
      </c>
      <c r="H69" t="s">
        <v>207</v>
      </c>
      <c r="I69" t="s">
        <v>139</v>
      </c>
      <c r="J69" t="s">
        <v>41</v>
      </c>
      <c r="K69" t="s">
        <v>904</v>
      </c>
      <c r="L69" t="s">
        <v>2</v>
      </c>
      <c r="M69" t="s">
        <v>905</v>
      </c>
      <c r="N69" t="s">
        <v>906</v>
      </c>
      <c r="O69" t="s">
        <v>47</v>
      </c>
    </row>
    <row r="70" spans="1:16">
      <c r="A70" t="str">
        <f t="shared" si="0"/>
        <v>BLOUNTSTOWNGCP TIME</v>
      </c>
      <c r="B70" t="s">
        <v>603</v>
      </c>
      <c r="C70" t="s">
        <v>142</v>
      </c>
      <c r="H70" t="s">
        <v>195</v>
      </c>
      <c r="I70" t="s">
        <v>145</v>
      </c>
      <c r="J70" t="s">
        <v>144</v>
      </c>
      <c r="K70" t="s">
        <v>145</v>
      </c>
      <c r="L70" t="s">
        <v>145</v>
      </c>
      <c r="M70" t="s">
        <v>195</v>
      </c>
      <c r="N70" t="s">
        <v>203</v>
      </c>
      <c r="O70" t="s">
        <v>203</v>
      </c>
      <c r="P70" s="87"/>
    </row>
    <row r="71" spans="1:16">
      <c r="A71" t="str">
        <f t="shared" si="0"/>
        <v>BLOUNTSTOWNGCP</v>
      </c>
      <c r="B71" t="s">
        <v>603</v>
      </c>
      <c r="C71" t="s">
        <v>147</v>
      </c>
      <c r="H71">
        <v>8313</v>
      </c>
      <c r="I71">
        <v>8105</v>
      </c>
      <c r="J71">
        <v>8571</v>
      </c>
      <c r="K71">
        <v>8455</v>
      </c>
      <c r="L71">
        <v>7681</v>
      </c>
      <c r="M71">
        <v>6442</v>
      </c>
      <c r="N71">
        <v>6021</v>
      </c>
      <c r="O71">
        <v>6464</v>
      </c>
    </row>
    <row r="72" spans="1:16">
      <c r="A72" t="str">
        <f t="shared" si="0"/>
        <v>BLOUNTSTOWNGCP ONPK</v>
      </c>
      <c r="B72" t="s">
        <v>603</v>
      </c>
      <c r="C72" t="s">
        <v>63</v>
      </c>
      <c r="H72">
        <v>8313</v>
      </c>
      <c r="I72">
        <v>8105</v>
      </c>
      <c r="J72">
        <v>8571</v>
      </c>
      <c r="K72">
        <v>8455</v>
      </c>
      <c r="L72">
        <v>7681</v>
      </c>
      <c r="M72">
        <v>6442</v>
      </c>
      <c r="N72">
        <v>6021</v>
      </c>
      <c r="O72">
        <v>6200</v>
      </c>
    </row>
    <row r="73" spans="1:16">
      <c r="A73" t="str">
        <f t="shared" si="0"/>
        <v>BLOUNTSTOWNGCP OFFPK</v>
      </c>
      <c r="B73" t="s">
        <v>603</v>
      </c>
      <c r="C73" t="s">
        <v>64</v>
      </c>
      <c r="H73">
        <v>7220</v>
      </c>
      <c r="I73">
        <v>7683</v>
      </c>
      <c r="J73">
        <v>7625</v>
      </c>
      <c r="K73">
        <v>7252</v>
      </c>
      <c r="L73">
        <v>6936</v>
      </c>
      <c r="M73">
        <v>5980</v>
      </c>
      <c r="N73">
        <v>5378</v>
      </c>
      <c r="O73">
        <v>6464</v>
      </c>
      <c r="P73" s="83"/>
    </row>
    <row r="74" spans="1:16">
      <c r="A74" t="str">
        <f t="shared" si="0"/>
        <v>BLOUNTSTOWNCP</v>
      </c>
      <c r="B74" t="s">
        <v>603</v>
      </c>
      <c r="C74" t="s">
        <v>148</v>
      </c>
      <c r="H74">
        <v>8313</v>
      </c>
      <c r="I74">
        <v>7717</v>
      </c>
      <c r="J74">
        <v>7540</v>
      </c>
      <c r="K74">
        <v>6239</v>
      </c>
      <c r="L74">
        <v>6691</v>
      </c>
      <c r="M74">
        <v>5957</v>
      </c>
      <c r="N74">
        <v>4439</v>
      </c>
      <c r="O74">
        <v>4700</v>
      </c>
      <c r="P74" s="1"/>
    </row>
    <row r="75" spans="1:16">
      <c r="A75" t="str">
        <f t="shared" si="0"/>
        <v>BLOUNTSTOWNPERIOD START</v>
      </c>
      <c r="B75" t="s">
        <v>603</v>
      </c>
      <c r="C75" t="s">
        <v>149</v>
      </c>
      <c r="D75" s="1"/>
      <c r="E75" s="1"/>
      <c r="F75" s="1"/>
      <c r="G75" s="1"/>
      <c r="H75" s="1">
        <v>41030</v>
      </c>
      <c r="I75" s="1">
        <v>41061</v>
      </c>
      <c r="J75" s="1">
        <v>41091</v>
      </c>
      <c r="K75" s="1">
        <v>41122</v>
      </c>
      <c r="L75" s="1">
        <v>41153</v>
      </c>
      <c r="M75" s="1">
        <v>41183</v>
      </c>
      <c r="N75" s="1">
        <v>41214</v>
      </c>
      <c r="O75" s="1">
        <v>41244</v>
      </c>
      <c r="P75" s="5"/>
    </row>
    <row r="76" spans="1:16">
      <c r="A76" t="str">
        <f t="shared" si="0"/>
        <v>BLOUNTSTOWNNCP LF</v>
      </c>
      <c r="B76" t="s">
        <v>603</v>
      </c>
      <c r="C76" t="s">
        <v>150</v>
      </c>
      <c r="H76" s="5">
        <v>0.58040000000000003</v>
      </c>
      <c r="I76" s="5">
        <v>0.62970000000000004</v>
      </c>
      <c r="J76" s="5">
        <v>0.64549999999999996</v>
      </c>
      <c r="K76" s="5">
        <v>0.61950000000000005</v>
      </c>
      <c r="L76" s="5">
        <v>0.63119999999999998</v>
      </c>
      <c r="M76" s="5">
        <v>0.63419999999999999</v>
      </c>
      <c r="N76" s="5">
        <v>0.63629999999999998</v>
      </c>
      <c r="O76" s="5">
        <v>0.63290000000000002</v>
      </c>
      <c r="P76" s="5"/>
    </row>
    <row r="77" spans="1:16">
      <c r="A77" t="str">
        <f t="shared" si="0"/>
        <v>BLOUNTSTOWNNCP LF ONPK</v>
      </c>
      <c r="B77" t="s">
        <v>603</v>
      </c>
      <c r="C77" t="s">
        <v>151</v>
      </c>
      <c r="H77" s="5">
        <v>0.751</v>
      </c>
      <c r="I77" s="5">
        <v>0.81679999999999997</v>
      </c>
      <c r="J77" s="5">
        <v>0.8105</v>
      </c>
      <c r="K77" s="5">
        <v>0.77239999999999998</v>
      </c>
      <c r="L77" s="5">
        <v>0.80159999999999998</v>
      </c>
      <c r="M77" s="5">
        <v>0.77929999999999999</v>
      </c>
      <c r="N77" s="5">
        <v>0.69589999999999996</v>
      </c>
      <c r="O77" s="5">
        <v>0.7157</v>
      </c>
      <c r="P77" s="5"/>
    </row>
    <row r="78" spans="1:16">
      <c r="A78" t="str">
        <f t="shared" si="0"/>
        <v>BLOUNTSTOWNNCP LF OFFPK</v>
      </c>
      <c r="B78" t="s">
        <v>603</v>
      </c>
      <c r="C78" t="s">
        <v>152</v>
      </c>
      <c r="H78" s="5">
        <v>0.59709999999999996</v>
      </c>
      <c r="I78" s="5">
        <v>0.59389999999999998</v>
      </c>
      <c r="J78" s="5">
        <v>0.66239999999999999</v>
      </c>
      <c r="K78" s="5">
        <v>0.65349999999999997</v>
      </c>
      <c r="L78" s="5">
        <v>0.64029999999999998</v>
      </c>
      <c r="M78" s="5">
        <v>0.62309999999999999</v>
      </c>
      <c r="N78" s="5">
        <v>0.69210000000000005</v>
      </c>
      <c r="O78" s="5">
        <v>0.61819999999999997</v>
      </c>
      <c r="P78" s="5"/>
    </row>
    <row r="79" spans="1:16">
      <c r="A79" t="str">
        <f t="shared" si="0"/>
        <v>BLOUNTSTOWNGCP CF</v>
      </c>
      <c r="B79" t="s">
        <v>603</v>
      </c>
      <c r="C79" t="s">
        <v>153</v>
      </c>
      <c r="D79" t="s">
        <v>539</v>
      </c>
      <c r="E79" t="s">
        <v>539</v>
      </c>
      <c r="F79" t="s">
        <v>539</v>
      </c>
      <c r="G79" t="s">
        <v>539</v>
      </c>
      <c r="H79" s="5">
        <v>1</v>
      </c>
      <c r="I79" s="5">
        <v>1</v>
      </c>
      <c r="J79" s="5">
        <v>1</v>
      </c>
      <c r="K79" s="5">
        <v>1</v>
      </c>
      <c r="L79" s="5">
        <v>1</v>
      </c>
      <c r="M79" s="5">
        <v>1</v>
      </c>
      <c r="N79" s="5">
        <v>1</v>
      </c>
      <c r="O79" s="5">
        <v>1</v>
      </c>
      <c r="P79" s="5"/>
    </row>
    <row r="80" spans="1:16">
      <c r="A80" t="str">
        <f t="shared" si="0"/>
        <v>BLOUNTSTOWNCP CF</v>
      </c>
      <c r="B80" t="s">
        <v>603</v>
      </c>
      <c r="C80" t="s">
        <v>154</v>
      </c>
      <c r="D80" t="s">
        <v>539</v>
      </c>
      <c r="E80" t="s">
        <v>539</v>
      </c>
      <c r="F80" t="s">
        <v>539</v>
      </c>
      <c r="G80" t="s">
        <v>539</v>
      </c>
      <c r="H80" s="5">
        <v>1</v>
      </c>
      <c r="I80" s="5">
        <v>0.95209999999999995</v>
      </c>
      <c r="J80" s="5">
        <v>0.87970000000000004</v>
      </c>
      <c r="K80" s="5">
        <v>0.7379</v>
      </c>
      <c r="L80" s="5">
        <v>0.87109999999999999</v>
      </c>
      <c r="M80" s="5">
        <v>0.92469999999999997</v>
      </c>
      <c r="N80" s="5">
        <v>0.73719999999999997</v>
      </c>
      <c r="O80" s="5">
        <v>0.72709999999999997</v>
      </c>
      <c r="P80" s="5"/>
    </row>
    <row r="81" spans="1:16">
      <c r="A81" t="str">
        <f t="shared" si="0"/>
        <v>BLOUNTSTOWNGCP LF</v>
      </c>
      <c r="B81" t="s">
        <v>603</v>
      </c>
      <c r="C81" t="s">
        <v>155</v>
      </c>
      <c r="D81" t="s">
        <v>539</v>
      </c>
      <c r="E81" t="s">
        <v>539</v>
      </c>
      <c r="F81" t="s">
        <v>539</v>
      </c>
      <c r="G81" t="s">
        <v>539</v>
      </c>
      <c r="H81" s="5">
        <v>0.58040000000000003</v>
      </c>
      <c r="I81" s="5">
        <v>0.62970000000000004</v>
      </c>
      <c r="J81" s="5">
        <v>0.64549999999999996</v>
      </c>
      <c r="K81" s="5">
        <v>0.61950000000000005</v>
      </c>
      <c r="L81" s="5">
        <v>0.63119999999999998</v>
      </c>
      <c r="M81" s="5">
        <v>0.63419999999999999</v>
      </c>
      <c r="N81" s="5">
        <v>0.63629999999999998</v>
      </c>
      <c r="O81" s="5">
        <v>0.63290000000000002</v>
      </c>
      <c r="P81" s="5"/>
    </row>
    <row r="82" spans="1:16">
      <c r="A82" t="str">
        <f t="shared" si="0"/>
        <v>BLOUNTSTOWNGCP LF ONPK</v>
      </c>
      <c r="B82" t="s">
        <v>603</v>
      </c>
      <c r="C82" t="s">
        <v>156</v>
      </c>
      <c r="D82" t="s">
        <v>539</v>
      </c>
      <c r="E82" t="s">
        <v>539</v>
      </c>
      <c r="F82" t="s">
        <v>539</v>
      </c>
      <c r="G82" t="s">
        <v>539</v>
      </c>
      <c r="H82" s="5">
        <v>0.751</v>
      </c>
      <c r="I82" s="5">
        <v>0.81679999999999997</v>
      </c>
      <c r="J82" s="5">
        <v>0.8105</v>
      </c>
      <c r="K82" s="5">
        <v>0.77239999999999998</v>
      </c>
      <c r="L82" s="5">
        <v>0.80159999999999998</v>
      </c>
      <c r="M82" s="5">
        <v>0.77929999999999999</v>
      </c>
      <c r="N82" s="5">
        <v>0.69589999999999996</v>
      </c>
      <c r="O82" s="5">
        <v>0.7157</v>
      </c>
      <c r="P82" s="5"/>
    </row>
    <row r="83" spans="1:16">
      <c r="A83" t="str">
        <f t="shared" si="0"/>
        <v>BLOUNTSTOWNGCP LF OFFPK</v>
      </c>
      <c r="B83" t="s">
        <v>603</v>
      </c>
      <c r="C83" t="s">
        <v>157</v>
      </c>
      <c r="D83" t="s">
        <v>539</v>
      </c>
      <c r="E83" t="s">
        <v>539</v>
      </c>
      <c r="F83" t="s">
        <v>539</v>
      </c>
      <c r="G83" t="s">
        <v>539</v>
      </c>
      <c r="H83" s="5">
        <v>0.59709999999999996</v>
      </c>
      <c r="I83" s="5">
        <v>0.59389999999999998</v>
      </c>
      <c r="J83" s="5">
        <v>0.66239999999999999</v>
      </c>
      <c r="K83" s="5">
        <v>0.65349999999999997</v>
      </c>
      <c r="L83" s="5">
        <v>0.64029999999999998</v>
      </c>
      <c r="M83" s="5">
        <v>0.62309999999999999</v>
      </c>
      <c r="N83" s="5">
        <v>0.69210000000000005</v>
      </c>
      <c r="O83" s="5">
        <v>0.61819999999999997</v>
      </c>
      <c r="P83" s="5"/>
    </row>
    <row r="84" spans="1:16">
      <c r="A84" t="str">
        <f t="shared" si="0"/>
        <v>BLOUNTSTOWNCP LF</v>
      </c>
      <c r="B84" t="s">
        <v>603</v>
      </c>
      <c r="C84" t="s">
        <v>158</v>
      </c>
      <c r="D84" t="s">
        <v>539</v>
      </c>
      <c r="E84" t="s">
        <v>539</v>
      </c>
      <c r="F84" t="s">
        <v>539</v>
      </c>
      <c r="G84" t="s">
        <v>539</v>
      </c>
      <c r="H84" s="5">
        <v>0.58040000000000003</v>
      </c>
      <c r="I84" s="5">
        <v>0.6613</v>
      </c>
      <c r="J84" s="5">
        <v>0.73370000000000002</v>
      </c>
      <c r="K84" s="5">
        <v>0.83950000000000002</v>
      </c>
      <c r="L84" s="5">
        <v>0.72470000000000001</v>
      </c>
      <c r="M84" s="5">
        <v>0.68589999999999995</v>
      </c>
      <c r="N84" s="5">
        <v>0.86309999999999998</v>
      </c>
      <c r="O84" s="5">
        <v>0.87039999999999995</v>
      </c>
    </row>
    <row r="85" spans="1:16">
      <c r="A85" t="str">
        <f t="shared" si="0"/>
        <v>BLOUNTSTOWNREL PREC:</v>
      </c>
      <c r="B85" t="s">
        <v>603</v>
      </c>
      <c r="C85" t="s">
        <v>65</v>
      </c>
      <c r="P85" s="5"/>
    </row>
    <row r="86" spans="1:16">
      <c r="A86" t="str">
        <f t="shared" si="0"/>
        <v>BLOUNTSTOWNNCP RP</v>
      </c>
      <c r="B86" t="s">
        <v>603</v>
      </c>
      <c r="C86" t="s">
        <v>159</v>
      </c>
      <c r="D86" t="s">
        <v>539</v>
      </c>
      <c r="E86" t="s">
        <v>539</v>
      </c>
      <c r="F86" t="s">
        <v>539</v>
      </c>
      <c r="G86" t="s">
        <v>539</v>
      </c>
      <c r="H86" s="5">
        <v>0</v>
      </c>
      <c r="I86" s="5">
        <v>0</v>
      </c>
      <c r="J86" s="5">
        <v>0</v>
      </c>
      <c r="K86" s="5">
        <v>0</v>
      </c>
      <c r="L86" s="5">
        <v>0</v>
      </c>
      <c r="M86" s="5">
        <v>0</v>
      </c>
      <c r="N86" s="5">
        <v>0</v>
      </c>
      <c r="O86" s="5">
        <v>0</v>
      </c>
      <c r="P86" s="5"/>
    </row>
    <row r="87" spans="1:16">
      <c r="A87" t="str">
        <f t="shared" si="0"/>
        <v>BLOUNTSTOWNNCP RP ONPK</v>
      </c>
      <c r="B87" t="s">
        <v>603</v>
      </c>
      <c r="C87" t="s">
        <v>160</v>
      </c>
      <c r="D87" t="s">
        <v>539</v>
      </c>
      <c r="E87" t="s">
        <v>539</v>
      </c>
      <c r="F87" t="s">
        <v>539</v>
      </c>
      <c r="G87" t="s">
        <v>539</v>
      </c>
      <c r="H87" s="5">
        <v>0</v>
      </c>
      <c r="I87" s="5">
        <v>0</v>
      </c>
      <c r="J87" s="5">
        <v>0</v>
      </c>
      <c r="K87" s="5">
        <v>0</v>
      </c>
      <c r="L87" s="5">
        <v>0</v>
      </c>
      <c r="M87" s="5">
        <v>0</v>
      </c>
      <c r="N87" s="5">
        <v>0</v>
      </c>
      <c r="O87" s="5">
        <v>0</v>
      </c>
      <c r="P87" s="5"/>
    </row>
    <row r="88" spans="1:16">
      <c r="A88" t="str">
        <f t="shared" si="0"/>
        <v>BLOUNTSTOWNNCP RP OFFPK</v>
      </c>
      <c r="B88" t="s">
        <v>603</v>
      </c>
      <c r="C88" t="s">
        <v>161</v>
      </c>
      <c r="D88" t="s">
        <v>539</v>
      </c>
      <c r="E88" t="s">
        <v>539</v>
      </c>
      <c r="F88" t="s">
        <v>539</v>
      </c>
      <c r="G88" t="s">
        <v>539</v>
      </c>
      <c r="H88" s="5">
        <v>0</v>
      </c>
      <c r="I88" s="5">
        <v>0</v>
      </c>
      <c r="J88" s="5">
        <v>0</v>
      </c>
      <c r="K88" s="5">
        <v>0</v>
      </c>
      <c r="L88" s="5">
        <v>0</v>
      </c>
      <c r="M88" s="5">
        <v>0</v>
      </c>
      <c r="N88" s="5">
        <v>0</v>
      </c>
      <c r="O88" s="5">
        <v>0</v>
      </c>
      <c r="P88" s="5"/>
    </row>
    <row r="89" spans="1:16">
      <c r="A89" t="str">
        <f t="shared" si="0"/>
        <v>BLOUNTSTOWNGCP RP</v>
      </c>
      <c r="B89" t="s">
        <v>603</v>
      </c>
      <c r="C89" t="s">
        <v>162</v>
      </c>
      <c r="D89" t="s">
        <v>539</v>
      </c>
      <c r="E89" t="s">
        <v>539</v>
      </c>
      <c r="F89" t="s">
        <v>539</v>
      </c>
      <c r="G89" t="s">
        <v>539</v>
      </c>
      <c r="H89" s="5">
        <v>0</v>
      </c>
      <c r="I89" s="5">
        <v>0</v>
      </c>
      <c r="J89" s="5">
        <v>0</v>
      </c>
      <c r="K89" s="5">
        <v>0</v>
      </c>
      <c r="L89" s="5">
        <v>0</v>
      </c>
      <c r="M89" s="5">
        <v>0</v>
      </c>
      <c r="N89" s="5">
        <v>0</v>
      </c>
      <c r="O89" s="5">
        <v>0</v>
      </c>
      <c r="P89" s="5"/>
    </row>
    <row r="90" spans="1:16">
      <c r="A90" t="str">
        <f t="shared" si="0"/>
        <v>BLOUNTSTOWNGCP RP ONPK</v>
      </c>
      <c r="B90" t="s">
        <v>603</v>
      </c>
      <c r="C90" t="s">
        <v>163</v>
      </c>
      <c r="D90" t="s">
        <v>539</v>
      </c>
      <c r="E90" t="s">
        <v>539</v>
      </c>
      <c r="F90" t="s">
        <v>539</v>
      </c>
      <c r="G90" t="s">
        <v>539</v>
      </c>
      <c r="H90" s="5">
        <v>0</v>
      </c>
      <c r="I90" s="5">
        <v>0</v>
      </c>
      <c r="J90" s="5">
        <v>0</v>
      </c>
      <c r="K90" s="5">
        <v>0</v>
      </c>
      <c r="L90" s="5">
        <v>0</v>
      </c>
      <c r="M90" s="5">
        <v>0</v>
      </c>
      <c r="N90" s="5">
        <v>0</v>
      </c>
      <c r="O90" s="5">
        <v>0</v>
      </c>
      <c r="P90" s="5"/>
    </row>
    <row r="91" spans="1:16">
      <c r="A91" t="str">
        <f t="shared" si="0"/>
        <v>BLOUNTSTOWNGCP RP OFFPK</v>
      </c>
      <c r="B91" t="s">
        <v>603</v>
      </c>
      <c r="C91" t="s">
        <v>164</v>
      </c>
      <c r="D91" t="s">
        <v>539</v>
      </c>
      <c r="E91" t="s">
        <v>539</v>
      </c>
      <c r="F91" t="s">
        <v>539</v>
      </c>
      <c r="G91" t="s">
        <v>539</v>
      </c>
      <c r="H91" s="5">
        <v>0</v>
      </c>
      <c r="I91" s="5">
        <v>0</v>
      </c>
      <c r="J91" s="5">
        <v>0</v>
      </c>
      <c r="K91" s="5">
        <v>0</v>
      </c>
      <c r="L91" s="5">
        <v>0</v>
      </c>
      <c r="M91" s="5">
        <v>0</v>
      </c>
      <c r="N91" s="5">
        <v>0</v>
      </c>
      <c r="O91" s="5">
        <v>0</v>
      </c>
      <c r="P91" s="5"/>
    </row>
    <row r="92" spans="1:16">
      <c r="A92" t="str">
        <f t="shared" si="0"/>
        <v>BLOUNTSTOWNCP RP</v>
      </c>
      <c r="B92" t="s">
        <v>603</v>
      </c>
      <c r="C92" t="s">
        <v>165</v>
      </c>
      <c r="D92" t="s">
        <v>539</v>
      </c>
      <c r="E92" t="s">
        <v>539</v>
      </c>
      <c r="F92" t="s">
        <v>539</v>
      </c>
      <c r="G92" t="s">
        <v>539</v>
      </c>
      <c r="H92" s="5">
        <v>0</v>
      </c>
      <c r="I92" s="5">
        <v>0</v>
      </c>
      <c r="J92" s="5">
        <v>0</v>
      </c>
      <c r="K92" s="5">
        <v>0</v>
      </c>
      <c r="L92" s="5">
        <v>0</v>
      </c>
      <c r="M92" s="5">
        <v>0</v>
      </c>
      <c r="N92" s="5">
        <v>0</v>
      </c>
      <c r="O92" s="5">
        <v>0</v>
      </c>
    </row>
    <row r="93" spans="1:16">
      <c r="A93" t="str">
        <f t="shared" si="0"/>
        <v>BLOUNTSTOWNSAMPLE SIZE:</v>
      </c>
      <c r="B93" t="s">
        <v>603</v>
      </c>
      <c r="C93" t="s">
        <v>66</v>
      </c>
    </row>
    <row r="94" spans="1:16">
      <c r="A94" t="str">
        <f t="shared" si="0"/>
        <v>BLOUNTSTOWNGCPSZ</v>
      </c>
      <c r="B94" t="s">
        <v>603</v>
      </c>
      <c r="C94" t="s">
        <v>166</v>
      </c>
      <c r="D94" t="s">
        <v>539</v>
      </c>
      <c r="E94" t="s">
        <v>539</v>
      </c>
      <c r="F94" t="s">
        <v>539</v>
      </c>
      <c r="G94" t="s">
        <v>539</v>
      </c>
      <c r="H94">
        <v>1</v>
      </c>
      <c r="I94">
        <v>1</v>
      </c>
      <c r="J94">
        <v>1</v>
      </c>
      <c r="K94">
        <v>1</v>
      </c>
      <c r="L94">
        <v>1</v>
      </c>
      <c r="M94">
        <v>1</v>
      </c>
      <c r="N94">
        <v>1</v>
      </c>
      <c r="O94">
        <v>1</v>
      </c>
    </row>
    <row r="95" spans="1:16">
      <c r="A95" t="str">
        <f t="shared" si="0"/>
        <v>BLOUNTSTOWNGCPSZ ONPK</v>
      </c>
      <c r="B95" t="s">
        <v>603</v>
      </c>
      <c r="C95" t="s">
        <v>167</v>
      </c>
      <c r="D95" t="s">
        <v>539</v>
      </c>
      <c r="E95" t="s">
        <v>539</v>
      </c>
      <c r="F95" t="s">
        <v>539</v>
      </c>
      <c r="G95" t="s">
        <v>539</v>
      </c>
      <c r="H95">
        <v>1</v>
      </c>
      <c r="I95">
        <v>1</v>
      </c>
      <c r="J95">
        <v>1</v>
      </c>
      <c r="K95">
        <v>1</v>
      </c>
      <c r="L95">
        <v>1</v>
      </c>
      <c r="M95">
        <v>1</v>
      </c>
      <c r="N95">
        <v>1</v>
      </c>
      <c r="O95">
        <v>1</v>
      </c>
    </row>
    <row r="96" spans="1:16">
      <c r="A96" t="str">
        <f t="shared" si="0"/>
        <v>BLOUNTSTOWNGCPSZ OFFPK</v>
      </c>
      <c r="B96" t="s">
        <v>603</v>
      </c>
      <c r="C96" t="s">
        <v>168</v>
      </c>
      <c r="D96" t="s">
        <v>539</v>
      </c>
      <c r="E96" t="s">
        <v>539</v>
      </c>
      <c r="F96" t="s">
        <v>539</v>
      </c>
      <c r="G96" t="s">
        <v>539</v>
      </c>
      <c r="H96">
        <v>1</v>
      </c>
      <c r="I96">
        <v>1</v>
      </c>
      <c r="J96">
        <v>1</v>
      </c>
      <c r="K96">
        <v>1</v>
      </c>
      <c r="L96">
        <v>1</v>
      </c>
      <c r="M96">
        <v>1</v>
      </c>
      <c r="N96">
        <v>1</v>
      </c>
      <c r="O96">
        <v>1</v>
      </c>
    </row>
    <row r="97" spans="1:16">
      <c r="A97" t="str">
        <f t="shared" si="0"/>
        <v>BLOUNTSTOWNCPSZ</v>
      </c>
      <c r="B97" t="s">
        <v>603</v>
      </c>
      <c r="C97" t="s">
        <v>169</v>
      </c>
      <c r="D97" t="s">
        <v>539</v>
      </c>
      <c r="E97" t="s">
        <v>539</v>
      </c>
      <c r="F97" t="s">
        <v>539</v>
      </c>
      <c r="G97" t="s">
        <v>539</v>
      </c>
      <c r="H97">
        <v>1</v>
      </c>
      <c r="I97">
        <v>1</v>
      </c>
      <c r="J97">
        <v>1</v>
      </c>
      <c r="K97">
        <v>1</v>
      </c>
      <c r="L97">
        <v>1</v>
      </c>
      <c r="M97">
        <v>1</v>
      </c>
      <c r="N97">
        <v>1</v>
      </c>
      <c r="O97">
        <v>1</v>
      </c>
    </row>
    <row r="98" spans="1:16">
      <c r="A98" t="str">
        <f t="shared" si="0"/>
        <v/>
      </c>
    </row>
    <row r="99" spans="1:16">
      <c r="A99" t="str">
        <f t="shared" si="0"/>
        <v/>
      </c>
    </row>
    <row r="100" spans="1:16">
      <c r="A100" t="str">
        <f t="shared" si="0"/>
        <v/>
      </c>
    </row>
    <row r="101" spans="1:16">
      <c r="A101" t="str">
        <f t="shared" si="0"/>
        <v/>
      </c>
    </row>
    <row r="102" spans="1:16">
      <c r="A102" t="str">
        <f t="shared" si="0"/>
        <v/>
      </c>
    </row>
    <row r="103" spans="1:16">
      <c r="A103" t="str">
        <f t="shared" si="0"/>
        <v/>
      </c>
    </row>
    <row r="104" spans="1:16">
      <c r="A104" t="str">
        <f t="shared" si="0"/>
        <v/>
      </c>
      <c r="P104" s="4"/>
    </row>
    <row r="105" spans="1:16" ht="14.4">
      <c r="A105" t="str">
        <f t="shared" si="0"/>
        <v>NOTE:     City of Blountstown contract began May 1, 2012.  Sales line does not match sales in the Rate and Revenue Report due to billing lag.</v>
      </c>
      <c r="B105" s="301" t="s">
        <v>907</v>
      </c>
    </row>
    <row r="106" spans="1:16" ht="14.4">
      <c r="A106" t="str">
        <f t="shared" si="0"/>
        <v xml:space="preserve">                 In addition, the City of Blountstown, FKEC, Metro Dade and City of Wauchula are classified as Rate Code 940. The sales for the contracts are reported combined in the Rate &amp; Revenue Report.</v>
      </c>
      <c r="B106" s="319" t="s">
        <v>754</v>
      </c>
    </row>
    <row r="107" spans="1:16">
      <c r="A107" t="str">
        <f t="shared" si="0"/>
        <v xml:space="preserve">CILC1D Commercial/Industrial Load Control - Distribution (54) </v>
      </c>
      <c r="B107" t="s">
        <v>120</v>
      </c>
      <c r="C107" t="s">
        <v>121</v>
      </c>
    </row>
    <row r="108" spans="1:16">
      <c r="A108" t="str">
        <f t="shared" si="0"/>
        <v xml:space="preserve">CILC1DMONTH </v>
      </c>
      <c r="B108" t="s">
        <v>122</v>
      </c>
      <c r="C108" t="s">
        <v>123</v>
      </c>
      <c r="D108" s="4">
        <v>40909</v>
      </c>
      <c r="E108" s="4">
        <v>40940</v>
      </c>
      <c r="F108" s="4">
        <v>40969</v>
      </c>
      <c r="G108" s="4">
        <v>41000</v>
      </c>
      <c r="H108" s="4">
        <v>41030</v>
      </c>
      <c r="I108" s="4">
        <v>41061</v>
      </c>
      <c r="J108" s="4">
        <v>41091</v>
      </c>
      <c r="K108" s="4">
        <v>41122</v>
      </c>
      <c r="L108" s="4">
        <v>41153</v>
      </c>
      <c r="M108" s="4">
        <v>41183</v>
      </c>
      <c r="N108" s="4">
        <v>41214</v>
      </c>
      <c r="O108" s="4">
        <v>41244</v>
      </c>
    </row>
    <row r="109" spans="1:16">
      <c r="A109" t="str">
        <f t="shared" si="0"/>
        <v xml:space="preserve">CILC1DCUSTOMERS </v>
      </c>
      <c r="B109" t="s">
        <v>122</v>
      </c>
      <c r="C109" t="s">
        <v>124</v>
      </c>
      <c r="D109">
        <v>329</v>
      </c>
      <c r="E109">
        <v>327</v>
      </c>
      <c r="F109">
        <v>328</v>
      </c>
      <c r="G109">
        <v>326</v>
      </c>
      <c r="H109">
        <v>325</v>
      </c>
      <c r="I109">
        <v>326</v>
      </c>
      <c r="J109">
        <v>325</v>
      </c>
      <c r="K109">
        <v>322</v>
      </c>
      <c r="L109">
        <v>322</v>
      </c>
      <c r="M109">
        <v>322</v>
      </c>
      <c r="N109">
        <v>322</v>
      </c>
      <c r="O109">
        <v>321</v>
      </c>
    </row>
    <row r="110" spans="1:16">
      <c r="A110" t="str">
        <f t="shared" si="0"/>
        <v xml:space="preserve">CILC1DSALES </v>
      </c>
      <c r="B110" t="s">
        <v>122</v>
      </c>
      <c r="C110" t="s">
        <v>125</v>
      </c>
      <c r="D110">
        <v>240060582</v>
      </c>
      <c r="E110">
        <v>224214863</v>
      </c>
      <c r="F110">
        <v>230521509</v>
      </c>
      <c r="G110">
        <v>241758458</v>
      </c>
      <c r="H110">
        <v>234910121</v>
      </c>
      <c r="I110">
        <v>254778662</v>
      </c>
      <c r="J110">
        <v>254806610</v>
      </c>
      <c r="K110">
        <v>253796272</v>
      </c>
      <c r="L110">
        <v>245903197</v>
      </c>
      <c r="M110">
        <v>195161909</v>
      </c>
      <c r="N110">
        <v>226348921</v>
      </c>
      <c r="O110">
        <v>232145640</v>
      </c>
      <c r="P110" s="91"/>
    </row>
    <row r="111" spans="1:16">
      <c r="A111" t="str">
        <f t="shared" si="0"/>
        <v>CILC1DKW</v>
      </c>
      <c r="B111" t="s">
        <v>122</v>
      </c>
      <c r="C111" t="s">
        <v>126</v>
      </c>
    </row>
    <row r="112" spans="1:16">
      <c r="A112" t="str">
        <f t="shared" si="0"/>
        <v>CILC1DN</v>
      </c>
      <c r="B112" t="s">
        <v>122</v>
      </c>
      <c r="C112" t="s">
        <v>127</v>
      </c>
      <c r="D112">
        <v>324</v>
      </c>
      <c r="E112">
        <v>325</v>
      </c>
      <c r="F112">
        <v>326</v>
      </c>
      <c r="G112">
        <v>325</v>
      </c>
      <c r="H112">
        <v>323</v>
      </c>
      <c r="I112">
        <v>324</v>
      </c>
      <c r="J112">
        <v>323</v>
      </c>
      <c r="K112">
        <v>321</v>
      </c>
      <c r="L112">
        <v>322</v>
      </c>
      <c r="M112">
        <v>322</v>
      </c>
      <c r="N112">
        <v>321</v>
      </c>
      <c r="O112">
        <v>321</v>
      </c>
    </row>
    <row r="113" spans="1:16">
      <c r="A113" t="str">
        <f t="shared" si="0"/>
        <v>CILC1DRLR ENERGY:</v>
      </c>
      <c r="B113" t="s">
        <v>122</v>
      </c>
      <c r="C113" t="s">
        <v>61</v>
      </c>
      <c r="P113" s="5"/>
    </row>
    <row r="114" spans="1:16">
      <c r="A114" t="str">
        <f t="shared" si="0"/>
        <v>CILC1DKWH</v>
      </c>
      <c r="B114" t="s">
        <v>122</v>
      </c>
      <c r="C114" t="s">
        <v>128</v>
      </c>
      <c r="D114">
        <v>239853027</v>
      </c>
      <c r="E114">
        <v>221510912</v>
      </c>
      <c r="F114">
        <v>231465244</v>
      </c>
      <c r="G114">
        <v>239895103</v>
      </c>
      <c r="H114">
        <v>235822650</v>
      </c>
      <c r="I114">
        <v>251627300</v>
      </c>
      <c r="J114">
        <v>253028204</v>
      </c>
      <c r="K114">
        <v>253954652</v>
      </c>
      <c r="L114">
        <v>251873684</v>
      </c>
      <c r="M114">
        <v>246996400</v>
      </c>
      <c r="N114">
        <v>229184830</v>
      </c>
      <c r="O114">
        <v>228387595</v>
      </c>
      <c r="P114" s="5"/>
    </row>
    <row r="115" spans="1:16">
      <c r="A115" t="str">
        <f t="shared" si="0"/>
        <v>CILC1DKWH ONPK</v>
      </c>
      <c r="B115" t="s">
        <v>122</v>
      </c>
      <c r="C115" t="s">
        <v>129</v>
      </c>
      <c r="D115">
        <v>56558056</v>
      </c>
      <c r="E115">
        <v>55609206</v>
      </c>
      <c r="F115">
        <v>56651332</v>
      </c>
      <c r="G115">
        <v>67399252</v>
      </c>
      <c r="H115">
        <v>66765181</v>
      </c>
      <c r="I115">
        <v>70162320</v>
      </c>
      <c r="J115">
        <v>68374210</v>
      </c>
      <c r="K115">
        <v>74774474</v>
      </c>
      <c r="L115">
        <v>63856929</v>
      </c>
      <c r="M115">
        <v>72914836</v>
      </c>
      <c r="N115">
        <v>55151339</v>
      </c>
      <c r="O115">
        <v>51234855</v>
      </c>
    </row>
    <row r="116" spans="1:16">
      <c r="A116" t="str">
        <f t="shared" si="0"/>
        <v>CILC1DKWH OFFPK</v>
      </c>
      <c r="B116" t="s">
        <v>122</v>
      </c>
      <c r="C116" t="s">
        <v>130</v>
      </c>
      <c r="D116">
        <v>183294971</v>
      </c>
      <c r="E116">
        <v>165901706</v>
      </c>
      <c r="F116">
        <v>174813911</v>
      </c>
      <c r="G116">
        <v>172495850</v>
      </c>
      <c r="H116">
        <v>169057469</v>
      </c>
      <c r="I116">
        <v>181464980</v>
      </c>
      <c r="J116">
        <v>184653993</v>
      </c>
      <c r="K116">
        <v>179180178</v>
      </c>
      <c r="L116">
        <v>188016755</v>
      </c>
      <c r="M116">
        <v>174081564</v>
      </c>
      <c r="N116">
        <v>174033491</v>
      </c>
      <c r="O116">
        <v>177152739</v>
      </c>
      <c r="P116" s="89"/>
    </row>
    <row r="117" spans="1:16">
      <c r="A117" t="str">
        <f t="shared" si="0"/>
        <v>CILC1DKWH ONPK%</v>
      </c>
      <c r="B117" t="s">
        <v>122</v>
      </c>
      <c r="C117" t="s">
        <v>131</v>
      </c>
      <c r="D117" s="5">
        <v>0.23580000000000001</v>
      </c>
      <c r="E117" s="5">
        <v>0.25103999999999999</v>
      </c>
      <c r="F117" s="5">
        <v>0.24475</v>
      </c>
      <c r="G117" s="5">
        <v>0.28094999999999998</v>
      </c>
      <c r="H117" s="5">
        <v>0.28311999999999998</v>
      </c>
      <c r="I117" s="5">
        <v>0.27883000000000002</v>
      </c>
      <c r="J117" s="5">
        <v>0.27022000000000002</v>
      </c>
      <c r="K117" s="5">
        <v>0.29443999999999998</v>
      </c>
      <c r="L117" s="5">
        <v>0.25352999999999998</v>
      </c>
      <c r="M117" s="5">
        <v>0.29520999999999997</v>
      </c>
      <c r="N117" s="5">
        <v>0.24063999999999999</v>
      </c>
      <c r="O117" s="5">
        <v>0.22433</v>
      </c>
    </row>
    <row r="118" spans="1:16">
      <c r="A118" t="str">
        <f t="shared" ref="A118:A181" si="1">B118&amp;C118</f>
        <v>CILC1DKWH OFFPK%</v>
      </c>
      <c r="B118" t="s">
        <v>122</v>
      </c>
      <c r="C118" t="s">
        <v>132</v>
      </c>
      <c r="D118" s="5">
        <v>0.76419999999999999</v>
      </c>
      <c r="E118" s="5">
        <v>0.74895999999999996</v>
      </c>
      <c r="F118" s="5">
        <v>0.75524999999999998</v>
      </c>
      <c r="G118" s="5">
        <v>0.71904999999999997</v>
      </c>
      <c r="H118" s="5">
        <v>0.71687999999999996</v>
      </c>
      <c r="I118" s="5">
        <v>0.72116999999999998</v>
      </c>
      <c r="J118" s="5">
        <v>0.72977999999999998</v>
      </c>
      <c r="K118" s="5">
        <v>0.70555999999999996</v>
      </c>
      <c r="L118" s="5">
        <v>0.74646999999999997</v>
      </c>
      <c r="M118" s="5">
        <v>0.70479000000000003</v>
      </c>
      <c r="N118" s="5">
        <v>0.75936000000000003</v>
      </c>
      <c r="O118" s="5">
        <v>0.77566999999999997</v>
      </c>
    </row>
    <row r="119" spans="1:16">
      <c r="A119" t="str">
        <f t="shared" si="1"/>
        <v>CILC1DDEMAND (KW):</v>
      </c>
      <c r="B119" t="s">
        <v>122</v>
      </c>
      <c r="C119" t="s">
        <v>62</v>
      </c>
    </row>
    <row r="120" spans="1:16">
      <c r="A120" t="str">
        <f t="shared" si="1"/>
        <v>CILC1DNCP</v>
      </c>
      <c r="B120" t="s">
        <v>122</v>
      </c>
      <c r="C120" t="s">
        <v>133</v>
      </c>
      <c r="D120">
        <v>464891</v>
      </c>
      <c r="E120">
        <v>450121</v>
      </c>
      <c r="F120">
        <v>436741</v>
      </c>
      <c r="G120">
        <v>472311</v>
      </c>
      <c r="H120">
        <v>445083</v>
      </c>
      <c r="I120">
        <v>489022</v>
      </c>
      <c r="J120">
        <v>464823</v>
      </c>
      <c r="K120">
        <v>479985</v>
      </c>
      <c r="L120">
        <v>482019</v>
      </c>
      <c r="M120">
        <v>466700</v>
      </c>
      <c r="N120">
        <v>448728</v>
      </c>
      <c r="O120">
        <v>443355</v>
      </c>
    </row>
    <row r="121" spans="1:16">
      <c r="A121" t="str">
        <f t="shared" si="1"/>
        <v>CILC1DNCP ONPK</v>
      </c>
      <c r="B121" t="s">
        <v>122</v>
      </c>
      <c r="C121" t="s">
        <v>134</v>
      </c>
      <c r="D121">
        <v>441437</v>
      </c>
      <c r="E121">
        <v>426518</v>
      </c>
      <c r="F121">
        <v>411585</v>
      </c>
      <c r="G121">
        <v>451577</v>
      </c>
      <c r="H121">
        <v>422677</v>
      </c>
      <c r="I121">
        <v>464538</v>
      </c>
      <c r="J121">
        <v>446510</v>
      </c>
      <c r="K121">
        <v>462127</v>
      </c>
      <c r="L121">
        <v>463058</v>
      </c>
      <c r="M121">
        <v>448595</v>
      </c>
      <c r="N121">
        <v>426872</v>
      </c>
      <c r="O121">
        <v>422615</v>
      </c>
      <c r="P121" s="87"/>
    </row>
    <row r="122" spans="1:16">
      <c r="A122" t="str">
        <f t="shared" si="1"/>
        <v>CILC1DNCP OFFPK</v>
      </c>
      <c r="B122" t="s">
        <v>122</v>
      </c>
      <c r="C122" t="s">
        <v>135</v>
      </c>
      <c r="D122">
        <v>462176</v>
      </c>
      <c r="E122">
        <v>447828</v>
      </c>
      <c r="F122">
        <v>434651</v>
      </c>
      <c r="G122">
        <v>467333</v>
      </c>
      <c r="H122">
        <v>441285</v>
      </c>
      <c r="I122">
        <v>484310</v>
      </c>
      <c r="J122">
        <v>459787</v>
      </c>
      <c r="K122">
        <v>473946</v>
      </c>
      <c r="L122">
        <v>477594</v>
      </c>
      <c r="M122">
        <v>461180</v>
      </c>
      <c r="N122">
        <v>446334</v>
      </c>
      <c r="O122">
        <v>441593</v>
      </c>
    </row>
    <row r="123" spans="1:16">
      <c r="A123" t="str">
        <f t="shared" si="1"/>
        <v>CILC1DGCP DATE</v>
      </c>
      <c r="B123" t="s">
        <v>122</v>
      </c>
      <c r="C123" t="s">
        <v>136</v>
      </c>
      <c r="D123" t="s">
        <v>908</v>
      </c>
      <c r="E123" t="s">
        <v>909</v>
      </c>
      <c r="F123" t="s">
        <v>910</v>
      </c>
      <c r="G123" t="s">
        <v>138</v>
      </c>
      <c r="H123" t="s">
        <v>207</v>
      </c>
      <c r="I123" t="s">
        <v>911</v>
      </c>
      <c r="J123" t="s">
        <v>240</v>
      </c>
      <c r="K123" t="s">
        <v>188</v>
      </c>
      <c r="L123" t="s">
        <v>16</v>
      </c>
      <c r="M123" t="s">
        <v>912</v>
      </c>
      <c r="N123" t="s">
        <v>913</v>
      </c>
      <c r="O123" t="s">
        <v>210</v>
      </c>
    </row>
    <row r="124" spans="1:16">
      <c r="A124" t="str">
        <f t="shared" si="1"/>
        <v>CILC1DGCP TIME</v>
      </c>
      <c r="B124" t="s">
        <v>122</v>
      </c>
      <c r="C124" t="s">
        <v>142</v>
      </c>
      <c r="D124" t="s">
        <v>146</v>
      </c>
      <c r="E124" t="s">
        <v>182</v>
      </c>
      <c r="F124" t="s">
        <v>144</v>
      </c>
      <c r="G124" t="s">
        <v>144</v>
      </c>
      <c r="H124" t="s">
        <v>144</v>
      </c>
      <c r="I124" t="s">
        <v>143</v>
      </c>
      <c r="J124" t="s">
        <v>146</v>
      </c>
      <c r="K124" t="s">
        <v>146</v>
      </c>
      <c r="L124" t="s">
        <v>146</v>
      </c>
      <c r="M124" t="s">
        <v>146</v>
      </c>
      <c r="N124" t="s">
        <v>146</v>
      </c>
      <c r="O124" t="s">
        <v>146</v>
      </c>
      <c r="P124" s="83"/>
    </row>
    <row r="125" spans="1:16">
      <c r="A125" t="str">
        <f t="shared" si="1"/>
        <v>CILC1DGCP</v>
      </c>
      <c r="B125" t="s">
        <v>122</v>
      </c>
      <c r="C125" t="s">
        <v>147</v>
      </c>
      <c r="D125">
        <v>379965</v>
      </c>
      <c r="E125">
        <v>374619</v>
      </c>
      <c r="F125">
        <v>366419</v>
      </c>
      <c r="G125">
        <v>389240</v>
      </c>
      <c r="H125">
        <v>362668</v>
      </c>
      <c r="I125">
        <v>402873</v>
      </c>
      <c r="J125">
        <v>386058</v>
      </c>
      <c r="K125">
        <v>392671</v>
      </c>
      <c r="L125">
        <v>403040</v>
      </c>
      <c r="M125">
        <v>386650</v>
      </c>
      <c r="N125">
        <v>377780</v>
      </c>
      <c r="O125">
        <v>370360</v>
      </c>
      <c r="P125" s="1"/>
    </row>
    <row r="126" spans="1:16">
      <c r="A126" t="str">
        <f t="shared" si="1"/>
        <v>CILC1DGCP ONPK</v>
      </c>
      <c r="B126" t="s">
        <v>122</v>
      </c>
      <c r="C126" t="s">
        <v>63</v>
      </c>
      <c r="D126">
        <v>366546</v>
      </c>
      <c r="E126">
        <v>360459</v>
      </c>
      <c r="F126">
        <v>345090</v>
      </c>
      <c r="G126">
        <v>389240</v>
      </c>
      <c r="H126">
        <v>362668</v>
      </c>
      <c r="I126">
        <v>402873</v>
      </c>
      <c r="J126">
        <v>385619</v>
      </c>
      <c r="K126">
        <v>391197</v>
      </c>
      <c r="L126">
        <v>402694</v>
      </c>
      <c r="M126">
        <v>384898</v>
      </c>
      <c r="N126">
        <v>366699</v>
      </c>
      <c r="O126">
        <v>361419</v>
      </c>
      <c r="P126" s="5"/>
    </row>
    <row r="127" spans="1:16">
      <c r="A127" t="str">
        <f t="shared" si="1"/>
        <v>CILC1DGCP OFFPK</v>
      </c>
      <c r="B127" t="s">
        <v>122</v>
      </c>
      <c r="C127" t="s">
        <v>64</v>
      </c>
      <c r="D127">
        <v>379965</v>
      </c>
      <c r="E127">
        <v>374619</v>
      </c>
      <c r="F127">
        <v>366419</v>
      </c>
      <c r="G127">
        <v>387649</v>
      </c>
      <c r="H127">
        <v>361701</v>
      </c>
      <c r="I127">
        <v>400015</v>
      </c>
      <c r="J127">
        <v>386058</v>
      </c>
      <c r="K127">
        <v>392671</v>
      </c>
      <c r="L127">
        <v>403040</v>
      </c>
      <c r="M127">
        <v>386650</v>
      </c>
      <c r="N127">
        <v>377780</v>
      </c>
      <c r="O127">
        <v>370360</v>
      </c>
      <c r="P127" s="5"/>
    </row>
    <row r="128" spans="1:16">
      <c r="A128" t="str">
        <f t="shared" si="1"/>
        <v>CILC1DCP</v>
      </c>
      <c r="B128" t="s">
        <v>122</v>
      </c>
      <c r="C128" t="s">
        <v>148</v>
      </c>
      <c r="D128">
        <v>320760</v>
      </c>
      <c r="E128">
        <v>351450</v>
      </c>
      <c r="F128">
        <v>337471</v>
      </c>
      <c r="G128">
        <v>372802</v>
      </c>
      <c r="H128">
        <v>354874</v>
      </c>
      <c r="I128">
        <v>375001</v>
      </c>
      <c r="J128">
        <v>366211</v>
      </c>
      <c r="K128">
        <v>370238</v>
      </c>
      <c r="L128">
        <v>352792</v>
      </c>
      <c r="M128">
        <v>359733</v>
      </c>
      <c r="N128">
        <v>346795</v>
      </c>
      <c r="O128">
        <v>349867</v>
      </c>
      <c r="P128" s="5"/>
    </row>
    <row r="129" spans="1:16">
      <c r="A129" t="str">
        <f t="shared" si="1"/>
        <v>CILC1DPERIOD START</v>
      </c>
      <c r="B129" t="s">
        <v>122</v>
      </c>
      <c r="C129" t="s">
        <v>149</v>
      </c>
      <c r="D129" s="1">
        <v>40909</v>
      </c>
      <c r="E129" s="1">
        <v>40940</v>
      </c>
      <c r="F129" s="1">
        <v>40969</v>
      </c>
      <c r="G129" s="1">
        <v>41000</v>
      </c>
      <c r="H129" s="1">
        <v>41030</v>
      </c>
      <c r="I129" s="1">
        <v>41061</v>
      </c>
      <c r="J129" s="1">
        <v>41091</v>
      </c>
      <c r="K129" s="1">
        <v>41122</v>
      </c>
      <c r="L129" s="1">
        <v>41153</v>
      </c>
      <c r="M129" s="1">
        <v>41183</v>
      </c>
      <c r="N129" s="1">
        <v>41214</v>
      </c>
      <c r="O129" s="1">
        <v>41244</v>
      </c>
      <c r="P129" s="5"/>
    </row>
    <row r="130" spans="1:16">
      <c r="A130" t="str">
        <f t="shared" si="1"/>
        <v>CILC1DNCP LF</v>
      </c>
      <c r="B130" t="s">
        <v>122</v>
      </c>
      <c r="C130" t="s">
        <v>150</v>
      </c>
      <c r="D130" s="5">
        <v>0.69350000000000001</v>
      </c>
      <c r="E130" s="5">
        <v>0.70709999999999995</v>
      </c>
      <c r="F130" s="5">
        <v>0.71230000000000004</v>
      </c>
      <c r="G130" s="5">
        <v>0.70540000000000003</v>
      </c>
      <c r="H130" s="5">
        <v>0.71220000000000006</v>
      </c>
      <c r="I130" s="5">
        <v>0.7147</v>
      </c>
      <c r="J130" s="5">
        <v>0.73170000000000002</v>
      </c>
      <c r="K130" s="5">
        <v>0.71109999999999995</v>
      </c>
      <c r="L130" s="5">
        <v>0.72570000000000001</v>
      </c>
      <c r="M130" s="5">
        <v>0.71130000000000004</v>
      </c>
      <c r="N130" s="5">
        <v>0.70940000000000003</v>
      </c>
      <c r="O130" s="5">
        <v>0.69240000000000002</v>
      </c>
      <c r="P130" s="5"/>
    </row>
    <row r="131" spans="1:16">
      <c r="A131" t="str">
        <f t="shared" si="1"/>
        <v>CILC1DNCP LF ONPK</v>
      </c>
      <c r="B131" t="s">
        <v>122</v>
      </c>
      <c r="C131" t="s">
        <v>151</v>
      </c>
      <c r="D131" s="5">
        <v>0.76259999999999994</v>
      </c>
      <c r="E131" s="5">
        <v>0.77610000000000001</v>
      </c>
      <c r="F131" s="5">
        <v>0.78210000000000002</v>
      </c>
      <c r="G131" s="5">
        <v>0.78969999999999996</v>
      </c>
      <c r="H131" s="5">
        <v>0.79779999999999995</v>
      </c>
      <c r="I131" s="5">
        <v>0.79910000000000003</v>
      </c>
      <c r="J131" s="5">
        <v>0.81020000000000003</v>
      </c>
      <c r="K131" s="5">
        <v>0.78169999999999995</v>
      </c>
      <c r="L131" s="5">
        <v>0.80640000000000001</v>
      </c>
      <c r="M131" s="5">
        <v>0.78520000000000001</v>
      </c>
      <c r="N131" s="5">
        <v>0.76900000000000002</v>
      </c>
      <c r="O131" s="5">
        <v>0.75770000000000004</v>
      </c>
      <c r="P131" s="5"/>
    </row>
    <row r="132" spans="1:16">
      <c r="A132" t="str">
        <f t="shared" si="1"/>
        <v>CILC1DNCP LF OFFPK</v>
      </c>
      <c r="B132" t="s">
        <v>122</v>
      </c>
      <c r="C132" t="s">
        <v>152</v>
      </c>
      <c r="D132" s="5">
        <v>0.6885</v>
      </c>
      <c r="E132" s="5">
        <v>0.7016</v>
      </c>
      <c r="F132" s="5">
        <v>0.70809999999999995</v>
      </c>
      <c r="G132" s="5">
        <v>0.69510000000000005</v>
      </c>
      <c r="H132" s="5">
        <v>0.70169999999999999</v>
      </c>
      <c r="I132" s="5">
        <v>0.7056</v>
      </c>
      <c r="J132" s="5">
        <v>0.72360000000000002</v>
      </c>
      <c r="K132" s="5">
        <v>0.70399999999999996</v>
      </c>
      <c r="L132" s="5">
        <v>0.71709999999999996</v>
      </c>
      <c r="M132" s="5">
        <v>0.70289999999999997</v>
      </c>
      <c r="N132" s="5">
        <v>0.70640000000000003</v>
      </c>
      <c r="O132" s="5">
        <v>0.68689999999999996</v>
      </c>
      <c r="P132" s="5"/>
    </row>
    <row r="133" spans="1:16">
      <c r="A133" t="str">
        <f t="shared" si="1"/>
        <v>CILC1DGCP CF</v>
      </c>
      <c r="B133" t="s">
        <v>122</v>
      </c>
      <c r="C133" t="s">
        <v>153</v>
      </c>
      <c r="D133" s="5">
        <v>0.81730000000000003</v>
      </c>
      <c r="E133" s="5">
        <v>0.83230000000000004</v>
      </c>
      <c r="F133" s="5">
        <v>0.83899999999999997</v>
      </c>
      <c r="G133" s="5">
        <v>0.82410000000000005</v>
      </c>
      <c r="H133" s="5">
        <v>0.81479999999999997</v>
      </c>
      <c r="I133" s="5">
        <v>0.82379999999999998</v>
      </c>
      <c r="J133" s="5">
        <v>0.83050000000000002</v>
      </c>
      <c r="K133" s="5">
        <v>0.81810000000000005</v>
      </c>
      <c r="L133" s="5">
        <v>0.83620000000000005</v>
      </c>
      <c r="M133" s="5">
        <v>0.82850000000000001</v>
      </c>
      <c r="N133" s="5">
        <v>0.84189999999999998</v>
      </c>
      <c r="O133" s="5">
        <v>0.83540000000000003</v>
      </c>
      <c r="P133" s="5"/>
    </row>
    <row r="134" spans="1:16">
      <c r="A134" t="str">
        <f t="shared" si="1"/>
        <v>CILC1DCP CF</v>
      </c>
      <c r="B134" t="s">
        <v>122</v>
      </c>
      <c r="C134" t="s">
        <v>154</v>
      </c>
      <c r="D134" s="5">
        <v>0.69</v>
      </c>
      <c r="E134" s="5">
        <v>0.78080000000000005</v>
      </c>
      <c r="F134" s="5">
        <v>0.77270000000000005</v>
      </c>
      <c r="G134" s="5">
        <v>0.7893</v>
      </c>
      <c r="H134" s="5">
        <v>0.79730000000000001</v>
      </c>
      <c r="I134" s="5">
        <v>0.76680000000000004</v>
      </c>
      <c r="J134" s="5">
        <v>0.78790000000000004</v>
      </c>
      <c r="K134" s="5">
        <v>0.77139999999999997</v>
      </c>
      <c r="L134" s="5">
        <v>0.7319</v>
      </c>
      <c r="M134" s="5">
        <v>0.77080000000000004</v>
      </c>
      <c r="N134" s="5">
        <v>0.77280000000000004</v>
      </c>
      <c r="O134" s="5">
        <v>0.78910000000000002</v>
      </c>
      <c r="P134" s="5"/>
    </row>
    <row r="135" spans="1:16">
      <c r="A135" t="str">
        <f t="shared" si="1"/>
        <v>CILC1DGCP LF</v>
      </c>
      <c r="B135" t="s">
        <v>122</v>
      </c>
      <c r="C135" t="s">
        <v>155</v>
      </c>
      <c r="D135" s="5">
        <v>0.84850000000000003</v>
      </c>
      <c r="E135" s="5">
        <v>0.84960000000000002</v>
      </c>
      <c r="F135" s="5">
        <v>0.84909999999999997</v>
      </c>
      <c r="G135" s="5">
        <v>0.85599999999999998</v>
      </c>
      <c r="H135" s="5">
        <v>0.874</v>
      </c>
      <c r="I135" s="5">
        <v>0.86750000000000005</v>
      </c>
      <c r="J135" s="5">
        <v>0.88090000000000002</v>
      </c>
      <c r="K135" s="5">
        <v>0.86929999999999996</v>
      </c>
      <c r="L135" s="5">
        <v>0.86799999999999999</v>
      </c>
      <c r="M135" s="5">
        <v>0.85860000000000003</v>
      </c>
      <c r="N135" s="5">
        <v>0.84260000000000002</v>
      </c>
      <c r="O135" s="5">
        <v>0.82879999999999998</v>
      </c>
    </row>
    <row r="136" spans="1:16">
      <c r="A136" t="str">
        <f t="shared" si="1"/>
        <v>CILC1DGCP LF ONPK</v>
      </c>
      <c r="B136" t="s">
        <v>122</v>
      </c>
      <c r="C136" t="s">
        <v>156</v>
      </c>
      <c r="D136" s="5">
        <v>0.91849999999999998</v>
      </c>
      <c r="E136" s="5">
        <v>0.91830000000000001</v>
      </c>
      <c r="F136" s="5">
        <v>0.93279999999999996</v>
      </c>
      <c r="G136" s="5">
        <v>0.91620000000000001</v>
      </c>
      <c r="H136" s="5">
        <v>0.92979999999999996</v>
      </c>
      <c r="I136" s="5">
        <v>0.92149999999999999</v>
      </c>
      <c r="J136" s="5">
        <v>0.93820000000000003</v>
      </c>
      <c r="K136" s="5">
        <v>0.9234</v>
      </c>
      <c r="L136" s="5">
        <v>0.92730000000000001</v>
      </c>
      <c r="M136" s="5">
        <v>0.91520000000000001</v>
      </c>
      <c r="N136" s="5">
        <v>0.8952</v>
      </c>
      <c r="O136" s="5">
        <v>0.88600000000000001</v>
      </c>
      <c r="P136" s="5"/>
    </row>
    <row r="137" spans="1:16">
      <c r="A137" t="str">
        <f t="shared" si="1"/>
        <v>CILC1DGCP LF OFFPK</v>
      </c>
      <c r="B137" t="s">
        <v>122</v>
      </c>
      <c r="C137" t="s">
        <v>157</v>
      </c>
      <c r="D137" s="5">
        <v>0.83750000000000002</v>
      </c>
      <c r="E137" s="5">
        <v>0.8387</v>
      </c>
      <c r="F137" s="5">
        <v>0.83989999999999998</v>
      </c>
      <c r="G137" s="5">
        <v>0.83799999999999997</v>
      </c>
      <c r="H137" s="5">
        <v>0.85599999999999998</v>
      </c>
      <c r="I137" s="5">
        <v>0.85429999999999995</v>
      </c>
      <c r="J137" s="5">
        <v>0.86180000000000001</v>
      </c>
      <c r="K137" s="5">
        <v>0.84970000000000001</v>
      </c>
      <c r="L137" s="5">
        <v>0.84970000000000001</v>
      </c>
      <c r="M137" s="5">
        <v>0.83840000000000003</v>
      </c>
      <c r="N137" s="5">
        <v>0.83460000000000001</v>
      </c>
      <c r="O137" s="5">
        <v>0.81910000000000005</v>
      </c>
      <c r="P137" s="5"/>
    </row>
    <row r="138" spans="1:16">
      <c r="A138" t="str">
        <f t="shared" si="1"/>
        <v>CILC1DCP LF</v>
      </c>
      <c r="B138" t="s">
        <v>122</v>
      </c>
      <c r="C138" t="s">
        <v>158</v>
      </c>
      <c r="D138" s="5">
        <v>1.0051000000000001</v>
      </c>
      <c r="E138" s="5">
        <v>0.90559999999999996</v>
      </c>
      <c r="F138" s="5">
        <v>0.92190000000000005</v>
      </c>
      <c r="G138" s="5">
        <v>0.89370000000000005</v>
      </c>
      <c r="H138" s="5">
        <v>0.89319999999999999</v>
      </c>
      <c r="I138" s="5">
        <v>0.93189999999999995</v>
      </c>
      <c r="J138" s="5">
        <v>0.92869999999999997</v>
      </c>
      <c r="K138" s="5">
        <v>0.92190000000000005</v>
      </c>
      <c r="L138" s="5">
        <v>0.99160000000000004</v>
      </c>
      <c r="M138" s="5">
        <v>0.92290000000000005</v>
      </c>
      <c r="N138" s="5">
        <v>0.91790000000000005</v>
      </c>
      <c r="O138" s="5">
        <v>0.87739999999999996</v>
      </c>
      <c r="P138" s="5"/>
    </row>
    <row r="139" spans="1:16">
      <c r="A139" t="str">
        <f t="shared" si="1"/>
        <v>CILC1DREL PREC:</v>
      </c>
      <c r="B139" t="s">
        <v>122</v>
      </c>
      <c r="C139" t="s">
        <v>65</v>
      </c>
      <c r="P139" s="5"/>
    </row>
    <row r="140" spans="1:16">
      <c r="A140" t="str">
        <f t="shared" si="1"/>
        <v>CILC1DNCP RP</v>
      </c>
      <c r="B140" t="s">
        <v>122</v>
      </c>
      <c r="C140" t="s">
        <v>159</v>
      </c>
      <c r="D140" s="5">
        <v>3.8E-3</v>
      </c>
      <c r="E140" s="5">
        <v>3.0000000000000001E-3</v>
      </c>
      <c r="F140" s="5">
        <v>3.2000000000000002E-3</v>
      </c>
      <c r="G140" s="5">
        <v>2E-3</v>
      </c>
      <c r="H140" s="5">
        <v>2.2000000000000001E-3</v>
      </c>
      <c r="I140" s="5">
        <v>3.3E-3</v>
      </c>
      <c r="J140" s="5">
        <v>0</v>
      </c>
      <c r="K140" s="5">
        <v>3.3E-3</v>
      </c>
      <c r="L140" s="5">
        <v>3.0999999999999999E-3</v>
      </c>
      <c r="M140" s="5">
        <v>3.7000000000000002E-3</v>
      </c>
      <c r="N140" s="5">
        <v>2.8E-3</v>
      </c>
      <c r="O140" s="5">
        <v>2E-3</v>
      </c>
      <c r="P140" s="5"/>
    </row>
    <row r="141" spans="1:16">
      <c r="A141" t="str">
        <f t="shared" si="1"/>
        <v>CILC1DNCP RP ONPK</v>
      </c>
      <c r="B141" t="s">
        <v>122</v>
      </c>
      <c r="C141" t="s">
        <v>160</v>
      </c>
      <c r="D141" s="5">
        <v>3.5999999999999999E-3</v>
      </c>
      <c r="E141" s="5">
        <v>2.8E-3</v>
      </c>
      <c r="F141" s="5">
        <v>2.8E-3</v>
      </c>
      <c r="G141" s="5">
        <v>2E-3</v>
      </c>
      <c r="H141" s="5">
        <v>2.0999999999999999E-3</v>
      </c>
      <c r="I141" s="5">
        <v>3.2000000000000002E-3</v>
      </c>
      <c r="J141" s="5">
        <v>0</v>
      </c>
      <c r="K141" s="5">
        <v>3.2000000000000002E-3</v>
      </c>
      <c r="L141" s="5">
        <v>3.0999999999999999E-3</v>
      </c>
      <c r="M141" s="5">
        <v>3.5999999999999999E-3</v>
      </c>
      <c r="N141" s="5">
        <v>2.5999999999999999E-3</v>
      </c>
      <c r="O141" s="5">
        <v>2E-3</v>
      </c>
      <c r="P141" s="5"/>
    </row>
    <row r="142" spans="1:16">
      <c r="A142" t="str">
        <f t="shared" si="1"/>
        <v>CILC1DNCP RP OFFPK</v>
      </c>
      <c r="B142" t="s">
        <v>122</v>
      </c>
      <c r="C142" t="s">
        <v>161</v>
      </c>
      <c r="D142" s="5">
        <v>3.8E-3</v>
      </c>
      <c r="E142" s="5">
        <v>3.0000000000000001E-3</v>
      </c>
      <c r="F142" s="5">
        <v>3.2000000000000002E-3</v>
      </c>
      <c r="G142" s="5">
        <v>2E-3</v>
      </c>
      <c r="H142" s="5">
        <v>2.2000000000000001E-3</v>
      </c>
      <c r="I142" s="5">
        <v>3.3E-3</v>
      </c>
      <c r="J142" s="5">
        <v>0</v>
      </c>
      <c r="K142" s="5">
        <v>3.3E-3</v>
      </c>
      <c r="L142" s="5">
        <v>3.2000000000000002E-3</v>
      </c>
      <c r="M142" s="5">
        <v>3.7000000000000002E-3</v>
      </c>
      <c r="N142" s="5">
        <v>2.7000000000000001E-3</v>
      </c>
      <c r="O142" s="5">
        <v>2E-3</v>
      </c>
      <c r="P142" s="5"/>
    </row>
    <row r="143" spans="1:16">
      <c r="A143" t="str">
        <f t="shared" si="1"/>
        <v>CILC1DGCP RP</v>
      </c>
      <c r="B143" t="s">
        <v>122</v>
      </c>
      <c r="C143" t="s">
        <v>162</v>
      </c>
      <c r="D143" s="5">
        <v>3.2000000000000002E-3</v>
      </c>
      <c r="E143" s="5">
        <v>2.8E-3</v>
      </c>
      <c r="F143" s="5">
        <v>3.0000000000000001E-3</v>
      </c>
      <c r="G143" s="5">
        <v>1.8E-3</v>
      </c>
      <c r="H143" s="5">
        <v>2.5000000000000001E-3</v>
      </c>
      <c r="I143" s="5">
        <v>3.3999999999999998E-3</v>
      </c>
      <c r="J143" s="5">
        <v>0</v>
      </c>
      <c r="K143" s="5">
        <v>2.7000000000000001E-3</v>
      </c>
      <c r="L143" s="5">
        <v>2.8E-3</v>
      </c>
      <c r="M143" s="5">
        <v>2.7000000000000001E-3</v>
      </c>
      <c r="N143" s="5">
        <v>2.3999999999999998E-3</v>
      </c>
      <c r="O143" s="5">
        <v>2.5000000000000001E-3</v>
      </c>
    </row>
    <row r="144" spans="1:16">
      <c r="A144" t="str">
        <f t="shared" si="1"/>
        <v>CILC1DGCP RP ONPK</v>
      </c>
      <c r="B144" t="s">
        <v>122</v>
      </c>
      <c r="C144" t="s">
        <v>163</v>
      </c>
      <c r="D144" s="5">
        <v>2.5000000000000001E-3</v>
      </c>
      <c r="E144" s="5">
        <v>2.5000000000000001E-3</v>
      </c>
      <c r="F144" s="5">
        <v>2.0999999999999999E-3</v>
      </c>
      <c r="G144" s="5">
        <v>1.8E-3</v>
      </c>
      <c r="H144" s="5">
        <v>2.5000000000000001E-3</v>
      </c>
      <c r="I144" s="5">
        <v>3.3999999999999998E-3</v>
      </c>
      <c r="J144" s="5">
        <v>0</v>
      </c>
      <c r="K144" s="5">
        <v>2.0999999999999999E-3</v>
      </c>
      <c r="L144" s="5">
        <v>2.8999999999999998E-3</v>
      </c>
      <c r="M144" s="5">
        <v>2.5999999999999999E-3</v>
      </c>
      <c r="N144" s="5">
        <v>2.3E-3</v>
      </c>
      <c r="O144" s="5">
        <v>2.8999999999999998E-3</v>
      </c>
    </row>
    <row r="145" spans="1:16">
      <c r="A145" t="str">
        <f t="shared" si="1"/>
        <v>CILC1DGCP RP OFFPK</v>
      </c>
      <c r="B145" t="s">
        <v>122</v>
      </c>
      <c r="C145" t="s">
        <v>164</v>
      </c>
      <c r="D145" s="5">
        <v>3.2000000000000002E-3</v>
      </c>
      <c r="E145" s="5">
        <v>2.8E-3</v>
      </c>
      <c r="F145" s="5">
        <v>3.0000000000000001E-3</v>
      </c>
      <c r="G145" s="5">
        <v>1.8E-3</v>
      </c>
      <c r="H145" s="5">
        <v>1.9E-3</v>
      </c>
      <c r="I145" s="5">
        <v>4.0000000000000001E-3</v>
      </c>
      <c r="J145" s="5">
        <v>0</v>
      </c>
      <c r="K145" s="5">
        <v>2.7000000000000001E-3</v>
      </c>
      <c r="L145" s="5">
        <v>2.8E-3</v>
      </c>
      <c r="M145" s="5">
        <v>2.7000000000000001E-3</v>
      </c>
      <c r="N145" s="5">
        <v>2.3999999999999998E-3</v>
      </c>
      <c r="O145" s="5">
        <v>2.5000000000000001E-3</v>
      </c>
    </row>
    <row r="146" spans="1:16">
      <c r="A146" t="str">
        <f t="shared" si="1"/>
        <v>CILC1DCP RP</v>
      </c>
      <c r="B146" t="s">
        <v>122</v>
      </c>
      <c r="C146" t="s">
        <v>165</v>
      </c>
      <c r="D146" s="5">
        <v>3.3E-3</v>
      </c>
      <c r="E146" s="5">
        <v>1.6000000000000001E-3</v>
      </c>
      <c r="F146" s="5">
        <v>2.8E-3</v>
      </c>
      <c r="G146" s="5">
        <v>1.1000000000000001E-3</v>
      </c>
      <c r="H146" s="5">
        <v>1.5E-3</v>
      </c>
      <c r="I146" s="5">
        <v>1.5E-3</v>
      </c>
      <c r="J146" s="5">
        <v>0</v>
      </c>
      <c r="K146" s="5">
        <v>1.6999999999999999E-3</v>
      </c>
      <c r="L146" s="5">
        <v>2E-3</v>
      </c>
      <c r="M146" s="5">
        <v>2.3999999999999998E-3</v>
      </c>
      <c r="N146" s="5">
        <v>2.2000000000000001E-3</v>
      </c>
      <c r="O146" s="5">
        <v>1.2999999999999999E-3</v>
      </c>
    </row>
    <row r="147" spans="1:16">
      <c r="A147" t="str">
        <f t="shared" si="1"/>
        <v>CILC1DSAMPLE SIZE:</v>
      </c>
      <c r="B147" t="s">
        <v>122</v>
      </c>
      <c r="C147" t="s">
        <v>66</v>
      </c>
    </row>
    <row r="148" spans="1:16">
      <c r="A148" t="str">
        <f t="shared" si="1"/>
        <v>CILC1DGCPSZ</v>
      </c>
      <c r="B148" t="s">
        <v>122</v>
      </c>
      <c r="C148" t="s">
        <v>166</v>
      </c>
      <c r="D148">
        <v>321</v>
      </c>
      <c r="E148">
        <v>323</v>
      </c>
      <c r="F148">
        <v>324</v>
      </c>
      <c r="G148">
        <v>324</v>
      </c>
      <c r="H148">
        <v>321</v>
      </c>
      <c r="I148">
        <v>320</v>
      </c>
      <c r="J148">
        <v>323</v>
      </c>
      <c r="K148">
        <v>318</v>
      </c>
      <c r="L148">
        <v>318</v>
      </c>
      <c r="M148">
        <v>318</v>
      </c>
      <c r="N148">
        <v>319</v>
      </c>
      <c r="O148">
        <v>319</v>
      </c>
    </row>
    <row r="149" spans="1:16">
      <c r="A149" t="str">
        <f t="shared" si="1"/>
        <v>CILC1DGCPSZ ONPK</v>
      </c>
      <c r="B149" t="s">
        <v>122</v>
      </c>
      <c r="C149" t="s">
        <v>167</v>
      </c>
      <c r="D149">
        <v>321</v>
      </c>
      <c r="E149">
        <v>323</v>
      </c>
      <c r="F149">
        <v>324</v>
      </c>
      <c r="G149">
        <v>324</v>
      </c>
      <c r="H149">
        <v>321</v>
      </c>
      <c r="I149">
        <v>320</v>
      </c>
      <c r="J149">
        <v>323</v>
      </c>
      <c r="K149">
        <v>318</v>
      </c>
      <c r="L149">
        <v>318</v>
      </c>
      <c r="M149">
        <v>318</v>
      </c>
      <c r="N149">
        <v>319</v>
      </c>
      <c r="O149">
        <v>318</v>
      </c>
    </row>
    <row r="150" spans="1:16">
      <c r="A150" t="str">
        <f t="shared" si="1"/>
        <v>CILC1DGCPSZ OFFPK</v>
      </c>
      <c r="B150" t="s">
        <v>122</v>
      </c>
      <c r="C150" t="s">
        <v>168</v>
      </c>
      <c r="D150">
        <v>321</v>
      </c>
      <c r="E150">
        <v>323</v>
      </c>
      <c r="F150">
        <v>324</v>
      </c>
      <c r="G150">
        <v>324</v>
      </c>
      <c r="H150">
        <v>322</v>
      </c>
      <c r="I150">
        <v>321</v>
      </c>
      <c r="J150">
        <v>323</v>
      </c>
      <c r="K150">
        <v>318</v>
      </c>
      <c r="L150">
        <v>318</v>
      </c>
      <c r="M150">
        <v>318</v>
      </c>
      <c r="N150">
        <v>319</v>
      </c>
      <c r="O150">
        <v>319</v>
      </c>
    </row>
    <row r="151" spans="1:16">
      <c r="A151" t="str">
        <f t="shared" si="1"/>
        <v>CILC1DCPSZ</v>
      </c>
      <c r="B151" t="s">
        <v>122</v>
      </c>
      <c r="C151" t="s">
        <v>169</v>
      </c>
      <c r="D151">
        <v>321</v>
      </c>
      <c r="E151">
        <v>323</v>
      </c>
      <c r="F151">
        <v>324</v>
      </c>
      <c r="G151">
        <v>324</v>
      </c>
      <c r="H151">
        <v>322</v>
      </c>
      <c r="I151">
        <v>321</v>
      </c>
      <c r="J151">
        <v>323</v>
      </c>
      <c r="K151">
        <v>318</v>
      </c>
      <c r="L151">
        <v>319</v>
      </c>
      <c r="M151">
        <v>318</v>
      </c>
      <c r="N151">
        <v>319</v>
      </c>
      <c r="O151">
        <v>320</v>
      </c>
    </row>
    <row r="152" spans="1:16">
      <c r="A152" t="str">
        <f t="shared" si="1"/>
        <v>CILC1DSTD DEV OF R</v>
      </c>
      <c r="B152" t="s">
        <v>122</v>
      </c>
      <c r="C152" t="s">
        <v>170</v>
      </c>
    </row>
    <row r="153" spans="1:16">
      <c r="A153" t="str">
        <f t="shared" si="1"/>
        <v>CILC1DSDR GCP</v>
      </c>
      <c r="B153" t="s">
        <v>122</v>
      </c>
      <c r="C153" t="s">
        <v>171</v>
      </c>
      <c r="D153">
        <v>429.40100000000001</v>
      </c>
      <c r="E153">
        <v>454.93200000000002</v>
      </c>
      <c r="F153">
        <v>466.69499999999999</v>
      </c>
      <c r="G153">
        <v>427.57799999999997</v>
      </c>
      <c r="H153">
        <v>390.90899999999999</v>
      </c>
      <c r="I153">
        <v>416.54899999999998</v>
      </c>
      <c r="J153">
        <v>342.23</v>
      </c>
      <c r="K153">
        <v>369.98899999999998</v>
      </c>
      <c r="L153">
        <v>343.73599999999999</v>
      </c>
      <c r="M153">
        <v>309.68200000000002</v>
      </c>
      <c r="N153">
        <v>390.31</v>
      </c>
      <c r="O153">
        <v>401.84100000000001</v>
      </c>
    </row>
    <row r="154" spans="1:16">
      <c r="A154" t="str">
        <f t="shared" si="1"/>
        <v>CILC1DSDR GCP ONPK</v>
      </c>
      <c r="B154" t="s">
        <v>122</v>
      </c>
      <c r="C154" t="s">
        <v>172</v>
      </c>
      <c r="D154">
        <v>322.22300000000001</v>
      </c>
      <c r="E154">
        <v>391.53300000000002</v>
      </c>
      <c r="F154">
        <v>309.77600000000001</v>
      </c>
      <c r="G154">
        <v>427.57799999999997</v>
      </c>
      <c r="H154">
        <v>390.90899999999999</v>
      </c>
      <c r="I154">
        <v>416.54899999999998</v>
      </c>
      <c r="J154">
        <v>385.43799999999999</v>
      </c>
      <c r="K154">
        <v>290.15600000000001</v>
      </c>
      <c r="L154">
        <v>351.90199999999999</v>
      </c>
      <c r="M154">
        <v>300.96100000000001</v>
      </c>
      <c r="N154">
        <v>365.18900000000002</v>
      </c>
      <c r="O154">
        <v>360.42200000000003</v>
      </c>
    </row>
    <row r="155" spans="1:16">
      <c r="A155" t="str">
        <f t="shared" si="1"/>
        <v>CILC1DSDR GCP OFFPK</v>
      </c>
      <c r="B155" t="s">
        <v>122</v>
      </c>
      <c r="C155" t="s">
        <v>173</v>
      </c>
      <c r="D155">
        <v>429.40100000000001</v>
      </c>
      <c r="E155">
        <v>454.93200000000002</v>
      </c>
      <c r="F155">
        <v>466.69499999999999</v>
      </c>
      <c r="G155">
        <v>435.23500000000001</v>
      </c>
      <c r="H155">
        <v>417.02199999999999</v>
      </c>
      <c r="I155">
        <v>557.81600000000003</v>
      </c>
      <c r="J155">
        <v>342.23</v>
      </c>
      <c r="K155">
        <v>369.98899999999998</v>
      </c>
      <c r="L155">
        <v>343.73599999999999</v>
      </c>
      <c r="M155">
        <v>309.68200000000002</v>
      </c>
      <c r="N155">
        <v>390.31</v>
      </c>
      <c r="O155">
        <v>401.84100000000001</v>
      </c>
      <c r="P155" s="4"/>
    </row>
    <row r="156" spans="1:16">
      <c r="A156" t="str">
        <f t="shared" si="1"/>
        <v>CILC1DSDR CP</v>
      </c>
      <c r="B156" t="s">
        <v>122</v>
      </c>
      <c r="C156" t="s">
        <v>174</v>
      </c>
      <c r="D156">
        <v>365.95600000000002</v>
      </c>
      <c r="E156">
        <v>234.65100000000001</v>
      </c>
      <c r="F156">
        <v>403.75099999999998</v>
      </c>
      <c r="G156">
        <v>242.143</v>
      </c>
      <c r="H156">
        <v>332.29899999999998</v>
      </c>
      <c r="I156">
        <v>191.304</v>
      </c>
      <c r="J156">
        <v>237.25399999999999</v>
      </c>
      <c r="K156">
        <v>215.32599999999999</v>
      </c>
      <c r="L156">
        <v>241.56299999999999</v>
      </c>
      <c r="M156">
        <v>264.17</v>
      </c>
      <c r="N156">
        <v>322.06299999999999</v>
      </c>
      <c r="O156">
        <v>282.08499999999998</v>
      </c>
    </row>
    <row r="157" spans="1:16">
      <c r="A157" t="str">
        <f t="shared" si="1"/>
        <v/>
      </c>
    </row>
    <row r="158" spans="1:16">
      <c r="A158" t="str">
        <f t="shared" si="1"/>
        <v/>
      </c>
    </row>
    <row r="159" spans="1:16">
      <c r="A159" t="str">
        <f t="shared" si="1"/>
        <v/>
      </c>
    </row>
    <row r="160" spans="1:16">
      <c r="A160" t="str">
        <f t="shared" si="1"/>
        <v/>
      </c>
    </row>
    <row r="161" spans="1:16">
      <c r="A161" t="str">
        <f t="shared" si="1"/>
        <v xml:space="preserve">CILC1G Commercial/Industrial Load Control - General (56) </v>
      </c>
      <c r="B161" t="s">
        <v>175</v>
      </c>
      <c r="C161" t="s">
        <v>176</v>
      </c>
      <c r="P161" s="91"/>
    </row>
    <row r="162" spans="1:16">
      <c r="A162" t="str">
        <f t="shared" si="1"/>
        <v xml:space="preserve">CILC1GMONTH </v>
      </c>
      <c r="B162" t="s">
        <v>177</v>
      </c>
      <c r="C162" t="s">
        <v>123</v>
      </c>
      <c r="D162" s="4">
        <v>40909</v>
      </c>
      <c r="E162" s="4">
        <v>40940</v>
      </c>
      <c r="F162" s="4">
        <v>40969</v>
      </c>
      <c r="G162" s="4">
        <v>41000</v>
      </c>
      <c r="H162" s="4">
        <v>41030</v>
      </c>
      <c r="I162" s="4">
        <v>41061</v>
      </c>
      <c r="J162" s="4">
        <v>41091</v>
      </c>
      <c r="K162" s="4">
        <v>41122</v>
      </c>
      <c r="L162" s="4">
        <v>41153</v>
      </c>
      <c r="M162" s="4">
        <v>41183</v>
      </c>
      <c r="N162" s="4">
        <v>41214</v>
      </c>
      <c r="O162" s="4">
        <v>41244</v>
      </c>
    </row>
    <row r="163" spans="1:16">
      <c r="A163" t="str">
        <f t="shared" si="1"/>
        <v xml:space="preserve">CILC1GCUSTOMERS </v>
      </c>
      <c r="B163" t="s">
        <v>177</v>
      </c>
      <c r="C163" t="s">
        <v>124</v>
      </c>
      <c r="D163">
        <v>107</v>
      </c>
      <c r="E163">
        <v>106</v>
      </c>
      <c r="F163">
        <v>105</v>
      </c>
      <c r="G163">
        <v>106</v>
      </c>
      <c r="H163">
        <v>107</v>
      </c>
      <c r="I163">
        <v>105</v>
      </c>
      <c r="J163">
        <v>106</v>
      </c>
      <c r="K163">
        <v>107</v>
      </c>
      <c r="L163">
        <v>106</v>
      </c>
      <c r="M163">
        <v>106</v>
      </c>
      <c r="N163">
        <v>106</v>
      </c>
      <c r="O163">
        <v>106</v>
      </c>
    </row>
    <row r="164" spans="1:16">
      <c r="A164" t="str">
        <f t="shared" si="1"/>
        <v xml:space="preserve">CILC1GSALES </v>
      </c>
      <c r="B164" t="s">
        <v>177</v>
      </c>
      <c r="C164" t="s">
        <v>125</v>
      </c>
      <c r="D164">
        <v>16302100</v>
      </c>
      <c r="E164">
        <v>14465220</v>
      </c>
      <c r="F164">
        <v>14500004</v>
      </c>
      <c r="G164">
        <v>14979920</v>
      </c>
      <c r="H164">
        <v>15759740</v>
      </c>
      <c r="I164">
        <v>16252240</v>
      </c>
      <c r="J164">
        <v>16563340</v>
      </c>
      <c r="K164">
        <v>16450131</v>
      </c>
      <c r="L164">
        <v>16213620</v>
      </c>
      <c r="M164">
        <v>16295516</v>
      </c>
      <c r="N164">
        <v>15453984</v>
      </c>
      <c r="O164">
        <v>14909600</v>
      </c>
      <c r="P164" s="5"/>
    </row>
    <row r="165" spans="1:16">
      <c r="A165" t="str">
        <f t="shared" si="1"/>
        <v>CILC1GKW</v>
      </c>
      <c r="B165" t="s">
        <v>177</v>
      </c>
      <c r="C165" t="s">
        <v>126</v>
      </c>
      <c r="P165" s="5"/>
    </row>
    <row r="166" spans="1:16">
      <c r="A166" t="str">
        <f t="shared" si="1"/>
        <v>CILC1GN</v>
      </c>
      <c r="B166" t="s">
        <v>177</v>
      </c>
      <c r="C166" t="s">
        <v>127</v>
      </c>
      <c r="D166">
        <v>107</v>
      </c>
      <c r="E166">
        <v>107</v>
      </c>
      <c r="F166">
        <v>105</v>
      </c>
      <c r="G166">
        <v>106</v>
      </c>
      <c r="H166">
        <v>107</v>
      </c>
      <c r="I166">
        <v>105</v>
      </c>
      <c r="J166">
        <v>105</v>
      </c>
      <c r="K166">
        <v>107</v>
      </c>
      <c r="L166">
        <v>106</v>
      </c>
      <c r="M166">
        <v>106</v>
      </c>
      <c r="N166">
        <v>106</v>
      </c>
      <c r="O166">
        <v>106</v>
      </c>
    </row>
    <row r="167" spans="1:16">
      <c r="A167" t="str">
        <f t="shared" si="1"/>
        <v>CILC1GRLR ENERGY:</v>
      </c>
      <c r="B167" t="s">
        <v>177</v>
      </c>
      <c r="C167" t="s">
        <v>61</v>
      </c>
      <c r="P167" s="89"/>
    </row>
    <row r="168" spans="1:16">
      <c r="A168" t="str">
        <f t="shared" si="1"/>
        <v>CILC1GKWH</v>
      </c>
      <c r="B168" t="s">
        <v>177</v>
      </c>
      <c r="C168" t="s">
        <v>128</v>
      </c>
      <c r="D168">
        <v>15961053</v>
      </c>
      <c r="E168">
        <v>14296128</v>
      </c>
      <c r="F168">
        <v>14504413</v>
      </c>
      <c r="G168">
        <v>15499880</v>
      </c>
      <c r="H168">
        <v>15360694</v>
      </c>
      <c r="I168">
        <v>16352528</v>
      </c>
      <c r="J168">
        <v>16354076</v>
      </c>
      <c r="K168">
        <v>16691424</v>
      </c>
      <c r="L168">
        <v>16496283</v>
      </c>
      <c r="M168">
        <v>16236782</v>
      </c>
      <c r="N168">
        <v>15190829</v>
      </c>
      <c r="O168">
        <v>14910803</v>
      </c>
    </row>
    <row r="169" spans="1:16">
      <c r="A169" t="str">
        <f t="shared" si="1"/>
        <v>CILC1GKWH ONPK</v>
      </c>
      <c r="B169" t="s">
        <v>177</v>
      </c>
      <c r="C169" t="s">
        <v>129</v>
      </c>
      <c r="D169">
        <v>3755080</v>
      </c>
      <c r="E169">
        <v>3582228</v>
      </c>
      <c r="F169">
        <v>3557865</v>
      </c>
      <c r="G169">
        <v>4445736</v>
      </c>
      <c r="H169">
        <v>4442519</v>
      </c>
      <c r="I169">
        <v>4663687</v>
      </c>
      <c r="J169">
        <v>4500522</v>
      </c>
      <c r="K169">
        <v>5022212</v>
      </c>
      <c r="L169">
        <v>4263971</v>
      </c>
      <c r="M169">
        <v>4871473</v>
      </c>
      <c r="N169">
        <v>3650033</v>
      </c>
      <c r="O169">
        <v>3349473</v>
      </c>
    </row>
    <row r="170" spans="1:16">
      <c r="A170" t="str">
        <f t="shared" si="1"/>
        <v>CILC1GKWH OFFPK</v>
      </c>
      <c r="B170" t="s">
        <v>177</v>
      </c>
      <c r="C170" t="s">
        <v>130</v>
      </c>
      <c r="D170">
        <v>12205973</v>
      </c>
      <c r="E170">
        <v>10713900</v>
      </c>
      <c r="F170">
        <v>10946548</v>
      </c>
      <c r="G170">
        <v>11054144</v>
      </c>
      <c r="H170">
        <v>10918175</v>
      </c>
      <c r="I170">
        <v>11688841</v>
      </c>
      <c r="J170">
        <v>11853554</v>
      </c>
      <c r="K170">
        <v>11669213</v>
      </c>
      <c r="L170">
        <v>12232312</v>
      </c>
      <c r="M170">
        <v>11365309</v>
      </c>
      <c r="N170">
        <v>11540796</v>
      </c>
      <c r="O170">
        <v>11561330</v>
      </c>
    </row>
    <row r="171" spans="1:16">
      <c r="A171" t="str">
        <f t="shared" si="1"/>
        <v>CILC1GKWH ONPK%</v>
      </c>
      <c r="B171" t="s">
        <v>177</v>
      </c>
      <c r="C171" t="s">
        <v>131</v>
      </c>
      <c r="D171" s="5">
        <v>0.23527000000000001</v>
      </c>
      <c r="E171" s="5">
        <v>0.25057000000000001</v>
      </c>
      <c r="F171" s="5">
        <v>0.24529999999999999</v>
      </c>
      <c r="G171" s="5">
        <v>0.28682000000000002</v>
      </c>
      <c r="H171" s="5">
        <v>0.28921000000000002</v>
      </c>
      <c r="I171" s="5">
        <v>0.28520000000000001</v>
      </c>
      <c r="J171" s="5">
        <v>0.27518999999999999</v>
      </c>
      <c r="K171" s="5">
        <v>0.30088999999999999</v>
      </c>
      <c r="L171" s="5">
        <v>0.25847999999999999</v>
      </c>
      <c r="M171" s="5">
        <v>0.30003000000000002</v>
      </c>
      <c r="N171" s="5">
        <v>0.24027999999999999</v>
      </c>
      <c r="O171" s="5">
        <v>0.22463</v>
      </c>
    </row>
    <row r="172" spans="1:16">
      <c r="A172" t="str">
        <f t="shared" si="1"/>
        <v>CILC1GKWH OFFPK%</v>
      </c>
      <c r="B172" t="s">
        <v>177</v>
      </c>
      <c r="C172" t="s">
        <v>132</v>
      </c>
      <c r="D172" s="5">
        <v>0.76473000000000002</v>
      </c>
      <c r="E172" s="5">
        <v>0.74943000000000004</v>
      </c>
      <c r="F172" s="5">
        <v>0.75470000000000004</v>
      </c>
      <c r="G172" s="5">
        <v>0.71318000000000004</v>
      </c>
      <c r="H172" s="5">
        <v>0.71079000000000003</v>
      </c>
      <c r="I172" s="5">
        <v>0.71479999999999999</v>
      </c>
      <c r="J172" s="5">
        <v>0.72480999999999995</v>
      </c>
      <c r="K172" s="5">
        <v>0.69911000000000001</v>
      </c>
      <c r="L172" s="5">
        <v>0.74151999999999996</v>
      </c>
      <c r="M172" s="5">
        <v>0.69996999999999998</v>
      </c>
      <c r="N172" s="5">
        <v>0.75971999999999995</v>
      </c>
      <c r="O172" s="5">
        <v>0.77537</v>
      </c>
      <c r="P172" s="87"/>
    </row>
    <row r="173" spans="1:16">
      <c r="A173" t="str">
        <f t="shared" si="1"/>
        <v>CILC1GDEMAND (KW):</v>
      </c>
      <c r="B173" t="s">
        <v>177</v>
      </c>
      <c r="C173" t="s">
        <v>62</v>
      </c>
    </row>
    <row r="174" spans="1:16">
      <c r="A174" t="str">
        <f t="shared" si="1"/>
        <v>CILC1GNCP</v>
      </c>
      <c r="B174" t="s">
        <v>177</v>
      </c>
      <c r="C174" t="s">
        <v>133</v>
      </c>
      <c r="D174">
        <v>31607</v>
      </c>
      <c r="E174">
        <v>29796</v>
      </c>
      <c r="F174">
        <v>27723</v>
      </c>
      <c r="G174">
        <v>31416</v>
      </c>
      <c r="H174">
        <v>29917</v>
      </c>
      <c r="I174">
        <v>32318</v>
      </c>
      <c r="J174">
        <v>31252</v>
      </c>
      <c r="K174">
        <v>32184</v>
      </c>
      <c r="L174">
        <v>33086</v>
      </c>
      <c r="M174">
        <v>31548</v>
      </c>
      <c r="N174">
        <v>30268</v>
      </c>
      <c r="O174">
        <v>29476</v>
      </c>
    </row>
    <row r="175" spans="1:16">
      <c r="A175" t="str">
        <f t="shared" si="1"/>
        <v>CILC1GNCP ONPK</v>
      </c>
      <c r="B175" t="s">
        <v>177</v>
      </c>
      <c r="C175" t="s">
        <v>134</v>
      </c>
      <c r="D175">
        <v>29964</v>
      </c>
      <c r="E175">
        <v>28624</v>
      </c>
      <c r="F175">
        <v>26441</v>
      </c>
      <c r="G175">
        <v>30075</v>
      </c>
      <c r="H175">
        <v>28966</v>
      </c>
      <c r="I175">
        <v>31318</v>
      </c>
      <c r="J175">
        <v>29581</v>
      </c>
      <c r="K175">
        <v>30948</v>
      </c>
      <c r="L175">
        <v>31377</v>
      </c>
      <c r="M175">
        <v>30078</v>
      </c>
      <c r="N175">
        <v>28638</v>
      </c>
      <c r="O175">
        <v>27931</v>
      </c>
      <c r="P175" s="83"/>
    </row>
    <row r="176" spans="1:16">
      <c r="A176" t="str">
        <f t="shared" si="1"/>
        <v>CILC1GNCP OFFPK</v>
      </c>
      <c r="B176" t="s">
        <v>177</v>
      </c>
      <c r="C176" t="s">
        <v>135</v>
      </c>
      <c r="D176">
        <v>31335</v>
      </c>
      <c r="E176">
        <v>29029</v>
      </c>
      <c r="F176">
        <v>27209</v>
      </c>
      <c r="G176">
        <v>30687</v>
      </c>
      <c r="H176">
        <v>29210</v>
      </c>
      <c r="I176">
        <v>31581</v>
      </c>
      <c r="J176">
        <v>30672</v>
      </c>
      <c r="K176">
        <v>31682</v>
      </c>
      <c r="L176">
        <v>32593</v>
      </c>
      <c r="M176">
        <v>30946</v>
      </c>
      <c r="N176">
        <v>30063</v>
      </c>
      <c r="O176">
        <v>29317</v>
      </c>
      <c r="P176" s="1"/>
    </row>
    <row r="177" spans="1:16">
      <c r="A177" t="str">
        <f t="shared" si="1"/>
        <v>CILC1GGCP DATE</v>
      </c>
      <c r="B177" t="s">
        <v>177</v>
      </c>
      <c r="C177" t="s">
        <v>136</v>
      </c>
      <c r="D177" t="s">
        <v>914</v>
      </c>
      <c r="E177" t="s">
        <v>915</v>
      </c>
      <c r="F177" t="s">
        <v>916</v>
      </c>
      <c r="G177" t="s">
        <v>241</v>
      </c>
      <c r="H177" t="s">
        <v>207</v>
      </c>
      <c r="I177" t="s">
        <v>917</v>
      </c>
      <c r="J177" t="s">
        <v>240</v>
      </c>
      <c r="K177" t="s">
        <v>179</v>
      </c>
      <c r="L177" t="s">
        <v>918</v>
      </c>
      <c r="M177" t="s">
        <v>141</v>
      </c>
      <c r="N177" t="s">
        <v>913</v>
      </c>
      <c r="O177" t="s">
        <v>3</v>
      </c>
      <c r="P177" s="5"/>
    </row>
    <row r="178" spans="1:16">
      <c r="A178" t="str">
        <f t="shared" si="1"/>
        <v>CILC1GGCP TIME</v>
      </c>
      <c r="B178" t="s">
        <v>177</v>
      </c>
      <c r="C178" t="s">
        <v>142</v>
      </c>
      <c r="D178" t="s">
        <v>144</v>
      </c>
      <c r="E178" t="s">
        <v>144</v>
      </c>
      <c r="F178" t="s">
        <v>144</v>
      </c>
      <c r="G178" t="s">
        <v>143</v>
      </c>
      <c r="H178" t="s">
        <v>146</v>
      </c>
      <c r="I178" t="s">
        <v>143</v>
      </c>
      <c r="J178" t="s">
        <v>144</v>
      </c>
      <c r="K178" t="s">
        <v>182</v>
      </c>
      <c r="L178" t="s">
        <v>144</v>
      </c>
      <c r="M178" t="s">
        <v>143</v>
      </c>
      <c r="N178" t="s">
        <v>143</v>
      </c>
      <c r="O178" t="s">
        <v>145</v>
      </c>
      <c r="P178" s="5"/>
    </row>
    <row r="179" spans="1:16">
      <c r="A179" t="str">
        <f t="shared" si="1"/>
        <v>CILC1GGCP</v>
      </c>
      <c r="B179" t="s">
        <v>177</v>
      </c>
      <c r="C179" t="s">
        <v>147</v>
      </c>
      <c r="D179">
        <v>25338</v>
      </c>
      <c r="E179">
        <v>24763</v>
      </c>
      <c r="F179">
        <v>22727</v>
      </c>
      <c r="G179">
        <v>26010</v>
      </c>
      <c r="H179">
        <v>24210</v>
      </c>
      <c r="I179">
        <v>26406</v>
      </c>
      <c r="J179">
        <v>25616</v>
      </c>
      <c r="K179">
        <v>26344</v>
      </c>
      <c r="L179">
        <v>27088</v>
      </c>
      <c r="M179">
        <v>26026</v>
      </c>
      <c r="N179">
        <v>24789</v>
      </c>
      <c r="O179">
        <v>23955</v>
      </c>
      <c r="P179" s="5"/>
    </row>
    <row r="180" spans="1:16">
      <c r="A180" t="str">
        <f t="shared" si="1"/>
        <v>CILC1GGCP ONPK</v>
      </c>
      <c r="B180" t="s">
        <v>177</v>
      </c>
      <c r="C180" t="s">
        <v>63</v>
      </c>
      <c r="D180">
        <v>24597</v>
      </c>
      <c r="E180">
        <v>23707</v>
      </c>
      <c r="F180">
        <v>22178</v>
      </c>
      <c r="G180">
        <v>26010</v>
      </c>
      <c r="H180">
        <v>24081</v>
      </c>
      <c r="I180">
        <v>26406</v>
      </c>
      <c r="J180">
        <v>25616</v>
      </c>
      <c r="K180">
        <v>26344</v>
      </c>
      <c r="L180">
        <v>27088</v>
      </c>
      <c r="M180">
        <v>26026</v>
      </c>
      <c r="N180">
        <v>24283</v>
      </c>
      <c r="O180">
        <v>23430</v>
      </c>
      <c r="P180" s="5"/>
    </row>
    <row r="181" spans="1:16">
      <c r="A181" t="str">
        <f t="shared" si="1"/>
        <v>CILC1GGCP OFFPK</v>
      </c>
      <c r="B181" t="s">
        <v>177</v>
      </c>
      <c r="C181" t="s">
        <v>64</v>
      </c>
      <c r="D181">
        <v>25338</v>
      </c>
      <c r="E181">
        <v>24763</v>
      </c>
      <c r="F181">
        <v>22727</v>
      </c>
      <c r="G181">
        <v>25833</v>
      </c>
      <c r="H181">
        <v>24210</v>
      </c>
      <c r="I181">
        <v>26359</v>
      </c>
      <c r="J181">
        <v>25581</v>
      </c>
      <c r="K181">
        <v>25815</v>
      </c>
      <c r="L181">
        <v>26697</v>
      </c>
      <c r="M181">
        <v>25829</v>
      </c>
      <c r="N181">
        <v>24789</v>
      </c>
      <c r="O181">
        <v>23955</v>
      </c>
      <c r="P181" s="5"/>
    </row>
    <row r="182" spans="1:16">
      <c r="A182" t="str">
        <f t="shared" ref="A182:A245" si="2">B182&amp;C182</f>
        <v>CILC1GCP</v>
      </c>
      <c r="B182" t="s">
        <v>177</v>
      </c>
      <c r="C182" t="s">
        <v>148</v>
      </c>
      <c r="D182">
        <v>21883</v>
      </c>
      <c r="E182">
        <v>23575</v>
      </c>
      <c r="F182">
        <v>22290</v>
      </c>
      <c r="G182">
        <v>24142</v>
      </c>
      <c r="H182">
        <v>23781</v>
      </c>
      <c r="I182">
        <v>25658</v>
      </c>
      <c r="J182">
        <v>24842</v>
      </c>
      <c r="K182">
        <v>25435</v>
      </c>
      <c r="L182">
        <v>23910</v>
      </c>
      <c r="M182">
        <v>24936</v>
      </c>
      <c r="N182">
        <v>23037</v>
      </c>
      <c r="O182">
        <v>22223</v>
      </c>
      <c r="P182" s="5"/>
    </row>
    <row r="183" spans="1:16">
      <c r="A183" t="str">
        <f t="shared" si="2"/>
        <v>CILC1GPERIOD START</v>
      </c>
      <c r="B183" t="s">
        <v>177</v>
      </c>
      <c r="C183" t="s">
        <v>149</v>
      </c>
      <c r="D183" s="1">
        <v>40909</v>
      </c>
      <c r="E183" s="1">
        <v>40940</v>
      </c>
      <c r="F183" s="1">
        <v>40969</v>
      </c>
      <c r="G183" s="1">
        <v>41000</v>
      </c>
      <c r="H183" s="1">
        <v>41030</v>
      </c>
      <c r="I183" s="1">
        <v>41061</v>
      </c>
      <c r="J183" s="1">
        <v>41091</v>
      </c>
      <c r="K183" s="1">
        <v>41122</v>
      </c>
      <c r="L183" s="1">
        <v>41153</v>
      </c>
      <c r="M183" s="1">
        <v>41183</v>
      </c>
      <c r="N183" s="1">
        <v>41214</v>
      </c>
      <c r="O183" s="1">
        <v>41244</v>
      </c>
      <c r="P183" s="5"/>
    </row>
    <row r="184" spans="1:16">
      <c r="A184" t="str">
        <f t="shared" si="2"/>
        <v>CILC1GNCP LF</v>
      </c>
      <c r="B184" t="s">
        <v>177</v>
      </c>
      <c r="C184" t="s">
        <v>150</v>
      </c>
      <c r="D184" s="5">
        <v>0.67869999999999997</v>
      </c>
      <c r="E184" s="5">
        <v>0.68940000000000001</v>
      </c>
      <c r="F184" s="5">
        <v>0.70320000000000005</v>
      </c>
      <c r="G184" s="5">
        <v>0.68530000000000002</v>
      </c>
      <c r="H184" s="5">
        <v>0.69010000000000005</v>
      </c>
      <c r="I184" s="5">
        <v>0.70279999999999998</v>
      </c>
      <c r="J184" s="5">
        <v>0.70330000000000004</v>
      </c>
      <c r="K184" s="5">
        <v>0.69710000000000005</v>
      </c>
      <c r="L184" s="5">
        <v>0.6925</v>
      </c>
      <c r="M184" s="5">
        <v>0.69169999999999998</v>
      </c>
      <c r="N184" s="5">
        <v>0.69699999999999995</v>
      </c>
      <c r="O184" s="5">
        <v>0.67989999999999995</v>
      </c>
      <c r="P184" s="5"/>
    </row>
    <row r="185" spans="1:16">
      <c r="A185" t="str">
        <f t="shared" si="2"/>
        <v>CILC1GNCP LF ONPK</v>
      </c>
      <c r="B185" t="s">
        <v>177</v>
      </c>
      <c r="C185" t="s">
        <v>151</v>
      </c>
      <c r="D185" s="5">
        <v>0.746</v>
      </c>
      <c r="E185" s="5">
        <v>0.74490000000000001</v>
      </c>
      <c r="F185" s="5">
        <v>0.76449999999999996</v>
      </c>
      <c r="G185" s="5">
        <v>0.78210000000000002</v>
      </c>
      <c r="H185" s="5">
        <v>0.77459999999999996</v>
      </c>
      <c r="I185" s="5">
        <v>0.78790000000000004</v>
      </c>
      <c r="J185" s="5">
        <v>0.80500000000000005</v>
      </c>
      <c r="K185" s="5">
        <v>0.78400000000000003</v>
      </c>
      <c r="L185" s="5">
        <v>0.79469999999999996</v>
      </c>
      <c r="M185" s="5">
        <v>0.78239999999999998</v>
      </c>
      <c r="N185" s="5">
        <v>0.75870000000000004</v>
      </c>
      <c r="O185" s="5">
        <v>0.74950000000000006</v>
      </c>
      <c r="P185" s="5"/>
    </row>
    <row r="186" spans="1:16">
      <c r="A186" t="str">
        <f t="shared" si="2"/>
        <v>CILC1GNCP LF OFFPK</v>
      </c>
      <c r="B186" t="s">
        <v>177</v>
      </c>
      <c r="C186" t="s">
        <v>152</v>
      </c>
      <c r="D186" s="5">
        <v>0.67630000000000001</v>
      </c>
      <c r="E186" s="5">
        <v>0.69899999999999995</v>
      </c>
      <c r="F186" s="5">
        <v>0.70830000000000004</v>
      </c>
      <c r="G186" s="5">
        <v>0.6784</v>
      </c>
      <c r="H186" s="5">
        <v>0.68459999999999999</v>
      </c>
      <c r="I186" s="5">
        <v>0.69699999999999995</v>
      </c>
      <c r="J186" s="5">
        <v>0.69630000000000003</v>
      </c>
      <c r="K186" s="5">
        <v>0.68589999999999995</v>
      </c>
      <c r="L186" s="5">
        <v>0.68359999999999999</v>
      </c>
      <c r="M186" s="5">
        <v>0.68389999999999995</v>
      </c>
      <c r="N186" s="5">
        <v>0.69550000000000001</v>
      </c>
      <c r="O186" s="5">
        <v>0.67530000000000001</v>
      </c>
    </row>
    <row r="187" spans="1:16">
      <c r="A187" t="str">
        <f t="shared" si="2"/>
        <v>CILC1GGCP CF</v>
      </c>
      <c r="B187" t="s">
        <v>177</v>
      </c>
      <c r="C187" t="s">
        <v>153</v>
      </c>
      <c r="D187" s="5">
        <v>0.80159999999999998</v>
      </c>
      <c r="E187" s="5">
        <v>0.83109999999999995</v>
      </c>
      <c r="F187" s="5">
        <v>0.81979999999999997</v>
      </c>
      <c r="G187" s="5">
        <v>0.82789999999999997</v>
      </c>
      <c r="H187" s="5">
        <v>0.80920000000000003</v>
      </c>
      <c r="I187" s="5">
        <v>0.81710000000000005</v>
      </c>
      <c r="J187" s="5">
        <v>0.81969999999999998</v>
      </c>
      <c r="K187" s="5">
        <v>0.81850000000000001</v>
      </c>
      <c r="L187" s="5">
        <v>0.81869999999999998</v>
      </c>
      <c r="M187" s="5">
        <v>0.82499999999999996</v>
      </c>
      <c r="N187" s="5">
        <v>0.81899999999999995</v>
      </c>
      <c r="O187" s="5">
        <v>0.81269999999999998</v>
      </c>
      <c r="P187" s="5"/>
    </row>
    <row r="188" spans="1:16">
      <c r="A188" t="str">
        <f t="shared" si="2"/>
        <v>CILC1GCP CF</v>
      </c>
      <c r="B188" t="s">
        <v>177</v>
      </c>
      <c r="C188" t="s">
        <v>154</v>
      </c>
      <c r="D188" s="5">
        <v>0.69230000000000003</v>
      </c>
      <c r="E188" s="5">
        <v>0.79120000000000001</v>
      </c>
      <c r="F188" s="5">
        <v>0.80400000000000005</v>
      </c>
      <c r="G188" s="5">
        <v>0.76849999999999996</v>
      </c>
      <c r="H188" s="5">
        <v>0.79490000000000005</v>
      </c>
      <c r="I188" s="5">
        <v>0.79390000000000005</v>
      </c>
      <c r="J188" s="5">
        <v>0.79490000000000005</v>
      </c>
      <c r="K188" s="5">
        <v>0.7903</v>
      </c>
      <c r="L188" s="5">
        <v>0.72270000000000001</v>
      </c>
      <c r="M188" s="5">
        <v>0.79039999999999999</v>
      </c>
      <c r="N188" s="5">
        <v>0.7611</v>
      </c>
      <c r="O188" s="5">
        <v>0.75390000000000001</v>
      </c>
      <c r="P188" s="5"/>
    </row>
    <row r="189" spans="1:16">
      <c r="A189" t="str">
        <f t="shared" si="2"/>
        <v>CILC1GGCP LF</v>
      </c>
      <c r="B189" t="s">
        <v>177</v>
      </c>
      <c r="C189" t="s">
        <v>155</v>
      </c>
      <c r="D189" s="5">
        <v>0.84670000000000001</v>
      </c>
      <c r="E189" s="5">
        <v>0.82950000000000002</v>
      </c>
      <c r="F189" s="5">
        <v>0.85780000000000001</v>
      </c>
      <c r="G189" s="5">
        <v>0.82769999999999999</v>
      </c>
      <c r="H189" s="5">
        <v>0.8528</v>
      </c>
      <c r="I189" s="5">
        <v>0.86009999999999998</v>
      </c>
      <c r="J189" s="5">
        <v>0.85809999999999997</v>
      </c>
      <c r="K189" s="5">
        <v>0.85160000000000002</v>
      </c>
      <c r="L189" s="5">
        <v>0.8458</v>
      </c>
      <c r="M189" s="5">
        <v>0.83850000000000002</v>
      </c>
      <c r="N189" s="5">
        <v>0.85109999999999997</v>
      </c>
      <c r="O189" s="5">
        <v>0.83660000000000001</v>
      </c>
      <c r="P189" s="5"/>
    </row>
    <row r="190" spans="1:16">
      <c r="A190" t="str">
        <f t="shared" si="2"/>
        <v>CILC1GGCP LF ONPK</v>
      </c>
      <c r="B190" t="s">
        <v>177</v>
      </c>
      <c r="C190" t="s">
        <v>156</v>
      </c>
      <c r="D190" s="5">
        <v>0.90869999999999995</v>
      </c>
      <c r="E190" s="5">
        <v>0.89939999999999998</v>
      </c>
      <c r="F190" s="5">
        <v>0.91149999999999998</v>
      </c>
      <c r="G190" s="5">
        <v>0.90439999999999998</v>
      </c>
      <c r="H190" s="5">
        <v>0.93169999999999997</v>
      </c>
      <c r="I190" s="5">
        <v>0.9345</v>
      </c>
      <c r="J190" s="5">
        <v>0.92959999999999998</v>
      </c>
      <c r="K190" s="5">
        <v>0.92100000000000004</v>
      </c>
      <c r="L190" s="5">
        <v>0.92049999999999998</v>
      </c>
      <c r="M190" s="5">
        <v>0.9042</v>
      </c>
      <c r="N190" s="5">
        <v>0.89470000000000005</v>
      </c>
      <c r="O190" s="5">
        <v>0.89349999999999996</v>
      </c>
      <c r="P190" s="5"/>
    </row>
    <row r="191" spans="1:16">
      <c r="A191" t="str">
        <f t="shared" si="2"/>
        <v>CILC1GGCP LF OFFPK</v>
      </c>
      <c r="B191" t="s">
        <v>177</v>
      </c>
      <c r="C191" t="s">
        <v>157</v>
      </c>
      <c r="D191" s="5">
        <v>0.83630000000000004</v>
      </c>
      <c r="E191" s="5">
        <v>0.81940000000000002</v>
      </c>
      <c r="F191" s="5">
        <v>0.84799999999999998</v>
      </c>
      <c r="G191" s="5">
        <v>0.80589999999999995</v>
      </c>
      <c r="H191" s="5">
        <v>0.82599999999999996</v>
      </c>
      <c r="I191" s="5">
        <v>0.83509999999999995</v>
      </c>
      <c r="J191" s="5">
        <v>0.83489999999999998</v>
      </c>
      <c r="K191" s="5">
        <v>0.84179999999999999</v>
      </c>
      <c r="L191" s="5">
        <v>0.83460000000000001</v>
      </c>
      <c r="M191" s="5">
        <v>0.81940000000000002</v>
      </c>
      <c r="N191" s="5">
        <v>0.84340000000000004</v>
      </c>
      <c r="O191" s="5">
        <v>0.82640000000000002</v>
      </c>
      <c r="P191" s="5"/>
    </row>
    <row r="192" spans="1:16">
      <c r="A192" t="str">
        <f t="shared" si="2"/>
        <v>CILC1GCP LF</v>
      </c>
      <c r="B192" t="s">
        <v>177</v>
      </c>
      <c r="C192" t="s">
        <v>158</v>
      </c>
      <c r="D192" s="5">
        <v>0.98029999999999995</v>
      </c>
      <c r="E192" s="5">
        <v>0.87129999999999996</v>
      </c>
      <c r="F192" s="5">
        <v>0.87460000000000004</v>
      </c>
      <c r="G192" s="5">
        <v>0.89170000000000005</v>
      </c>
      <c r="H192" s="5">
        <v>0.86819999999999997</v>
      </c>
      <c r="I192" s="5">
        <v>0.88519999999999999</v>
      </c>
      <c r="J192" s="5">
        <v>0.88480000000000003</v>
      </c>
      <c r="K192" s="5">
        <v>0.88200000000000001</v>
      </c>
      <c r="L192" s="5">
        <v>0.95820000000000005</v>
      </c>
      <c r="M192" s="5">
        <v>0.87519999999999998</v>
      </c>
      <c r="N192" s="5">
        <v>0.91579999999999995</v>
      </c>
      <c r="O192" s="5">
        <v>0.90180000000000005</v>
      </c>
      <c r="P192" s="5"/>
    </row>
    <row r="193" spans="1:16">
      <c r="A193" t="str">
        <f t="shared" si="2"/>
        <v>CILC1GREL PREC:</v>
      </c>
      <c r="B193" t="s">
        <v>177</v>
      </c>
      <c r="C193" t="s">
        <v>65</v>
      </c>
      <c r="P193" s="5"/>
    </row>
    <row r="194" spans="1:16">
      <c r="A194" t="str">
        <f t="shared" si="2"/>
        <v>CILC1GNCP RP</v>
      </c>
      <c r="B194" t="s">
        <v>177</v>
      </c>
      <c r="C194" t="s">
        <v>159</v>
      </c>
      <c r="D194" s="5">
        <v>4.3E-3</v>
      </c>
      <c r="E194" s="5">
        <v>4.4000000000000003E-3</v>
      </c>
      <c r="F194" s="5">
        <v>0</v>
      </c>
      <c r="G194" s="5">
        <v>0</v>
      </c>
      <c r="H194" s="5">
        <v>0</v>
      </c>
      <c r="I194" s="5">
        <v>0</v>
      </c>
      <c r="J194" s="5">
        <v>0</v>
      </c>
      <c r="K194" s="5">
        <v>0</v>
      </c>
      <c r="L194" s="5">
        <v>0</v>
      </c>
      <c r="M194" s="5">
        <v>0</v>
      </c>
      <c r="N194" s="5">
        <v>0</v>
      </c>
      <c r="O194" s="5">
        <v>4.4000000000000003E-3</v>
      </c>
    </row>
    <row r="195" spans="1:16">
      <c r="A195" t="str">
        <f t="shared" si="2"/>
        <v>CILC1GNCP RP ONPK</v>
      </c>
      <c r="B195" t="s">
        <v>177</v>
      </c>
      <c r="C195" t="s">
        <v>160</v>
      </c>
      <c r="D195" s="5">
        <v>4.0000000000000001E-3</v>
      </c>
      <c r="E195" s="5">
        <v>4.4000000000000003E-3</v>
      </c>
      <c r="F195" s="5">
        <v>0</v>
      </c>
      <c r="G195" s="5">
        <v>0</v>
      </c>
      <c r="H195" s="5">
        <v>0</v>
      </c>
      <c r="I195" s="5">
        <v>0</v>
      </c>
      <c r="J195" s="5">
        <v>0</v>
      </c>
      <c r="K195" s="5">
        <v>0</v>
      </c>
      <c r="L195" s="5">
        <v>0</v>
      </c>
      <c r="M195" s="5">
        <v>0</v>
      </c>
      <c r="N195" s="5">
        <v>0</v>
      </c>
      <c r="O195" s="5">
        <v>4.1999999999999997E-3</v>
      </c>
    </row>
    <row r="196" spans="1:16">
      <c r="A196" t="str">
        <f t="shared" si="2"/>
        <v>CILC1GNCP RP OFFPK</v>
      </c>
      <c r="B196" t="s">
        <v>177</v>
      </c>
      <c r="C196" t="s">
        <v>161</v>
      </c>
      <c r="D196" s="5">
        <v>4.3E-3</v>
      </c>
      <c r="E196" s="5">
        <v>3.8999999999999998E-3</v>
      </c>
      <c r="F196" s="5">
        <v>0</v>
      </c>
      <c r="G196" s="5">
        <v>0</v>
      </c>
      <c r="H196" s="5">
        <v>0</v>
      </c>
      <c r="I196" s="5">
        <v>0</v>
      </c>
      <c r="J196" s="5">
        <v>0</v>
      </c>
      <c r="K196" s="5">
        <v>0</v>
      </c>
      <c r="L196" s="5">
        <v>0</v>
      </c>
      <c r="M196" s="5">
        <v>0</v>
      </c>
      <c r="N196" s="5">
        <v>0</v>
      </c>
      <c r="O196" s="5">
        <v>4.3E-3</v>
      </c>
    </row>
    <row r="197" spans="1:16">
      <c r="A197" t="str">
        <f t="shared" si="2"/>
        <v>CILC1GGCP RP</v>
      </c>
      <c r="B197" t="s">
        <v>177</v>
      </c>
      <c r="C197" t="s">
        <v>162</v>
      </c>
      <c r="D197" s="5">
        <v>2.8999999999999998E-3</v>
      </c>
      <c r="E197" s="5">
        <v>3.2000000000000002E-3</v>
      </c>
      <c r="F197" s="5">
        <v>0</v>
      </c>
      <c r="G197" s="5">
        <v>0</v>
      </c>
      <c r="H197" s="5">
        <v>0</v>
      </c>
      <c r="I197" s="5">
        <v>0</v>
      </c>
      <c r="J197" s="5">
        <v>0</v>
      </c>
      <c r="K197" s="5">
        <v>0</v>
      </c>
      <c r="L197" s="5">
        <v>0</v>
      </c>
      <c r="M197" s="5">
        <v>0</v>
      </c>
      <c r="N197" s="5">
        <v>0</v>
      </c>
      <c r="O197" s="5">
        <v>3.5000000000000001E-3</v>
      </c>
    </row>
    <row r="198" spans="1:16">
      <c r="A198" t="str">
        <f t="shared" si="2"/>
        <v>CILC1GGCP RP ONPK</v>
      </c>
      <c r="B198" t="s">
        <v>177</v>
      </c>
      <c r="C198" t="s">
        <v>163</v>
      </c>
      <c r="D198" s="5">
        <v>3.3999999999999998E-3</v>
      </c>
      <c r="E198" s="5">
        <v>2.7000000000000001E-3</v>
      </c>
      <c r="F198" s="5">
        <v>0</v>
      </c>
      <c r="G198" s="5">
        <v>0</v>
      </c>
      <c r="H198" s="5">
        <v>0</v>
      </c>
      <c r="I198" s="5">
        <v>0</v>
      </c>
      <c r="J198" s="5">
        <v>0</v>
      </c>
      <c r="K198" s="5">
        <v>0</v>
      </c>
      <c r="L198" s="5">
        <v>0</v>
      </c>
      <c r="M198" s="5">
        <v>0</v>
      </c>
      <c r="N198" s="5">
        <v>0</v>
      </c>
      <c r="O198" s="5">
        <v>3.7000000000000002E-3</v>
      </c>
    </row>
    <row r="199" spans="1:16">
      <c r="A199" t="str">
        <f t="shared" si="2"/>
        <v>CILC1GGCP RP OFFPK</v>
      </c>
      <c r="B199" t="s">
        <v>177</v>
      </c>
      <c r="C199" t="s">
        <v>164</v>
      </c>
      <c r="D199" s="5">
        <v>2.8999999999999998E-3</v>
      </c>
      <c r="E199" s="5">
        <v>3.2000000000000002E-3</v>
      </c>
      <c r="F199" s="5">
        <v>0</v>
      </c>
      <c r="G199" s="5">
        <v>0</v>
      </c>
      <c r="H199" s="5">
        <v>0</v>
      </c>
      <c r="I199" s="5">
        <v>0</v>
      </c>
      <c r="J199" s="5">
        <v>0</v>
      </c>
      <c r="K199" s="5">
        <v>0</v>
      </c>
      <c r="L199" s="5">
        <v>3.3999999999999998E-3</v>
      </c>
      <c r="M199" s="5">
        <v>0</v>
      </c>
      <c r="N199" s="5">
        <v>0</v>
      </c>
      <c r="O199" s="5">
        <v>3.5000000000000001E-3</v>
      </c>
    </row>
    <row r="200" spans="1:16">
      <c r="A200" t="str">
        <f t="shared" si="2"/>
        <v>CILC1GCP RP</v>
      </c>
      <c r="B200" t="s">
        <v>177</v>
      </c>
      <c r="C200" t="s">
        <v>165</v>
      </c>
      <c r="D200" s="5">
        <v>3.3E-3</v>
      </c>
      <c r="E200" s="5">
        <v>3.0999999999999999E-3</v>
      </c>
      <c r="F200" s="5">
        <v>0</v>
      </c>
      <c r="G200" s="5">
        <v>0</v>
      </c>
      <c r="H200" s="5">
        <v>0</v>
      </c>
      <c r="I200" s="5">
        <v>0</v>
      </c>
      <c r="J200" s="5">
        <v>0</v>
      </c>
      <c r="K200" s="5">
        <v>0</v>
      </c>
      <c r="L200" s="5">
        <v>0</v>
      </c>
      <c r="M200" s="5">
        <v>0</v>
      </c>
      <c r="N200" s="5">
        <v>0</v>
      </c>
      <c r="O200" s="5">
        <v>3.0999999999999999E-3</v>
      </c>
    </row>
    <row r="201" spans="1:16">
      <c r="A201" t="str">
        <f t="shared" si="2"/>
        <v>CILC1GSAMPLE SIZE:</v>
      </c>
      <c r="B201" t="s">
        <v>177</v>
      </c>
      <c r="C201" t="s">
        <v>66</v>
      </c>
      <c r="P201" s="4"/>
    </row>
    <row r="202" spans="1:16">
      <c r="A202" t="str">
        <f t="shared" si="2"/>
        <v>CILC1GGCPSZ</v>
      </c>
      <c r="B202" t="s">
        <v>177</v>
      </c>
      <c r="C202" t="s">
        <v>166</v>
      </c>
      <c r="D202">
        <v>106</v>
      </c>
      <c r="E202">
        <v>106</v>
      </c>
      <c r="F202">
        <v>105</v>
      </c>
      <c r="G202">
        <v>106</v>
      </c>
      <c r="H202">
        <v>107</v>
      </c>
      <c r="I202">
        <v>105</v>
      </c>
      <c r="J202">
        <v>105</v>
      </c>
      <c r="K202">
        <v>107</v>
      </c>
      <c r="L202">
        <v>106</v>
      </c>
      <c r="M202">
        <v>106</v>
      </c>
      <c r="N202">
        <v>106</v>
      </c>
      <c r="O202">
        <v>105</v>
      </c>
    </row>
    <row r="203" spans="1:16">
      <c r="A203" t="str">
        <f t="shared" si="2"/>
        <v>CILC1GGCPSZ ONPK</v>
      </c>
      <c r="B203" t="s">
        <v>177</v>
      </c>
      <c r="C203" t="s">
        <v>167</v>
      </c>
      <c r="D203">
        <v>106</v>
      </c>
      <c r="E203">
        <v>106</v>
      </c>
      <c r="F203">
        <v>105</v>
      </c>
      <c r="G203">
        <v>106</v>
      </c>
      <c r="H203">
        <v>107</v>
      </c>
      <c r="I203">
        <v>105</v>
      </c>
      <c r="J203">
        <v>105</v>
      </c>
      <c r="K203">
        <v>107</v>
      </c>
      <c r="L203">
        <v>106</v>
      </c>
      <c r="M203">
        <v>106</v>
      </c>
      <c r="N203">
        <v>106</v>
      </c>
      <c r="O203">
        <v>105</v>
      </c>
    </row>
    <row r="204" spans="1:16">
      <c r="A204" t="str">
        <f t="shared" si="2"/>
        <v>CILC1GGCPSZ OFFPK</v>
      </c>
      <c r="B204" t="s">
        <v>177</v>
      </c>
      <c r="C204" t="s">
        <v>168</v>
      </c>
      <c r="D204">
        <v>106</v>
      </c>
      <c r="E204">
        <v>106</v>
      </c>
      <c r="F204">
        <v>105</v>
      </c>
      <c r="G204">
        <v>106</v>
      </c>
      <c r="H204">
        <v>107</v>
      </c>
      <c r="I204">
        <v>105</v>
      </c>
      <c r="J204">
        <v>105</v>
      </c>
      <c r="K204">
        <v>107</v>
      </c>
      <c r="L204">
        <v>105</v>
      </c>
      <c r="M204">
        <v>106</v>
      </c>
      <c r="N204">
        <v>106</v>
      </c>
      <c r="O204">
        <v>105</v>
      </c>
    </row>
    <row r="205" spans="1:16">
      <c r="A205" t="str">
        <f t="shared" si="2"/>
        <v>CILC1GCPSZ</v>
      </c>
      <c r="B205" t="s">
        <v>177</v>
      </c>
      <c r="C205" t="s">
        <v>169</v>
      </c>
      <c r="D205">
        <v>106</v>
      </c>
      <c r="E205">
        <v>106</v>
      </c>
      <c r="F205">
        <v>105</v>
      </c>
      <c r="G205">
        <v>106</v>
      </c>
      <c r="H205">
        <v>107</v>
      </c>
      <c r="I205">
        <v>105</v>
      </c>
      <c r="J205">
        <v>105</v>
      </c>
      <c r="K205">
        <v>107</v>
      </c>
      <c r="L205">
        <v>106</v>
      </c>
      <c r="M205">
        <v>106</v>
      </c>
      <c r="N205">
        <v>106</v>
      </c>
      <c r="O205">
        <v>105</v>
      </c>
    </row>
    <row r="206" spans="1:16">
      <c r="A206" t="str">
        <f t="shared" si="2"/>
        <v>CILC1GSTD DEV OF R</v>
      </c>
      <c r="B206" t="s">
        <v>177</v>
      </c>
      <c r="C206" t="s">
        <v>170</v>
      </c>
    </row>
    <row r="207" spans="1:16">
      <c r="A207" t="str">
        <f t="shared" si="2"/>
        <v>CILC1GSDR GCP</v>
      </c>
      <c r="B207" t="s">
        <v>177</v>
      </c>
      <c r="C207" t="s">
        <v>171</v>
      </c>
      <c r="D207">
        <v>43.959000000000003</v>
      </c>
      <c r="E207">
        <v>47.276000000000003</v>
      </c>
      <c r="F207">
        <v>40.128999999999998</v>
      </c>
      <c r="G207">
        <v>50.912999999999997</v>
      </c>
      <c r="H207">
        <v>47.143000000000001</v>
      </c>
      <c r="I207">
        <v>41.636000000000003</v>
      </c>
      <c r="J207">
        <v>51.165999999999997</v>
      </c>
      <c r="K207">
        <v>55.316000000000003</v>
      </c>
      <c r="L207">
        <v>53.332000000000001</v>
      </c>
      <c r="M207">
        <v>46.457000000000001</v>
      </c>
      <c r="N207">
        <v>52.718000000000004</v>
      </c>
      <c r="O207">
        <v>50.645000000000003</v>
      </c>
      <c r="P207" s="91"/>
    </row>
    <row r="208" spans="1:16">
      <c r="A208" t="str">
        <f t="shared" si="2"/>
        <v>CILC1GSDR GCP ONPK</v>
      </c>
      <c r="B208" t="s">
        <v>177</v>
      </c>
      <c r="C208" t="s">
        <v>172</v>
      </c>
      <c r="D208">
        <v>50.761000000000003</v>
      </c>
      <c r="E208">
        <v>38.338000000000001</v>
      </c>
      <c r="F208">
        <v>32.814</v>
      </c>
      <c r="G208">
        <v>50.912999999999997</v>
      </c>
      <c r="H208">
        <v>44.325000000000003</v>
      </c>
      <c r="I208">
        <v>41.636000000000003</v>
      </c>
      <c r="J208">
        <v>51.165999999999997</v>
      </c>
      <c r="K208">
        <v>55.316000000000003</v>
      </c>
      <c r="L208">
        <v>53.332000000000001</v>
      </c>
      <c r="M208">
        <v>46.457000000000001</v>
      </c>
      <c r="N208">
        <v>46.536999999999999</v>
      </c>
      <c r="O208">
        <v>52.610999999999997</v>
      </c>
    </row>
    <row r="209" spans="1:16">
      <c r="A209" t="str">
        <f t="shared" si="2"/>
        <v>CILC1GSDR GCP OFFPK</v>
      </c>
      <c r="B209" t="s">
        <v>177</v>
      </c>
      <c r="C209" t="s">
        <v>173</v>
      </c>
      <c r="D209">
        <v>43.959000000000003</v>
      </c>
      <c r="E209">
        <v>47.276000000000003</v>
      </c>
      <c r="F209">
        <v>40.128999999999998</v>
      </c>
      <c r="G209">
        <v>50.610999999999997</v>
      </c>
      <c r="H209">
        <v>47.143000000000001</v>
      </c>
      <c r="I209">
        <v>41.790999999999997</v>
      </c>
      <c r="J209">
        <v>53.807000000000002</v>
      </c>
      <c r="K209">
        <v>63.41</v>
      </c>
      <c r="L209">
        <v>54.674999999999997</v>
      </c>
      <c r="M209">
        <v>60.868000000000002</v>
      </c>
      <c r="N209">
        <v>52.718000000000004</v>
      </c>
      <c r="O209">
        <v>50.645000000000003</v>
      </c>
    </row>
    <row r="210" spans="1:16">
      <c r="A210" t="str">
        <f t="shared" si="2"/>
        <v>CILC1GSDR CP</v>
      </c>
      <c r="B210" t="s">
        <v>177</v>
      </c>
      <c r="C210" t="s">
        <v>174</v>
      </c>
      <c r="D210">
        <v>44.168999999999997</v>
      </c>
      <c r="E210">
        <v>43.832000000000001</v>
      </c>
      <c r="F210">
        <v>37.491</v>
      </c>
      <c r="G210">
        <v>38.743000000000002</v>
      </c>
      <c r="H210">
        <v>41.256999999999998</v>
      </c>
      <c r="I210">
        <v>44.292999999999999</v>
      </c>
      <c r="J210">
        <v>39.655000000000001</v>
      </c>
      <c r="K210">
        <v>37.728999999999999</v>
      </c>
      <c r="L210">
        <v>39.898000000000003</v>
      </c>
      <c r="M210">
        <v>42.320999999999998</v>
      </c>
      <c r="N210">
        <v>38.201000000000001</v>
      </c>
      <c r="O210">
        <v>42.133000000000003</v>
      </c>
      <c r="P210" s="5"/>
    </row>
    <row r="211" spans="1:16">
      <c r="A211" t="str">
        <f t="shared" si="2"/>
        <v/>
      </c>
      <c r="P211" s="5"/>
    </row>
    <row r="212" spans="1:16">
      <c r="A212" t="str">
        <f t="shared" si="2"/>
        <v/>
      </c>
    </row>
    <row r="213" spans="1:16">
      <c r="A213" t="str">
        <f t="shared" si="2"/>
        <v/>
      </c>
      <c r="P213" s="89"/>
    </row>
    <row r="214" spans="1:16">
      <c r="A214" t="str">
        <f t="shared" si="2"/>
        <v/>
      </c>
    </row>
    <row r="215" spans="1:16">
      <c r="A215" t="str">
        <f t="shared" si="2"/>
        <v xml:space="preserve">CILC1T Commercial/Industrial Load Control - Transmission (55) </v>
      </c>
      <c r="B215" t="s">
        <v>183</v>
      </c>
      <c r="C215" t="s">
        <v>184</v>
      </c>
    </row>
    <row r="216" spans="1:16">
      <c r="A216" t="str">
        <f t="shared" si="2"/>
        <v xml:space="preserve">CILC1TMONTH </v>
      </c>
      <c r="B216" t="s">
        <v>185</v>
      </c>
      <c r="C216" t="s">
        <v>123</v>
      </c>
      <c r="D216" s="4">
        <v>40909</v>
      </c>
      <c r="E216" s="4">
        <v>40940</v>
      </c>
      <c r="F216" s="4">
        <v>40969</v>
      </c>
      <c r="G216" s="4">
        <v>41000</v>
      </c>
      <c r="H216" s="4">
        <v>41030</v>
      </c>
      <c r="I216" s="4">
        <v>41061</v>
      </c>
      <c r="J216" s="4">
        <v>41091</v>
      </c>
      <c r="K216" s="4">
        <v>41122</v>
      </c>
      <c r="L216" s="4">
        <v>41153</v>
      </c>
      <c r="M216" s="4">
        <v>41183</v>
      </c>
      <c r="N216" s="4">
        <v>41214</v>
      </c>
      <c r="O216" s="4">
        <v>41244</v>
      </c>
    </row>
    <row r="217" spans="1:16">
      <c r="A217" t="str">
        <f t="shared" si="2"/>
        <v xml:space="preserve">CILC1TCUSTOMERS </v>
      </c>
      <c r="B217" t="s">
        <v>185</v>
      </c>
      <c r="C217" t="s">
        <v>124</v>
      </c>
      <c r="D217">
        <v>17</v>
      </c>
      <c r="E217">
        <v>17</v>
      </c>
      <c r="F217">
        <v>17</v>
      </c>
      <c r="G217">
        <v>17</v>
      </c>
      <c r="H217">
        <v>17</v>
      </c>
      <c r="I217">
        <v>17</v>
      </c>
      <c r="J217">
        <v>17</v>
      </c>
      <c r="K217">
        <v>17</v>
      </c>
      <c r="L217">
        <v>17</v>
      </c>
      <c r="M217">
        <v>17</v>
      </c>
      <c r="N217">
        <v>17</v>
      </c>
      <c r="O217">
        <v>17</v>
      </c>
    </row>
    <row r="218" spans="1:16">
      <c r="A218" t="str">
        <f t="shared" si="2"/>
        <v xml:space="preserve">CILC1TSALES </v>
      </c>
      <c r="B218" t="s">
        <v>185</v>
      </c>
      <c r="C218" t="s">
        <v>125</v>
      </c>
      <c r="D218">
        <v>106283651</v>
      </c>
      <c r="E218">
        <v>112915427</v>
      </c>
      <c r="F218">
        <v>105335416</v>
      </c>
      <c r="G218">
        <v>106777174</v>
      </c>
      <c r="H218">
        <v>109262478</v>
      </c>
      <c r="I218">
        <v>124949200</v>
      </c>
      <c r="J218">
        <v>114736529</v>
      </c>
      <c r="K218">
        <v>123399323</v>
      </c>
      <c r="L218">
        <v>99303513</v>
      </c>
      <c r="M218">
        <v>127146139</v>
      </c>
      <c r="N218">
        <v>116831896</v>
      </c>
      <c r="O218">
        <v>105490500</v>
      </c>
      <c r="P218" s="87"/>
    </row>
    <row r="219" spans="1:16">
      <c r="A219" t="str">
        <f t="shared" si="2"/>
        <v>CILC1TKW</v>
      </c>
      <c r="B219" t="s">
        <v>185</v>
      </c>
      <c r="C219" t="s">
        <v>126</v>
      </c>
    </row>
    <row r="220" spans="1:16">
      <c r="A220" t="str">
        <f t="shared" si="2"/>
        <v>CILC1TN</v>
      </c>
      <c r="B220" t="s">
        <v>185</v>
      </c>
      <c r="C220" t="s">
        <v>127</v>
      </c>
      <c r="D220">
        <v>17</v>
      </c>
      <c r="E220">
        <v>17</v>
      </c>
      <c r="F220">
        <v>17</v>
      </c>
      <c r="G220">
        <v>17</v>
      </c>
      <c r="H220">
        <v>17</v>
      </c>
      <c r="I220">
        <v>17</v>
      </c>
      <c r="J220">
        <v>17</v>
      </c>
      <c r="K220">
        <v>17</v>
      </c>
      <c r="L220">
        <v>17</v>
      </c>
      <c r="M220">
        <v>17</v>
      </c>
      <c r="N220">
        <v>17</v>
      </c>
      <c r="O220">
        <v>17</v>
      </c>
    </row>
    <row r="221" spans="1:16">
      <c r="A221" t="str">
        <f t="shared" si="2"/>
        <v>CILC1TRLR ENERGY:</v>
      </c>
      <c r="B221" t="s">
        <v>185</v>
      </c>
      <c r="C221" t="s">
        <v>61</v>
      </c>
      <c r="P221" s="83"/>
    </row>
    <row r="222" spans="1:16">
      <c r="A222" t="str">
        <f t="shared" si="2"/>
        <v>CILC1TKWH</v>
      </c>
      <c r="B222" t="s">
        <v>185</v>
      </c>
      <c r="C222" t="s">
        <v>128</v>
      </c>
      <c r="D222">
        <v>120157275</v>
      </c>
      <c r="E222">
        <v>93335490</v>
      </c>
      <c r="F222">
        <v>111625386</v>
      </c>
      <c r="G222">
        <v>103051052</v>
      </c>
      <c r="H222">
        <v>119321764</v>
      </c>
      <c r="I222">
        <v>112494740</v>
      </c>
      <c r="J222">
        <v>119890037</v>
      </c>
      <c r="K222">
        <v>115386094</v>
      </c>
      <c r="L222">
        <v>115265036</v>
      </c>
      <c r="M222">
        <v>123963255</v>
      </c>
      <c r="N222">
        <v>104622727</v>
      </c>
      <c r="O222">
        <v>107059964</v>
      </c>
      <c r="P222" s="1"/>
    </row>
    <row r="223" spans="1:16">
      <c r="A223" t="str">
        <f t="shared" si="2"/>
        <v>CILC1TKWH ONPK</v>
      </c>
      <c r="B223" t="s">
        <v>185</v>
      </c>
      <c r="C223" t="s">
        <v>129</v>
      </c>
      <c r="D223">
        <v>26842852</v>
      </c>
      <c r="E223">
        <v>22546175</v>
      </c>
      <c r="F223">
        <v>26433696</v>
      </c>
      <c r="G223">
        <v>27298153</v>
      </c>
      <c r="H223">
        <v>32124911</v>
      </c>
      <c r="I223">
        <v>29461914</v>
      </c>
      <c r="J223">
        <v>31082998</v>
      </c>
      <c r="K223">
        <v>32481334</v>
      </c>
      <c r="L223">
        <v>28075167</v>
      </c>
      <c r="M223">
        <v>34614403</v>
      </c>
      <c r="N223">
        <v>24665383</v>
      </c>
      <c r="O223">
        <v>23444667</v>
      </c>
      <c r="P223" s="5"/>
    </row>
    <row r="224" spans="1:16">
      <c r="A224" t="str">
        <f t="shared" si="2"/>
        <v>CILC1TKWH OFFPK</v>
      </c>
      <c r="B224" t="s">
        <v>185</v>
      </c>
      <c r="C224" t="s">
        <v>130</v>
      </c>
      <c r="D224">
        <v>93314423</v>
      </c>
      <c r="E224">
        <v>70789315</v>
      </c>
      <c r="F224">
        <v>85191689</v>
      </c>
      <c r="G224">
        <v>75752899</v>
      </c>
      <c r="H224">
        <v>87196853</v>
      </c>
      <c r="I224">
        <v>83032825</v>
      </c>
      <c r="J224">
        <v>88807039</v>
      </c>
      <c r="K224">
        <v>82904759</v>
      </c>
      <c r="L224">
        <v>87189869</v>
      </c>
      <c r="M224">
        <v>89348852</v>
      </c>
      <c r="N224">
        <v>79957344</v>
      </c>
      <c r="O224">
        <v>83615297</v>
      </c>
      <c r="P224" s="5"/>
    </row>
    <row r="225" spans="1:16">
      <c r="A225" t="str">
        <f t="shared" si="2"/>
        <v>CILC1TKWH ONPK%</v>
      </c>
      <c r="B225" t="s">
        <v>185</v>
      </c>
      <c r="C225" t="s">
        <v>131</v>
      </c>
      <c r="D225" s="5">
        <v>0.22339999999999999</v>
      </c>
      <c r="E225" s="5">
        <v>0.24156</v>
      </c>
      <c r="F225" s="5">
        <v>0.23680999999999999</v>
      </c>
      <c r="G225" s="5">
        <v>0.26490000000000002</v>
      </c>
      <c r="H225" s="5">
        <v>0.26923000000000002</v>
      </c>
      <c r="I225" s="5">
        <v>0.26190000000000002</v>
      </c>
      <c r="J225" s="5">
        <v>0.25925999999999999</v>
      </c>
      <c r="K225" s="5">
        <v>0.28149999999999997</v>
      </c>
      <c r="L225" s="5">
        <v>0.24357000000000001</v>
      </c>
      <c r="M225" s="5">
        <v>0.27922999999999998</v>
      </c>
      <c r="N225" s="5">
        <v>0.23576</v>
      </c>
      <c r="O225" s="5">
        <v>0.21898999999999999</v>
      </c>
      <c r="P225" s="5"/>
    </row>
    <row r="226" spans="1:16">
      <c r="A226" t="str">
        <f t="shared" si="2"/>
        <v>CILC1TKWH OFFPK%</v>
      </c>
      <c r="B226" t="s">
        <v>185</v>
      </c>
      <c r="C226" t="s">
        <v>132</v>
      </c>
      <c r="D226" s="5">
        <v>0.77659999999999996</v>
      </c>
      <c r="E226" s="5">
        <v>0.75844</v>
      </c>
      <c r="F226" s="5">
        <v>0.76319000000000004</v>
      </c>
      <c r="G226" s="5">
        <v>0.73509999999999998</v>
      </c>
      <c r="H226" s="5">
        <v>0.73077000000000003</v>
      </c>
      <c r="I226" s="5">
        <v>0.73809999999999998</v>
      </c>
      <c r="J226" s="5">
        <v>0.74073999999999995</v>
      </c>
      <c r="K226" s="5">
        <v>0.71850000000000003</v>
      </c>
      <c r="L226" s="5">
        <v>0.75643000000000005</v>
      </c>
      <c r="M226" s="5">
        <v>0.72077000000000002</v>
      </c>
      <c r="N226" s="5">
        <v>0.76424000000000003</v>
      </c>
      <c r="O226" s="5">
        <v>0.78100999999999998</v>
      </c>
      <c r="P226" s="5"/>
    </row>
    <row r="227" spans="1:16">
      <c r="A227" t="str">
        <f t="shared" si="2"/>
        <v>CILC1TDEMAND (KW):</v>
      </c>
      <c r="B227" t="s">
        <v>185</v>
      </c>
      <c r="C227" t="s">
        <v>62</v>
      </c>
      <c r="P227" s="5"/>
    </row>
    <row r="228" spans="1:16">
      <c r="A228" t="str">
        <f t="shared" si="2"/>
        <v>CILC1TNCP</v>
      </c>
      <c r="B228" t="s">
        <v>185</v>
      </c>
      <c r="C228" t="s">
        <v>133</v>
      </c>
      <c r="D228">
        <v>217973</v>
      </c>
      <c r="E228">
        <v>187035</v>
      </c>
      <c r="F228">
        <v>215155</v>
      </c>
      <c r="G228">
        <v>194563</v>
      </c>
      <c r="H228">
        <v>211637</v>
      </c>
      <c r="I228">
        <v>207944</v>
      </c>
      <c r="J228">
        <v>219513</v>
      </c>
      <c r="K228">
        <v>215704</v>
      </c>
      <c r="L228">
        <v>217027</v>
      </c>
      <c r="M228">
        <v>221144</v>
      </c>
      <c r="N228">
        <v>203537</v>
      </c>
      <c r="O228">
        <v>196475</v>
      </c>
      <c r="P228" s="5"/>
    </row>
    <row r="229" spans="1:16">
      <c r="A229" t="str">
        <f t="shared" si="2"/>
        <v>CILC1TNCP ONPK</v>
      </c>
      <c r="B229" t="s">
        <v>185</v>
      </c>
      <c r="C229" t="s">
        <v>134</v>
      </c>
      <c r="D229">
        <v>203142</v>
      </c>
      <c r="E229">
        <v>172148</v>
      </c>
      <c r="F229">
        <v>198042</v>
      </c>
      <c r="G229">
        <v>183601</v>
      </c>
      <c r="H229">
        <v>201807</v>
      </c>
      <c r="I229">
        <v>189828</v>
      </c>
      <c r="J229">
        <v>207822</v>
      </c>
      <c r="K229">
        <v>200631</v>
      </c>
      <c r="L229">
        <v>212745</v>
      </c>
      <c r="M229">
        <v>219939</v>
      </c>
      <c r="N229">
        <v>198119</v>
      </c>
      <c r="O229">
        <v>191171</v>
      </c>
      <c r="P229" s="5"/>
    </row>
    <row r="230" spans="1:16">
      <c r="A230" t="str">
        <f t="shared" si="2"/>
        <v>CILC1TNCP OFFPK</v>
      </c>
      <c r="B230" t="s">
        <v>185</v>
      </c>
      <c r="C230" t="s">
        <v>135</v>
      </c>
      <c r="D230">
        <v>217639</v>
      </c>
      <c r="E230">
        <v>186682</v>
      </c>
      <c r="F230">
        <v>214664</v>
      </c>
      <c r="G230">
        <v>191964</v>
      </c>
      <c r="H230">
        <v>209080</v>
      </c>
      <c r="I230">
        <v>205114</v>
      </c>
      <c r="J230">
        <v>217233</v>
      </c>
      <c r="K230">
        <v>213401</v>
      </c>
      <c r="L230">
        <v>214401</v>
      </c>
      <c r="M230">
        <v>218992</v>
      </c>
      <c r="N230">
        <v>202614</v>
      </c>
      <c r="O230">
        <v>195887</v>
      </c>
      <c r="P230" s="5"/>
    </row>
    <row r="231" spans="1:16">
      <c r="A231" t="str">
        <f t="shared" si="2"/>
        <v>CILC1TGCP DATE</v>
      </c>
      <c r="B231" t="s">
        <v>185</v>
      </c>
      <c r="C231" t="s">
        <v>136</v>
      </c>
      <c r="D231" t="s">
        <v>914</v>
      </c>
      <c r="E231" t="s">
        <v>919</v>
      </c>
      <c r="F231" t="s">
        <v>910</v>
      </c>
      <c r="G231" t="s">
        <v>920</v>
      </c>
      <c r="H231" t="s">
        <v>24</v>
      </c>
      <c r="I231" t="s">
        <v>911</v>
      </c>
      <c r="J231" t="s">
        <v>921</v>
      </c>
      <c r="K231" t="s">
        <v>922</v>
      </c>
      <c r="L231" t="s">
        <v>42</v>
      </c>
      <c r="M231" t="s">
        <v>212</v>
      </c>
      <c r="N231" t="s">
        <v>923</v>
      </c>
      <c r="O231" t="s">
        <v>205</v>
      </c>
      <c r="P231" s="5"/>
    </row>
    <row r="232" spans="1:16">
      <c r="A232" t="str">
        <f t="shared" si="2"/>
        <v>CILC1TGCP TIME</v>
      </c>
      <c r="B232" t="s">
        <v>185</v>
      </c>
      <c r="C232" t="s">
        <v>142</v>
      </c>
      <c r="D232" t="s">
        <v>182</v>
      </c>
      <c r="E232" t="s">
        <v>195</v>
      </c>
      <c r="F232" t="s">
        <v>143</v>
      </c>
      <c r="G232" t="s">
        <v>202</v>
      </c>
      <c r="H232" t="s">
        <v>189</v>
      </c>
      <c r="I232" t="s">
        <v>194</v>
      </c>
      <c r="J232" t="s">
        <v>200</v>
      </c>
      <c r="K232" t="s">
        <v>189</v>
      </c>
      <c r="L232" t="s">
        <v>182</v>
      </c>
      <c r="M232" t="s">
        <v>182</v>
      </c>
      <c r="N232" t="s">
        <v>182</v>
      </c>
      <c r="O232" t="s">
        <v>200</v>
      </c>
    </row>
    <row r="233" spans="1:16">
      <c r="A233" t="str">
        <f t="shared" si="2"/>
        <v>CILC1TGCP</v>
      </c>
      <c r="B233" t="s">
        <v>185</v>
      </c>
      <c r="C233" t="s">
        <v>147</v>
      </c>
      <c r="D233">
        <v>185688</v>
      </c>
      <c r="E233">
        <v>160854</v>
      </c>
      <c r="F233">
        <v>180774</v>
      </c>
      <c r="G233">
        <v>168732</v>
      </c>
      <c r="H233">
        <v>184685</v>
      </c>
      <c r="I233">
        <v>176538</v>
      </c>
      <c r="J233">
        <v>185096</v>
      </c>
      <c r="K233">
        <v>183989</v>
      </c>
      <c r="L233">
        <v>186359</v>
      </c>
      <c r="M233">
        <v>196118</v>
      </c>
      <c r="N233">
        <v>176353</v>
      </c>
      <c r="O233">
        <v>175226</v>
      </c>
      <c r="P233" s="5"/>
    </row>
    <row r="234" spans="1:16">
      <c r="A234" t="str">
        <f t="shared" si="2"/>
        <v>CILC1TGCP ONPK</v>
      </c>
      <c r="B234" t="s">
        <v>185</v>
      </c>
      <c r="C234" t="s">
        <v>63</v>
      </c>
      <c r="D234">
        <v>181122</v>
      </c>
      <c r="E234">
        <v>155893</v>
      </c>
      <c r="F234">
        <v>169985</v>
      </c>
      <c r="G234">
        <v>166024</v>
      </c>
      <c r="H234">
        <v>182432</v>
      </c>
      <c r="I234">
        <v>176027</v>
      </c>
      <c r="J234">
        <v>180997</v>
      </c>
      <c r="K234">
        <v>179488</v>
      </c>
      <c r="L234">
        <v>186359</v>
      </c>
      <c r="M234">
        <v>196118</v>
      </c>
      <c r="N234">
        <v>174877</v>
      </c>
      <c r="O234">
        <v>175226</v>
      </c>
      <c r="P234" s="5"/>
    </row>
    <row r="235" spans="1:16">
      <c r="A235" t="str">
        <f t="shared" si="2"/>
        <v>CILC1TGCP OFFPK</v>
      </c>
      <c r="B235" t="s">
        <v>185</v>
      </c>
      <c r="C235" t="s">
        <v>64</v>
      </c>
      <c r="D235">
        <v>185688</v>
      </c>
      <c r="E235">
        <v>160854</v>
      </c>
      <c r="F235">
        <v>180774</v>
      </c>
      <c r="G235">
        <v>168732</v>
      </c>
      <c r="H235">
        <v>184685</v>
      </c>
      <c r="I235">
        <v>176538</v>
      </c>
      <c r="J235">
        <v>185096</v>
      </c>
      <c r="K235">
        <v>183989</v>
      </c>
      <c r="L235">
        <v>185192</v>
      </c>
      <c r="M235">
        <v>191986</v>
      </c>
      <c r="N235">
        <v>176353</v>
      </c>
      <c r="O235">
        <v>172978</v>
      </c>
      <c r="P235" s="5"/>
    </row>
    <row r="236" spans="1:16">
      <c r="A236" t="str">
        <f t="shared" si="2"/>
        <v>CILC1TCP</v>
      </c>
      <c r="B236" t="s">
        <v>185</v>
      </c>
      <c r="C236" t="s">
        <v>148</v>
      </c>
      <c r="D236">
        <v>139015</v>
      </c>
      <c r="E236">
        <v>160413</v>
      </c>
      <c r="F236">
        <v>170626</v>
      </c>
      <c r="G236">
        <v>125695</v>
      </c>
      <c r="H236">
        <v>182432</v>
      </c>
      <c r="I236">
        <v>158879</v>
      </c>
      <c r="J236">
        <v>173334</v>
      </c>
      <c r="K236">
        <v>150983</v>
      </c>
      <c r="L236">
        <v>148018</v>
      </c>
      <c r="M236">
        <v>185242</v>
      </c>
      <c r="N236">
        <v>153101</v>
      </c>
      <c r="O236">
        <v>159232</v>
      </c>
      <c r="P236" s="5"/>
    </row>
    <row r="237" spans="1:16">
      <c r="A237" t="str">
        <f t="shared" si="2"/>
        <v>CILC1TPERIOD START</v>
      </c>
      <c r="B237" t="s">
        <v>185</v>
      </c>
      <c r="C237" t="s">
        <v>149</v>
      </c>
      <c r="D237" s="1">
        <v>40909</v>
      </c>
      <c r="E237" s="1">
        <v>40940</v>
      </c>
      <c r="F237" s="1">
        <v>40969</v>
      </c>
      <c r="G237" s="1">
        <v>41000</v>
      </c>
      <c r="H237" s="1">
        <v>41030</v>
      </c>
      <c r="I237" s="1">
        <v>41061</v>
      </c>
      <c r="J237" s="1">
        <v>41091</v>
      </c>
      <c r="K237" s="1">
        <v>41122</v>
      </c>
      <c r="L237" s="1">
        <v>41153</v>
      </c>
      <c r="M237" s="1">
        <v>41183</v>
      </c>
      <c r="N237" s="1">
        <v>41214</v>
      </c>
      <c r="O237" s="1">
        <v>41244</v>
      </c>
      <c r="P237" s="5"/>
    </row>
    <row r="238" spans="1:16">
      <c r="A238" t="str">
        <f t="shared" si="2"/>
        <v>CILC1TNCP LF</v>
      </c>
      <c r="B238" t="s">
        <v>185</v>
      </c>
      <c r="C238" t="s">
        <v>150</v>
      </c>
      <c r="D238" s="5">
        <v>0.7409</v>
      </c>
      <c r="E238" s="5">
        <v>0.71699999999999997</v>
      </c>
      <c r="F238" s="5">
        <v>0.69830000000000003</v>
      </c>
      <c r="G238" s="5">
        <v>0.73560000000000003</v>
      </c>
      <c r="H238" s="5">
        <v>0.75780000000000003</v>
      </c>
      <c r="I238" s="5">
        <v>0.75139999999999996</v>
      </c>
      <c r="J238" s="5">
        <v>0.73409999999999997</v>
      </c>
      <c r="K238" s="5">
        <v>0.71899999999999997</v>
      </c>
      <c r="L238" s="5">
        <v>0.73770000000000002</v>
      </c>
      <c r="M238" s="5">
        <v>0.75339999999999996</v>
      </c>
      <c r="N238" s="5">
        <v>0.71389999999999998</v>
      </c>
      <c r="O238" s="5">
        <v>0.73240000000000005</v>
      </c>
      <c r="P238" s="5"/>
    </row>
    <row r="239" spans="1:16">
      <c r="A239" t="str">
        <f t="shared" si="2"/>
        <v>CILC1TNCP LF ONPK</v>
      </c>
      <c r="B239" t="s">
        <v>185</v>
      </c>
      <c r="C239" t="s">
        <v>151</v>
      </c>
      <c r="D239" s="5">
        <v>0.78649999999999998</v>
      </c>
      <c r="E239" s="5">
        <v>0.77959999999999996</v>
      </c>
      <c r="F239" s="5">
        <v>0.75839999999999996</v>
      </c>
      <c r="G239" s="5">
        <v>0.78669999999999995</v>
      </c>
      <c r="H239" s="5">
        <v>0.80400000000000005</v>
      </c>
      <c r="I239" s="5">
        <v>0.82120000000000004</v>
      </c>
      <c r="J239" s="5">
        <v>0.79139999999999999</v>
      </c>
      <c r="K239" s="5">
        <v>0.78210000000000002</v>
      </c>
      <c r="L239" s="5">
        <v>0.77170000000000005</v>
      </c>
      <c r="M239" s="5">
        <v>0.76029999999999998</v>
      </c>
      <c r="N239" s="5">
        <v>0.74109999999999998</v>
      </c>
      <c r="O239" s="5">
        <v>0.76649999999999996</v>
      </c>
      <c r="P239" s="5"/>
    </row>
    <row r="240" spans="1:16">
      <c r="A240" t="str">
        <f t="shared" si="2"/>
        <v>CILC1TNCP LF OFFPK</v>
      </c>
      <c r="B240" t="s">
        <v>185</v>
      </c>
      <c r="C240" t="s">
        <v>152</v>
      </c>
      <c r="D240" s="5">
        <v>0.74439999999999995</v>
      </c>
      <c r="E240" s="5">
        <v>0.71819999999999995</v>
      </c>
      <c r="F240" s="5">
        <v>0.69989999999999997</v>
      </c>
      <c r="G240" s="5">
        <v>0.74319999999999997</v>
      </c>
      <c r="H240" s="5">
        <v>0.76380000000000003</v>
      </c>
      <c r="I240" s="5">
        <v>0.76239999999999997</v>
      </c>
      <c r="J240" s="5">
        <v>0.73660000000000003</v>
      </c>
      <c r="K240" s="5">
        <v>0.72350000000000003</v>
      </c>
      <c r="L240" s="5">
        <v>0.74070000000000003</v>
      </c>
      <c r="M240" s="5">
        <v>0.75980000000000003</v>
      </c>
      <c r="N240" s="5">
        <v>0.71489999999999998</v>
      </c>
      <c r="O240" s="5">
        <v>0.73089999999999999</v>
      </c>
    </row>
    <row r="241" spans="1:16">
      <c r="A241" t="str">
        <f t="shared" si="2"/>
        <v>CILC1TGCP CF</v>
      </c>
      <c r="B241" t="s">
        <v>185</v>
      </c>
      <c r="C241" t="s">
        <v>153</v>
      </c>
      <c r="D241" s="5">
        <v>0.85189999999999999</v>
      </c>
      <c r="E241" s="5">
        <v>0.86</v>
      </c>
      <c r="F241" s="5">
        <v>0.84019999999999995</v>
      </c>
      <c r="G241" s="5">
        <v>0.86719999999999997</v>
      </c>
      <c r="H241" s="5">
        <v>0.87260000000000004</v>
      </c>
      <c r="I241" s="5">
        <v>0.84899999999999998</v>
      </c>
      <c r="J241" s="5">
        <v>0.84319999999999995</v>
      </c>
      <c r="K241" s="5">
        <v>0.85299999999999998</v>
      </c>
      <c r="L241" s="5">
        <v>0.85870000000000002</v>
      </c>
      <c r="M241" s="5">
        <v>0.88680000000000003</v>
      </c>
      <c r="N241" s="5">
        <v>0.86639999999999995</v>
      </c>
      <c r="O241" s="5">
        <v>0.89180000000000004</v>
      </c>
    </row>
    <row r="242" spans="1:16">
      <c r="A242" t="str">
        <f t="shared" si="2"/>
        <v>CILC1TCP CF</v>
      </c>
      <c r="B242" t="s">
        <v>185</v>
      </c>
      <c r="C242" t="s">
        <v>154</v>
      </c>
      <c r="D242" s="5">
        <v>0.63780000000000003</v>
      </c>
      <c r="E242" s="5">
        <v>0.85770000000000002</v>
      </c>
      <c r="F242" s="5">
        <v>0.79300000000000004</v>
      </c>
      <c r="G242" s="5">
        <v>0.64600000000000002</v>
      </c>
      <c r="H242" s="5">
        <v>0.86199999999999999</v>
      </c>
      <c r="I242" s="5">
        <v>0.76400000000000001</v>
      </c>
      <c r="J242" s="5">
        <v>0.78959999999999997</v>
      </c>
      <c r="K242" s="5">
        <v>0.7</v>
      </c>
      <c r="L242" s="5">
        <v>0.68200000000000005</v>
      </c>
      <c r="M242" s="5">
        <v>0.8377</v>
      </c>
      <c r="N242" s="5">
        <v>0.75219999999999998</v>
      </c>
      <c r="O242" s="5">
        <v>0.81040000000000001</v>
      </c>
    </row>
    <row r="243" spans="1:16">
      <c r="A243" t="str">
        <f t="shared" si="2"/>
        <v>CILC1TGCP LF</v>
      </c>
      <c r="B243" t="s">
        <v>185</v>
      </c>
      <c r="C243" t="s">
        <v>155</v>
      </c>
      <c r="D243" s="5">
        <v>0.86970000000000003</v>
      </c>
      <c r="E243" s="5">
        <v>0.8337</v>
      </c>
      <c r="F243" s="5">
        <v>0.83109999999999995</v>
      </c>
      <c r="G243" s="5">
        <v>0.84819999999999995</v>
      </c>
      <c r="H243" s="5">
        <v>0.86839999999999995</v>
      </c>
      <c r="I243" s="5">
        <v>0.88500000000000001</v>
      </c>
      <c r="J243" s="5">
        <v>0.87060000000000004</v>
      </c>
      <c r="K243" s="5">
        <v>0.84289999999999998</v>
      </c>
      <c r="L243" s="5">
        <v>0.85899999999999999</v>
      </c>
      <c r="M243" s="5">
        <v>0.84960000000000002</v>
      </c>
      <c r="N243" s="5">
        <v>0.82399999999999995</v>
      </c>
      <c r="O243" s="5">
        <v>0.82120000000000004</v>
      </c>
    </row>
    <row r="244" spans="1:16">
      <c r="A244" t="str">
        <f t="shared" si="2"/>
        <v>CILC1TGCP LF ONPK</v>
      </c>
      <c r="B244" t="s">
        <v>185</v>
      </c>
      <c r="C244" t="s">
        <v>156</v>
      </c>
      <c r="D244" s="5">
        <v>0.88219999999999998</v>
      </c>
      <c r="E244" s="5">
        <v>0.8609</v>
      </c>
      <c r="F244" s="5">
        <v>0.88360000000000005</v>
      </c>
      <c r="G244" s="5">
        <v>0.87</v>
      </c>
      <c r="H244" s="5">
        <v>0.88939999999999997</v>
      </c>
      <c r="I244" s="5">
        <v>0.88560000000000005</v>
      </c>
      <c r="J244" s="5">
        <v>0.90859999999999996</v>
      </c>
      <c r="K244" s="5">
        <v>0.87419999999999998</v>
      </c>
      <c r="L244" s="5">
        <v>0.88100000000000001</v>
      </c>
      <c r="M244" s="5">
        <v>0.85260000000000002</v>
      </c>
      <c r="N244" s="5">
        <v>0.83960000000000001</v>
      </c>
      <c r="O244" s="5">
        <v>0.83620000000000005</v>
      </c>
    </row>
    <row r="245" spans="1:16">
      <c r="A245" t="str">
        <f t="shared" si="2"/>
        <v>CILC1TGCP LF OFFPK</v>
      </c>
      <c r="B245" t="s">
        <v>185</v>
      </c>
      <c r="C245" t="s">
        <v>157</v>
      </c>
      <c r="D245" s="5">
        <v>0.87250000000000005</v>
      </c>
      <c r="E245" s="5">
        <v>0.83350000000000002</v>
      </c>
      <c r="F245" s="5">
        <v>0.83109999999999995</v>
      </c>
      <c r="G245" s="5">
        <v>0.84550000000000003</v>
      </c>
      <c r="H245" s="5">
        <v>0.86470000000000002</v>
      </c>
      <c r="I245" s="5">
        <v>0.88580000000000003</v>
      </c>
      <c r="J245" s="5">
        <v>0.86450000000000005</v>
      </c>
      <c r="K245" s="5">
        <v>0.83909999999999996</v>
      </c>
      <c r="L245" s="5">
        <v>0.85760000000000003</v>
      </c>
      <c r="M245" s="5">
        <v>0.86670000000000003</v>
      </c>
      <c r="N245" s="5">
        <v>0.82140000000000002</v>
      </c>
      <c r="O245" s="5">
        <v>0.82769999999999999</v>
      </c>
    </row>
    <row r="246" spans="1:16">
      <c r="A246" t="str">
        <f t="shared" ref="A246:A309" si="3">B246&amp;C246</f>
        <v>CILC1TCP LF</v>
      </c>
      <c r="B246" t="s">
        <v>185</v>
      </c>
      <c r="C246" t="s">
        <v>158</v>
      </c>
      <c r="D246" s="5">
        <v>1.1617999999999999</v>
      </c>
      <c r="E246" s="5">
        <v>0.83599999999999997</v>
      </c>
      <c r="F246" s="5">
        <v>0.88049999999999995</v>
      </c>
      <c r="G246" s="5">
        <v>1.1387</v>
      </c>
      <c r="H246" s="5">
        <v>0.87909999999999999</v>
      </c>
      <c r="I246" s="5">
        <v>0.98340000000000005</v>
      </c>
      <c r="J246" s="5">
        <v>0.92969999999999997</v>
      </c>
      <c r="K246" s="5">
        <v>1.0271999999999999</v>
      </c>
      <c r="L246" s="5">
        <v>1.0815999999999999</v>
      </c>
      <c r="M246" s="5">
        <v>0.89949999999999997</v>
      </c>
      <c r="N246" s="5">
        <v>0.94910000000000005</v>
      </c>
      <c r="O246" s="5">
        <v>0.90369999999999995</v>
      </c>
    </row>
    <row r="247" spans="1:16">
      <c r="A247" t="str">
        <f t="shared" si="3"/>
        <v>CILC1TREL PREC:</v>
      </c>
      <c r="B247" t="s">
        <v>185</v>
      </c>
      <c r="C247" t="s">
        <v>65</v>
      </c>
      <c r="P247" s="4"/>
    </row>
    <row r="248" spans="1:16">
      <c r="A248" t="str">
        <f t="shared" si="3"/>
        <v>CILC1TNCP RP</v>
      </c>
      <c r="B248" t="s">
        <v>185</v>
      </c>
      <c r="C248" t="s">
        <v>159</v>
      </c>
      <c r="D248" s="5">
        <v>7.17E-2</v>
      </c>
      <c r="E248" s="5">
        <v>8.8900000000000007E-2</v>
      </c>
      <c r="F248" s="5">
        <v>7.2700000000000001E-2</v>
      </c>
      <c r="G248" s="5">
        <v>0</v>
      </c>
      <c r="H248" s="5">
        <v>7.3599999999999999E-2</v>
      </c>
      <c r="I248" s="5">
        <v>0</v>
      </c>
      <c r="J248" s="5">
        <v>0</v>
      </c>
      <c r="K248" s="5">
        <v>0</v>
      </c>
      <c r="L248" s="5">
        <v>0</v>
      </c>
      <c r="M248" s="5">
        <v>0</v>
      </c>
      <c r="N248" s="5">
        <v>7.0800000000000002E-2</v>
      </c>
      <c r="O248" s="5">
        <v>6.5600000000000006E-2</v>
      </c>
    </row>
    <row r="249" spans="1:16">
      <c r="A249" t="str">
        <f t="shared" si="3"/>
        <v>CILC1TNCP RP ONPK</v>
      </c>
      <c r="B249" t="s">
        <v>185</v>
      </c>
      <c r="C249" t="s">
        <v>160</v>
      </c>
      <c r="D249" s="5">
        <v>0.06</v>
      </c>
      <c r="E249" s="5">
        <v>8.6300000000000002E-2</v>
      </c>
      <c r="F249" s="5">
        <v>7.0499999999999993E-2</v>
      </c>
      <c r="G249" s="5">
        <v>0</v>
      </c>
      <c r="H249" s="5">
        <v>6.2899999999999998E-2</v>
      </c>
      <c r="I249" s="5">
        <v>0</v>
      </c>
      <c r="J249" s="5">
        <v>0</v>
      </c>
      <c r="K249" s="5">
        <v>0</v>
      </c>
      <c r="L249" s="5">
        <v>0</v>
      </c>
      <c r="M249" s="5">
        <v>0</v>
      </c>
      <c r="N249" s="5">
        <v>7.22E-2</v>
      </c>
      <c r="O249" s="5">
        <v>6.6699999999999995E-2</v>
      </c>
    </row>
    <row r="250" spans="1:16">
      <c r="A250" t="str">
        <f t="shared" si="3"/>
        <v>CILC1TNCP RP OFFPK</v>
      </c>
      <c r="B250" t="s">
        <v>185</v>
      </c>
      <c r="C250" t="s">
        <v>161</v>
      </c>
      <c r="D250" s="5">
        <v>7.1900000000000006E-2</v>
      </c>
      <c r="E250" s="5">
        <v>8.9200000000000002E-2</v>
      </c>
      <c r="F250" s="5">
        <v>7.2700000000000001E-2</v>
      </c>
      <c r="G250" s="5">
        <v>0</v>
      </c>
      <c r="H250" s="5">
        <v>7.46E-2</v>
      </c>
      <c r="I250" s="5">
        <v>0</v>
      </c>
      <c r="J250" s="5">
        <v>0</v>
      </c>
      <c r="K250" s="5">
        <v>0</v>
      </c>
      <c r="L250" s="5">
        <v>0</v>
      </c>
      <c r="M250" s="5">
        <v>0</v>
      </c>
      <c r="N250" s="5">
        <v>7.0499999999999993E-2</v>
      </c>
      <c r="O250" s="5">
        <v>6.5299999999999997E-2</v>
      </c>
    </row>
    <row r="251" spans="1:16">
      <c r="A251" t="str">
        <f t="shared" si="3"/>
        <v>CILC1TGCP RP</v>
      </c>
      <c r="B251" t="s">
        <v>185</v>
      </c>
      <c r="C251" t="s">
        <v>162</v>
      </c>
      <c r="D251" s="5">
        <v>6.08E-2</v>
      </c>
      <c r="E251" s="5">
        <v>8.77E-2</v>
      </c>
      <c r="F251" s="5">
        <v>7.5800000000000006E-2</v>
      </c>
      <c r="G251" s="5">
        <v>0</v>
      </c>
      <c r="H251" s="5">
        <v>7.3999999999999996E-2</v>
      </c>
      <c r="I251" s="5">
        <v>0</v>
      </c>
      <c r="J251" s="5">
        <v>0</v>
      </c>
      <c r="K251" s="5">
        <v>0</v>
      </c>
      <c r="L251" s="5">
        <v>0</v>
      </c>
      <c r="M251" s="5">
        <v>0</v>
      </c>
      <c r="N251" s="5">
        <v>7.7499999999999999E-2</v>
      </c>
      <c r="O251" s="5">
        <v>7.2099999999999997E-2</v>
      </c>
    </row>
    <row r="252" spans="1:16">
      <c r="A252" t="str">
        <f t="shared" si="3"/>
        <v>CILC1TGCP RP ONPK</v>
      </c>
      <c r="B252" t="s">
        <v>185</v>
      </c>
      <c r="C252" t="s">
        <v>163</v>
      </c>
      <c r="D252" s="5">
        <v>6.3399999999999998E-2</v>
      </c>
      <c r="E252" s="5">
        <v>8.6400000000000005E-2</v>
      </c>
      <c r="F252" s="5">
        <v>6.8400000000000002E-2</v>
      </c>
      <c r="G252" s="5">
        <v>0</v>
      </c>
      <c r="H252" s="5">
        <v>6.54E-2</v>
      </c>
      <c r="I252" s="5">
        <v>0</v>
      </c>
      <c r="J252" s="5">
        <v>0</v>
      </c>
      <c r="K252" s="5">
        <v>0</v>
      </c>
      <c r="L252" s="5">
        <v>0</v>
      </c>
      <c r="M252" s="5">
        <v>0</v>
      </c>
      <c r="N252" s="5">
        <v>7.8799999999999995E-2</v>
      </c>
      <c r="O252" s="5">
        <v>7.2099999999999997E-2</v>
      </c>
    </row>
    <row r="253" spans="1:16">
      <c r="A253" t="str">
        <f t="shared" si="3"/>
        <v>CILC1TGCP RP OFFPK</v>
      </c>
      <c r="B253" t="s">
        <v>185</v>
      </c>
      <c r="C253" t="s">
        <v>164</v>
      </c>
      <c r="D253" s="5">
        <v>6.08E-2</v>
      </c>
      <c r="E253" s="5">
        <v>8.77E-2</v>
      </c>
      <c r="F253" s="5">
        <v>7.5800000000000006E-2</v>
      </c>
      <c r="G253" s="5">
        <v>0</v>
      </c>
      <c r="H253" s="5">
        <v>7.3999999999999996E-2</v>
      </c>
      <c r="I253" s="5">
        <v>0</v>
      </c>
      <c r="J253" s="5">
        <v>0</v>
      </c>
      <c r="K253" s="5">
        <v>0</v>
      </c>
      <c r="L253" s="5">
        <v>0</v>
      </c>
      <c r="M253" s="5">
        <v>0</v>
      </c>
      <c r="N253" s="5">
        <v>7.7499999999999999E-2</v>
      </c>
      <c r="O253" s="5">
        <v>6.9199999999999998E-2</v>
      </c>
    </row>
    <row r="254" spans="1:16">
      <c r="A254" t="str">
        <f t="shared" si="3"/>
        <v>CILC1TCP RP</v>
      </c>
      <c r="B254" t="s">
        <v>185</v>
      </c>
      <c r="C254" t="s">
        <v>165</v>
      </c>
      <c r="D254" s="5">
        <v>5.4399999999999997E-2</v>
      </c>
      <c r="E254" s="5">
        <v>8.8999999999999996E-2</v>
      </c>
      <c r="F254" s="5">
        <v>8.1000000000000003E-2</v>
      </c>
      <c r="G254" s="5">
        <v>0</v>
      </c>
      <c r="H254" s="5">
        <v>6.54E-2</v>
      </c>
      <c r="I254" s="5">
        <v>0</v>
      </c>
      <c r="J254" s="5">
        <v>0</v>
      </c>
      <c r="K254" s="5">
        <v>0</v>
      </c>
      <c r="L254" s="5">
        <v>0</v>
      </c>
      <c r="M254" s="5">
        <v>0</v>
      </c>
      <c r="N254" s="5">
        <v>6.5799999999999997E-2</v>
      </c>
      <c r="O254" s="5">
        <v>5.8700000000000002E-2</v>
      </c>
    </row>
    <row r="255" spans="1:16">
      <c r="A255" t="str">
        <f t="shared" si="3"/>
        <v>CILC1TSAMPLE SIZE:</v>
      </c>
      <c r="B255" t="s">
        <v>185</v>
      </c>
      <c r="C255" t="s">
        <v>66</v>
      </c>
    </row>
    <row r="256" spans="1:16">
      <c r="A256" t="str">
        <f t="shared" si="3"/>
        <v>CILC1TGCPSZ</v>
      </c>
      <c r="B256" t="s">
        <v>185</v>
      </c>
      <c r="C256" t="s">
        <v>166</v>
      </c>
      <c r="D256">
        <v>16</v>
      </c>
      <c r="E256">
        <v>15</v>
      </c>
      <c r="F256">
        <v>16</v>
      </c>
      <c r="G256">
        <v>17</v>
      </c>
      <c r="H256">
        <v>16</v>
      </c>
      <c r="I256">
        <v>17</v>
      </c>
      <c r="J256">
        <v>17</v>
      </c>
      <c r="K256">
        <v>17</v>
      </c>
      <c r="L256">
        <v>17</v>
      </c>
      <c r="M256">
        <v>17</v>
      </c>
      <c r="N256">
        <v>16</v>
      </c>
      <c r="O256">
        <v>16</v>
      </c>
      <c r="P256" s="5"/>
    </row>
    <row r="257" spans="1:16">
      <c r="A257" t="str">
        <f t="shared" si="3"/>
        <v>CILC1TGCPSZ ONPK</v>
      </c>
      <c r="B257" t="s">
        <v>185</v>
      </c>
      <c r="C257" t="s">
        <v>167</v>
      </c>
      <c r="D257">
        <v>16</v>
      </c>
      <c r="E257">
        <v>15</v>
      </c>
      <c r="F257">
        <v>16</v>
      </c>
      <c r="G257">
        <v>17</v>
      </c>
      <c r="H257">
        <v>16</v>
      </c>
      <c r="I257">
        <v>17</v>
      </c>
      <c r="J257">
        <v>17</v>
      </c>
      <c r="K257">
        <v>17</v>
      </c>
      <c r="L257">
        <v>17</v>
      </c>
      <c r="M257">
        <v>17</v>
      </c>
      <c r="N257">
        <v>16</v>
      </c>
      <c r="O257">
        <v>16</v>
      </c>
      <c r="P257" s="5"/>
    </row>
    <row r="258" spans="1:16">
      <c r="A258" t="str">
        <f t="shared" si="3"/>
        <v>CILC1TGCPSZ OFFPK</v>
      </c>
      <c r="B258" t="s">
        <v>185</v>
      </c>
      <c r="C258" t="s">
        <v>168</v>
      </c>
      <c r="D258">
        <v>16</v>
      </c>
      <c r="E258">
        <v>15</v>
      </c>
      <c r="F258">
        <v>16</v>
      </c>
      <c r="G258">
        <v>17</v>
      </c>
      <c r="H258">
        <v>16</v>
      </c>
      <c r="I258">
        <v>17</v>
      </c>
      <c r="J258">
        <v>17</v>
      </c>
      <c r="K258">
        <v>17</v>
      </c>
      <c r="L258">
        <v>17</v>
      </c>
      <c r="M258">
        <v>17</v>
      </c>
      <c r="N258">
        <v>16</v>
      </c>
      <c r="O258">
        <v>16</v>
      </c>
    </row>
    <row r="259" spans="1:16">
      <c r="A259" t="str">
        <f t="shared" si="3"/>
        <v>CILC1TCPSZ</v>
      </c>
      <c r="B259" t="s">
        <v>185</v>
      </c>
      <c r="C259" t="s">
        <v>169</v>
      </c>
      <c r="D259">
        <v>16</v>
      </c>
      <c r="E259">
        <v>15</v>
      </c>
      <c r="F259">
        <v>16</v>
      </c>
      <c r="G259">
        <v>17</v>
      </c>
      <c r="H259">
        <v>16</v>
      </c>
      <c r="I259">
        <v>17</v>
      </c>
      <c r="J259">
        <v>17</v>
      </c>
      <c r="K259">
        <v>17</v>
      </c>
      <c r="L259">
        <v>17</v>
      </c>
      <c r="M259">
        <v>17</v>
      </c>
      <c r="N259">
        <v>16</v>
      </c>
      <c r="O259">
        <v>16</v>
      </c>
    </row>
    <row r="260" spans="1:16">
      <c r="A260" t="str">
        <f t="shared" si="3"/>
        <v/>
      </c>
    </row>
    <row r="261" spans="1:16">
      <c r="A261" t="str">
        <f t="shared" si="3"/>
        <v/>
      </c>
    </row>
    <row r="262" spans="1:16">
      <c r="A262" t="str">
        <f t="shared" si="3"/>
        <v/>
      </c>
    </row>
    <row r="263" spans="1:16">
      <c r="A263" t="str">
        <f t="shared" si="3"/>
        <v/>
      </c>
    </row>
    <row r="264" spans="1:16">
      <c r="A264" t="str">
        <f t="shared" si="3"/>
        <v/>
      </c>
    </row>
    <row r="265" spans="1:16">
      <c r="A265" t="str">
        <f t="shared" si="3"/>
        <v/>
      </c>
    </row>
    <row r="266" spans="1:16">
      <c r="A266" t="str">
        <f t="shared" si="3"/>
        <v/>
      </c>
    </row>
    <row r="267" spans="1:16">
      <c r="A267" t="str">
        <f t="shared" si="3"/>
        <v/>
      </c>
    </row>
    <row r="268" spans="1:16">
      <c r="A268" t="str">
        <f t="shared" si="3"/>
        <v/>
      </c>
      <c r="P268" s="1"/>
    </row>
    <row r="269" spans="1:16">
      <c r="A269" t="str">
        <f t="shared" si="3"/>
        <v xml:space="preserve">CNTRFK Wholesale - Contract Rate (FKEC) </v>
      </c>
      <c r="B269" t="s">
        <v>247</v>
      </c>
      <c r="C269" t="s">
        <v>246</v>
      </c>
      <c r="P269" s="5"/>
    </row>
    <row r="270" spans="1:16">
      <c r="A270" t="str">
        <f t="shared" si="3"/>
        <v xml:space="preserve">CNTRFKMONTH </v>
      </c>
      <c r="B270" t="s">
        <v>245</v>
      </c>
      <c r="C270" t="s">
        <v>123</v>
      </c>
      <c r="D270" s="4">
        <v>40909</v>
      </c>
      <c r="E270" s="4">
        <v>40940</v>
      </c>
      <c r="F270" s="4">
        <v>40969</v>
      </c>
      <c r="G270" s="4">
        <v>41000</v>
      </c>
      <c r="H270" s="4">
        <v>41030</v>
      </c>
      <c r="I270" s="4">
        <v>41061</v>
      </c>
      <c r="J270" s="4">
        <v>41091</v>
      </c>
      <c r="K270" s="4">
        <v>41122</v>
      </c>
      <c r="L270" s="4">
        <v>41153</v>
      </c>
      <c r="M270" s="4">
        <v>41183</v>
      </c>
      <c r="N270" s="4">
        <v>41214</v>
      </c>
      <c r="O270" s="4">
        <v>41244</v>
      </c>
      <c r="P270" s="5"/>
    </row>
    <row r="271" spans="1:16">
      <c r="A271" t="str">
        <f t="shared" si="3"/>
        <v xml:space="preserve">CNTRFKCUSTOMERS </v>
      </c>
      <c r="B271" t="s">
        <v>245</v>
      </c>
      <c r="C271" t="s">
        <v>124</v>
      </c>
      <c r="D271">
        <v>3</v>
      </c>
      <c r="E271">
        <v>3</v>
      </c>
      <c r="F271">
        <v>3</v>
      </c>
      <c r="G271">
        <v>3</v>
      </c>
      <c r="H271">
        <v>3</v>
      </c>
      <c r="I271">
        <v>4</v>
      </c>
      <c r="J271">
        <v>4</v>
      </c>
      <c r="K271">
        <v>4</v>
      </c>
      <c r="L271">
        <v>4</v>
      </c>
      <c r="M271">
        <v>4</v>
      </c>
      <c r="N271">
        <v>4</v>
      </c>
      <c r="O271">
        <v>4</v>
      </c>
      <c r="P271" s="5"/>
    </row>
    <row r="272" spans="1:16">
      <c r="A272" t="str">
        <f t="shared" si="3"/>
        <v xml:space="preserve">CNTRFKSALES </v>
      </c>
      <c r="B272" t="s">
        <v>245</v>
      </c>
      <c r="C272" t="s">
        <v>125</v>
      </c>
      <c r="D272">
        <v>56129329</v>
      </c>
      <c r="E272">
        <v>55969779</v>
      </c>
      <c r="F272">
        <v>56754611</v>
      </c>
      <c r="G272">
        <v>64918601</v>
      </c>
      <c r="H272">
        <v>62296913</v>
      </c>
      <c r="I272">
        <v>75993810</v>
      </c>
      <c r="J272">
        <v>79622845</v>
      </c>
      <c r="K272">
        <v>88049119</v>
      </c>
      <c r="L272">
        <v>88321780</v>
      </c>
      <c r="M272">
        <v>76919724</v>
      </c>
      <c r="N272">
        <v>71039401</v>
      </c>
      <c r="O272">
        <v>52889179</v>
      </c>
      <c r="P272" s="5"/>
    </row>
    <row r="273" spans="1:16">
      <c r="A273" t="str">
        <f t="shared" si="3"/>
        <v>CNTRFKKW</v>
      </c>
      <c r="B273" t="s">
        <v>245</v>
      </c>
      <c r="C273" t="s">
        <v>126</v>
      </c>
      <c r="P273" s="5"/>
    </row>
    <row r="274" spans="1:16">
      <c r="A274" t="str">
        <f t="shared" si="3"/>
        <v>CNTRFKN</v>
      </c>
      <c r="B274" t="s">
        <v>245</v>
      </c>
      <c r="C274" t="s">
        <v>127</v>
      </c>
      <c r="D274">
        <v>1</v>
      </c>
      <c r="E274">
        <v>1</v>
      </c>
      <c r="F274">
        <v>1</v>
      </c>
      <c r="G274">
        <v>1</v>
      </c>
      <c r="H274">
        <v>1</v>
      </c>
      <c r="I274">
        <v>1</v>
      </c>
      <c r="J274">
        <v>1</v>
      </c>
      <c r="K274">
        <v>1</v>
      </c>
      <c r="L274">
        <v>1</v>
      </c>
      <c r="M274">
        <v>1</v>
      </c>
      <c r="N274">
        <v>1</v>
      </c>
      <c r="O274">
        <v>1</v>
      </c>
      <c r="P274" s="5"/>
    </row>
    <row r="275" spans="1:16">
      <c r="A275" t="str">
        <f t="shared" si="3"/>
        <v>CNTRFKRLR ENERGY:</v>
      </c>
      <c r="B275" t="s">
        <v>245</v>
      </c>
      <c r="C275" t="s">
        <v>61</v>
      </c>
      <c r="P275" s="5"/>
    </row>
    <row r="276" spans="1:16">
      <c r="A276" t="str">
        <f t="shared" si="3"/>
        <v>CNTRFKKWH</v>
      </c>
      <c r="B276" t="s">
        <v>245</v>
      </c>
      <c r="C276" t="s">
        <v>128</v>
      </c>
      <c r="D276">
        <v>50700167</v>
      </c>
      <c r="E276">
        <v>52001391</v>
      </c>
      <c r="F276">
        <v>59426613</v>
      </c>
      <c r="G276">
        <v>56812768</v>
      </c>
      <c r="H276">
        <v>65761789</v>
      </c>
      <c r="I276">
        <v>69686606</v>
      </c>
      <c r="J276">
        <v>77142427</v>
      </c>
      <c r="K276">
        <v>77510269</v>
      </c>
      <c r="L276">
        <v>67199957</v>
      </c>
      <c r="M276">
        <v>62223980</v>
      </c>
      <c r="N276">
        <v>45468804</v>
      </c>
      <c r="O276">
        <v>52971707</v>
      </c>
      <c r="P276" s="5"/>
    </row>
    <row r="277" spans="1:16">
      <c r="A277" t="str">
        <f t="shared" si="3"/>
        <v>CNTRFKKWH ONPK</v>
      </c>
      <c r="B277" t="s">
        <v>245</v>
      </c>
      <c r="C277" t="s">
        <v>129</v>
      </c>
      <c r="D277">
        <v>12416321</v>
      </c>
      <c r="E277">
        <v>13233387</v>
      </c>
      <c r="F277">
        <v>14425756</v>
      </c>
      <c r="G277">
        <v>18247992</v>
      </c>
      <c r="H277">
        <v>20703989</v>
      </c>
      <c r="I277">
        <v>21594726</v>
      </c>
      <c r="J277">
        <v>23499464</v>
      </c>
      <c r="K277">
        <v>26093239</v>
      </c>
      <c r="L277">
        <v>18882517</v>
      </c>
      <c r="M277">
        <v>20483711</v>
      </c>
      <c r="N277">
        <v>11229136</v>
      </c>
      <c r="O277">
        <v>12063256</v>
      </c>
      <c r="P277" s="5"/>
    </row>
    <row r="278" spans="1:16">
      <c r="A278" t="str">
        <f t="shared" si="3"/>
        <v>CNTRFKKWH OFFPK</v>
      </c>
      <c r="B278" t="s">
        <v>245</v>
      </c>
      <c r="C278" t="s">
        <v>130</v>
      </c>
      <c r="D278">
        <v>38283846</v>
      </c>
      <c r="E278">
        <v>38768004</v>
      </c>
      <c r="F278">
        <v>45000857</v>
      </c>
      <c r="G278">
        <v>38564776</v>
      </c>
      <c r="H278">
        <v>45057799</v>
      </c>
      <c r="I278">
        <v>48091880</v>
      </c>
      <c r="J278">
        <v>53642963</v>
      </c>
      <c r="K278">
        <v>51417030</v>
      </c>
      <c r="L278">
        <v>48317440</v>
      </c>
      <c r="M278">
        <v>41740269</v>
      </c>
      <c r="N278">
        <v>34239669</v>
      </c>
      <c r="O278">
        <v>40908450</v>
      </c>
    </row>
    <row r="279" spans="1:16">
      <c r="A279" t="str">
        <f t="shared" si="3"/>
        <v>CNTRFKKWH ONPK%</v>
      </c>
      <c r="B279" t="s">
        <v>245</v>
      </c>
      <c r="C279" t="s">
        <v>131</v>
      </c>
      <c r="D279" s="5">
        <v>0.24490000000000001</v>
      </c>
      <c r="E279" s="5">
        <v>0.25447999999999998</v>
      </c>
      <c r="F279" s="5">
        <v>0.24274999999999999</v>
      </c>
      <c r="G279" s="5">
        <v>0.32119999999999999</v>
      </c>
      <c r="H279" s="5">
        <v>0.31483</v>
      </c>
      <c r="I279" s="5">
        <v>0.30987999999999999</v>
      </c>
      <c r="J279" s="5">
        <v>0.30462</v>
      </c>
      <c r="K279" s="5">
        <v>0.33663999999999999</v>
      </c>
      <c r="L279" s="5">
        <v>0.28099000000000002</v>
      </c>
      <c r="M279" s="5">
        <v>0.32918999999999998</v>
      </c>
      <c r="N279" s="5">
        <v>0.24696000000000001</v>
      </c>
      <c r="O279" s="5">
        <v>0.22772999999999999</v>
      </c>
      <c r="P279" s="5"/>
    </row>
    <row r="280" spans="1:16">
      <c r="A280" t="str">
        <f t="shared" si="3"/>
        <v>CNTRFKKWH OFFPK%</v>
      </c>
      <c r="B280" t="s">
        <v>245</v>
      </c>
      <c r="C280" t="s">
        <v>132</v>
      </c>
      <c r="D280" s="5">
        <v>0.75509999999999999</v>
      </c>
      <c r="E280" s="5">
        <v>0.74551999999999996</v>
      </c>
      <c r="F280" s="5">
        <v>0.75724999999999998</v>
      </c>
      <c r="G280" s="5">
        <v>0.67879999999999996</v>
      </c>
      <c r="H280" s="5">
        <v>0.68516999999999995</v>
      </c>
      <c r="I280" s="5">
        <v>0.69011999999999996</v>
      </c>
      <c r="J280" s="5">
        <v>0.69538</v>
      </c>
      <c r="K280" s="5">
        <v>0.66335999999999995</v>
      </c>
      <c r="L280" s="5">
        <v>0.71901000000000004</v>
      </c>
      <c r="M280" s="5">
        <v>0.67081000000000002</v>
      </c>
      <c r="N280" s="5">
        <v>0.75304000000000004</v>
      </c>
      <c r="O280" s="5">
        <v>0.77227000000000001</v>
      </c>
      <c r="P280" s="5"/>
    </row>
    <row r="281" spans="1:16">
      <c r="A281" t="str">
        <f t="shared" si="3"/>
        <v>CNTRFKDEMAND (KW):</v>
      </c>
      <c r="B281" t="s">
        <v>245</v>
      </c>
      <c r="C281" t="s">
        <v>62</v>
      </c>
      <c r="P281" s="5"/>
    </row>
    <row r="282" spans="1:16">
      <c r="A282" t="str">
        <f t="shared" si="3"/>
        <v>CNTRFKNCP</v>
      </c>
      <c r="B282" t="s">
        <v>245</v>
      </c>
      <c r="C282" t="s">
        <v>133</v>
      </c>
      <c r="D282">
        <v>102096</v>
      </c>
      <c r="E282">
        <v>111487</v>
      </c>
      <c r="F282">
        <v>112607</v>
      </c>
      <c r="G282">
        <v>126051</v>
      </c>
      <c r="H282">
        <v>135351</v>
      </c>
      <c r="I282">
        <v>137906</v>
      </c>
      <c r="J282">
        <v>148604</v>
      </c>
      <c r="K282">
        <v>144516</v>
      </c>
      <c r="L282">
        <v>135020</v>
      </c>
      <c r="M282">
        <v>125289</v>
      </c>
      <c r="N282">
        <v>86408</v>
      </c>
      <c r="O282">
        <v>111909</v>
      </c>
      <c r="P282" s="5"/>
    </row>
    <row r="283" spans="1:16">
      <c r="A283" t="str">
        <f t="shared" si="3"/>
        <v>CNTRFKNCP ONPK</v>
      </c>
      <c r="B283" t="s">
        <v>245</v>
      </c>
      <c r="C283" t="s">
        <v>134</v>
      </c>
      <c r="D283">
        <v>102096</v>
      </c>
      <c r="E283">
        <v>107003</v>
      </c>
      <c r="F283">
        <v>104613</v>
      </c>
      <c r="G283">
        <v>126051</v>
      </c>
      <c r="H283">
        <v>129326</v>
      </c>
      <c r="I283">
        <v>137847</v>
      </c>
      <c r="J283">
        <v>148604</v>
      </c>
      <c r="K283">
        <v>143829</v>
      </c>
      <c r="L283">
        <v>127756</v>
      </c>
      <c r="M283">
        <v>125289</v>
      </c>
      <c r="N283">
        <v>84874</v>
      </c>
      <c r="O283">
        <v>105265</v>
      </c>
      <c r="P283" s="5"/>
    </row>
    <row r="284" spans="1:16">
      <c r="A284" t="str">
        <f t="shared" si="3"/>
        <v>CNTRFKNCP OFFPK</v>
      </c>
      <c r="B284" t="s">
        <v>245</v>
      </c>
      <c r="C284" t="s">
        <v>135</v>
      </c>
      <c r="D284">
        <v>96636</v>
      </c>
      <c r="E284">
        <v>111487</v>
      </c>
      <c r="F284">
        <v>112607</v>
      </c>
      <c r="G284">
        <v>116503</v>
      </c>
      <c r="H284">
        <v>135351</v>
      </c>
      <c r="I284">
        <v>137906</v>
      </c>
      <c r="J284">
        <v>144986</v>
      </c>
      <c r="K284">
        <v>144516</v>
      </c>
      <c r="L284">
        <v>135020</v>
      </c>
      <c r="M284">
        <v>125288</v>
      </c>
      <c r="N284">
        <v>86408</v>
      </c>
      <c r="O284">
        <v>111909</v>
      </c>
      <c r="P284" s="5"/>
    </row>
    <row r="285" spans="1:16">
      <c r="A285" t="str">
        <f t="shared" si="3"/>
        <v>CNTRFKGCP DATE</v>
      </c>
      <c r="B285" t="s">
        <v>245</v>
      </c>
      <c r="C285" t="s">
        <v>136</v>
      </c>
      <c r="D285" t="s">
        <v>924</v>
      </c>
      <c r="E285" t="s">
        <v>925</v>
      </c>
      <c r="F285" t="s">
        <v>190</v>
      </c>
      <c r="G285" t="s">
        <v>926</v>
      </c>
      <c r="H285" t="s">
        <v>927</v>
      </c>
      <c r="I285" t="s">
        <v>928</v>
      </c>
      <c r="J285" t="s">
        <v>236</v>
      </c>
      <c r="K285" t="s">
        <v>192</v>
      </c>
      <c r="L285" t="s">
        <v>929</v>
      </c>
      <c r="M285" t="s">
        <v>212</v>
      </c>
      <c r="N285" t="s">
        <v>25</v>
      </c>
      <c r="O285" t="s">
        <v>266</v>
      </c>
      <c r="P285" s="5"/>
    </row>
    <row r="286" spans="1:16">
      <c r="A286" t="str">
        <f t="shared" si="3"/>
        <v>CNTRFKGCP TIME</v>
      </c>
      <c r="B286" t="s">
        <v>245</v>
      </c>
      <c r="C286" t="s">
        <v>142</v>
      </c>
      <c r="D286" t="s">
        <v>194</v>
      </c>
      <c r="E286" t="s">
        <v>195</v>
      </c>
      <c r="F286" t="s">
        <v>195</v>
      </c>
      <c r="G286" t="s">
        <v>195</v>
      </c>
      <c r="H286" t="s">
        <v>196</v>
      </c>
      <c r="I286" t="s">
        <v>196</v>
      </c>
      <c r="J286" t="s">
        <v>195</v>
      </c>
      <c r="K286" t="s">
        <v>196</v>
      </c>
      <c r="L286" t="s">
        <v>196</v>
      </c>
      <c r="M286" t="s">
        <v>145</v>
      </c>
      <c r="N286" t="s">
        <v>145</v>
      </c>
      <c r="O286" t="s">
        <v>193</v>
      </c>
    </row>
    <row r="287" spans="1:16">
      <c r="A287" t="str">
        <f t="shared" si="3"/>
        <v>CNTRFKGCP</v>
      </c>
      <c r="B287" t="s">
        <v>245</v>
      </c>
      <c r="C287" t="s">
        <v>147</v>
      </c>
      <c r="D287">
        <v>102096</v>
      </c>
      <c r="E287">
        <v>111487</v>
      </c>
      <c r="F287">
        <v>112607</v>
      </c>
      <c r="G287">
        <v>126051</v>
      </c>
      <c r="H287">
        <v>135351</v>
      </c>
      <c r="I287">
        <v>137906</v>
      </c>
      <c r="J287">
        <v>148604</v>
      </c>
      <c r="K287">
        <v>144516</v>
      </c>
      <c r="L287">
        <v>135020</v>
      </c>
      <c r="M287">
        <v>125289</v>
      </c>
      <c r="N287">
        <v>86408</v>
      </c>
      <c r="O287">
        <v>111909</v>
      </c>
    </row>
    <row r="288" spans="1:16">
      <c r="A288" t="str">
        <f t="shared" si="3"/>
        <v>CNTRFKGCP ONPK</v>
      </c>
      <c r="B288" t="s">
        <v>245</v>
      </c>
      <c r="C288" t="s">
        <v>63</v>
      </c>
      <c r="D288">
        <v>102096</v>
      </c>
      <c r="E288">
        <v>107003</v>
      </c>
      <c r="F288">
        <v>104613</v>
      </c>
      <c r="G288">
        <v>126051</v>
      </c>
      <c r="H288">
        <v>129326</v>
      </c>
      <c r="I288">
        <v>137847</v>
      </c>
      <c r="J288">
        <v>148604</v>
      </c>
      <c r="K288">
        <v>143829</v>
      </c>
      <c r="L288">
        <v>127756</v>
      </c>
      <c r="M288">
        <v>125289</v>
      </c>
      <c r="N288">
        <v>84874</v>
      </c>
      <c r="O288">
        <v>105265</v>
      </c>
    </row>
    <row r="289" spans="1:16">
      <c r="A289" t="str">
        <f t="shared" si="3"/>
        <v>CNTRFKGCP OFFPK</v>
      </c>
      <c r="B289" t="s">
        <v>245</v>
      </c>
      <c r="C289" t="s">
        <v>64</v>
      </c>
      <c r="D289">
        <v>96636</v>
      </c>
      <c r="E289">
        <v>111487</v>
      </c>
      <c r="F289">
        <v>112607</v>
      </c>
      <c r="G289">
        <v>116503</v>
      </c>
      <c r="H289">
        <v>135351</v>
      </c>
      <c r="I289">
        <v>137906</v>
      </c>
      <c r="J289">
        <v>144986</v>
      </c>
      <c r="K289">
        <v>144516</v>
      </c>
      <c r="L289">
        <v>135020</v>
      </c>
      <c r="M289">
        <v>125288</v>
      </c>
      <c r="N289">
        <v>86408</v>
      </c>
      <c r="O289">
        <v>111909</v>
      </c>
    </row>
    <row r="290" spans="1:16">
      <c r="A290" t="str">
        <f t="shared" si="3"/>
        <v>CNTRFKCP</v>
      </c>
      <c r="B290" t="s">
        <v>245</v>
      </c>
      <c r="C290" t="s">
        <v>148</v>
      </c>
      <c r="D290">
        <v>97571</v>
      </c>
      <c r="E290">
        <v>110218</v>
      </c>
      <c r="F290">
        <v>103301</v>
      </c>
      <c r="G290">
        <v>117445</v>
      </c>
      <c r="H290">
        <v>123481</v>
      </c>
      <c r="I290">
        <v>121995</v>
      </c>
      <c r="J290">
        <v>145446</v>
      </c>
      <c r="K290">
        <v>143143</v>
      </c>
      <c r="L290">
        <v>134477</v>
      </c>
      <c r="M290">
        <v>125289</v>
      </c>
      <c r="N290">
        <v>84874</v>
      </c>
      <c r="O290">
        <v>99138</v>
      </c>
    </row>
    <row r="291" spans="1:16">
      <c r="A291" t="str">
        <f t="shared" si="3"/>
        <v>CNTRFKPERIOD START</v>
      </c>
      <c r="B291" t="s">
        <v>245</v>
      </c>
      <c r="C291" t="s">
        <v>149</v>
      </c>
      <c r="D291" s="1">
        <v>40909</v>
      </c>
      <c r="E291" s="1">
        <v>40940</v>
      </c>
      <c r="F291" s="1">
        <v>40969</v>
      </c>
      <c r="G291" s="1">
        <v>41000</v>
      </c>
      <c r="H291" s="1">
        <v>41030</v>
      </c>
      <c r="I291" s="1">
        <v>41061</v>
      </c>
      <c r="J291" s="1">
        <v>41091</v>
      </c>
      <c r="K291" s="1">
        <v>41122</v>
      </c>
      <c r="L291" s="1">
        <v>41153</v>
      </c>
      <c r="M291" s="1">
        <v>41183</v>
      </c>
      <c r="N291" s="1">
        <v>41214</v>
      </c>
      <c r="O291" s="1">
        <v>41244</v>
      </c>
    </row>
    <row r="292" spans="1:16">
      <c r="A292" t="str">
        <f t="shared" si="3"/>
        <v>CNTRFKNCP LF</v>
      </c>
      <c r="B292" t="s">
        <v>245</v>
      </c>
      <c r="C292" t="s">
        <v>150</v>
      </c>
      <c r="D292" s="5">
        <v>0.66749999999999998</v>
      </c>
      <c r="E292" s="5">
        <v>0.67020000000000002</v>
      </c>
      <c r="F292" s="5">
        <v>0.71030000000000004</v>
      </c>
      <c r="G292" s="5">
        <v>0.626</v>
      </c>
      <c r="H292" s="5">
        <v>0.65300000000000002</v>
      </c>
      <c r="I292" s="5">
        <v>0.70179999999999998</v>
      </c>
      <c r="J292" s="5">
        <v>0.69769999999999999</v>
      </c>
      <c r="K292" s="5">
        <v>0.72089999999999999</v>
      </c>
      <c r="L292" s="5">
        <v>0.69130000000000003</v>
      </c>
      <c r="M292" s="5">
        <v>0.66749999999999998</v>
      </c>
      <c r="N292" s="5">
        <v>0.73080000000000001</v>
      </c>
      <c r="O292" s="5">
        <v>0.63619999999999999</v>
      </c>
    </row>
    <row r="293" spans="1:16">
      <c r="A293" t="str">
        <f t="shared" si="3"/>
        <v>CNTRFKNCP LF ONPK</v>
      </c>
      <c r="B293" t="s">
        <v>245</v>
      </c>
      <c r="C293" t="s">
        <v>151</v>
      </c>
      <c r="D293" s="5">
        <v>0.72389999999999999</v>
      </c>
      <c r="E293" s="5">
        <v>0.73609999999999998</v>
      </c>
      <c r="F293" s="5">
        <v>0.78349999999999997</v>
      </c>
      <c r="G293" s="5">
        <v>0.76600000000000001</v>
      </c>
      <c r="H293" s="5">
        <v>0.8085</v>
      </c>
      <c r="I293" s="5">
        <v>0.82889999999999997</v>
      </c>
      <c r="J293" s="5">
        <v>0.8367</v>
      </c>
      <c r="K293" s="5">
        <v>0.87639999999999996</v>
      </c>
      <c r="L293" s="5">
        <v>0.86429999999999996</v>
      </c>
      <c r="M293" s="5">
        <v>0.78979999999999995</v>
      </c>
      <c r="N293" s="5">
        <v>0.78749999999999998</v>
      </c>
      <c r="O293" s="5">
        <v>0.71619999999999995</v>
      </c>
      <c r="P293" s="4"/>
    </row>
    <row r="294" spans="1:16">
      <c r="A294" t="str">
        <f t="shared" si="3"/>
        <v>CNTRFKNCP LF OFFPK</v>
      </c>
      <c r="B294" t="s">
        <v>245</v>
      </c>
      <c r="C294" t="s">
        <v>152</v>
      </c>
      <c r="D294" s="5">
        <v>0.68779999999999997</v>
      </c>
      <c r="E294" s="5">
        <v>0.65859999999999996</v>
      </c>
      <c r="F294" s="5">
        <v>0.70479999999999998</v>
      </c>
      <c r="G294" s="5">
        <v>0.62339999999999995</v>
      </c>
      <c r="H294" s="5">
        <v>0.60970000000000002</v>
      </c>
      <c r="I294" s="5">
        <v>0.65669999999999995</v>
      </c>
      <c r="J294" s="5">
        <v>0.66659999999999997</v>
      </c>
      <c r="K294" s="5">
        <v>0.66249999999999998</v>
      </c>
      <c r="L294" s="5">
        <v>0.65180000000000005</v>
      </c>
      <c r="M294" s="5">
        <v>0.62039999999999995</v>
      </c>
      <c r="N294" s="5">
        <v>0.71789999999999998</v>
      </c>
      <c r="O294" s="5">
        <v>0.62590000000000001</v>
      </c>
    </row>
    <row r="295" spans="1:16">
      <c r="A295" t="str">
        <f t="shared" si="3"/>
        <v>CNTRFKGCP CF</v>
      </c>
      <c r="B295" t="s">
        <v>245</v>
      </c>
      <c r="C295" t="s">
        <v>153</v>
      </c>
      <c r="D295" s="5">
        <v>1</v>
      </c>
      <c r="E295" s="5">
        <v>1</v>
      </c>
      <c r="F295" s="5">
        <v>1</v>
      </c>
      <c r="G295" s="5">
        <v>1</v>
      </c>
      <c r="H295" s="5">
        <v>1</v>
      </c>
      <c r="I295" s="5">
        <v>1</v>
      </c>
      <c r="J295" s="5">
        <v>1</v>
      </c>
      <c r="K295" s="5">
        <v>1</v>
      </c>
      <c r="L295" s="5">
        <v>1</v>
      </c>
      <c r="M295" s="5">
        <v>1</v>
      </c>
      <c r="N295" s="5">
        <v>1</v>
      </c>
      <c r="O295" s="5">
        <v>1</v>
      </c>
    </row>
    <row r="296" spans="1:16">
      <c r="A296" t="str">
        <f t="shared" si="3"/>
        <v>CNTRFKCP CF</v>
      </c>
      <c r="B296" t="s">
        <v>245</v>
      </c>
      <c r="C296" t="s">
        <v>154</v>
      </c>
      <c r="D296" s="5">
        <v>0.95569999999999999</v>
      </c>
      <c r="E296" s="5">
        <v>0.98860000000000003</v>
      </c>
      <c r="F296" s="5">
        <v>0.91739999999999999</v>
      </c>
      <c r="G296" s="5">
        <v>0.93169999999999997</v>
      </c>
      <c r="H296" s="5">
        <v>0.9123</v>
      </c>
      <c r="I296" s="5">
        <v>0.88460000000000005</v>
      </c>
      <c r="J296" s="5">
        <v>0.97870000000000001</v>
      </c>
      <c r="K296" s="5">
        <v>0.99050000000000005</v>
      </c>
      <c r="L296" s="5">
        <v>0.996</v>
      </c>
      <c r="M296" s="5">
        <v>1</v>
      </c>
      <c r="N296" s="5">
        <v>0.98219999999999996</v>
      </c>
      <c r="O296" s="5">
        <v>0.88590000000000002</v>
      </c>
    </row>
    <row r="297" spans="1:16">
      <c r="A297" t="str">
        <f t="shared" si="3"/>
        <v>CNTRFKGCP LF</v>
      </c>
      <c r="B297" t="s">
        <v>245</v>
      </c>
      <c r="C297" t="s">
        <v>155</v>
      </c>
      <c r="D297" s="5">
        <v>0.66749999999999998</v>
      </c>
      <c r="E297" s="5">
        <v>0.67020000000000002</v>
      </c>
      <c r="F297" s="5">
        <v>0.71030000000000004</v>
      </c>
      <c r="G297" s="5">
        <v>0.626</v>
      </c>
      <c r="H297" s="5">
        <v>0.65300000000000002</v>
      </c>
      <c r="I297" s="5">
        <v>0.70179999999999998</v>
      </c>
      <c r="J297" s="5">
        <v>0.69769999999999999</v>
      </c>
      <c r="K297" s="5">
        <v>0.72089999999999999</v>
      </c>
      <c r="L297" s="5">
        <v>0.69130000000000003</v>
      </c>
      <c r="M297" s="5">
        <v>0.66749999999999998</v>
      </c>
      <c r="N297" s="5">
        <v>0.73080000000000001</v>
      </c>
      <c r="O297" s="5">
        <v>0.63619999999999999</v>
      </c>
    </row>
    <row r="298" spans="1:16">
      <c r="A298" t="str">
        <f t="shared" si="3"/>
        <v>CNTRFKGCP LF ONPK</v>
      </c>
      <c r="B298" t="s">
        <v>245</v>
      </c>
      <c r="C298" t="s">
        <v>156</v>
      </c>
      <c r="D298" s="5">
        <v>0.72389999999999999</v>
      </c>
      <c r="E298" s="5">
        <v>0.73609999999999998</v>
      </c>
      <c r="F298" s="5">
        <v>0.78349999999999997</v>
      </c>
      <c r="G298" s="5">
        <v>0.76600000000000001</v>
      </c>
      <c r="H298" s="5">
        <v>0.8085</v>
      </c>
      <c r="I298" s="5">
        <v>0.82889999999999997</v>
      </c>
      <c r="J298" s="5">
        <v>0.8367</v>
      </c>
      <c r="K298" s="5">
        <v>0.87639999999999996</v>
      </c>
      <c r="L298" s="5">
        <v>0.86429999999999996</v>
      </c>
      <c r="M298" s="5">
        <v>0.78979999999999995</v>
      </c>
      <c r="N298" s="5">
        <v>0.78749999999999998</v>
      </c>
      <c r="O298" s="5">
        <v>0.71619999999999995</v>
      </c>
    </row>
    <row r="299" spans="1:16">
      <c r="A299" t="str">
        <f t="shared" si="3"/>
        <v>CNTRFKGCP LF OFFPK</v>
      </c>
      <c r="B299" t="s">
        <v>245</v>
      </c>
      <c r="C299" t="s">
        <v>157</v>
      </c>
      <c r="D299" s="5">
        <v>0.68779999999999997</v>
      </c>
      <c r="E299" s="5">
        <v>0.65859999999999996</v>
      </c>
      <c r="F299" s="5">
        <v>0.70479999999999998</v>
      </c>
      <c r="G299" s="5">
        <v>0.62339999999999995</v>
      </c>
      <c r="H299" s="5">
        <v>0.60970000000000002</v>
      </c>
      <c r="I299" s="5">
        <v>0.65669999999999995</v>
      </c>
      <c r="J299" s="5">
        <v>0.66659999999999997</v>
      </c>
      <c r="K299" s="5">
        <v>0.66249999999999998</v>
      </c>
      <c r="L299" s="5">
        <v>0.65180000000000005</v>
      </c>
      <c r="M299" s="5">
        <v>0.62039999999999995</v>
      </c>
      <c r="N299" s="5">
        <v>0.71789999999999998</v>
      </c>
      <c r="O299" s="5">
        <v>0.62590000000000001</v>
      </c>
    </row>
    <row r="300" spans="1:16">
      <c r="A300" t="str">
        <f t="shared" si="3"/>
        <v>CNTRFKCP LF</v>
      </c>
      <c r="B300" t="s">
        <v>245</v>
      </c>
      <c r="C300" t="s">
        <v>158</v>
      </c>
      <c r="D300" s="5">
        <v>0.69840000000000002</v>
      </c>
      <c r="E300" s="5">
        <v>0.67789999999999995</v>
      </c>
      <c r="F300" s="5">
        <v>0.77429999999999999</v>
      </c>
      <c r="G300" s="5">
        <v>0.67190000000000005</v>
      </c>
      <c r="H300" s="5">
        <v>0.71579999999999999</v>
      </c>
      <c r="I300" s="5">
        <v>0.79339999999999999</v>
      </c>
      <c r="J300" s="5">
        <v>0.71289999999999998</v>
      </c>
      <c r="K300" s="5">
        <v>0.7278</v>
      </c>
      <c r="L300" s="5">
        <v>0.69399999999999995</v>
      </c>
      <c r="M300" s="5">
        <v>0.66749999999999998</v>
      </c>
      <c r="N300" s="5">
        <v>0.74409999999999998</v>
      </c>
      <c r="O300" s="5">
        <v>0.71819999999999995</v>
      </c>
    </row>
    <row r="301" spans="1:16">
      <c r="A301" t="str">
        <f t="shared" si="3"/>
        <v>CNTRFKREL PREC:</v>
      </c>
      <c r="B301" t="s">
        <v>245</v>
      </c>
      <c r="C301" t="s">
        <v>65</v>
      </c>
    </row>
    <row r="302" spans="1:16">
      <c r="A302" t="str">
        <f t="shared" si="3"/>
        <v>CNTRFKNCP RP</v>
      </c>
      <c r="B302" t="s">
        <v>245</v>
      </c>
      <c r="C302" t="s">
        <v>159</v>
      </c>
      <c r="D302" s="5">
        <v>0</v>
      </c>
      <c r="E302" s="5">
        <v>0</v>
      </c>
      <c r="F302" s="5">
        <v>0</v>
      </c>
      <c r="G302" s="5">
        <v>0</v>
      </c>
      <c r="H302" s="5">
        <v>0</v>
      </c>
      <c r="I302" s="5">
        <v>0</v>
      </c>
      <c r="J302" s="5">
        <v>0</v>
      </c>
      <c r="K302" s="5">
        <v>0</v>
      </c>
      <c r="L302" s="5">
        <v>0</v>
      </c>
      <c r="M302" s="5">
        <v>0</v>
      </c>
      <c r="N302" s="5">
        <v>0</v>
      </c>
      <c r="O302" s="5">
        <v>0</v>
      </c>
      <c r="P302" s="5"/>
    </row>
    <row r="303" spans="1:16">
      <c r="A303" t="str">
        <f t="shared" si="3"/>
        <v>CNTRFKNCP RP ONPK</v>
      </c>
      <c r="B303" t="s">
        <v>245</v>
      </c>
      <c r="C303" t="s">
        <v>160</v>
      </c>
      <c r="D303" s="5">
        <v>0</v>
      </c>
      <c r="E303" s="5">
        <v>0</v>
      </c>
      <c r="F303" s="5">
        <v>0</v>
      </c>
      <c r="G303" s="5">
        <v>0</v>
      </c>
      <c r="H303" s="5">
        <v>0</v>
      </c>
      <c r="I303" s="5">
        <v>0</v>
      </c>
      <c r="J303" s="5">
        <v>0</v>
      </c>
      <c r="K303" s="5">
        <v>0</v>
      </c>
      <c r="L303" s="5">
        <v>0</v>
      </c>
      <c r="M303" s="5">
        <v>0</v>
      </c>
      <c r="N303" s="5">
        <v>0</v>
      </c>
      <c r="O303" s="5">
        <v>0</v>
      </c>
      <c r="P303" s="5"/>
    </row>
    <row r="304" spans="1:16">
      <c r="A304" t="str">
        <f t="shared" si="3"/>
        <v>CNTRFKNCP RP OFFPK</v>
      </c>
      <c r="B304" t="s">
        <v>245</v>
      </c>
      <c r="C304" t="s">
        <v>161</v>
      </c>
      <c r="D304" s="5">
        <v>0</v>
      </c>
      <c r="E304" s="5">
        <v>0</v>
      </c>
      <c r="F304" s="5">
        <v>0</v>
      </c>
      <c r="G304" s="5">
        <v>0</v>
      </c>
      <c r="H304" s="5">
        <v>0</v>
      </c>
      <c r="I304" s="5">
        <v>0</v>
      </c>
      <c r="J304" s="5">
        <v>0</v>
      </c>
      <c r="K304" s="5">
        <v>0</v>
      </c>
      <c r="L304" s="5">
        <v>0</v>
      </c>
      <c r="M304" s="5">
        <v>0</v>
      </c>
      <c r="N304" s="5">
        <v>0</v>
      </c>
      <c r="O304" s="5">
        <v>0</v>
      </c>
    </row>
    <row r="305" spans="1:16">
      <c r="A305" t="str">
        <f t="shared" si="3"/>
        <v>CNTRFKGCP RP</v>
      </c>
      <c r="B305" t="s">
        <v>245</v>
      </c>
      <c r="C305" t="s">
        <v>162</v>
      </c>
      <c r="D305" s="5">
        <v>0</v>
      </c>
      <c r="E305" s="5">
        <v>0</v>
      </c>
      <c r="F305" s="5">
        <v>0</v>
      </c>
      <c r="G305" s="5">
        <v>0</v>
      </c>
      <c r="H305" s="5">
        <v>0</v>
      </c>
      <c r="I305" s="5">
        <v>0</v>
      </c>
      <c r="J305" s="5">
        <v>0</v>
      </c>
      <c r="K305" s="5">
        <v>0</v>
      </c>
      <c r="L305" s="5">
        <v>0</v>
      </c>
      <c r="M305" s="5">
        <v>0</v>
      </c>
      <c r="N305" s="5">
        <v>0</v>
      </c>
      <c r="O305" s="5">
        <v>0</v>
      </c>
    </row>
    <row r="306" spans="1:16">
      <c r="A306" t="str">
        <f t="shared" si="3"/>
        <v>CNTRFKGCP RP ONPK</v>
      </c>
      <c r="B306" t="s">
        <v>245</v>
      </c>
      <c r="C306" t="s">
        <v>163</v>
      </c>
      <c r="D306" s="5">
        <v>0</v>
      </c>
      <c r="E306" s="5">
        <v>0</v>
      </c>
      <c r="F306" s="5">
        <v>0</v>
      </c>
      <c r="G306" s="5">
        <v>0</v>
      </c>
      <c r="H306" s="5">
        <v>0</v>
      </c>
      <c r="I306" s="5">
        <v>0</v>
      </c>
      <c r="J306" s="5">
        <v>0</v>
      </c>
      <c r="K306" s="5">
        <v>0</v>
      </c>
      <c r="L306" s="5">
        <v>0</v>
      </c>
      <c r="M306" s="5">
        <v>0</v>
      </c>
      <c r="N306" s="5">
        <v>0</v>
      </c>
      <c r="O306" s="5">
        <v>0</v>
      </c>
    </row>
    <row r="307" spans="1:16">
      <c r="A307" t="str">
        <f t="shared" si="3"/>
        <v>CNTRFKGCP RP OFFPK</v>
      </c>
      <c r="B307" t="s">
        <v>245</v>
      </c>
      <c r="C307" t="s">
        <v>164</v>
      </c>
      <c r="D307" s="5">
        <v>0</v>
      </c>
      <c r="E307" s="5">
        <v>0</v>
      </c>
      <c r="F307" s="5">
        <v>0</v>
      </c>
      <c r="G307" s="5">
        <v>0</v>
      </c>
      <c r="H307" s="5">
        <v>0</v>
      </c>
      <c r="I307" s="5">
        <v>0</v>
      </c>
      <c r="J307" s="5">
        <v>0</v>
      </c>
      <c r="K307" s="5">
        <v>0</v>
      </c>
      <c r="L307" s="5">
        <v>0</v>
      </c>
      <c r="M307" s="5">
        <v>0</v>
      </c>
      <c r="N307" s="5">
        <v>0</v>
      </c>
      <c r="O307" s="5">
        <v>0</v>
      </c>
    </row>
    <row r="308" spans="1:16">
      <c r="A308" t="str">
        <f t="shared" si="3"/>
        <v>CNTRFKCP RP</v>
      </c>
      <c r="B308" t="s">
        <v>245</v>
      </c>
      <c r="C308" t="s">
        <v>165</v>
      </c>
      <c r="D308" s="5">
        <v>0</v>
      </c>
      <c r="E308" s="5">
        <v>0</v>
      </c>
      <c r="F308" s="5">
        <v>0</v>
      </c>
      <c r="G308" s="5">
        <v>0</v>
      </c>
      <c r="H308" s="5">
        <v>0</v>
      </c>
      <c r="I308" s="5">
        <v>0</v>
      </c>
      <c r="J308" s="5">
        <v>0</v>
      </c>
      <c r="K308" s="5">
        <v>0</v>
      </c>
      <c r="L308" s="5">
        <v>0</v>
      </c>
      <c r="M308" s="5">
        <v>0</v>
      </c>
      <c r="N308" s="5">
        <v>0</v>
      </c>
      <c r="O308" s="5">
        <v>0</v>
      </c>
    </row>
    <row r="309" spans="1:16">
      <c r="A309" t="str">
        <f t="shared" si="3"/>
        <v>CNTRFKSAMPLE SIZE:</v>
      </c>
      <c r="B309" t="s">
        <v>245</v>
      </c>
      <c r="C309" t="s">
        <v>66</v>
      </c>
    </row>
    <row r="310" spans="1:16">
      <c r="A310" t="str">
        <f t="shared" ref="A310:A373" si="4">B310&amp;C310</f>
        <v>CNTRFKGCPSZ</v>
      </c>
      <c r="B310" t="s">
        <v>245</v>
      </c>
      <c r="C310" t="s">
        <v>166</v>
      </c>
      <c r="D310">
        <v>1</v>
      </c>
      <c r="E310">
        <v>1</v>
      </c>
      <c r="F310">
        <v>1</v>
      </c>
      <c r="G310">
        <v>1</v>
      </c>
      <c r="H310">
        <v>1</v>
      </c>
      <c r="I310">
        <v>1</v>
      </c>
      <c r="J310">
        <v>1</v>
      </c>
      <c r="K310">
        <v>1</v>
      </c>
      <c r="L310">
        <v>1</v>
      </c>
      <c r="M310">
        <v>1</v>
      </c>
      <c r="N310">
        <v>1</v>
      </c>
      <c r="O310">
        <v>1</v>
      </c>
    </row>
    <row r="311" spans="1:16">
      <c r="A311" t="str">
        <f t="shared" si="4"/>
        <v>CNTRFKGCPSZ ONPK</v>
      </c>
      <c r="B311" t="s">
        <v>245</v>
      </c>
      <c r="C311" t="s">
        <v>167</v>
      </c>
      <c r="D311">
        <v>1</v>
      </c>
      <c r="E311">
        <v>1</v>
      </c>
      <c r="F311">
        <v>1</v>
      </c>
      <c r="G311">
        <v>1</v>
      </c>
      <c r="H311">
        <v>1</v>
      </c>
      <c r="I311">
        <v>1</v>
      </c>
      <c r="J311">
        <v>1</v>
      </c>
      <c r="K311">
        <v>1</v>
      </c>
      <c r="L311">
        <v>1</v>
      </c>
      <c r="M311">
        <v>1</v>
      </c>
      <c r="N311">
        <v>1</v>
      </c>
      <c r="O311">
        <v>1</v>
      </c>
    </row>
    <row r="312" spans="1:16">
      <c r="A312" t="str">
        <f t="shared" si="4"/>
        <v>CNTRFKGCPSZ OFFPK</v>
      </c>
      <c r="B312" t="s">
        <v>245</v>
      </c>
      <c r="C312" t="s">
        <v>168</v>
      </c>
      <c r="D312">
        <v>1</v>
      </c>
      <c r="E312">
        <v>1</v>
      </c>
      <c r="F312">
        <v>1</v>
      </c>
      <c r="G312">
        <v>1</v>
      </c>
      <c r="H312">
        <v>1</v>
      </c>
      <c r="I312">
        <v>1</v>
      </c>
      <c r="J312">
        <v>1</v>
      </c>
      <c r="K312">
        <v>1</v>
      </c>
      <c r="L312">
        <v>1</v>
      </c>
      <c r="M312">
        <v>1</v>
      </c>
      <c r="N312">
        <v>1</v>
      </c>
      <c r="O312">
        <v>1</v>
      </c>
    </row>
    <row r="313" spans="1:16">
      <c r="A313" t="str">
        <f t="shared" si="4"/>
        <v>CNTRFKCPSZ</v>
      </c>
      <c r="B313" t="s">
        <v>245</v>
      </c>
      <c r="C313" t="s">
        <v>169</v>
      </c>
      <c r="D313">
        <v>1</v>
      </c>
      <c r="E313">
        <v>1</v>
      </c>
      <c r="F313">
        <v>1</v>
      </c>
      <c r="G313">
        <v>1</v>
      </c>
      <c r="H313">
        <v>1</v>
      </c>
      <c r="I313">
        <v>1</v>
      </c>
      <c r="J313">
        <v>1</v>
      </c>
      <c r="K313">
        <v>1</v>
      </c>
      <c r="L313">
        <v>1</v>
      </c>
      <c r="M313">
        <v>1</v>
      </c>
      <c r="N313">
        <v>1</v>
      </c>
      <c r="O313">
        <v>1</v>
      </c>
    </row>
    <row r="314" spans="1:16">
      <c r="A314" t="str">
        <f t="shared" si="4"/>
        <v/>
      </c>
      <c r="P314" s="1"/>
    </row>
    <row r="315" spans="1:16">
      <c r="A315" t="str">
        <f t="shared" si="4"/>
        <v/>
      </c>
      <c r="P315" s="5"/>
    </row>
    <row r="316" spans="1:16">
      <c r="A316" t="str">
        <f t="shared" si="4"/>
        <v/>
      </c>
      <c r="P316" s="5"/>
    </row>
    <row r="317" spans="1:16">
      <c r="A317" t="str">
        <f t="shared" si="4"/>
        <v/>
      </c>
      <c r="P317" s="5"/>
    </row>
    <row r="318" spans="1:16">
      <c r="A318" t="str">
        <f t="shared" si="4"/>
        <v/>
      </c>
      <c r="P318" s="5"/>
    </row>
    <row r="319" spans="1:16">
      <c r="A319" t="str">
        <f t="shared" si="4"/>
        <v/>
      </c>
      <c r="P319" s="5"/>
    </row>
    <row r="320" spans="1:16">
      <c r="A320" t="str">
        <f t="shared" si="4"/>
        <v/>
      </c>
      <c r="P320" s="5"/>
    </row>
    <row r="321" spans="1:16" ht="14.4">
      <c r="A321" t="str">
        <f t="shared" si="4"/>
        <v>NOTE:     Sales line does not match sales in the Rate and Revenue Report due to billing lag.</v>
      </c>
      <c r="B321" s="301" t="s">
        <v>608</v>
      </c>
      <c r="P321" s="5"/>
    </row>
    <row r="322" spans="1:16" ht="14.4">
      <c r="A322" t="str">
        <f t="shared" si="4"/>
        <v xml:space="preserve">                 In addition, the City of Blountstown, FKEC, Metro Dade and City of Wauchula are classified as Rate Code 940. The sales for the contracts are reported combined in the Rate &amp; Revenue Report.</v>
      </c>
      <c r="B322" s="319" t="s">
        <v>754</v>
      </c>
      <c r="P322" s="5"/>
    </row>
    <row r="323" spans="1:16">
      <c r="A323" t="str">
        <f t="shared" si="4"/>
        <v xml:space="preserve">CNTRKE Wholesale - Contract Rate (Key West) </v>
      </c>
      <c r="B323" t="s">
        <v>244</v>
      </c>
      <c r="C323" t="s">
        <v>243</v>
      </c>
      <c r="P323" s="5"/>
    </row>
    <row r="324" spans="1:16">
      <c r="A324" t="str">
        <f t="shared" si="4"/>
        <v xml:space="preserve">CNTRKEMONTH </v>
      </c>
      <c r="B324" t="s">
        <v>242</v>
      </c>
      <c r="C324" t="s">
        <v>123</v>
      </c>
      <c r="D324" s="4">
        <v>40909</v>
      </c>
      <c r="E324" s="4">
        <v>40940</v>
      </c>
      <c r="F324" s="4">
        <v>40969</v>
      </c>
      <c r="G324" s="4">
        <v>41000</v>
      </c>
      <c r="H324" s="4">
        <v>41030</v>
      </c>
      <c r="I324" s="4">
        <v>41061</v>
      </c>
      <c r="J324" s="4">
        <v>41091</v>
      </c>
      <c r="K324" s="4">
        <v>41122</v>
      </c>
      <c r="L324" s="4">
        <v>41153</v>
      </c>
      <c r="M324" s="4">
        <v>41183</v>
      </c>
      <c r="N324" s="4">
        <v>41214</v>
      </c>
      <c r="O324" s="4">
        <v>41244</v>
      </c>
    </row>
    <row r="325" spans="1:16">
      <c r="A325" t="str">
        <f t="shared" si="4"/>
        <v xml:space="preserve">CNTRKECUSTOMERS </v>
      </c>
      <c r="B325" t="s">
        <v>242</v>
      </c>
      <c r="C325" t="s">
        <v>124</v>
      </c>
      <c r="D325">
        <v>1</v>
      </c>
      <c r="E325">
        <v>1</v>
      </c>
      <c r="F325">
        <v>1</v>
      </c>
      <c r="G325">
        <v>1</v>
      </c>
      <c r="H325">
        <v>1</v>
      </c>
      <c r="I325">
        <v>1</v>
      </c>
      <c r="J325">
        <v>1</v>
      </c>
      <c r="K325">
        <v>1</v>
      </c>
      <c r="L325">
        <v>1</v>
      </c>
      <c r="M325">
        <v>1</v>
      </c>
      <c r="N325">
        <v>1</v>
      </c>
      <c r="O325">
        <v>1</v>
      </c>
      <c r="P325" s="5"/>
    </row>
    <row r="326" spans="1:16">
      <c r="A326" t="str">
        <f t="shared" si="4"/>
        <v xml:space="preserve">CNTRKESALES </v>
      </c>
      <c r="B326" t="s">
        <v>242</v>
      </c>
      <c r="C326" t="s">
        <v>125</v>
      </c>
      <c r="D326">
        <v>32670000</v>
      </c>
      <c r="E326">
        <v>16110000</v>
      </c>
      <c r="F326">
        <v>15975000</v>
      </c>
      <c r="G326">
        <v>17100000</v>
      </c>
      <c r="H326">
        <v>17235000</v>
      </c>
      <c r="I326">
        <v>20115000</v>
      </c>
      <c r="J326">
        <v>21060000</v>
      </c>
      <c r="K326">
        <v>22140000</v>
      </c>
      <c r="L326">
        <v>22815000</v>
      </c>
      <c r="M326">
        <v>21060000</v>
      </c>
      <c r="N326">
        <v>19395000</v>
      </c>
      <c r="O326">
        <v>16560000</v>
      </c>
      <c r="P326" s="5"/>
    </row>
    <row r="327" spans="1:16">
      <c r="A327" t="str">
        <f t="shared" si="4"/>
        <v>CNTRKEKW</v>
      </c>
      <c r="B327" t="s">
        <v>242</v>
      </c>
      <c r="C327" t="s">
        <v>126</v>
      </c>
      <c r="P327" s="5"/>
    </row>
    <row r="328" spans="1:16">
      <c r="A328" t="str">
        <f t="shared" si="4"/>
        <v>CNTRKEN</v>
      </c>
      <c r="B328" t="s">
        <v>242</v>
      </c>
      <c r="C328" t="s">
        <v>127</v>
      </c>
      <c r="D328">
        <v>1</v>
      </c>
      <c r="E328">
        <v>1</v>
      </c>
      <c r="F328">
        <v>1</v>
      </c>
      <c r="G328">
        <v>1</v>
      </c>
      <c r="H328">
        <v>1</v>
      </c>
      <c r="I328">
        <v>1</v>
      </c>
      <c r="J328">
        <v>1</v>
      </c>
      <c r="K328">
        <v>1</v>
      </c>
      <c r="L328">
        <v>1</v>
      </c>
      <c r="M328">
        <v>1</v>
      </c>
      <c r="N328">
        <v>1</v>
      </c>
      <c r="O328">
        <v>1</v>
      </c>
      <c r="P328" s="5"/>
    </row>
    <row r="329" spans="1:16">
      <c r="A329" t="str">
        <f t="shared" si="4"/>
        <v>CNTRKERLR ENERGY:</v>
      </c>
      <c r="B329" t="s">
        <v>242</v>
      </c>
      <c r="C329" t="s">
        <v>61</v>
      </c>
      <c r="P329" s="5"/>
    </row>
    <row r="330" spans="1:16">
      <c r="A330" t="str">
        <f t="shared" si="4"/>
        <v>CNTRKEKWH</v>
      </c>
      <c r="B330" t="s">
        <v>242</v>
      </c>
      <c r="C330" t="s">
        <v>128</v>
      </c>
      <c r="D330">
        <v>16110000</v>
      </c>
      <c r="E330">
        <v>15975000</v>
      </c>
      <c r="F330">
        <v>17100000</v>
      </c>
      <c r="G330">
        <v>17235000</v>
      </c>
      <c r="H330">
        <v>20115000</v>
      </c>
      <c r="I330">
        <v>21060000</v>
      </c>
      <c r="J330">
        <v>22140000</v>
      </c>
      <c r="K330">
        <v>22815000</v>
      </c>
      <c r="L330">
        <v>21060000</v>
      </c>
      <c r="M330">
        <v>19395000</v>
      </c>
      <c r="N330">
        <v>16560000</v>
      </c>
      <c r="O330">
        <v>16110000</v>
      </c>
      <c r="P330" s="5"/>
    </row>
    <row r="331" spans="1:16">
      <c r="A331" t="str">
        <f t="shared" si="4"/>
        <v>CNTRKEKWH ONPK</v>
      </c>
      <c r="B331" t="s">
        <v>242</v>
      </c>
      <c r="C331" t="s">
        <v>129</v>
      </c>
      <c r="D331">
        <v>4815000</v>
      </c>
      <c r="E331">
        <v>4230000</v>
      </c>
      <c r="F331">
        <v>4410000</v>
      </c>
      <c r="G331">
        <v>8505000</v>
      </c>
      <c r="H331">
        <v>8910000</v>
      </c>
      <c r="I331">
        <v>8505000</v>
      </c>
      <c r="J331">
        <v>8505000</v>
      </c>
      <c r="K331">
        <v>9315000</v>
      </c>
      <c r="L331">
        <v>7695000</v>
      </c>
      <c r="M331">
        <v>9090000</v>
      </c>
      <c r="N331">
        <v>4230000</v>
      </c>
      <c r="O331">
        <v>3780000</v>
      </c>
      <c r="P331" s="5"/>
    </row>
    <row r="332" spans="1:16">
      <c r="A332" t="str">
        <f t="shared" si="4"/>
        <v>CNTRKEKWH OFFPK</v>
      </c>
      <c r="B332" t="s">
        <v>242</v>
      </c>
      <c r="C332" t="s">
        <v>130</v>
      </c>
      <c r="D332">
        <v>11295000</v>
      </c>
      <c r="E332">
        <v>11745000</v>
      </c>
      <c r="F332">
        <v>12690000</v>
      </c>
      <c r="G332">
        <v>8730000</v>
      </c>
      <c r="H332">
        <v>11205000</v>
      </c>
      <c r="I332">
        <v>12555000</v>
      </c>
      <c r="J332">
        <v>13635000</v>
      </c>
      <c r="K332">
        <v>13500000</v>
      </c>
      <c r="L332">
        <v>13365000</v>
      </c>
      <c r="M332">
        <v>10305000</v>
      </c>
      <c r="N332">
        <v>12330000</v>
      </c>
      <c r="O332">
        <v>12330000</v>
      </c>
    </row>
    <row r="333" spans="1:16">
      <c r="A333" t="str">
        <f t="shared" si="4"/>
        <v>CNTRKEKWH ONPK%</v>
      </c>
      <c r="B333" t="s">
        <v>242</v>
      </c>
      <c r="C333" t="s">
        <v>131</v>
      </c>
      <c r="D333" s="5">
        <v>0.29887999999999998</v>
      </c>
      <c r="E333" s="5">
        <v>0.26479000000000003</v>
      </c>
      <c r="F333" s="5">
        <v>0.25789000000000001</v>
      </c>
      <c r="G333" s="5">
        <v>0.49347000000000002</v>
      </c>
      <c r="H333" s="5">
        <v>0.44295000000000001</v>
      </c>
      <c r="I333" s="5">
        <v>0.40384999999999999</v>
      </c>
      <c r="J333" s="5">
        <v>0.38414999999999999</v>
      </c>
      <c r="K333" s="5">
        <v>0.40827999999999998</v>
      </c>
      <c r="L333" s="5">
        <v>0.36537999999999998</v>
      </c>
      <c r="M333" s="5">
        <v>0.46867999999999999</v>
      </c>
      <c r="N333" s="5">
        <v>0.25542999999999999</v>
      </c>
      <c r="O333" s="5">
        <v>0.23463999999999999</v>
      </c>
    </row>
    <row r="334" spans="1:16">
      <c r="A334" t="str">
        <f t="shared" si="4"/>
        <v>CNTRKEKWH OFFPK%</v>
      </c>
      <c r="B334" t="s">
        <v>242</v>
      </c>
      <c r="C334" t="s">
        <v>132</v>
      </c>
      <c r="D334" s="5">
        <v>0.70111999999999997</v>
      </c>
      <c r="E334" s="5">
        <v>0.73521000000000003</v>
      </c>
      <c r="F334" s="5">
        <v>0.74211000000000005</v>
      </c>
      <c r="G334" s="5">
        <v>0.50653000000000004</v>
      </c>
      <c r="H334" s="5">
        <v>0.55705000000000005</v>
      </c>
      <c r="I334" s="5">
        <v>0.59614999999999996</v>
      </c>
      <c r="J334" s="5">
        <v>0.61585000000000001</v>
      </c>
      <c r="K334" s="5">
        <v>0.59172000000000002</v>
      </c>
      <c r="L334" s="5">
        <v>0.63461999999999996</v>
      </c>
      <c r="M334" s="5">
        <v>0.53132000000000001</v>
      </c>
      <c r="N334" s="5">
        <v>0.74456999999999995</v>
      </c>
      <c r="O334" s="5">
        <v>0.76536000000000004</v>
      </c>
    </row>
    <row r="335" spans="1:16">
      <c r="A335" t="str">
        <f t="shared" si="4"/>
        <v>CNTRKEDEMAND (KW):</v>
      </c>
      <c r="B335" t="s">
        <v>242</v>
      </c>
      <c r="C335" t="s">
        <v>62</v>
      </c>
    </row>
    <row r="336" spans="1:16">
      <c r="A336" t="str">
        <f t="shared" si="4"/>
        <v>CNTRKENCP</v>
      </c>
      <c r="B336" t="s">
        <v>242</v>
      </c>
      <c r="C336" t="s">
        <v>133</v>
      </c>
      <c r="D336">
        <v>45000</v>
      </c>
      <c r="E336">
        <v>45000</v>
      </c>
      <c r="F336">
        <v>45000</v>
      </c>
      <c r="G336">
        <v>45000</v>
      </c>
      <c r="H336">
        <v>45000</v>
      </c>
      <c r="I336">
        <v>45000</v>
      </c>
      <c r="J336">
        <v>45000</v>
      </c>
      <c r="K336">
        <v>45000</v>
      </c>
      <c r="L336">
        <v>45000</v>
      </c>
      <c r="M336">
        <v>45000</v>
      </c>
      <c r="N336">
        <v>45000</v>
      </c>
      <c r="O336">
        <v>45000</v>
      </c>
    </row>
    <row r="337" spans="1:16">
      <c r="A337" t="str">
        <f t="shared" si="4"/>
        <v>CNTRKENCP ONPK</v>
      </c>
      <c r="B337" t="s">
        <v>242</v>
      </c>
      <c r="C337" t="s">
        <v>134</v>
      </c>
      <c r="D337">
        <v>45000</v>
      </c>
      <c r="E337">
        <v>45000</v>
      </c>
      <c r="F337">
        <v>45000</v>
      </c>
      <c r="G337">
        <v>45000</v>
      </c>
      <c r="H337">
        <v>45000</v>
      </c>
      <c r="I337">
        <v>45000</v>
      </c>
      <c r="J337">
        <v>45000</v>
      </c>
      <c r="K337">
        <v>45000</v>
      </c>
      <c r="L337">
        <v>45000</v>
      </c>
      <c r="M337">
        <v>45000</v>
      </c>
      <c r="N337">
        <v>45000</v>
      </c>
      <c r="O337">
        <v>45000</v>
      </c>
    </row>
    <row r="338" spans="1:16">
      <c r="A338" t="str">
        <f t="shared" si="4"/>
        <v>CNTRKENCP OFFPK</v>
      </c>
      <c r="B338" t="s">
        <v>242</v>
      </c>
      <c r="C338" t="s">
        <v>135</v>
      </c>
      <c r="D338">
        <v>45000</v>
      </c>
      <c r="E338">
        <v>45000</v>
      </c>
      <c r="F338">
        <v>45000</v>
      </c>
      <c r="G338">
        <v>45000</v>
      </c>
      <c r="H338">
        <v>45000</v>
      </c>
      <c r="I338">
        <v>45000</v>
      </c>
      <c r="J338">
        <v>45000</v>
      </c>
      <c r="K338">
        <v>45000</v>
      </c>
      <c r="L338">
        <v>45000</v>
      </c>
      <c r="M338">
        <v>45000</v>
      </c>
      <c r="N338">
        <v>45000</v>
      </c>
      <c r="O338">
        <v>45000</v>
      </c>
    </row>
    <row r="339" spans="1:16">
      <c r="A339" t="str">
        <f t="shared" si="4"/>
        <v>CNTRKEGCP DATE</v>
      </c>
      <c r="B339" t="s">
        <v>242</v>
      </c>
      <c r="C339" t="s">
        <v>136</v>
      </c>
      <c r="D339" t="s">
        <v>930</v>
      </c>
      <c r="E339" t="s">
        <v>931</v>
      </c>
      <c r="F339" t="s">
        <v>23</v>
      </c>
      <c r="G339" t="s">
        <v>932</v>
      </c>
      <c r="H339" t="s">
        <v>933</v>
      </c>
      <c r="I339" t="s">
        <v>0</v>
      </c>
      <c r="J339" t="s">
        <v>934</v>
      </c>
      <c r="K339" t="s">
        <v>935</v>
      </c>
      <c r="L339" t="s">
        <v>929</v>
      </c>
      <c r="M339" t="s">
        <v>912</v>
      </c>
      <c r="N339" t="s">
        <v>181</v>
      </c>
      <c r="O339" t="s">
        <v>936</v>
      </c>
      <c r="P339" s="4"/>
    </row>
    <row r="340" spans="1:16">
      <c r="A340" t="str">
        <f t="shared" si="4"/>
        <v>CNTRKEGCP TIME</v>
      </c>
      <c r="B340" t="s">
        <v>242</v>
      </c>
      <c r="C340" t="s">
        <v>142</v>
      </c>
      <c r="D340" t="s">
        <v>146</v>
      </c>
      <c r="E340" t="s">
        <v>189</v>
      </c>
      <c r="F340" t="s">
        <v>202</v>
      </c>
      <c r="G340" t="s">
        <v>189</v>
      </c>
      <c r="H340" t="s">
        <v>194</v>
      </c>
      <c r="I340" t="s">
        <v>194</v>
      </c>
      <c r="J340" t="s">
        <v>194</v>
      </c>
      <c r="K340" t="s">
        <v>203</v>
      </c>
      <c r="L340" t="s">
        <v>203</v>
      </c>
      <c r="M340" t="s">
        <v>202</v>
      </c>
      <c r="N340" t="s">
        <v>189</v>
      </c>
      <c r="O340" t="s">
        <v>202</v>
      </c>
    </row>
    <row r="341" spans="1:16">
      <c r="A341" t="str">
        <f t="shared" si="4"/>
        <v>CNTRKEGCP</v>
      </c>
      <c r="B341" t="s">
        <v>242</v>
      </c>
      <c r="C341" t="s">
        <v>147</v>
      </c>
      <c r="D341">
        <v>45000</v>
      </c>
      <c r="E341">
        <v>45000</v>
      </c>
      <c r="F341">
        <v>45000</v>
      </c>
      <c r="G341">
        <v>45000</v>
      </c>
      <c r="H341">
        <v>45000</v>
      </c>
      <c r="I341">
        <v>45000</v>
      </c>
      <c r="J341">
        <v>45000</v>
      </c>
      <c r="K341">
        <v>45000</v>
      </c>
      <c r="L341">
        <v>45000</v>
      </c>
      <c r="M341">
        <v>45000</v>
      </c>
      <c r="N341">
        <v>45000</v>
      </c>
      <c r="O341">
        <v>45000</v>
      </c>
    </row>
    <row r="342" spans="1:16">
      <c r="A342" t="str">
        <f t="shared" si="4"/>
        <v>CNTRKEGCP ONPK</v>
      </c>
      <c r="B342" t="s">
        <v>242</v>
      </c>
      <c r="C342" t="s">
        <v>63</v>
      </c>
      <c r="D342">
        <v>45000</v>
      </c>
      <c r="E342">
        <v>45000</v>
      </c>
      <c r="F342">
        <v>45000</v>
      </c>
      <c r="G342">
        <v>45000</v>
      </c>
      <c r="H342">
        <v>45000</v>
      </c>
      <c r="I342">
        <v>45000</v>
      </c>
      <c r="J342">
        <v>45000</v>
      </c>
      <c r="K342">
        <v>45000</v>
      </c>
      <c r="L342">
        <v>45000</v>
      </c>
      <c r="M342">
        <v>45000</v>
      </c>
      <c r="N342">
        <v>45000</v>
      </c>
      <c r="O342">
        <v>45000</v>
      </c>
    </row>
    <row r="343" spans="1:16">
      <c r="A343" t="str">
        <f t="shared" si="4"/>
        <v>CNTRKEGCP OFFPK</v>
      </c>
      <c r="B343" t="s">
        <v>242</v>
      </c>
      <c r="C343" t="s">
        <v>64</v>
      </c>
      <c r="D343">
        <v>45000</v>
      </c>
      <c r="E343">
        <v>45000</v>
      </c>
      <c r="F343">
        <v>45000</v>
      </c>
      <c r="G343">
        <v>45000</v>
      </c>
      <c r="H343">
        <v>45000</v>
      </c>
      <c r="I343">
        <v>45000</v>
      </c>
      <c r="J343">
        <v>45000</v>
      </c>
      <c r="K343">
        <v>45000</v>
      </c>
      <c r="L343">
        <v>45000</v>
      </c>
      <c r="M343">
        <v>45000</v>
      </c>
      <c r="N343">
        <v>45000</v>
      </c>
      <c r="O343">
        <v>45000</v>
      </c>
    </row>
    <row r="344" spans="1:16">
      <c r="A344" t="str">
        <f t="shared" si="4"/>
        <v>CNTRKECP</v>
      </c>
      <c r="B344" t="s">
        <v>242</v>
      </c>
      <c r="C344" t="s">
        <v>148</v>
      </c>
      <c r="D344">
        <v>45000</v>
      </c>
      <c r="E344">
        <v>45000</v>
      </c>
      <c r="F344">
        <v>45000</v>
      </c>
      <c r="G344">
        <v>45000</v>
      </c>
      <c r="H344">
        <v>45000</v>
      </c>
      <c r="I344">
        <v>45000</v>
      </c>
      <c r="J344">
        <v>45000</v>
      </c>
      <c r="K344">
        <v>45000</v>
      </c>
      <c r="L344">
        <v>45000</v>
      </c>
      <c r="M344">
        <v>45000</v>
      </c>
      <c r="N344">
        <v>45000</v>
      </c>
      <c r="O344">
        <v>45000</v>
      </c>
    </row>
    <row r="345" spans="1:16">
      <c r="A345" t="str">
        <f t="shared" si="4"/>
        <v>CNTRKEPERIOD START</v>
      </c>
      <c r="B345" t="s">
        <v>242</v>
      </c>
      <c r="C345" t="s">
        <v>149</v>
      </c>
      <c r="D345" s="1">
        <v>40909</v>
      </c>
      <c r="E345" s="1">
        <v>40940</v>
      </c>
      <c r="F345" s="1">
        <v>40969</v>
      </c>
      <c r="G345" s="1">
        <v>41000</v>
      </c>
      <c r="H345" s="1">
        <v>41030</v>
      </c>
      <c r="I345" s="1">
        <v>41061</v>
      </c>
      <c r="J345" s="1">
        <v>41091</v>
      </c>
      <c r="K345" s="1">
        <v>41122</v>
      </c>
      <c r="L345" s="1">
        <v>41153</v>
      </c>
      <c r="M345" s="1">
        <v>41183</v>
      </c>
      <c r="N345" s="1">
        <v>41214</v>
      </c>
      <c r="O345" s="1">
        <v>41244</v>
      </c>
      <c r="P345" s="91"/>
    </row>
    <row r="346" spans="1:16">
      <c r="A346" t="str">
        <f t="shared" si="4"/>
        <v>CNTRKENCP LF</v>
      </c>
      <c r="B346" t="s">
        <v>242</v>
      </c>
      <c r="C346" t="s">
        <v>150</v>
      </c>
      <c r="D346" s="5">
        <v>0.48120000000000002</v>
      </c>
      <c r="E346" s="5">
        <v>0.5101</v>
      </c>
      <c r="F346" s="5">
        <v>0.51139999999999997</v>
      </c>
      <c r="G346" s="5">
        <v>0.53190000000000004</v>
      </c>
      <c r="H346" s="5">
        <v>0.6008</v>
      </c>
      <c r="I346" s="5">
        <v>0.65</v>
      </c>
      <c r="J346" s="5">
        <v>0.6613</v>
      </c>
      <c r="K346" s="5">
        <v>0.68149999999999999</v>
      </c>
      <c r="L346" s="5">
        <v>0.65</v>
      </c>
      <c r="M346" s="5">
        <v>0.57930000000000004</v>
      </c>
      <c r="N346" s="5">
        <v>0.5111</v>
      </c>
      <c r="O346" s="5">
        <v>0.48120000000000002</v>
      </c>
    </row>
    <row r="347" spans="1:16">
      <c r="A347" t="str">
        <f t="shared" si="4"/>
        <v>CNTRKENCP LF ONPK</v>
      </c>
      <c r="B347" t="s">
        <v>242</v>
      </c>
      <c r="C347" t="s">
        <v>151</v>
      </c>
      <c r="D347" s="5">
        <v>0.63690000000000002</v>
      </c>
      <c r="E347" s="5">
        <v>0.5595</v>
      </c>
      <c r="F347" s="5">
        <v>0.55679999999999996</v>
      </c>
      <c r="G347" s="5">
        <v>1</v>
      </c>
      <c r="H347" s="5">
        <v>1</v>
      </c>
      <c r="I347" s="5">
        <v>1</v>
      </c>
      <c r="J347" s="5">
        <v>1</v>
      </c>
      <c r="K347" s="5">
        <v>1</v>
      </c>
      <c r="L347" s="5">
        <v>1</v>
      </c>
      <c r="M347" s="5">
        <v>0.9758</v>
      </c>
      <c r="N347" s="5">
        <v>0.5595</v>
      </c>
      <c r="O347" s="5">
        <v>0.52500000000000002</v>
      </c>
    </row>
    <row r="348" spans="1:16">
      <c r="A348" t="str">
        <f t="shared" si="4"/>
        <v>CNTRKENCP LF OFFPK</v>
      </c>
      <c r="B348" t="s">
        <v>242</v>
      </c>
      <c r="C348" t="s">
        <v>152</v>
      </c>
      <c r="D348" s="5">
        <v>0.43580000000000002</v>
      </c>
      <c r="E348" s="5">
        <v>0.49430000000000002</v>
      </c>
      <c r="F348" s="5">
        <v>0.49740000000000001</v>
      </c>
      <c r="G348" s="5">
        <v>0.36530000000000001</v>
      </c>
      <c r="H348" s="5">
        <v>0.45600000000000002</v>
      </c>
      <c r="I348" s="5">
        <v>0.52539999999999998</v>
      </c>
      <c r="J348" s="5">
        <v>0.54590000000000005</v>
      </c>
      <c r="K348" s="5">
        <v>0.55869999999999997</v>
      </c>
      <c r="L348" s="5">
        <v>0.54100000000000004</v>
      </c>
      <c r="M348" s="5">
        <v>0.4264</v>
      </c>
      <c r="N348" s="5">
        <v>0.49640000000000001</v>
      </c>
      <c r="O348" s="5">
        <v>0.46920000000000001</v>
      </c>
      <c r="P348" s="5"/>
    </row>
    <row r="349" spans="1:16">
      <c r="A349" t="str">
        <f t="shared" si="4"/>
        <v>CNTRKEGCP CF</v>
      </c>
      <c r="B349" t="s">
        <v>242</v>
      </c>
      <c r="C349" t="s">
        <v>153</v>
      </c>
      <c r="D349" s="5">
        <v>1</v>
      </c>
      <c r="E349" s="5">
        <v>1</v>
      </c>
      <c r="F349" s="5">
        <v>1</v>
      </c>
      <c r="G349" s="5">
        <v>1</v>
      </c>
      <c r="H349" s="5">
        <v>1</v>
      </c>
      <c r="I349" s="5">
        <v>1</v>
      </c>
      <c r="J349" s="5">
        <v>1</v>
      </c>
      <c r="K349" s="5">
        <v>1</v>
      </c>
      <c r="L349" s="5">
        <v>1</v>
      </c>
      <c r="M349" s="5">
        <v>1</v>
      </c>
      <c r="N349" s="5">
        <v>1</v>
      </c>
      <c r="O349" s="5">
        <v>1</v>
      </c>
      <c r="P349" s="5"/>
    </row>
    <row r="350" spans="1:16">
      <c r="A350" t="str">
        <f t="shared" si="4"/>
        <v>CNTRKECP CF</v>
      </c>
      <c r="B350" t="s">
        <v>242</v>
      </c>
      <c r="C350" t="s">
        <v>154</v>
      </c>
      <c r="D350" s="5">
        <v>1</v>
      </c>
      <c r="E350" s="5">
        <v>1</v>
      </c>
      <c r="F350" s="5">
        <v>1</v>
      </c>
      <c r="G350" s="5">
        <v>1</v>
      </c>
      <c r="H350" s="5">
        <v>1</v>
      </c>
      <c r="I350" s="5">
        <v>1</v>
      </c>
      <c r="J350" s="5">
        <v>1</v>
      </c>
      <c r="K350" s="5">
        <v>1</v>
      </c>
      <c r="L350" s="5">
        <v>1</v>
      </c>
      <c r="M350" s="5">
        <v>1</v>
      </c>
      <c r="N350" s="5">
        <v>1</v>
      </c>
      <c r="O350" s="5">
        <v>1</v>
      </c>
    </row>
    <row r="351" spans="1:16">
      <c r="A351" t="str">
        <f t="shared" si="4"/>
        <v>CNTRKEGCP LF</v>
      </c>
      <c r="B351" t="s">
        <v>242</v>
      </c>
      <c r="C351" t="s">
        <v>155</v>
      </c>
      <c r="D351" s="5">
        <v>0.48120000000000002</v>
      </c>
      <c r="E351" s="5">
        <v>0.5101</v>
      </c>
      <c r="F351" s="5">
        <v>0.51139999999999997</v>
      </c>
      <c r="G351" s="5">
        <v>0.53190000000000004</v>
      </c>
      <c r="H351" s="5">
        <v>0.6008</v>
      </c>
      <c r="I351" s="5">
        <v>0.65</v>
      </c>
      <c r="J351" s="5">
        <v>0.6613</v>
      </c>
      <c r="K351" s="5">
        <v>0.68149999999999999</v>
      </c>
      <c r="L351" s="5">
        <v>0.65</v>
      </c>
      <c r="M351" s="5">
        <v>0.57930000000000004</v>
      </c>
      <c r="N351" s="5">
        <v>0.5111</v>
      </c>
      <c r="O351" s="5">
        <v>0.48120000000000002</v>
      </c>
      <c r="P351" s="89"/>
    </row>
    <row r="352" spans="1:16">
      <c r="A352" t="str">
        <f t="shared" si="4"/>
        <v>CNTRKEGCP LF ONPK</v>
      </c>
      <c r="B352" t="s">
        <v>242</v>
      </c>
      <c r="C352" t="s">
        <v>156</v>
      </c>
      <c r="D352" s="5">
        <v>0.63690000000000002</v>
      </c>
      <c r="E352" s="5">
        <v>0.5595</v>
      </c>
      <c r="F352" s="5">
        <v>0.55679999999999996</v>
      </c>
      <c r="G352" s="5">
        <v>1</v>
      </c>
      <c r="H352" s="5">
        <v>1</v>
      </c>
      <c r="I352" s="5">
        <v>1</v>
      </c>
      <c r="J352" s="5">
        <v>1</v>
      </c>
      <c r="K352" s="5">
        <v>1</v>
      </c>
      <c r="L352" s="5">
        <v>1</v>
      </c>
      <c r="M352" s="5">
        <v>0.9758</v>
      </c>
      <c r="N352" s="5">
        <v>0.5595</v>
      </c>
      <c r="O352" s="5">
        <v>0.52500000000000002</v>
      </c>
    </row>
    <row r="353" spans="1:16">
      <c r="A353" t="str">
        <f t="shared" si="4"/>
        <v>CNTRKEGCP LF OFFPK</v>
      </c>
      <c r="B353" t="s">
        <v>242</v>
      </c>
      <c r="C353" t="s">
        <v>157</v>
      </c>
      <c r="D353" s="5">
        <v>0.43580000000000002</v>
      </c>
      <c r="E353" s="5">
        <v>0.49430000000000002</v>
      </c>
      <c r="F353" s="5">
        <v>0.49740000000000001</v>
      </c>
      <c r="G353" s="5">
        <v>0.36530000000000001</v>
      </c>
      <c r="H353" s="5">
        <v>0.45600000000000002</v>
      </c>
      <c r="I353" s="5">
        <v>0.52539999999999998</v>
      </c>
      <c r="J353" s="5">
        <v>0.54590000000000005</v>
      </c>
      <c r="K353" s="5">
        <v>0.55869999999999997</v>
      </c>
      <c r="L353" s="5">
        <v>0.54100000000000004</v>
      </c>
      <c r="M353" s="5">
        <v>0.4264</v>
      </c>
      <c r="N353" s="5">
        <v>0.49640000000000001</v>
      </c>
      <c r="O353" s="5">
        <v>0.46920000000000001</v>
      </c>
    </row>
    <row r="354" spans="1:16">
      <c r="A354" t="str">
        <f t="shared" si="4"/>
        <v>CNTRKECP LF</v>
      </c>
      <c r="B354" t="s">
        <v>242</v>
      </c>
      <c r="C354" t="s">
        <v>158</v>
      </c>
      <c r="D354" s="5">
        <v>0.48120000000000002</v>
      </c>
      <c r="E354" s="5">
        <v>0.5101</v>
      </c>
      <c r="F354" s="5">
        <v>0.51139999999999997</v>
      </c>
      <c r="G354" s="5">
        <v>0.53190000000000004</v>
      </c>
      <c r="H354" s="5">
        <v>0.6008</v>
      </c>
      <c r="I354" s="5">
        <v>0.65</v>
      </c>
      <c r="J354" s="5">
        <v>0.6613</v>
      </c>
      <c r="K354" s="5">
        <v>0.68149999999999999</v>
      </c>
      <c r="L354" s="5">
        <v>0.65</v>
      </c>
      <c r="M354" s="5">
        <v>0.57930000000000004</v>
      </c>
      <c r="N354" s="5">
        <v>0.5111</v>
      </c>
      <c r="O354" s="5">
        <v>0.48120000000000002</v>
      </c>
    </row>
    <row r="355" spans="1:16">
      <c r="A355" t="str">
        <f t="shared" si="4"/>
        <v>CNTRKEREL PREC:</v>
      </c>
      <c r="B355" t="s">
        <v>242</v>
      </c>
      <c r="C355" t="s">
        <v>65</v>
      </c>
    </row>
    <row r="356" spans="1:16">
      <c r="A356" t="str">
        <f t="shared" si="4"/>
        <v>CNTRKENCP RP</v>
      </c>
      <c r="B356" t="s">
        <v>242</v>
      </c>
      <c r="C356" t="s">
        <v>159</v>
      </c>
      <c r="D356" s="5">
        <v>0</v>
      </c>
      <c r="E356" s="5">
        <v>0</v>
      </c>
      <c r="F356" s="5">
        <v>0</v>
      </c>
      <c r="G356" s="5">
        <v>0</v>
      </c>
      <c r="H356" s="5">
        <v>0</v>
      </c>
      <c r="I356" s="5">
        <v>0</v>
      </c>
      <c r="J356" s="5">
        <v>0</v>
      </c>
      <c r="K356" s="5">
        <v>0</v>
      </c>
      <c r="L356" s="5">
        <v>0</v>
      </c>
      <c r="M356" s="5">
        <v>0</v>
      </c>
      <c r="N356" s="5">
        <v>0</v>
      </c>
      <c r="O356" s="5">
        <v>0</v>
      </c>
      <c r="P356" s="87"/>
    </row>
    <row r="357" spans="1:16">
      <c r="A357" t="str">
        <f t="shared" si="4"/>
        <v>CNTRKENCP RP ONPK</v>
      </c>
      <c r="B357" t="s">
        <v>242</v>
      </c>
      <c r="C357" t="s">
        <v>160</v>
      </c>
      <c r="D357" s="5">
        <v>0</v>
      </c>
      <c r="E357" s="5">
        <v>0</v>
      </c>
      <c r="F357" s="5">
        <v>0</v>
      </c>
      <c r="G357" s="5">
        <v>0</v>
      </c>
      <c r="H357" s="5">
        <v>0</v>
      </c>
      <c r="I357" s="5">
        <v>0</v>
      </c>
      <c r="J357" s="5">
        <v>0</v>
      </c>
      <c r="K357" s="5">
        <v>0</v>
      </c>
      <c r="L357" s="5">
        <v>0</v>
      </c>
      <c r="M357" s="5">
        <v>0</v>
      </c>
      <c r="N357" s="5">
        <v>0</v>
      </c>
      <c r="O357" s="5">
        <v>0</v>
      </c>
    </row>
    <row r="358" spans="1:16">
      <c r="A358" t="str">
        <f t="shared" si="4"/>
        <v>CNTRKENCP RP OFFPK</v>
      </c>
      <c r="B358" t="s">
        <v>242</v>
      </c>
      <c r="C358" t="s">
        <v>161</v>
      </c>
      <c r="D358" s="5">
        <v>0</v>
      </c>
      <c r="E358" s="5">
        <v>0</v>
      </c>
      <c r="F358" s="5">
        <v>0</v>
      </c>
      <c r="G358" s="5">
        <v>0</v>
      </c>
      <c r="H358" s="5">
        <v>0</v>
      </c>
      <c r="I358" s="5">
        <v>0</v>
      </c>
      <c r="J358" s="5">
        <v>0</v>
      </c>
      <c r="K358" s="5">
        <v>0</v>
      </c>
      <c r="L358" s="5">
        <v>0</v>
      </c>
      <c r="M358" s="5">
        <v>0</v>
      </c>
      <c r="N358" s="5">
        <v>0</v>
      </c>
      <c r="O358" s="5">
        <v>0</v>
      </c>
    </row>
    <row r="359" spans="1:16">
      <c r="A359" t="str">
        <f t="shared" si="4"/>
        <v>CNTRKEGCP RP</v>
      </c>
      <c r="B359" t="s">
        <v>242</v>
      </c>
      <c r="C359" t="s">
        <v>162</v>
      </c>
      <c r="D359" s="5">
        <v>0</v>
      </c>
      <c r="E359" s="5">
        <v>0</v>
      </c>
      <c r="F359" s="5">
        <v>0</v>
      </c>
      <c r="G359" s="5">
        <v>0</v>
      </c>
      <c r="H359" s="5">
        <v>0</v>
      </c>
      <c r="I359" s="5">
        <v>0</v>
      </c>
      <c r="J359" s="5">
        <v>0</v>
      </c>
      <c r="K359" s="5">
        <v>0</v>
      </c>
      <c r="L359" s="5">
        <v>0</v>
      </c>
      <c r="M359" s="5">
        <v>0</v>
      </c>
      <c r="N359" s="5">
        <v>0</v>
      </c>
      <c r="O359" s="5">
        <v>0</v>
      </c>
      <c r="P359" s="83"/>
    </row>
    <row r="360" spans="1:16">
      <c r="A360" t="str">
        <f t="shared" si="4"/>
        <v>CNTRKEGCP RP ONPK</v>
      </c>
      <c r="B360" t="s">
        <v>242</v>
      </c>
      <c r="C360" t="s">
        <v>163</v>
      </c>
      <c r="D360" s="5">
        <v>0</v>
      </c>
      <c r="E360" s="5">
        <v>0</v>
      </c>
      <c r="F360" s="5">
        <v>0</v>
      </c>
      <c r="G360" s="5">
        <v>0</v>
      </c>
      <c r="H360" s="5">
        <v>0</v>
      </c>
      <c r="I360" s="5">
        <v>0</v>
      </c>
      <c r="J360" s="5">
        <v>0</v>
      </c>
      <c r="K360" s="5">
        <v>0</v>
      </c>
      <c r="L360" s="5">
        <v>0</v>
      </c>
      <c r="M360" s="5">
        <v>0</v>
      </c>
      <c r="N360" s="5">
        <v>0</v>
      </c>
      <c r="O360" s="5">
        <v>0</v>
      </c>
      <c r="P360" s="1"/>
    </row>
    <row r="361" spans="1:16">
      <c r="A361" t="str">
        <f t="shared" si="4"/>
        <v>CNTRKEGCP RP OFFPK</v>
      </c>
      <c r="B361" t="s">
        <v>242</v>
      </c>
      <c r="C361" t="s">
        <v>164</v>
      </c>
      <c r="D361" s="5">
        <v>0</v>
      </c>
      <c r="E361" s="5">
        <v>0</v>
      </c>
      <c r="F361" s="5">
        <v>0</v>
      </c>
      <c r="G361" s="5">
        <v>0</v>
      </c>
      <c r="H361" s="5">
        <v>0</v>
      </c>
      <c r="I361" s="5">
        <v>0</v>
      </c>
      <c r="J361" s="5">
        <v>0</v>
      </c>
      <c r="K361" s="5">
        <v>0</v>
      </c>
      <c r="L361" s="5">
        <v>0</v>
      </c>
      <c r="M361" s="5">
        <v>0</v>
      </c>
      <c r="N361" s="5">
        <v>0</v>
      </c>
      <c r="O361" s="5">
        <v>0</v>
      </c>
      <c r="P361" s="5"/>
    </row>
    <row r="362" spans="1:16">
      <c r="A362" t="str">
        <f t="shared" si="4"/>
        <v>CNTRKECP RP</v>
      </c>
      <c r="B362" t="s">
        <v>242</v>
      </c>
      <c r="C362" t="s">
        <v>165</v>
      </c>
      <c r="D362" s="5">
        <v>0</v>
      </c>
      <c r="E362" s="5">
        <v>0</v>
      </c>
      <c r="F362" s="5">
        <v>0</v>
      </c>
      <c r="G362" s="5">
        <v>0</v>
      </c>
      <c r="H362" s="5">
        <v>0</v>
      </c>
      <c r="I362" s="5">
        <v>0</v>
      </c>
      <c r="J362" s="5">
        <v>0</v>
      </c>
      <c r="K362" s="5">
        <v>0</v>
      </c>
      <c r="L362" s="5">
        <v>0</v>
      </c>
      <c r="M362" s="5">
        <v>0</v>
      </c>
      <c r="N362" s="5">
        <v>0</v>
      </c>
      <c r="O362" s="5">
        <v>0</v>
      </c>
      <c r="P362" s="5"/>
    </row>
    <row r="363" spans="1:16">
      <c r="A363" t="str">
        <f t="shared" si="4"/>
        <v>CNTRKESAMPLE SIZE:</v>
      </c>
      <c r="B363" t="s">
        <v>242</v>
      </c>
      <c r="C363" t="s">
        <v>66</v>
      </c>
      <c r="P363" s="5"/>
    </row>
    <row r="364" spans="1:16">
      <c r="A364" t="str">
        <f t="shared" si="4"/>
        <v>CNTRKEGCPSZ</v>
      </c>
      <c r="B364" t="s">
        <v>242</v>
      </c>
      <c r="C364" t="s">
        <v>166</v>
      </c>
      <c r="D364">
        <v>1</v>
      </c>
      <c r="E364">
        <v>1</v>
      </c>
      <c r="F364">
        <v>1</v>
      </c>
      <c r="G364">
        <v>1</v>
      </c>
      <c r="H364">
        <v>1</v>
      </c>
      <c r="I364">
        <v>1</v>
      </c>
      <c r="J364">
        <v>1</v>
      </c>
      <c r="K364">
        <v>1</v>
      </c>
      <c r="L364">
        <v>1</v>
      </c>
      <c r="M364">
        <v>1</v>
      </c>
      <c r="N364">
        <v>1</v>
      </c>
      <c r="O364">
        <v>1</v>
      </c>
      <c r="P364" s="5"/>
    </row>
    <row r="365" spans="1:16">
      <c r="A365" t="str">
        <f t="shared" si="4"/>
        <v>CNTRKEGCPSZ ONPK</v>
      </c>
      <c r="B365" t="s">
        <v>242</v>
      </c>
      <c r="C365" t="s">
        <v>167</v>
      </c>
      <c r="D365">
        <v>1</v>
      </c>
      <c r="E365">
        <v>1</v>
      </c>
      <c r="F365">
        <v>1</v>
      </c>
      <c r="G365">
        <v>1</v>
      </c>
      <c r="H365">
        <v>1</v>
      </c>
      <c r="I365">
        <v>1</v>
      </c>
      <c r="J365">
        <v>1</v>
      </c>
      <c r="K365">
        <v>1</v>
      </c>
      <c r="L365">
        <v>1</v>
      </c>
      <c r="M365">
        <v>1</v>
      </c>
      <c r="N365">
        <v>1</v>
      </c>
      <c r="O365">
        <v>1</v>
      </c>
      <c r="P365" s="5"/>
    </row>
    <row r="366" spans="1:16">
      <c r="A366" t="str">
        <f t="shared" si="4"/>
        <v>CNTRKEGCPSZ OFFPK</v>
      </c>
      <c r="B366" t="s">
        <v>242</v>
      </c>
      <c r="C366" t="s">
        <v>168</v>
      </c>
      <c r="D366">
        <v>1</v>
      </c>
      <c r="E366">
        <v>1</v>
      </c>
      <c r="F366">
        <v>1</v>
      </c>
      <c r="G366">
        <v>1</v>
      </c>
      <c r="H366">
        <v>1</v>
      </c>
      <c r="I366">
        <v>1</v>
      </c>
      <c r="J366">
        <v>1</v>
      </c>
      <c r="K366">
        <v>1</v>
      </c>
      <c r="L366">
        <v>1</v>
      </c>
      <c r="M366">
        <v>1</v>
      </c>
      <c r="N366">
        <v>1</v>
      </c>
      <c r="O366">
        <v>1</v>
      </c>
      <c r="P366" s="5"/>
    </row>
    <row r="367" spans="1:16">
      <c r="A367" t="str">
        <f t="shared" si="4"/>
        <v>CNTRKECPSZ</v>
      </c>
      <c r="B367" t="s">
        <v>242</v>
      </c>
      <c r="C367" t="s">
        <v>169</v>
      </c>
      <c r="D367">
        <v>1</v>
      </c>
      <c r="E367">
        <v>1</v>
      </c>
      <c r="F367">
        <v>1</v>
      </c>
      <c r="G367">
        <v>1</v>
      </c>
      <c r="H367">
        <v>1</v>
      </c>
      <c r="I367">
        <v>1</v>
      </c>
      <c r="J367">
        <v>1</v>
      </c>
      <c r="K367">
        <v>1</v>
      </c>
      <c r="L367">
        <v>1</v>
      </c>
      <c r="M367">
        <v>1</v>
      </c>
      <c r="N367">
        <v>1</v>
      </c>
      <c r="O367">
        <v>1</v>
      </c>
      <c r="P367" s="5"/>
    </row>
    <row r="368" spans="1:16">
      <c r="A368" t="str">
        <f t="shared" si="4"/>
        <v/>
      </c>
      <c r="P368" s="5"/>
    </row>
    <row r="369" spans="1:16">
      <c r="A369" t="str">
        <f t="shared" si="4"/>
        <v/>
      </c>
      <c r="P369" s="5"/>
    </row>
    <row r="370" spans="1:16">
      <c r="A370" t="str">
        <f t="shared" si="4"/>
        <v/>
      </c>
    </row>
    <row r="371" spans="1:16">
      <c r="A371" t="str">
        <f t="shared" si="4"/>
        <v/>
      </c>
      <c r="P371" s="5"/>
    </row>
    <row r="372" spans="1:16">
      <c r="A372" t="str">
        <f t="shared" si="4"/>
        <v/>
      </c>
      <c r="P372" s="5"/>
    </row>
    <row r="373" spans="1:16">
      <c r="A373" t="str">
        <f t="shared" si="4"/>
        <v/>
      </c>
      <c r="P373" s="5"/>
    </row>
    <row r="374" spans="1:16">
      <c r="A374" t="str">
        <f t="shared" ref="A374:A437" si="5">B374&amp;C374</f>
        <v/>
      </c>
      <c r="P374" s="5"/>
    </row>
    <row r="375" spans="1:16" ht="14.4">
      <c r="A375" t="str">
        <f t="shared" si="5"/>
        <v>NOTE:     Sales line does not match sales in the Rate and Revenue Report due to billing lag.</v>
      </c>
      <c r="B375" s="301" t="s">
        <v>608</v>
      </c>
      <c r="P375" s="5"/>
    </row>
    <row r="376" spans="1:16">
      <c r="A376" t="str">
        <f t="shared" si="5"/>
        <v/>
      </c>
      <c r="P376" s="5"/>
    </row>
    <row r="377" spans="1:16">
      <c r="A377" t="str">
        <f t="shared" si="5"/>
        <v xml:space="preserve">GS09 GS(T)-1 General Service Non Demand including TOU (0-20 kW)  (Sampled) </v>
      </c>
      <c r="B377" t="s">
        <v>940</v>
      </c>
      <c r="C377" t="s">
        <v>631</v>
      </c>
      <c r="P377" s="5"/>
    </row>
    <row r="378" spans="1:16">
      <c r="A378" t="str">
        <f t="shared" si="5"/>
        <v xml:space="preserve">GS09MONTH </v>
      </c>
      <c r="B378" t="s">
        <v>941</v>
      </c>
      <c r="C378" t="s">
        <v>123</v>
      </c>
      <c r="D378" s="4">
        <v>40909</v>
      </c>
      <c r="E378" s="4">
        <v>40940</v>
      </c>
      <c r="F378" s="4">
        <v>40969</v>
      </c>
      <c r="G378" s="4">
        <v>41000</v>
      </c>
      <c r="H378" s="4">
        <v>41030</v>
      </c>
      <c r="I378" s="4">
        <v>41061</v>
      </c>
      <c r="J378" s="4">
        <v>41091</v>
      </c>
      <c r="K378" s="4">
        <v>41122</v>
      </c>
      <c r="L378" s="4">
        <v>41153</v>
      </c>
      <c r="M378" s="4">
        <v>41183</v>
      </c>
      <c r="N378" s="4">
        <v>41214</v>
      </c>
      <c r="O378" s="4">
        <v>41244</v>
      </c>
    </row>
    <row r="379" spans="1:16">
      <c r="A379" t="str">
        <f t="shared" si="5"/>
        <v xml:space="preserve">GS09CUSTOMERS </v>
      </c>
      <c r="B379" t="s">
        <v>941</v>
      </c>
      <c r="C379" t="s">
        <v>124</v>
      </c>
      <c r="D379">
        <v>402713</v>
      </c>
      <c r="E379">
        <v>403251</v>
      </c>
      <c r="F379">
        <v>403708</v>
      </c>
      <c r="G379">
        <v>404300</v>
      </c>
      <c r="H379">
        <v>404881</v>
      </c>
      <c r="I379">
        <v>404581</v>
      </c>
      <c r="J379">
        <v>404847</v>
      </c>
      <c r="K379">
        <v>405107</v>
      </c>
      <c r="L379">
        <v>405383</v>
      </c>
      <c r="M379">
        <v>405746</v>
      </c>
      <c r="N379">
        <v>406152</v>
      </c>
      <c r="O379">
        <v>406488</v>
      </c>
    </row>
    <row r="380" spans="1:16">
      <c r="A380" t="str">
        <f t="shared" si="5"/>
        <v xml:space="preserve">GS09SALES </v>
      </c>
      <c r="B380" t="s">
        <v>941</v>
      </c>
      <c r="C380" t="s">
        <v>125</v>
      </c>
      <c r="D380">
        <v>442992228</v>
      </c>
      <c r="E380">
        <v>406558049</v>
      </c>
      <c r="F380">
        <v>439715670</v>
      </c>
      <c r="G380">
        <v>471223095</v>
      </c>
      <c r="H380">
        <v>473402826</v>
      </c>
      <c r="I380">
        <v>533320673</v>
      </c>
      <c r="J380">
        <v>544013657</v>
      </c>
      <c r="K380">
        <v>560463570</v>
      </c>
      <c r="L380">
        <v>540643364</v>
      </c>
      <c r="M380">
        <v>516395119</v>
      </c>
      <c r="N380">
        <v>443218764</v>
      </c>
      <c r="O380">
        <v>422861805</v>
      </c>
    </row>
    <row r="381" spans="1:16">
      <c r="A381" t="str">
        <f t="shared" si="5"/>
        <v>GS09KW</v>
      </c>
      <c r="B381" t="s">
        <v>941</v>
      </c>
      <c r="C381" t="s">
        <v>126</v>
      </c>
    </row>
    <row r="382" spans="1:16">
      <c r="A382" t="str">
        <f t="shared" si="5"/>
        <v>GS09N</v>
      </c>
      <c r="B382" t="s">
        <v>941</v>
      </c>
      <c r="C382" t="s">
        <v>127</v>
      </c>
      <c r="D382">
        <v>402713</v>
      </c>
      <c r="E382">
        <v>403251</v>
      </c>
      <c r="F382">
        <v>403709</v>
      </c>
      <c r="G382">
        <v>404300</v>
      </c>
      <c r="H382">
        <v>404881</v>
      </c>
      <c r="I382">
        <v>404581</v>
      </c>
      <c r="J382">
        <v>404846</v>
      </c>
      <c r="K382">
        <v>405106</v>
      </c>
      <c r="L382">
        <v>405382</v>
      </c>
      <c r="M382">
        <v>405746</v>
      </c>
      <c r="N382">
        <v>406152</v>
      </c>
      <c r="O382">
        <v>406488</v>
      </c>
    </row>
    <row r="383" spans="1:16">
      <c r="A383" t="str">
        <f t="shared" si="5"/>
        <v>GS09RLR ENERGY:</v>
      </c>
      <c r="B383" t="s">
        <v>941</v>
      </c>
      <c r="C383" t="s">
        <v>61</v>
      </c>
    </row>
    <row r="384" spans="1:16">
      <c r="A384" t="str">
        <f t="shared" si="5"/>
        <v>GS09KWH</v>
      </c>
      <c r="B384" t="s">
        <v>941</v>
      </c>
      <c r="C384" t="s">
        <v>128</v>
      </c>
      <c r="D384">
        <v>442996535</v>
      </c>
      <c r="E384">
        <v>406558049</v>
      </c>
      <c r="F384">
        <v>439720773</v>
      </c>
      <c r="G384">
        <v>471223095</v>
      </c>
      <c r="H384">
        <v>473402825</v>
      </c>
      <c r="I384">
        <v>533320673</v>
      </c>
      <c r="J384">
        <v>544013658</v>
      </c>
      <c r="K384">
        <v>560524830</v>
      </c>
      <c r="L384">
        <v>540643364</v>
      </c>
      <c r="M384">
        <v>516395119</v>
      </c>
      <c r="N384">
        <v>443218764</v>
      </c>
      <c r="O384">
        <v>422861805</v>
      </c>
    </row>
    <row r="385" spans="1:16">
      <c r="A385" t="str">
        <f t="shared" si="5"/>
        <v>GS09KWH ONPK</v>
      </c>
      <c r="B385" t="s">
        <v>941</v>
      </c>
      <c r="C385" t="s">
        <v>129</v>
      </c>
      <c r="D385">
        <v>102164779</v>
      </c>
      <c r="E385">
        <v>98376793</v>
      </c>
      <c r="F385">
        <v>103617301</v>
      </c>
      <c r="G385">
        <v>157742022</v>
      </c>
      <c r="H385">
        <v>161226724</v>
      </c>
      <c r="I385">
        <v>178410992</v>
      </c>
      <c r="J385">
        <v>175733575</v>
      </c>
      <c r="K385">
        <v>199855438</v>
      </c>
      <c r="L385">
        <v>164428975</v>
      </c>
      <c r="M385">
        <v>180532439</v>
      </c>
      <c r="N385">
        <v>104762548</v>
      </c>
      <c r="O385">
        <v>93865871</v>
      </c>
    </row>
    <row r="386" spans="1:16">
      <c r="A386" t="str">
        <f t="shared" si="5"/>
        <v>GS09KWH OFFPK</v>
      </c>
      <c r="B386" t="s">
        <v>941</v>
      </c>
      <c r="C386" t="s">
        <v>130</v>
      </c>
      <c r="D386">
        <v>340831756</v>
      </c>
      <c r="E386">
        <v>308181256</v>
      </c>
      <c r="F386">
        <v>336103472</v>
      </c>
      <c r="G386">
        <v>313481073</v>
      </c>
      <c r="H386">
        <v>312176101</v>
      </c>
      <c r="I386">
        <v>354909681</v>
      </c>
      <c r="J386">
        <v>368280083</v>
      </c>
      <c r="K386">
        <v>360669393</v>
      </c>
      <c r="L386">
        <v>376214389</v>
      </c>
      <c r="M386">
        <v>335862680</v>
      </c>
      <c r="N386">
        <v>338456216</v>
      </c>
      <c r="O386">
        <v>328995934</v>
      </c>
    </row>
    <row r="387" spans="1:16">
      <c r="A387" t="str">
        <f t="shared" si="5"/>
        <v>GS09KWH ONPK%</v>
      </c>
      <c r="B387" t="s">
        <v>941</v>
      </c>
      <c r="C387" t="s">
        <v>131</v>
      </c>
      <c r="D387" s="5">
        <v>0.23061999999999999</v>
      </c>
      <c r="E387" s="5">
        <v>0.24196999999999999</v>
      </c>
      <c r="F387" s="5">
        <v>0.23563999999999999</v>
      </c>
      <c r="G387" s="5">
        <v>0.33474999999999999</v>
      </c>
      <c r="H387" s="5">
        <v>0.34056999999999998</v>
      </c>
      <c r="I387" s="5">
        <v>0.33452999999999999</v>
      </c>
      <c r="J387" s="5">
        <v>0.32302999999999998</v>
      </c>
      <c r="K387" s="5">
        <v>0.35654999999999998</v>
      </c>
      <c r="L387" s="5">
        <v>0.30414000000000002</v>
      </c>
      <c r="M387" s="5">
        <v>0.34960000000000002</v>
      </c>
      <c r="N387" s="5">
        <v>0.23637</v>
      </c>
      <c r="O387" s="5">
        <v>0.22198000000000001</v>
      </c>
    </row>
    <row r="388" spans="1:16">
      <c r="A388" t="str">
        <f t="shared" si="5"/>
        <v>GS09KWH OFFPK%</v>
      </c>
      <c r="B388" t="s">
        <v>941</v>
      </c>
      <c r="C388" t="s">
        <v>132</v>
      </c>
      <c r="D388" s="5">
        <v>0.76937999999999995</v>
      </c>
      <c r="E388" s="5">
        <v>0.75802999999999998</v>
      </c>
      <c r="F388" s="5">
        <v>0.76436000000000004</v>
      </c>
      <c r="G388" s="5">
        <v>0.66525000000000001</v>
      </c>
      <c r="H388" s="5">
        <v>0.65942999999999996</v>
      </c>
      <c r="I388" s="5">
        <v>0.66547000000000001</v>
      </c>
      <c r="J388" s="5">
        <v>0.67696999999999996</v>
      </c>
      <c r="K388" s="5">
        <v>0.64344999999999997</v>
      </c>
      <c r="L388" s="5">
        <v>0.69586000000000003</v>
      </c>
      <c r="M388" s="5">
        <v>0.65039999999999998</v>
      </c>
      <c r="N388" s="5">
        <v>0.76363000000000003</v>
      </c>
      <c r="O388" s="5">
        <v>0.77802000000000004</v>
      </c>
    </row>
    <row r="389" spans="1:16">
      <c r="A389" t="str">
        <f t="shared" si="5"/>
        <v>GS09DEMAND (KW):</v>
      </c>
      <c r="B389" t="s">
        <v>941</v>
      </c>
      <c r="C389" t="s">
        <v>62</v>
      </c>
    </row>
    <row r="390" spans="1:16">
      <c r="A390" t="str">
        <f t="shared" si="5"/>
        <v>GS09NCP</v>
      </c>
      <c r="B390" t="s">
        <v>941</v>
      </c>
      <c r="C390" t="s">
        <v>133</v>
      </c>
      <c r="D390">
        <v>2050823</v>
      </c>
      <c r="E390">
        <v>1881623</v>
      </c>
      <c r="F390">
        <v>1787686</v>
      </c>
      <c r="G390">
        <v>1974048</v>
      </c>
      <c r="H390">
        <v>1808592</v>
      </c>
      <c r="I390">
        <v>2059033</v>
      </c>
      <c r="J390">
        <v>1945565</v>
      </c>
      <c r="K390">
        <v>2015514</v>
      </c>
      <c r="L390">
        <v>2127107</v>
      </c>
      <c r="M390">
        <v>2054774</v>
      </c>
      <c r="N390">
        <v>1948475</v>
      </c>
      <c r="O390">
        <v>1846402</v>
      </c>
      <c r="P390" s="4"/>
    </row>
    <row r="391" spans="1:16">
      <c r="A391" t="str">
        <f t="shared" si="5"/>
        <v>GS09NCP ONPK</v>
      </c>
      <c r="B391" t="s">
        <v>941</v>
      </c>
      <c r="C391" t="s">
        <v>134</v>
      </c>
      <c r="D391">
        <v>1734985</v>
      </c>
      <c r="E391">
        <v>1664145</v>
      </c>
      <c r="F391">
        <v>1558237</v>
      </c>
      <c r="G391">
        <v>1848489</v>
      </c>
      <c r="H391">
        <v>1690171</v>
      </c>
      <c r="I391">
        <v>1897489</v>
      </c>
      <c r="J391">
        <v>1831491</v>
      </c>
      <c r="K391">
        <v>1900238</v>
      </c>
      <c r="L391">
        <v>1941676</v>
      </c>
      <c r="M391">
        <v>1893710</v>
      </c>
      <c r="N391">
        <v>1704974</v>
      </c>
      <c r="O391">
        <v>1598218</v>
      </c>
    </row>
    <row r="392" spans="1:16">
      <c r="A392" t="str">
        <f t="shared" si="5"/>
        <v>GS09NCP OFFPK</v>
      </c>
      <c r="B392" t="s">
        <v>941</v>
      </c>
      <c r="C392" t="s">
        <v>135</v>
      </c>
      <c r="D392">
        <v>2003966</v>
      </c>
      <c r="E392">
        <v>1834526</v>
      </c>
      <c r="F392">
        <v>1748628</v>
      </c>
      <c r="G392">
        <v>1871531</v>
      </c>
      <c r="H392">
        <v>1745369</v>
      </c>
      <c r="I392">
        <v>1985081</v>
      </c>
      <c r="J392">
        <v>1880146</v>
      </c>
      <c r="K392">
        <v>1916360</v>
      </c>
      <c r="L392">
        <v>2056705</v>
      </c>
      <c r="M392">
        <v>1965345</v>
      </c>
      <c r="N392">
        <v>1913910</v>
      </c>
      <c r="O392">
        <v>1799253</v>
      </c>
    </row>
    <row r="393" spans="1:16">
      <c r="A393" t="str">
        <f t="shared" si="5"/>
        <v>GS09GCP DATE</v>
      </c>
      <c r="B393" t="s">
        <v>941</v>
      </c>
      <c r="C393" t="s">
        <v>136</v>
      </c>
      <c r="D393" t="s">
        <v>908</v>
      </c>
      <c r="E393" t="s">
        <v>915</v>
      </c>
      <c r="F393" t="s">
        <v>23</v>
      </c>
      <c r="G393" t="s">
        <v>241</v>
      </c>
      <c r="H393" t="s">
        <v>207</v>
      </c>
      <c r="I393" t="s">
        <v>917</v>
      </c>
      <c r="J393" t="s">
        <v>41</v>
      </c>
      <c r="K393" t="s">
        <v>942</v>
      </c>
      <c r="L393" t="s">
        <v>16</v>
      </c>
      <c r="M393" t="s">
        <v>141</v>
      </c>
      <c r="N393" t="s">
        <v>25</v>
      </c>
      <c r="O393" t="s">
        <v>3</v>
      </c>
    </row>
    <row r="394" spans="1:16">
      <c r="A394" t="str">
        <f t="shared" si="5"/>
        <v>GS09GCP TIME</v>
      </c>
      <c r="B394" t="s">
        <v>941</v>
      </c>
      <c r="C394" t="s">
        <v>142</v>
      </c>
      <c r="D394" t="s">
        <v>144</v>
      </c>
      <c r="E394" t="s">
        <v>145</v>
      </c>
      <c r="F394" t="s">
        <v>145</v>
      </c>
      <c r="G394" t="s">
        <v>144</v>
      </c>
      <c r="H394" t="s">
        <v>144</v>
      </c>
      <c r="I394" t="s">
        <v>144</v>
      </c>
      <c r="J394" t="s">
        <v>144</v>
      </c>
      <c r="K394" t="s">
        <v>144</v>
      </c>
      <c r="L394" t="s">
        <v>144</v>
      </c>
      <c r="M394" t="s">
        <v>143</v>
      </c>
      <c r="N394" t="s">
        <v>146</v>
      </c>
      <c r="O394" t="s">
        <v>146</v>
      </c>
    </row>
    <row r="395" spans="1:16">
      <c r="A395" t="str">
        <f t="shared" si="5"/>
        <v>GS09GCP</v>
      </c>
      <c r="B395" t="s">
        <v>941</v>
      </c>
      <c r="C395" t="s">
        <v>147</v>
      </c>
      <c r="D395">
        <v>937949</v>
      </c>
      <c r="E395">
        <v>928858</v>
      </c>
      <c r="F395">
        <v>887784</v>
      </c>
      <c r="G395">
        <v>1071615</v>
      </c>
      <c r="H395">
        <v>1043117</v>
      </c>
      <c r="I395">
        <v>1184837</v>
      </c>
      <c r="J395">
        <v>1146447</v>
      </c>
      <c r="K395">
        <v>1199798</v>
      </c>
      <c r="L395">
        <v>1195183</v>
      </c>
      <c r="M395">
        <v>1145880</v>
      </c>
      <c r="N395">
        <v>942631</v>
      </c>
      <c r="O395">
        <v>934253</v>
      </c>
    </row>
    <row r="396" spans="1:16">
      <c r="A396" t="str">
        <f t="shared" si="5"/>
        <v>GS09GCP ONPK</v>
      </c>
      <c r="B396" t="s">
        <v>941</v>
      </c>
      <c r="C396" t="s">
        <v>63</v>
      </c>
      <c r="D396">
        <v>793630</v>
      </c>
      <c r="E396">
        <v>800479</v>
      </c>
      <c r="F396">
        <v>754953</v>
      </c>
      <c r="G396">
        <v>1071615</v>
      </c>
      <c r="H396">
        <v>1043117</v>
      </c>
      <c r="I396">
        <v>1184837</v>
      </c>
      <c r="J396">
        <v>1146447</v>
      </c>
      <c r="K396">
        <v>1199798</v>
      </c>
      <c r="L396">
        <v>1195183</v>
      </c>
      <c r="M396">
        <v>1145880</v>
      </c>
      <c r="N396">
        <v>820052</v>
      </c>
      <c r="O396">
        <v>809889</v>
      </c>
      <c r="P396" s="91"/>
    </row>
    <row r="397" spans="1:16">
      <c r="A397" t="str">
        <f t="shared" si="5"/>
        <v>GS09GCP OFFPK</v>
      </c>
      <c r="B397" t="s">
        <v>941</v>
      </c>
      <c r="C397" t="s">
        <v>64</v>
      </c>
      <c r="D397">
        <v>937949</v>
      </c>
      <c r="E397">
        <v>928858</v>
      </c>
      <c r="F397">
        <v>887784</v>
      </c>
      <c r="G397">
        <v>982006</v>
      </c>
      <c r="H397">
        <v>994347</v>
      </c>
      <c r="I397">
        <v>1111928</v>
      </c>
      <c r="J397">
        <v>1066585</v>
      </c>
      <c r="K397">
        <v>1129783</v>
      </c>
      <c r="L397">
        <v>1156998</v>
      </c>
      <c r="M397">
        <v>1083802</v>
      </c>
      <c r="N397">
        <v>942631</v>
      </c>
      <c r="O397">
        <v>934253</v>
      </c>
    </row>
    <row r="398" spans="1:16">
      <c r="A398" t="str">
        <f t="shared" si="5"/>
        <v>GS09CP</v>
      </c>
      <c r="B398" t="s">
        <v>941</v>
      </c>
      <c r="C398" t="s">
        <v>148</v>
      </c>
      <c r="D398">
        <v>529322</v>
      </c>
      <c r="E398">
        <v>920338</v>
      </c>
      <c r="F398">
        <v>825885</v>
      </c>
      <c r="G398">
        <v>892169</v>
      </c>
      <c r="H398">
        <v>994179</v>
      </c>
      <c r="I398">
        <v>1102751</v>
      </c>
      <c r="J398">
        <v>1084009</v>
      </c>
      <c r="K398">
        <v>1139761</v>
      </c>
      <c r="L398">
        <v>840906</v>
      </c>
      <c r="M398">
        <v>1052737</v>
      </c>
      <c r="N398">
        <v>785247</v>
      </c>
      <c r="O398">
        <v>778060</v>
      </c>
    </row>
    <row r="399" spans="1:16">
      <c r="A399" t="str">
        <f t="shared" si="5"/>
        <v>GS09PERIOD START</v>
      </c>
      <c r="B399" t="s">
        <v>941</v>
      </c>
      <c r="C399" t="s">
        <v>149</v>
      </c>
      <c r="D399" s="1">
        <v>40909</v>
      </c>
      <c r="E399" s="1">
        <v>40940</v>
      </c>
      <c r="F399" s="1">
        <v>40969</v>
      </c>
      <c r="G399" s="1">
        <v>41000</v>
      </c>
      <c r="H399" s="1">
        <v>41030</v>
      </c>
      <c r="I399" s="1">
        <v>41061</v>
      </c>
      <c r="J399" s="1">
        <v>41091</v>
      </c>
      <c r="K399" s="1">
        <v>41122</v>
      </c>
      <c r="L399" s="1">
        <v>41153</v>
      </c>
      <c r="M399" s="1">
        <v>41183</v>
      </c>
      <c r="N399" s="1">
        <v>41214</v>
      </c>
      <c r="O399" s="1">
        <v>41244</v>
      </c>
      <c r="P399" s="5"/>
    </row>
    <row r="400" spans="1:16">
      <c r="A400" t="str">
        <f t="shared" si="5"/>
        <v>GS09NCP LF</v>
      </c>
      <c r="B400" t="s">
        <v>941</v>
      </c>
      <c r="C400" t="s">
        <v>150</v>
      </c>
      <c r="D400" s="5">
        <v>0.2903</v>
      </c>
      <c r="E400" s="5">
        <v>0.31040000000000001</v>
      </c>
      <c r="F400" s="5">
        <v>0.3306</v>
      </c>
      <c r="G400" s="5">
        <v>0.33150000000000002</v>
      </c>
      <c r="H400" s="5">
        <v>0.3518</v>
      </c>
      <c r="I400" s="5">
        <v>0.35970000000000002</v>
      </c>
      <c r="J400" s="5">
        <v>0.37580000000000002</v>
      </c>
      <c r="K400" s="5">
        <v>0.37380000000000002</v>
      </c>
      <c r="L400" s="5">
        <v>0.35299999999999998</v>
      </c>
      <c r="M400" s="5">
        <v>0.33779999999999999</v>
      </c>
      <c r="N400" s="5">
        <v>0.31590000000000001</v>
      </c>
      <c r="O400" s="5">
        <v>0.30780000000000002</v>
      </c>
      <c r="P400" s="5"/>
    </row>
    <row r="401" spans="1:16">
      <c r="A401" t="str">
        <f t="shared" si="5"/>
        <v>GS09NCP LF ONPK</v>
      </c>
      <c r="B401" t="s">
        <v>941</v>
      </c>
      <c r="C401" t="s">
        <v>151</v>
      </c>
      <c r="D401" s="5">
        <v>0.35049999999999998</v>
      </c>
      <c r="E401" s="5">
        <v>0.35189999999999999</v>
      </c>
      <c r="F401" s="5">
        <v>0.37780000000000002</v>
      </c>
      <c r="G401" s="5">
        <v>0.45150000000000001</v>
      </c>
      <c r="H401" s="5">
        <v>0.48180000000000001</v>
      </c>
      <c r="I401" s="5">
        <v>0.4975</v>
      </c>
      <c r="J401" s="5">
        <v>0.50770000000000004</v>
      </c>
      <c r="K401" s="5">
        <v>0.5081</v>
      </c>
      <c r="L401" s="5">
        <v>0.49519999999999997</v>
      </c>
      <c r="M401" s="5">
        <v>0.46050000000000002</v>
      </c>
      <c r="N401" s="5">
        <v>0.36570000000000003</v>
      </c>
      <c r="O401" s="5">
        <v>0.36709999999999998</v>
      </c>
    </row>
    <row r="402" spans="1:16">
      <c r="A402" t="str">
        <f t="shared" si="5"/>
        <v>GS09NCP LF OFFPK</v>
      </c>
      <c r="B402" t="s">
        <v>941</v>
      </c>
      <c r="C402" t="s">
        <v>152</v>
      </c>
      <c r="D402" s="5">
        <v>0.29530000000000001</v>
      </c>
      <c r="E402" s="5">
        <v>0.31819999999999998</v>
      </c>
      <c r="F402" s="5">
        <v>0.33839999999999998</v>
      </c>
      <c r="G402" s="5">
        <v>0.31540000000000001</v>
      </c>
      <c r="H402" s="5">
        <v>0.3276</v>
      </c>
      <c r="I402" s="5">
        <v>0.3367</v>
      </c>
      <c r="J402" s="5">
        <v>0.35289999999999999</v>
      </c>
      <c r="K402" s="5">
        <v>0.35049999999999998</v>
      </c>
      <c r="L402" s="5">
        <v>0.3332</v>
      </c>
      <c r="M402" s="5">
        <v>0.31819999999999998</v>
      </c>
      <c r="N402" s="5">
        <v>0.32040000000000002</v>
      </c>
      <c r="O402" s="5">
        <v>0.31309999999999999</v>
      </c>
      <c r="P402" s="89"/>
    </row>
    <row r="403" spans="1:16">
      <c r="A403" t="str">
        <f t="shared" si="5"/>
        <v>GS09GCP CF</v>
      </c>
      <c r="B403" t="s">
        <v>941</v>
      </c>
      <c r="C403" t="s">
        <v>153</v>
      </c>
      <c r="D403" s="5">
        <v>0.45739999999999997</v>
      </c>
      <c r="E403" s="5">
        <v>0.49359999999999998</v>
      </c>
      <c r="F403" s="5">
        <v>0.49659999999999999</v>
      </c>
      <c r="G403" s="5">
        <v>0.54290000000000005</v>
      </c>
      <c r="H403" s="5">
        <v>0.57679999999999998</v>
      </c>
      <c r="I403" s="5">
        <v>0.57540000000000002</v>
      </c>
      <c r="J403" s="5">
        <v>0.58930000000000005</v>
      </c>
      <c r="K403" s="5">
        <v>0.59530000000000005</v>
      </c>
      <c r="L403" s="5">
        <v>0.56189999999999996</v>
      </c>
      <c r="M403" s="5">
        <v>0.55769999999999997</v>
      </c>
      <c r="N403" s="5">
        <v>0.48380000000000001</v>
      </c>
      <c r="O403" s="5">
        <v>0.50600000000000001</v>
      </c>
    </row>
    <row r="404" spans="1:16">
      <c r="A404" t="str">
        <f t="shared" si="5"/>
        <v>GS09CP CF</v>
      </c>
      <c r="B404" t="s">
        <v>941</v>
      </c>
      <c r="C404" t="s">
        <v>154</v>
      </c>
      <c r="D404" s="5">
        <v>0.2581</v>
      </c>
      <c r="E404" s="5">
        <v>0.48909999999999998</v>
      </c>
      <c r="F404" s="5">
        <v>0.46200000000000002</v>
      </c>
      <c r="G404" s="5">
        <v>0.45190000000000002</v>
      </c>
      <c r="H404" s="5">
        <v>0.54969999999999997</v>
      </c>
      <c r="I404" s="5">
        <v>0.53559999999999997</v>
      </c>
      <c r="J404" s="5">
        <v>0.55720000000000003</v>
      </c>
      <c r="K404" s="5">
        <v>0.5655</v>
      </c>
      <c r="L404" s="5">
        <v>0.39529999999999998</v>
      </c>
      <c r="M404" s="5">
        <v>0.51229999999999998</v>
      </c>
      <c r="N404" s="5">
        <v>0.40300000000000002</v>
      </c>
      <c r="O404" s="5">
        <v>0.4214</v>
      </c>
    </row>
    <row r="405" spans="1:16">
      <c r="A405" t="str">
        <f t="shared" si="5"/>
        <v>GS09GCP LF</v>
      </c>
      <c r="B405" t="s">
        <v>941</v>
      </c>
      <c r="C405" t="s">
        <v>155</v>
      </c>
      <c r="D405" s="5">
        <v>0.63480000000000003</v>
      </c>
      <c r="E405" s="5">
        <v>0.62890000000000001</v>
      </c>
      <c r="F405" s="5">
        <v>0.66569999999999996</v>
      </c>
      <c r="G405" s="5">
        <v>0.61070000000000002</v>
      </c>
      <c r="H405" s="5">
        <v>0.61</v>
      </c>
      <c r="I405" s="5">
        <v>0.62519999999999998</v>
      </c>
      <c r="J405" s="5">
        <v>0.63780000000000003</v>
      </c>
      <c r="K405" s="5">
        <v>0.62790000000000001</v>
      </c>
      <c r="L405" s="5">
        <v>0.62829999999999997</v>
      </c>
      <c r="M405" s="5">
        <v>0.60570000000000002</v>
      </c>
      <c r="N405" s="5">
        <v>0.65300000000000002</v>
      </c>
      <c r="O405" s="5">
        <v>0.60840000000000005</v>
      </c>
    </row>
    <row r="406" spans="1:16">
      <c r="A406" t="str">
        <f t="shared" si="5"/>
        <v>GS09GCP LF ONPK</v>
      </c>
      <c r="B406" t="s">
        <v>941</v>
      </c>
      <c r="C406" t="s">
        <v>156</v>
      </c>
      <c r="D406" s="5">
        <v>0.76629999999999998</v>
      </c>
      <c r="E406" s="5">
        <v>0.73150000000000004</v>
      </c>
      <c r="F406" s="5">
        <v>0.77980000000000005</v>
      </c>
      <c r="G406" s="5">
        <v>0.77880000000000005</v>
      </c>
      <c r="H406" s="5">
        <v>0.78059999999999996</v>
      </c>
      <c r="I406" s="5">
        <v>0.79669999999999996</v>
      </c>
      <c r="J406" s="5">
        <v>0.81100000000000005</v>
      </c>
      <c r="K406" s="5">
        <v>0.80469999999999997</v>
      </c>
      <c r="L406" s="5">
        <v>0.80449999999999999</v>
      </c>
      <c r="M406" s="5">
        <v>0.7611</v>
      </c>
      <c r="N406" s="5">
        <v>0.76039999999999996</v>
      </c>
      <c r="O406" s="5">
        <v>0.72440000000000004</v>
      </c>
    </row>
    <row r="407" spans="1:16">
      <c r="A407" t="str">
        <f t="shared" si="5"/>
        <v>GS09GCP LF OFFPK</v>
      </c>
      <c r="B407" t="s">
        <v>941</v>
      </c>
      <c r="C407" t="s">
        <v>157</v>
      </c>
      <c r="D407" s="5">
        <v>0.63090000000000002</v>
      </c>
      <c r="E407" s="5">
        <v>0.62839999999999996</v>
      </c>
      <c r="F407" s="5">
        <v>0.66649999999999998</v>
      </c>
      <c r="G407" s="5">
        <v>0.60119999999999996</v>
      </c>
      <c r="H407" s="5">
        <v>0.57499999999999996</v>
      </c>
      <c r="I407" s="5">
        <v>0.60109999999999997</v>
      </c>
      <c r="J407" s="5">
        <v>0.62209999999999999</v>
      </c>
      <c r="K407" s="5">
        <v>0.59450000000000003</v>
      </c>
      <c r="L407" s="5">
        <v>0.59230000000000005</v>
      </c>
      <c r="M407" s="5">
        <v>0.57709999999999995</v>
      </c>
      <c r="N407" s="5">
        <v>0.65049999999999997</v>
      </c>
      <c r="O407" s="5">
        <v>0.60299999999999998</v>
      </c>
      <c r="P407" s="87"/>
    </row>
    <row r="408" spans="1:16">
      <c r="A408" t="str">
        <f t="shared" si="5"/>
        <v>GS09CP LF</v>
      </c>
      <c r="B408" t="s">
        <v>941</v>
      </c>
      <c r="C408" t="s">
        <v>158</v>
      </c>
      <c r="D408" s="5">
        <v>1.1249</v>
      </c>
      <c r="E408" s="5">
        <v>0.63470000000000004</v>
      </c>
      <c r="F408" s="5">
        <v>0.71560000000000001</v>
      </c>
      <c r="G408" s="5">
        <v>0.73360000000000003</v>
      </c>
      <c r="H408" s="5">
        <v>0.64</v>
      </c>
      <c r="I408" s="5">
        <v>0.67169999999999996</v>
      </c>
      <c r="J408" s="5">
        <v>0.67449999999999999</v>
      </c>
      <c r="K408" s="5">
        <v>0.66100000000000003</v>
      </c>
      <c r="L408" s="5">
        <v>0.89300000000000002</v>
      </c>
      <c r="M408" s="5">
        <v>0.6593</v>
      </c>
      <c r="N408" s="5">
        <v>0.78390000000000004</v>
      </c>
      <c r="O408" s="5">
        <v>0.73050000000000004</v>
      </c>
    </row>
    <row r="409" spans="1:16">
      <c r="A409" t="str">
        <f t="shared" si="5"/>
        <v>GS09REL PREC:</v>
      </c>
      <c r="B409" t="s">
        <v>941</v>
      </c>
      <c r="C409" t="s">
        <v>65</v>
      </c>
    </row>
    <row r="410" spans="1:16">
      <c r="A410" t="str">
        <f t="shared" si="5"/>
        <v>GS09NCP RP</v>
      </c>
      <c r="B410" t="s">
        <v>941</v>
      </c>
      <c r="C410" t="s">
        <v>159</v>
      </c>
      <c r="D410" s="5">
        <v>7.5700000000000003E-2</v>
      </c>
      <c r="E410" s="5">
        <v>8.0100000000000005E-2</v>
      </c>
      <c r="F410" s="5">
        <v>7.1800000000000003E-2</v>
      </c>
      <c r="G410" s="5">
        <v>5.74E-2</v>
      </c>
      <c r="H410" s="5">
        <v>6.4500000000000002E-2</v>
      </c>
      <c r="I410" s="5">
        <v>5.6300000000000003E-2</v>
      </c>
      <c r="J410" s="5">
        <v>5.9400000000000001E-2</v>
      </c>
      <c r="K410" s="5">
        <v>5.3699999999999998E-2</v>
      </c>
      <c r="L410" s="5">
        <v>5.5399999999999998E-2</v>
      </c>
      <c r="M410" s="5">
        <v>5.8099999999999999E-2</v>
      </c>
      <c r="N410" s="5">
        <v>7.0099999999999996E-2</v>
      </c>
      <c r="O410" s="5">
        <v>7.7100000000000002E-2</v>
      </c>
      <c r="P410" s="83"/>
    </row>
    <row r="411" spans="1:16">
      <c r="A411" t="str">
        <f t="shared" si="5"/>
        <v>GS09NCP RP ONPK</v>
      </c>
      <c r="B411" t="s">
        <v>941</v>
      </c>
      <c r="C411" t="s">
        <v>160</v>
      </c>
      <c r="D411" s="5">
        <v>7.4700000000000003E-2</v>
      </c>
      <c r="E411" s="5">
        <v>8.0500000000000002E-2</v>
      </c>
      <c r="F411" s="5">
        <v>7.1400000000000005E-2</v>
      </c>
      <c r="G411" s="5">
        <v>5.5899999999999998E-2</v>
      </c>
      <c r="H411" s="5">
        <v>6.0499999999999998E-2</v>
      </c>
      <c r="I411" s="5">
        <v>5.2600000000000001E-2</v>
      </c>
      <c r="J411" s="5">
        <v>5.6300000000000003E-2</v>
      </c>
      <c r="K411" s="5">
        <v>5.2200000000000003E-2</v>
      </c>
      <c r="L411" s="5">
        <v>5.2200000000000003E-2</v>
      </c>
      <c r="M411" s="5">
        <v>5.3800000000000001E-2</v>
      </c>
      <c r="N411" s="5">
        <v>6.9599999999999995E-2</v>
      </c>
      <c r="O411" s="5">
        <v>7.4399999999999994E-2</v>
      </c>
      <c r="P411" s="1"/>
    </row>
    <row r="412" spans="1:16">
      <c r="A412" t="str">
        <f t="shared" si="5"/>
        <v>GS09NCP RP OFFPK</v>
      </c>
      <c r="B412" t="s">
        <v>941</v>
      </c>
      <c r="C412" t="s">
        <v>161</v>
      </c>
      <c r="D412" s="5">
        <v>7.5200000000000003E-2</v>
      </c>
      <c r="E412" s="5">
        <v>7.8100000000000003E-2</v>
      </c>
      <c r="F412" s="5">
        <v>6.83E-2</v>
      </c>
      <c r="G412" s="5">
        <v>5.7200000000000001E-2</v>
      </c>
      <c r="H412" s="5">
        <v>6.3200000000000006E-2</v>
      </c>
      <c r="I412" s="5">
        <v>5.57E-2</v>
      </c>
      <c r="J412" s="5">
        <v>6.0199999999999997E-2</v>
      </c>
      <c r="K412" s="5">
        <v>5.2200000000000003E-2</v>
      </c>
      <c r="L412" s="5">
        <v>5.5399999999999998E-2</v>
      </c>
      <c r="M412" s="5">
        <v>5.7700000000000001E-2</v>
      </c>
      <c r="N412" s="5">
        <v>6.9800000000000001E-2</v>
      </c>
      <c r="O412" s="5">
        <v>7.4800000000000005E-2</v>
      </c>
      <c r="P412" s="5"/>
    </row>
    <row r="413" spans="1:16">
      <c r="A413" t="str">
        <f t="shared" si="5"/>
        <v>GS09GCP RP</v>
      </c>
      <c r="B413" t="s">
        <v>941</v>
      </c>
      <c r="C413" t="s">
        <v>162</v>
      </c>
      <c r="D413" s="5">
        <v>8.1799999999999998E-2</v>
      </c>
      <c r="E413" s="5">
        <v>9.6500000000000002E-2</v>
      </c>
      <c r="F413" s="5">
        <v>8.6400000000000005E-2</v>
      </c>
      <c r="G413" s="5">
        <v>7.46E-2</v>
      </c>
      <c r="H413" s="5">
        <v>7.2800000000000004E-2</v>
      </c>
      <c r="I413" s="5">
        <v>6.3799999999999996E-2</v>
      </c>
      <c r="J413" s="5">
        <v>6.3399999999999998E-2</v>
      </c>
      <c r="K413" s="5">
        <v>6.2399999999999997E-2</v>
      </c>
      <c r="L413" s="5">
        <v>6.3399999999999998E-2</v>
      </c>
      <c r="M413" s="5">
        <v>6.7900000000000002E-2</v>
      </c>
      <c r="N413" s="5">
        <v>8.5800000000000001E-2</v>
      </c>
      <c r="O413" s="5">
        <v>9.0499999999999997E-2</v>
      </c>
      <c r="P413" s="5"/>
    </row>
    <row r="414" spans="1:16">
      <c r="A414" t="str">
        <f t="shared" si="5"/>
        <v>GS09GCP RP ONPK</v>
      </c>
      <c r="B414" t="s">
        <v>941</v>
      </c>
      <c r="C414" t="s">
        <v>163</v>
      </c>
      <c r="D414" s="5">
        <v>6.2700000000000006E-2</v>
      </c>
      <c r="E414" s="5">
        <v>9.9699999999999997E-2</v>
      </c>
      <c r="F414" s="5">
        <v>8.5999999999999993E-2</v>
      </c>
      <c r="G414" s="5">
        <v>7.46E-2</v>
      </c>
      <c r="H414" s="5">
        <v>7.2800000000000004E-2</v>
      </c>
      <c r="I414" s="5">
        <v>6.3799999999999996E-2</v>
      </c>
      <c r="J414" s="5">
        <v>6.3399999999999998E-2</v>
      </c>
      <c r="K414" s="5">
        <v>6.2399999999999997E-2</v>
      </c>
      <c r="L414" s="5">
        <v>6.3399999999999998E-2</v>
      </c>
      <c r="M414" s="5">
        <v>6.7900000000000002E-2</v>
      </c>
      <c r="N414" s="5">
        <v>8.5099999999999995E-2</v>
      </c>
      <c r="O414" s="5">
        <v>9.9599999999999994E-2</v>
      </c>
      <c r="P414" s="5"/>
    </row>
    <row r="415" spans="1:16">
      <c r="A415" t="str">
        <f t="shared" si="5"/>
        <v>GS09GCP RP OFFPK</v>
      </c>
      <c r="B415" t="s">
        <v>941</v>
      </c>
      <c r="C415" t="s">
        <v>164</v>
      </c>
      <c r="D415" s="5">
        <v>8.1799999999999998E-2</v>
      </c>
      <c r="E415" s="5">
        <v>9.6500000000000002E-2</v>
      </c>
      <c r="F415" s="5">
        <v>8.6400000000000005E-2</v>
      </c>
      <c r="G415" s="5">
        <v>7.6899999999999996E-2</v>
      </c>
      <c r="H415" s="5">
        <v>7.3700000000000002E-2</v>
      </c>
      <c r="I415" s="5">
        <v>6.7199999999999996E-2</v>
      </c>
      <c r="J415" s="5">
        <v>7.1400000000000005E-2</v>
      </c>
      <c r="K415" s="5">
        <v>6.7400000000000002E-2</v>
      </c>
      <c r="L415" s="5">
        <v>6.83E-2</v>
      </c>
      <c r="M415" s="5">
        <v>7.1999999999999995E-2</v>
      </c>
      <c r="N415" s="5">
        <v>8.5800000000000001E-2</v>
      </c>
      <c r="O415" s="5">
        <v>9.0499999999999997E-2</v>
      </c>
      <c r="P415" s="5"/>
    </row>
    <row r="416" spans="1:16">
      <c r="A416" t="str">
        <f t="shared" si="5"/>
        <v>GS09CP RP</v>
      </c>
      <c r="B416" t="s">
        <v>941</v>
      </c>
      <c r="C416" t="s">
        <v>165</v>
      </c>
      <c r="D416" s="5">
        <v>0.1293</v>
      </c>
      <c r="E416" s="5">
        <v>9.3799999999999994E-2</v>
      </c>
      <c r="F416" s="5">
        <v>8.7599999999999997E-2</v>
      </c>
      <c r="G416" s="5">
        <v>7.3499999999999996E-2</v>
      </c>
      <c r="H416" s="5">
        <v>6.9699999999999998E-2</v>
      </c>
      <c r="I416" s="5">
        <v>5.8700000000000002E-2</v>
      </c>
      <c r="J416" s="5">
        <v>6.25E-2</v>
      </c>
      <c r="K416" s="5">
        <v>6.0699999999999997E-2</v>
      </c>
      <c r="L416" s="5">
        <v>7.3800000000000004E-2</v>
      </c>
      <c r="M416" s="5">
        <v>6.93E-2</v>
      </c>
      <c r="N416" s="5">
        <v>5.7700000000000001E-2</v>
      </c>
      <c r="O416" s="5">
        <v>7.0800000000000002E-2</v>
      </c>
      <c r="P416" s="5"/>
    </row>
    <row r="417" spans="1:16">
      <c r="A417" t="str">
        <f t="shared" si="5"/>
        <v>GS09SAMPLE SIZE:</v>
      </c>
      <c r="B417" t="s">
        <v>941</v>
      </c>
      <c r="C417" t="s">
        <v>66</v>
      </c>
      <c r="P417" s="5"/>
    </row>
    <row r="418" spans="1:16">
      <c r="A418" t="str">
        <f t="shared" si="5"/>
        <v>GS09GCPSZ</v>
      </c>
      <c r="B418" t="s">
        <v>941</v>
      </c>
      <c r="C418" t="s">
        <v>166</v>
      </c>
      <c r="D418">
        <v>281</v>
      </c>
      <c r="E418">
        <v>278</v>
      </c>
      <c r="F418">
        <v>279</v>
      </c>
      <c r="G418">
        <v>278</v>
      </c>
      <c r="H418">
        <v>282</v>
      </c>
      <c r="I418">
        <v>285</v>
      </c>
      <c r="J418">
        <v>284</v>
      </c>
      <c r="K418">
        <v>285</v>
      </c>
      <c r="L418">
        <v>286</v>
      </c>
      <c r="M418">
        <v>284</v>
      </c>
      <c r="N418">
        <v>284</v>
      </c>
      <c r="O418">
        <v>283</v>
      </c>
      <c r="P418" s="5"/>
    </row>
    <row r="419" spans="1:16">
      <c r="A419" t="str">
        <f t="shared" si="5"/>
        <v>GS09GCPSZ ONPK</v>
      </c>
      <c r="B419" t="s">
        <v>941</v>
      </c>
      <c r="C419" t="s">
        <v>167</v>
      </c>
      <c r="D419">
        <v>281</v>
      </c>
      <c r="E419">
        <v>278</v>
      </c>
      <c r="F419">
        <v>279</v>
      </c>
      <c r="G419">
        <v>278</v>
      </c>
      <c r="H419">
        <v>282</v>
      </c>
      <c r="I419">
        <v>285</v>
      </c>
      <c r="J419">
        <v>284</v>
      </c>
      <c r="K419">
        <v>285</v>
      </c>
      <c r="L419">
        <v>286</v>
      </c>
      <c r="M419">
        <v>284</v>
      </c>
      <c r="N419">
        <v>284</v>
      </c>
      <c r="O419">
        <v>283</v>
      </c>
      <c r="P419" s="5"/>
    </row>
    <row r="420" spans="1:16">
      <c r="A420" t="str">
        <f t="shared" si="5"/>
        <v>GS09GCPSZ OFFPK</v>
      </c>
      <c r="B420" t="s">
        <v>941</v>
      </c>
      <c r="C420" t="s">
        <v>168</v>
      </c>
      <c r="D420">
        <v>281</v>
      </c>
      <c r="E420">
        <v>278</v>
      </c>
      <c r="F420">
        <v>279</v>
      </c>
      <c r="G420">
        <v>278</v>
      </c>
      <c r="H420">
        <v>282</v>
      </c>
      <c r="I420">
        <v>285</v>
      </c>
      <c r="J420">
        <v>284</v>
      </c>
      <c r="K420">
        <v>285</v>
      </c>
      <c r="L420">
        <v>286</v>
      </c>
      <c r="M420">
        <v>284</v>
      </c>
      <c r="N420">
        <v>284</v>
      </c>
      <c r="O420">
        <v>283</v>
      </c>
      <c r="P420" s="5"/>
    </row>
    <row r="421" spans="1:16">
      <c r="A421" t="str">
        <f t="shared" si="5"/>
        <v>GS09CPSZ</v>
      </c>
      <c r="B421" t="s">
        <v>941</v>
      </c>
      <c r="C421" t="s">
        <v>169</v>
      </c>
      <c r="D421">
        <v>281</v>
      </c>
      <c r="E421">
        <v>278</v>
      </c>
      <c r="F421">
        <v>279</v>
      </c>
      <c r="G421">
        <v>278</v>
      </c>
      <c r="H421">
        <v>282</v>
      </c>
      <c r="I421">
        <v>285</v>
      </c>
      <c r="J421">
        <v>284</v>
      </c>
      <c r="K421">
        <v>285</v>
      </c>
      <c r="L421">
        <v>286</v>
      </c>
      <c r="M421">
        <v>284</v>
      </c>
      <c r="N421">
        <v>284</v>
      </c>
      <c r="O421">
        <v>283</v>
      </c>
    </row>
    <row r="422" spans="1:16">
      <c r="A422" t="str">
        <f t="shared" si="5"/>
        <v/>
      </c>
      <c r="P422" s="5"/>
    </row>
    <row r="423" spans="1:16">
      <c r="A423" t="str">
        <f t="shared" si="5"/>
        <v/>
      </c>
      <c r="P423" s="5"/>
    </row>
    <row r="424" spans="1:16">
      <c r="A424" t="str">
        <f t="shared" si="5"/>
        <v/>
      </c>
      <c r="P424" s="5"/>
    </row>
    <row r="425" spans="1:16">
      <c r="A425" t="str">
        <f t="shared" si="5"/>
        <v/>
      </c>
      <c r="P425" s="5"/>
    </row>
    <row r="426" spans="1:16">
      <c r="A426" t="str">
        <f t="shared" si="5"/>
        <v/>
      </c>
      <c r="P426" s="5"/>
    </row>
    <row r="427" spans="1:16">
      <c r="A427" t="str">
        <f t="shared" si="5"/>
        <v/>
      </c>
      <c r="P427" s="5"/>
    </row>
    <row r="428" spans="1:16">
      <c r="A428" t="str">
        <f t="shared" si="5"/>
        <v/>
      </c>
      <c r="P428" s="5"/>
    </row>
    <row r="429" spans="1:16">
      <c r="A429" t="str">
        <f t="shared" si="5"/>
        <v/>
      </c>
    </row>
    <row r="430" spans="1:16">
      <c r="A430" t="str">
        <f t="shared" si="5"/>
        <v/>
      </c>
    </row>
    <row r="431" spans="1:16">
      <c r="A431" t="str">
        <f t="shared" si="5"/>
        <v xml:space="preserve">GS09 GS(T)-1 General Service Non Demand including TOU (0-20 kW)  (Sampled) </v>
      </c>
      <c r="B431" t="s">
        <v>940</v>
      </c>
      <c r="C431" t="s">
        <v>631</v>
      </c>
    </row>
    <row r="432" spans="1:16">
      <c r="A432" t="str">
        <f t="shared" si="5"/>
        <v xml:space="preserve">GS09MONTH </v>
      </c>
      <c r="B432" t="s">
        <v>941</v>
      </c>
      <c r="C432" t="s">
        <v>123</v>
      </c>
      <c r="D432" s="4">
        <v>40909</v>
      </c>
      <c r="E432" s="4">
        <v>40940</v>
      </c>
      <c r="F432" s="4">
        <v>40969</v>
      </c>
      <c r="G432" s="4">
        <v>41000</v>
      </c>
      <c r="H432" s="4">
        <v>41030</v>
      </c>
      <c r="I432" s="4">
        <v>41061</v>
      </c>
      <c r="J432" s="4">
        <v>41091</v>
      </c>
      <c r="K432" s="4">
        <v>41122</v>
      </c>
      <c r="L432" s="4">
        <v>41153</v>
      </c>
      <c r="M432" s="4">
        <v>41183</v>
      </c>
      <c r="N432" s="4">
        <v>41214</v>
      </c>
      <c r="O432" s="4">
        <v>41244</v>
      </c>
    </row>
    <row r="433" spans="1:16">
      <c r="A433" t="str">
        <f t="shared" si="5"/>
        <v/>
      </c>
    </row>
    <row r="434" spans="1:16">
      <c r="A434" t="str">
        <f t="shared" si="5"/>
        <v>GS09SDR GCP</v>
      </c>
      <c r="B434" t="s">
        <v>941</v>
      </c>
      <c r="C434" t="s">
        <v>171</v>
      </c>
      <c r="D434">
        <v>1.2549999999999999</v>
      </c>
      <c r="E434">
        <v>1.5029999999999999</v>
      </c>
      <c r="F434">
        <v>1.2509999999999999</v>
      </c>
      <c r="G434">
        <v>1.3149999999999999</v>
      </c>
      <c r="H434">
        <v>1.2490000000000001</v>
      </c>
      <c r="I434">
        <v>1.2509999999999999</v>
      </c>
      <c r="J434">
        <v>1.1950000000000001</v>
      </c>
      <c r="K434">
        <v>1.2470000000000001</v>
      </c>
      <c r="L434">
        <v>1.258</v>
      </c>
      <c r="M434">
        <v>1.2749999999999999</v>
      </c>
      <c r="N434">
        <v>1.343</v>
      </c>
      <c r="O434">
        <v>1.3859999999999999</v>
      </c>
    </row>
    <row r="435" spans="1:16">
      <c r="A435" t="str">
        <f t="shared" si="5"/>
        <v>GS09SDR GCP ONPK</v>
      </c>
      <c r="B435" t="s">
        <v>941</v>
      </c>
      <c r="C435" t="s">
        <v>172</v>
      </c>
      <c r="D435">
        <v>0.80300000000000005</v>
      </c>
      <c r="E435">
        <v>1.351</v>
      </c>
      <c r="F435">
        <v>1.0529999999999999</v>
      </c>
      <c r="G435">
        <v>1.3149999999999999</v>
      </c>
      <c r="H435">
        <v>1.2490000000000001</v>
      </c>
      <c r="I435">
        <v>1.2509999999999999</v>
      </c>
      <c r="J435">
        <v>1.1950000000000001</v>
      </c>
      <c r="K435">
        <v>1.2470000000000001</v>
      </c>
      <c r="L435">
        <v>1.258</v>
      </c>
      <c r="M435">
        <v>1.2749999999999999</v>
      </c>
      <c r="N435">
        <v>1.147</v>
      </c>
      <c r="O435">
        <v>1.3180000000000001</v>
      </c>
    </row>
    <row r="436" spans="1:16">
      <c r="A436" t="str">
        <f t="shared" si="5"/>
        <v>GS09SDR GCP OFFP</v>
      </c>
      <c r="B436" t="s">
        <v>941</v>
      </c>
      <c r="C436" t="s">
        <v>219</v>
      </c>
      <c r="D436">
        <v>1.2549999999999999</v>
      </c>
      <c r="E436">
        <v>1.5029999999999999</v>
      </c>
      <c r="F436">
        <v>1.2509999999999999</v>
      </c>
      <c r="G436">
        <v>1.2310000000000001</v>
      </c>
      <c r="H436">
        <v>1.1910000000000001</v>
      </c>
      <c r="I436">
        <v>1.234</v>
      </c>
      <c r="J436">
        <v>1.246</v>
      </c>
      <c r="K436">
        <v>1.252</v>
      </c>
      <c r="L436">
        <v>1.3169999999999999</v>
      </c>
      <c r="M436">
        <v>1.2889999999999999</v>
      </c>
      <c r="N436">
        <v>1.343</v>
      </c>
      <c r="O436">
        <v>1.3859999999999999</v>
      </c>
      <c r="P436" s="4"/>
    </row>
    <row r="437" spans="1:16">
      <c r="A437" t="str">
        <f t="shared" si="5"/>
        <v>GS09SDR CP</v>
      </c>
      <c r="B437" t="s">
        <v>941</v>
      </c>
      <c r="C437" t="s">
        <v>174</v>
      </c>
      <c r="D437">
        <v>1.167</v>
      </c>
      <c r="E437">
        <v>1.425</v>
      </c>
      <c r="F437">
        <v>1.1859999999999999</v>
      </c>
      <c r="G437">
        <v>1.0509999999999999</v>
      </c>
      <c r="H437">
        <v>1.1379999999999999</v>
      </c>
      <c r="I437">
        <v>1.0429999999999999</v>
      </c>
      <c r="J437">
        <v>1.103</v>
      </c>
      <c r="K437">
        <v>1.137</v>
      </c>
      <c r="L437">
        <v>1.0209999999999999</v>
      </c>
      <c r="M437">
        <v>1.1990000000000001</v>
      </c>
      <c r="N437">
        <v>0.72499999999999998</v>
      </c>
      <c r="O437">
        <v>0.90800000000000003</v>
      </c>
    </row>
    <row r="438" spans="1:16">
      <c r="A438" t="str">
        <f t="shared" ref="A438:A501" si="6">B438&amp;C438</f>
        <v/>
      </c>
    </row>
    <row r="439" spans="1:16">
      <c r="A439" t="str">
        <f t="shared" si="6"/>
        <v>GS09I   SDR GCP</v>
      </c>
      <c r="B439" t="s">
        <v>941</v>
      </c>
      <c r="C439" t="s">
        <v>220</v>
      </c>
      <c r="D439">
        <v>1.431</v>
      </c>
      <c r="E439">
        <v>1.8160000000000001</v>
      </c>
      <c r="F439">
        <v>1.4470000000000001</v>
      </c>
      <c r="G439">
        <v>1.5309999999999999</v>
      </c>
      <c r="H439">
        <v>1.46</v>
      </c>
      <c r="I439">
        <v>1.4510000000000001</v>
      </c>
      <c r="J439">
        <v>1.3759999999999999</v>
      </c>
      <c r="K439">
        <v>1.4730000000000001</v>
      </c>
      <c r="L439">
        <v>1.4570000000000001</v>
      </c>
      <c r="M439">
        <v>1.4770000000000001</v>
      </c>
      <c r="N439">
        <v>1.5820000000000001</v>
      </c>
      <c r="O439">
        <v>1.603</v>
      </c>
    </row>
    <row r="440" spans="1:16">
      <c r="A440" t="str">
        <f t="shared" si="6"/>
        <v>GS09I   SDR GCP ONPK</v>
      </c>
      <c r="B440" t="s">
        <v>941</v>
      </c>
      <c r="C440" t="s">
        <v>221</v>
      </c>
      <c r="D440">
        <v>0.92100000000000004</v>
      </c>
      <c r="E440">
        <v>1.706</v>
      </c>
      <c r="F440">
        <v>1.1970000000000001</v>
      </c>
      <c r="G440">
        <v>1.5309999999999999</v>
      </c>
      <c r="H440">
        <v>1.46</v>
      </c>
      <c r="I440">
        <v>1.4510000000000001</v>
      </c>
      <c r="J440">
        <v>1.3759999999999999</v>
      </c>
      <c r="K440">
        <v>1.4730000000000001</v>
      </c>
      <c r="L440">
        <v>1.4570000000000001</v>
      </c>
      <c r="M440">
        <v>1.4770000000000001</v>
      </c>
      <c r="N440">
        <v>1.331</v>
      </c>
      <c r="O440">
        <v>1.5069999999999999</v>
      </c>
    </row>
    <row r="441" spans="1:16">
      <c r="A441" t="str">
        <f t="shared" si="6"/>
        <v>GS09I   SDR GCP OFFPK</v>
      </c>
      <c r="B441" t="s">
        <v>941</v>
      </c>
      <c r="C441" t="s">
        <v>222</v>
      </c>
      <c r="D441">
        <v>1.431</v>
      </c>
      <c r="E441">
        <v>1.8160000000000001</v>
      </c>
      <c r="F441">
        <v>1.4470000000000001</v>
      </c>
      <c r="G441">
        <v>1.4019999999999999</v>
      </c>
      <c r="H441">
        <v>1.347</v>
      </c>
      <c r="I441">
        <v>1.4279999999999999</v>
      </c>
      <c r="J441">
        <v>1.419</v>
      </c>
      <c r="K441">
        <v>1.4370000000000001</v>
      </c>
      <c r="L441">
        <v>1.5549999999999999</v>
      </c>
      <c r="M441">
        <v>1.5189999999999999</v>
      </c>
      <c r="N441">
        <v>1.5820000000000001</v>
      </c>
      <c r="O441">
        <v>1.603</v>
      </c>
    </row>
    <row r="442" spans="1:16">
      <c r="A442" t="str">
        <f t="shared" si="6"/>
        <v>GS09I   SDR CP</v>
      </c>
      <c r="B442" t="s">
        <v>941</v>
      </c>
      <c r="C442" t="s">
        <v>638</v>
      </c>
      <c r="D442">
        <v>1.464</v>
      </c>
      <c r="E442">
        <v>1.6919999999999999</v>
      </c>
      <c r="F442">
        <v>1.391</v>
      </c>
      <c r="G442">
        <v>1.1819999999999999</v>
      </c>
      <c r="H442">
        <v>1.32</v>
      </c>
      <c r="I442">
        <v>1.1339999999999999</v>
      </c>
      <c r="J442">
        <v>1.2549999999999999</v>
      </c>
      <c r="K442">
        <v>1.3280000000000001</v>
      </c>
      <c r="L442">
        <v>1.1919999999999999</v>
      </c>
      <c r="M442">
        <v>1.403</v>
      </c>
      <c r="N442">
        <v>0.84099999999999997</v>
      </c>
      <c r="O442">
        <v>1.0960000000000001</v>
      </c>
      <c r="P442" s="91"/>
    </row>
    <row r="443" spans="1:16">
      <c r="A443" t="str">
        <f t="shared" si="6"/>
        <v/>
      </c>
    </row>
    <row r="444" spans="1:16">
      <c r="A444" t="str">
        <f t="shared" si="6"/>
        <v>GS09II  SDR GCP</v>
      </c>
      <c r="B444" t="s">
        <v>941</v>
      </c>
      <c r="C444" t="s">
        <v>223</v>
      </c>
      <c r="D444">
        <v>1.768</v>
      </c>
      <c r="E444">
        <v>2.59</v>
      </c>
      <c r="F444">
        <v>2.327</v>
      </c>
      <c r="G444">
        <v>2.1320000000000001</v>
      </c>
      <c r="H444">
        <v>2.637</v>
      </c>
      <c r="I444">
        <v>2.3559999999999999</v>
      </c>
      <c r="J444">
        <v>2.3650000000000002</v>
      </c>
      <c r="K444">
        <v>2.54</v>
      </c>
      <c r="L444">
        <v>2.8540000000000001</v>
      </c>
      <c r="M444">
        <v>3.15</v>
      </c>
      <c r="N444">
        <v>2.1960000000000002</v>
      </c>
      <c r="O444">
        <v>3.2650000000000001</v>
      </c>
    </row>
    <row r="445" spans="1:16">
      <c r="A445" t="str">
        <f t="shared" si="6"/>
        <v>GS09II  SDR GCP ONPK</v>
      </c>
      <c r="B445" t="s">
        <v>941</v>
      </c>
      <c r="C445" t="s">
        <v>224</v>
      </c>
      <c r="D445">
        <v>2.2040000000000002</v>
      </c>
      <c r="E445">
        <v>2.323</v>
      </c>
      <c r="F445">
        <v>2.3809999999999998</v>
      </c>
      <c r="G445">
        <v>2.1320000000000001</v>
      </c>
      <c r="H445">
        <v>2.637</v>
      </c>
      <c r="I445">
        <v>2.3559999999999999</v>
      </c>
      <c r="J445">
        <v>2.3650000000000002</v>
      </c>
      <c r="K445">
        <v>2.54</v>
      </c>
      <c r="L445">
        <v>2.8540000000000001</v>
      </c>
      <c r="M445">
        <v>3.15</v>
      </c>
      <c r="N445">
        <v>2.4329999999999998</v>
      </c>
      <c r="O445">
        <v>2.375</v>
      </c>
      <c r="P445" s="5"/>
    </row>
    <row r="446" spans="1:16">
      <c r="A446" t="str">
        <f t="shared" si="6"/>
        <v>GS09II  SDR GCP OFFPK</v>
      </c>
      <c r="B446" t="s">
        <v>941</v>
      </c>
      <c r="C446" t="s">
        <v>225</v>
      </c>
      <c r="D446">
        <v>1.768</v>
      </c>
      <c r="E446">
        <v>2.59</v>
      </c>
      <c r="F446">
        <v>2.327</v>
      </c>
      <c r="G446">
        <v>2.0110000000000001</v>
      </c>
      <c r="H446">
        <v>2.1709999999999998</v>
      </c>
      <c r="I446">
        <v>2.859</v>
      </c>
      <c r="J446">
        <v>2.6360000000000001</v>
      </c>
      <c r="K446">
        <v>2.742</v>
      </c>
      <c r="L446">
        <v>2.452</v>
      </c>
      <c r="M446">
        <v>3.2639999999999998</v>
      </c>
      <c r="N446">
        <v>2.1960000000000002</v>
      </c>
      <c r="O446">
        <v>3.2650000000000001</v>
      </c>
      <c r="P446" s="5"/>
    </row>
    <row r="447" spans="1:16">
      <c r="A447" t="str">
        <f t="shared" si="6"/>
        <v>GS09II  SDR CP</v>
      </c>
      <c r="B447" t="s">
        <v>941</v>
      </c>
      <c r="C447" t="s">
        <v>226</v>
      </c>
      <c r="D447">
        <v>1.204</v>
      </c>
      <c r="E447">
        <v>2.6160000000000001</v>
      </c>
      <c r="F447">
        <v>2.653</v>
      </c>
      <c r="G447">
        <v>3.08</v>
      </c>
      <c r="H447">
        <v>2.351</v>
      </c>
      <c r="I447">
        <v>2.895</v>
      </c>
      <c r="J447">
        <v>2.2269999999999999</v>
      </c>
      <c r="K447">
        <v>3.0270000000000001</v>
      </c>
      <c r="L447">
        <v>1.7729999999999999</v>
      </c>
      <c r="M447">
        <v>2.9060000000000001</v>
      </c>
      <c r="N447">
        <v>2.9430000000000001</v>
      </c>
      <c r="O447">
        <v>2.468</v>
      </c>
    </row>
    <row r="448" spans="1:16">
      <c r="A448" t="str">
        <f t="shared" si="6"/>
        <v/>
      </c>
      <c r="P448" s="89"/>
    </row>
    <row r="449" spans="1:16">
      <c r="A449" t="str">
        <f t="shared" si="6"/>
        <v>GS09III SDR GCP</v>
      </c>
      <c r="B449" t="s">
        <v>941</v>
      </c>
      <c r="C449" t="s">
        <v>227</v>
      </c>
      <c r="D449">
        <v>5.3680000000000003</v>
      </c>
      <c r="E449">
        <v>4.4580000000000002</v>
      </c>
      <c r="F449">
        <v>3.9220000000000002</v>
      </c>
      <c r="G449">
        <v>3.6360000000000001</v>
      </c>
      <c r="H449">
        <v>3.4220000000000002</v>
      </c>
      <c r="I449">
        <v>3.3530000000000002</v>
      </c>
      <c r="J449">
        <v>3.24</v>
      </c>
      <c r="K449">
        <v>3.2690000000000001</v>
      </c>
      <c r="L449">
        <v>3.4329999999999998</v>
      </c>
      <c r="M449">
        <v>3.9129999999999998</v>
      </c>
      <c r="N449">
        <v>4.3010000000000002</v>
      </c>
      <c r="O449">
        <v>4.9550000000000001</v>
      </c>
    </row>
    <row r="450" spans="1:16">
      <c r="A450" t="str">
        <f t="shared" si="6"/>
        <v>GS09III SDR GCP ONPK</v>
      </c>
      <c r="B450" t="s">
        <v>941</v>
      </c>
      <c r="C450" t="s">
        <v>228</v>
      </c>
      <c r="D450">
        <v>3.5819999999999999</v>
      </c>
      <c r="E450">
        <v>2.52</v>
      </c>
      <c r="F450">
        <v>2.875</v>
      </c>
      <c r="G450">
        <v>3.6360000000000001</v>
      </c>
      <c r="H450">
        <v>3.4220000000000002</v>
      </c>
      <c r="I450">
        <v>3.3530000000000002</v>
      </c>
      <c r="J450">
        <v>3.24</v>
      </c>
      <c r="K450">
        <v>3.2690000000000001</v>
      </c>
      <c r="L450">
        <v>3.4329999999999998</v>
      </c>
      <c r="M450">
        <v>3.9129999999999998</v>
      </c>
      <c r="N450">
        <v>3.609</v>
      </c>
      <c r="O450">
        <v>3.7959999999999998</v>
      </c>
    </row>
    <row r="451" spans="1:16">
      <c r="A451" t="str">
        <f t="shared" si="6"/>
        <v>GS09III SDR GCP OFFPK</v>
      </c>
      <c r="B451" t="s">
        <v>941</v>
      </c>
      <c r="C451" t="s">
        <v>229</v>
      </c>
      <c r="D451">
        <v>5.3680000000000003</v>
      </c>
      <c r="E451">
        <v>4.4580000000000002</v>
      </c>
      <c r="F451">
        <v>3.9220000000000002</v>
      </c>
      <c r="G451">
        <v>2.97</v>
      </c>
      <c r="H451">
        <v>3.2909999999999999</v>
      </c>
      <c r="I451">
        <v>3.1560000000000001</v>
      </c>
      <c r="J451">
        <v>3.0510000000000002</v>
      </c>
      <c r="K451">
        <v>3.1749999999999998</v>
      </c>
      <c r="L451">
        <v>3.302</v>
      </c>
      <c r="M451">
        <v>3.7149999999999999</v>
      </c>
      <c r="N451">
        <v>4.3010000000000002</v>
      </c>
      <c r="O451">
        <v>4.9550000000000001</v>
      </c>
    </row>
    <row r="452" spans="1:16">
      <c r="A452" t="str">
        <f t="shared" si="6"/>
        <v>GS09III SDR CP</v>
      </c>
      <c r="B452" t="s">
        <v>941</v>
      </c>
      <c r="C452" t="s">
        <v>230</v>
      </c>
      <c r="D452">
        <v>2.8969999999999998</v>
      </c>
      <c r="E452">
        <v>4.5229999999999997</v>
      </c>
      <c r="F452">
        <v>3.3159999999999998</v>
      </c>
      <c r="G452">
        <v>2.9209999999999998</v>
      </c>
      <c r="H452">
        <v>3.2829999999999999</v>
      </c>
      <c r="I452">
        <v>3.024</v>
      </c>
      <c r="J452">
        <v>3.2050000000000001</v>
      </c>
      <c r="K452">
        <v>3.1269999999999998</v>
      </c>
      <c r="L452">
        <v>2.488</v>
      </c>
      <c r="M452">
        <v>3.2610000000000001</v>
      </c>
      <c r="N452">
        <v>2.4740000000000002</v>
      </c>
      <c r="O452">
        <v>2.62</v>
      </c>
    </row>
    <row r="453" spans="1:16">
      <c r="A453" t="str">
        <f t="shared" si="6"/>
        <v/>
      </c>
      <c r="P453" s="87"/>
    </row>
    <row r="454" spans="1:16">
      <c r="A454" t="str">
        <f t="shared" si="6"/>
        <v>GS09IV  SDR GCP</v>
      </c>
      <c r="B454" t="s">
        <v>941</v>
      </c>
      <c r="C454" t="s">
        <v>231</v>
      </c>
      <c r="D454">
        <v>3.222</v>
      </c>
      <c r="E454">
        <v>3.1269999999999998</v>
      </c>
      <c r="F454">
        <v>3.0720000000000001</v>
      </c>
      <c r="G454">
        <v>3.1760000000000002</v>
      </c>
      <c r="H454">
        <v>2.9660000000000002</v>
      </c>
      <c r="I454">
        <v>3.0470000000000002</v>
      </c>
      <c r="J454">
        <v>2.9820000000000002</v>
      </c>
      <c r="K454">
        <v>2.8559999999999999</v>
      </c>
      <c r="L454">
        <v>3.069</v>
      </c>
      <c r="M454">
        <v>3.1040000000000001</v>
      </c>
      <c r="N454">
        <v>3.1139999999999999</v>
      </c>
      <c r="O454">
        <v>3.383</v>
      </c>
    </row>
    <row r="455" spans="1:16">
      <c r="A455" t="str">
        <f t="shared" si="6"/>
        <v>GS09IV  SDR GCP ONPK</v>
      </c>
      <c r="B455" t="s">
        <v>941</v>
      </c>
      <c r="C455" t="s">
        <v>232</v>
      </c>
      <c r="D455">
        <v>2</v>
      </c>
      <c r="E455">
        <v>2.129</v>
      </c>
      <c r="F455">
        <v>2.718</v>
      </c>
      <c r="G455">
        <v>3.1760000000000002</v>
      </c>
      <c r="H455">
        <v>2.9660000000000002</v>
      </c>
      <c r="I455">
        <v>3.0470000000000002</v>
      </c>
      <c r="J455">
        <v>2.9820000000000002</v>
      </c>
      <c r="K455">
        <v>2.8559999999999999</v>
      </c>
      <c r="L455">
        <v>3.069</v>
      </c>
      <c r="M455">
        <v>3.1040000000000001</v>
      </c>
      <c r="N455">
        <v>2.7850000000000001</v>
      </c>
      <c r="O455">
        <v>3.3620000000000001</v>
      </c>
    </row>
    <row r="456" spans="1:16">
      <c r="A456" t="str">
        <f t="shared" si="6"/>
        <v>GS09IV  SDR GCP OFFPK</v>
      </c>
      <c r="B456" t="s">
        <v>941</v>
      </c>
      <c r="C456" t="s">
        <v>233</v>
      </c>
      <c r="D456">
        <v>3.222</v>
      </c>
      <c r="E456">
        <v>3.1269999999999998</v>
      </c>
      <c r="F456">
        <v>3.0720000000000001</v>
      </c>
      <c r="G456">
        <v>3.17</v>
      </c>
      <c r="H456">
        <v>3.1280000000000001</v>
      </c>
      <c r="I456">
        <v>3.0249999999999999</v>
      </c>
      <c r="J456">
        <v>3.2050000000000001</v>
      </c>
      <c r="K456">
        <v>3.1429999999999998</v>
      </c>
      <c r="L456">
        <v>3.03</v>
      </c>
      <c r="M456">
        <v>2.952</v>
      </c>
      <c r="N456">
        <v>3.1139999999999999</v>
      </c>
      <c r="O456">
        <v>3.383</v>
      </c>
      <c r="P456" s="83"/>
    </row>
    <row r="457" spans="1:16">
      <c r="A457" t="str">
        <f t="shared" si="6"/>
        <v>GS09IV  SDR CP</v>
      </c>
      <c r="B457" t="s">
        <v>941</v>
      </c>
      <c r="C457" t="s">
        <v>234</v>
      </c>
      <c r="D457">
        <v>1.96</v>
      </c>
      <c r="E457">
        <v>3.2029999999999998</v>
      </c>
      <c r="F457">
        <v>2.7759999999999998</v>
      </c>
      <c r="G457">
        <v>2.77</v>
      </c>
      <c r="H457">
        <v>2.77</v>
      </c>
      <c r="I457">
        <v>2.9729999999999999</v>
      </c>
      <c r="J457">
        <v>2.8460000000000001</v>
      </c>
      <c r="K457">
        <v>2.6869999999999998</v>
      </c>
      <c r="L457">
        <v>2.4460000000000002</v>
      </c>
      <c r="M457">
        <v>2.8220000000000001</v>
      </c>
      <c r="N457">
        <v>1.7</v>
      </c>
      <c r="O457">
        <v>1.8779999999999999</v>
      </c>
      <c r="P457" s="1"/>
    </row>
    <row r="458" spans="1:16">
      <c r="A458" t="str">
        <f t="shared" si="6"/>
        <v/>
      </c>
      <c r="P458" s="5"/>
    </row>
    <row r="459" spans="1:16">
      <c r="A459" t="str">
        <f t="shared" si="6"/>
        <v/>
      </c>
      <c r="P459" s="5"/>
    </row>
    <row r="460" spans="1:16">
      <c r="A460" t="str">
        <f t="shared" si="6"/>
        <v/>
      </c>
      <c r="P460" s="5"/>
    </row>
    <row r="461" spans="1:16">
      <c r="A461" t="str">
        <f t="shared" si="6"/>
        <v/>
      </c>
      <c r="P461" s="5"/>
    </row>
    <row r="462" spans="1:16">
      <c r="A462" t="str">
        <f t="shared" si="6"/>
        <v/>
      </c>
      <c r="P462" s="5"/>
    </row>
    <row r="463" spans="1:16">
      <c r="A463" t="str">
        <f t="shared" si="6"/>
        <v/>
      </c>
      <c r="P463" s="5"/>
    </row>
    <row r="464" spans="1:16">
      <c r="A464" t="str">
        <f t="shared" si="6"/>
        <v/>
      </c>
      <c r="P464" s="5"/>
    </row>
    <row r="465" spans="1:16">
      <c r="A465" t="str">
        <f t="shared" si="6"/>
        <v/>
      </c>
      <c r="P465" s="5"/>
    </row>
    <row r="466" spans="1:16">
      <c r="A466" t="str">
        <f t="shared" si="6"/>
        <v/>
      </c>
      <c r="P466" s="5"/>
    </row>
    <row r="467" spans="1:16">
      <c r="A467" t="str">
        <f t="shared" si="6"/>
        <v/>
      </c>
    </row>
    <row r="468" spans="1:16">
      <c r="A468" t="str">
        <f t="shared" si="6"/>
        <v/>
      </c>
      <c r="P468" s="5"/>
    </row>
    <row r="469" spans="1:16">
      <c r="A469" t="str">
        <f t="shared" si="6"/>
        <v/>
      </c>
      <c r="P469" s="5"/>
    </row>
    <row r="470" spans="1:16">
      <c r="A470" t="str">
        <f t="shared" si="6"/>
        <v/>
      </c>
      <c r="P470" s="5"/>
    </row>
    <row r="471" spans="1:16">
      <c r="A471" t="str">
        <f t="shared" si="6"/>
        <v/>
      </c>
      <c r="P471" s="5"/>
    </row>
    <row r="472" spans="1:16">
      <c r="A472" t="str">
        <f t="shared" si="6"/>
        <v/>
      </c>
      <c r="P472" s="5"/>
    </row>
    <row r="473" spans="1:16">
      <c r="A473" t="str">
        <f t="shared" si="6"/>
        <v/>
      </c>
      <c r="P473" s="5"/>
    </row>
    <row r="474" spans="1:16">
      <c r="A474" t="str">
        <f t="shared" si="6"/>
        <v/>
      </c>
      <c r="P474" s="5"/>
    </row>
    <row r="475" spans="1:16">
      <c r="A475" t="str">
        <f t="shared" si="6"/>
        <v/>
      </c>
    </row>
    <row r="476" spans="1:16">
      <c r="A476" t="str">
        <f t="shared" si="6"/>
        <v/>
      </c>
    </row>
    <row r="477" spans="1:16">
      <c r="A477" t="str">
        <f t="shared" si="6"/>
        <v/>
      </c>
    </row>
    <row r="478" spans="1:16">
      <c r="A478" t="str">
        <f t="shared" si="6"/>
        <v/>
      </c>
    </row>
    <row r="479" spans="1:16">
      <c r="A479" t="str">
        <f t="shared" si="6"/>
        <v/>
      </c>
    </row>
    <row r="480" spans="1:16">
      <c r="A480" t="str">
        <f t="shared" si="6"/>
        <v/>
      </c>
    </row>
    <row r="481" spans="1:16">
      <c r="A481" t="str">
        <f t="shared" si="6"/>
        <v/>
      </c>
    </row>
    <row r="482" spans="1:16">
      <c r="A482" t="str">
        <f t="shared" si="6"/>
        <v/>
      </c>
      <c r="P482" s="4"/>
    </row>
    <row r="483" spans="1:16">
      <c r="A483" t="str">
        <f t="shared" si="6"/>
        <v/>
      </c>
    </row>
    <row r="484" spans="1:16">
      <c r="A484" t="str">
        <f t="shared" si="6"/>
        <v/>
      </c>
    </row>
    <row r="485" spans="1:16">
      <c r="A485" t="str">
        <f t="shared" si="6"/>
        <v xml:space="preserve">GSCU09 GSCU-1 General Service Constant Usage (0-20 kW) (Sampled) </v>
      </c>
      <c r="B485" t="s">
        <v>943</v>
      </c>
      <c r="C485" t="s">
        <v>297</v>
      </c>
    </row>
    <row r="486" spans="1:16">
      <c r="A486" t="str">
        <f t="shared" si="6"/>
        <v xml:space="preserve">GSCU09MONTH </v>
      </c>
      <c r="B486" t="s">
        <v>944</v>
      </c>
      <c r="C486" t="s">
        <v>123</v>
      </c>
      <c r="D486" s="4">
        <v>40909</v>
      </c>
      <c r="E486" s="4">
        <v>40940</v>
      </c>
      <c r="F486" s="4">
        <v>40969</v>
      </c>
      <c r="G486" s="4">
        <v>41000</v>
      </c>
      <c r="H486" s="4">
        <v>41030</v>
      </c>
      <c r="I486" s="4">
        <v>41061</v>
      </c>
      <c r="J486" s="4">
        <v>41091</v>
      </c>
      <c r="K486" s="4">
        <v>41122</v>
      </c>
      <c r="L486" s="4">
        <v>41153</v>
      </c>
      <c r="M486" s="4">
        <v>41183</v>
      </c>
      <c r="N486" s="4">
        <v>41214</v>
      </c>
      <c r="O486" s="4">
        <v>41244</v>
      </c>
    </row>
    <row r="487" spans="1:16">
      <c r="A487" t="str">
        <f t="shared" si="6"/>
        <v xml:space="preserve">GSCU09CUSTOMERS </v>
      </c>
      <c r="B487" t="s">
        <v>944</v>
      </c>
      <c r="C487" t="s">
        <v>124</v>
      </c>
      <c r="D487">
        <v>3747</v>
      </c>
      <c r="E487">
        <v>3707</v>
      </c>
      <c r="F487">
        <v>3663</v>
      </c>
      <c r="G487">
        <v>3613</v>
      </c>
      <c r="H487">
        <v>3564</v>
      </c>
      <c r="I487">
        <v>3513</v>
      </c>
      <c r="J487">
        <v>3451</v>
      </c>
      <c r="K487">
        <v>3394</v>
      </c>
      <c r="L487">
        <v>3347</v>
      </c>
      <c r="M487">
        <v>3301</v>
      </c>
      <c r="N487">
        <v>3252</v>
      </c>
      <c r="O487">
        <v>3209</v>
      </c>
    </row>
    <row r="488" spans="1:16">
      <c r="A488" t="str">
        <f t="shared" si="6"/>
        <v xml:space="preserve">GSCU09SALES </v>
      </c>
      <c r="B488" t="s">
        <v>944</v>
      </c>
      <c r="C488" t="s">
        <v>125</v>
      </c>
      <c r="D488">
        <v>2712462</v>
      </c>
      <c r="E488">
        <v>2380979</v>
      </c>
      <c r="F488">
        <v>2417152</v>
      </c>
      <c r="G488">
        <v>2443598</v>
      </c>
      <c r="H488">
        <v>2379805</v>
      </c>
      <c r="I488">
        <v>2439863</v>
      </c>
      <c r="J488">
        <v>2335971</v>
      </c>
      <c r="K488">
        <v>2288478</v>
      </c>
      <c r="L488">
        <v>2223990</v>
      </c>
      <c r="M488">
        <v>2183929</v>
      </c>
      <c r="N488">
        <v>2138289</v>
      </c>
      <c r="O488">
        <v>2151175</v>
      </c>
    </row>
    <row r="489" spans="1:16">
      <c r="A489" t="str">
        <f t="shared" si="6"/>
        <v>GSCU09KW</v>
      </c>
      <c r="B489" t="s">
        <v>944</v>
      </c>
      <c r="C489" t="s">
        <v>126</v>
      </c>
    </row>
    <row r="490" spans="1:16">
      <c r="A490" t="str">
        <f t="shared" si="6"/>
        <v>GSCU09N</v>
      </c>
      <c r="B490" t="s">
        <v>944</v>
      </c>
      <c r="C490" t="s">
        <v>127</v>
      </c>
      <c r="D490">
        <v>3747</v>
      </c>
      <c r="E490">
        <v>3707</v>
      </c>
      <c r="F490">
        <v>3663</v>
      </c>
      <c r="G490">
        <v>3613</v>
      </c>
      <c r="H490">
        <v>3564</v>
      </c>
      <c r="I490">
        <v>3513</v>
      </c>
      <c r="J490">
        <v>3451</v>
      </c>
      <c r="K490">
        <v>3394</v>
      </c>
      <c r="L490">
        <v>3347</v>
      </c>
      <c r="M490">
        <v>3301</v>
      </c>
      <c r="N490">
        <v>3252</v>
      </c>
      <c r="O490">
        <v>3209</v>
      </c>
    </row>
    <row r="491" spans="1:16">
      <c r="A491" t="str">
        <f t="shared" si="6"/>
        <v>GSCU09RLR ENERGY:</v>
      </c>
      <c r="B491" t="s">
        <v>944</v>
      </c>
      <c r="C491" t="s">
        <v>61</v>
      </c>
      <c r="P491" s="5"/>
    </row>
    <row r="492" spans="1:16">
      <c r="A492" t="str">
        <f t="shared" si="6"/>
        <v>GSCU09KWH</v>
      </c>
      <c r="B492" t="s">
        <v>944</v>
      </c>
      <c r="C492" t="s">
        <v>128</v>
      </c>
      <c r="D492">
        <v>2712462</v>
      </c>
      <c r="E492">
        <v>2380979</v>
      </c>
      <c r="F492">
        <v>2417152</v>
      </c>
      <c r="G492">
        <v>2443598</v>
      </c>
      <c r="H492">
        <v>2379805</v>
      </c>
      <c r="I492">
        <v>2439863</v>
      </c>
      <c r="J492">
        <v>2335971</v>
      </c>
      <c r="K492">
        <v>2288478</v>
      </c>
      <c r="L492">
        <v>2223990</v>
      </c>
      <c r="M492">
        <v>2183929</v>
      </c>
      <c r="N492">
        <v>2138289</v>
      </c>
      <c r="O492">
        <v>2151248</v>
      </c>
      <c r="P492" s="5"/>
    </row>
    <row r="493" spans="1:16">
      <c r="A493" t="str">
        <f t="shared" si="6"/>
        <v>GSCU09KWH ONPK</v>
      </c>
      <c r="B493" t="s">
        <v>944</v>
      </c>
      <c r="C493" t="s">
        <v>129</v>
      </c>
      <c r="D493">
        <v>611897</v>
      </c>
      <c r="E493">
        <v>574522</v>
      </c>
      <c r="F493">
        <v>571928</v>
      </c>
      <c r="G493">
        <v>643613</v>
      </c>
      <c r="H493">
        <v>634497</v>
      </c>
      <c r="I493">
        <v>641506</v>
      </c>
      <c r="J493">
        <v>594674</v>
      </c>
      <c r="K493">
        <v>638184</v>
      </c>
      <c r="L493">
        <v>528821</v>
      </c>
      <c r="M493">
        <v>608589</v>
      </c>
      <c r="N493">
        <v>498445</v>
      </c>
      <c r="O493">
        <v>462929</v>
      </c>
    </row>
    <row r="494" spans="1:16">
      <c r="A494" t="str">
        <f t="shared" si="6"/>
        <v>GSCU09KWH OFFPK</v>
      </c>
      <c r="B494" t="s">
        <v>944</v>
      </c>
      <c r="C494" t="s">
        <v>130</v>
      </c>
      <c r="D494">
        <v>2100565</v>
      </c>
      <c r="E494">
        <v>1806457</v>
      </c>
      <c r="F494">
        <v>1845224</v>
      </c>
      <c r="G494">
        <v>1799985</v>
      </c>
      <c r="H494">
        <v>1745308</v>
      </c>
      <c r="I494">
        <v>1798357</v>
      </c>
      <c r="J494">
        <v>1741297</v>
      </c>
      <c r="K494">
        <v>1650294</v>
      </c>
      <c r="L494">
        <v>1695169</v>
      </c>
      <c r="M494">
        <v>1575340</v>
      </c>
      <c r="N494">
        <v>1639844</v>
      </c>
      <c r="O494">
        <v>1688319</v>
      </c>
    </row>
    <row r="495" spans="1:16">
      <c r="A495" t="str">
        <f t="shared" si="6"/>
        <v>GSCU09KWH ONPK%</v>
      </c>
      <c r="B495" t="s">
        <v>944</v>
      </c>
      <c r="C495" t="s">
        <v>131</v>
      </c>
      <c r="D495" s="5">
        <v>0.22559000000000001</v>
      </c>
      <c r="E495" s="5">
        <v>0.24129999999999999</v>
      </c>
      <c r="F495" s="5">
        <v>0.23660999999999999</v>
      </c>
      <c r="G495" s="5">
        <v>0.26339000000000001</v>
      </c>
      <c r="H495" s="5">
        <v>0.26662000000000002</v>
      </c>
      <c r="I495" s="5">
        <v>0.26293</v>
      </c>
      <c r="J495" s="5">
        <v>0.25457000000000002</v>
      </c>
      <c r="K495" s="5">
        <v>0.27887000000000001</v>
      </c>
      <c r="L495" s="5">
        <v>0.23777999999999999</v>
      </c>
      <c r="M495" s="5">
        <v>0.27866999999999997</v>
      </c>
      <c r="N495" s="5">
        <v>0.2331</v>
      </c>
      <c r="O495" s="5">
        <v>0.21518999999999999</v>
      </c>
    </row>
    <row r="496" spans="1:16">
      <c r="A496" t="str">
        <f t="shared" si="6"/>
        <v>GSCU09KWH OFFPK%</v>
      </c>
      <c r="B496" t="s">
        <v>944</v>
      </c>
      <c r="C496" t="s">
        <v>132</v>
      </c>
      <c r="D496" s="5">
        <v>0.77441000000000004</v>
      </c>
      <c r="E496" s="5">
        <v>0.75870000000000004</v>
      </c>
      <c r="F496" s="5">
        <v>0.76339000000000001</v>
      </c>
      <c r="G496" s="5">
        <v>0.73660999999999999</v>
      </c>
      <c r="H496" s="5">
        <v>0.73338000000000003</v>
      </c>
      <c r="I496" s="5">
        <v>0.73707</v>
      </c>
      <c r="J496" s="5">
        <v>0.74543000000000004</v>
      </c>
      <c r="K496" s="5">
        <v>0.72113000000000005</v>
      </c>
      <c r="L496" s="5">
        <v>0.76222000000000001</v>
      </c>
      <c r="M496" s="5">
        <v>0.72133000000000003</v>
      </c>
      <c r="N496" s="5">
        <v>0.76690000000000003</v>
      </c>
      <c r="O496" s="5">
        <v>0.78481000000000001</v>
      </c>
    </row>
    <row r="497" spans="1:16">
      <c r="A497" t="str">
        <f t="shared" si="6"/>
        <v>GSCU09DEMAND (KW):</v>
      </c>
      <c r="B497" t="s">
        <v>944</v>
      </c>
      <c r="C497" t="s">
        <v>62</v>
      </c>
    </row>
    <row r="498" spans="1:16">
      <c r="A498" t="str">
        <f t="shared" si="6"/>
        <v>GSCU09NCP</v>
      </c>
      <c r="B498" t="s">
        <v>944</v>
      </c>
      <c r="C498" t="s">
        <v>133</v>
      </c>
      <c r="D498">
        <v>3859</v>
      </c>
      <c r="E498">
        <v>3543</v>
      </c>
      <c r="F498">
        <v>3394</v>
      </c>
      <c r="G498">
        <v>3626</v>
      </c>
      <c r="H498">
        <v>3322</v>
      </c>
      <c r="I498">
        <v>3630</v>
      </c>
      <c r="J498">
        <v>3266</v>
      </c>
      <c r="K498">
        <v>3361</v>
      </c>
      <c r="L498">
        <v>3258</v>
      </c>
      <c r="M498">
        <v>3105</v>
      </c>
      <c r="N498">
        <v>3212</v>
      </c>
      <c r="O498">
        <v>3088</v>
      </c>
    </row>
    <row r="499" spans="1:16">
      <c r="A499" t="str">
        <f t="shared" si="6"/>
        <v>GSCU09NCP ONPK</v>
      </c>
      <c r="B499" t="s">
        <v>944</v>
      </c>
      <c r="C499" t="s">
        <v>134</v>
      </c>
      <c r="D499">
        <v>3786</v>
      </c>
      <c r="E499">
        <v>3499</v>
      </c>
      <c r="F499">
        <v>3339</v>
      </c>
      <c r="G499">
        <v>3466</v>
      </c>
      <c r="H499">
        <v>3275</v>
      </c>
      <c r="I499">
        <v>3477</v>
      </c>
      <c r="J499">
        <v>3229</v>
      </c>
      <c r="K499">
        <v>3297</v>
      </c>
      <c r="L499">
        <v>3180</v>
      </c>
      <c r="M499">
        <v>3010</v>
      </c>
      <c r="N499">
        <v>3103</v>
      </c>
      <c r="O499">
        <v>3018</v>
      </c>
    </row>
    <row r="500" spans="1:16">
      <c r="A500" t="str">
        <f t="shared" si="6"/>
        <v>GSCU09NCP OFFPK</v>
      </c>
      <c r="B500" t="s">
        <v>944</v>
      </c>
      <c r="C500" t="s">
        <v>135</v>
      </c>
      <c r="D500">
        <v>3835</v>
      </c>
      <c r="E500">
        <v>3526</v>
      </c>
      <c r="F500">
        <v>3384</v>
      </c>
      <c r="G500">
        <v>3622</v>
      </c>
      <c r="H500">
        <v>3318</v>
      </c>
      <c r="I500">
        <v>3611</v>
      </c>
      <c r="J500">
        <v>3237</v>
      </c>
      <c r="K500">
        <v>3223</v>
      </c>
      <c r="L500">
        <v>3231</v>
      </c>
      <c r="M500">
        <v>3086</v>
      </c>
      <c r="N500">
        <v>3170</v>
      </c>
      <c r="O500">
        <v>3026</v>
      </c>
    </row>
    <row r="501" spans="1:16">
      <c r="A501" t="str">
        <f t="shared" si="6"/>
        <v>GSCU09GCP DATE</v>
      </c>
      <c r="B501" t="s">
        <v>944</v>
      </c>
      <c r="C501" t="s">
        <v>136</v>
      </c>
      <c r="D501" t="s">
        <v>945</v>
      </c>
      <c r="E501" t="s">
        <v>946</v>
      </c>
      <c r="F501" t="s">
        <v>947</v>
      </c>
      <c r="G501" t="s">
        <v>948</v>
      </c>
      <c r="H501" t="s">
        <v>949</v>
      </c>
      <c r="I501" t="s">
        <v>211</v>
      </c>
      <c r="J501" t="s">
        <v>178</v>
      </c>
      <c r="K501" t="s">
        <v>950</v>
      </c>
      <c r="L501" t="s">
        <v>951</v>
      </c>
      <c r="M501" t="s">
        <v>212</v>
      </c>
      <c r="N501" t="s">
        <v>46</v>
      </c>
      <c r="O501" t="s">
        <v>205</v>
      </c>
    </row>
    <row r="502" spans="1:16" s="10" customFormat="1">
      <c r="A502" t="str">
        <f t="shared" ref="A502:A565" si="7">B502&amp;C502</f>
        <v>GSCU09GCP TIME</v>
      </c>
      <c r="B502" t="s">
        <v>944</v>
      </c>
      <c r="C502" t="s">
        <v>142</v>
      </c>
      <c r="D502" t="s">
        <v>189</v>
      </c>
      <c r="E502" t="s">
        <v>145</v>
      </c>
      <c r="F502" t="s">
        <v>195</v>
      </c>
      <c r="G502" t="s">
        <v>202</v>
      </c>
      <c r="H502" t="s">
        <v>237</v>
      </c>
      <c r="I502" t="s">
        <v>299</v>
      </c>
      <c r="J502" t="s">
        <v>143</v>
      </c>
      <c r="K502" t="s">
        <v>145</v>
      </c>
      <c r="L502" t="s">
        <v>12</v>
      </c>
      <c r="M502" t="s">
        <v>189</v>
      </c>
      <c r="N502" t="s">
        <v>202</v>
      </c>
      <c r="O502" t="s">
        <v>193</v>
      </c>
    </row>
    <row r="503" spans="1:16">
      <c r="A503" t="str">
        <f t="shared" si="7"/>
        <v>GSCU09GCP</v>
      </c>
      <c r="B503" t="s">
        <v>944</v>
      </c>
      <c r="C503" t="s">
        <v>147</v>
      </c>
      <c r="D503">
        <v>3707</v>
      </c>
      <c r="E503">
        <v>3450</v>
      </c>
      <c r="F503">
        <v>3293</v>
      </c>
      <c r="G503">
        <v>3455</v>
      </c>
      <c r="H503">
        <v>3228</v>
      </c>
      <c r="I503">
        <v>3471</v>
      </c>
      <c r="J503">
        <v>3173</v>
      </c>
      <c r="K503">
        <v>3157</v>
      </c>
      <c r="L503">
        <v>3111</v>
      </c>
      <c r="M503">
        <v>2958</v>
      </c>
      <c r="N503">
        <v>3045</v>
      </c>
      <c r="O503">
        <v>2948</v>
      </c>
      <c r="P503" s="1"/>
    </row>
    <row r="504" spans="1:16">
      <c r="A504" t="str">
        <f t="shared" si="7"/>
        <v>GSCU09GCP ONPK</v>
      </c>
      <c r="B504" t="s">
        <v>944</v>
      </c>
      <c r="C504" t="s">
        <v>63</v>
      </c>
      <c r="D504">
        <v>3700</v>
      </c>
      <c r="E504">
        <v>3443</v>
      </c>
      <c r="F504">
        <v>3285</v>
      </c>
      <c r="G504">
        <v>3418</v>
      </c>
      <c r="H504">
        <v>3223</v>
      </c>
      <c r="I504">
        <v>3408</v>
      </c>
      <c r="J504">
        <v>3173</v>
      </c>
      <c r="K504">
        <v>3157</v>
      </c>
      <c r="L504">
        <v>3107</v>
      </c>
      <c r="M504">
        <v>2953</v>
      </c>
      <c r="N504">
        <v>3045</v>
      </c>
      <c r="O504">
        <v>2948</v>
      </c>
      <c r="P504" s="5"/>
    </row>
    <row r="505" spans="1:16">
      <c r="A505" t="str">
        <f t="shared" si="7"/>
        <v>GSCU09GCP OFFPK</v>
      </c>
      <c r="B505" t="s">
        <v>944</v>
      </c>
      <c r="C505" t="s">
        <v>64</v>
      </c>
      <c r="D505">
        <v>3707</v>
      </c>
      <c r="E505">
        <v>3450</v>
      </c>
      <c r="F505">
        <v>3293</v>
      </c>
      <c r="G505">
        <v>3455</v>
      </c>
      <c r="H505">
        <v>3228</v>
      </c>
      <c r="I505">
        <v>3471</v>
      </c>
      <c r="J505">
        <v>3169</v>
      </c>
      <c r="K505">
        <v>3105</v>
      </c>
      <c r="L505">
        <v>3111</v>
      </c>
      <c r="M505">
        <v>2958</v>
      </c>
      <c r="N505">
        <v>3028</v>
      </c>
      <c r="O505">
        <v>2926</v>
      </c>
      <c r="P505" s="5"/>
    </row>
    <row r="506" spans="1:16">
      <c r="A506" t="str">
        <f t="shared" si="7"/>
        <v>GSCU09CP</v>
      </c>
      <c r="B506" t="s">
        <v>944</v>
      </c>
      <c r="C506" t="s">
        <v>148</v>
      </c>
      <c r="D506">
        <v>3558</v>
      </c>
      <c r="E506">
        <v>3450</v>
      </c>
      <c r="F506">
        <v>3271</v>
      </c>
      <c r="G506">
        <v>3409</v>
      </c>
      <c r="H506">
        <v>3210</v>
      </c>
      <c r="I506">
        <v>3398</v>
      </c>
      <c r="J506">
        <v>3149</v>
      </c>
      <c r="K506">
        <v>3083</v>
      </c>
      <c r="L506">
        <v>3094</v>
      </c>
      <c r="M506">
        <v>2935</v>
      </c>
      <c r="N506">
        <v>2994</v>
      </c>
      <c r="O506">
        <v>2911</v>
      </c>
      <c r="P506" s="5"/>
    </row>
    <row r="507" spans="1:16">
      <c r="A507" t="str">
        <f t="shared" si="7"/>
        <v>GSCU09PERIOD START</v>
      </c>
      <c r="B507" t="s">
        <v>944</v>
      </c>
      <c r="C507" t="s">
        <v>149</v>
      </c>
      <c r="D507" s="1">
        <v>40909</v>
      </c>
      <c r="E507" s="1">
        <v>40940</v>
      </c>
      <c r="F507" s="1">
        <v>40969</v>
      </c>
      <c r="G507" s="1">
        <v>41000</v>
      </c>
      <c r="H507" s="1">
        <v>41030</v>
      </c>
      <c r="I507" s="1">
        <v>41061</v>
      </c>
      <c r="J507" s="1">
        <v>41091</v>
      </c>
      <c r="K507" s="1">
        <v>41122</v>
      </c>
      <c r="L507" s="1">
        <v>41153</v>
      </c>
      <c r="M507" s="1">
        <v>41183</v>
      </c>
      <c r="N507" s="1">
        <v>41214</v>
      </c>
      <c r="O507" s="1">
        <v>41244</v>
      </c>
      <c r="P507" s="5"/>
    </row>
    <row r="508" spans="1:16">
      <c r="A508" t="str">
        <f t="shared" si="7"/>
        <v>GSCU09NCP LF</v>
      </c>
      <c r="B508" t="s">
        <v>944</v>
      </c>
      <c r="C508" t="s">
        <v>150</v>
      </c>
      <c r="D508" s="5">
        <v>0.94479999999999997</v>
      </c>
      <c r="E508" s="5">
        <v>0.96550000000000002</v>
      </c>
      <c r="F508" s="5">
        <v>0.95730000000000004</v>
      </c>
      <c r="G508" s="5">
        <v>0.93589999999999995</v>
      </c>
      <c r="H508" s="5">
        <v>0.96289999999999998</v>
      </c>
      <c r="I508" s="5">
        <v>0.93359999999999999</v>
      </c>
      <c r="J508" s="5">
        <v>0.96120000000000005</v>
      </c>
      <c r="K508" s="5">
        <v>0.91520000000000001</v>
      </c>
      <c r="L508" s="5">
        <v>0.94799999999999995</v>
      </c>
      <c r="M508" s="5">
        <v>0.94550000000000001</v>
      </c>
      <c r="N508" s="5">
        <v>0.92449999999999999</v>
      </c>
      <c r="O508" s="5">
        <v>0.93630000000000002</v>
      </c>
      <c r="P508" s="5"/>
    </row>
    <row r="509" spans="1:16">
      <c r="A509" t="str">
        <f t="shared" si="7"/>
        <v>GSCU09NCP LF ONPK</v>
      </c>
      <c r="B509" t="s">
        <v>944</v>
      </c>
      <c r="C509" t="s">
        <v>151</v>
      </c>
      <c r="D509" s="5">
        <v>0.96199999999999997</v>
      </c>
      <c r="E509" s="5">
        <v>0.97729999999999995</v>
      </c>
      <c r="F509" s="5">
        <v>0.97309999999999997</v>
      </c>
      <c r="G509" s="5">
        <v>0.98250000000000004</v>
      </c>
      <c r="H509" s="5">
        <v>0.97840000000000005</v>
      </c>
      <c r="I509" s="5">
        <v>0.97609999999999997</v>
      </c>
      <c r="J509" s="5">
        <v>0.97440000000000004</v>
      </c>
      <c r="K509" s="5">
        <v>0.93510000000000004</v>
      </c>
      <c r="L509" s="5">
        <v>0.97260000000000002</v>
      </c>
      <c r="M509" s="5">
        <v>0.97689999999999999</v>
      </c>
      <c r="N509" s="5">
        <v>0.95620000000000005</v>
      </c>
      <c r="O509" s="5">
        <v>0.95860000000000001</v>
      </c>
      <c r="P509" s="5"/>
    </row>
    <row r="510" spans="1:16">
      <c r="A510" t="str">
        <f t="shared" si="7"/>
        <v>GSCU09NCP LF OFFPK</v>
      </c>
      <c r="B510" t="s">
        <v>944</v>
      </c>
      <c r="C510" t="s">
        <v>152</v>
      </c>
      <c r="D510" s="5">
        <v>0.95099999999999996</v>
      </c>
      <c r="E510" s="5">
        <v>0.97030000000000005</v>
      </c>
      <c r="F510" s="5">
        <v>0.95989999999999998</v>
      </c>
      <c r="G510" s="5">
        <v>0.93579999999999997</v>
      </c>
      <c r="H510" s="5">
        <v>0.96350000000000002</v>
      </c>
      <c r="I510" s="5">
        <v>0.93789999999999996</v>
      </c>
      <c r="J510" s="5">
        <v>0.96919999999999995</v>
      </c>
      <c r="K510" s="5">
        <v>0.95340000000000003</v>
      </c>
      <c r="L510" s="5">
        <v>0.95569999999999999</v>
      </c>
      <c r="M510" s="5">
        <v>0.9506</v>
      </c>
      <c r="N510" s="5">
        <v>0.93720000000000003</v>
      </c>
      <c r="O510" s="5">
        <v>0.95530000000000004</v>
      </c>
      <c r="P510" s="5"/>
    </row>
    <row r="511" spans="1:16">
      <c r="A511" t="str">
        <f t="shared" si="7"/>
        <v>GSCU09GCP CF</v>
      </c>
      <c r="B511" t="s">
        <v>944</v>
      </c>
      <c r="C511" t="s">
        <v>153</v>
      </c>
      <c r="D511" s="5">
        <v>0.96079999999999999</v>
      </c>
      <c r="E511" s="5">
        <v>0.97370000000000001</v>
      </c>
      <c r="F511" s="5">
        <v>0.97040000000000004</v>
      </c>
      <c r="G511" s="5">
        <v>0.95279999999999998</v>
      </c>
      <c r="H511" s="5">
        <v>0.97160000000000002</v>
      </c>
      <c r="I511" s="5">
        <v>0.95620000000000005</v>
      </c>
      <c r="J511" s="5">
        <v>0.97160000000000002</v>
      </c>
      <c r="K511" s="5">
        <v>0.93940000000000001</v>
      </c>
      <c r="L511" s="5">
        <v>0.95469999999999999</v>
      </c>
      <c r="M511" s="5">
        <v>0.95279999999999998</v>
      </c>
      <c r="N511" s="5">
        <v>0.94799999999999995</v>
      </c>
      <c r="O511" s="5">
        <v>0.95479999999999998</v>
      </c>
      <c r="P511" s="5"/>
    </row>
    <row r="512" spans="1:16">
      <c r="A512" t="str">
        <f t="shared" si="7"/>
        <v>GSCU09CP CF</v>
      </c>
      <c r="B512" t="s">
        <v>944</v>
      </c>
      <c r="C512" t="s">
        <v>154</v>
      </c>
      <c r="D512" s="5">
        <v>0.92220000000000002</v>
      </c>
      <c r="E512" s="5">
        <v>0.97370000000000001</v>
      </c>
      <c r="F512" s="5">
        <v>0.96389999999999998</v>
      </c>
      <c r="G512" s="5">
        <v>0.94010000000000005</v>
      </c>
      <c r="H512" s="5">
        <v>0.96630000000000005</v>
      </c>
      <c r="I512" s="5">
        <v>0.93620000000000003</v>
      </c>
      <c r="J512" s="5">
        <v>0.96399999999999997</v>
      </c>
      <c r="K512" s="5">
        <v>0.9173</v>
      </c>
      <c r="L512" s="5">
        <v>0.94969999999999999</v>
      </c>
      <c r="M512" s="5">
        <v>0.94540000000000002</v>
      </c>
      <c r="N512" s="5">
        <v>0.93200000000000005</v>
      </c>
      <c r="O512" s="5">
        <v>0.94259999999999999</v>
      </c>
      <c r="P512" s="5"/>
    </row>
    <row r="513" spans="1:16">
      <c r="A513" t="str">
        <f t="shared" si="7"/>
        <v>GSCU09GCP LF</v>
      </c>
      <c r="B513" t="s">
        <v>944</v>
      </c>
      <c r="C513" t="s">
        <v>155</v>
      </c>
      <c r="D513" s="5">
        <v>0.98340000000000005</v>
      </c>
      <c r="E513" s="5">
        <v>0.99160000000000004</v>
      </c>
      <c r="F513" s="5">
        <v>0.98650000000000004</v>
      </c>
      <c r="G513" s="5">
        <v>0.98219999999999996</v>
      </c>
      <c r="H513" s="5">
        <v>0.99109999999999998</v>
      </c>
      <c r="I513" s="5">
        <v>0.97640000000000005</v>
      </c>
      <c r="J513" s="5">
        <v>0.98939999999999995</v>
      </c>
      <c r="K513" s="5">
        <v>0.97430000000000005</v>
      </c>
      <c r="L513" s="5">
        <v>0.99299999999999999</v>
      </c>
      <c r="M513" s="5">
        <v>0.99229999999999996</v>
      </c>
      <c r="N513" s="5">
        <v>0.97529999999999994</v>
      </c>
      <c r="O513" s="5">
        <v>0.98070000000000002</v>
      </c>
    </row>
    <row r="514" spans="1:16">
      <c r="A514" t="str">
        <f t="shared" si="7"/>
        <v>GSCU09GCP LF ONPK</v>
      </c>
      <c r="B514" t="s">
        <v>944</v>
      </c>
      <c r="C514" t="s">
        <v>156</v>
      </c>
      <c r="D514" s="5">
        <v>0.98429999999999995</v>
      </c>
      <c r="E514" s="5">
        <v>0.99329999999999996</v>
      </c>
      <c r="F514" s="5">
        <v>0.98919999999999997</v>
      </c>
      <c r="G514" s="5">
        <v>0.99639999999999995</v>
      </c>
      <c r="H514" s="5">
        <v>0.99429999999999996</v>
      </c>
      <c r="I514" s="5">
        <v>0.99590000000000001</v>
      </c>
      <c r="J514" s="5">
        <v>0.99150000000000005</v>
      </c>
      <c r="K514" s="5">
        <v>0.97650000000000003</v>
      </c>
      <c r="L514" s="5">
        <v>0.99550000000000005</v>
      </c>
      <c r="M514" s="5">
        <v>0.99550000000000005</v>
      </c>
      <c r="N514" s="5">
        <v>0.97430000000000005</v>
      </c>
      <c r="O514" s="5">
        <v>0.98129999999999995</v>
      </c>
      <c r="P514" s="5"/>
    </row>
    <row r="515" spans="1:16">
      <c r="A515" t="str">
        <f t="shared" si="7"/>
        <v>GSCU09GCP LF OFFPK</v>
      </c>
      <c r="B515" t="s">
        <v>944</v>
      </c>
      <c r="C515" t="s">
        <v>157</v>
      </c>
      <c r="D515" s="5">
        <v>0.98360000000000003</v>
      </c>
      <c r="E515" s="5">
        <v>0.99170000000000003</v>
      </c>
      <c r="F515" s="5">
        <v>0.98640000000000005</v>
      </c>
      <c r="G515" s="5">
        <v>0.98099999999999998</v>
      </c>
      <c r="H515" s="5">
        <v>0.99039999999999995</v>
      </c>
      <c r="I515" s="5">
        <v>0.9758</v>
      </c>
      <c r="J515" s="5">
        <v>0.99009999999999998</v>
      </c>
      <c r="K515" s="5">
        <v>0.98960000000000004</v>
      </c>
      <c r="L515" s="5">
        <v>0.99270000000000003</v>
      </c>
      <c r="M515" s="5">
        <v>0.99170000000000003</v>
      </c>
      <c r="N515" s="5">
        <v>0.98109999999999997</v>
      </c>
      <c r="O515" s="5">
        <v>0.98799999999999999</v>
      </c>
      <c r="P515" s="5"/>
    </row>
    <row r="516" spans="1:16">
      <c r="A516" t="str">
        <f t="shared" si="7"/>
        <v>GSCU09CP LF</v>
      </c>
      <c r="B516" t="s">
        <v>944</v>
      </c>
      <c r="C516" t="s">
        <v>158</v>
      </c>
      <c r="D516" s="5">
        <v>1.0245</v>
      </c>
      <c r="E516" s="5">
        <v>0.99160000000000004</v>
      </c>
      <c r="F516" s="5">
        <v>0.99319999999999997</v>
      </c>
      <c r="G516" s="5">
        <v>0.99550000000000005</v>
      </c>
      <c r="H516" s="5">
        <v>0.99650000000000005</v>
      </c>
      <c r="I516" s="5">
        <v>0.99719999999999998</v>
      </c>
      <c r="J516" s="5">
        <v>0.99709999999999999</v>
      </c>
      <c r="K516" s="5">
        <v>0.99770000000000003</v>
      </c>
      <c r="L516" s="5">
        <v>0.99829999999999997</v>
      </c>
      <c r="M516" s="5">
        <v>1.0001</v>
      </c>
      <c r="N516" s="5">
        <v>0.99199999999999999</v>
      </c>
      <c r="O516" s="5">
        <v>0.99339999999999995</v>
      </c>
      <c r="P516" s="5"/>
    </row>
    <row r="517" spans="1:16">
      <c r="A517" t="str">
        <f t="shared" si="7"/>
        <v>GSCU09REL PREC:</v>
      </c>
      <c r="B517" t="s">
        <v>944</v>
      </c>
      <c r="C517" t="s">
        <v>65</v>
      </c>
      <c r="P517" s="5"/>
    </row>
    <row r="518" spans="1:16">
      <c r="A518" t="str">
        <f t="shared" si="7"/>
        <v>GSCU09NCP RP</v>
      </c>
      <c r="B518" t="s">
        <v>944</v>
      </c>
      <c r="C518" t="s">
        <v>159</v>
      </c>
      <c r="D518" s="5">
        <v>1.4999999999999999E-2</v>
      </c>
      <c r="E518" s="5">
        <v>8.0999999999999996E-3</v>
      </c>
      <c r="F518" s="5">
        <v>1.0500000000000001E-2</v>
      </c>
      <c r="G518" s="5">
        <v>3.09E-2</v>
      </c>
      <c r="H518" s="5">
        <v>1.5699999999999999E-2</v>
      </c>
      <c r="I518" s="5">
        <v>3.4299999999999997E-2</v>
      </c>
      <c r="J518" s="5">
        <v>1.6500000000000001E-2</v>
      </c>
      <c r="K518" s="5">
        <v>4.2099999999999999E-2</v>
      </c>
      <c r="L518" s="5">
        <v>1.44E-2</v>
      </c>
      <c r="M518" s="5">
        <v>1.67E-2</v>
      </c>
      <c r="N518" s="5">
        <v>4.0300000000000002E-2</v>
      </c>
      <c r="O518" s="5">
        <v>2.8000000000000001E-2</v>
      </c>
      <c r="P518" s="5"/>
    </row>
    <row r="519" spans="1:16">
      <c r="A519" t="str">
        <f t="shared" si="7"/>
        <v>GSCU09NCP RP ONPK</v>
      </c>
      <c r="B519" t="s">
        <v>944</v>
      </c>
      <c r="C519" t="s">
        <v>160</v>
      </c>
      <c r="D519" s="5">
        <v>1.2999999999999999E-2</v>
      </c>
      <c r="E519" s="5">
        <v>5.3E-3</v>
      </c>
      <c r="F519" s="5">
        <v>7.7999999999999996E-3</v>
      </c>
      <c r="G519" s="5">
        <v>6.6E-3</v>
      </c>
      <c r="H519" s="5">
        <v>8.6999999999999994E-3</v>
      </c>
      <c r="I519" s="5">
        <v>8.0999999999999996E-3</v>
      </c>
      <c r="J519" s="5">
        <v>1.38E-2</v>
      </c>
      <c r="K519" s="5">
        <v>4.1500000000000002E-2</v>
      </c>
      <c r="L519" s="5">
        <v>9.4999999999999998E-3</v>
      </c>
      <c r="M519" s="5">
        <v>9.1999999999999998E-3</v>
      </c>
      <c r="N519" s="5">
        <v>3.2899999999999999E-2</v>
      </c>
      <c r="O519" s="5">
        <v>2.7E-2</v>
      </c>
      <c r="P519" s="5"/>
    </row>
    <row r="520" spans="1:16">
      <c r="A520" t="str">
        <f t="shared" si="7"/>
        <v>GSCU09NCP RP OFFPK</v>
      </c>
      <c r="B520" t="s">
        <v>944</v>
      </c>
      <c r="C520" t="s">
        <v>161</v>
      </c>
      <c r="D520" s="5">
        <v>1.44E-2</v>
      </c>
      <c r="E520" s="5">
        <v>7.3000000000000001E-3</v>
      </c>
      <c r="F520" s="5">
        <v>1.03E-2</v>
      </c>
      <c r="G520" s="5">
        <v>3.1E-2</v>
      </c>
      <c r="H520" s="5">
        <v>1.5800000000000002E-2</v>
      </c>
      <c r="I520" s="5">
        <v>3.4299999999999997E-2</v>
      </c>
      <c r="J520" s="5">
        <v>1.11E-2</v>
      </c>
      <c r="K520" s="5">
        <v>1.78E-2</v>
      </c>
      <c r="L520" s="5">
        <v>1.35E-2</v>
      </c>
      <c r="M520" s="5">
        <v>1.52E-2</v>
      </c>
      <c r="N520" s="5">
        <v>3.1E-2</v>
      </c>
      <c r="O520" s="5">
        <v>1.26E-2</v>
      </c>
      <c r="P520" s="5"/>
    </row>
    <row r="521" spans="1:16">
      <c r="A521" t="str">
        <f t="shared" si="7"/>
        <v>GSCU09GCP RP</v>
      </c>
      <c r="B521" t="s">
        <v>944</v>
      </c>
      <c r="C521" t="s">
        <v>162</v>
      </c>
      <c r="D521" s="5">
        <v>1.2500000000000001E-2</v>
      </c>
      <c r="E521" s="5">
        <v>3.0000000000000001E-3</v>
      </c>
      <c r="F521" s="5">
        <v>6.4000000000000003E-3</v>
      </c>
      <c r="G521" s="5">
        <v>2.5399999999999999E-2</v>
      </c>
      <c r="H521" s="5">
        <v>1.2999999999999999E-2</v>
      </c>
      <c r="I521" s="5">
        <v>3.5299999999999998E-2</v>
      </c>
      <c r="J521" s="5">
        <v>1.35E-2</v>
      </c>
      <c r="K521" s="5">
        <v>3.6600000000000001E-2</v>
      </c>
      <c r="L521" s="5">
        <v>7.6E-3</v>
      </c>
      <c r="M521" s="5">
        <v>6.1999999999999998E-3</v>
      </c>
      <c r="N521" s="5">
        <v>3.3000000000000002E-2</v>
      </c>
      <c r="O521" s="5">
        <v>2.7699999999999999E-2</v>
      </c>
    </row>
    <row r="522" spans="1:16">
      <c r="A522" t="str">
        <f t="shared" si="7"/>
        <v>GSCU09GCP RP ONPK</v>
      </c>
      <c r="B522" t="s">
        <v>944</v>
      </c>
      <c r="C522" t="s">
        <v>163</v>
      </c>
      <c r="D522" s="5">
        <v>1.2E-2</v>
      </c>
      <c r="E522" s="5">
        <v>3.0999999999999999E-3</v>
      </c>
      <c r="F522" s="5">
        <v>5.0000000000000001E-3</v>
      </c>
      <c r="G522" s="5">
        <v>2.3E-3</v>
      </c>
      <c r="H522" s="5">
        <v>8.2000000000000007E-3</v>
      </c>
      <c r="I522" s="5">
        <v>2.2000000000000001E-3</v>
      </c>
      <c r="J522" s="5">
        <v>1.35E-2</v>
      </c>
      <c r="K522" s="5">
        <v>3.6600000000000001E-2</v>
      </c>
      <c r="L522" s="5">
        <v>4.4000000000000003E-3</v>
      </c>
      <c r="M522" s="5">
        <v>9.1000000000000004E-3</v>
      </c>
      <c r="N522" s="5">
        <v>3.3000000000000002E-2</v>
      </c>
      <c r="O522" s="5">
        <v>2.7699999999999999E-2</v>
      </c>
    </row>
    <row r="523" spans="1:16">
      <c r="A523" t="str">
        <f t="shared" si="7"/>
        <v>GSCU09GCP RP OFFPK</v>
      </c>
      <c r="B523" t="s">
        <v>944</v>
      </c>
      <c r="C523" t="s">
        <v>164</v>
      </c>
      <c r="D523" s="5">
        <v>1.2500000000000001E-2</v>
      </c>
      <c r="E523" s="5">
        <v>3.0000000000000001E-3</v>
      </c>
      <c r="F523" s="5">
        <v>6.4000000000000003E-3</v>
      </c>
      <c r="G523" s="5">
        <v>2.5399999999999999E-2</v>
      </c>
      <c r="H523" s="5">
        <v>1.2999999999999999E-2</v>
      </c>
      <c r="I523" s="5">
        <v>3.5299999999999998E-2</v>
      </c>
      <c r="J523" s="5">
        <v>1.03E-2</v>
      </c>
      <c r="K523" s="5">
        <v>7.3000000000000001E-3</v>
      </c>
      <c r="L523" s="5">
        <v>7.6E-3</v>
      </c>
      <c r="M523" s="5">
        <v>6.1999999999999998E-3</v>
      </c>
      <c r="N523" s="5">
        <v>2.1299999999999999E-2</v>
      </c>
      <c r="O523" s="5">
        <v>5.1000000000000004E-3</v>
      </c>
    </row>
    <row r="524" spans="1:16">
      <c r="A524" t="str">
        <f t="shared" si="7"/>
        <v>GSCU09CP RP</v>
      </c>
      <c r="B524" t="s">
        <v>944</v>
      </c>
      <c r="C524" t="s">
        <v>165</v>
      </c>
      <c r="D524" s="5">
        <v>6.7999999999999996E-3</v>
      </c>
      <c r="E524" s="5">
        <v>3.0000000000000001E-3</v>
      </c>
      <c r="F524" s="5">
        <v>2.7000000000000001E-3</v>
      </c>
      <c r="G524" s="5">
        <v>2.0999999999999999E-3</v>
      </c>
      <c r="H524" s="5">
        <v>1.5E-3</v>
      </c>
      <c r="I524" s="5">
        <v>1.2999999999999999E-3</v>
      </c>
      <c r="J524" s="5">
        <v>1.4E-3</v>
      </c>
      <c r="K524" s="5">
        <v>1.4E-3</v>
      </c>
      <c r="L524" s="5">
        <v>1.6000000000000001E-3</v>
      </c>
      <c r="M524" s="5">
        <v>5.1000000000000004E-3</v>
      </c>
      <c r="N524" s="5">
        <v>3.5000000000000001E-3</v>
      </c>
      <c r="O524" s="5">
        <v>3.3999999999999998E-3</v>
      </c>
    </row>
    <row r="525" spans="1:16">
      <c r="A525" t="str">
        <f t="shared" si="7"/>
        <v>GSCU09SAMPLE SIZE:</v>
      </c>
      <c r="B525" t="s">
        <v>944</v>
      </c>
      <c r="C525" t="s">
        <v>66</v>
      </c>
    </row>
    <row r="526" spans="1:16">
      <c r="A526" t="str">
        <f t="shared" si="7"/>
        <v>GSCU09GCPSZ</v>
      </c>
      <c r="B526" t="s">
        <v>944</v>
      </c>
      <c r="C526" t="s">
        <v>166</v>
      </c>
      <c r="D526">
        <v>60</v>
      </c>
      <c r="E526">
        <v>60</v>
      </c>
      <c r="F526">
        <v>60</v>
      </c>
      <c r="G526">
        <v>59</v>
      </c>
      <c r="H526">
        <v>59</v>
      </c>
      <c r="I526">
        <v>59</v>
      </c>
      <c r="J526">
        <v>59</v>
      </c>
      <c r="K526">
        <v>56</v>
      </c>
      <c r="L526">
        <v>57</v>
      </c>
      <c r="M526">
        <v>58</v>
      </c>
      <c r="N526">
        <v>57</v>
      </c>
      <c r="O526">
        <v>55</v>
      </c>
    </row>
    <row r="527" spans="1:16">
      <c r="A527" t="str">
        <f t="shared" si="7"/>
        <v>GSCU09GCPSZ ONPK</v>
      </c>
      <c r="B527" t="s">
        <v>944</v>
      </c>
      <c r="C527" t="s">
        <v>167</v>
      </c>
      <c r="D527">
        <v>60</v>
      </c>
      <c r="E527">
        <v>60</v>
      </c>
      <c r="F527">
        <v>60</v>
      </c>
      <c r="G527">
        <v>59</v>
      </c>
      <c r="H527">
        <v>59</v>
      </c>
      <c r="I527">
        <v>59</v>
      </c>
      <c r="J527">
        <v>59</v>
      </c>
      <c r="K527">
        <v>56</v>
      </c>
      <c r="L527">
        <v>57</v>
      </c>
      <c r="M527">
        <v>58</v>
      </c>
      <c r="N527">
        <v>57</v>
      </c>
      <c r="O527">
        <v>55</v>
      </c>
    </row>
    <row r="528" spans="1:16">
      <c r="A528" t="str">
        <f t="shared" si="7"/>
        <v>GSCU09GCPSZ OFFPK</v>
      </c>
      <c r="B528" t="s">
        <v>944</v>
      </c>
      <c r="C528" t="s">
        <v>168</v>
      </c>
      <c r="D528">
        <v>60</v>
      </c>
      <c r="E528">
        <v>60</v>
      </c>
      <c r="F528">
        <v>60</v>
      </c>
      <c r="G528">
        <v>59</v>
      </c>
      <c r="H528">
        <v>59</v>
      </c>
      <c r="I528">
        <v>59</v>
      </c>
      <c r="J528">
        <v>59</v>
      </c>
      <c r="K528">
        <v>56</v>
      </c>
      <c r="L528">
        <v>57</v>
      </c>
      <c r="M528">
        <v>58</v>
      </c>
      <c r="N528">
        <v>57</v>
      </c>
      <c r="O528">
        <v>55</v>
      </c>
      <c r="P528" s="4"/>
    </row>
    <row r="529" spans="1:16">
      <c r="A529" t="str">
        <f t="shared" si="7"/>
        <v>GSCU09CPSZ</v>
      </c>
      <c r="B529" t="s">
        <v>944</v>
      </c>
      <c r="C529" t="s">
        <v>169</v>
      </c>
      <c r="D529">
        <v>60</v>
      </c>
      <c r="E529">
        <v>60</v>
      </c>
      <c r="F529">
        <v>60</v>
      </c>
      <c r="G529">
        <v>59</v>
      </c>
      <c r="H529">
        <v>59</v>
      </c>
      <c r="I529">
        <v>59</v>
      </c>
      <c r="J529">
        <v>59</v>
      </c>
      <c r="K529">
        <v>56</v>
      </c>
      <c r="L529">
        <v>57</v>
      </c>
      <c r="M529">
        <v>58</v>
      </c>
      <c r="N529">
        <v>57</v>
      </c>
      <c r="O529">
        <v>55</v>
      </c>
    </row>
    <row r="530" spans="1:16">
      <c r="A530" t="str">
        <f t="shared" si="7"/>
        <v/>
      </c>
    </row>
    <row r="531" spans="1:16">
      <c r="A531" t="str">
        <f t="shared" si="7"/>
        <v/>
      </c>
    </row>
    <row r="532" spans="1:16">
      <c r="A532" t="str">
        <f t="shared" si="7"/>
        <v/>
      </c>
    </row>
    <row r="533" spans="1:16">
      <c r="A533" t="str">
        <f t="shared" si="7"/>
        <v/>
      </c>
    </row>
    <row r="534" spans="1:16">
      <c r="A534" t="str">
        <f t="shared" si="7"/>
        <v/>
      </c>
      <c r="P534" s="91"/>
    </row>
    <row r="535" spans="1:16">
      <c r="A535" t="str">
        <f t="shared" si="7"/>
        <v/>
      </c>
    </row>
    <row r="536" spans="1:16">
      <c r="A536" t="str">
        <f t="shared" si="7"/>
        <v/>
      </c>
    </row>
    <row r="537" spans="1:16">
      <c r="A537" t="str">
        <f t="shared" si="7"/>
        <v/>
      </c>
      <c r="P537" s="5"/>
    </row>
    <row r="538" spans="1:16">
      <c r="A538" t="str">
        <f t="shared" si="7"/>
        <v/>
      </c>
      <c r="P538" s="5"/>
    </row>
    <row r="539" spans="1:16">
      <c r="A539" t="str">
        <f t="shared" si="7"/>
        <v xml:space="preserve">GSCU09 GSCU-1 General Service Constant Usage (0-20 kW) (Sampled) </v>
      </c>
      <c r="B539" t="s">
        <v>943</v>
      </c>
      <c r="C539" t="s">
        <v>297</v>
      </c>
    </row>
    <row r="540" spans="1:16">
      <c r="A540" t="str">
        <f t="shared" si="7"/>
        <v xml:space="preserve">GSCU09MONTH </v>
      </c>
      <c r="B540" t="s">
        <v>944</v>
      </c>
      <c r="C540" t="s">
        <v>123</v>
      </c>
      <c r="D540" s="4">
        <v>40909</v>
      </c>
      <c r="E540" s="4">
        <v>40940</v>
      </c>
      <c r="F540" s="4">
        <v>40969</v>
      </c>
      <c r="G540" s="4">
        <v>41000</v>
      </c>
      <c r="H540" s="4">
        <v>41030</v>
      </c>
      <c r="I540" s="4">
        <v>41061</v>
      </c>
      <c r="J540" s="4">
        <v>41091</v>
      </c>
      <c r="K540" s="4">
        <v>41122</v>
      </c>
      <c r="L540" s="4">
        <v>41153</v>
      </c>
      <c r="M540" s="4">
        <v>41183</v>
      </c>
      <c r="N540" s="4">
        <v>41214</v>
      </c>
      <c r="O540" s="4">
        <v>41244</v>
      </c>
      <c r="P540" s="89"/>
    </row>
    <row r="541" spans="1:16">
      <c r="A541" t="str">
        <f t="shared" si="7"/>
        <v/>
      </c>
    </row>
    <row r="542" spans="1:16">
      <c r="A542" t="str">
        <f t="shared" si="7"/>
        <v>GSCU09SDR GCP</v>
      </c>
      <c r="B542" t="s">
        <v>944</v>
      </c>
      <c r="C542" t="s">
        <v>171</v>
      </c>
      <c r="D542">
        <v>4.2999999999999997E-2</v>
      </c>
      <c r="E542">
        <v>8.9999999999999993E-3</v>
      </c>
      <c r="F542">
        <v>0.02</v>
      </c>
      <c r="G542">
        <v>8.4000000000000005E-2</v>
      </c>
      <c r="H542">
        <v>3.9E-2</v>
      </c>
      <c r="I542">
        <v>0.121</v>
      </c>
      <c r="J542">
        <v>4.1000000000000002E-2</v>
      </c>
      <c r="K542">
        <v>0.107</v>
      </c>
      <c r="L542">
        <v>2.3E-2</v>
      </c>
      <c r="M542">
        <v>1.7999999999999999E-2</v>
      </c>
      <c r="N542">
        <v>0.105</v>
      </c>
      <c r="O542">
        <v>8.5000000000000006E-2</v>
      </c>
    </row>
    <row r="543" spans="1:16">
      <c r="A543" t="str">
        <f t="shared" si="7"/>
        <v>GSCU09SDR GCP ONPK</v>
      </c>
      <c r="B543" t="s">
        <v>944</v>
      </c>
      <c r="C543" t="s">
        <v>172</v>
      </c>
      <c r="D543">
        <v>4.1000000000000002E-2</v>
      </c>
      <c r="E543">
        <v>0.01</v>
      </c>
      <c r="F543">
        <v>1.4999999999999999E-2</v>
      </c>
      <c r="G543">
        <v>7.0000000000000001E-3</v>
      </c>
      <c r="H543">
        <v>2.5000000000000001E-2</v>
      </c>
      <c r="I543">
        <v>7.0000000000000001E-3</v>
      </c>
      <c r="J543">
        <v>4.1000000000000002E-2</v>
      </c>
      <c r="K543">
        <v>0.107</v>
      </c>
      <c r="L543">
        <v>1.2999999999999999E-2</v>
      </c>
      <c r="M543">
        <v>2.8000000000000001E-2</v>
      </c>
      <c r="N543">
        <v>0.105</v>
      </c>
      <c r="O543">
        <v>8.5000000000000006E-2</v>
      </c>
    </row>
    <row r="544" spans="1:16">
      <c r="A544" t="str">
        <f t="shared" si="7"/>
        <v>GSCU09SDR GCP OFFP</v>
      </c>
      <c r="B544" t="s">
        <v>944</v>
      </c>
      <c r="C544" t="s">
        <v>219</v>
      </c>
      <c r="D544">
        <v>4.2999999999999997E-2</v>
      </c>
      <c r="E544">
        <v>8.9999999999999993E-3</v>
      </c>
      <c r="F544">
        <v>0.02</v>
      </c>
      <c r="G544">
        <v>8.4000000000000005E-2</v>
      </c>
      <c r="H544">
        <v>3.9E-2</v>
      </c>
      <c r="I544">
        <v>0.121</v>
      </c>
      <c r="J544">
        <v>3.2000000000000001E-2</v>
      </c>
      <c r="K544">
        <v>2.1000000000000001E-2</v>
      </c>
      <c r="L544">
        <v>2.3E-2</v>
      </c>
      <c r="M544">
        <v>1.7999999999999999E-2</v>
      </c>
      <c r="N544">
        <v>6.7000000000000004E-2</v>
      </c>
      <c r="O544">
        <v>1.4999999999999999E-2</v>
      </c>
    </row>
    <row r="545" spans="1:16">
      <c r="A545" t="str">
        <f t="shared" si="7"/>
        <v>GSCU09SDR CP</v>
      </c>
      <c r="B545" t="s">
        <v>944</v>
      </c>
      <c r="C545" t="s">
        <v>174</v>
      </c>
      <c r="D545">
        <v>2.4E-2</v>
      </c>
      <c r="E545">
        <v>8.9999999999999993E-3</v>
      </c>
      <c r="F545">
        <v>8.0000000000000002E-3</v>
      </c>
      <c r="G545">
        <v>7.0000000000000001E-3</v>
      </c>
      <c r="H545">
        <v>5.0000000000000001E-3</v>
      </c>
      <c r="I545">
        <v>4.0000000000000001E-3</v>
      </c>
      <c r="J545">
        <v>4.0000000000000001E-3</v>
      </c>
      <c r="K545">
        <v>4.0000000000000001E-3</v>
      </c>
      <c r="L545">
        <v>5.0000000000000001E-3</v>
      </c>
      <c r="M545">
        <v>1.4999999999999999E-2</v>
      </c>
      <c r="N545">
        <v>1.0999999999999999E-2</v>
      </c>
      <c r="O545">
        <v>0.01</v>
      </c>
      <c r="P545" s="87"/>
    </row>
    <row r="546" spans="1:16">
      <c r="A546" t="str">
        <f t="shared" si="7"/>
        <v/>
      </c>
    </row>
    <row r="547" spans="1:16">
      <c r="A547" t="str">
        <f t="shared" si="7"/>
        <v>GSCU09I   SDR GCP</v>
      </c>
      <c r="B547" t="s">
        <v>944</v>
      </c>
      <c r="C547" t="s">
        <v>220</v>
      </c>
      <c r="D547">
        <v>8.0000000000000002E-3</v>
      </c>
      <c r="E547">
        <v>8.0000000000000002E-3</v>
      </c>
      <c r="F547">
        <v>1.6E-2</v>
      </c>
      <c r="G547">
        <v>1.0999999999999999E-2</v>
      </c>
      <c r="H547">
        <v>4.5999999999999999E-2</v>
      </c>
      <c r="I547">
        <v>1.6E-2</v>
      </c>
      <c r="J547">
        <v>4.9000000000000002E-2</v>
      </c>
      <c r="K547">
        <v>0.127</v>
      </c>
      <c r="L547">
        <v>2.7E-2</v>
      </c>
      <c r="M547">
        <v>2.1000000000000001E-2</v>
      </c>
      <c r="N547">
        <v>1.2999999999999999E-2</v>
      </c>
      <c r="O547">
        <v>1.2999999999999999E-2</v>
      </c>
    </row>
    <row r="548" spans="1:16">
      <c r="A548" t="str">
        <f t="shared" si="7"/>
        <v>GSCU09I   SDR GCP ONPK</v>
      </c>
      <c r="B548" t="s">
        <v>944</v>
      </c>
      <c r="C548" t="s">
        <v>221</v>
      </c>
      <c r="D548">
        <v>8.0000000000000002E-3</v>
      </c>
      <c r="E548">
        <v>0.01</v>
      </c>
      <c r="F548">
        <v>1.6E-2</v>
      </c>
      <c r="G548">
        <v>4.0000000000000001E-3</v>
      </c>
      <c r="H548">
        <v>2.9000000000000001E-2</v>
      </c>
      <c r="I548">
        <v>8.0000000000000002E-3</v>
      </c>
      <c r="J548">
        <v>4.9000000000000002E-2</v>
      </c>
      <c r="K548">
        <v>0.127</v>
      </c>
      <c r="L548">
        <v>1.4999999999999999E-2</v>
      </c>
      <c r="M548">
        <v>5.0000000000000001E-3</v>
      </c>
      <c r="N548">
        <v>1.2999999999999999E-2</v>
      </c>
      <c r="O548">
        <v>1.2999999999999999E-2</v>
      </c>
      <c r="P548" s="83"/>
    </row>
    <row r="549" spans="1:16">
      <c r="A549" t="str">
        <f t="shared" si="7"/>
        <v>GSCU09I   SDR GCP OFFPK</v>
      </c>
      <c r="B549" t="s">
        <v>944</v>
      </c>
      <c r="C549" t="s">
        <v>222</v>
      </c>
      <c r="D549">
        <v>8.0000000000000002E-3</v>
      </c>
      <c r="E549">
        <v>8.0000000000000002E-3</v>
      </c>
      <c r="F549">
        <v>1.6E-2</v>
      </c>
      <c r="G549">
        <v>1.0999999999999999E-2</v>
      </c>
      <c r="H549">
        <v>4.5999999999999999E-2</v>
      </c>
      <c r="I549">
        <v>1.6E-2</v>
      </c>
      <c r="J549">
        <v>3.6999999999999998E-2</v>
      </c>
      <c r="K549">
        <v>2.5000000000000001E-2</v>
      </c>
      <c r="L549">
        <v>2.7E-2</v>
      </c>
      <c r="M549">
        <v>2.1000000000000001E-2</v>
      </c>
      <c r="N549">
        <v>0.01</v>
      </c>
      <c r="O549">
        <v>1.2999999999999999E-2</v>
      </c>
      <c r="P549" s="1"/>
    </row>
    <row r="550" spans="1:16">
      <c r="A550" t="str">
        <f t="shared" si="7"/>
        <v>GSCU09I   SDR CP</v>
      </c>
      <c r="B550" t="s">
        <v>944</v>
      </c>
      <c r="C550" t="s">
        <v>638</v>
      </c>
      <c r="D550">
        <v>0.01</v>
      </c>
      <c r="E550">
        <v>8.0000000000000002E-3</v>
      </c>
      <c r="F550">
        <v>7.0000000000000001E-3</v>
      </c>
      <c r="G550">
        <v>5.0000000000000001E-3</v>
      </c>
      <c r="H550">
        <v>3.0000000000000001E-3</v>
      </c>
      <c r="I550">
        <v>4.0000000000000001E-3</v>
      </c>
      <c r="J550">
        <v>4.0000000000000001E-3</v>
      </c>
      <c r="K550">
        <v>4.0000000000000001E-3</v>
      </c>
      <c r="L550">
        <v>4.0000000000000001E-3</v>
      </c>
      <c r="M550">
        <v>1.7000000000000001E-2</v>
      </c>
      <c r="N550">
        <v>4.0000000000000001E-3</v>
      </c>
      <c r="O550">
        <v>4.0000000000000001E-3</v>
      </c>
      <c r="P550" s="5"/>
    </row>
    <row r="551" spans="1:16">
      <c r="A551" t="str">
        <f t="shared" si="7"/>
        <v/>
      </c>
      <c r="P551" s="5"/>
    </row>
    <row r="552" spans="1:16">
      <c r="A552" t="str">
        <f t="shared" si="7"/>
        <v>GSCU09II  SDR GCP</v>
      </c>
      <c r="B552" t="s">
        <v>944</v>
      </c>
      <c r="C552" t="s">
        <v>223</v>
      </c>
      <c r="D552">
        <v>0.26200000000000001</v>
      </c>
      <c r="E552">
        <v>0.04</v>
      </c>
      <c r="F552">
        <v>8.8999999999999996E-2</v>
      </c>
      <c r="G552">
        <v>0.51300000000000001</v>
      </c>
      <c r="H552">
        <v>3.4000000000000002E-2</v>
      </c>
      <c r="I552">
        <v>0.73699999999999999</v>
      </c>
      <c r="J552">
        <v>2.9000000000000001E-2</v>
      </c>
      <c r="K552">
        <v>6.5000000000000002E-2</v>
      </c>
      <c r="L552">
        <v>2.1999999999999999E-2</v>
      </c>
      <c r="M552">
        <v>2.3E-2</v>
      </c>
      <c r="N552">
        <v>0.64300000000000002</v>
      </c>
      <c r="O552">
        <v>0.52200000000000002</v>
      </c>
      <c r="P552" s="5"/>
    </row>
    <row r="553" spans="1:16">
      <c r="A553" t="str">
        <f t="shared" si="7"/>
        <v>GSCU09II  SDR GCP ONPK</v>
      </c>
      <c r="B553" t="s">
        <v>944</v>
      </c>
      <c r="C553" t="s">
        <v>224</v>
      </c>
      <c r="D553">
        <v>0.251</v>
      </c>
      <c r="E553">
        <v>3.4000000000000002E-2</v>
      </c>
      <c r="F553">
        <v>3.7999999999999999E-2</v>
      </c>
      <c r="G553">
        <v>3.9E-2</v>
      </c>
      <c r="H553">
        <v>0.03</v>
      </c>
      <c r="I553">
        <v>1.9E-2</v>
      </c>
      <c r="J553">
        <v>2.9000000000000001E-2</v>
      </c>
      <c r="K553">
        <v>6.5000000000000002E-2</v>
      </c>
      <c r="L553">
        <v>2.1000000000000001E-2</v>
      </c>
      <c r="M553">
        <v>0.16900000000000001</v>
      </c>
      <c r="N553">
        <v>0.64300000000000002</v>
      </c>
      <c r="O553">
        <v>0.52200000000000002</v>
      </c>
      <c r="P553" s="5"/>
    </row>
    <row r="554" spans="1:16">
      <c r="A554" t="str">
        <f t="shared" si="7"/>
        <v>GSCU09II  SDR GCP OFFPK</v>
      </c>
      <c r="B554" t="s">
        <v>944</v>
      </c>
      <c r="C554" t="s">
        <v>225</v>
      </c>
      <c r="D554">
        <v>0.26200000000000001</v>
      </c>
      <c r="E554">
        <v>0.04</v>
      </c>
      <c r="F554">
        <v>8.8999999999999996E-2</v>
      </c>
      <c r="G554">
        <v>0.51300000000000001</v>
      </c>
      <c r="H554">
        <v>3.4000000000000002E-2</v>
      </c>
      <c r="I554">
        <v>0.73699999999999999</v>
      </c>
      <c r="J554">
        <v>3.2000000000000001E-2</v>
      </c>
      <c r="K554">
        <v>2.5999999999999999E-2</v>
      </c>
      <c r="L554">
        <v>2.1999999999999999E-2</v>
      </c>
      <c r="M554">
        <v>2.3E-2</v>
      </c>
      <c r="N554">
        <v>0.41199999999999998</v>
      </c>
      <c r="O554">
        <v>6.7000000000000004E-2</v>
      </c>
      <c r="P554" s="5"/>
    </row>
    <row r="555" spans="1:16">
      <c r="A555" t="str">
        <f t="shared" si="7"/>
        <v>GSCU09II  SDR CP</v>
      </c>
      <c r="B555" t="s">
        <v>944</v>
      </c>
      <c r="C555" t="s">
        <v>226</v>
      </c>
      <c r="D555">
        <v>0.13500000000000001</v>
      </c>
      <c r="E555">
        <v>0.04</v>
      </c>
      <c r="F555">
        <v>3.3000000000000002E-2</v>
      </c>
      <c r="G555">
        <v>3.4000000000000002E-2</v>
      </c>
      <c r="H555">
        <v>2.5000000000000001E-2</v>
      </c>
      <c r="I555">
        <v>1.6E-2</v>
      </c>
      <c r="J555">
        <v>1.7999999999999999E-2</v>
      </c>
      <c r="K555">
        <v>1.7000000000000001E-2</v>
      </c>
      <c r="L555">
        <v>2.1999999999999999E-2</v>
      </c>
      <c r="M555">
        <v>2.5999999999999999E-2</v>
      </c>
      <c r="N555">
        <v>6.6000000000000003E-2</v>
      </c>
      <c r="O555">
        <v>6.0999999999999999E-2</v>
      </c>
      <c r="P555" s="5"/>
    </row>
    <row r="556" spans="1:16">
      <c r="A556" t="str">
        <f t="shared" si="7"/>
        <v/>
      </c>
      <c r="P556" s="5"/>
    </row>
    <row r="557" spans="1:16">
      <c r="A557" t="str">
        <f t="shared" si="7"/>
        <v/>
      </c>
      <c r="P557" s="5"/>
    </row>
    <row r="558" spans="1:16">
      <c r="A558" t="str">
        <f t="shared" si="7"/>
        <v/>
      </c>
      <c r="P558" s="5"/>
    </row>
    <row r="559" spans="1:16">
      <c r="A559" t="str">
        <f t="shared" si="7"/>
        <v/>
      </c>
    </row>
    <row r="560" spans="1:16">
      <c r="A560" t="str">
        <f t="shared" si="7"/>
        <v/>
      </c>
      <c r="P560" s="5"/>
    </row>
    <row r="561" spans="1:16">
      <c r="A561" t="str">
        <f t="shared" si="7"/>
        <v/>
      </c>
      <c r="P561" s="5"/>
    </row>
    <row r="562" spans="1:16">
      <c r="A562" t="str">
        <f t="shared" si="7"/>
        <v/>
      </c>
      <c r="P562" s="5"/>
    </row>
    <row r="563" spans="1:16">
      <c r="A563" t="str">
        <f t="shared" si="7"/>
        <v/>
      </c>
      <c r="P563" s="5"/>
    </row>
    <row r="564" spans="1:16">
      <c r="A564" t="str">
        <f t="shared" si="7"/>
        <v/>
      </c>
      <c r="P564" s="5"/>
    </row>
    <row r="565" spans="1:16">
      <c r="A565" t="str">
        <f t="shared" si="7"/>
        <v/>
      </c>
      <c r="P565" s="5"/>
    </row>
    <row r="566" spans="1:16">
      <c r="A566" t="str">
        <f t="shared" ref="A566:A629" si="8">B566&amp;C566</f>
        <v/>
      </c>
      <c r="P566" s="5"/>
    </row>
    <row r="567" spans="1:16">
      <c r="A567" t="str">
        <f t="shared" si="8"/>
        <v/>
      </c>
    </row>
    <row r="568" spans="1:16">
      <c r="A568" t="str">
        <f t="shared" si="8"/>
        <v/>
      </c>
    </row>
    <row r="569" spans="1:16">
      <c r="A569" t="str">
        <f t="shared" si="8"/>
        <v/>
      </c>
    </row>
    <row r="570" spans="1:16">
      <c r="A570" t="str">
        <f t="shared" si="8"/>
        <v/>
      </c>
    </row>
    <row r="571" spans="1:16">
      <c r="A571" t="str">
        <f t="shared" si="8"/>
        <v/>
      </c>
    </row>
    <row r="572" spans="1:16">
      <c r="A572" t="str">
        <f t="shared" si="8"/>
        <v/>
      </c>
    </row>
    <row r="573" spans="1:16">
      <c r="A573" t="str">
        <f t="shared" si="8"/>
        <v/>
      </c>
    </row>
    <row r="574" spans="1:16">
      <c r="A574" t="str">
        <f t="shared" si="8"/>
        <v/>
      </c>
      <c r="P574" s="4"/>
    </row>
    <row r="575" spans="1:16">
      <c r="A575" t="str">
        <f t="shared" si="8"/>
        <v/>
      </c>
    </row>
    <row r="576" spans="1:16">
      <c r="A576" t="str">
        <f t="shared" si="8"/>
        <v/>
      </c>
    </row>
    <row r="577" spans="1:1">
      <c r="A577" t="str">
        <f t="shared" si="8"/>
        <v/>
      </c>
    </row>
    <row r="578" spans="1:1">
      <c r="A578" t="str">
        <f t="shared" si="8"/>
        <v/>
      </c>
    </row>
    <row r="579" spans="1:1">
      <c r="A579" t="str">
        <f t="shared" si="8"/>
        <v/>
      </c>
    </row>
    <row r="580" spans="1:1">
      <c r="A580" t="str">
        <f t="shared" si="8"/>
        <v/>
      </c>
    </row>
    <row r="581" spans="1:1">
      <c r="A581" t="str">
        <f t="shared" si="8"/>
        <v/>
      </c>
    </row>
    <row r="582" spans="1:1">
      <c r="A582" t="str">
        <f t="shared" si="8"/>
        <v/>
      </c>
    </row>
    <row r="583" spans="1:1">
      <c r="A583" t="str">
        <f t="shared" si="8"/>
        <v/>
      </c>
    </row>
    <row r="584" spans="1:1">
      <c r="A584" t="str">
        <f t="shared" si="8"/>
        <v/>
      </c>
    </row>
    <row r="585" spans="1:1">
      <c r="A585" t="str">
        <f t="shared" si="8"/>
        <v/>
      </c>
    </row>
    <row r="586" spans="1:1">
      <c r="A586" t="str">
        <f t="shared" si="8"/>
        <v/>
      </c>
    </row>
    <row r="587" spans="1:1">
      <c r="A587" t="str">
        <f t="shared" si="8"/>
        <v/>
      </c>
    </row>
    <row r="588" spans="1:1">
      <c r="A588" t="str">
        <f t="shared" si="8"/>
        <v/>
      </c>
    </row>
    <row r="589" spans="1:1">
      <c r="A589" t="str">
        <f t="shared" si="8"/>
        <v/>
      </c>
    </row>
    <row r="590" spans="1:1">
      <c r="A590" t="str">
        <f t="shared" si="8"/>
        <v/>
      </c>
    </row>
    <row r="591" spans="1:1">
      <c r="A591" t="str">
        <f t="shared" si="8"/>
        <v/>
      </c>
    </row>
    <row r="592" spans="1:1">
      <c r="A592" t="str">
        <f t="shared" si="8"/>
        <v/>
      </c>
    </row>
    <row r="593" spans="1:16">
      <c r="A593" t="str">
        <f t="shared" si="8"/>
        <v xml:space="preserve">LEE Lee County Wholesale </v>
      </c>
      <c r="B593" t="s">
        <v>659</v>
      </c>
      <c r="C593" t="s">
        <v>838</v>
      </c>
    </row>
    <row r="594" spans="1:16">
      <c r="A594" t="str">
        <f t="shared" si="8"/>
        <v xml:space="preserve">LEEMONTH </v>
      </c>
      <c r="B594" t="s">
        <v>661</v>
      </c>
      <c r="C594" t="s">
        <v>123</v>
      </c>
      <c r="D594" s="4">
        <v>40909</v>
      </c>
      <c r="E594" s="4">
        <v>40940</v>
      </c>
      <c r="F594" s="4">
        <v>40969</v>
      </c>
      <c r="G594" s="4">
        <v>41000</v>
      </c>
      <c r="H594" s="4">
        <v>41030</v>
      </c>
      <c r="I594" s="4">
        <v>41061</v>
      </c>
      <c r="J594" s="4">
        <v>41091</v>
      </c>
      <c r="K594" s="4">
        <v>41122</v>
      </c>
      <c r="L594" s="4">
        <v>41153</v>
      </c>
      <c r="M594" s="4">
        <v>41183</v>
      </c>
      <c r="N594" s="4">
        <v>41214</v>
      </c>
      <c r="O594" s="4">
        <v>41244</v>
      </c>
    </row>
    <row r="595" spans="1:16">
      <c r="A595" t="str">
        <f t="shared" si="8"/>
        <v xml:space="preserve">LEECUSTOMERS </v>
      </c>
      <c r="B595" t="s">
        <v>661</v>
      </c>
      <c r="C595" t="s">
        <v>124</v>
      </c>
      <c r="D595">
        <v>2</v>
      </c>
      <c r="E595">
        <v>2</v>
      </c>
      <c r="F595">
        <v>2</v>
      </c>
      <c r="G595">
        <v>2</v>
      </c>
      <c r="H595">
        <v>2</v>
      </c>
      <c r="I595">
        <v>2</v>
      </c>
      <c r="J595">
        <v>2</v>
      </c>
      <c r="K595">
        <v>2</v>
      </c>
      <c r="L595">
        <v>2</v>
      </c>
      <c r="M595">
        <v>2</v>
      </c>
      <c r="N595">
        <v>2</v>
      </c>
      <c r="O595">
        <v>2</v>
      </c>
    </row>
    <row r="596" spans="1:16">
      <c r="A596" t="str">
        <f t="shared" si="8"/>
        <v xml:space="preserve">LEESALES </v>
      </c>
      <c r="B596" t="s">
        <v>661</v>
      </c>
      <c r="C596" t="s">
        <v>125</v>
      </c>
      <c r="D596">
        <v>85559116</v>
      </c>
      <c r="E596">
        <v>89991825</v>
      </c>
      <c r="F596">
        <v>86884248</v>
      </c>
      <c r="G596">
        <v>97530348</v>
      </c>
      <c r="H596">
        <v>95089768</v>
      </c>
      <c r="I596">
        <v>109264155</v>
      </c>
      <c r="J596">
        <v>105197075</v>
      </c>
      <c r="K596">
        <v>113099623</v>
      </c>
      <c r="L596">
        <v>115345071</v>
      </c>
      <c r="M596">
        <v>104983170</v>
      </c>
      <c r="N596">
        <v>100007636</v>
      </c>
      <c r="O596">
        <v>79468152</v>
      </c>
    </row>
    <row r="597" spans="1:16">
      <c r="A597" t="str">
        <f t="shared" si="8"/>
        <v>LEEKW</v>
      </c>
      <c r="B597" t="s">
        <v>661</v>
      </c>
      <c r="C597" t="s">
        <v>126</v>
      </c>
    </row>
    <row r="598" spans="1:16">
      <c r="A598" t="str">
        <f t="shared" si="8"/>
        <v>LEEN</v>
      </c>
      <c r="B598" t="s">
        <v>661</v>
      </c>
      <c r="C598" t="s">
        <v>127</v>
      </c>
      <c r="D598">
        <v>1</v>
      </c>
      <c r="E598">
        <v>1</v>
      </c>
      <c r="F598">
        <v>1</v>
      </c>
      <c r="G598">
        <v>1</v>
      </c>
      <c r="H598">
        <v>1</v>
      </c>
      <c r="I598">
        <v>1</v>
      </c>
      <c r="J598">
        <v>1</v>
      </c>
      <c r="K598">
        <v>1</v>
      </c>
      <c r="L598">
        <v>1</v>
      </c>
      <c r="M598">
        <v>1</v>
      </c>
      <c r="N598">
        <v>1</v>
      </c>
      <c r="O598">
        <v>1</v>
      </c>
    </row>
    <row r="599" spans="1:16">
      <c r="A599" t="str">
        <f t="shared" si="8"/>
        <v>LEERLR ENERGY:</v>
      </c>
      <c r="B599" t="s">
        <v>661</v>
      </c>
      <c r="C599" t="s">
        <v>61</v>
      </c>
    </row>
    <row r="600" spans="1:16">
      <c r="A600" t="str">
        <f t="shared" si="8"/>
        <v>LEEKWH</v>
      </c>
      <c r="B600" t="s">
        <v>661</v>
      </c>
      <c r="C600" t="s">
        <v>128</v>
      </c>
      <c r="D600">
        <v>89991552</v>
      </c>
      <c r="E600">
        <v>86884369</v>
      </c>
      <c r="F600">
        <v>97530484</v>
      </c>
      <c r="G600">
        <v>95089901</v>
      </c>
      <c r="H600">
        <v>109264307</v>
      </c>
      <c r="I600">
        <v>105197222</v>
      </c>
      <c r="J600">
        <v>113098673</v>
      </c>
      <c r="K600">
        <v>115344101</v>
      </c>
      <c r="L600">
        <v>104982932</v>
      </c>
      <c r="M600">
        <v>100006795</v>
      </c>
      <c r="N600">
        <v>79387660</v>
      </c>
      <c r="O600">
        <v>87505906</v>
      </c>
    </row>
    <row r="601" spans="1:16">
      <c r="A601" t="str">
        <f t="shared" si="8"/>
        <v>LEEKWH ONPK</v>
      </c>
      <c r="B601" t="s">
        <v>661</v>
      </c>
      <c r="C601" t="s">
        <v>129</v>
      </c>
      <c r="D601">
        <v>22801289</v>
      </c>
      <c r="E601">
        <v>22762726</v>
      </c>
      <c r="F601">
        <v>24347818</v>
      </c>
      <c r="G601">
        <v>32047873</v>
      </c>
      <c r="H601">
        <v>36953365</v>
      </c>
      <c r="I601">
        <v>34560665</v>
      </c>
      <c r="J601">
        <v>36594677</v>
      </c>
      <c r="K601">
        <v>41669762</v>
      </c>
      <c r="L601">
        <v>31160096</v>
      </c>
      <c r="M601">
        <v>34906021</v>
      </c>
      <c r="N601">
        <v>20004750</v>
      </c>
      <c r="O601">
        <v>20273621</v>
      </c>
    </row>
    <row r="602" spans="1:16">
      <c r="A602" t="str">
        <f t="shared" si="8"/>
        <v>LEEKWH OFFPK</v>
      </c>
      <c r="B602" t="s">
        <v>661</v>
      </c>
      <c r="C602" t="s">
        <v>130</v>
      </c>
      <c r="D602">
        <v>67190263</v>
      </c>
      <c r="E602">
        <v>64121643</v>
      </c>
      <c r="F602">
        <v>73182666</v>
      </c>
      <c r="G602">
        <v>63042028</v>
      </c>
      <c r="H602">
        <v>72310942</v>
      </c>
      <c r="I602">
        <v>70636557</v>
      </c>
      <c r="J602">
        <v>76503996</v>
      </c>
      <c r="K602">
        <v>73674340</v>
      </c>
      <c r="L602">
        <v>73822837</v>
      </c>
      <c r="M602">
        <v>65100774</v>
      </c>
      <c r="N602">
        <v>59382910</v>
      </c>
      <c r="O602">
        <v>67232285</v>
      </c>
      <c r="P602" s="4"/>
    </row>
    <row r="603" spans="1:16">
      <c r="A603" t="str">
        <f t="shared" si="8"/>
        <v>LEEKWH ONPK%</v>
      </c>
      <c r="B603" t="s">
        <v>661</v>
      </c>
      <c r="C603" t="s">
        <v>131</v>
      </c>
      <c r="D603" s="5">
        <v>0.25336999999999998</v>
      </c>
      <c r="E603" s="5">
        <v>0.26199</v>
      </c>
      <c r="F603" s="5">
        <v>0.24964</v>
      </c>
      <c r="G603" s="5">
        <v>0.33703</v>
      </c>
      <c r="H603" s="5">
        <v>0.3382</v>
      </c>
      <c r="I603" s="5">
        <v>0.32852999999999999</v>
      </c>
      <c r="J603" s="5">
        <v>0.32356000000000001</v>
      </c>
      <c r="K603" s="5">
        <v>0.36126000000000003</v>
      </c>
      <c r="L603" s="5">
        <v>0.29681000000000002</v>
      </c>
      <c r="M603" s="5">
        <v>0.34904000000000002</v>
      </c>
      <c r="N603" s="5">
        <v>0.25198999999999999</v>
      </c>
      <c r="O603" s="5">
        <v>0.23168</v>
      </c>
    </row>
    <row r="604" spans="1:16">
      <c r="A604" t="str">
        <f t="shared" si="8"/>
        <v>LEEKWH OFFPK%</v>
      </c>
      <c r="B604" t="s">
        <v>661</v>
      </c>
      <c r="C604" t="s">
        <v>132</v>
      </c>
      <c r="D604" s="5">
        <v>0.74663000000000002</v>
      </c>
      <c r="E604" s="5">
        <v>0.73801000000000005</v>
      </c>
      <c r="F604" s="5">
        <v>0.75036000000000003</v>
      </c>
      <c r="G604" s="5">
        <v>0.66296999999999995</v>
      </c>
      <c r="H604" s="5">
        <v>0.66180000000000005</v>
      </c>
      <c r="I604" s="5">
        <v>0.67147000000000001</v>
      </c>
      <c r="J604" s="5">
        <v>0.67644000000000004</v>
      </c>
      <c r="K604" s="5">
        <v>0.63873999999999997</v>
      </c>
      <c r="L604" s="5">
        <v>0.70318999999999998</v>
      </c>
      <c r="M604" s="5">
        <v>0.65095999999999998</v>
      </c>
      <c r="N604" s="5">
        <v>0.74800999999999995</v>
      </c>
      <c r="O604" s="5">
        <v>0.76832</v>
      </c>
    </row>
    <row r="605" spans="1:16">
      <c r="A605" t="str">
        <f t="shared" si="8"/>
        <v>LEEDEMAND (KW):</v>
      </c>
      <c r="B605" t="s">
        <v>661</v>
      </c>
      <c r="C605" t="s">
        <v>62</v>
      </c>
    </row>
    <row r="606" spans="1:16">
      <c r="A606" t="str">
        <f t="shared" si="8"/>
        <v>LEENCP</v>
      </c>
      <c r="B606" t="s">
        <v>661</v>
      </c>
      <c r="C606" t="s">
        <v>133</v>
      </c>
      <c r="D606">
        <v>224965</v>
      </c>
      <c r="E606">
        <v>207234</v>
      </c>
      <c r="F606">
        <v>189386</v>
      </c>
      <c r="G606">
        <v>207338</v>
      </c>
      <c r="H606">
        <v>217637</v>
      </c>
      <c r="I606">
        <v>217981</v>
      </c>
      <c r="J606">
        <v>229570</v>
      </c>
      <c r="K606">
        <v>238022</v>
      </c>
      <c r="L606">
        <v>216824</v>
      </c>
      <c r="M606">
        <v>214833</v>
      </c>
      <c r="N606">
        <v>151505</v>
      </c>
      <c r="O606">
        <v>174495</v>
      </c>
    </row>
    <row r="607" spans="1:16">
      <c r="A607" t="str">
        <f t="shared" si="8"/>
        <v>LEENCP ONPK</v>
      </c>
      <c r="B607" t="s">
        <v>661</v>
      </c>
      <c r="C607" t="s">
        <v>134</v>
      </c>
      <c r="D607">
        <v>224965</v>
      </c>
      <c r="E607">
        <v>207234</v>
      </c>
      <c r="F607">
        <v>183138</v>
      </c>
      <c r="G607">
        <v>207338</v>
      </c>
      <c r="H607">
        <v>217637</v>
      </c>
      <c r="I607">
        <v>217981</v>
      </c>
      <c r="J607">
        <v>229570</v>
      </c>
      <c r="K607">
        <v>238022</v>
      </c>
      <c r="L607">
        <v>211763</v>
      </c>
      <c r="M607">
        <v>214833</v>
      </c>
      <c r="N607">
        <v>151505</v>
      </c>
      <c r="O607">
        <v>174495</v>
      </c>
    </row>
    <row r="608" spans="1:16">
      <c r="A608" t="str">
        <f t="shared" si="8"/>
        <v>LEENCP OFFPK</v>
      </c>
      <c r="B608" t="s">
        <v>661</v>
      </c>
      <c r="C608" t="s">
        <v>135</v>
      </c>
      <c r="D608">
        <v>200993</v>
      </c>
      <c r="E608">
        <v>182287</v>
      </c>
      <c r="F608">
        <v>189386</v>
      </c>
      <c r="G608">
        <v>191445</v>
      </c>
      <c r="H608">
        <v>207415</v>
      </c>
      <c r="I608">
        <v>216450</v>
      </c>
      <c r="J608">
        <v>222337</v>
      </c>
      <c r="K608">
        <v>220628</v>
      </c>
      <c r="L608">
        <v>216824</v>
      </c>
      <c r="M608">
        <v>203934</v>
      </c>
      <c r="N608">
        <v>150479</v>
      </c>
      <c r="O608">
        <v>169791</v>
      </c>
      <c r="P608" s="91"/>
    </row>
    <row r="609" spans="1:16">
      <c r="A609" t="str">
        <f t="shared" si="8"/>
        <v>LEEGCP DATE</v>
      </c>
      <c r="B609" t="s">
        <v>661</v>
      </c>
      <c r="C609" t="s">
        <v>136</v>
      </c>
      <c r="D609" t="s">
        <v>924</v>
      </c>
      <c r="E609" t="s">
        <v>958</v>
      </c>
      <c r="F609" t="s">
        <v>947</v>
      </c>
      <c r="G609" t="s">
        <v>241</v>
      </c>
      <c r="H609" t="s">
        <v>197</v>
      </c>
      <c r="I609" t="s">
        <v>937</v>
      </c>
      <c r="J609" t="s">
        <v>4</v>
      </c>
      <c r="K609" t="s">
        <v>959</v>
      </c>
      <c r="L609" t="s">
        <v>929</v>
      </c>
      <c r="M609" t="s">
        <v>212</v>
      </c>
      <c r="N609" t="s">
        <v>59</v>
      </c>
      <c r="O609" t="s">
        <v>210</v>
      </c>
    </row>
    <row r="610" spans="1:16">
      <c r="A610" t="str">
        <f t="shared" si="8"/>
        <v>LEEGCP TIME</v>
      </c>
      <c r="B610" t="s">
        <v>661</v>
      </c>
      <c r="C610" t="s">
        <v>142</v>
      </c>
      <c r="D610" t="s">
        <v>203</v>
      </c>
      <c r="E610" t="s">
        <v>203</v>
      </c>
      <c r="F610" t="s">
        <v>195</v>
      </c>
      <c r="G610" t="s">
        <v>196</v>
      </c>
      <c r="H610" t="s">
        <v>195</v>
      </c>
      <c r="I610" t="s">
        <v>195</v>
      </c>
      <c r="J610" t="s">
        <v>195</v>
      </c>
      <c r="K610" t="s">
        <v>195</v>
      </c>
      <c r="L610" t="s">
        <v>145</v>
      </c>
      <c r="M610" t="s">
        <v>195</v>
      </c>
      <c r="N610" t="s">
        <v>193</v>
      </c>
      <c r="O610" t="s">
        <v>193</v>
      </c>
    </row>
    <row r="611" spans="1:16">
      <c r="A611" t="str">
        <f t="shared" si="8"/>
        <v>LEEGCP</v>
      </c>
      <c r="B611" t="s">
        <v>661</v>
      </c>
      <c r="C611" t="s">
        <v>147</v>
      </c>
      <c r="D611">
        <v>224965</v>
      </c>
      <c r="E611">
        <v>207234</v>
      </c>
      <c r="F611">
        <v>189386</v>
      </c>
      <c r="G611">
        <v>207338</v>
      </c>
      <c r="H611">
        <v>217637</v>
      </c>
      <c r="I611">
        <v>217981</v>
      </c>
      <c r="J611">
        <v>229570</v>
      </c>
      <c r="K611">
        <v>238022</v>
      </c>
      <c r="L611">
        <v>216824</v>
      </c>
      <c r="M611">
        <v>214833</v>
      </c>
      <c r="N611">
        <v>151505</v>
      </c>
      <c r="O611">
        <v>174495</v>
      </c>
      <c r="P611" s="5"/>
    </row>
    <row r="612" spans="1:16">
      <c r="A612" t="str">
        <f t="shared" si="8"/>
        <v>LEEGCP ONPK</v>
      </c>
      <c r="B612" t="s">
        <v>661</v>
      </c>
      <c r="C612" t="s">
        <v>63</v>
      </c>
      <c r="D612">
        <v>224965</v>
      </c>
      <c r="E612">
        <v>207234</v>
      </c>
      <c r="F612">
        <v>183138</v>
      </c>
      <c r="G612">
        <v>207338</v>
      </c>
      <c r="H612">
        <v>217637</v>
      </c>
      <c r="I612">
        <v>217981</v>
      </c>
      <c r="J612">
        <v>229570</v>
      </c>
      <c r="K612">
        <v>238022</v>
      </c>
      <c r="L612">
        <v>211763</v>
      </c>
      <c r="M612">
        <v>214833</v>
      </c>
      <c r="N612">
        <v>151505</v>
      </c>
      <c r="O612">
        <v>174495</v>
      </c>
      <c r="P612" s="5"/>
    </row>
    <row r="613" spans="1:16">
      <c r="A613" t="str">
        <f t="shared" si="8"/>
        <v>LEEGCP OFFPK</v>
      </c>
      <c r="B613" t="s">
        <v>661</v>
      </c>
      <c r="C613" t="s">
        <v>64</v>
      </c>
      <c r="D613">
        <v>200993</v>
      </c>
      <c r="E613">
        <v>182287</v>
      </c>
      <c r="F613">
        <v>189386</v>
      </c>
      <c r="G613">
        <v>191445</v>
      </c>
      <c r="H613">
        <v>207415</v>
      </c>
      <c r="I613">
        <v>216450</v>
      </c>
      <c r="J613">
        <v>222337</v>
      </c>
      <c r="K613">
        <v>220628</v>
      </c>
      <c r="L613">
        <v>216824</v>
      </c>
      <c r="M613">
        <v>203934</v>
      </c>
      <c r="N613">
        <v>150479</v>
      </c>
      <c r="O613">
        <v>169791</v>
      </c>
    </row>
    <row r="614" spans="1:16">
      <c r="A614" t="str">
        <f t="shared" si="8"/>
        <v>LEECP</v>
      </c>
      <c r="B614" t="s">
        <v>661</v>
      </c>
      <c r="C614" t="s">
        <v>148</v>
      </c>
      <c r="D614">
        <v>224965</v>
      </c>
      <c r="E614">
        <v>178631</v>
      </c>
      <c r="F614">
        <v>189024</v>
      </c>
      <c r="G614">
        <v>205486</v>
      </c>
      <c r="H614">
        <v>215855</v>
      </c>
      <c r="I614">
        <v>206019</v>
      </c>
      <c r="J614">
        <v>226667</v>
      </c>
      <c r="K614">
        <v>223403</v>
      </c>
      <c r="L614">
        <v>215817</v>
      </c>
      <c r="M614">
        <v>211904</v>
      </c>
      <c r="N614">
        <v>147772</v>
      </c>
      <c r="O614">
        <v>174495</v>
      </c>
      <c r="P614" s="89"/>
    </row>
    <row r="615" spans="1:16">
      <c r="A615" t="str">
        <f t="shared" si="8"/>
        <v>LEEPERIOD START</v>
      </c>
      <c r="B615" t="s">
        <v>661</v>
      </c>
      <c r="C615" t="s">
        <v>149</v>
      </c>
      <c r="D615" s="1">
        <v>40909</v>
      </c>
      <c r="E615" s="1">
        <v>40940</v>
      </c>
      <c r="F615" s="1">
        <v>40969</v>
      </c>
      <c r="G615" s="1">
        <v>41000</v>
      </c>
      <c r="H615" s="1">
        <v>41030</v>
      </c>
      <c r="I615" s="1">
        <v>41061</v>
      </c>
      <c r="J615" s="1">
        <v>41091</v>
      </c>
      <c r="K615" s="1">
        <v>41122</v>
      </c>
      <c r="L615" s="1">
        <v>41153</v>
      </c>
      <c r="M615" s="1">
        <v>41183</v>
      </c>
      <c r="N615" s="1">
        <v>41214</v>
      </c>
      <c r="O615" s="1">
        <v>41244</v>
      </c>
    </row>
    <row r="616" spans="1:16">
      <c r="A616" t="str">
        <f t="shared" si="8"/>
        <v>LEENCP LF</v>
      </c>
      <c r="B616" t="s">
        <v>661</v>
      </c>
      <c r="C616" t="s">
        <v>150</v>
      </c>
      <c r="D616" s="5">
        <v>0.53769999999999996</v>
      </c>
      <c r="E616" s="5">
        <v>0.60240000000000005</v>
      </c>
      <c r="F616" s="5">
        <v>0.69310000000000005</v>
      </c>
      <c r="G616" s="5">
        <v>0.63700000000000001</v>
      </c>
      <c r="H616" s="5">
        <v>0.67479999999999996</v>
      </c>
      <c r="I616" s="5">
        <v>0.67030000000000001</v>
      </c>
      <c r="J616" s="5">
        <v>0.66220000000000001</v>
      </c>
      <c r="K616" s="5">
        <v>0.65129999999999999</v>
      </c>
      <c r="L616" s="5">
        <v>0.67249999999999999</v>
      </c>
      <c r="M616" s="5">
        <v>0.62570000000000003</v>
      </c>
      <c r="N616" s="5">
        <v>0.7278</v>
      </c>
      <c r="O616" s="5">
        <v>0.67400000000000004</v>
      </c>
    </row>
    <row r="617" spans="1:16">
      <c r="A617" t="str">
        <f t="shared" si="8"/>
        <v>LEENCP LF ONPK</v>
      </c>
      <c r="B617" t="s">
        <v>661</v>
      </c>
      <c r="C617" t="s">
        <v>151</v>
      </c>
      <c r="D617" s="5">
        <v>0.60329999999999995</v>
      </c>
      <c r="E617" s="5">
        <v>0.65380000000000005</v>
      </c>
      <c r="F617" s="5">
        <v>0.75539999999999996</v>
      </c>
      <c r="G617" s="5">
        <v>0.81779999999999997</v>
      </c>
      <c r="H617" s="5">
        <v>0.85750000000000004</v>
      </c>
      <c r="I617" s="5">
        <v>0.83889999999999998</v>
      </c>
      <c r="J617" s="5">
        <v>0.84340000000000004</v>
      </c>
      <c r="K617" s="5">
        <v>0.84570000000000001</v>
      </c>
      <c r="L617" s="5">
        <v>0.86050000000000004</v>
      </c>
      <c r="M617" s="5">
        <v>0.78490000000000004</v>
      </c>
      <c r="N617" s="5">
        <v>0.78600000000000003</v>
      </c>
      <c r="O617" s="5">
        <v>0.72619999999999996</v>
      </c>
    </row>
    <row r="618" spans="1:16">
      <c r="A618" t="str">
        <f t="shared" si="8"/>
        <v>LEENCP LF OFFPK</v>
      </c>
      <c r="B618" t="s">
        <v>661</v>
      </c>
      <c r="C618" t="s">
        <v>152</v>
      </c>
      <c r="D618" s="5">
        <v>0.58040000000000003</v>
      </c>
      <c r="E618" s="5">
        <v>0.66620000000000001</v>
      </c>
      <c r="F618" s="5">
        <v>0.68149999999999999</v>
      </c>
      <c r="G618" s="5">
        <v>0.62009999999999998</v>
      </c>
      <c r="H618" s="5">
        <v>0.63849999999999996</v>
      </c>
      <c r="I618" s="5">
        <v>0.61460000000000004</v>
      </c>
      <c r="J618" s="5">
        <v>0.62</v>
      </c>
      <c r="K618" s="5">
        <v>0.62180000000000002</v>
      </c>
      <c r="L618" s="5">
        <v>0.62019999999999997</v>
      </c>
      <c r="M618" s="5">
        <v>0.59450000000000003</v>
      </c>
      <c r="N618" s="5">
        <v>0.71489999999999998</v>
      </c>
      <c r="O618" s="5">
        <v>0.67800000000000005</v>
      </c>
    </row>
    <row r="619" spans="1:16">
      <c r="A619" t="str">
        <f t="shared" si="8"/>
        <v>LEEGCP CF</v>
      </c>
      <c r="B619" t="s">
        <v>661</v>
      </c>
      <c r="C619" t="s">
        <v>153</v>
      </c>
      <c r="D619" s="5">
        <v>1</v>
      </c>
      <c r="E619" s="5">
        <v>1</v>
      </c>
      <c r="F619" s="5">
        <v>1</v>
      </c>
      <c r="G619" s="5">
        <v>1</v>
      </c>
      <c r="H619" s="5">
        <v>1</v>
      </c>
      <c r="I619" s="5">
        <v>1</v>
      </c>
      <c r="J619" s="5">
        <v>1</v>
      </c>
      <c r="K619" s="5">
        <v>1</v>
      </c>
      <c r="L619" s="5">
        <v>1</v>
      </c>
      <c r="M619" s="5">
        <v>1</v>
      </c>
      <c r="N619" s="5">
        <v>1</v>
      </c>
      <c r="O619" s="5">
        <v>1</v>
      </c>
      <c r="P619" s="87"/>
    </row>
    <row r="620" spans="1:16">
      <c r="A620" t="str">
        <f t="shared" si="8"/>
        <v>LEECP CF</v>
      </c>
      <c r="B620" t="s">
        <v>661</v>
      </c>
      <c r="C620" t="s">
        <v>154</v>
      </c>
      <c r="D620" s="5">
        <v>1</v>
      </c>
      <c r="E620" s="5">
        <v>0.86199999999999999</v>
      </c>
      <c r="F620" s="5">
        <v>0.99809999999999999</v>
      </c>
      <c r="G620" s="5">
        <v>0.99109999999999998</v>
      </c>
      <c r="H620" s="5">
        <v>0.99180000000000001</v>
      </c>
      <c r="I620" s="5">
        <v>0.94510000000000005</v>
      </c>
      <c r="J620" s="5">
        <v>0.98740000000000006</v>
      </c>
      <c r="K620" s="5">
        <v>0.93859999999999999</v>
      </c>
      <c r="L620" s="5">
        <v>0.99539999999999995</v>
      </c>
      <c r="M620" s="5">
        <v>0.98640000000000005</v>
      </c>
      <c r="N620" s="5">
        <v>0.97540000000000004</v>
      </c>
      <c r="O620" s="5">
        <v>1</v>
      </c>
    </row>
    <row r="621" spans="1:16">
      <c r="A621" t="str">
        <f t="shared" si="8"/>
        <v>LEEGCP LF</v>
      </c>
      <c r="B621" t="s">
        <v>661</v>
      </c>
      <c r="C621" t="s">
        <v>155</v>
      </c>
      <c r="D621" s="5">
        <v>0.53769999999999996</v>
      </c>
      <c r="E621" s="5">
        <v>0.60240000000000005</v>
      </c>
      <c r="F621" s="5">
        <v>0.69310000000000005</v>
      </c>
      <c r="G621" s="5">
        <v>0.63700000000000001</v>
      </c>
      <c r="H621" s="5">
        <v>0.67479999999999996</v>
      </c>
      <c r="I621" s="5">
        <v>0.67030000000000001</v>
      </c>
      <c r="J621" s="5">
        <v>0.66220000000000001</v>
      </c>
      <c r="K621" s="5">
        <v>0.65129999999999999</v>
      </c>
      <c r="L621" s="5">
        <v>0.67249999999999999</v>
      </c>
      <c r="M621" s="5">
        <v>0.62570000000000003</v>
      </c>
      <c r="N621" s="5">
        <v>0.7278</v>
      </c>
      <c r="O621" s="5">
        <v>0.67400000000000004</v>
      </c>
    </row>
    <row r="622" spans="1:16">
      <c r="A622" t="str">
        <f t="shared" si="8"/>
        <v>LEEGCP LF ONPK</v>
      </c>
      <c r="B622" t="s">
        <v>661</v>
      </c>
      <c r="C622" t="s">
        <v>156</v>
      </c>
      <c r="D622" s="5">
        <v>0.60329999999999995</v>
      </c>
      <c r="E622" s="5">
        <v>0.65380000000000005</v>
      </c>
      <c r="F622" s="5">
        <v>0.75539999999999996</v>
      </c>
      <c r="G622" s="5">
        <v>0.81779999999999997</v>
      </c>
      <c r="H622" s="5">
        <v>0.85750000000000004</v>
      </c>
      <c r="I622" s="5">
        <v>0.83889999999999998</v>
      </c>
      <c r="J622" s="5">
        <v>0.84340000000000004</v>
      </c>
      <c r="K622" s="5">
        <v>0.84570000000000001</v>
      </c>
      <c r="L622" s="5">
        <v>0.86050000000000004</v>
      </c>
      <c r="M622" s="5">
        <v>0.78490000000000004</v>
      </c>
      <c r="N622" s="5">
        <v>0.78600000000000003</v>
      </c>
      <c r="O622" s="5">
        <v>0.72619999999999996</v>
      </c>
      <c r="P622" s="83"/>
    </row>
    <row r="623" spans="1:16">
      <c r="A623" t="str">
        <f t="shared" si="8"/>
        <v>LEEGCP LF OFFPK</v>
      </c>
      <c r="B623" t="s">
        <v>661</v>
      </c>
      <c r="C623" t="s">
        <v>157</v>
      </c>
      <c r="D623" s="5">
        <v>0.58040000000000003</v>
      </c>
      <c r="E623" s="5">
        <v>0.66620000000000001</v>
      </c>
      <c r="F623" s="5">
        <v>0.68149999999999999</v>
      </c>
      <c r="G623" s="5">
        <v>0.62009999999999998</v>
      </c>
      <c r="H623" s="5">
        <v>0.63849999999999996</v>
      </c>
      <c r="I623" s="5">
        <v>0.61460000000000004</v>
      </c>
      <c r="J623" s="5">
        <v>0.62</v>
      </c>
      <c r="K623" s="5">
        <v>0.62180000000000002</v>
      </c>
      <c r="L623" s="5">
        <v>0.62019999999999997</v>
      </c>
      <c r="M623" s="5">
        <v>0.59450000000000003</v>
      </c>
      <c r="N623" s="5">
        <v>0.71489999999999998</v>
      </c>
      <c r="O623" s="5">
        <v>0.67800000000000005</v>
      </c>
      <c r="P623" s="1"/>
    </row>
    <row r="624" spans="1:16">
      <c r="A624" t="str">
        <f t="shared" si="8"/>
        <v>LEECP LF</v>
      </c>
      <c r="B624" t="s">
        <v>661</v>
      </c>
      <c r="C624" t="s">
        <v>158</v>
      </c>
      <c r="D624" s="5">
        <v>0.53769999999999996</v>
      </c>
      <c r="E624" s="5">
        <v>0.69879999999999998</v>
      </c>
      <c r="F624" s="5">
        <v>0.69440000000000002</v>
      </c>
      <c r="G624" s="5">
        <v>0.64270000000000005</v>
      </c>
      <c r="H624" s="5">
        <v>0.6804</v>
      </c>
      <c r="I624" s="5">
        <v>0.70920000000000005</v>
      </c>
      <c r="J624" s="5">
        <v>0.67069999999999996</v>
      </c>
      <c r="K624" s="5">
        <v>0.69399999999999995</v>
      </c>
      <c r="L624" s="5">
        <v>0.67559999999999998</v>
      </c>
      <c r="M624" s="5">
        <v>0.63429999999999997</v>
      </c>
      <c r="N624" s="5">
        <v>0.74619999999999997</v>
      </c>
      <c r="O624" s="5">
        <v>0.67400000000000004</v>
      </c>
      <c r="P624" s="5"/>
    </row>
    <row r="625" spans="1:16">
      <c r="A625" t="str">
        <f t="shared" si="8"/>
        <v>LEEREL PREC:</v>
      </c>
      <c r="B625" t="s">
        <v>661</v>
      </c>
      <c r="C625" t="s">
        <v>65</v>
      </c>
      <c r="P625" s="5"/>
    </row>
    <row r="626" spans="1:16">
      <c r="A626" t="str">
        <f t="shared" si="8"/>
        <v>LEENCP RP</v>
      </c>
      <c r="B626" t="s">
        <v>661</v>
      </c>
      <c r="C626" t="s">
        <v>159</v>
      </c>
      <c r="D626" s="5">
        <v>0</v>
      </c>
      <c r="E626" s="5">
        <v>0</v>
      </c>
      <c r="F626" s="5">
        <v>0</v>
      </c>
      <c r="G626" s="5">
        <v>0</v>
      </c>
      <c r="H626" s="5">
        <v>0</v>
      </c>
      <c r="I626" s="5">
        <v>0</v>
      </c>
      <c r="J626" s="5">
        <v>0</v>
      </c>
      <c r="K626" s="5">
        <v>0</v>
      </c>
      <c r="L626" s="5">
        <v>0</v>
      </c>
      <c r="M626" s="5">
        <v>0</v>
      </c>
      <c r="N626" s="5">
        <v>0</v>
      </c>
      <c r="O626" s="5">
        <v>0</v>
      </c>
      <c r="P626" s="5"/>
    </row>
    <row r="627" spans="1:16">
      <c r="A627" t="str">
        <f t="shared" si="8"/>
        <v>LEENCP RP ONPK</v>
      </c>
      <c r="B627" t="s">
        <v>661</v>
      </c>
      <c r="C627" t="s">
        <v>160</v>
      </c>
      <c r="D627" s="5">
        <v>0</v>
      </c>
      <c r="E627" s="5">
        <v>0</v>
      </c>
      <c r="F627" s="5">
        <v>0</v>
      </c>
      <c r="G627" s="5">
        <v>0</v>
      </c>
      <c r="H627" s="5">
        <v>0</v>
      </c>
      <c r="I627" s="5">
        <v>0</v>
      </c>
      <c r="J627" s="5">
        <v>0</v>
      </c>
      <c r="K627" s="5">
        <v>0</v>
      </c>
      <c r="L627" s="5">
        <v>0</v>
      </c>
      <c r="M627" s="5">
        <v>0</v>
      </c>
      <c r="N627" s="5">
        <v>0</v>
      </c>
      <c r="O627" s="5">
        <v>0</v>
      </c>
      <c r="P627" s="5"/>
    </row>
    <row r="628" spans="1:16">
      <c r="A628" t="str">
        <f t="shared" si="8"/>
        <v>LEENCP RP OFFPK</v>
      </c>
      <c r="B628" t="s">
        <v>661</v>
      </c>
      <c r="C628" t="s">
        <v>161</v>
      </c>
      <c r="D628" s="5">
        <v>0</v>
      </c>
      <c r="E628" s="5">
        <v>0</v>
      </c>
      <c r="F628" s="5">
        <v>0</v>
      </c>
      <c r="G628" s="5">
        <v>0</v>
      </c>
      <c r="H628" s="5">
        <v>0</v>
      </c>
      <c r="I628" s="5">
        <v>0</v>
      </c>
      <c r="J628" s="5">
        <v>0</v>
      </c>
      <c r="K628" s="5">
        <v>0</v>
      </c>
      <c r="L628" s="5">
        <v>0</v>
      </c>
      <c r="M628" s="5">
        <v>0</v>
      </c>
      <c r="N628" s="5">
        <v>0</v>
      </c>
      <c r="O628" s="5">
        <v>0</v>
      </c>
      <c r="P628" s="5"/>
    </row>
    <row r="629" spans="1:16">
      <c r="A629" t="str">
        <f t="shared" si="8"/>
        <v>LEEGCP RP</v>
      </c>
      <c r="B629" t="s">
        <v>661</v>
      </c>
      <c r="C629" t="s">
        <v>162</v>
      </c>
      <c r="D629" s="5">
        <v>0</v>
      </c>
      <c r="E629" s="5">
        <v>0</v>
      </c>
      <c r="F629" s="5">
        <v>0</v>
      </c>
      <c r="G629" s="5">
        <v>0</v>
      </c>
      <c r="H629" s="5">
        <v>0</v>
      </c>
      <c r="I629" s="5">
        <v>0</v>
      </c>
      <c r="J629" s="5">
        <v>0</v>
      </c>
      <c r="K629" s="5">
        <v>0</v>
      </c>
      <c r="L629" s="5">
        <v>0</v>
      </c>
      <c r="M629" s="5">
        <v>0</v>
      </c>
      <c r="N629" s="5">
        <v>0</v>
      </c>
      <c r="O629" s="5">
        <v>0</v>
      </c>
      <c r="P629" s="5"/>
    </row>
    <row r="630" spans="1:16">
      <c r="A630" t="str">
        <f t="shared" ref="A630:A693" si="9">B630&amp;C630</f>
        <v>LEEGCP RP ONPK</v>
      </c>
      <c r="B630" t="s">
        <v>661</v>
      </c>
      <c r="C630" t="s">
        <v>163</v>
      </c>
      <c r="D630" s="5">
        <v>0</v>
      </c>
      <c r="E630" s="5">
        <v>0</v>
      </c>
      <c r="F630" s="5">
        <v>0</v>
      </c>
      <c r="G630" s="5">
        <v>0</v>
      </c>
      <c r="H630" s="5">
        <v>0</v>
      </c>
      <c r="I630" s="5">
        <v>0</v>
      </c>
      <c r="J630" s="5">
        <v>0</v>
      </c>
      <c r="K630" s="5">
        <v>0</v>
      </c>
      <c r="L630" s="5">
        <v>0</v>
      </c>
      <c r="M630" s="5">
        <v>0</v>
      </c>
      <c r="N630" s="5">
        <v>0</v>
      </c>
      <c r="O630" s="5">
        <v>0</v>
      </c>
      <c r="P630" s="5"/>
    </row>
    <row r="631" spans="1:16">
      <c r="A631" t="str">
        <f t="shared" si="9"/>
        <v>LEEGCP RP OFFPK</v>
      </c>
      <c r="B631" t="s">
        <v>661</v>
      </c>
      <c r="C631" t="s">
        <v>164</v>
      </c>
      <c r="D631" s="5">
        <v>0</v>
      </c>
      <c r="E631" s="5">
        <v>0</v>
      </c>
      <c r="F631" s="5">
        <v>0</v>
      </c>
      <c r="G631" s="5">
        <v>0</v>
      </c>
      <c r="H631" s="5">
        <v>0</v>
      </c>
      <c r="I631" s="5">
        <v>0</v>
      </c>
      <c r="J631" s="5">
        <v>0</v>
      </c>
      <c r="K631" s="5">
        <v>0</v>
      </c>
      <c r="L631" s="5">
        <v>0</v>
      </c>
      <c r="M631" s="5">
        <v>0</v>
      </c>
      <c r="N631" s="5">
        <v>0</v>
      </c>
      <c r="O631" s="5">
        <v>0</v>
      </c>
      <c r="P631" s="5"/>
    </row>
    <row r="632" spans="1:16">
      <c r="A632" t="str">
        <f t="shared" si="9"/>
        <v>LEECP RP</v>
      </c>
      <c r="B632" t="s">
        <v>661</v>
      </c>
      <c r="C632" t="s">
        <v>165</v>
      </c>
      <c r="D632" s="5">
        <v>0</v>
      </c>
      <c r="E632" s="5">
        <v>0</v>
      </c>
      <c r="F632" s="5">
        <v>0</v>
      </c>
      <c r="G632" s="5">
        <v>0</v>
      </c>
      <c r="H632" s="5">
        <v>0</v>
      </c>
      <c r="I632" s="5">
        <v>0</v>
      </c>
      <c r="J632" s="5">
        <v>0</v>
      </c>
      <c r="K632" s="5">
        <v>0</v>
      </c>
      <c r="L632" s="5">
        <v>0</v>
      </c>
      <c r="M632" s="5">
        <v>0</v>
      </c>
      <c r="N632" s="5">
        <v>0</v>
      </c>
      <c r="O632" s="5">
        <v>0</v>
      </c>
      <c r="P632" s="5"/>
    </row>
    <row r="633" spans="1:16">
      <c r="A633" t="str">
        <f t="shared" si="9"/>
        <v>LEESAMPLE SIZE:</v>
      </c>
      <c r="B633" t="s">
        <v>661</v>
      </c>
      <c r="C633" t="s">
        <v>66</v>
      </c>
    </row>
    <row r="634" spans="1:16">
      <c r="A634" t="str">
        <f t="shared" si="9"/>
        <v>LEEGCPSZ</v>
      </c>
      <c r="B634" t="s">
        <v>661</v>
      </c>
      <c r="C634" t="s">
        <v>166</v>
      </c>
      <c r="D634">
        <v>1</v>
      </c>
      <c r="E634">
        <v>1</v>
      </c>
      <c r="F634">
        <v>1</v>
      </c>
      <c r="G634">
        <v>1</v>
      </c>
      <c r="H634">
        <v>1</v>
      </c>
      <c r="I634">
        <v>1</v>
      </c>
      <c r="J634">
        <v>1</v>
      </c>
      <c r="K634">
        <v>1</v>
      </c>
      <c r="L634">
        <v>1</v>
      </c>
      <c r="M634">
        <v>1</v>
      </c>
      <c r="N634">
        <v>1</v>
      </c>
      <c r="O634">
        <v>1</v>
      </c>
      <c r="P634" s="5"/>
    </row>
    <row r="635" spans="1:16">
      <c r="A635" t="str">
        <f t="shared" si="9"/>
        <v>LEEGCPSZ ONPK</v>
      </c>
      <c r="B635" t="s">
        <v>661</v>
      </c>
      <c r="C635" t="s">
        <v>167</v>
      </c>
      <c r="D635">
        <v>1</v>
      </c>
      <c r="E635">
        <v>1</v>
      </c>
      <c r="F635">
        <v>1</v>
      </c>
      <c r="G635">
        <v>1</v>
      </c>
      <c r="H635">
        <v>1</v>
      </c>
      <c r="I635">
        <v>1</v>
      </c>
      <c r="J635">
        <v>1</v>
      </c>
      <c r="K635">
        <v>1</v>
      </c>
      <c r="L635">
        <v>1</v>
      </c>
      <c r="M635">
        <v>1</v>
      </c>
      <c r="N635">
        <v>1</v>
      </c>
      <c r="O635">
        <v>1</v>
      </c>
      <c r="P635" s="5"/>
    </row>
    <row r="636" spans="1:16">
      <c r="A636" t="str">
        <f t="shared" si="9"/>
        <v>LEEGCPSZ OFFPK</v>
      </c>
      <c r="B636" t="s">
        <v>661</v>
      </c>
      <c r="C636" t="s">
        <v>168</v>
      </c>
      <c r="D636">
        <v>1</v>
      </c>
      <c r="E636">
        <v>1</v>
      </c>
      <c r="F636">
        <v>1</v>
      </c>
      <c r="G636">
        <v>1</v>
      </c>
      <c r="H636">
        <v>1</v>
      </c>
      <c r="I636">
        <v>1</v>
      </c>
      <c r="J636">
        <v>1</v>
      </c>
      <c r="K636">
        <v>1</v>
      </c>
      <c r="L636">
        <v>1</v>
      </c>
      <c r="M636">
        <v>1</v>
      </c>
      <c r="N636">
        <v>1</v>
      </c>
      <c r="O636">
        <v>1</v>
      </c>
      <c r="P636" s="5"/>
    </row>
    <row r="637" spans="1:16">
      <c r="A637" t="str">
        <f t="shared" si="9"/>
        <v>LEECPSZ</v>
      </c>
      <c r="B637" t="s">
        <v>661</v>
      </c>
      <c r="C637" t="s">
        <v>169</v>
      </c>
      <c r="D637">
        <v>1</v>
      </c>
      <c r="E637">
        <v>1</v>
      </c>
      <c r="F637">
        <v>1</v>
      </c>
      <c r="G637">
        <v>1</v>
      </c>
      <c r="H637">
        <v>1</v>
      </c>
      <c r="I637">
        <v>1</v>
      </c>
      <c r="J637">
        <v>1</v>
      </c>
      <c r="K637">
        <v>1</v>
      </c>
      <c r="L637">
        <v>1</v>
      </c>
      <c r="M637">
        <v>1</v>
      </c>
      <c r="N637">
        <v>1</v>
      </c>
      <c r="O637">
        <v>1</v>
      </c>
      <c r="P637" s="5"/>
    </row>
    <row r="638" spans="1:16">
      <c r="A638" t="str">
        <f t="shared" si="9"/>
        <v/>
      </c>
      <c r="P638" s="5"/>
    </row>
    <row r="639" spans="1:16">
      <c r="A639" t="str">
        <f t="shared" si="9"/>
        <v/>
      </c>
      <c r="P639" s="5"/>
    </row>
    <row r="640" spans="1:16">
      <c r="A640" t="str">
        <f t="shared" si="9"/>
        <v/>
      </c>
      <c r="P640" s="5"/>
    </row>
    <row r="641" spans="1:16">
      <c r="A641" t="str">
        <f t="shared" si="9"/>
        <v/>
      </c>
    </row>
    <row r="642" spans="1:16">
      <c r="A642" t="str">
        <f t="shared" si="9"/>
        <v/>
      </c>
    </row>
    <row r="643" spans="1:16">
      <c r="A643" t="str">
        <f t="shared" si="9"/>
        <v/>
      </c>
    </row>
    <row r="644" spans="1:16">
      <c r="A644" t="str">
        <f t="shared" si="9"/>
        <v/>
      </c>
    </row>
    <row r="645" spans="1:16" ht="14.4">
      <c r="A645" t="str">
        <f t="shared" si="9"/>
        <v>NOTE:     Sales line does not match sales in the Rate and Revenue Report due to billing lag.</v>
      </c>
      <c r="B645" s="301" t="s">
        <v>608</v>
      </c>
    </row>
    <row r="646" spans="1:16">
      <c r="A646" t="str">
        <f t="shared" si="9"/>
        <v/>
      </c>
    </row>
    <row r="647" spans="1:16">
      <c r="A647" t="str">
        <f t="shared" si="9"/>
        <v xml:space="preserve">MDWS Wholesale - Metro Dade County Solid Waste Management </v>
      </c>
      <c r="B647" t="s">
        <v>5</v>
      </c>
      <c r="C647" t="s">
        <v>6</v>
      </c>
    </row>
    <row r="648" spans="1:16">
      <c r="A648" t="str">
        <f t="shared" si="9"/>
        <v xml:space="preserve">MDWSMONTH </v>
      </c>
      <c r="B648" t="s">
        <v>7</v>
      </c>
      <c r="C648" t="s">
        <v>123</v>
      </c>
      <c r="D648" s="4">
        <v>40909</v>
      </c>
      <c r="E648" s="4">
        <v>40940</v>
      </c>
      <c r="F648" s="4">
        <v>40969</v>
      </c>
      <c r="G648" s="4">
        <v>41000</v>
      </c>
      <c r="H648" s="4">
        <v>41030</v>
      </c>
      <c r="I648" s="4">
        <v>41061</v>
      </c>
      <c r="J648" s="4">
        <v>41091</v>
      </c>
      <c r="K648" s="4">
        <v>41122</v>
      </c>
      <c r="L648" s="4">
        <v>41153</v>
      </c>
      <c r="M648" s="4">
        <v>41183</v>
      </c>
      <c r="N648" s="4">
        <v>41214</v>
      </c>
      <c r="O648" s="4">
        <v>41244</v>
      </c>
      <c r="P648" s="4"/>
    </row>
    <row r="649" spans="1:16">
      <c r="A649" t="str">
        <f t="shared" si="9"/>
        <v xml:space="preserve">MDWSCUSTOMERS </v>
      </c>
      <c r="B649" t="s">
        <v>7</v>
      </c>
      <c r="C649" t="s">
        <v>124</v>
      </c>
      <c r="D649">
        <v>3</v>
      </c>
      <c r="E649">
        <v>3</v>
      </c>
      <c r="F649">
        <v>3</v>
      </c>
      <c r="G649">
        <v>3</v>
      </c>
      <c r="H649">
        <v>3</v>
      </c>
      <c r="I649">
        <v>4</v>
      </c>
      <c r="J649">
        <v>4</v>
      </c>
      <c r="K649">
        <v>4</v>
      </c>
      <c r="L649">
        <v>4</v>
      </c>
      <c r="M649">
        <v>4</v>
      </c>
      <c r="N649">
        <v>4</v>
      </c>
      <c r="O649">
        <v>4</v>
      </c>
    </row>
    <row r="650" spans="1:16">
      <c r="A650" t="str">
        <f t="shared" si="9"/>
        <v xml:space="preserve">MDWSSALES </v>
      </c>
      <c r="B650" t="s">
        <v>7</v>
      </c>
      <c r="C650" t="s">
        <v>125</v>
      </c>
      <c r="D650">
        <v>56129329</v>
      </c>
      <c r="E650">
        <v>55969779</v>
      </c>
      <c r="F650">
        <v>56754611</v>
      </c>
      <c r="G650">
        <v>64918601</v>
      </c>
      <c r="H650">
        <v>62296913</v>
      </c>
      <c r="I650">
        <v>75993810</v>
      </c>
      <c r="J650">
        <v>79622845</v>
      </c>
      <c r="K650">
        <v>88049119</v>
      </c>
      <c r="L650">
        <v>88321780</v>
      </c>
      <c r="M650">
        <v>76919724</v>
      </c>
      <c r="N650">
        <v>71039401</v>
      </c>
      <c r="O650">
        <v>52889179</v>
      </c>
    </row>
    <row r="651" spans="1:16">
      <c r="A651" t="str">
        <f t="shared" si="9"/>
        <v>MDWSKW</v>
      </c>
      <c r="B651" t="s">
        <v>7</v>
      </c>
      <c r="C651" t="s">
        <v>126</v>
      </c>
    </row>
    <row r="652" spans="1:16">
      <c r="A652" t="str">
        <f t="shared" si="9"/>
        <v>MDWSN</v>
      </c>
      <c r="B652" t="s">
        <v>7</v>
      </c>
      <c r="C652" t="s">
        <v>127</v>
      </c>
      <c r="D652">
        <v>1</v>
      </c>
      <c r="E652">
        <v>1</v>
      </c>
      <c r="F652">
        <v>1</v>
      </c>
      <c r="G652">
        <v>1</v>
      </c>
      <c r="H652">
        <v>1</v>
      </c>
      <c r="I652">
        <v>1</v>
      </c>
      <c r="J652">
        <v>1</v>
      </c>
      <c r="K652">
        <v>1</v>
      </c>
      <c r="L652">
        <v>1</v>
      </c>
      <c r="M652">
        <v>1</v>
      </c>
      <c r="N652">
        <v>1</v>
      </c>
      <c r="O652">
        <v>1</v>
      </c>
    </row>
    <row r="653" spans="1:16">
      <c r="A653" t="str">
        <f t="shared" si="9"/>
        <v>MDWSRLR ENERGY:</v>
      </c>
      <c r="B653" t="s">
        <v>7</v>
      </c>
      <c r="C653" t="s">
        <v>61</v>
      </c>
    </row>
    <row r="654" spans="1:16">
      <c r="A654" t="str">
        <f t="shared" si="9"/>
        <v>MDWSKWH</v>
      </c>
      <c r="B654" t="s">
        <v>7</v>
      </c>
      <c r="C654" t="s">
        <v>128</v>
      </c>
      <c r="D654">
        <v>573010</v>
      </c>
      <c r="E654">
        <v>365380</v>
      </c>
      <c r="F654">
        <v>568669</v>
      </c>
      <c r="G654">
        <v>500344</v>
      </c>
      <c r="H654">
        <v>520575</v>
      </c>
      <c r="I654">
        <v>532691</v>
      </c>
      <c r="J654">
        <v>551085</v>
      </c>
      <c r="K654">
        <v>497992</v>
      </c>
      <c r="L654">
        <v>479164</v>
      </c>
      <c r="M654">
        <v>437069</v>
      </c>
      <c r="N654">
        <v>487405</v>
      </c>
      <c r="O654">
        <v>594618</v>
      </c>
    </row>
    <row r="655" spans="1:16">
      <c r="A655" t="str">
        <f t="shared" si="9"/>
        <v>MDWSKWH ONPK</v>
      </c>
      <c r="B655" t="s">
        <v>7</v>
      </c>
      <c r="C655" t="s">
        <v>129</v>
      </c>
      <c r="D655">
        <v>126645</v>
      </c>
      <c r="E655">
        <v>87966</v>
      </c>
      <c r="F655">
        <v>132664</v>
      </c>
      <c r="G655">
        <v>128025</v>
      </c>
      <c r="H655">
        <v>136923</v>
      </c>
      <c r="I655">
        <v>139779</v>
      </c>
      <c r="J655">
        <v>132523</v>
      </c>
      <c r="K655">
        <v>128207</v>
      </c>
      <c r="L655">
        <v>110725</v>
      </c>
      <c r="M655">
        <v>123900</v>
      </c>
      <c r="N655">
        <v>113097</v>
      </c>
      <c r="O655">
        <v>132995</v>
      </c>
    </row>
    <row r="656" spans="1:16">
      <c r="A656" t="str">
        <f t="shared" si="9"/>
        <v>MDWSKWH OFFPK</v>
      </c>
      <c r="B656" t="s">
        <v>7</v>
      </c>
      <c r="C656" t="s">
        <v>130</v>
      </c>
      <c r="D656">
        <v>446364</v>
      </c>
      <c r="E656">
        <v>277413</v>
      </c>
      <c r="F656">
        <v>436005</v>
      </c>
      <c r="G656">
        <v>372319</v>
      </c>
      <c r="H656">
        <v>383652</v>
      </c>
      <c r="I656">
        <v>392912</v>
      </c>
      <c r="J656">
        <v>418562</v>
      </c>
      <c r="K656">
        <v>369785</v>
      </c>
      <c r="L656">
        <v>368439</v>
      </c>
      <c r="M656">
        <v>313169</v>
      </c>
      <c r="N656">
        <v>374308</v>
      </c>
      <c r="O656">
        <v>461623</v>
      </c>
      <c r="P656" s="4"/>
    </row>
    <row r="657" spans="1:16">
      <c r="A657" t="str">
        <f t="shared" si="9"/>
        <v>MDWSKWH ONPK%</v>
      </c>
      <c r="B657" t="s">
        <v>7</v>
      </c>
      <c r="C657" t="s">
        <v>131</v>
      </c>
      <c r="D657" s="5">
        <v>0.22101999999999999</v>
      </c>
      <c r="E657" s="5">
        <v>0.24074999999999999</v>
      </c>
      <c r="F657" s="5">
        <v>0.23329</v>
      </c>
      <c r="G657" s="5">
        <v>0.25586999999999999</v>
      </c>
      <c r="H657" s="5">
        <v>0.26301999999999998</v>
      </c>
      <c r="I657" s="5">
        <v>0.26240000000000002</v>
      </c>
      <c r="J657" s="5">
        <v>0.24048</v>
      </c>
      <c r="K657" s="5">
        <v>0.25745000000000001</v>
      </c>
      <c r="L657" s="5">
        <v>0.23108000000000001</v>
      </c>
      <c r="M657" s="5">
        <v>0.28348000000000001</v>
      </c>
      <c r="N657" s="5">
        <v>0.23204</v>
      </c>
      <c r="O657" s="5">
        <v>0.22366</v>
      </c>
    </row>
    <row r="658" spans="1:16">
      <c r="A658" t="str">
        <f t="shared" si="9"/>
        <v>MDWSKWH OFFPK%</v>
      </c>
      <c r="B658" t="s">
        <v>7</v>
      </c>
      <c r="C658" t="s">
        <v>132</v>
      </c>
      <c r="D658" s="5">
        <v>0.77898000000000001</v>
      </c>
      <c r="E658" s="5">
        <v>0.75924999999999998</v>
      </c>
      <c r="F658" s="5">
        <v>0.76671</v>
      </c>
      <c r="G658" s="5">
        <v>0.74412999999999996</v>
      </c>
      <c r="H658" s="5">
        <v>0.73697999999999997</v>
      </c>
      <c r="I658" s="5">
        <v>0.73760000000000003</v>
      </c>
      <c r="J658" s="5">
        <v>0.75951999999999997</v>
      </c>
      <c r="K658" s="5">
        <v>0.74255000000000004</v>
      </c>
      <c r="L658" s="5">
        <v>0.76892000000000005</v>
      </c>
      <c r="M658" s="5">
        <v>0.71652000000000005</v>
      </c>
      <c r="N658" s="5">
        <v>0.76795999999999998</v>
      </c>
      <c r="O658" s="5">
        <v>0.77634000000000003</v>
      </c>
    </row>
    <row r="659" spans="1:16">
      <c r="A659" t="str">
        <f t="shared" si="9"/>
        <v>MDWSDEMAND (KW):</v>
      </c>
      <c r="B659" t="s">
        <v>7</v>
      </c>
      <c r="C659" t="s">
        <v>62</v>
      </c>
    </row>
    <row r="660" spans="1:16">
      <c r="A660" t="str">
        <f t="shared" si="9"/>
        <v>MDWSNCP</v>
      </c>
      <c r="B660" t="s">
        <v>7</v>
      </c>
      <c r="C660" t="s">
        <v>133</v>
      </c>
      <c r="D660">
        <v>1058</v>
      </c>
      <c r="E660">
        <v>1007</v>
      </c>
      <c r="F660">
        <v>990</v>
      </c>
      <c r="G660">
        <v>973</v>
      </c>
      <c r="H660">
        <v>975</v>
      </c>
      <c r="I660">
        <v>972</v>
      </c>
      <c r="J660">
        <v>986</v>
      </c>
      <c r="K660">
        <v>950</v>
      </c>
      <c r="L660">
        <v>949</v>
      </c>
      <c r="M660">
        <v>879</v>
      </c>
      <c r="N660">
        <v>1010</v>
      </c>
      <c r="O660">
        <v>1015</v>
      </c>
    </row>
    <row r="661" spans="1:16">
      <c r="A661" t="str">
        <f t="shared" si="9"/>
        <v>MDWSNCP ONPK</v>
      </c>
      <c r="B661" t="s">
        <v>7</v>
      </c>
      <c r="C661" t="s">
        <v>134</v>
      </c>
      <c r="D661">
        <v>1025</v>
      </c>
      <c r="E661">
        <v>990</v>
      </c>
      <c r="F661">
        <v>955</v>
      </c>
      <c r="G661">
        <v>973</v>
      </c>
      <c r="H661">
        <v>975</v>
      </c>
      <c r="I661">
        <v>944</v>
      </c>
      <c r="J661">
        <v>986</v>
      </c>
      <c r="K661">
        <v>916</v>
      </c>
      <c r="L661">
        <v>923</v>
      </c>
      <c r="M661">
        <v>879</v>
      </c>
      <c r="N661">
        <v>979</v>
      </c>
      <c r="O661">
        <v>995</v>
      </c>
    </row>
    <row r="662" spans="1:16">
      <c r="A662" t="str">
        <f t="shared" si="9"/>
        <v>MDWSNCP OFFPK</v>
      </c>
      <c r="B662" t="s">
        <v>7</v>
      </c>
      <c r="C662" t="s">
        <v>135</v>
      </c>
      <c r="D662">
        <v>1058</v>
      </c>
      <c r="E662">
        <v>1007</v>
      </c>
      <c r="F662">
        <v>990</v>
      </c>
      <c r="G662">
        <v>955</v>
      </c>
      <c r="H662">
        <v>957</v>
      </c>
      <c r="I662">
        <v>972</v>
      </c>
      <c r="J662">
        <v>986</v>
      </c>
      <c r="K662">
        <v>950</v>
      </c>
      <c r="L662">
        <v>949</v>
      </c>
      <c r="M662">
        <v>875</v>
      </c>
      <c r="N662">
        <v>1010</v>
      </c>
      <c r="O662">
        <v>1015</v>
      </c>
      <c r="P662" s="91"/>
    </row>
    <row r="663" spans="1:16">
      <c r="A663" t="str">
        <f t="shared" si="9"/>
        <v>MDWSGCP DATE</v>
      </c>
      <c r="B663" t="s">
        <v>7</v>
      </c>
      <c r="C663" t="s">
        <v>136</v>
      </c>
      <c r="D663" t="s">
        <v>960</v>
      </c>
      <c r="E663" t="s">
        <v>961</v>
      </c>
      <c r="F663" t="s">
        <v>8</v>
      </c>
      <c r="G663" t="s">
        <v>962</v>
      </c>
      <c r="H663" t="s">
        <v>207</v>
      </c>
      <c r="I663" t="s">
        <v>963</v>
      </c>
      <c r="J663" t="s">
        <v>921</v>
      </c>
      <c r="K663" t="s">
        <v>964</v>
      </c>
      <c r="L663" t="s">
        <v>32</v>
      </c>
      <c r="M663" t="s">
        <v>965</v>
      </c>
      <c r="N663" t="s">
        <v>966</v>
      </c>
      <c r="O663" t="s">
        <v>26</v>
      </c>
    </row>
    <row r="664" spans="1:16">
      <c r="A664" t="str">
        <f t="shared" si="9"/>
        <v>MDWSGCP TIME</v>
      </c>
      <c r="B664" t="s">
        <v>7</v>
      </c>
      <c r="C664" t="s">
        <v>142</v>
      </c>
      <c r="D664" t="s">
        <v>182</v>
      </c>
      <c r="E664" t="s">
        <v>189</v>
      </c>
      <c r="F664" t="s">
        <v>145</v>
      </c>
      <c r="G664" t="s">
        <v>196</v>
      </c>
      <c r="H664" t="s">
        <v>182</v>
      </c>
      <c r="I664" t="s">
        <v>203</v>
      </c>
      <c r="J664" t="s">
        <v>213</v>
      </c>
      <c r="K664" t="s">
        <v>202</v>
      </c>
      <c r="L664" t="s">
        <v>200</v>
      </c>
      <c r="M664" t="s">
        <v>193</v>
      </c>
      <c r="N664" t="s">
        <v>193</v>
      </c>
      <c r="O664" t="s">
        <v>182</v>
      </c>
    </row>
    <row r="665" spans="1:16">
      <c r="A665" t="str">
        <f t="shared" si="9"/>
        <v>MDWSGCP</v>
      </c>
      <c r="B665" t="s">
        <v>7</v>
      </c>
      <c r="C665" t="s">
        <v>147</v>
      </c>
      <c r="D665">
        <v>1058</v>
      </c>
      <c r="E665">
        <v>1007</v>
      </c>
      <c r="F665">
        <v>990</v>
      </c>
      <c r="G665">
        <v>973</v>
      </c>
      <c r="H665">
        <v>975</v>
      </c>
      <c r="I665">
        <v>972</v>
      </c>
      <c r="J665">
        <v>986</v>
      </c>
      <c r="K665">
        <v>950</v>
      </c>
      <c r="L665">
        <v>949</v>
      </c>
      <c r="M665">
        <v>879</v>
      </c>
      <c r="N665">
        <v>1010</v>
      </c>
      <c r="O665">
        <v>1015</v>
      </c>
      <c r="P665" s="5"/>
    </row>
    <row r="666" spans="1:16">
      <c r="A666" t="str">
        <f t="shared" si="9"/>
        <v>MDWSGCP ONPK</v>
      </c>
      <c r="B666" t="s">
        <v>7</v>
      </c>
      <c r="C666" t="s">
        <v>63</v>
      </c>
      <c r="D666">
        <v>1025</v>
      </c>
      <c r="E666">
        <v>990</v>
      </c>
      <c r="F666">
        <v>955</v>
      </c>
      <c r="G666">
        <v>973</v>
      </c>
      <c r="H666">
        <v>975</v>
      </c>
      <c r="I666">
        <v>944</v>
      </c>
      <c r="J666">
        <v>986</v>
      </c>
      <c r="K666">
        <v>916</v>
      </c>
      <c r="L666">
        <v>923</v>
      </c>
      <c r="M666">
        <v>879</v>
      </c>
      <c r="N666">
        <v>979</v>
      </c>
      <c r="O666">
        <v>995</v>
      </c>
      <c r="P666" s="5"/>
    </row>
    <row r="667" spans="1:16">
      <c r="A667" t="str">
        <f t="shared" si="9"/>
        <v>MDWSGCP OFFPK</v>
      </c>
      <c r="B667" t="s">
        <v>7</v>
      </c>
      <c r="C667" t="s">
        <v>64</v>
      </c>
      <c r="D667">
        <v>1058</v>
      </c>
      <c r="E667">
        <v>1007</v>
      </c>
      <c r="F667">
        <v>990</v>
      </c>
      <c r="G667">
        <v>955</v>
      </c>
      <c r="H667">
        <v>957</v>
      </c>
      <c r="I667">
        <v>972</v>
      </c>
      <c r="J667">
        <v>986</v>
      </c>
      <c r="K667">
        <v>950</v>
      </c>
      <c r="L667">
        <v>949</v>
      </c>
      <c r="M667">
        <v>875</v>
      </c>
      <c r="N667">
        <v>1010</v>
      </c>
      <c r="O667">
        <v>1015</v>
      </c>
    </row>
    <row r="668" spans="1:16">
      <c r="A668" t="str">
        <f t="shared" si="9"/>
        <v>MDWSCP</v>
      </c>
      <c r="B668" t="s">
        <v>7</v>
      </c>
      <c r="C668" t="s">
        <v>148</v>
      </c>
      <c r="D668">
        <v>978</v>
      </c>
      <c r="E668">
        <v>920</v>
      </c>
      <c r="F668">
        <v>350</v>
      </c>
      <c r="G668">
        <v>570</v>
      </c>
      <c r="H668">
        <v>896</v>
      </c>
      <c r="I668">
        <v>898</v>
      </c>
      <c r="J668">
        <v>601</v>
      </c>
      <c r="K668">
        <v>363</v>
      </c>
      <c r="L668">
        <v>682</v>
      </c>
      <c r="M668">
        <v>301</v>
      </c>
      <c r="N668">
        <v>573</v>
      </c>
      <c r="O668">
        <v>660</v>
      </c>
      <c r="P668" s="89"/>
    </row>
    <row r="669" spans="1:16">
      <c r="A669" t="str">
        <f t="shared" si="9"/>
        <v>MDWSPERIOD START</v>
      </c>
      <c r="B669" t="s">
        <v>7</v>
      </c>
      <c r="C669" t="s">
        <v>149</v>
      </c>
      <c r="D669" s="1">
        <v>40909</v>
      </c>
      <c r="E669" s="1">
        <v>40940</v>
      </c>
      <c r="F669" s="1">
        <v>40969</v>
      </c>
      <c r="G669" s="1">
        <v>41000</v>
      </c>
      <c r="H669" s="1">
        <v>41030</v>
      </c>
      <c r="I669" s="1">
        <v>41061</v>
      </c>
      <c r="J669" s="1">
        <v>41091</v>
      </c>
      <c r="K669" s="1">
        <v>41122</v>
      </c>
      <c r="L669" s="1">
        <v>41153</v>
      </c>
      <c r="M669" s="1">
        <v>41183</v>
      </c>
      <c r="N669" s="1">
        <v>41214</v>
      </c>
      <c r="O669" s="1">
        <v>41244</v>
      </c>
    </row>
    <row r="670" spans="1:16">
      <c r="A670" t="str">
        <f t="shared" si="9"/>
        <v>MDWSNCP LF</v>
      </c>
      <c r="B670" t="s">
        <v>7</v>
      </c>
      <c r="C670" t="s">
        <v>150</v>
      </c>
      <c r="D670" s="5">
        <v>0.72789999999999999</v>
      </c>
      <c r="E670" s="5">
        <v>0.5212</v>
      </c>
      <c r="F670" s="5">
        <v>0.7732</v>
      </c>
      <c r="G670" s="5">
        <v>0.71430000000000005</v>
      </c>
      <c r="H670" s="5">
        <v>0.71730000000000005</v>
      </c>
      <c r="I670" s="5">
        <v>0.76100000000000001</v>
      </c>
      <c r="J670" s="5">
        <v>0.75109999999999999</v>
      </c>
      <c r="K670" s="5">
        <v>0.70469999999999999</v>
      </c>
      <c r="L670" s="5">
        <v>0.70150000000000001</v>
      </c>
      <c r="M670" s="5">
        <v>0.66869999999999996</v>
      </c>
      <c r="N670" s="5">
        <v>0.67030000000000001</v>
      </c>
      <c r="O670" s="5">
        <v>0.78759999999999997</v>
      </c>
    </row>
    <row r="671" spans="1:16">
      <c r="A671" t="str">
        <f t="shared" si="9"/>
        <v>MDWSNCP LF ONPK</v>
      </c>
      <c r="B671" t="s">
        <v>7</v>
      </c>
      <c r="C671" t="s">
        <v>151</v>
      </c>
      <c r="D671" s="5">
        <v>0.73519999999999996</v>
      </c>
      <c r="E671" s="5">
        <v>0.52869999999999995</v>
      </c>
      <c r="F671" s="5">
        <v>0.78939999999999999</v>
      </c>
      <c r="G671" s="5">
        <v>0.69630000000000003</v>
      </c>
      <c r="H671" s="5">
        <v>0.70889999999999997</v>
      </c>
      <c r="I671" s="5">
        <v>0.78310000000000002</v>
      </c>
      <c r="J671" s="5">
        <v>0.71140000000000003</v>
      </c>
      <c r="K671" s="5">
        <v>0.67610000000000003</v>
      </c>
      <c r="L671" s="5">
        <v>0.70120000000000005</v>
      </c>
      <c r="M671" s="5">
        <v>0.68130000000000002</v>
      </c>
      <c r="N671" s="5">
        <v>0.68759999999999999</v>
      </c>
      <c r="O671" s="5">
        <v>0.83520000000000005</v>
      </c>
    </row>
    <row r="672" spans="1:16">
      <c r="A672" t="str">
        <f t="shared" si="9"/>
        <v>MDWSNCP LF OFFPK</v>
      </c>
      <c r="B672" t="s">
        <v>7</v>
      </c>
      <c r="C672" t="s">
        <v>152</v>
      </c>
      <c r="D672" s="5">
        <v>0.73240000000000005</v>
      </c>
      <c r="E672" s="5">
        <v>0.52170000000000005</v>
      </c>
      <c r="F672" s="5">
        <v>0.77690000000000003</v>
      </c>
      <c r="G672" s="5">
        <v>0.7339</v>
      </c>
      <c r="H672" s="5">
        <v>0.73419999999999996</v>
      </c>
      <c r="I672" s="5">
        <v>0.7611</v>
      </c>
      <c r="J672" s="5">
        <v>0.76470000000000005</v>
      </c>
      <c r="K672" s="5">
        <v>0.72499999999999998</v>
      </c>
      <c r="L672" s="5">
        <v>0.70740000000000003</v>
      </c>
      <c r="M672" s="5">
        <v>0.6663</v>
      </c>
      <c r="N672" s="5">
        <v>0.6714</v>
      </c>
      <c r="O672" s="5">
        <v>0.77890000000000004</v>
      </c>
    </row>
    <row r="673" spans="1:16">
      <c r="A673" t="str">
        <f t="shared" si="9"/>
        <v>MDWSGCP CF</v>
      </c>
      <c r="B673" t="s">
        <v>7</v>
      </c>
      <c r="C673" t="s">
        <v>153</v>
      </c>
      <c r="D673" s="5">
        <v>1</v>
      </c>
      <c r="E673" s="5">
        <v>1</v>
      </c>
      <c r="F673" s="5">
        <v>1</v>
      </c>
      <c r="G673" s="5">
        <v>1</v>
      </c>
      <c r="H673" s="5">
        <v>1</v>
      </c>
      <c r="I673" s="5">
        <v>1</v>
      </c>
      <c r="J673" s="5">
        <v>1</v>
      </c>
      <c r="K673" s="5">
        <v>1</v>
      </c>
      <c r="L673" s="5">
        <v>1</v>
      </c>
      <c r="M673" s="5">
        <v>1</v>
      </c>
      <c r="N673" s="5">
        <v>1</v>
      </c>
      <c r="O673" s="5">
        <v>1</v>
      </c>
      <c r="P673" s="87"/>
    </row>
    <row r="674" spans="1:16">
      <c r="A674" t="str">
        <f t="shared" si="9"/>
        <v>MDWSCP CF</v>
      </c>
      <c r="B674" t="s">
        <v>7</v>
      </c>
      <c r="C674" t="s">
        <v>154</v>
      </c>
      <c r="D674" s="5">
        <v>0.92410000000000003</v>
      </c>
      <c r="E674" s="5">
        <v>0.91369999999999996</v>
      </c>
      <c r="F674" s="5">
        <v>0.35399999999999998</v>
      </c>
      <c r="G674" s="5">
        <v>0.58550000000000002</v>
      </c>
      <c r="H674" s="5">
        <v>0.91890000000000005</v>
      </c>
      <c r="I674" s="5">
        <v>0.92320000000000002</v>
      </c>
      <c r="J674" s="5">
        <v>0.60940000000000005</v>
      </c>
      <c r="K674" s="5">
        <v>0.38240000000000002</v>
      </c>
      <c r="L674" s="5">
        <v>0.71840000000000004</v>
      </c>
      <c r="M674" s="5">
        <v>0.34320000000000001</v>
      </c>
      <c r="N674" s="5">
        <v>0.56720000000000004</v>
      </c>
      <c r="O674" s="5">
        <v>0.65010000000000001</v>
      </c>
    </row>
    <row r="675" spans="1:16">
      <c r="A675" t="str">
        <f t="shared" si="9"/>
        <v>MDWSGCP LF</v>
      </c>
      <c r="B675" t="s">
        <v>7</v>
      </c>
      <c r="C675" t="s">
        <v>155</v>
      </c>
      <c r="D675" s="5">
        <v>0.72789999999999999</v>
      </c>
      <c r="E675" s="5">
        <v>0.5212</v>
      </c>
      <c r="F675" s="5">
        <v>0.7732</v>
      </c>
      <c r="G675" s="5">
        <v>0.71430000000000005</v>
      </c>
      <c r="H675" s="5">
        <v>0.71730000000000005</v>
      </c>
      <c r="I675" s="5">
        <v>0.76100000000000001</v>
      </c>
      <c r="J675" s="5">
        <v>0.75109999999999999</v>
      </c>
      <c r="K675" s="5">
        <v>0.70469999999999999</v>
      </c>
      <c r="L675" s="5">
        <v>0.70150000000000001</v>
      </c>
      <c r="M675" s="5">
        <v>0.66869999999999996</v>
      </c>
      <c r="N675" s="5">
        <v>0.67030000000000001</v>
      </c>
      <c r="O675" s="5">
        <v>0.78759999999999997</v>
      </c>
    </row>
    <row r="676" spans="1:16">
      <c r="A676" t="str">
        <f t="shared" si="9"/>
        <v>MDWSGCP LF ONPK</v>
      </c>
      <c r="B676" t="s">
        <v>7</v>
      </c>
      <c r="C676" t="s">
        <v>156</v>
      </c>
      <c r="D676" s="5">
        <v>0.73519999999999996</v>
      </c>
      <c r="E676" s="5">
        <v>0.52869999999999995</v>
      </c>
      <c r="F676" s="5">
        <v>0.78939999999999999</v>
      </c>
      <c r="G676" s="5">
        <v>0.69630000000000003</v>
      </c>
      <c r="H676" s="5">
        <v>0.70889999999999997</v>
      </c>
      <c r="I676" s="5">
        <v>0.78310000000000002</v>
      </c>
      <c r="J676" s="5">
        <v>0.71140000000000003</v>
      </c>
      <c r="K676" s="5">
        <v>0.67610000000000003</v>
      </c>
      <c r="L676" s="5">
        <v>0.70120000000000005</v>
      </c>
      <c r="M676" s="5">
        <v>0.68130000000000002</v>
      </c>
      <c r="N676" s="5">
        <v>0.68759999999999999</v>
      </c>
      <c r="O676" s="5">
        <v>0.83520000000000005</v>
      </c>
      <c r="P676" s="83"/>
    </row>
    <row r="677" spans="1:16">
      <c r="A677" t="str">
        <f t="shared" si="9"/>
        <v>MDWSGCP LF OFFPK</v>
      </c>
      <c r="B677" t="s">
        <v>7</v>
      </c>
      <c r="C677" t="s">
        <v>157</v>
      </c>
      <c r="D677" s="5">
        <v>0.73240000000000005</v>
      </c>
      <c r="E677" s="5">
        <v>0.52170000000000005</v>
      </c>
      <c r="F677" s="5">
        <v>0.77690000000000003</v>
      </c>
      <c r="G677" s="5">
        <v>0.7339</v>
      </c>
      <c r="H677" s="5">
        <v>0.73419999999999996</v>
      </c>
      <c r="I677" s="5">
        <v>0.7611</v>
      </c>
      <c r="J677" s="5">
        <v>0.76470000000000005</v>
      </c>
      <c r="K677" s="5">
        <v>0.72499999999999998</v>
      </c>
      <c r="L677" s="5">
        <v>0.70740000000000003</v>
      </c>
      <c r="M677" s="5">
        <v>0.6663</v>
      </c>
      <c r="N677" s="5">
        <v>0.6714</v>
      </c>
      <c r="O677" s="5">
        <v>0.77890000000000004</v>
      </c>
      <c r="P677" s="1"/>
    </row>
    <row r="678" spans="1:16">
      <c r="A678" t="str">
        <f t="shared" si="9"/>
        <v>MDWSCP LF</v>
      </c>
      <c r="B678" t="s">
        <v>7</v>
      </c>
      <c r="C678" t="s">
        <v>158</v>
      </c>
      <c r="D678" s="5">
        <v>0.78759999999999997</v>
      </c>
      <c r="E678" s="5">
        <v>0.57050000000000001</v>
      </c>
      <c r="F678" s="5">
        <v>2.1840000000000002</v>
      </c>
      <c r="G678" s="5">
        <v>1.2199</v>
      </c>
      <c r="H678" s="5">
        <v>0.78069999999999995</v>
      </c>
      <c r="I678" s="5">
        <v>0.82430000000000003</v>
      </c>
      <c r="J678" s="5">
        <v>1.2324999999999999</v>
      </c>
      <c r="K678" s="5">
        <v>1.8427</v>
      </c>
      <c r="L678" s="5">
        <v>0.97650000000000003</v>
      </c>
      <c r="M678" s="5">
        <v>1.9484999999999999</v>
      </c>
      <c r="N678" s="5">
        <v>1.1818</v>
      </c>
      <c r="O678" s="5">
        <v>1.2114</v>
      </c>
      <c r="P678" s="5"/>
    </row>
    <row r="679" spans="1:16">
      <c r="A679" t="str">
        <f t="shared" si="9"/>
        <v>MDWSREL PREC:</v>
      </c>
      <c r="B679" t="s">
        <v>7</v>
      </c>
      <c r="C679" t="s">
        <v>65</v>
      </c>
      <c r="P679" s="5"/>
    </row>
    <row r="680" spans="1:16">
      <c r="A680" t="str">
        <f t="shared" si="9"/>
        <v>MDWSNCP RP</v>
      </c>
      <c r="B680" t="s">
        <v>7</v>
      </c>
      <c r="C680" t="s">
        <v>159</v>
      </c>
      <c r="D680" s="5">
        <v>0</v>
      </c>
      <c r="E680" s="5">
        <v>0</v>
      </c>
      <c r="F680" s="5">
        <v>0</v>
      </c>
      <c r="G680" s="5">
        <v>0</v>
      </c>
      <c r="H680" s="5">
        <v>0</v>
      </c>
      <c r="I680" s="5">
        <v>0</v>
      </c>
      <c r="J680" s="5">
        <v>0</v>
      </c>
      <c r="K680" s="5">
        <v>0</v>
      </c>
      <c r="L680" s="5">
        <v>0</v>
      </c>
      <c r="M680" s="5">
        <v>0</v>
      </c>
      <c r="N680" s="5">
        <v>0</v>
      </c>
      <c r="O680" s="5">
        <v>0</v>
      </c>
      <c r="P680" s="5"/>
    </row>
    <row r="681" spans="1:16">
      <c r="A681" t="str">
        <f t="shared" si="9"/>
        <v>MDWSNCP RP ONPK</v>
      </c>
      <c r="B681" t="s">
        <v>7</v>
      </c>
      <c r="C681" t="s">
        <v>160</v>
      </c>
      <c r="D681" s="5">
        <v>0</v>
      </c>
      <c r="E681" s="5">
        <v>0</v>
      </c>
      <c r="F681" s="5">
        <v>0</v>
      </c>
      <c r="G681" s="5">
        <v>0</v>
      </c>
      <c r="H681" s="5">
        <v>0</v>
      </c>
      <c r="I681" s="5">
        <v>0</v>
      </c>
      <c r="J681" s="5">
        <v>0</v>
      </c>
      <c r="K681" s="5">
        <v>0</v>
      </c>
      <c r="L681" s="5">
        <v>0</v>
      </c>
      <c r="M681" s="5">
        <v>0</v>
      </c>
      <c r="N681" s="5">
        <v>0</v>
      </c>
      <c r="O681" s="5">
        <v>0</v>
      </c>
      <c r="P681" s="5"/>
    </row>
    <row r="682" spans="1:16">
      <c r="A682" t="str">
        <f t="shared" si="9"/>
        <v>MDWSNCP RP OFFPK</v>
      </c>
      <c r="B682" t="s">
        <v>7</v>
      </c>
      <c r="C682" t="s">
        <v>161</v>
      </c>
      <c r="D682" s="5">
        <v>0</v>
      </c>
      <c r="E682" s="5">
        <v>0</v>
      </c>
      <c r="F682" s="5">
        <v>0</v>
      </c>
      <c r="G682" s="5">
        <v>0</v>
      </c>
      <c r="H682" s="5">
        <v>0</v>
      </c>
      <c r="I682" s="5">
        <v>0</v>
      </c>
      <c r="J682" s="5">
        <v>0</v>
      </c>
      <c r="K682" s="5">
        <v>0</v>
      </c>
      <c r="L682" s="5">
        <v>0</v>
      </c>
      <c r="M682" s="5">
        <v>0</v>
      </c>
      <c r="N682" s="5">
        <v>0</v>
      </c>
      <c r="O682" s="5">
        <v>0</v>
      </c>
      <c r="P682" s="5"/>
    </row>
    <row r="683" spans="1:16">
      <c r="A683" t="str">
        <f t="shared" si="9"/>
        <v>MDWSGCP RP</v>
      </c>
      <c r="B683" t="s">
        <v>7</v>
      </c>
      <c r="C683" t="s">
        <v>162</v>
      </c>
      <c r="D683" s="5">
        <v>0</v>
      </c>
      <c r="E683" s="5">
        <v>0</v>
      </c>
      <c r="F683" s="5">
        <v>0</v>
      </c>
      <c r="G683" s="5">
        <v>0</v>
      </c>
      <c r="H683" s="5">
        <v>0</v>
      </c>
      <c r="I683" s="5">
        <v>0</v>
      </c>
      <c r="J683" s="5">
        <v>0</v>
      </c>
      <c r="K683" s="5">
        <v>0</v>
      </c>
      <c r="L683" s="5">
        <v>0</v>
      </c>
      <c r="M683" s="5">
        <v>0</v>
      </c>
      <c r="N683" s="5">
        <v>0</v>
      </c>
      <c r="O683" s="5">
        <v>0</v>
      </c>
      <c r="P683" s="5"/>
    </row>
    <row r="684" spans="1:16">
      <c r="A684" t="str">
        <f t="shared" si="9"/>
        <v>MDWSGCP RP ONPK</v>
      </c>
      <c r="B684" t="s">
        <v>7</v>
      </c>
      <c r="C684" t="s">
        <v>163</v>
      </c>
      <c r="D684" s="5">
        <v>0</v>
      </c>
      <c r="E684" s="5">
        <v>0</v>
      </c>
      <c r="F684" s="5">
        <v>0</v>
      </c>
      <c r="G684" s="5">
        <v>0</v>
      </c>
      <c r="H684" s="5">
        <v>0</v>
      </c>
      <c r="I684" s="5">
        <v>0</v>
      </c>
      <c r="J684" s="5">
        <v>0</v>
      </c>
      <c r="K684" s="5">
        <v>0</v>
      </c>
      <c r="L684" s="5">
        <v>0</v>
      </c>
      <c r="M684" s="5">
        <v>0</v>
      </c>
      <c r="N684" s="5">
        <v>0</v>
      </c>
      <c r="O684" s="5">
        <v>0</v>
      </c>
      <c r="P684" s="5"/>
    </row>
    <row r="685" spans="1:16">
      <c r="A685" t="str">
        <f t="shared" si="9"/>
        <v>MDWSGCP RP OFFPK</v>
      </c>
      <c r="B685" t="s">
        <v>7</v>
      </c>
      <c r="C685" t="s">
        <v>164</v>
      </c>
      <c r="D685" s="5">
        <v>0</v>
      </c>
      <c r="E685" s="5">
        <v>0</v>
      </c>
      <c r="F685" s="5">
        <v>0</v>
      </c>
      <c r="G685" s="5">
        <v>0</v>
      </c>
      <c r="H685" s="5">
        <v>0</v>
      </c>
      <c r="I685" s="5">
        <v>0</v>
      </c>
      <c r="J685" s="5">
        <v>0</v>
      </c>
      <c r="K685" s="5">
        <v>0</v>
      </c>
      <c r="L685" s="5">
        <v>0</v>
      </c>
      <c r="M685" s="5">
        <v>0</v>
      </c>
      <c r="N685" s="5">
        <v>0</v>
      </c>
      <c r="O685" s="5">
        <v>0</v>
      </c>
      <c r="P685" s="5"/>
    </row>
    <row r="686" spans="1:16">
      <c r="A686" t="str">
        <f t="shared" si="9"/>
        <v>MDWSCP RP</v>
      </c>
      <c r="B686" t="s">
        <v>7</v>
      </c>
      <c r="C686" t="s">
        <v>165</v>
      </c>
      <c r="D686" s="5">
        <v>0</v>
      </c>
      <c r="E686" s="5">
        <v>0</v>
      </c>
      <c r="F686" s="5">
        <v>0</v>
      </c>
      <c r="G686" s="5">
        <v>0</v>
      </c>
      <c r="H686" s="5">
        <v>0</v>
      </c>
      <c r="I686" s="5">
        <v>0</v>
      </c>
      <c r="J686" s="5">
        <v>0</v>
      </c>
      <c r="K686" s="5">
        <v>0</v>
      </c>
      <c r="L686" s="5">
        <v>0</v>
      </c>
      <c r="M686" s="5">
        <v>0</v>
      </c>
      <c r="N686" s="5">
        <v>0</v>
      </c>
      <c r="O686" s="5">
        <v>0</v>
      </c>
      <c r="P686" s="5"/>
    </row>
    <row r="687" spans="1:16">
      <c r="A687" t="str">
        <f t="shared" si="9"/>
        <v>MDWSSAMPLE SIZE:</v>
      </c>
      <c r="B687" t="s">
        <v>7</v>
      </c>
      <c r="C687" t="s">
        <v>66</v>
      </c>
    </row>
    <row r="688" spans="1:16">
      <c r="A688" t="str">
        <f t="shared" si="9"/>
        <v>MDWSGCPSZ</v>
      </c>
      <c r="B688" t="s">
        <v>7</v>
      </c>
      <c r="C688" t="s">
        <v>166</v>
      </c>
      <c r="D688">
        <v>1</v>
      </c>
      <c r="E688">
        <v>1</v>
      </c>
      <c r="F688">
        <v>1</v>
      </c>
      <c r="G688">
        <v>1</v>
      </c>
      <c r="H688">
        <v>1</v>
      </c>
      <c r="I688">
        <v>1</v>
      </c>
      <c r="J688">
        <v>1</v>
      </c>
      <c r="K688">
        <v>1</v>
      </c>
      <c r="L688">
        <v>1</v>
      </c>
      <c r="M688">
        <v>1</v>
      </c>
      <c r="N688">
        <v>1</v>
      </c>
      <c r="O688">
        <v>1</v>
      </c>
      <c r="P688" s="5"/>
    </row>
    <row r="689" spans="1:16">
      <c r="A689" t="str">
        <f t="shared" si="9"/>
        <v>MDWSGCPSZ ONPK</v>
      </c>
      <c r="B689" t="s">
        <v>7</v>
      </c>
      <c r="C689" t="s">
        <v>167</v>
      </c>
      <c r="D689">
        <v>1</v>
      </c>
      <c r="E689">
        <v>1</v>
      </c>
      <c r="F689">
        <v>1</v>
      </c>
      <c r="G689">
        <v>1</v>
      </c>
      <c r="H689">
        <v>1</v>
      </c>
      <c r="I689">
        <v>1</v>
      </c>
      <c r="J689">
        <v>1</v>
      </c>
      <c r="K689">
        <v>1</v>
      </c>
      <c r="L689">
        <v>1</v>
      </c>
      <c r="M689">
        <v>1</v>
      </c>
      <c r="N689">
        <v>1</v>
      </c>
      <c r="O689">
        <v>1</v>
      </c>
      <c r="P689" s="5"/>
    </row>
    <row r="690" spans="1:16">
      <c r="A690" t="str">
        <f t="shared" si="9"/>
        <v>MDWSGCPSZ OFFPK</v>
      </c>
      <c r="B690" t="s">
        <v>7</v>
      </c>
      <c r="C690" t="s">
        <v>168</v>
      </c>
      <c r="D690">
        <v>1</v>
      </c>
      <c r="E690">
        <v>1</v>
      </c>
      <c r="F690">
        <v>1</v>
      </c>
      <c r="G690">
        <v>1</v>
      </c>
      <c r="H690">
        <v>1</v>
      </c>
      <c r="I690">
        <v>1</v>
      </c>
      <c r="J690">
        <v>1</v>
      </c>
      <c r="K690">
        <v>1</v>
      </c>
      <c r="L690">
        <v>1</v>
      </c>
      <c r="M690">
        <v>1</v>
      </c>
      <c r="N690">
        <v>1</v>
      </c>
      <c r="O690">
        <v>1</v>
      </c>
      <c r="P690" s="5"/>
    </row>
    <row r="691" spans="1:16">
      <c r="A691" t="str">
        <f t="shared" si="9"/>
        <v>MDWSCPSZ</v>
      </c>
      <c r="B691" t="s">
        <v>7</v>
      </c>
      <c r="C691" t="s">
        <v>169</v>
      </c>
      <c r="D691">
        <v>1</v>
      </c>
      <c r="E691">
        <v>1</v>
      </c>
      <c r="F691">
        <v>1</v>
      </c>
      <c r="G691">
        <v>1</v>
      </c>
      <c r="H691">
        <v>1</v>
      </c>
      <c r="I691">
        <v>1</v>
      </c>
      <c r="J691">
        <v>1</v>
      </c>
      <c r="K691">
        <v>1</v>
      </c>
      <c r="L691">
        <v>1</v>
      </c>
      <c r="M691">
        <v>1</v>
      </c>
      <c r="N691">
        <v>1</v>
      </c>
      <c r="O691">
        <v>1</v>
      </c>
      <c r="P691" s="5"/>
    </row>
    <row r="692" spans="1:16">
      <c r="A692" t="str">
        <f t="shared" si="9"/>
        <v/>
      </c>
      <c r="P692" s="5"/>
    </row>
    <row r="693" spans="1:16">
      <c r="A693" t="str">
        <f t="shared" si="9"/>
        <v/>
      </c>
      <c r="P693" s="5"/>
    </row>
    <row r="694" spans="1:16">
      <c r="A694" t="str">
        <f t="shared" ref="A694:A757" si="10">B694&amp;C694</f>
        <v/>
      </c>
      <c r="P694" s="5"/>
    </row>
    <row r="695" spans="1:16">
      <c r="A695" t="str">
        <f t="shared" si="10"/>
        <v/>
      </c>
    </row>
    <row r="696" spans="1:16">
      <c r="A696" t="str">
        <f t="shared" si="10"/>
        <v/>
      </c>
    </row>
    <row r="697" spans="1:16">
      <c r="A697" t="str">
        <f t="shared" si="10"/>
        <v/>
      </c>
    </row>
    <row r="698" spans="1:16">
      <c r="A698" t="str">
        <f t="shared" si="10"/>
        <v/>
      </c>
    </row>
    <row r="699" spans="1:16" ht="14.4">
      <c r="A699" t="str">
        <f t="shared" si="10"/>
        <v>NOTE:     Sales line does not match sales in the Rate and Revenue Report due to billing lag.</v>
      </c>
      <c r="B699" s="301" t="s">
        <v>608</v>
      </c>
    </row>
    <row r="700" spans="1:16" ht="14.4">
      <c r="A700" t="str">
        <f t="shared" si="10"/>
        <v xml:space="preserve">                 In addition, the City of Blountstown, FKEC, Metro Dade and City of Wauchula are classified as Rate Code 940. The sales for the contracts are reported combined in the Rate &amp; Revenue Report.</v>
      </c>
      <c r="B700" s="319" t="s">
        <v>754</v>
      </c>
    </row>
    <row r="701" spans="1:16">
      <c r="A701" t="str">
        <f t="shared" si="10"/>
        <v xml:space="preserve">METRO MET Metropolitan Transit Service (Metrorail) </v>
      </c>
      <c r="B701" t="s">
        <v>13</v>
      </c>
      <c r="C701" t="s">
        <v>14</v>
      </c>
    </row>
    <row r="702" spans="1:16">
      <c r="A702" t="str">
        <f t="shared" si="10"/>
        <v xml:space="preserve">METROMONTH </v>
      </c>
      <c r="B702" t="s">
        <v>15</v>
      </c>
      <c r="C702" t="s">
        <v>123</v>
      </c>
      <c r="D702" s="4">
        <v>40909</v>
      </c>
      <c r="E702" s="4">
        <v>40940</v>
      </c>
      <c r="F702" s="4">
        <v>40969</v>
      </c>
      <c r="G702" s="4">
        <v>41000</v>
      </c>
      <c r="H702" s="4">
        <v>41030</v>
      </c>
      <c r="I702" s="4">
        <v>41061</v>
      </c>
      <c r="J702" s="4">
        <v>41091</v>
      </c>
      <c r="K702" s="4">
        <v>41122</v>
      </c>
      <c r="L702" s="4">
        <v>41153</v>
      </c>
      <c r="M702" s="4">
        <v>41183</v>
      </c>
      <c r="N702" s="4">
        <v>41214</v>
      </c>
      <c r="O702" s="4">
        <v>41244</v>
      </c>
      <c r="P702" s="4"/>
    </row>
    <row r="703" spans="1:16">
      <c r="A703" t="str">
        <f t="shared" si="10"/>
        <v xml:space="preserve">METROCUSTOMERS </v>
      </c>
      <c r="B703" t="s">
        <v>15</v>
      </c>
      <c r="C703" t="s">
        <v>124</v>
      </c>
      <c r="D703">
        <v>23</v>
      </c>
      <c r="E703">
        <v>23</v>
      </c>
      <c r="F703">
        <v>23</v>
      </c>
      <c r="G703">
        <v>23</v>
      </c>
      <c r="H703">
        <v>23</v>
      </c>
      <c r="I703">
        <v>23</v>
      </c>
      <c r="J703">
        <v>23</v>
      </c>
      <c r="K703">
        <v>23</v>
      </c>
      <c r="L703">
        <v>26</v>
      </c>
      <c r="M703">
        <v>26</v>
      </c>
      <c r="N703">
        <v>26</v>
      </c>
      <c r="O703">
        <v>26</v>
      </c>
    </row>
    <row r="704" spans="1:16">
      <c r="A704" t="str">
        <f t="shared" si="10"/>
        <v xml:space="preserve">METROSALES </v>
      </c>
      <c r="B704" t="s">
        <v>15</v>
      </c>
      <c r="C704" t="s">
        <v>125</v>
      </c>
      <c r="D704">
        <v>6876800</v>
      </c>
      <c r="E704">
        <v>6484100</v>
      </c>
      <c r="F704">
        <v>6335350</v>
      </c>
      <c r="G704">
        <v>6652450</v>
      </c>
      <c r="H704">
        <v>6435800</v>
      </c>
      <c r="I704">
        <v>7466200</v>
      </c>
      <c r="J704">
        <v>6688850</v>
      </c>
      <c r="K704">
        <v>6947150</v>
      </c>
      <c r="L704">
        <v>6337450</v>
      </c>
      <c r="M704">
        <v>6850550</v>
      </c>
      <c r="N704">
        <v>6909700</v>
      </c>
      <c r="O704">
        <v>6613950</v>
      </c>
    </row>
    <row r="705" spans="1:15">
      <c r="A705" t="str">
        <f t="shared" si="10"/>
        <v>METROKW</v>
      </c>
      <c r="B705" t="s">
        <v>15</v>
      </c>
      <c r="C705" t="s">
        <v>126</v>
      </c>
    </row>
    <row r="706" spans="1:15">
      <c r="A706" t="str">
        <f t="shared" si="10"/>
        <v>METRON</v>
      </c>
      <c r="B706" t="s">
        <v>15</v>
      </c>
      <c r="C706" t="s">
        <v>127</v>
      </c>
      <c r="D706">
        <v>23</v>
      </c>
      <c r="E706">
        <v>23</v>
      </c>
      <c r="F706">
        <v>23</v>
      </c>
      <c r="G706">
        <v>23</v>
      </c>
      <c r="H706">
        <v>23</v>
      </c>
      <c r="I706">
        <v>23</v>
      </c>
      <c r="J706">
        <v>23</v>
      </c>
      <c r="K706">
        <v>23</v>
      </c>
      <c r="L706">
        <v>23</v>
      </c>
      <c r="M706">
        <v>26</v>
      </c>
      <c r="N706">
        <v>26</v>
      </c>
      <c r="O706">
        <v>26</v>
      </c>
    </row>
    <row r="707" spans="1:15">
      <c r="A707" t="str">
        <f t="shared" si="10"/>
        <v>METRORLR ENERGY:</v>
      </c>
      <c r="B707" t="s">
        <v>15</v>
      </c>
      <c r="C707" t="s">
        <v>61</v>
      </c>
    </row>
    <row r="708" spans="1:15">
      <c r="A708" t="str">
        <f t="shared" si="10"/>
        <v>METROKWH</v>
      </c>
      <c r="B708" t="s">
        <v>15</v>
      </c>
      <c r="C708" t="s">
        <v>128</v>
      </c>
      <c r="D708">
        <v>6510581</v>
      </c>
      <c r="E708">
        <v>6196531</v>
      </c>
      <c r="F708">
        <v>6827619</v>
      </c>
      <c r="G708">
        <v>6599191</v>
      </c>
      <c r="H708">
        <v>6994195</v>
      </c>
      <c r="I708">
        <v>6820919</v>
      </c>
      <c r="J708">
        <v>6791602</v>
      </c>
      <c r="K708">
        <v>6643306</v>
      </c>
      <c r="L708">
        <v>6218802</v>
      </c>
      <c r="M708">
        <v>7224126</v>
      </c>
      <c r="N708">
        <v>6533638</v>
      </c>
      <c r="O708">
        <v>6750303</v>
      </c>
    </row>
    <row r="709" spans="1:15">
      <c r="A709" t="str">
        <f t="shared" si="10"/>
        <v>METROKWH ONPK</v>
      </c>
      <c r="B709" t="s">
        <v>15</v>
      </c>
      <c r="C709" t="s">
        <v>129</v>
      </c>
      <c r="D709">
        <v>1849492</v>
      </c>
      <c r="E709">
        <v>1883435</v>
      </c>
      <c r="F709">
        <v>1992129</v>
      </c>
      <c r="G709">
        <v>2143029</v>
      </c>
      <c r="H709">
        <v>2245994</v>
      </c>
      <c r="I709">
        <v>2180167</v>
      </c>
      <c r="J709">
        <v>2130065</v>
      </c>
      <c r="K709">
        <v>2256685</v>
      </c>
      <c r="L709">
        <v>1838867</v>
      </c>
      <c r="M709">
        <v>2454822</v>
      </c>
      <c r="N709">
        <v>1927450</v>
      </c>
      <c r="O709">
        <v>1863827</v>
      </c>
    </row>
    <row r="710" spans="1:15">
      <c r="A710" t="str">
        <f t="shared" si="10"/>
        <v>METROKWH OFFPK</v>
      </c>
      <c r="B710" t="s">
        <v>15</v>
      </c>
      <c r="C710" t="s">
        <v>130</v>
      </c>
      <c r="D710">
        <v>4661089</v>
      </c>
      <c r="E710">
        <v>4313096</v>
      </c>
      <c r="F710">
        <v>4835491</v>
      </c>
      <c r="G710">
        <v>4456163</v>
      </c>
      <c r="H710">
        <v>4748201</v>
      </c>
      <c r="I710">
        <v>4640752</v>
      </c>
      <c r="J710">
        <v>4661537</v>
      </c>
      <c r="K710">
        <v>4386620</v>
      </c>
      <c r="L710">
        <v>4379935</v>
      </c>
      <c r="M710">
        <v>4769303</v>
      </c>
      <c r="N710">
        <v>4606188</v>
      </c>
      <c r="O710">
        <v>4886476</v>
      </c>
    </row>
    <row r="711" spans="1:15">
      <c r="A711" t="str">
        <f t="shared" si="10"/>
        <v>METROKWH ONPK%</v>
      </c>
      <c r="B711" t="s">
        <v>15</v>
      </c>
      <c r="C711" t="s">
        <v>131</v>
      </c>
      <c r="D711" s="5">
        <v>0.28406999999999999</v>
      </c>
      <c r="E711" s="5">
        <v>0.30395</v>
      </c>
      <c r="F711" s="5">
        <v>0.29177999999999998</v>
      </c>
      <c r="G711" s="5">
        <v>0.32473999999999997</v>
      </c>
      <c r="H711" s="5">
        <v>0.32112000000000002</v>
      </c>
      <c r="I711" s="5">
        <v>0.31963000000000003</v>
      </c>
      <c r="J711" s="5">
        <v>0.31363000000000002</v>
      </c>
      <c r="K711" s="5">
        <v>0.33968999999999999</v>
      </c>
      <c r="L711" s="5">
        <v>0.29569000000000001</v>
      </c>
      <c r="M711" s="5">
        <v>0.33981</v>
      </c>
      <c r="N711" s="5">
        <v>0.29499999999999998</v>
      </c>
      <c r="O711" s="5">
        <v>0.27611000000000002</v>
      </c>
    </row>
    <row r="712" spans="1:15">
      <c r="A712" t="str">
        <f t="shared" si="10"/>
        <v>METROKWH OFFPK%</v>
      </c>
      <c r="B712" t="s">
        <v>15</v>
      </c>
      <c r="C712" t="s">
        <v>132</v>
      </c>
      <c r="D712" s="5">
        <v>0.71592999999999996</v>
      </c>
      <c r="E712" s="5">
        <v>0.69604999999999995</v>
      </c>
      <c r="F712" s="5">
        <v>0.70823000000000003</v>
      </c>
      <c r="G712" s="5">
        <v>0.67525999999999997</v>
      </c>
      <c r="H712" s="5">
        <v>0.67888000000000004</v>
      </c>
      <c r="I712" s="5">
        <v>0.68037000000000003</v>
      </c>
      <c r="J712" s="5">
        <v>0.68637000000000004</v>
      </c>
      <c r="K712" s="5">
        <v>0.66030999999999995</v>
      </c>
      <c r="L712" s="5">
        <v>0.70430999999999999</v>
      </c>
      <c r="M712" s="5">
        <v>0.66019000000000005</v>
      </c>
      <c r="N712" s="5">
        <v>0.70499999999999996</v>
      </c>
      <c r="O712" s="5">
        <v>0.72389000000000003</v>
      </c>
    </row>
    <row r="713" spans="1:15">
      <c r="A713" t="str">
        <f t="shared" si="10"/>
        <v>METRODEMAND (KW):</v>
      </c>
      <c r="B713" t="s">
        <v>15</v>
      </c>
      <c r="C713" t="s">
        <v>62</v>
      </c>
    </row>
    <row r="714" spans="1:15">
      <c r="A714" t="str">
        <f t="shared" si="10"/>
        <v>METRONCP</v>
      </c>
      <c r="B714" t="s">
        <v>15</v>
      </c>
      <c r="C714" t="s">
        <v>133</v>
      </c>
      <c r="D714">
        <v>15637</v>
      </c>
      <c r="E714">
        <v>16041</v>
      </c>
      <c r="F714">
        <v>16232</v>
      </c>
      <c r="G714">
        <v>15754</v>
      </c>
      <c r="H714">
        <v>16225</v>
      </c>
      <c r="I714">
        <v>17746</v>
      </c>
      <c r="J714">
        <v>17306</v>
      </c>
      <c r="K714">
        <v>15471</v>
      </c>
      <c r="L714">
        <v>15046</v>
      </c>
      <c r="M714">
        <v>17727</v>
      </c>
      <c r="N714">
        <v>15736</v>
      </c>
      <c r="O714">
        <v>15983</v>
      </c>
    </row>
    <row r="715" spans="1:15">
      <c r="A715" t="str">
        <f t="shared" si="10"/>
        <v>METRONCP ONPK</v>
      </c>
      <c r="B715" t="s">
        <v>15</v>
      </c>
      <c r="C715" t="s">
        <v>134</v>
      </c>
      <c r="D715">
        <v>14990</v>
      </c>
      <c r="E715">
        <v>15177</v>
      </c>
      <c r="F715">
        <v>15335</v>
      </c>
      <c r="G715">
        <v>15558</v>
      </c>
      <c r="H715">
        <v>15611</v>
      </c>
      <c r="I715">
        <v>16957</v>
      </c>
      <c r="J715">
        <v>16285</v>
      </c>
      <c r="K715">
        <v>14505</v>
      </c>
      <c r="L715">
        <v>14376</v>
      </c>
      <c r="M715">
        <v>17264</v>
      </c>
      <c r="N715">
        <v>15115</v>
      </c>
      <c r="O715">
        <v>15630</v>
      </c>
    </row>
    <row r="716" spans="1:15">
      <c r="A716" t="str">
        <f t="shared" si="10"/>
        <v>METRONCP OFFPK</v>
      </c>
      <c r="B716" t="s">
        <v>15</v>
      </c>
      <c r="C716" t="s">
        <v>135</v>
      </c>
      <c r="D716">
        <v>15462</v>
      </c>
      <c r="E716">
        <v>15920</v>
      </c>
      <c r="F716">
        <v>15910</v>
      </c>
      <c r="G716">
        <v>15198</v>
      </c>
      <c r="H716">
        <v>15737</v>
      </c>
      <c r="I716">
        <v>16890</v>
      </c>
      <c r="J716">
        <v>16708</v>
      </c>
      <c r="K716">
        <v>15156</v>
      </c>
      <c r="L716">
        <v>14588</v>
      </c>
      <c r="M716">
        <v>16545</v>
      </c>
      <c r="N716">
        <v>15629</v>
      </c>
      <c r="O716">
        <v>15459</v>
      </c>
    </row>
    <row r="717" spans="1:15">
      <c r="A717" t="str">
        <f t="shared" si="10"/>
        <v>METROGCP DATE</v>
      </c>
      <c r="B717" t="s">
        <v>15</v>
      </c>
      <c r="C717" t="s">
        <v>136</v>
      </c>
      <c r="D717" t="s">
        <v>945</v>
      </c>
      <c r="E717" t="s">
        <v>946</v>
      </c>
      <c r="F717" t="s">
        <v>137</v>
      </c>
      <c r="G717" t="s">
        <v>186</v>
      </c>
      <c r="H717" t="s">
        <v>216</v>
      </c>
      <c r="I717" t="s">
        <v>917</v>
      </c>
      <c r="J717" t="s">
        <v>240</v>
      </c>
      <c r="K717" t="s">
        <v>179</v>
      </c>
      <c r="L717" t="s">
        <v>967</v>
      </c>
      <c r="M717" t="s">
        <v>218</v>
      </c>
      <c r="N717" t="s">
        <v>968</v>
      </c>
      <c r="O717" t="s">
        <v>969</v>
      </c>
    </row>
    <row r="718" spans="1:15">
      <c r="A718" t="str">
        <f t="shared" si="10"/>
        <v>METROGCP TIME</v>
      </c>
      <c r="B718" t="s">
        <v>15</v>
      </c>
      <c r="C718" t="s">
        <v>142</v>
      </c>
      <c r="D718" t="s">
        <v>196</v>
      </c>
      <c r="E718" t="s">
        <v>196</v>
      </c>
      <c r="F718" t="s">
        <v>196</v>
      </c>
      <c r="G718" t="s">
        <v>196</v>
      </c>
      <c r="H718" t="s">
        <v>196</v>
      </c>
      <c r="I718" t="s">
        <v>196</v>
      </c>
      <c r="J718" t="s">
        <v>196</v>
      </c>
      <c r="K718" t="s">
        <v>203</v>
      </c>
      <c r="L718" t="s">
        <v>193</v>
      </c>
      <c r="M718" t="s">
        <v>203</v>
      </c>
      <c r="N718" t="s">
        <v>196</v>
      </c>
      <c r="O718" t="s">
        <v>196</v>
      </c>
    </row>
    <row r="719" spans="1:15">
      <c r="A719" t="str">
        <f t="shared" si="10"/>
        <v>METROGCP</v>
      </c>
      <c r="B719" t="s">
        <v>15</v>
      </c>
      <c r="C719" t="s">
        <v>147</v>
      </c>
      <c r="D719">
        <v>13595</v>
      </c>
      <c r="E719">
        <v>13719</v>
      </c>
      <c r="F719">
        <v>14007</v>
      </c>
      <c r="G719">
        <v>13809</v>
      </c>
      <c r="H719">
        <v>13777</v>
      </c>
      <c r="I719">
        <v>14513</v>
      </c>
      <c r="J719">
        <v>13948</v>
      </c>
      <c r="K719">
        <v>13368</v>
      </c>
      <c r="L719">
        <v>13158</v>
      </c>
      <c r="M719">
        <v>14494</v>
      </c>
      <c r="N719">
        <v>14114</v>
      </c>
      <c r="O719">
        <v>14113</v>
      </c>
    </row>
    <row r="720" spans="1:15">
      <c r="A720" t="str">
        <f t="shared" si="10"/>
        <v>METROGCP ONPK</v>
      </c>
      <c r="B720" t="s">
        <v>15</v>
      </c>
      <c r="C720" t="s">
        <v>63</v>
      </c>
      <c r="D720">
        <v>13158</v>
      </c>
      <c r="E720">
        <v>13494</v>
      </c>
      <c r="F720">
        <v>13334</v>
      </c>
      <c r="G720">
        <v>13809</v>
      </c>
      <c r="H720">
        <v>13777</v>
      </c>
      <c r="I720">
        <v>14513</v>
      </c>
      <c r="J720">
        <v>13948</v>
      </c>
      <c r="K720">
        <v>12859</v>
      </c>
      <c r="L720">
        <v>13158</v>
      </c>
      <c r="M720">
        <v>14237</v>
      </c>
      <c r="N720">
        <v>13536</v>
      </c>
      <c r="O720">
        <v>14058</v>
      </c>
    </row>
    <row r="721" spans="1:16">
      <c r="A721" t="str">
        <f t="shared" si="10"/>
        <v>METROGCP OFFPK</v>
      </c>
      <c r="B721" t="s">
        <v>15</v>
      </c>
      <c r="C721" t="s">
        <v>64</v>
      </c>
      <c r="D721">
        <v>13595</v>
      </c>
      <c r="E721">
        <v>13719</v>
      </c>
      <c r="F721">
        <v>14007</v>
      </c>
      <c r="G721">
        <v>13328</v>
      </c>
      <c r="H721">
        <v>13771</v>
      </c>
      <c r="I721">
        <v>14205</v>
      </c>
      <c r="J721">
        <v>13788</v>
      </c>
      <c r="K721">
        <v>13368</v>
      </c>
      <c r="L721">
        <v>13007</v>
      </c>
      <c r="M721">
        <v>14494</v>
      </c>
      <c r="N721">
        <v>14114</v>
      </c>
      <c r="O721">
        <v>14113</v>
      </c>
    </row>
    <row r="722" spans="1:16">
      <c r="A722" t="str">
        <f t="shared" si="10"/>
        <v>METROCP</v>
      </c>
      <c r="B722" t="s">
        <v>15</v>
      </c>
      <c r="C722" t="s">
        <v>148</v>
      </c>
      <c r="D722">
        <v>12232</v>
      </c>
      <c r="E722">
        <v>11609</v>
      </c>
      <c r="F722">
        <v>12758</v>
      </c>
      <c r="G722">
        <v>13643</v>
      </c>
      <c r="H722">
        <v>12865</v>
      </c>
      <c r="I722">
        <v>13203</v>
      </c>
      <c r="J722">
        <v>12177</v>
      </c>
      <c r="K722">
        <v>12181</v>
      </c>
      <c r="L722">
        <v>7599</v>
      </c>
      <c r="M722">
        <v>11527</v>
      </c>
      <c r="N722">
        <v>12963</v>
      </c>
      <c r="O722">
        <v>13111</v>
      </c>
    </row>
    <row r="723" spans="1:16">
      <c r="A723" t="str">
        <f t="shared" si="10"/>
        <v>METROPERIOD START</v>
      </c>
      <c r="B723" t="s">
        <v>15</v>
      </c>
      <c r="C723" t="s">
        <v>149</v>
      </c>
      <c r="D723" s="1">
        <v>40909</v>
      </c>
      <c r="E723" s="1">
        <v>40940</v>
      </c>
      <c r="F723" s="1">
        <v>40969</v>
      </c>
      <c r="G723" s="1">
        <v>41000</v>
      </c>
      <c r="H723" s="1">
        <v>41030</v>
      </c>
      <c r="I723" s="1">
        <v>41061</v>
      </c>
      <c r="J723" s="1">
        <v>41091</v>
      </c>
      <c r="K723" s="1">
        <v>41122</v>
      </c>
      <c r="L723" s="1">
        <v>41153</v>
      </c>
      <c r="M723" s="1">
        <v>41183</v>
      </c>
      <c r="N723" s="1">
        <v>41214</v>
      </c>
      <c r="O723" s="1">
        <v>41244</v>
      </c>
    </row>
    <row r="724" spans="1:16">
      <c r="A724" t="str">
        <f t="shared" si="10"/>
        <v>METRONCP LF</v>
      </c>
      <c r="B724" t="s">
        <v>15</v>
      </c>
      <c r="C724" t="s">
        <v>150</v>
      </c>
      <c r="D724" s="5">
        <v>0.55959999999999999</v>
      </c>
      <c r="E724" s="5">
        <v>0.55500000000000005</v>
      </c>
      <c r="F724" s="5">
        <v>0.56610000000000005</v>
      </c>
      <c r="G724" s="5">
        <v>0.58179999999999998</v>
      </c>
      <c r="H724" s="5">
        <v>0.57940000000000003</v>
      </c>
      <c r="I724" s="5">
        <v>0.53380000000000005</v>
      </c>
      <c r="J724" s="5">
        <v>0.52749999999999997</v>
      </c>
      <c r="K724" s="5">
        <v>0.57709999999999995</v>
      </c>
      <c r="L724" s="5">
        <v>0.57410000000000005</v>
      </c>
      <c r="M724" s="5">
        <v>0.54779999999999995</v>
      </c>
      <c r="N724" s="5">
        <v>0.57669999999999999</v>
      </c>
      <c r="O724" s="5">
        <v>0.56769999999999998</v>
      </c>
    </row>
    <row r="725" spans="1:16">
      <c r="A725" t="str">
        <f t="shared" si="10"/>
        <v>METRONCP LF ONPK</v>
      </c>
      <c r="B725" t="s">
        <v>15</v>
      </c>
      <c r="C725" t="s">
        <v>151</v>
      </c>
      <c r="D725" s="5">
        <v>0.73440000000000005</v>
      </c>
      <c r="E725" s="5">
        <v>0.73870000000000002</v>
      </c>
      <c r="F725" s="5">
        <v>0.73809999999999998</v>
      </c>
      <c r="G725" s="5">
        <v>0.7288</v>
      </c>
      <c r="H725" s="5">
        <v>0.72660000000000002</v>
      </c>
      <c r="I725" s="5">
        <v>0.68030000000000002</v>
      </c>
      <c r="J725" s="5">
        <v>0.69210000000000005</v>
      </c>
      <c r="K725" s="5">
        <v>0.75160000000000005</v>
      </c>
      <c r="L725" s="5">
        <v>0.748</v>
      </c>
      <c r="M725" s="5">
        <v>0.68689999999999996</v>
      </c>
      <c r="N725" s="5">
        <v>0.7591</v>
      </c>
      <c r="O725" s="5">
        <v>0.74529999999999996</v>
      </c>
      <c r="P725" s="4"/>
    </row>
    <row r="726" spans="1:16">
      <c r="A726" t="str">
        <f t="shared" si="10"/>
        <v>METRONCP LF OFFPK</v>
      </c>
      <c r="B726" t="s">
        <v>15</v>
      </c>
      <c r="C726" t="s">
        <v>152</v>
      </c>
      <c r="D726" s="5">
        <v>0.52339999999999998</v>
      </c>
      <c r="E726" s="5">
        <v>0.5131</v>
      </c>
      <c r="F726" s="5">
        <v>0.53600000000000003</v>
      </c>
      <c r="G726" s="5">
        <v>0.55220000000000002</v>
      </c>
      <c r="H726" s="5">
        <v>0.55259999999999998</v>
      </c>
      <c r="I726" s="5">
        <v>0.51739999999999997</v>
      </c>
      <c r="J726" s="5">
        <v>0.50270000000000004</v>
      </c>
      <c r="K726" s="5">
        <v>0.53900000000000003</v>
      </c>
      <c r="L726" s="5">
        <v>0.54690000000000005</v>
      </c>
      <c r="M726" s="5">
        <v>0.53680000000000005</v>
      </c>
      <c r="N726" s="5">
        <v>0.53390000000000004</v>
      </c>
      <c r="O726" s="5">
        <v>0.5413</v>
      </c>
    </row>
    <row r="727" spans="1:16">
      <c r="A727" t="str">
        <f t="shared" si="10"/>
        <v>METROGCP CF</v>
      </c>
      <c r="B727" t="s">
        <v>15</v>
      </c>
      <c r="C727" t="s">
        <v>153</v>
      </c>
      <c r="D727" s="5">
        <v>0.86939999999999995</v>
      </c>
      <c r="E727" s="5">
        <v>0.85529999999999995</v>
      </c>
      <c r="F727" s="5">
        <v>0.86299999999999999</v>
      </c>
      <c r="G727" s="5">
        <v>0.87649999999999995</v>
      </c>
      <c r="H727" s="5">
        <v>0.84909999999999997</v>
      </c>
      <c r="I727" s="5">
        <v>0.81779999999999997</v>
      </c>
      <c r="J727" s="5">
        <v>0.80600000000000005</v>
      </c>
      <c r="K727" s="5">
        <v>0.86409999999999998</v>
      </c>
      <c r="L727" s="5">
        <v>0.87450000000000006</v>
      </c>
      <c r="M727" s="5">
        <v>0.81759999999999999</v>
      </c>
      <c r="N727" s="5">
        <v>0.89690000000000003</v>
      </c>
      <c r="O727" s="5">
        <v>0.88300000000000001</v>
      </c>
    </row>
    <row r="728" spans="1:16">
      <c r="A728" t="str">
        <f t="shared" si="10"/>
        <v>METROCP CF</v>
      </c>
      <c r="B728" t="s">
        <v>15</v>
      </c>
      <c r="C728" t="s">
        <v>154</v>
      </c>
      <c r="D728" s="5">
        <v>0.78220000000000001</v>
      </c>
      <c r="E728" s="5">
        <v>0.72370000000000001</v>
      </c>
      <c r="F728" s="5">
        <v>0.78600000000000003</v>
      </c>
      <c r="G728" s="5">
        <v>0.86599999999999999</v>
      </c>
      <c r="H728" s="5">
        <v>0.79290000000000005</v>
      </c>
      <c r="I728" s="5">
        <v>0.74399999999999999</v>
      </c>
      <c r="J728" s="5">
        <v>0.7036</v>
      </c>
      <c r="K728" s="5">
        <v>0.7873</v>
      </c>
      <c r="L728" s="5">
        <v>0.505</v>
      </c>
      <c r="M728" s="5">
        <v>0.65029999999999999</v>
      </c>
      <c r="N728" s="5">
        <v>0.82379999999999998</v>
      </c>
      <c r="O728" s="5">
        <v>0.82030000000000003</v>
      </c>
    </row>
    <row r="729" spans="1:16">
      <c r="A729" t="str">
        <f t="shared" si="10"/>
        <v>METROGCP LF</v>
      </c>
      <c r="B729" t="s">
        <v>15</v>
      </c>
      <c r="C729" t="s">
        <v>155</v>
      </c>
      <c r="D729" s="5">
        <v>0.64370000000000005</v>
      </c>
      <c r="E729" s="5">
        <v>0.64900000000000002</v>
      </c>
      <c r="F729" s="5">
        <v>0.65600000000000003</v>
      </c>
      <c r="G729" s="5">
        <v>0.66379999999999995</v>
      </c>
      <c r="H729" s="5">
        <v>0.68230000000000002</v>
      </c>
      <c r="I729" s="5">
        <v>0.65280000000000005</v>
      </c>
      <c r="J729" s="5">
        <v>0.65449999999999997</v>
      </c>
      <c r="K729" s="5">
        <v>0.66790000000000005</v>
      </c>
      <c r="L729" s="5">
        <v>0.65639999999999998</v>
      </c>
      <c r="M729" s="5">
        <v>0.66990000000000005</v>
      </c>
      <c r="N729" s="5">
        <v>0.64300000000000002</v>
      </c>
      <c r="O729" s="5">
        <v>0.64290000000000003</v>
      </c>
    </row>
    <row r="730" spans="1:16">
      <c r="A730" t="str">
        <f t="shared" si="10"/>
        <v>METROGCP LF ONPK</v>
      </c>
      <c r="B730" t="s">
        <v>15</v>
      </c>
      <c r="C730" t="s">
        <v>156</v>
      </c>
      <c r="D730" s="5">
        <v>0.8367</v>
      </c>
      <c r="E730" s="5">
        <v>0.83079999999999998</v>
      </c>
      <c r="F730" s="5">
        <v>0.84889999999999999</v>
      </c>
      <c r="G730" s="5">
        <v>0.82110000000000005</v>
      </c>
      <c r="H730" s="5">
        <v>0.82330000000000003</v>
      </c>
      <c r="I730" s="5">
        <v>0.79479999999999995</v>
      </c>
      <c r="J730" s="5">
        <v>0.80800000000000005</v>
      </c>
      <c r="K730" s="5">
        <v>0.8478</v>
      </c>
      <c r="L730" s="5">
        <v>0.81730000000000003</v>
      </c>
      <c r="M730" s="5">
        <v>0.83299999999999996</v>
      </c>
      <c r="N730" s="5">
        <v>0.84760000000000002</v>
      </c>
      <c r="O730" s="5">
        <v>0.8286</v>
      </c>
    </row>
    <row r="731" spans="1:16">
      <c r="A731" t="str">
        <f t="shared" si="10"/>
        <v>METROGCP LF OFFPK</v>
      </c>
      <c r="B731" t="s">
        <v>15</v>
      </c>
      <c r="C731" t="s">
        <v>157</v>
      </c>
      <c r="D731" s="5">
        <v>0.59519999999999995</v>
      </c>
      <c r="E731" s="5">
        <v>0.59540000000000004</v>
      </c>
      <c r="F731" s="5">
        <v>0.60880000000000001</v>
      </c>
      <c r="G731" s="5">
        <v>0.62970000000000004</v>
      </c>
      <c r="H731" s="5">
        <v>0.63149999999999995</v>
      </c>
      <c r="I731" s="5">
        <v>0.61519999999999997</v>
      </c>
      <c r="J731" s="5">
        <v>0.60919999999999996</v>
      </c>
      <c r="K731" s="5">
        <v>0.61099999999999999</v>
      </c>
      <c r="L731" s="5">
        <v>0.61329999999999996</v>
      </c>
      <c r="M731" s="5">
        <v>0.61280000000000001</v>
      </c>
      <c r="N731" s="5">
        <v>0.59119999999999995</v>
      </c>
      <c r="O731" s="5">
        <v>0.59289999999999998</v>
      </c>
      <c r="P731" s="91"/>
    </row>
    <row r="732" spans="1:16">
      <c r="A732" t="str">
        <f t="shared" si="10"/>
        <v>METROCP LF</v>
      </c>
      <c r="B732" t="s">
        <v>15</v>
      </c>
      <c r="C732" t="s">
        <v>158</v>
      </c>
      <c r="D732" s="5">
        <v>0.71540000000000004</v>
      </c>
      <c r="E732" s="5">
        <v>0.76690000000000003</v>
      </c>
      <c r="F732" s="5">
        <v>0.72030000000000005</v>
      </c>
      <c r="G732" s="5">
        <v>0.67179999999999995</v>
      </c>
      <c r="H732" s="5">
        <v>0.73070000000000002</v>
      </c>
      <c r="I732" s="5">
        <v>0.71750000000000003</v>
      </c>
      <c r="J732" s="5">
        <v>0.74970000000000003</v>
      </c>
      <c r="K732" s="5">
        <v>0.73309999999999997</v>
      </c>
      <c r="L732" s="5">
        <v>1.1366000000000001</v>
      </c>
      <c r="M732" s="5">
        <v>0.84230000000000005</v>
      </c>
      <c r="N732" s="5">
        <v>0.70009999999999994</v>
      </c>
      <c r="O732" s="5">
        <v>0.69199999999999995</v>
      </c>
    </row>
    <row r="733" spans="1:16">
      <c r="A733" t="str">
        <f t="shared" si="10"/>
        <v>METROREL PREC:</v>
      </c>
      <c r="B733" t="s">
        <v>15</v>
      </c>
      <c r="C733" t="s">
        <v>65</v>
      </c>
    </row>
    <row r="734" spans="1:16">
      <c r="A734" t="str">
        <f t="shared" si="10"/>
        <v>METRONCP RP</v>
      </c>
      <c r="B734" t="s">
        <v>15</v>
      </c>
      <c r="C734" t="s">
        <v>159</v>
      </c>
      <c r="D734" s="5">
        <v>4.6100000000000002E-2</v>
      </c>
      <c r="E734" s="5">
        <v>0</v>
      </c>
      <c r="F734" s="5">
        <v>0</v>
      </c>
      <c r="G734" s="5">
        <v>0</v>
      </c>
      <c r="H734" s="5">
        <v>0</v>
      </c>
      <c r="I734" s="5">
        <v>0</v>
      </c>
      <c r="J734" s="5">
        <v>0</v>
      </c>
      <c r="K734" s="5">
        <v>0</v>
      </c>
      <c r="L734" s="5">
        <v>0</v>
      </c>
      <c r="M734" s="5">
        <v>0</v>
      </c>
      <c r="N734" s="5">
        <v>0</v>
      </c>
      <c r="O734" s="5">
        <v>0</v>
      </c>
      <c r="P734" s="5"/>
    </row>
    <row r="735" spans="1:16">
      <c r="A735" t="str">
        <f t="shared" si="10"/>
        <v>METRONCP RP ONPK</v>
      </c>
      <c r="B735" t="s">
        <v>15</v>
      </c>
      <c r="C735" t="s">
        <v>160</v>
      </c>
      <c r="D735" s="5">
        <v>4.2799999999999998E-2</v>
      </c>
      <c r="E735" s="5">
        <v>0</v>
      </c>
      <c r="F735" s="5">
        <v>0</v>
      </c>
      <c r="G735" s="5">
        <v>0</v>
      </c>
      <c r="H735" s="5">
        <v>0</v>
      </c>
      <c r="I735" s="5">
        <v>0</v>
      </c>
      <c r="J735" s="5">
        <v>0</v>
      </c>
      <c r="K735" s="5">
        <v>0</v>
      </c>
      <c r="L735" s="5">
        <v>0</v>
      </c>
      <c r="M735" s="5">
        <v>0</v>
      </c>
      <c r="N735" s="5">
        <v>0</v>
      </c>
      <c r="O735" s="5">
        <v>0</v>
      </c>
      <c r="P735" s="5"/>
    </row>
    <row r="736" spans="1:16">
      <c r="A736" t="str">
        <f t="shared" si="10"/>
        <v>METRONCP RP OFFPK</v>
      </c>
      <c r="B736" t="s">
        <v>15</v>
      </c>
      <c r="C736" t="s">
        <v>161</v>
      </c>
      <c r="D736" s="5">
        <v>4.6800000000000001E-2</v>
      </c>
      <c r="E736" s="5">
        <v>0</v>
      </c>
      <c r="F736" s="5">
        <v>0</v>
      </c>
      <c r="G736" s="5">
        <v>0</v>
      </c>
      <c r="H736" s="5">
        <v>0</v>
      </c>
      <c r="I736" s="5">
        <v>0</v>
      </c>
      <c r="J736" s="5">
        <v>0</v>
      </c>
      <c r="K736" s="5">
        <v>0</v>
      </c>
      <c r="L736" s="5">
        <v>0</v>
      </c>
      <c r="M736" s="5">
        <v>0</v>
      </c>
      <c r="N736" s="5">
        <v>0</v>
      </c>
      <c r="O736" s="5">
        <v>0</v>
      </c>
    </row>
    <row r="737" spans="1:16">
      <c r="A737" t="str">
        <f t="shared" si="10"/>
        <v>METROGCP RP</v>
      </c>
      <c r="B737" t="s">
        <v>15</v>
      </c>
      <c r="C737" t="s">
        <v>162</v>
      </c>
      <c r="D737" s="5">
        <v>4.41E-2</v>
      </c>
      <c r="E737" s="5">
        <v>0</v>
      </c>
      <c r="F737" s="5">
        <v>0</v>
      </c>
      <c r="G737" s="5">
        <v>0</v>
      </c>
      <c r="H737" s="5">
        <v>0</v>
      </c>
      <c r="I737" s="5">
        <v>0</v>
      </c>
      <c r="J737" s="5">
        <v>0</v>
      </c>
      <c r="K737" s="5">
        <v>0</v>
      </c>
      <c r="L737" s="5">
        <v>0</v>
      </c>
      <c r="M737" s="5">
        <v>0</v>
      </c>
      <c r="N737" s="5">
        <v>0</v>
      </c>
      <c r="O737" s="5">
        <v>0</v>
      </c>
      <c r="P737" s="89"/>
    </row>
    <row r="738" spans="1:16">
      <c r="A738" t="str">
        <f t="shared" si="10"/>
        <v>METROGCP RP ONPK</v>
      </c>
      <c r="B738" t="s">
        <v>15</v>
      </c>
      <c r="C738" t="s">
        <v>163</v>
      </c>
      <c r="D738" s="5">
        <v>4.36E-2</v>
      </c>
      <c r="E738" s="5">
        <v>0</v>
      </c>
      <c r="F738" s="5">
        <v>0</v>
      </c>
      <c r="G738" s="5">
        <v>0</v>
      </c>
      <c r="H738" s="5">
        <v>0</v>
      </c>
      <c r="I738" s="5">
        <v>0</v>
      </c>
      <c r="J738" s="5">
        <v>0</v>
      </c>
      <c r="K738" s="5">
        <v>0</v>
      </c>
      <c r="L738" s="5">
        <v>0</v>
      </c>
      <c r="M738" s="5">
        <v>0</v>
      </c>
      <c r="N738" s="5">
        <v>0</v>
      </c>
      <c r="O738" s="5">
        <v>0</v>
      </c>
    </row>
    <row r="739" spans="1:16">
      <c r="A739" t="str">
        <f t="shared" si="10"/>
        <v>METROGCP RP OFFPK</v>
      </c>
      <c r="B739" t="s">
        <v>15</v>
      </c>
      <c r="C739" t="s">
        <v>164</v>
      </c>
      <c r="D739" s="5">
        <v>4.41E-2</v>
      </c>
      <c r="E739" s="5">
        <v>0</v>
      </c>
      <c r="F739" s="5">
        <v>0</v>
      </c>
      <c r="G739" s="5">
        <v>0</v>
      </c>
      <c r="H739" s="5">
        <v>0</v>
      </c>
      <c r="I739" s="5">
        <v>0</v>
      </c>
      <c r="J739" s="5">
        <v>0</v>
      </c>
      <c r="K739" s="5">
        <v>0</v>
      </c>
      <c r="L739" s="5">
        <v>0</v>
      </c>
      <c r="M739" s="5">
        <v>0</v>
      </c>
      <c r="N739" s="5">
        <v>0</v>
      </c>
      <c r="O739" s="5">
        <v>0</v>
      </c>
    </row>
    <row r="740" spans="1:16">
      <c r="A740" t="str">
        <f t="shared" si="10"/>
        <v>METROCP RP</v>
      </c>
      <c r="B740" t="s">
        <v>15</v>
      </c>
      <c r="C740" t="s">
        <v>165</v>
      </c>
      <c r="D740" s="5">
        <v>4.2299999999999997E-2</v>
      </c>
      <c r="E740" s="5">
        <v>0</v>
      </c>
      <c r="F740" s="5">
        <v>0</v>
      </c>
      <c r="G740" s="5">
        <v>0</v>
      </c>
      <c r="H740" s="5">
        <v>0</v>
      </c>
      <c r="I740" s="5">
        <v>0</v>
      </c>
      <c r="J740" s="5">
        <v>0</v>
      </c>
      <c r="K740" s="5">
        <v>0</v>
      </c>
      <c r="L740" s="5">
        <v>0</v>
      </c>
      <c r="M740" s="5">
        <v>0</v>
      </c>
      <c r="N740" s="5">
        <v>0</v>
      </c>
      <c r="O740" s="5">
        <v>0</v>
      </c>
    </row>
    <row r="741" spans="1:16">
      <c r="A741" t="str">
        <f t="shared" si="10"/>
        <v>METROSAMPLE SIZE:</v>
      </c>
      <c r="B741" t="s">
        <v>15</v>
      </c>
      <c r="C741" t="s">
        <v>66</v>
      </c>
    </row>
    <row r="742" spans="1:16">
      <c r="A742" t="str">
        <f t="shared" si="10"/>
        <v>METROGCPSZ</v>
      </c>
      <c r="B742" t="s">
        <v>15</v>
      </c>
      <c r="C742" t="s">
        <v>166</v>
      </c>
      <c r="D742">
        <v>22</v>
      </c>
      <c r="E742">
        <v>23</v>
      </c>
      <c r="F742">
        <v>23</v>
      </c>
      <c r="G742">
        <v>23</v>
      </c>
      <c r="H742">
        <v>23</v>
      </c>
      <c r="I742">
        <v>23</v>
      </c>
      <c r="J742">
        <v>23</v>
      </c>
      <c r="K742">
        <v>23</v>
      </c>
      <c r="L742">
        <v>23</v>
      </c>
      <c r="M742">
        <v>26</v>
      </c>
      <c r="N742">
        <v>26</v>
      </c>
      <c r="O742">
        <v>26</v>
      </c>
      <c r="P742" s="87"/>
    </row>
    <row r="743" spans="1:16">
      <c r="A743" t="str">
        <f t="shared" si="10"/>
        <v>METROGCPSZ ONPK</v>
      </c>
      <c r="B743" t="s">
        <v>15</v>
      </c>
      <c r="C743" t="s">
        <v>167</v>
      </c>
      <c r="D743">
        <v>22</v>
      </c>
      <c r="E743">
        <v>23</v>
      </c>
      <c r="F743">
        <v>23</v>
      </c>
      <c r="G743">
        <v>23</v>
      </c>
      <c r="H743">
        <v>23</v>
      </c>
      <c r="I743">
        <v>23</v>
      </c>
      <c r="J743">
        <v>23</v>
      </c>
      <c r="K743">
        <v>23</v>
      </c>
      <c r="L743">
        <v>23</v>
      </c>
      <c r="M743">
        <v>26</v>
      </c>
      <c r="N743">
        <v>26</v>
      </c>
      <c r="O743">
        <v>26</v>
      </c>
    </row>
    <row r="744" spans="1:16">
      <c r="A744" t="str">
        <f t="shared" si="10"/>
        <v>METROGCPSZ OFFPK</v>
      </c>
      <c r="B744" t="s">
        <v>15</v>
      </c>
      <c r="C744" t="s">
        <v>168</v>
      </c>
      <c r="D744">
        <v>22</v>
      </c>
      <c r="E744">
        <v>23</v>
      </c>
      <c r="F744">
        <v>23</v>
      </c>
      <c r="G744">
        <v>23</v>
      </c>
      <c r="H744">
        <v>23</v>
      </c>
      <c r="I744">
        <v>23</v>
      </c>
      <c r="J744">
        <v>23</v>
      </c>
      <c r="K744">
        <v>23</v>
      </c>
      <c r="L744">
        <v>23</v>
      </c>
      <c r="M744">
        <v>26</v>
      </c>
      <c r="N744">
        <v>26</v>
      </c>
      <c r="O744">
        <v>26</v>
      </c>
    </row>
    <row r="745" spans="1:16">
      <c r="A745" t="str">
        <f t="shared" si="10"/>
        <v>METROCPSZ</v>
      </c>
      <c r="B745" t="s">
        <v>15</v>
      </c>
      <c r="C745" t="s">
        <v>169</v>
      </c>
      <c r="D745">
        <v>22</v>
      </c>
      <c r="E745">
        <v>23</v>
      </c>
      <c r="F745">
        <v>23</v>
      </c>
      <c r="G745">
        <v>23</v>
      </c>
      <c r="H745">
        <v>23</v>
      </c>
      <c r="I745">
        <v>23</v>
      </c>
      <c r="J745">
        <v>23</v>
      </c>
      <c r="K745">
        <v>23</v>
      </c>
      <c r="L745">
        <v>23</v>
      </c>
      <c r="M745">
        <v>26</v>
      </c>
      <c r="N745">
        <v>26</v>
      </c>
      <c r="O745">
        <v>26</v>
      </c>
      <c r="P745" s="83"/>
    </row>
    <row r="746" spans="1:16">
      <c r="A746" t="str">
        <f t="shared" si="10"/>
        <v/>
      </c>
      <c r="P746" s="1"/>
    </row>
    <row r="747" spans="1:16">
      <c r="A747" t="str">
        <f t="shared" si="10"/>
        <v/>
      </c>
      <c r="P747" s="5"/>
    </row>
    <row r="748" spans="1:16">
      <c r="A748" t="str">
        <f t="shared" si="10"/>
        <v/>
      </c>
      <c r="P748" s="5"/>
    </row>
    <row r="749" spans="1:16">
      <c r="A749" t="str">
        <f t="shared" si="10"/>
        <v/>
      </c>
      <c r="P749" s="5"/>
    </row>
    <row r="750" spans="1:16">
      <c r="A750" t="str">
        <f t="shared" si="10"/>
        <v/>
      </c>
      <c r="P750" s="5"/>
    </row>
    <row r="751" spans="1:16">
      <c r="A751" t="str">
        <f t="shared" si="10"/>
        <v/>
      </c>
      <c r="P751" s="5"/>
    </row>
    <row r="752" spans="1:16">
      <c r="A752" t="str">
        <f t="shared" si="10"/>
        <v/>
      </c>
      <c r="P752" s="5"/>
    </row>
    <row r="753" spans="1:16">
      <c r="A753" t="str">
        <f t="shared" si="10"/>
        <v/>
      </c>
      <c r="P753" s="5"/>
    </row>
    <row r="754" spans="1:16">
      <c r="A754" t="str">
        <f t="shared" si="10"/>
        <v/>
      </c>
      <c r="P754" s="5"/>
    </row>
    <row r="755" spans="1:16">
      <c r="A755" t="str">
        <f t="shared" si="10"/>
        <v xml:space="preserve">OL01 Outdoor Lighting (Modeled Rate Class) </v>
      </c>
      <c r="B755" t="s">
        <v>17</v>
      </c>
      <c r="C755" t="s">
        <v>18</v>
      </c>
      <c r="P755" s="5"/>
    </row>
    <row r="756" spans="1:16">
      <c r="A756" t="str">
        <f t="shared" si="10"/>
        <v xml:space="preserve">OL01MONTH </v>
      </c>
      <c r="B756" t="s">
        <v>19</v>
      </c>
      <c r="C756" t="s">
        <v>123</v>
      </c>
      <c r="D756" s="4">
        <v>40909</v>
      </c>
      <c r="E756" s="4">
        <v>40940</v>
      </c>
      <c r="F756" s="4">
        <v>40969</v>
      </c>
      <c r="G756" s="4">
        <v>41000</v>
      </c>
      <c r="H756" s="4">
        <v>41030</v>
      </c>
      <c r="I756" s="4">
        <v>41061</v>
      </c>
      <c r="J756" s="4">
        <v>41091</v>
      </c>
      <c r="K756" s="4">
        <v>41122</v>
      </c>
      <c r="L756" s="4">
        <v>41153</v>
      </c>
      <c r="M756" s="4">
        <v>41183</v>
      </c>
      <c r="N756" s="4">
        <v>41214</v>
      </c>
      <c r="O756" s="4">
        <v>41244</v>
      </c>
    </row>
    <row r="757" spans="1:16">
      <c r="A757" t="str">
        <f t="shared" si="10"/>
        <v xml:space="preserve">OL01CUSTOMERS </v>
      </c>
      <c r="B757" t="s">
        <v>19</v>
      </c>
      <c r="C757" t="s">
        <v>124</v>
      </c>
      <c r="D757">
        <v>6005</v>
      </c>
      <c r="E757">
        <v>6006</v>
      </c>
      <c r="F757">
        <v>5992</v>
      </c>
      <c r="G757">
        <v>5980</v>
      </c>
      <c r="H757">
        <v>5973</v>
      </c>
      <c r="I757">
        <v>5967</v>
      </c>
      <c r="J757">
        <v>5957</v>
      </c>
      <c r="K757">
        <v>5940</v>
      </c>
      <c r="L757">
        <v>5921</v>
      </c>
      <c r="M757">
        <v>5908</v>
      </c>
      <c r="N757">
        <v>5890</v>
      </c>
      <c r="O757">
        <v>5891</v>
      </c>
      <c r="P757" s="5"/>
    </row>
    <row r="758" spans="1:16">
      <c r="A758" t="str">
        <f t="shared" ref="A758:A821" si="11">B758&amp;C758</f>
        <v xml:space="preserve">OL01SALES </v>
      </c>
      <c r="B758" t="s">
        <v>19</v>
      </c>
      <c r="C758" t="s">
        <v>125</v>
      </c>
      <c r="D758">
        <v>8354345</v>
      </c>
      <c r="E758">
        <v>8356642</v>
      </c>
      <c r="F758">
        <v>8354529</v>
      </c>
      <c r="G758">
        <v>8367666</v>
      </c>
      <c r="H758">
        <v>8387503</v>
      </c>
      <c r="I758">
        <v>8390203</v>
      </c>
      <c r="J758">
        <v>8312816</v>
      </c>
      <c r="K758">
        <v>8410470</v>
      </c>
      <c r="L758">
        <v>8403011</v>
      </c>
      <c r="M758">
        <v>8382619</v>
      </c>
      <c r="N758">
        <v>8350592</v>
      </c>
      <c r="O758">
        <v>8380317</v>
      </c>
      <c r="P758" s="5"/>
    </row>
    <row r="759" spans="1:16">
      <c r="A759" t="str">
        <f t="shared" si="11"/>
        <v>OL01KW</v>
      </c>
      <c r="B759" t="s">
        <v>19</v>
      </c>
      <c r="C759" t="s">
        <v>126</v>
      </c>
      <c r="P759" s="5"/>
    </row>
    <row r="760" spans="1:16">
      <c r="A760" t="str">
        <f t="shared" si="11"/>
        <v>OL01N</v>
      </c>
      <c r="B760" t="s">
        <v>19</v>
      </c>
      <c r="C760" t="s">
        <v>127</v>
      </c>
      <c r="D760">
        <v>1</v>
      </c>
      <c r="E760">
        <v>1</v>
      </c>
      <c r="F760">
        <v>1</v>
      </c>
      <c r="G760">
        <v>1</v>
      </c>
      <c r="H760">
        <v>1</v>
      </c>
      <c r="I760">
        <v>1</v>
      </c>
      <c r="J760">
        <v>1</v>
      </c>
      <c r="K760">
        <v>1</v>
      </c>
      <c r="L760">
        <v>1</v>
      </c>
      <c r="M760">
        <v>1</v>
      </c>
      <c r="N760">
        <v>1</v>
      </c>
      <c r="O760">
        <v>1</v>
      </c>
      <c r="P760" s="5"/>
    </row>
    <row r="761" spans="1:16">
      <c r="A761" t="str">
        <f t="shared" si="11"/>
        <v>OL01RLR ENERGY:</v>
      </c>
      <c r="B761" t="s">
        <v>19</v>
      </c>
      <c r="C761" t="s">
        <v>61</v>
      </c>
      <c r="P761" s="5"/>
    </row>
    <row r="762" spans="1:16">
      <c r="A762" t="str">
        <f t="shared" si="11"/>
        <v>OL01KWH</v>
      </c>
      <c r="B762" t="s">
        <v>19</v>
      </c>
      <c r="C762" t="s">
        <v>128</v>
      </c>
      <c r="D762">
        <v>8354345</v>
      </c>
      <c r="E762">
        <v>8356642</v>
      </c>
      <c r="F762">
        <v>8354529</v>
      </c>
      <c r="G762">
        <v>8367666</v>
      </c>
      <c r="H762">
        <v>8387503</v>
      </c>
      <c r="I762">
        <v>8390203</v>
      </c>
      <c r="J762">
        <v>8312816</v>
      </c>
      <c r="K762">
        <v>8410470</v>
      </c>
      <c r="L762">
        <v>8403011</v>
      </c>
      <c r="M762">
        <v>8382619</v>
      </c>
      <c r="N762">
        <v>8329394</v>
      </c>
      <c r="O762">
        <v>8380317</v>
      </c>
      <c r="P762" s="5"/>
    </row>
    <row r="763" spans="1:16">
      <c r="A763" t="str">
        <f t="shared" si="11"/>
        <v>OL01KWH ONPK</v>
      </c>
      <c r="B763" t="s">
        <v>19</v>
      </c>
      <c r="C763" t="s">
        <v>129</v>
      </c>
      <c r="D763">
        <v>2179962</v>
      </c>
      <c r="E763">
        <v>2242730</v>
      </c>
      <c r="F763">
        <v>1973955</v>
      </c>
      <c r="G763">
        <v>663884</v>
      </c>
      <c r="H763">
        <v>575828</v>
      </c>
      <c r="I763">
        <v>461606</v>
      </c>
      <c r="J763">
        <v>429562</v>
      </c>
      <c r="K763">
        <v>622406</v>
      </c>
      <c r="L763">
        <v>736204</v>
      </c>
      <c r="M763">
        <v>1063989</v>
      </c>
      <c r="N763">
        <v>2084766</v>
      </c>
      <c r="O763">
        <v>2008505</v>
      </c>
      <c r="P763" s="5"/>
    </row>
    <row r="764" spans="1:16">
      <c r="A764" t="str">
        <f t="shared" si="11"/>
        <v>OL01KWH OFFPK</v>
      </c>
      <c r="B764" t="s">
        <v>19</v>
      </c>
      <c r="C764" t="s">
        <v>130</v>
      </c>
      <c r="D764">
        <v>6174383</v>
      </c>
      <c r="E764">
        <v>6113912</v>
      </c>
      <c r="F764">
        <v>6380574</v>
      </c>
      <c r="G764">
        <v>7703782</v>
      </c>
      <c r="H764">
        <v>7811675</v>
      </c>
      <c r="I764">
        <v>7928597</v>
      </c>
      <c r="J764">
        <v>7883254</v>
      </c>
      <c r="K764">
        <v>7788064</v>
      </c>
      <c r="L764">
        <v>7666807</v>
      </c>
      <c r="M764">
        <v>7318630</v>
      </c>
      <c r="N764">
        <v>6244628</v>
      </c>
      <c r="O764">
        <v>6371812</v>
      </c>
    </row>
    <row r="765" spans="1:16">
      <c r="A765" t="str">
        <f t="shared" si="11"/>
        <v>OL01KWH ONPK%</v>
      </c>
      <c r="B765" t="s">
        <v>19</v>
      </c>
      <c r="C765" t="s">
        <v>131</v>
      </c>
      <c r="D765" s="5">
        <v>0.26094000000000001</v>
      </c>
      <c r="E765" s="5">
        <v>0.26838000000000001</v>
      </c>
      <c r="F765" s="5">
        <v>0.23627000000000001</v>
      </c>
      <c r="G765" s="5">
        <v>7.9339999999999994E-2</v>
      </c>
      <c r="H765" s="5">
        <v>6.8650000000000003E-2</v>
      </c>
      <c r="I765" s="5">
        <v>5.5019999999999999E-2</v>
      </c>
      <c r="J765" s="5">
        <v>5.1670000000000001E-2</v>
      </c>
      <c r="K765" s="5">
        <v>7.3999999999999996E-2</v>
      </c>
      <c r="L765" s="5">
        <v>8.7609999999999993E-2</v>
      </c>
      <c r="M765" s="5">
        <v>0.12692999999999999</v>
      </c>
      <c r="N765" s="5">
        <v>0.25029000000000001</v>
      </c>
      <c r="O765" s="5">
        <v>0.23966999999999999</v>
      </c>
    </row>
    <row r="766" spans="1:16">
      <c r="A766" t="str">
        <f t="shared" si="11"/>
        <v>OL01KWH OFFPK%</v>
      </c>
      <c r="B766" t="s">
        <v>19</v>
      </c>
      <c r="C766" t="s">
        <v>132</v>
      </c>
      <c r="D766" s="5">
        <v>0.73906000000000005</v>
      </c>
      <c r="E766" s="5">
        <v>0.73162000000000005</v>
      </c>
      <c r="F766" s="5">
        <v>0.76373000000000002</v>
      </c>
      <c r="G766" s="5">
        <v>0.92066000000000003</v>
      </c>
      <c r="H766" s="5">
        <v>0.93135000000000001</v>
      </c>
      <c r="I766" s="5">
        <v>0.94498000000000004</v>
      </c>
      <c r="J766" s="5">
        <v>0.94833000000000001</v>
      </c>
      <c r="K766" s="5">
        <v>0.92600000000000005</v>
      </c>
      <c r="L766" s="5">
        <v>0.91239000000000003</v>
      </c>
      <c r="M766" s="5">
        <v>0.87307000000000001</v>
      </c>
      <c r="N766" s="5">
        <v>0.74970999999999999</v>
      </c>
      <c r="O766" s="5">
        <v>0.76032999999999995</v>
      </c>
    </row>
    <row r="767" spans="1:16">
      <c r="A767" t="str">
        <f t="shared" si="11"/>
        <v>OL01DEMAND (KW):</v>
      </c>
      <c r="B767" t="s">
        <v>19</v>
      </c>
      <c r="C767" t="s">
        <v>62</v>
      </c>
    </row>
    <row r="768" spans="1:16">
      <c r="A768" t="str">
        <f t="shared" si="11"/>
        <v>OL01NCP</v>
      </c>
      <c r="B768" t="s">
        <v>19</v>
      </c>
      <c r="C768" t="s">
        <v>133</v>
      </c>
      <c r="D768">
        <v>20334</v>
      </c>
      <c r="E768">
        <v>22670</v>
      </c>
      <c r="F768">
        <v>22559</v>
      </c>
      <c r="G768">
        <v>24862</v>
      </c>
      <c r="H768">
        <v>25513</v>
      </c>
      <c r="I768">
        <v>27122</v>
      </c>
      <c r="J768">
        <v>25641</v>
      </c>
      <c r="K768">
        <v>24696</v>
      </c>
      <c r="L768">
        <v>23927</v>
      </c>
      <c r="M768">
        <v>21698</v>
      </c>
      <c r="N768">
        <v>21198</v>
      </c>
      <c r="O768">
        <v>20160</v>
      </c>
    </row>
    <row r="769" spans="1:16">
      <c r="A769" t="str">
        <f t="shared" si="11"/>
        <v>OL01NCP ONPK</v>
      </c>
      <c r="B769" t="s">
        <v>19</v>
      </c>
      <c r="C769" t="s">
        <v>134</v>
      </c>
      <c r="D769">
        <v>20334</v>
      </c>
      <c r="E769">
        <v>22670</v>
      </c>
      <c r="F769">
        <v>22559</v>
      </c>
      <c r="G769">
        <v>24862</v>
      </c>
      <c r="H769">
        <v>25513</v>
      </c>
      <c r="I769">
        <v>24379</v>
      </c>
      <c r="J769">
        <v>22649</v>
      </c>
      <c r="K769">
        <v>24696</v>
      </c>
      <c r="L769">
        <v>23927</v>
      </c>
      <c r="M769">
        <v>21698</v>
      </c>
      <c r="N769">
        <v>21198</v>
      </c>
      <c r="O769">
        <v>20160</v>
      </c>
    </row>
    <row r="770" spans="1:16">
      <c r="A770" t="str">
        <f t="shared" si="11"/>
        <v>OL01NCP OFFPK</v>
      </c>
      <c r="B770" t="s">
        <v>19</v>
      </c>
      <c r="C770" t="s">
        <v>135</v>
      </c>
      <c r="D770">
        <v>20334</v>
      </c>
      <c r="E770">
        <v>22670</v>
      </c>
      <c r="F770">
        <v>22559</v>
      </c>
      <c r="G770">
        <v>24862</v>
      </c>
      <c r="H770">
        <v>25513</v>
      </c>
      <c r="I770">
        <v>27122</v>
      </c>
      <c r="J770">
        <v>25641</v>
      </c>
      <c r="K770">
        <v>24696</v>
      </c>
      <c r="L770">
        <v>23927</v>
      </c>
      <c r="M770">
        <v>21698</v>
      </c>
      <c r="N770">
        <v>21198</v>
      </c>
      <c r="O770">
        <v>20160</v>
      </c>
    </row>
    <row r="771" spans="1:16">
      <c r="A771" t="str">
        <f t="shared" si="11"/>
        <v>OL01GCP DATE</v>
      </c>
      <c r="B771" t="s">
        <v>19</v>
      </c>
      <c r="C771" t="s">
        <v>136</v>
      </c>
      <c r="D771" t="s">
        <v>930</v>
      </c>
      <c r="E771" t="s">
        <v>931</v>
      </c>
      <c r="F771" t="s">
        <v>23</v>
      </c>
      <c r="G771" t="s">
        <v>932</v>
      </c>
      <c r="H771" t="s">
        <v>933</v>
      </c>
      <c r="I771" t="s">
        <v>0</v>
      </c>
      <c r="J771" t="s">
        <v>934</v>
      </c>
      <c r="K771" t="s">
        <v>935</v>
      </c>
      <c r="L771" t="s">
        <v>929</v>
      </c>
      <c r="M771" t="s">
        <v>912</v>
      </c>
      <c r="N771" t="s">
        <v>181</v>
      </c>
      <c r="O771" t="s">
        <v>936</v>
      </c>
      <c r="P771" s="4"/>
    </row>
    <row r="772" spans="1:16">
      <c r="A772" t="str">
        <f t="shared" si="11"/>
        <v>OL01GCP TIME</v>
      </c>
      <c r="B772" t="s">
        <v>19</v>
      </c>
      <c r="C772" t="s">
        <v>142</v>
      </c>
      <c r="D772" t="s">
        <v>201</v>
      </c>
      <c r="E772" t="s">
        <v>201</v>
      </c>
      <c r="F772" t="s">
        <v>201</v>
      </c>
      <c r="G772" t="s">
        <v>201</v>
      </c>
      <c r="H772" t="s">
        <v>201</v>
      </c>
      <c r="I772" t="s">
        <v>201</v>
      </c>
      <c r="J772" t="s">
        <v>201</v>
      </c>
      <c r="K772" t="s">
        <v>201</v>
      </c>
      <c r="L772" t="s">
        <v>201</v>
      </c>
      <c r="M772" t="s">
        <v>201</v>
      </c>
      <c r="N772" t="s">
        <v>201</v>
      </c>
      <c r="O772" t="s">
        <v>201</v>
      </c>
    </row>
    <row r="773" spans="1:16">
      <c r="A773" t="str">
        <f t="shared" si="11"/>
        <v>OL01GCP</v>
      </c>
      <c r="B773" t="s">
        <v>19</v>
      </c>
      <c r="C773" t="s">
        <v>147</v>
      </c>
      <c r="D773">
        <v>20334</v>
      </c>
      <c r="E773">
        <v>22670</v>
      </c>
      <c r="F773">
        <v>22559</v>
      </c>
      <c r="G773">
        <v>24862</v>
      </c>
      <c r="H773">
        <v>25513</v>
      </c>
      <c r="I773">
        <v>27122</v>
      </c>
      <c r="J773">
        <v>25641</v>
      </c>
      <c r="K773">
        <v>24696</v>
      </c>
      <c r="L773">
        <v>23927</v>
      </c>
      <c r="M773">
        <v>21698</v>
      </c>
      <c r="N773">
        <v>21198</v>
      </c>
      <c r="O773">
        <v>20160</v>
      </c>
    </row>
    <row r="774" spans="1:16">
      <c r="A774" t="str">
        <f t="shared" si="11"/>
        <v>OL01GCP ONPK</v>
      </c>
      <c r="B774" t="s">
        <v>19</v>
      </c>
      <c r="C774" t="s">
        <v>63</v>
      </c>
      <c r="D774">
        <v>20334</v>
      </c>
      <c r="E774">
        <v>22670</v>
      </c>
      <c r="F774">
        <v>22559</v>
      </c>
      <c r="G774">
        <v>24862</v>
      </c>
      <c r="H774">
        <v>25513</v>
      </c>
      <c r="I774">
        <v>24379</v>
      </c>
      <c r="J774">
        <v>22649</v>
      </c>
      <c r="K774">
        <v>24696</v>
      </c>
      <c r="L774">
        <v>23927</v>
      </c>
      <c r="M774">
        <v>21698</v>
      </c>
      <c r="N774">
        <v>21198</v>
      </c>
      <c r="O774">
        <v>20160</v>
      </c>
    </row>
    <row r="775" spans="1:16">
      <c r="A775" t="str">
        <f t="shared" si="11"/>
        <v>OL01GCP OFFPK</v>
      </c>
      <c r="B775" t="s">
        <v>19</v>
      </c>
      <c r="C775" t="s">
        <v>64</v>
      </c>
      <c r="D775">
        <v>20334</v>
      </c>
      <c r="E775">
        <v>22670</v>
      </c>
      <c r="F775">
        <v>22559</v>
      </c>
      <c r="G775">
        <v>24862</v>
      </c>
      <c r="H775">
        <v>25513</v>
      </c>
      <c r="I775">
        <v>27122</v>
      </c>
      <c r="J775">
        <v>25641</v>
      </c>
      <c r="K775">
        <v>24696</v>
      </c>
      <c r="L775">
        <v>23927</v>
      </c>
      <c r="M775">
        <v>21698</v>
      </c>
      <c r="N775">
        <v>21198</v>
      </c>
      <c r="O775">
        <v>20160</v>
      </c>
    </row>
    <row r="776" spans="1:16">
      <c r="A776" t="str">
        <f t="shared" si="11"/>
        <v>OL01CP</v>
      </c>
      <c r="B776" t="s">
        <v>19</v>
      </c>
      <c r="C776" t="s">
        <v>148</v>
      </c>
      <c r="D776">
        <v>2378</v>
      </c>
      <c r="E776">
        <v>0</v>
      </c>
      <c r="F776">
        <v>0</v>
      </c>
      <c r="G776">
        <v>0</v>
      </c>
      <c r="H776">
        <v>0</v>
      </c>
      <c r="I776">
        <v>0</v>
      </c>
      <c r="J776">
        <v>0</v>
      </c>
      <c r="K776">
        <v>0</v>
      </c>
      <c r="L776">
        <v>0</v>
      </c>
      <c r="M776">
        <v>0</v>
      </c>
      <c r="N776">
        <v>21198</v>
      </c>
      <c r="O776">
        <v>20160</v>
      </c>
    </row>
    <row r="777" spans="1:16">
      <c r="A777" t="str">
        <f t="shared" si="11"/>
        <v>OL01PERIOD START</v>
      </c>
      <c r="B777" t="s">
        <v>19</v>
      </c>
      <c r="C777" t="s">
        <v>149</v>
      </c>
      <c r="D777" s="1">
        <v>40909</v>
      </c>
      <c r="E777" s="1">
        <v>40940</v>
      </c>
      <c r="F777" s="1">
        <v>40969</v>
      </c>
      <c r="G777" s="1">
        <v>41000</v>
      </c>
      <c r="H777" s="1">
        <v>41030</v>
      </c>
      <c r="I777" s="1">
        <v>41061</v>
      </c>
      <c r="J777" s="1">
        <v>41091</v>
      </c>
      <c r="K777" s="1">
        <v>41122</v>
      </c>
      <c r="L777" s="1">
        <v>41153</v>
      </c>
      <c r="M777" s="1">
        <v>41183</v>
      </c>
      <c r="N777" s="1">
        <v>41214</v>
      </c>
      <c r="O777" s="1">
        <v>41244</v>
      </c>
    </row>
    <row r="778" spans="1:16">
      <c r="A778" t="str">
        <f t="shared" si="11"/>
        <v>OL01NCP LF</v>
      </c>
      <c r="B778" t="s">
        <v>19</v>
      </c>
      <c r="C778" t="s">
        <v>150</v>
      </c>
      <c r="D778" s="5">
        <v>0.55220000000000002</v>
      </c>
      <c r="E778" s="5">
        <v>0.52959999999999996</v>
      </c>
      <c r="F778" s="5">
        <v>0.49840000000000001</v>
      </c>
      <c r="G778" s="5">
        <v>0.46750000000000003</v>
      </c>
      <c r="H778" s="5">
        <v>0.44190000000000002</v>
      </c>
      <c r="I778" s="5">
        <v>0.42970000000000003</v>
      </c>
      <c r="J778" s="5">
        <v>0.43580000000000002</v>
      </c>
      <c r="K778" s="5">
        <v>0.45779999999999998</v>
      </c>
      <c r="L778" s="5">
        <v>0.48780000000000001</v>
      </c>
      <c r="M778" s="5">
        <v>0.51929999999999998</v>
      </c>
      <c r="N778" s="5">
        <v>0.54569999999999996</v>
      </c>
      <c r="O778" s="5">
        <v>0.55869999999999997</v>
      </c>
    </row>
    <row r="779" spans="1:16">
      <c r="A779" t="str">
        <f t="shared" si="11"/>
        <v>OL01NCP LF ONPK</v>
      </c>
      <c r="B779" t="s">
        <v>19</v>
      </c>
      <c r="C779" t="s">
        <v>151</v>
      </c>
      <c r="D779" s="5">
        <v>0.6381</v>
      </c>
      <c r="E779" s="5">
        <v>0.58889999999999998</v>
      </c>
      <c r="F779" s="5">
        <v>0.49719999999999998</v>
      </c>
      <c r="G779" s="5">
        <v>0.14130000000000001</v>
      </c>
      <c r="H779" s="5">
        <v>0.114</v>
      </c>
      <c r="I779" s="5">
        <v>0.1002</v>
      </c>
      <c r="J779" s="5">
        <v>0.1003</v>
      </c>
      <c r="K779" s="5">
        <v>0.12180000000000001</v>
      </c>
      <c r="L779" s="5">
        <v>0.1799</v>
      </c>
      <c r="M779" s="5">
        <v>0.2369</v>
      </c>
      <c r="N779" s="5">
        <v>0.58540000000000003</v>
      </c>
      <c r="O779" s="5">
        <v>0.62270000000000003</v>
      </c>
      <c r="P779" s="4"/>
    </row>
    <row r="780" spans="1:16">
      <c r="A780" t="str">
        <f t="shared" si="11"/>
        <v>OL01NCP LF OFFPK</v>
      </c>
      <c r="B780" t="s">
        <v>19</v>
      </c>
      <c r="C780" t="s">
        <v>152</v>
      </c>
      <c r="D780" s="5">
        <v>0.5272</v>
      </c>
      <c r="E780" s="5">
        <v>0.51080000000000003</v>
      </c>
      <c r="F780" s="5">
        <v>0.49880000000000002</v>
      </c>
      <c r="G780" s="5">
        <v>0.58350000000000002</v>
      </c>
      <c r="H780" s="5">
        <v>0.56079999999999997</v>
      </c>
      <c r="I780" s="5">
        <v>0.55049999999999999</v>
      </c>
      <c r="J780" s="5">
        <v>0.55400000000000005</v>
      </c>
      <c r="K780" s="5">
        <v>0.58730000000000004</v>
      </c>
      <c r="L780" s="5">
        <v>0.5837</v>
      </c>
      <c r="M780" s="5">
        <v>0.62809999999999999</v>
      </c>
      <c r="N780" s="5">
        <v>0.53369999999999995</v>
      </c>
      <c r="O780" s="5">
        <v>0.54120000000000001</v>
      </c>
    </row>
    <row r="781" spans="1:16">
      <c r="A781" t="str">
        <f t="shared" si="11"/>
        <v>OL01GCP CF</v>
      </c>
      <c r="B781" t="s">
        <v>19</v>
      </c>
      <c r="C781" t="s">
        <v>153</v>
      </c>
      <c r="D781" s="5">
        <v>1</v>
      </c>
      <c r="E781" s="5">
        <v>1</v>
      </c>
      <c r="F781" s="5">
        <v>1</v>
      </c>
      <c r="G781" s="5">
        <v>1</v>
      </c>
      <c r="H781" s="5">
        <v>1</v>
      </c>
      <c r="I781" s="5">
        <v>1</v>
      </c>
      <c r="J781" s="5">
        <v>1</v>
      </c>
      <c r="K781" s="5">
        <v>1</v>
      </c>
      <c r="L781" s="5">
        <v>1</v>
      </c>
      <c r="M781" s="5">
        <v>1</v>
      </c>
      <c r="N781" s="5">
        <v>1</v>
      </c>
      <c r="O781" s="5">
        <v>1</v>
      </c>
    </row>
    <row r="782" spans="1:16">
      <c r="A782" t="str">
        <f t="shared" si="11"/>
        <v>OL01CP CF</v>
      </c>
      <c r="B782" t="s">
        <v>19</v>
      </c>
      <c r="C782" t="s">
        <v>154</v>
      </c>
      <c r="D782" s="5">
        <v>0.1169</v>
      </c>
      <c r="E782" s="5">
        <v>0</v>
      </c>
      <c r="F782" s="5">
        <v>0</v>
      </c>
      <c r="G782" s="5">
        <v>0</v>
      </c>
      <c r="H782" s="5">
        <v>0</v>
      </c>
      <c r="I782" s="5">
        <v>0</v>
      </c>
      <c r="J782" s="5">
        <v>0</v>
      </c>
      <c r="K782" s="5">
        <v>0</v>
      </c>
      <c r="L782" s="5">
        <v>0</v>
      </c>
      <c r="M782" s="5">
        <v>0</v>
      </c>
      <c r="N782" s="5">
        <v>1</v>
      </c>
      <c r="O782" s="5">
        <v>1</v>
      </c>
    </row>
    <row r="783" spans="1:16">
      <c r="A783" t="str">
        <f t="shared" si="11"/>
        <v>OL01GCP LF</v>
      </c>
      <c r="B783" t="s">
        <v>19</v>
      </c>
      <c r="C783" t="s">
        <v>155</v>
      </c>
      <c r="D783" s="5">
        <v>0.55220000000000002</v>
      </c>
      <c r="E783" s="5">
        <v>0.52959999999999996</v>
      </c>
      <c r="F783" s="5">
        <v>0.49840000000000001</v>
      </c>
      <c r="G783" s="5">
        <v>0.46750000000000003</v>
      </c>
      <c r="H783" s="5">
        <v>0.44190000000000002</v>
      </c>
      <c r="I783" s="5">
        <v>0.42970000000000003</v>
      </c>
      <c r="J783" s="5">
        <v>0.43580000000000002</v>
      </c>
      <c r="K783" s="5">
        <v>0.45779999999999998</v>
      </c>
      <c r="L783" s="5">
        <v>0.48780000000000001</v>
      </c>
      <c r="M783" s="5">
        <v>0.51929999999999998</v>
      </c>
      <c r="N783" s="5">
        <v>0.54569999999999996</v>
      </c>
      <c r="O783" s="5">
        <v>0.55869999999999997</v>
      </c>
    </row>
    <row r="784" spans="1:16">
      <c r="A784" t="str">
        <f t="shared" si="11"/>
        <v>OL01GCP LF ONPK</v>
      </c>
      <c r="B784" t="s">
        <v>19</v>
      </c>
      <c r="C784" t="s">
        <v>156</v>
      </c>
      <c r="D784" s="5">
        <v>0.6381</v>
      </c>
      <c r="E784" s="5">
        <v>0.58889999999999998</v>
      </c>
      <c r="F784" s="5">
        <v>0.49719999999999998</v>
      </c>
      <c r="G784" s="5">
        <v>0.14130000000000001</v>
      </c>
      <c r="H784" s="5">
        <v>0.114</v>
      </c>
      <c r="I784" s="5">
        <v>0.1002</v>
      </c>
      <c r="J784" s="5">
        <v>0.1003</v>
      </c>
      <c r="K784" s="5">
        <v>0.12180000000000001</v>
      </c>
      <c r="L784" s="5">
        <v>0.1799</v>
      </c>
      <c r="M784" s="5">
        <v>0.2369</v>
      </c>
      <c r="N784" s="5">
        <v>0.58540000000000003</v>
      </c>
      <c r="O784" s="5">
        <v>0.62270000000000003</v>
      </c>
    </row>
    <row r="785" spans="1:16">
      <c r="A785" t="str">
        <f t="shared" si="11"/>
        <v>OL01GCP LF OFFPK</v>
      </c>
      <c r="B785" t="s">
        <v>19</v>
      </c>
      <c r="C785" t="s">
        <v>157</v>
      </c>
      <c r="D785" s="5">
        <v>0.5272</v>
      </c>
      <c r="E785" s="5">
        <v>0.51080000000000003</v>
      </c>
      <c r="F785" s="5">
        <v>0.49880000000000002</v>
      </c>
      <c r="G785" s="5">
        <v>0.58350000000000002</v>
      </c>
      <c r="H785" s="5">
        <v>0.56079999999999997</v>
      </c>
      <c r="I785" s="5">
        <v>0.55049999999999999</v>
      </c>
      <c r="J785" s="5">
        <v>0.55400000000000005</v>
      </c>
      <c r="K785" s="5">
        <v>0.58730000000000004</v>
      </c>
      <c r="L785" s="5">
        <v>0.5837</v>
      </c>
      <c r="M785" s="5">
        <v>0.62809999999999999</v>
      </c>
      <c r="N785" s="5">
        <v>0.53369999999999995</v>
      </c>
      <c r="O785" s="5">
        <v>0.54120000000000001</v>
      </c>
      <c r="P785" s="91"/>
    </row>
    <row r="786" spans="1:16">
      <c r="A786" t="str">
        <f t="shared" si="11"/>
        <v>OL01CP LF</v>
      </c>
      <c r="B786" t="s">
        <v>19</v>
      </c>
      <c r="C786" t="s">
        <v>158</v>
      </c>
      <c r="D786" s="5">
        <v>4.7222</v>
      </c>
      <c r="E786" s="5">
        <v>0</v>
      </c>
      <c r="F786" s="5">
        <v>0</v>
      </c>
      <c r="G786" s="5">
        <v>0</v>
      </c>
      <c r="H786" s="5">
        <v>0</v>
      </c>
      <c r="I786" s="5">
        <v>0</v>
      </c>
      <c r="J786" s="5">
        <v>0</v>
      </c>
      <c r="K786" s="5">
        <v>0</v>
      </c>
      <c r="L786" s="5">
        <v>0</v>
      </c>
      <c r="M786" s="5">
        <v>0</v>
      </c>
      <c r="N786" s="5">
        <v>0.54569999999999996</v>
      </c>
      <c r="O786" s="5">
        <v>0.55869999999999997</v>
      </c>
    </row>
    <row r="787" spans="1:16">
      <c r="A787" t="str">
        <f t="shared" si="11"/>
        <v>OL01REL PREC:</v>
      </c>
      <c r="B787" t="s">
        <v>19</v>
      </c>
      <c r="C787" t="s">
        <v>65</v>
      </c>
    </row>
    <row r="788" spans="1:16">
      <c r="A788" t="str">
        <f t="shared" si="11"/>
        <v>OL01NCP RP</v>
      </c>
      <c r="B788" t="s">
        <v>19</v>
      </c>
      <c r="C788" t="s">
        <v>159</v>
      </c>
      <c r="D788" s="5">
        <v>0</v>
      </c>
      <c r="E788" s="5">
        <v>0</v>
      </c>
      <c r="F788" s="5">
        <v>0</v>
      </c>
      <c r="G788" s="5">
        <v>0</v>
      </c>
      <c r="H788" s="5">
        <v>0</v>
      </c>
      <c r="I788" s="5">
        <v>0</v>
      </c>
      <c r="J788" s="5">
        <v>0</v>
      </c>
      <c r="K788" s="5">
        <v>0</v>
      </c>
      <c r="L788" s="5">
        <v>0</v>
      </c>
      <c r="M788" s="5">
        <v>0</v>
      </c>
      <c r="N788" s="5">
        <v>0</v>
      </c>
      <c r="O788" s="5">
        <v>0</v>
      </c>
      <c r="P788" s="5"/>
    </row>
    <row r="789" spans="1:16">
      <c r="A789" t="str">
        <f t="shared" si="11"/>
        <v>OL01NCP RP ONPK</v>
      </c>
      <c r="B789" t="s">
        <v>19</v>
      </c>
      <c r="C789" t="s">
        <v>160</v>
      </c>
      <c r="D789" s="5">
        <v>0</v>
      </c>
      <c r="E789" s="5">
        <v>0</v>
      </c>
      <c r="F789" s="5">
        <v>0</v>
      </c>
      <c r="G789" s="5">
        <v>0</v>
      </c>
      <c r="H789" s="5">
        <v>0</v>
      </c>
      <c r="I789" s="5">
        <v>0</v>
      </c>
      <c r="J789" s="5">
        <v>0</v>
      </c>
      <c r="K789" s="5">
        <v>0</v>
      </c>
      <c r="L789" s="5">
        <v>0</v>
      </c>
      <c r="M789" s="5">
        <v>0</v>
      </c>
      <c r="N789" s="5">
        <v>0</v>
      </c>
      <c r="O789" s="5">
        <v>0</v>
      </c>
      <c r="P789" s="5"/>
    </row>
    <row r="790" spans="1:16">
      <c r="A790" t="str">
        <f t="shared" si="11"/>
        <v>OL01NCP RP OFFPK</v>
      </c>
      <c r="B790" t="s">
        <v>19</v>
      </c>
      <c r="C790" t="s">
        <v>161</v>
      </c>
      <c r="D790" s="5">
        <v>0</v>
      </c>
      <c r="E790" s="5">
        <v>0</v>
      </c>
      <c r="F790" s="5">
        <v>0</v>
      </c>
      <c r="G790" s="5">
        <v>0</v>
      </c>
      <c r="H790" s="5">
        <v>0</v>
      </c>
      <c r="I790" s="5">
        <v>0</v>
      </c>
      <c r="J790" s="5">
        <v>0</v>
      </c>
      <c r="K790" s="5">
        <v>0</v>
      </c>
      <c r="L790" s="5">
        <v>0</v>
      </c>
      <c r="M790" s="5">
        <v>0</v>
      </c>
      <c r="N790" s="5">
        <v>0</v>
      </c>
      <c r="O790" s="5">
        <v>0</v>
      </c>
    </row>
    <row r="791" spans="1:16">
      <c r="A791" t="str">
        <f t="shared" si="11"/>
        <v>OL01GCP RP</v>
      </c>
      <c r="B791" t="s">
        <v>19</v>
      </c>
      <c r="C791" t="s">
        <v>162</v>
      </c>
      <c r="D791" s="5">
        <v>0</v>
      </c>
      <c r="E791" s="5">
        <v>0</v>
      </c>
      <c r="F791" s="5">
        <v>0</v>
      </c>
      <c r="G791" s="5">
        <v>0</v>
      </c>
      <c r="H791" s="5">
        <v>0</v>
      </c>
      <c r="I791" s="5">
        <v>0</v>
      </c>
      <c r="J791" s="5">
        <v>0</v>
      </c>
      <c r="K791" s="5">
        <v>0</v>
      </c>
      <c r="L791" s="5">
        <v>0</v>
      </c>
      <c r="M791" s="5">
        <v>0</v>
      </c>
      <c r="N791" s="5">
        <v>0</v>
      </c>
      <c r="O791" s="5">
        <v>0</v>
      </c>
      <c r="P791" s="89"/>
    </row>
    <row r="792" spans="1:16">
      <c r="A792" t="str">
        <f t="shared" si="11"/>
        <v>OL01GCP RP ONPK</v>
      </c>
      <c r="B792" t="s">
        <v>19</v>
      </c>
      <c r="C792" t="s">
        <v>163</v>
      </c>
      <c r="D792" s="5">
        <v>0</v>
      </c>
      <c r="E792" s="5">
        <v>0</v>
      </c>
      <c r="F792" s="5">
        <v>0</v>
      </c>
      <c r="G792" s="5">
        <v>0</v>
      </c>
      <c r="H792" s="5">
        <v>0</v>
      </c>
      <c r="I792" s="5">
        <v>0</v>
      </c>
      <c r="J792" s="5">
        <v>0</v>
      </c>
      <c r="K792" s="5">
        <v>0</v>
      </c>
      <c r="L792" s="5">
        <v>0</v>
      </c>
      <c r="M792" s="5">
        <v>0</v>
      </c>
      <c r="N792" s="5">
        <v>0</v>
      </c>
      <c r="O792" s="5">
        <v>0</v>
      </c>
    </row>
    <row r="793" spans="1:16">
      <c r="A793" t="str">
        <f t="shared" si="11"/>
        <v>OL01GCP RP OFFPK</v>
      </c>
      <c r="B793" t="s">
        <v>19</v>
      </c>
      <c r="C793" t="s">
        <v>164</v>
      </c>
      <c r="D793" s="5">
        <v>0</v>
      </c>
      <c r="E793" s="5">
        <v>0</v>
      </c>
      <c r="F793" s="5">
        <v>0</v>
      </c>
      <c r="G793" s="5">
        <v>0</v>
      </c>
      <c r="H793" s="5">
        <v>0</v>
      </c>
      <c r="I793" s="5">
        <v>0</v>
      </c>
      <c r="J793" s="5">
        <v>0</v>
      </c>
      <c r="K793" s="5">
        <v>0</v>
      </c>
      <c r="L793" s="5">
        <v>0</v>
      </c>
      <c r="M793" s="5">
        <v>0</v>
      </c>
      <c r="N793" s="5">
        <v>0</v>
      </c>
      <c r="O793" s="5">
        <v>0</v>
      </c>
    </row>
    <row r="794" spans="1:16">
      <c r="A794" t="str">
        <f t="shared" si="11"/>
        <v>OL01CP RP</v>
      </c>
      <c r="B794" t="s">
        <v>19</v>
      </c>
      <c r="C794" t="s">
        <v>165</v>
      </c>
      <c r="D794" s="5">
        <v>0</v>
      </c>
      <c r="E794" s="5">
        <v>0</v>
      </c>
      <c r="F794" s="5">
        <v>0</v>
      </c>
      <c r="G794" s="5">
        <v>0</v>
      </c>
      <c r="H794" s="5">
        <v>0</v>
      </c>
      <c r="I794" s="5">
        <v>0</v>
      </c>
      <c r="J794" s="5">
        <v>0</v>
      </c>
      <c r="K794" s="5">
        <v>0</v>
      </c>
      <c r="L794" s="5">
        <v>0</v>
      </c>
      <c r="M794" s="5">
        <v>0</v>
      </c>
      <c r="N794" s="5">
        <v>0</v>
      </c>
      <c r="O794" s="5">
        <v>0</v>
      </c>
    </row>
    <row r="795" spans="1:16">
      <c r="A795" t="str">
        <f t="shared" si="11"/>
        <v>OL01SAMPLE SIZE:</v>
      </c>
      <c r="B795" t="s">
        <v>19</v>
      </c>
      <c r="C795" t="s">
        <v>66</v>
      </c>
    </row>
    <row r="796" spans="1:16">
      <c r="A796" t="str">
        <f t="shared" si="11"/>
        <v>OL01GCPSZ</v>
      </c>
      <c r="B796" t="s">
        <v>19</v>
      </c>
      <c r="C796" t="s">
        <v>166</v>
      </c>
      <c r="D796">
        <v>1</v>
      </c>
      <c r="E796">
        <v>1</v>
      </c>
      <c r="F796">
        <v>1</v>
      </c>
      <c r="G796">
        <v>1</v>
      </c>
      <c r="H796">
        <v>1</v>
      </c>
      <c r="I796">
        <v>1</v>
      </c>
      <c r="J796">
        <v>1</v>
      </c>
      <c r="K796">
        <v>1</v>
      </c>
      <c r="L796">
        <v>1</v>
      </c>
      <c r="M796">
        <v>1</v>
      </c>
      <c r="N796">
        <v>1</v>
      </c>
      <c r="O796">
        <v>1</v>
      </c>
      <c r="P796" s="87"/>
    </row>
    <row r="797" spans="1:16">
      <c r="A797" t="str">
        <f t="shared" si="11"/>
        <v>OL01GCPSZ ONPK</v>
      </c>
      <c r="B797" t="s">
        <v>19</v>
      </c>
      <c r="C797" t="s">
        <v>167</v>
      </c>
      <c r="D797">
        <v>1</v>
      </c>
      <c r="E797">
        <v>1</v>
      </c>
      <c r="F797">
        <v>1</v>
      </c>
      <c r="G797">
        <v>1</v>
      </c>
      <c r="H797">
        <v>1</v>
      </c>
      <c r="I797">
        <v>1</v>
      </c>
      <c r="J797">
        <v>1</v>
      </c>
      <c r="K797">
        <v>1</v>
      </c>
      <c r="L797">
        <v>1</v>
      </c>
      <c r="M797">
        <v>1</v>
      </c>
      <c r="N797">
        <v>1</v>
      </c>
      <c r="O797">
        <v>1</v>
      </c>
    </row>
    <row r="798" spans="1:16">
      <c r="A798" t="str">
        <f t="shared" si="11"/>
        <v>OL01GCPSZ OFFPK</v>
      </c>
      <c r="B798" t="s">
        <v>19</v>
      </c>
      <c r="C798" t="s">
        <v>168</v>
      </c>
      <c r="D798">
        <v>1</v>
      </c>
      <c r="E798">
        <v>1</v>
      </c>
      <c r="F798">
        <v>1</v>
      </c>
      <c r="G798">
        <v>1</v>
      </c>
      <c r="H798">
        <v>1</v>
      </c>
      <c r="I798">
        <v>1</v>
      </c>
      <c r="J798">
        <v>1</v>
      </c>
      <c r="K798">
        <v>1</v>
      </c>
      <c r="L798">
        <v>1</v>
      </c>
      <c r="M798">
        <v>1</v>
      </c>
      <c r="N798">
        <v>1</v>
      </c>
      <c r="O798">
        <v>1</v>
      </c>
    </row>
    <row r="799" spans="1:16">
      <c r="A799" t="str">
        <f t="shared" si="11"/>
        <v>OL01CPSZ</v>
      </c>
      <c r="B799" t="s">
        <v>19</v>
      </c>
      <c r="C799" t="s">
        <v>169</v>
      </c>
      <c r="D799">
        <v>1</v>
      </c>
      <c r="E799">
        <v>1</v>
      </c>
      <c r="F799">
        <v>1</v>
      </c>
      <c r="G799">
        <v>1</v>
      </c>
      <c r="H799">
        <v>1</v>
      </c>
      <c r="I799">
        <v>1</v>
      </c>
      <c r="J799">
        <v>1</v>
      </c>
      <c r="K799">
        <v>1</v>
      </c>
      <c r="L799">
        <v>1</v>
      </c>
      <c r="M799">
        <v>1</v>
      </c>
      <c r="N799">
        <v>1</v>
      </c>
      <c r="O799">
        <v>1</v>
      </c>
      <c r="P799" s="83"/>
    </row>
    <row r="800" spans="1:16">
      <c r="A800" t="str">
        <f t="shared" si="11"/>
        <v/>
      </c>
      <c r="P800" s="1"/>
    </row>
    <row r="801" spans="1:16">
      <c r="A801" t="str">
        <f t="shared" si="11"/>
        <v/>
      </c>
      <c r="P801" s="5"/>
    </row>
    <row r="802" spans="1:16">
      <c r="A802" t="str">
        <f t="shared" si="11"/>
        <v/>
      </c>
      <c r="P802" s="5"/>
    </row>
    <row r="803" spans="1:16">
      <c r="A803" t="str">
        <f t="shared" si="11"/>
        <v/>
      </c>
      <c r="P803" s="5"/>
    </row>
    <row r="804" spans="1:16">
      <c r="A804" t="str">
        <f t="shared" si="11"/>
        <v/>
      </c>
      <c r="P804" s="5"/>
    </row>
    <row r="805" spans="1:16">
      <c r="A805" t="str">
        <f t="shared" si="11"/>
        <v/>
      </c>
      <c r="P805" s="5"/>
    </row>
    <row r="806" spans="1:16">
      <c r="A806" t="str">
        <f t="shared" si="11"/>
        <v/>
      </c>
      <c r="P806" s="5"/>
    </row>
    <row r="807" spans="1:16">
      <c r="A807" t="str">
        <f t="shared" si="11"/>
        <v/>
      </c>
      <c r="P807" s="5"/>
    </row>
    <row r="808" spans="1:16">
      <c r="A808" t="str">
        <f t="shared" si="11"/>
        <v/>
      </c>
      <c r="P808" s="5"/>
    </row>
    <row r="809" spans="1:16">
      <c r="A809" t="str">
        <f t="shared" si="11"/>
        <v xml:space="preserve">OS202 Sports Field (Sampled) </v>
      </c>
      <c r="B809" t="s">
        <v>20</v>
      </c>
      <c r="C809" t="s">
        <v>21</v>
      </c>
      <c r="P809" s="5"/>
    </row>
    <row r="810" spans="1:16">
      <c r="A810" t="str">
        <f t="shared" si="11"/>
        <v xml:space="preserve">OS202MONTH </v>
      </c>
      <c r="B810" t="s">
        <v>22</v>
      </c>
      <c r="C810" t="s">
        <v>123</v>
      </c>
      <c r="D810" s="4">
        <v>40909</v>
      </c>
      <c r="E810" s="4">
        <v>40940</v>
      </c>
      <c r="F810" s="4">
        <v>40969</v>
      </c>
      <c r="G810" s="4">
        <v>41000</v>
      </c>
      <c r="H810" s="4">
        <v>41030</v>
      </c>
      <c r="I810" s="4">
        <v>41061</v>
      </c>
      <c r="J810" s="4">
        <v>41091</v>
      </c>
      <c r="K810" s="4">
        <v>41122</v>
      </c>
      <c r="L810" s="4">
        <v>41153</v>
      </c>
      <c r="M810" s="4">
        <v>41183</v>
      </c>
      <c r="N810" s="4">
        <v>41214</v>
      </c>
      <c r="O810" s="4">
        <v>41244</v>
      </c>
    </row>
    <row r="811" spans="1:16">
      <c r="A811" t="str">
        <f t="shared" si="11"/>
        <v xml:space="preserve">OS202CUSTOMERS </v>
      </c>
      <c r="B811" t="s">
        <v>22</v>
      </c>
      <c r="C811" t="s">
        <v>124</v>
      </c>
      <c r="D811">
        <v>185</v>
      </c>
      <c r="E811">
        <v>185</v>
      </c>
      <c r="F811">
        <v>185</v>
      </c>
      <c r="G811">
        <v>184</v>
      </c>
      <c r="H811">
        <v>184</v>
      </c>
      <c r="I811">
        <v>184</v>
      </c>
      <c r="J811">
        <v>184</v>
      </c>
      <c r="K811">
        <v>184</v>
      </c>
      <c r="L811">
        <v>184</v>
      </c>
      <c r="M811">
        <v>184</v>
      </c>
      <c r="N811">
        <v>184</v>
      </c>
      <c r="O811">
        <v>185</v>
      </c>
      <c r="P811" s="5"/>
    </row>
    <row r="812" spans="1:16">
      <c r="A812" t="str">
        <f t="shared" si="11"/>
        <v xml:space="preserve">OS202SALES </v>
      </c>
      <c r="B812" t="s">
        <v>22</v>
      </c>
      <c r="C812" t="s">
        <v>125</v>
      </c>
      <c r="D812">
        <v>1022726</v>
      </c>
      <c r="E812">
        <v>1059960</v>
      </c>
      <c r="F812">
        <v>1158236</v>
      </c>
      <c r="G812">
        <v>1042360</v>
      </c>
      <c r="H812">
        <v>858877</v>
      </c>
      <c r="I812">
        <v>860869</v>
      </c>
      <c r="J812">
        <v>753136</v>
      </c>
      <c r="K812">
        <v>803701</v>
      </c>
      <c r="L812">
        <v>891962</v>
      </c>
      <c r="M812">
        <v>1076211</v>
      </c>
      <c r="N812">
        <v>1122975</v>
      </c>
      <c r="O812">
        <v>1151684</v>
      </c>
      <c r="P812" s="5"/>
    </row>
    <row r="813" spans="1:16">
      <c r="A813" t="str">
        <f t="shared" si="11"/>
        <v>OS202KW</v>
      </c>
      <c r="B813" t="s">
        <v>22</v>
      </c>
      <c r="C813" t="s">
        <v>126</v>
      </c>
      <c r="P813" s="5"/>
    </row>
    <row r="814" spans="1:16">
      <c r="A814" t="str">
        <f t="shared" si="11"/>
        <v>OS202N</v>
      </c>
      <c r="B814" t="s">
        <v>22</v>
      </c>
      <c r="C814" t="s">
        <v>127</v>
      </c>
      <c r="D814">
        <v>185</v>
      </c>
      <c r="E814">
        <v>185</v>
      </c>
      <c r="F814">
        <v>185</v>
      </c>
      <c r="G814">
        <v>184</v>
      </c>
      <c r="H814">
        <v>184</v>
      </c>
      <c r="I814">
        <v>184</v>
      </c>
      <c r="J814">
        <v>184</v>
      </c>
      <c r="K814">
        <v>184</v>
      </c>
      <c r="L814">
        <v>184</v>
      </c>
      <c r="M814">
        <v>184</v>
      </c>
      <c r="N814">
        <v>184</v>
      </c>
      <c r="O814">
        <v>185</v>
      </c>
      <c r="P814" s="5"/>
    </row>
    <row r="815" spans="1:16">
      <c r="A815" t="str">
        <f t="shared" si="11"/>
        <v>OS202RLR ENERGY:</v>
      </c>
      <c r="B815" t="s">
        <v>22</v>
      </c>
      <c r="C815" t="s">
        <v>61</v>
      </c>
      <c r="P815" s="5"/>
    </row>
    <row r="816" spans="1:16">
      <c r="A816" t="str">
        <f t="shared" si="11"/>
        <v>OS202KWH</v>
      </c>
      <c r="B816" t="s">
        <v>22</v>
      </c>
      <c r="C816" t="s">
        <v>128</v>
      </c>
      <c r="D816">
        <v>1022726</v>
      </c>
      <c r="E816">
        <v>1059960</v>
      </c>
      <c r="F816">
        <v>1158236</v>
      </c>
      <c r="G816">
        <v>1042364</v>
      </c>
      <c r="H816">
        <v>858877</v>
      </c>
      <c r="I816">
        <v>860869</v>
      </c>
      <c r="J816">
        <v>753434</v>
      </c>
      <c r="K816">
        <v>803701</v>
      </c>
      <c r="L816">
        <v>891962</v>
      </c>
      <c r="M816">
        <v>1076211</v>
      </c>
      <c r="N816">
        <v>1122975</v>
      </c>
      <c r="O816">
        <v>1151684</v>
      </c>
      <c r="P816" s="5"/>
    </row>
    <row r="817" spans="1:16">
      <c r="A817" t="str">
        <f t="shared" si="11"/>
        <v>OS202KWH ONPK</v>
      </c>
      <c r="B817" t="s">
        <v>22</v>
      </c>
      <c r="C817" t="s">
        <v>129</v>
      </c>
      <c r="D817">
        <v>560147</v>
      </c>
      <c r="E817">
        <v>633176</v>
      </c>
      <c r="F817">
        <v>616431</v>
      </c>
      <c r="G817">
        <v>454066</v>
      </c>
      <c r="H817">
        <v>358019</v>
      </c>
      <c r="I817">
        <v>320378</v>
      </c>
      <c r="J817">
        <v>258777</v>
      </c>
      <c r="K817">
        <v>318016</v>
      </c>
      <c r="L817">
        <v>375515</v>
      </c>
      <c r="M817">
        <v>554547</v>
      </c>
      <c r="N817">
        <v>605630</v>
      </c>
      <c r="O817">
        <v>526704</v>
      </c>
      <c r="P817" s="5"/>
    </row>
    <row r="818" spans="1:16">
      <c r="A818" t="str">
        <f t="shared" si="11"/>
        <v>OS202KWH OFFPK</v>
      </c>
      <c r="B818" t="s">
        <v>22</v>
      </c>
      <c r="C818" t="s">
        <v>130</v>
      </c>
      <c r="D818">
        <v>462579</v>
      </c>
      <c r="E818">
        <v>426784</v>
      </c>
      <c r="F818">
        <v>541805</v>
      </c>
      <c r="G818">
        <v>588298</v>
      </c>
      <c r="H818">
        <v>500858</v>
      </c>
      <c r="I818">
        <v>540491</v>
      </c>
      <c r="J818">
        <v>494656</v>
      </c>
      <c r="K818">
        <v>485685</v>
      </c>
      <c r="L818">
        <v>516447</v>
      </c>
      <c r="M818">
        <v>521664</v>
      </c>
      <c r="N818">
        <v>517345</v>
      </c>
      <c r="O818">
        <v>624980</v>
      </c>
    </row>
    <row r="819" spans="1:16">
      <c r="A819" t="str">
        <f t="shared" si="11"/>
        <v>OS202KWH ONPK%</v>
      </c>
      <c r="B819" t="s">
        <v>22</v>
      </c>
      <c r="C819" t="s">
        <v>131</v>
      </c>
      <c r="D819" s="5">
        <v>0.54769999999999996</v>
      </c>
      <c r="E819" s="5">
        <v>0.59736</v>
      </c>
      <c r="F819" s="5">
        <v>0.53222000000000003</v>
      </c>
      <c r="G819" s="5">
        <v>0.43561</v>
      </c>
      <c r="H819" s="5">
        <v>0.41685</v>
      </c>
      <c r="I819" s="5">
        <v>0.37215999999999999</v>
      </c>
      <c r="J819" s="5">
        <v>0.34345999999999999</v>
      </c>
      <c r="K819" s="5">
        <v>0.39568999999999999</v>
      </c>
      <c r="L819" s="5">
        <v>0.42099999999999999</v>
      </c>
      <c r="M819" s="5">
        <v>0.51527999999999996</v>
      </c>
      <c r="N819" s="5">
        <v>0.53930999999999996</v>
      </c>
      <c r="O819" s="5">
        <v>0.45733000000000001</v>
      </c>
    </row>
    <row r="820" spans="1:16">
      <c r="A820" t="str">
        <f t="shared" si="11"/>
        <v>OS202KWH OFFPK%</v>
      </c>
      <c r="B820" t="s">
        <v>22</v>
      </c>
      <c r="C820" t="s">
        <v>132</v>
      </c>
      <c r="D820" s="5">
        <v>0.45229999999999998</v>
      </c>
      <c r="E820" s="5">
        <v>0.40264</v>
      </c>
      <c r="F820" s="5">
        <v>0.46777999999999997</v>
      </c>
      <c r="G820" s="5">
        <v>0.56438999999999995</v>
      </c>
      <c r="H820" s="5">
        <v>0.58314999999999995</v>
      </c>
      <c r="I820" s="5">
        <v>0.62783999999999995</v>
      </c>
      <c r="J820" s="5">
        <v>0.65654000000000001</v>
      </c>
      <c r="K820" s="5">
        <v>0.60431000000000001</v>
      </c>
      <c r="L820" s="5">
        <v>0.57899999999999996</v>
      </c>
      <c r="M820" s="5">
        <v>0.48471999999999998</v>
      </c>
      <c r="N820" s="5">
        <v>0.46068999999999999</v>
      </c>
      <c r="O820" s="5">
        <v>0.54266999999999999</v>
      </c>
    </row>
    <row r="821" spans="1:16">
      <c r="A821" t="str">
        <f t="shared" si="11"/>
        <v>OS202DEMAND (KW):</v>
      </c>
      <c r="B821" t="s">
        <v>22</v>
      </c>
      <c r="C821" t="s">
        <v>62</v>
      </c>
    </row>
    <row r="822" spans="1:16">
      <c r="A822" t="str">
        <f t="shared" ref="A822:A885" si="12">B822&amp;C822</f>
        <v>OS202NCP</v>
      </c>
      <c r="B822" t="s">
        <v>22</v>
      </c>
      <c r="C822" t="s">
        <v>133</v>
      </c>
      <c r="D822">
        <v>14025</v>
      </c>
      <c r="E822">
        <v>14580</v>
      </c>
      <c r="F822">
        <v>15515</v>
      </c>
      <c r="G822">
        <v>16881</v>
      </c>
      <c r="H822">
        <v>14043</v>
      </c>
      <c r="I822">
        <v>12790</v>
      </c>
      <c r="J822">
        <v>9957</v>
      </c>
      <c r="K822">
        <v>11026</v>
      </c>
      <c r="L822">
        <v>14487</v>
      </c>
      <c r="M822">
        <v>15125</v>
      </c>
      <c r="N822">
        <v>14665</v>
      </c>
      <c r="O822">
        <v>16497</v>
      </c>
    </row>
    <row r="823" spans="1:16">
      <c r="A823" t="str">
        <f t="shared" si="12"/>
        <v>OS202NCP ONPK</v>
      </c>
      <c r="B823" t="s">
        <v>22</v>
      </c>
      <c r="C823" t="s">
        <v>134</v>
      </c>
      <c r="D823">
        <v>13669</v>
      </c>
      <c r="E823">
        <v>14203</v>
      </c>
      <c r="F823">
        <v>15135</v>
      </c>
      <c r="G823">
        <v>16296</v>
      </c>
      <c r="H823">
        <v>13605</v>
      </c>
      <c r="I823">
        <v>12159</v>
      </c>
      <c r="J823">
        <v>9596</v>
      </c>
      <c r="K823">
        <v>10525</v>
      </c>
      <c r="L823">
        <v>13692</v>
      </c>
      <c r="M823">
        <v>14964</v>
      </c>
      <c r="N823">
        <v>14348</v>
      </c>
      <c r="O823">
        <v>15507</v>
      </c>
    </row>
    <row r="824" spans="1:16">
      <c r="A824" t="str">
        <f t="shared" si="12"/>
        <v>OS202NCP OFFPK</v>
      </c>
      <c r="B824" t="s">
        <v>22</v>
      </c>
      <c r="C824" t="s">
        <v>135</v>
      </c>
      <c r="D824">
        <v>10528</v>
      </c>
      <c r="E824">
        <v>9799</v>
      </c>
      <c r="F824">
        <v>10591</v>
      </c>
      <c r="G824">
        <v>13033</v>
      </c>
      <c r="H824">
        <v>11336</v>
      </c>
      <c r="I824">
        <v>10151</v>
      </c>
      <c r="J824">
        <v>7990</v>
      </c>
      <c r="K824">
        <v>9164</v>
      </c>
      <c r="L824">
        <v>11205</v>
      </c>
      <c r="M824">
        <v>11442</v>
      </c>
      <c r="N824">
        <v>12176</v>
      </c>
      <c r="O824">
        <v>14048</v>
      </c>
    </row>
    <row r="825" spans="1:16">
      <c r="A825" t="str">
        <f t="shared" si="12"/>
        <v>OS202GCP DATE</v>
      </c>
      <c r="B825" t="s">
        <v>22</v>
      </c>
      <c r="C825" t="s">
        <v>136</v>
      </c>
      <c r="D825" t="s">
        <v>970</v>
      </c>
      <c r="E825" t="s">
        <v>915</v>
      </c>
      <c r="F825" t="s">
        <v>971</v>
      </c>
      <c r="G825" t="s">
        <v>241</v>
      </c>
      <c r="H825" t="s">
        <v>933</v>
      </c>
      <c r="I825" t="s">
        <v>139</v>
      </c>
      <c r="J825" t="s">
        <v>208</v>
      </c>
      <c r="K825" t="s">
        <v>140</v>
      </c>
      <c r="L825" t="s">
        <v>209</v>
      </c>
      <c r="M825" t="s">
        <v>180</v>
      </c>
      <c r="N825" t="s">
        <v>181</v>
      </c>
      <c r="O825" t="s">
        <v>972</v>
      </c>
    </row>
    <row r="826" spans="1:16">
      <c r="A826" t="str">
        <f t="shared" si="12"/>
        <v>OS202GCP TIME</v>
      </c>
      <c r="B826" t="s">
        <v>22</v>
      </c>
      <c r="C826" t="s">
        <v>142</v>
      </c>
      <c r="D826" t="s">
        <v>237</v>
      </c>
      <c r="E826" t="s">
        <v>237</v>
      </c>
      <c r="F826" t="s">
        <v>237</v>
      </c>
      <c r="G826" t="s">
        <v>215</v>
      </c>
      <c r="H826" t="s">
        <v>215</v>
      </c>
      <c r="I826" t="s">
        <v>215</v>
      </c>
      <c r="J826" t="s">
        <v>215</v>
      </c>
      <c r="K826" t="s">
        <v>215</v>
      </c>
      <c r="L826" t="s">
        <v>237</v>
      </c>
      <c r="M826" t="s">
        <v>237</v>
      </c>
      <c r="N826" t="s">
        <v>237</v>
      </c>
      <c r="O826" t="s">
        <v>237</v>
      </c>
    </row>
    <row r="827" spans="1:16">
      <c r="A827" t="str">
        <f t="shared" si="12"/>
        <v>OS202GCP</v>
      </c>
      <c r="B827" t="s">
        <v>22</v>
      </c>
      <c r="C827" t="s">
        <v>147</v>
      </c>
      <c r="D827">
        <v>9482</v>
      </c>
      <c r="E827">
        <v>11364</v>
      </c>
      <c r="F827">
        <v>12039</v>
      </c>
      <c r="G827">
        <v>10789</v>
      </c>
      <c r="H827">
        <v>7933</v>
      </c>
      <c r="I827">
        <v>6759</v>
      </c>
      <c r="J827">
        <v>5244</v>
      </c>
      <c r="K827">
        <v>6382</v>
      </c>
      <c r="L827">
        <v>9393</v>
      </c>
      <c r="M827">
        <v>10818</v>
      </c>
      <c r="N827">
        <v>11047</v>
      </c>
      <c r="O827">
        <v>10729</v>
      </c>
    </row>
    <row r="828" spans="1:16">
      <c r="A828" t="str">
        <f t="shared" si="12"/>
        <v>OS202GCP ONPK</v>
      </c>
      <c r="B828" t="s">
        <v>22</v>
      </c>
      <c r="C828" t="s">
        <v>63</v>
      </c>
      <c r="D828">
        <v>9482</v>
      </c>
      <c r="E828">
        <v>11364</v>
      </c>
      <c r="F828">
        <v>12039</v>
      </c>
      <c r="G828">
        <v>10789</v>
      </c>
      <c r="H828">
        <v>7933</v>
      </c>
      <c r="I828">
        <v>6759</v>
      </c>
      <c r="J828">
        <v>5244</v>
      </c>
      <c r="K828">
        <v>6382</v>
      </c>
      <c r="L828">
        <v>9393</v>
      </c>
      <c r="M828">
        <v>10818</v>
      </c>
      <c r="N828">
        <v>11047</v>
      </c>
      <c r="O828">
        <v>10729</v>
      </c>
    </row>
    <row r="829" spans="1:16">
      <c r="A829" t="str">
        <f t="shared" si="12"/>
        <v>OS202GCP OFFPK</v>
      </c>
      <c r="B829" t="s">
        <v>22</v>
      </c>
      <c r="C829" t="s">
        <v>64</v>
      </c>
      <c r="D829">
        <v>4365</v>
      </c>
      <c r="E829">
        <v>3441</v>
      </c>
      <c r="F829">
        <v>3959</v>
      </c>
      <c r="G829">
        <v>6471</v>
      </c>
      <c r="H829">
        <v>5188</v>
      </c>
      <c r="I829">
        <v>4561</v>
      </c>
      <c r="J829">
        <v>3454</v>
      </c>
      <c r="K829">
        <v>4634</v>
      </c>
      <c r="L829">
        <v>5452</v>
      </c>
      <c r="M829">
        <v>5011</v>
      </c>
      <c r="N829">
        <v>5848</v>
      </c>
      <c r="O829">
        <v>6890</v>
      </c>
    </row>
    <row r="830" spans="1:16">
      <c r="A830" t="str">
        <f t="shared" si="12"/>
        <v>OS202CP</v>
      </c>
      <c r="B830" t="s">
        <v>22</v>
      </c>
      <c r="C830" t="s">
        <v>148</v>
      </c>
      <c r="D830">
        <v>602</v>
      </c>
      <c r="E830">
        <v>666</v>
      </c>
      <c r="F830">
        <v>1036</v>
      </c>
      <c r="G830">
        <v>1213</v>
      </c>
      <c r="H830">
        <v>896</v>
      </c>
      <c r="I830">
        <v>903</v>
      </c>
      <c r="J830">
        <v>814</v>
      </c>
      <c r="K830">
        <v>880</v>
      </c>
      <c r="L830">
        <v>856</v>
      </c>
      <c r="M830">
        <v>943</v>
      </c>
      <c r="N830">
        <v>7168</v>
      </c>
      <c r="O830">
        <v>8883</v>
      </c>
      <c r="P830" s="4"/>
    </row>
    <row r="831" spans="1:16">
      <c r="A831" t="str">
        <f t="shared" si="12"/>
        <v>OS202PERIOD START</v>
      </c>
      <c r="B831" t="s">
        <v>22</v>
      </c>
      <c r="C831" t="s">
        <v>149</v>
      </c>
      <c r="D831" s="1">
        <v>40909</v>
      </c>
      <c r="E831" s="1">
        <v>40940</v>
      </c>
      <c r="F831" s="1">
        <v>40969</v>
      </c>
      <c r="G831" s="1">
        <v>41000</v>
      </c>
      <c r="H831" s="1">
        <v>41030</v>
      </c>
      <c r="I831" s="1">
        <v>41061</v>
      </c>
      <c r="J831" s="1">
        <v>41091</v>
      </c>
      <c r="K831" s="1">
        <v>41122</v>
      </c>
      <c r="L831" s="1">
        <v>41153</v>
      </c>
      <c r="M831" s="1">
        <v>41183</v>
      </c>
      <c r="N831" s="1">
        <v>41214</v>
      </c>
      <c r="O831" s="1">
        <v>41244</v>
      </c>
    </row>
    <row r="832" spans="1:16">
      <c r="A832" t="str">
        <f t="shared" si="12"/>
        <v>OS202NCP LF</v>
      </c>
      <c r="B832" t="s">
        <v>22</v>
      </c>
      <c r="C832" t="s">
        <v>150</v>
      </c>
      <c r="D832" s="5">
        <v>9.8000000000000004E-2</v>
      </c>
      <c r="E832" s="5">
        <v>0.1045</v>
      </c>
      <c r="F832" s="5">
        <v>0.1003</v>
      </c>
      <c r="G832" s="5">
        <v>8.5800000000000001E-2</v>
      </c>
      <c r="H832" s="5">
        <v>8.2199999999999995E-2</v>
      </c>
      <c r="I832" s="5">
        <v>9.35E-2</v>
      </c>
      <c r="J832" s="5">
        <v>0.1017</v>
      </c>
      <c r="K832" s="5">
        <v>9.8000000000000004E-2</v>
      </c>
      <c r="L832" s="5">
        <v>8.5500000000000007E-2</v>
      </c>
      <c r="M832" s="5">
        <v>9.5600000000000004E-2</v>
      </c>
      <c r="N832" s="5">
        <v>0.10639999999999999</v>
      </c>
      <c r="O832" s="5">
        <v>9.3799999999999994E-2</v>
      </c>
    </row>
    <row r="833" spans="1:16">
      <c r="A833" t="str">
        <f t="shared" si="12"/>
        <v>OS202NCP LF ONPK</v>
      </c>
      <c r="B833" t="s">
        <v>22</v>
      </c>
      <c r="C833" t="s">
        <v>151</v>
      </c>
      <c r="D833" s="5">
        <v>0.24390000000000001</v>
      </c>
      <c r="E833" s="5">
        <v>0.26540000000000002</v>
      </c>
      <c r="F833" s="5">
        <v>0.23139999999999999</v>
      </c>
      <c r="G833" s="5">
        <v>0.1474</v>
      </c>
      <c r="H833" s="5">
        <v>0.13289999999999999</v>
      </c>
      <c r="I833" s="5">
        <v>0.1394</v>
      </c>
      <c r="J833" s="5">
        <v>0.14269999999999999</v>
      </c>
      <c r="K833" s="5">
        <v>0.14599999999999999</v>
      </c>
      <c r="L833" s="5">
        <v>0.16039999999999999</v>
      </c>
      <c r="M833" s="5">
        <v>0.17899999999999999</v>
      </c>
      <c r="N833" s="5">
        <v>0.25130000000000002</v>
      </c>
      <c r="O833" s="5">
        <v>0.21229999999999999</v>
      </c>
    </row>
    <row r="834" spans="1:16">
      <c r="A834" t="str">
        <f t="shared" si="12"/>
        <v>OS202NCP LF OFFPK</v>
      </c>
      <c r="B834" t="s">
        <v>22</v>
      </c>
      <c r="C834" t="s">
        <v>152</v>
      </c>
      <c r="D834" s="5">
        <v>7.6300000000000007E-2</v>
      </c>
      <c r="E834" s="5">
        <v>8.2500000000000004E-2</v>
      </c>
      <c r="F834" s="5">
        <v>9.01E-2</v>
      </c>
      <c r="G834" s="5">
        <v>8.5000000000000006E-2</v>
      </c>
      <c r="H834" s="5">
        <v>8.09E-2</v>
      </c>
      <c r="I834" s="5">
        <v>0.1003</v>
      </c>
      <c r="J834" s="5">
        <v>0.1116</v>
      </c>
      <c r="K834" s="5">
        <v>9.8699999999999996E-2</v>
      </c>
      <c r="L834" s="5">
        <v>8.4000000000000005E-2</v>
      </c>
      <c r="M834" s="5">
        <v>8.4900000000000003E-2</v>
      </c>
      <c r="N834" s="5">
        <v>7.6999999999999999E-2</v>
      </c>
      <c r="O834" s="5">
        <v>7.6200000000000004E-2</v>
      </c>
    </row>
    <row r="835" spans="1:16">
      <c r="A835" t="str">
        <f t="shared" si="12"/>
        <v>OS202GCP CF</v>
      </c>
      <c r="B835" t="s">
        <v>22</v>
      </c>
      <c r="C835" t="s">
        <v>153</v>
      </c>
      <c r="D835" s="5">
        <v>0.67610000000000003</v>
      </c>
      <c r="E835" s="5">
        <v>0.77949999999999997</v>
      </c>
      <c r="F835" s="5">
        <v>0.77590000000000003</v>
      </c>
      <c r="G835" s="5">
        <v>0.6391</v>
      </c>
      <c r="H835" s="5">
        <v>0.56489999999999996</v>
      </c>
      <c r="I835" s="5">
        <v>0.52849999999999997</v>
      </c>
      <c r="J835" s="5">
        <v>0.52669999999999995</v>
      </c>
      <c r="K835" s="5">
        <v>0.57879999999999998</v>
      </c>
      <c r="L835" s="5">
        <v>0.64839999999999998</v>
      </c>
      <c r="M835" s="5">
        <v>0.71519999999999995</v>
      </c>
      <c r="N835" s="5">
        <v>0.75319999999999998</v>
      </c>
      <c r="O835" s="5">
        <v>0.65039999999999998</v>
      </c>
    </row>
    <row r="836" spans="1:16">
      <c r="A836" t="str">
        <f t="shared" si="12"/>
        <v>OS202CP CF</v>
      </c>
      <c r="B836" t="s">
        <v>22</v>
      </c>
      <c r="C836" t="s">
        <v>154</v>
      </c>
      <c r="D836" s="5">
        <v>4.2900000000000001E-2</v>
      </c>
      <c r="E836" s="5">
        <v>4.5699999999999998E-2</v>
      </c>
      <c r="F836" s="5">
        <v>6.6799999999999998E-2</v>
      </c>
      <c r="G836" s="5">
        <v>7.1900000000000006E-2</v>
      </c>
      <c r="H836" s="5">
        <v>6.3799999999999996E-2</v>
      </c>
      <c r="I836" s="5">
        <v>7.0599999999999996E-2</v>
      </c>
      <c r="J836" s="5">
        <v>8.1799999999999998E-2</v>
      </c>
      <c r="K836" s="5">
        <v>7.9799999999999996E-2</v>
      </c>
      <c r="L836" s="5">
        <v>5.91E-2</v>
      </c>
      <c r="M836" s="5">
        <v>6.2300000000000001E-2</v>
      </c>
      <c r="N836" s="5">
        <v>0.48870000000000002</v>
      </c>
      <c r="O836" s="5">
        <v>0.53849999999999998</v>
      </c>
      <c r="P836" s="91"/>
    </row>
    <row r="837" spans="1:16">
      <c r="A837" t="str">
        <f t="shared" si="12"/>
        <v>OS202GCP LF</v>
      </c>
      <c r="B837" t="s">
        <v>22</v>
      </c>
      <c r="C837" t="s">
        <v>155</v>
      </c>
      <c r="D837" s="5">
        <v>0.14499999999999999</v>
      </c>
      <c r="E837" s="5">
        <v>0.13400000000000001</v>
      </c>
      <c r="F837" s="5">
        <v>0.1293</v>
      </c>
      <c r="G837" s="5">
        <v>0.13420000000000001</v>
      </c>
      <c r="H837" s="5">
        <v>0.14549999999999999</v>
      </c>
      <c r="I837" s="5">
        <v>0.1769</v>
      </c>
      <c r="J837" s="5">
        <v>0.19309999999999999</v>
      </c>
      <c r="K837" s="5">
        <v>0.16930000000000001</v>
      </c>
      <c r="L837" s="5">
        <v>0.13189999999999999</v>
      </c>
      <c r="M837" s="5">
        <v>0.13370000000000001</v>
      </c>
      <c r="N837" s="5">
        <v>0.14119999999999999</v>
      </c>
      <c r="O837" s="5">
        <v>0.14430000000000001</v>
      </c>
    </row>
    <row r="838" spans="1:16">
      <c r="A838" t="str">
        <f t="shared" si="12"/>
        <v>OS202GCP LF ONPK</v>
      </c>
      <c r="B838" t="s">
        <v>22</v>
      </c>
      <c r="C838" t="s">
        <v>156</v>
      </c>
      <c r="D838" s="5">
        <v>0.35160000000000002</v>
      </c>
      <c r="E838" s="5">
        <v>0.33160000000000001</v>
      </c>
      <c r="F838" s="5">
        <v>0.29089999999999999</v>
      </c>
      <c r="G838" s="5">
        <v>0.22270000000000001</v>
      </c>
      <c r="H838" s="5">
        <v>0.22789999999999999</v>
      </c>
      <c r="I838" s="5">
        <v>0.25080000000000002</v>
      </c>
      <c r="J838" s="5">
        <v>0.2611</v>
      </c>
      <c r="K838" s="5">
        <v>0.2407</v>
      </c>
      <c r="L838" s="5">
        <v>0.23380000000000001</v>
      </c>
      <c r="M838" s="5">
        <v>0.24759999999999999</v>
      </c>
      <c r="N838" s="5">
        <v>0.32629999999999998</v>
      </c>
      <c r="O838" s="5">
        <v>0.30680000000000002</v>
      </c>
    </row>
    <row r="839" spans="1:16">
      <c r="A839" t="str">
        <f t="shared" si="12"/>
        <v>OS202GCP LF OFFPK</v>
      </c>
      <c r="B839" t="s">
        <v>22</v>
      </c>
      <c r="C839" t="s">
        <v>157</v>
      </c>
      <c r="D839" s="5">
        <v>0.184</v>
      </c>
      <c r="E839" s="5">
        <v>0.2349</v>
      </c>
      <c r="F839" s="5">
        <v>0.2409</v>
      </c>
      <c r="G839" s="5">
        <v>0.17119999999999999</v>
      </c>
      <c r="H839" s="5">
        <v>0.17680000000000001</v>
      </c>
      <c r="I839" s="5">
        <v>0.22320000000000001</v>
      </c>
      <c r="J839" s="5">
        <v>0.2581</v>
      </c>
      <c r="K839" s="5">
        <v>0.19520000000000001</v>
      </c>
      <c r="L839" s="5">
        <v>0.17249999999999999</v>
      </c>
      <c r="M839" s="5">
        <v>0.19389999999999999</v>
      </c>
      <c r="N839" s="5">
        <v>0.1603</v>
      </c>
      <c r="O839" s="5">
        <v>0.15529999999999999</v>
      </c>
      <c r="P839" s="5"/>
    </row>
    <row r="840" spans="1:16">
      <c r="A840" t="str">
        <f t="shared" si="12"/>
        <v>OS202CP LF</v>
      </c>
      <c r="B840" t="s">
        <v>22</v>
      </c>
      <c r="C840" t="s">
        <v>158</v>
      </c>
      <c r="D840" s="5">
        <v>2.2843</v>
      </c>
      <c r="E840" s="5">
        <v>2.2865000000000002</v>
      </c>
      <c r="F840" s="5">
        <v>1.5029999999999999</v>
      </c>
      <c r="G840" s="5">
        <v>1.1936</v>
      </c>
      <c r="H840" s="5">
        <v>1.2886</v>
      </c>
      <c r="I840" s="5">
        <v>1.3239000000000001</v>
      </c>
      <c r="J840" s="5">
        <v>1.2437</v>
      </c>
      <c r="K840" s="5">
        <v>1.2279</v>
      </c>
      <c r="L840" s="5">
        <v>1.4471000000000001</v>
      </c>
      <c r="M840" s="5">
        <v>1.5346</v>
      </c>
      <c r="N840" s="5">
        <v>0.21759999999999999</v>
      </c>
      <c r="O840" s="5">
        <v>0.17430000000000001</v>
      </c>
      <c r="P840" s="5"/>
    </row>
    <row r="841" spans="1:16">
      <c r="A841" t="str">
        <f t="shared" si="12"/>
        <v>OS202REL PREC:</v>
      </c>
      <c r="B841" t="s">
        <v>22</v>
      </c>
      <c r="C841" t="s">
        <v>65</v>
      </c>
    </row>
    <row r="842" spans="1:16">
      <c r="A842" t="str">
        <f t="shared" si="12"/>
        <v>OS202NCP RP</v>
      </c>
      <c r="B842" t="s">
        <v>22</v>
      </c>
      <c r="C842" t="s">
        <v>159</v>
      </c>
      <c r="D842" s="5">
        <v>0.113</v>
      </c>
      <c r="E842" s="5">
        <v>9.3799999999999994E-2</v>
      </c>
      <c r="F842" s="5">
        <v>8.8999999999999996E-2</v>
      </c>
      <c r="G842" s="5">
        <v>7.5899999999999995E-2</v>
      </c>
      <c r="H842" s="5">
        <v>0.1226</v>
      </c>
      <c r="I842" s="5">
        <v>0.13519999999999999</v>
      </c>
      <c r="J842" s="5">
        <v>0.19919999999999999</v>
      </c>
      <c r="K842" s="5">
        <v>0.17169999999999999</v>
      </c>
      <c r="L842" s="5">
        <v>0.13170000000000001</v>
      </c>
      <c r="M842" s="5">
        <v>9.1600000000000001E-2</v>
      </c>
      <c r="N842" s="5">
        <v>9.4799999999999995E-2</v>
      </c>
      <c r="O842" s="5">
        <v>9.4399999999999998E-2</v>
      </c>
      <c r="P842" s="89"/>
    </row>
    <row r="843" spans="1:16">
      <c r="A843" t="str">
        <f t="shared" si="12"/>
        <v>OS202NCP RP ONPK</v>
      </c>
      <c r="B843" t="s">
        <v>22</v>
      </c>
      <c r="C843" t="s">
        <v>160</v>
      </c>
      <c r="D843" s="5">
        <v>0.11210000000000001</v>
      </c>
      <c r="E843" s="5">
        <v>9.4E-2</v>
      </c>
      <c r="F843" s="5">
        <v>8.8900000000000007E-2</v>
      </c>
      <c r="G843" s="5">
        <v>7.6600000000000001E-2</v>
      </c>
      <c r="H843" s="5">
        <v>0.123</v>
      </c>
      <c r="I843" s="5">
        <v>0.13489999999999999</v>
      </c>
      <c r="J843" s="5">
        <v>0.19969999999999999</v>
      </c>
      <c r="K843" s="5">
        <v>0.1774</v>
      </c>
      <c r="L843" s="5">
        <v>0.13139999999999999</v>
      </c>
      <c r="M843" s="5">
        <v>9.1200000000000003E-2</v>
      </c>
      <c r="N843" s="5">
        <v>9.3799999999999994E-2</v>
      </c>
      <c r="O843" s="5">
        <v>9.6199999999999994E-2</v>
      </c>
    </row>
    <row r="844" spans="1:16">
      <c r="A844" t="str">
        <f t="shared" si="12"/>
        <v>OS202NCP RP OFFPK</v>
      </c>
      <c r="B844" t="s">
        <v>22</v>
      </c>
      <c r="C844" t="s">
        <v>161</v>
      </c>
      <c r="D844" s="5">
        <v>0.1081</v>
      </c>
      <c r="E844" s="5">
        <v>0.1014</v>
      </c>
      <c r="F844" s="5">
        <v>9.2499999999999999E-2</v>
      </c>
      <c r="G844" s="5">
        <v>7.8100000000000003E-2</v>
      </c>
      <c r="H844" s="5">
        <v>0.1285</v>
      </c>
      <c r="I844" s="5">
        <v>0.13489999999999999</v>
      </c>
      <c r="J844" s="5">
        <v>0.20250000000000001</v>
      </c>
      <c r="K844" s="5">
        <v>0.1739</v>
      </c>
      <c r="L844" s="5">
        <v>0.1353</v>
      </c>
      <c r="M844" s="5">
        <v>9.9000000000000005E-2</v>
      </c>
      <c r="N844" s="5">
        <v>9.4500000000000001E-2</v>
      </c>
      <c r="O844" s="5">
        <v>9.2999999999999999E-2</v>
      </c>
    </row>
    <row r="845" spans="1:16">
      <c r="A845" t="str">
        <f t="shared" si="12"/>
        <v>OS202GCP RP</v>
      </c>
      <c r="B845" t="s">
        <v>22</v>
      </c>
      <c r="C845" t="s">
        <v>162</v>
      </c>
      <c r="D845" s="5">
        <v>0.1201</v>
      </c>
      <c r="E845" s="5">
        <v>0.1079</v>
      </c>
      <c r="F845" s="5">
        <v>0.1037</v>
      </c>
      <c r="G845" s="5">
        <v>9.1200000000000003E-2</v>
      </c>
      <c r="H845" s="5">
        <v>0.1595</v>
      </c>
      <c r="I845" s="5">
        <v>0.16170000000000001</v>
      </c>
      <c r="J845" s="5">
        <v>0.2424</v>
      </c>
      <c r="K845" s="5">
        <v>0.21160000000000001</v>
      </c>
      <c r="L845" s="5">
        <v>0.13819999999999999</v>
      </c>
      <c r="M845" s="5">
        <v>9.9199999999999997E-2</v>
      </c>
      <c r="N845" s="5">
        <v>9.9199999999999997E-2</v>
      </c>
      <c r="O845" s="5">
        <v>0.10050000000000001</v>
      </c>
    </row>
    <row r="846" spans="1:16">
      <c r="A846" t="str">
        <f t="shared" si="12"/>
        <v>OS202GCP RP ONPK</v>
      </c>
      <c r="B846" t="s">
        <v>22</v>
      </c>
      <c r="C846" t="s">
        <v>163</v>
      </c>
      <c r="D846" s="5">
        <v>0.1201</v>
      </c>
      <c r="E846" s="5">
        <v>0.1079</v>
      </c>
      <c r="F846" s="5">
        <v>0.1037</v>
      </c>
      <c r="G846" s="5">
        <v>9.1200000000000003E-2</v>
      </c>
      <c r="H846" s="5">
        <v>0.1595</v>
      </c>
      <c r="I846" s="5">
        <v>0.16170000000000001</v>
      </c>
      <c r="J846" s="5">
        <v>0.2424</v>
      </c>
      <c r="K846" s="5">
        <v>0.21160000000000001</v>
      </c>
      <c r="L846" s="5">
        <v>0.13819999999999999</v>
      </c>
      <c r="M846" s="5">
        <v>9.9199999999999997E-2</v>
      </c>
      <c r="N846" s="5">
        <v>9.9199999999999997E-2</v>
      </c>
      <c r="O846" s="5">
        <v>0.10050000000000001</v>
      </c>
    </row>
    <row r="847" spans="1:16">
      <c r="A847" t="str">
        <f t="shared" si="12"/>
        <v>OS202GCP RP OFFPK</v>
      </c>
      <c r="B847" t="s">
        <v>22</v>
      </c>
      <c r="C847" t="s">
        <v>164</v>
      </c>
      <c r="D847" s="5">
        <v>0.1726</v>
      </c>
      <c r="E847" s="5">
        <v>0.22370000000000001</v>
      </c>
      <c r="F847" s="5">
        <v>0.1888</v>
      </c>
      <c r="G847" s="5">
        <v>0.1244</v>
      </c>
      <c r="H847" s="5">
        <v>0.1704</v>
      </c>
      <c r="I847" s="5">
        <v>0.1933</v>
      </c>
      <c r="J847" s="5">
        <v>0.26419999999999999</v>
      </c>
      <c r="K847" s="5">
        <v>0.21759999999999999</v>
      </c>
      <c r="L847" s="5">
        <v>0.19139999999999999</v>
      </c>
      <c r="M847" s="5">
        <v>0.14810000000000001</v>
      </c>
      <c r="N847" s="5">
        <v>0.1071</v>
      </c>
      <c r="O847" s="5">
        <v>0.1089</v>
      </c>
      <c r="P847" s="87"/>
    </row>
    <row r="848" spans="1:16">
      <c r="A848" t="str">
        <f t="shared" si="12"/>
        <v>OS202CP RP</v>
      </c>
      <c r="B848" t="s">
        <v>22</v>
      </c>
      <c r="C848" t="s">
        <v>165</v>
      </c>
      <c r="D848" s="5">
        <v>0.30399999999999999</v>
      </c>
      <c r="E848" s="5">
        <v>0.2366</v>
      </c>
      <c r="F848" s="5">
        <v>0.3362</v>
      </c>
      <c r="G848" s="5">
        <v>0.19939999999999999</v>
      </c>
      <c r="H848" s="5">
        <v>0.23139999999999999</v>
      </c>
      <c r="I848" s="5">
        <v>0.1704</v>
      </c>
      <c r="J848" s="5">
        <v>0.15770000000000001</v>
      </c>
      <c r="K848" s="5">
        <v>0.2122</v>
      </c>
      <c r="L848" s="5">
        <v>0.2437</v>
      </c>
      <c r="M848" s="5">
        <v>0.25559999999999999</v>
      </c>
      <c r="N848" s="5">
        <v>0.1166</v>
      </c>
      <c r="O848" s="5">
        <v>0.11260000000000001</v>
      </c>
    </row>
    <row r="849" spans="1:16">
      <c r="A849" t="str">
        <f t="shared" si="12"/>
        <v>OS202SAMPLE SIZE:</v>
      </c>
      <c r="B849" t="s">
        <v>22</v>
      </c>
      <c r="C849" t="s">
        <v>66</v>
      </c>
    </row>
    <row r="850" spans="1:16">
      <c r="A850" t="str">
        <f t="shared" si="12"/>
        <v>OS202GCPSZ</v>
      </c>
      <c r="B850" t="s">
        <v>22</v>
      </c>
      <c r="C850" t="s">
        <v>166</v>
      </c>
      <c r="D850">
        <v>110</v>
      </c>
      <c r="E850">
        <v>109</v>
      </c>
      <c r="F850">
        <v>110</v>
      </c>
      <c r="G850">
        <v>110</v>
      </c>
      <c r="H850">
        <v>110</v>
      </c>
      <c r="I850">
        <v>110</v>
      </c>
      <c r="J850">
        <v>110</v>
      </c>
      <c r="K850">
        <v>110</v>
      </c>
      <c r="L850">
        <v>110</v>
      </c>
      <c r="M850">
        <v>110</v>
      </c>
      <c r="N850">
        <v>113</v>
      </c>
      <c r="O850">
        <v>110</v>
      </c>
      <c r="P850" s="83"/>
    </row>
    <row r="851" spans="1:16">
      <c r="A851" t="str">
        <f t="shared" si="12"/>
        <v>OS202GCPSZ ONPK</v>
      </c>
      <c r="B851" t="s">
        <v>22</v>
      </c>
      <c r="C851" t="s">
        <v>167</v>
      </c>
      <c r="D851">
        <v>110</v>
      </c>
      <c r="E851">
        <v>109</v>
      </c>
      <c r="F851">
        <v>110</v>
      </c>
      <c r="G851">
        <v>110</v>
      </c>
      <c r="H851">
        <v>110</v>
      </c>
      <c r="I851">
        <v>110</v>
      </c>
      <c r="J851">
        <v>110</v>
      </c>
      <c r="K851">
        <v>110</v>
      </c>
      <c r="L851">
        <v>110</v>
      </c>
      <c r="M851">
        <v>110</v>
      </c>
      <c r="N851">
        <v>113</v>
      </c>
      <c r="O851">
        <v>110</v>
      </c>
      <c r="P851" s="1"/>
    </row>
    <row r="852" spans="1:16">
      <c r="A852" t="str">
        <f t="shared" si="12"/>
        <v>OS202GCPSZ OFFPK</v>
      </c>
      <c r="B852" t="s">
        <v>22</v>
      </c>
      <c r="C852" t="s">
        <v>168</v>
      </c>
      <c r="D852">
        <v>110</v>
      </c>
      <c r="E852">
        <v>109</v>
      </c>
      <c r="F852">
        <v>110</v>
      </c>
      <c r="G852">
        <v>110</v>
      </c>
      <c r="H852">
        <v>110</v>
      </c>
      <c r="I852">
        <v>110</v>
      </c>
      <c r="J852">
        <v>110</v>
      </c>
      <c r="K852">
        <v>110</v>
      </c>
      <c r="L852">
        <v>110</v>
      </c>
      <c r="M852">
        <v>110</v>
      </c>
      <c r="N852">
        <v>113</v>
      </c>
      <c r="O852">
        <v>110</v>
      </c>
      <c r="P852" s="5"/>
    </row>
    <row r="853" spans="1:16">
      <c r="A853" t="str">
        <f t="shared" si="12"/>
        <v>OS202CPSZ</v>
      </c>
      <c r="B853" t="s">
        <v>22</v>
      </c>
      <c r="C853" t="s">
        <v>169</v>
      </c>
      <c r="D853">
        <v>110</v>
      </c>
      <c r="E853">
        <v>109</v>
      </c>
      <c r="F853">
        <v>110</v>
      </c>
      <c r="G853">
        <v>110</v>
      </c>
      <c r="H853">
        <v>110</v>
      </c>
      <c r="I853">
        <v>110</v>
      </c>
      <c r="J853">
        <v>110</v>
      </c>
      <c r="K853">
        <v>110</v>
      </c>
      <c r="L853">
        <v>110</v>
      </c>
      <c r="M853">
        <v>110</v>
      </c>
      <c r="N853">
        <v>113</v>
      </c>
      <c r="O853">
        <v>110</v>
      </c>
      <c r="P853" s="5"/>
    </row>
    <row r="854" spans="1:16">
      <c r="A854" t="str">
        <f t="shared" si="12"/>
        <v>OS202STD DEV OF R</v>
      </c>
      <c r="B854" t="s">
        <v>22</v>
      </c>
      <c r="C854" t="s">
        <v>170</v>
      </c>
      <c r="P854" s="5"/>
    </row>
    <row r="855" spans="1:16">
      <c r="A855" t="str">
        <f t="shared" si="12"/>
        <v>OS202SDR GCP</v>
      </c>
      <c r="B855" t="s">
        <v>22</v>
      </c>
      <c r="C855" t="s">
        <v>171</v>
      </c>
      <c r="D855">
        <v>61.643000000000001</v>
      </c>
      <c r="E855">
        <v>65.608999999999995</v>
      </c>
      <c r="F855">
        <v>67.569000000000003</v>
      </c>
      <c r="G855">
        <v>53.741999999999997</v>
      </c>
      <c r="H855">
        <v>69.138999999999996</v>
      </c>
      <c r="I855">
        <v>59.707000000000001</v>
      </c>
      <c r="J855">
        <v>69.44</v>
      </c>
      <c r="K855">
        <v>73.790999999999997</v>
      </c>
      <c r="L855">
        <v>70.918999999999997</v>
      </c>
      <c r="M855">
        <v>58.634</v>
      </c>
      <c r="N855">
        <v>61.963999999999999</v>
      </c>
      <c r="O855">
        <v>58.393999999999998</v>
      </c>
      <c r="P855" s="5"/>
    </row>
    <row r="856" spans="1:16">
      <c r="A856" t="str">
        <f t="shared" si="12"/>
        <v>OS202SDR GCP ONPK</v>
      </c>
      <c r="B856" t="s">
        <v>22</v>
      </c>
      <c r="C856" t="s">
        <v>172</v>
      </c>
      <c r="D856">
        <v>61.643000000000001</v>
      </c>
      <c r="E856">
        <v>65.608999999999995</v>
      </c>
      <c r="F856">
        <v>67.569000000000003</v>
      </c>
      <c r="G856">
        <v>53.741999999999997</v>
      </c>
      <c r="H856">
        <v>69.138999999999996</v>
      </c>
      <c r="I856">
        <v>59.707000000000001</v>
      </c>
      <c r="J856">
        <v>69.44</v>
      </c>
      <c r="K856">
        <v>73.790999999999997</v>
      </c>
      <c r="L856">
        <v>70.918999999999997</v>
      </c>
      <c r="M856">
        <v>58.634</v>
      </c>
      <c r="N856">
        <v>61.963999999999999</v>
      </c>
      <c r="O856">
        <v>58.393999999999998</v>
      </c>
      <c r="P856" s="5"/>
    </row>
    <row r="857" spans="1:16">
      <c r="A857" t="str">
        <f t="shared" si="12"/>
        <v>OS202SDR GCP OFFPK</v>
      </c>
      <c r="B857" t="s">
        <v>22</v>
      </c>
      <c r="C857" t="s">
        <v>173</v>
      </c>
      <c r="D857">
        <v>40.781999999999996</v>
      </c>
      <c r="E857">
        <v>41.204999999999998</v>
      </c>
      <c r="F857">
        <v>40.465000000000003</v>
      </c>
      <c r="G857">
        <v>44.003</v>
      </c>
      <c r="H857">
        <v>48.304000000000002</v>
      </c>
      <c r="I857">
        <v>48.183999999999997</v>
      </c>
      <c r="J857">
        <v>49.85</v>
      </c>
      <c r="K857">
        <v>55.095999999999997</v>
      </c>
      <c r="L857">
        <v>57.02</v>
      </c>
      <c r="M857">
        <v>40.537999999999997</v>
      </c>
      <c r="N857">
        <v>35.4</v>
      </c>
      <c r="O857">
        <v>40.6</v>
      </c>
      <c r="P857" s="5"/>
    </row>
    <row r="858" spans="1:16">
      <c r="A858" t="str">
        <f t="shared" si="12"/>
        <v>OS202SDR CP</v>
      </c>
      <c r="B858" t="s">
        <v>22</v>
      </c>
      <c r="C858" t="s">
        <v>174</v>
      </c>
      <c r="D858">
        <v>9.9009999999999998</v>
      </c>
      <c r="E858">
        <v>8.4339999999999993</v>
      </c>
      <c r="F858">
        <v>18.850000000000001</v>
      </c>
      <c r="G858">
        <v>13.214</v>
      </c>
      <c r="H858">
        <v>11.324999999999999</v>
      </c>
      <c r="I858">
        <v>8.4109999999999996</v>
      </c>
      <c r="J858">
        <v>7.016</v>
      </c>
      <c r="K858">
        <v>10.199999999999999</v>
      </c>
      <c r="L858">
        <v>11.398999999999999</v>
      </c>
      <c r="M858">
        <v>13.166</v>
      </c>
      <c r="N858">
        <v>47.238</v>
      </c>
      <c r="O858">
        <v>54.136000000000003</v>
      </c>
      <c r="P858" s="5"/>
    </row>
    <row r="859" spans="1:16">
      <c r="A859" t="str">
        <f t="shared" si="12"/>
        <v/>
      </c>
      <c r="P859" s="5"/>
    </row>
    <row r="860" spans="1:16">
      <c r="A860" t="str">
        <f t="shared" si="12"/>
        <v/>
      </c>
      <c r="P860" s="5"/>
    </row>
    <row r="861" spans="1:16">
      <c r="A861" t="str">
        <f t="shared" si="12"/>
        <v/>
      </c>
    </row>
    <row r="862" spans="1:16">
      <c r="A862" t="str">
        <f t="shared" si="12"/>
        <v/>
      </c>
      <c r="P862" s="5"/>
    </row>
    <row r="863" spans="1:16">
      <c r="A863" t="str">
        <f t="shared" si="12"/>
        <v xml:space="preserve">RS11 RS(T)-1 Residential Service 1 with TOU included (Sampled) </v>
      </c>
      <c r="B863" t="s">
        <v>686</v>
      </c>
      <c r="C863" t="s">
        <v>28</v>
      </c>
      <c r="P863" s="5"/>
    </row>
    <row r="864" spans="1:16">
      <c r="A864" t="str">
        <f t="shared" si="12"/>
        <v xml:space="preserve">RS11MONTH </v>
      </c>
      <c r="B864" t="s">
        <v>687</v>
      </c>
      <c r="C864" t="s">
        <v>123</v>
      </c>
      <c r="D864" s="4">
        <v>40909</v>
      </c>
      <c r="E864" s="4">
        <v>40940</v>
      </c>
      <c r="F864" s="4">
        <v>40969</v>
      </c>
      <c r="G864" s="4">
        <v>41000</v>
      </c>
      <c r="H864" s="4">
        <v>41030</v>
      </c>
      <c r="I864" s="4">
        <v>41061</v>
      </c>
      <c r="J864" s="4">
        <v>41091</v>
      </c>
      <c r="K864" s="4">
        <v>41122</v>
      </c>
      <c r="L864" s="4">
        <v>41153</v>
      </c>
      <c r="M864" s="4">
        <v>41183</v>
      </c>
      <c r="N864" s="4">
        <v>41214</v>
      </c>
      <c r="O864" s="4">
        <v>41244</v>
      </c>
      <c r="P864" s="5"/>
    </row>
    <row r="865" spans="1:16">
      <c r="A865" t="str">
        <f t="shared" si="12"/>
        <v xml:space="preserve">RS11CUSTOMERS </v>
      </c>
      <c r="B865" t="s">
        <v>687</v>
      </c>
      <c r="C865" t="s">
        <v>124</v>
      </c>
      <c r="D865">
        <v>4034332</v>
      </c>
      <c r="E865">
        <v>4039820</v>
      </c>
      <c r="F865">
        <v>4047644</v>
      </c>
      <c r="G865">
        <v>4050206</v>
      </c>
      <c r="H865">
        <v>4049337</v>
      </c>
      <c r="I865">
        <v>4047884</v>
      </c>
      <c r="J865">
        <v>4049143</v>
      </c>
      <c r="K865">
        <v>4051156</v>
      </c>
      <c r="L865">
        <v>4050243</v>
      </c>
      <c r="M865">
        <v>4051766</v>
      </c>
      <c r="N865">
        <v>4054836</v>
      </c>
      <c r="O865">
        <v>4058605</v>
      </c>
      <c r="P865" s="5"/>
    </row>
    <row r="866" spans="1:16">
      <c r="A866" t="str">
        <f t="shared" si="12"/>
        <v xml:space="preserve">RS11SALES </v>
      </c>
      <c r="B866" t="s">
        <v>687</v>
      </c>
      <c r="C866" t="s">
        <v>125</v>
      </c>
      <c r="D866">
        <v>3998081065</v>
      </c>
      <c r="E866">
        <v>3387930544</v>
      </c>
      <c r="F866">
        <v>3699042035</v>
      </c>
      <c r="G866">
        <v>4088173384</v>
      </c>
      <c r="H866">
        <v>4191237453</v>
      </c>
      <c r="I866">
        <v>5172499208</v>
      </c>
      <c r="J866">
        <v>5519033833</v>
      </c>
      <c r="K866">
        <v>5760921935</v>
      </c>
      <c r="L866">
        <v>5419541916</v>
      </c>
      <c r="M866">
        <v>4947308382</v>
      </c>
      <c r="N866">
        <v>3730784499</v>
      </c>
      <c r="O866">
        <v>3486376350</v>
      </c>
      <c r="P866" s="5"/>
    </row>
    <row r="867" spans="1:16">
      <c r="A867" t="str">
        <f t="shared" si="12"/>
        <v>RS11KW</v>
      </c>
      <c r="B867" t="s">
        <v>687</v>
      </c>
      <c r="C867" t="s">
        <v>126</v>
      </c>
      <c r="P867" s="5"/>
    </row>
    <row r="868" spans="1:16">
      <c r="A868" t="str">
        <f t="shared" si="12"/>
        <v>RS11N</v>
      </c>
      <c r="B868" t="s">
        <v>687</v>
      </c>
      <c r="C868" t="s">
        <v>127</v>
      </c>
      <c r="D868">
        <v>4034332</v>
      </c>
      <c r="E868">
        <v>4039819</v>
      </c>
      <c r="F868">
        <v>4047643</v>
      </c>
      <c r="G868">
        <v>4050206</v>
      </c>
      <c r="H868">
        <v>4049336</v>
      </c>
      <c r="I868">
        <v>4047884</v>
      </c>
      <c r="J868">
        <v>4049143</v>
      </c>
      <c r="K868">
        <v>4051156</v>
      </c>
      <c r="L868">
        <v>4050243</v>
      </c>
      <c r="M868">
        <v>4051765</v>
      </c>
      <c r="N868">
        <v>4054836</v>
      </c>
      <c r="O868">
        <v>4058605</v>
      </c>
      <c r="P868" s="5"/>
    </row>
    <row r="869" spans="1:16">
      <c r="A869" t="str">
        <f t="shared" si="12"/>
        <v>RS11RLR ENERGY:</v>
      </c>
      <c r="B869" t="s">
        <v>687</v>
      </c>
      <c r="C869" t="s">
        <v>61</v>
      </c>
    </row>
    <row r="870" spans="1:16">
      <c r="A870" t="str">
        <f t="shared" si="12"/>
        <v>RS11KWH</v>
      </c>
      <c r="B870" t="s">
        <v>687</v>
      </c>
      <c r="C870" t="s">
        <v>128</v>
      </c>
      <c r="D870">
        <v>3998081065</v>
      </c>
      <c r="E870">
        <v>3387930544</v>
      </c>
      <c r="F870">
        <v>3699050314</v>
      </c>
      <c r="G870">
        <v>4088185842</v>
      </c>
      <c r="H870">
        <v>4191383822</v>
      </c>
      <c r="I870">
        <v>5172508013</v>
      </c>
      <c r="J870">
        <v>5519033833</v>
      </c>
      <c r="K870">
        <v>5760945499</v>
      </c>
      <c r="L870">
        <v>5419556567</v>
      </c>
      <c r="M870">
        <v>4947427811</v>
      </c>
      <c r="N870">
        <v>3730833980</v>
      </c>
      <c r="O870">
        <v>3486557116</v>
      </c>
    </row>
    <row r="871" spans="1:16">
      <c r="A871" t="str">
        <f t="shared" si="12"/>
        <v>RS11KWH ONPK</v>
      </c>
      <c r="B871" t="s">
        <v>687</v>
      </c>
      <c r="C871" t="s">
        <v>129</v>
      </c>
      <c r="D871">
        <v>1046748288</v>
      </c>
      <c r="E871">
        <v>900678489</v>
      </c>
      <c r="F871">
        <v>918808713</v>
      </c>
      <c r="G871">
        <v>1379673062</v>
      </c>
      <c r="H871">
        <v>1390003841</v>
      </c>
      <c r="I871">
        <v>1674773078</v>
      </c>
      <c r="J871">
        <v>1758113170</v>
      </c>
      <c r="K871">
        <v>2032163430</v>
      </c>
      <c r="L871">
        <v>1579714237</v>
      </c>
      <c r="M871">
        <v>1707886584</v>
      </c>
      <c r="N871">
        <v>963524752</v>
      </c>
      <c r="O871">
        <v>817168887</v>
      </c>
    </row>
    <row r="872" spans="1:16">
      <c r="A872" t="str">
        <f t="shared" si="12"/>
        <v>RS11KWH OFFPK</v>
      </c>
      <c r="B872" t="s">
        <v>687</v>
      </c>
      <c r="C872" t="s">
        <v>130</v>
      </c>
      <c r="D872">
        <v>2951332777</v>
      </c>
      <c r="E872">
        <v>2487252055</v>
      </c>
      <c r="F872">
        <v>2780241600</v>
      </c>
      <c r="G872">
        <v>2708512780</v>
      </c>
      <c r="H872">
        <v>2801379981</v>
      </c>
      <c r="I872">
        <v>3497734934</v>
      </c>
      <c r="J872">
        <v>3760920663</v>
      </c>
      <c r="K872">
        <v>3728782069</v>
      </c>
      <c r="L872">
        <v>3839842330</v>
      </c>
      <c r="M872">
        <v>3239541227</v>
      </c>
      <c r="N872">
        <v>2767309228</v>
      </c>
      <c r="O872">
        <v>2669388229</v>
      </c>
    </row>
    <row r="873" spans="1:16">
      <c r="A873" t="str">
        <f t="shared" si="12"/>
        <v>RS11KWH ONPK%</v>
      </c>
      <c r="B873" t="s">
        <v>687</v>
      </c>
      <c r="C873" t="s">
        <v>131</v>
      </c>
      <c r="D873" s="5">
        <v>0.26180999999999999</v>
      </c>
      <c r="E873" s="5">
        <v>0.26584999999999998</v>
      </c>
      <c r="F873" s="5">
        <v>0.24839</v>
      </c>
      <c r="G873" s="5">
        <v>0.33748</v>
      </c>
      <c r="H873" s="5">
        <v>0.33162999999999998</v>
      </c>
      <c r="I873" s="5">
        <v>0.32378000000000001</v>
      </c>
      <c r="J873" s="5">
        <v>0.31855</v>
      </c>
      <c r="K873" s="5">
        <v>0.35275000000000001</v>
      </c>
      <c r="L873" s="5">
        <v>0.29148000000000002</v>
      </c>
      <c r="M873" s="5">
        <v>0.34521000000000002</v>
      </c>
      <c r="N873" s="5">
        <v>0.25825999999999999</v>
      </c>
      <c r="O873" s="5">
        <v>0.23438000000000001</v>
      </c>
    </row>
    <row r="874" spans="1:16">
      <c r="A874" t="str">
        <f t="shared" si="12"/>
        <v>RS11KWH OFFPK%</v>
      </c>
      <c r="B874" t="s">
        <v>687</v>
      </c>
      <c r="C874" t="s">
        <v>132</v>
      </c>
      <c r="D874" s="5">
        <v>0.73819000000000001</v>
      </c>
      <c r="E874" s="5">
        <v>0.73414999999999997</v>
      </c>
      <c r="F874" s="5">
        <v>0.75161</v>
      </c>
      <c r="G874" s="5">
        <v>0.66252</v>
      </c>
      <c r="H874" s="5">
        <v>0.66837000000000002</v>
      </c>
      <c r="I874" s="5">
        <v>0.67622000000000004</v>
      </c>
      <c r="J874" s="5">
        <v>0.68145</v>
      </c>
      <c r="K874" s="5">
        <v>0.64724999999999999</v>
      </c>
      <c r="L874" s="5">
        <v>0.70852000000000004</v>
      </c>
      <c r="M874" s="5">
        <v>0.65478999999999998</v>
      </c>
      <c r="N874" s="5">
        <v>0.74173999999999995</v>
      </c>
      <c r="O874" s="5">
        <v>0.76561999999999997</v>
      </c>
    </row>
    <row r="875" spans="1:16">
      <c r="A875" t="str">
        <f t="shared" si="12"/>
        <v>RS11DEMAND (KW):</v>
      </c>
      <c r="B875" t="s">
        <v>687</v>
      </c>
      <c r="C875" t="s">
        <v>62</v>
      </c>
    </row>
    <row r="876" spans="1:16">
      <c r="A876" t="str">
        <f t="shared" si="12"/>
        <v>RS11NCP</v>
      </c>
      <c r="B876" t="s">
        <v>687</v>
      </c>
      <c r="C876" t="s">
        <v>133</v>
      </c>
      <c r="D876">
        <v>31118474</v>
      </c>
      <c r="E876">
        <v>25886873</v>
      </c>
      <c r="F876">
        <v>23440701</v>
      </c>
      <c r="G876">
        <v>25212065</v>
      </c>
      <c r="H876">
        <v>21553115</v>
      </c>
      <c r="I876">
        <v>25029198</v>
      </c>
      <c r="J876">
        <v>24226593</v>
      </c>
      <c r="K876">
        <v>25406883</v>
      </c>
      <c r="L876">
        <v>25973806</v>
      </c>
      <c r="M876">
        <v>26534798</v>
      </c>
      <c r="N876">
        <v>27621089</v>
      </c>
      <c r="O876">
        <v>25025983</v>
      </c>
      <c r="P876" s="4"/>
    </row>
    <row r="877" spans="1:16">
      <c r="A877" t="str">
        <f t="shared" si="12"/>
        <v>RS11NCP ONPK</v>
      </c>
      <c r="B877" t="s">
        <v>687</v>
      </c>
      <c r="C877" t="s">
        <v>134</v>
      </c>
      <c r="D877">
        <v>26776739</v>
      </c>
      <c r="E877">
        <v>21679685</v>
      </c>
      <c r="F877">
        <v>19092841</v>
      </c>
      <c r="G877">
        <v>22459165</v>
      </c>
      <c r="H877">
        <v>18955370</v>
      </c>
      <c r="I877">
        <v>22719469</v>
      </c>
      <c r="J877">
        <v>22094891</v>
      </c>
      <c r="K877">
        <v>23310359</v>
      </c>
      <c r="L877">
        <v>23168665</v>
      </c>
      <c r="M877">
        <v>23892543</v>
      </c>
      <c r="N877">
        <v>22727161</v>
      </c>
      <c r="O877">
        <v>20086453</v>
      </c>
    </row>
    <row r="878" spans="1:16">
      <c r="A878" t="str">
        <f t="shared" si="12"/>
        <v>RS11NCP OFFPK</v>
      </c>
      <c r="B878" t="s">
        <v>687</v>
      </c>
      <c r="C878" t="s">
        <v>135</v>
      </c>
      <c r="D878">
        <v>29266316</v>
      </c>
      <c r="E878">
        <v>24937557</v>
      </c>
      <c r="F878">
        <v>22645256</v>
      </c>
      <c r="G878">
        <v>23436597</v>
      </c>
      <c r="H878">
        <v>20586505</v>
      </c>
      <c r="I878">
        <v>23669710</v>
      </c>
      <c r="J878">
        <v>22987755</v>
      </c>
      <c r="K878">
        <v>23830829</v>
      </c>
      <c r="L878">
        <v>24824465</v>
      </c>
      <c r="M878">
        <v>24782023</v>
      </c>
      <c r="N878">
        <v>26326426</v>
      </c>
      <c r="O878">
        <v>24185464</v>
      </c>
    </row>
    <row r="879" spans="1:16">
      <c r="A879" t="str">
        <f t="shared" si="12"/>
        <v>RS11GCP DATE</v>
      </c>
      <c r="B879" t="s">
        <v>687</v>
      </c>
      <c r="C879" t="s">
        <v>136</v>
      </c>
      <c r="D879" t="s">
        <v>924</v>
      </c>
      <c r="E879" t="s">
        <v>958</v>
      </c>
      <c r="F879" t="s">
        <v>973</v>
      </c>
      <c r="G879" t="s">
        <v>138</v>
      </c>
      <c r="H879" t="s">
        <v>207</v>
      </c>
      <c r="I879" t="s">
        <v>29</v>
      </c>
      <c r="J879" t="s">
        <v>198</v>
      </c>
      <c r="K879" t="s">
        <v>942</v>
      </c>
      <c r="L879" t="s">
        <v>929</v>
      </c>
      <c r="M879" t="s">
        <v>212</v>
      </c>
      <c r="N879" t="s">
        <v>974</v>
      </c>
      <c r="O879" t="s">
        <v>210</v>
      </c>
    </row>
    <row r="880" spans="1:16">
      <c r="A880" t="str">
        <f t="shared" si="12"/>
        <v>RS11GCP TIME</v>
      </c>
      <c r="B880" t="s">
        <v>687</v>
      </c>
      <c r="C880" t="s">
        <v>142</v>
      </c>
      <c r="D880" t="s">
        <v>203</v>
      </c>
      <c r="E880" t="s">
        <v>203</v>
      </c>
      <c r="F880" t="s">
        <v>196</v>
      </c>
      <c r="G880" t="s">
        <v>193</v>
      </c>
      <c r="H880" t="s">
        <v>196</v>
      </c>
      <c r="I880" t="s">
        <v>196</v>
      </c>
      <c r="J880" t="s">
        <v>195</v>
      </c>
      <c r="K880" t="s">
        <v>196</v>
      </c>
      <c r="L880" t="s">
        <v>196</v>
      </c>
      <c r="M880" t="s">
        <v>196</v>
      </c>
      <c r="N880" t="s">
        <v>195</v>
      </c>
      <c r="O880" t="s">
        <v>237</v>
      </c>
    </row>
    <row r="881" spans="1:16">
      <c r="A881" t="str">
        <f t="shared" si="12"/>
        <v>RS11GCP</v>
      </c>
      <c r="B881" t="s">
        <v>687</v>
      </c>
      <c r="C881" t="s">
        <v>147</v>
      </c>
      <c r="D881">
        <v>11904320</v>
      </c>
      <c r="E881">
        <v>9568420</v>
      </c>
      <c r="F881">
        <v>8116901</v>
      </c>
      <c r="G881">
        <v>9975203</v>
      </c>
      <c r="H881">
        <v>9298234</v>
      </c>
      <c r="I881">
        <v>11363172</v>
      </c>
      <c r="J881">
        <v>11558790</v>
      </c>
      <c r="K881">
        <v>12090717</v>
      </c>
      <c r="L881">
        <v>12298113</v>
      </c>
      <c r="M881">
        <v>11077417</v>
      </c>
      <c r="N881">
        <v>8366554</v>
      </c>
      <c r="O881">
        <v>7438988</v>
      </c>
    </row>
    <row r="882" spans="1:16">
      <c r="A882" t="str">
        <f t="shared" si="12"/>
        <v>RS11GCP ONPK</v>
      </c>
      <c r="B882" t="s">
        <v>687</v>
      </c>
      <c r="C882" t="s">
        <v>63</v>
      </c>
      <c r="D882">
        <v>11904320</v>
      </c>
      <c r="E882">
        <v>9568420</v>
      </c>
      <c r="F882">
        <v>7705674</v>
      </c>
      <c r="G882">
        <v>9975203</v>
      </c>
      <c r="H882">
        <v>9298234</v>
      </c>
      <c r="I882">
        <v>11252502</v>
      </c>
      <c r="J882">
        <v>11297200</v>
      </c>
      <c r="K882">
        <v>12090717</v>
      </c>
      <c r="L882">
        <v>10809010</v>
      </c>
      <c r="M882">
        <v>11077417</v>
      </c>
      <c r="N882">
        <v>7983718</v>
      </c>
      <c r="O882">
        <v>7438988</v>
      </c>
      <c r="P882" s="91"/>
    </row>
    <row r="883" spans="1:16">
      <c r="A883" t="str">
        <f t="shared" si="12"/>
        <v>RS11GCP OFFPK</v>
      </c>
      <c r="B883" t="s">
        <v>687</v>
      </c>
      <c r="C883" t="s">
        <v>64</v>
      </c>
      <c r="D883">
        <v>10220675</v>
      </c>
      <c r="E883">
        <v>7855963</v>
      </c>
      <c r="F883">
        <v>8116901</v>
      </c>
      <c r="G883">
        <v>9691047</v>
      </c>
      <c r="H883">
        <v>9283403</v>
      </c>
      <c r="I883">
        <v>11363172</v>
      </c>
      <c r="J883">
        <v>11558790</v>
      </c>
      <c r="K883">
        <v>11945758</v>
      </c>
      <c r="L883">
        <v>12298113</v>
      </c>
      <c r="M883">
        <v>10309645</v>
      </c>
      <c r="N883">
        <v>8366554</v>
      </c>
      <c r="O883">
        <v>7323240</v>
      </c>
    </row>
    <row r="884" spans="1:16">
      <c r="A884" t="str">
        <f t="shared" si="12"/>
        <v>RS11CP</v>
      </c>
      <c r="B884" t="s">
        <v>687</v>
      </c>
      <c r="C884" t="s">
        <v>148</v>
      </c>
      <c r="D884">
        <v>11904320</v>
      </c>
      <c r="E884">
        <v>7112688</v>
      </c>
      <c r="F884">
        <v>7428799</v>
      </c>
      <c r="G884">
        <v>9958459</v>
      </c>
      <c r="H884">
        <v>9088596</v>
      </c>
      <c r="I884">
        <v>10962459</v>
      </c>
      <c r="J884">
        <v>11154200</v>
      </c>
      <c r="K884">
        <v>11793380</v>
      </c>
      <c r="L884">
        <v>11922085</v>
      </c>
      <c r="M884">
        <v>10299292</v>
      </c>
      <c r="N884">
        <v>7983718</v>
      </c>
      <c r="O884">
        <v>7329404</v>
      </c>
    </row>
    <row r="885" spans="1:16">
      <c r="A885" t="str">
        <f t="shared" si="12"/>
        <v>RS11PERIOD START</v>
      </c>
      <c r="B885" t="s">
        <v>687</v>
      </c>
      <c r="C885" t="s">
        <v>149</v>
      </c>
      <c r="D885" s="1">
        <v>40909</v>
      </c>
      <c r="E885" s="1">
        <v>40940</v>
      </c>
      <c r="F885" s="1">
        <v>40969</v>
      </c>
      <c r="G885" s="1">
        <v>41000</v>
      </c>
      <c r="H885" s="1">
        <v>41030</v>
      </c>
      <c r="I885" s="1">
        <v>41061</v>
      </c>
      <c r="J885" s="1">
        <v>41091</v>
      </c>
      <c r="K885" s="1">
        <v>41122</v>
      </c>
      <c r="L885" s="1">
        <v>41153</v>
      </c>
      <c r="M885" s="1">
        <v>41183</v>
      </c>
      <c r="N885" s="1">
        <v>41214</v>
      </c>
      <c r="O885" s="1">
        <v>41244</v>
      </c>
      <c r="P885" s="5"/>
    </row>
    <row r="886" spans="1:16">
      <c r="A886" t="str">
        <f t="shared" ref="A886:A949" si="13">B886&amp;C886</f>
        <v>RS11NCP LF</v>
      </c>
      <c r="B886" t="s">
        <v>687</v>
      </c>
      <c r="C886" t="s">
        <v>150</v>
      </c>
      <c r="D886" s="5">
        <v>0.17269999999999999</v>
      </c>
      <c r="E886" s="5">
        <v>0.188</v>
      </c>
      <c r="F886" s="5">
        <v>0.21210000000000001</v>
      </c>
      <c r="G886" s="5">
        <v>0.22520000000000001</v>
      </c>
      <c r="H886" s="5">
        <v>0.26140000000000002</v>
      </c>
      <c r="I886" s="5">
        <v>0.28699999999999998</v>
      </c>
      <c r="J886" s="5">
        <v>0.30620000000000003</v>
      </c>
      <c r="K886" s="5">
        <v>0.30480000000000002</v>
      </c>
      <c r="L886" s="5">
        <v>0.2898</v>
      </c>
      <c r="M886" s="5">
        <v>0.25059999999999999</v>
      </c>
      <c r="N886" s="5">
        <v>0.18759999999999999</v>
      </c>
      <c r="O886" s="5">
        <v>0.18729999999999999</v>
      </c>
      <c r="P886" s="5"/>
    </row>
    <row r="887" spans="1:16">
      <c r="A887" t="str">
        <f t="shared" si="13"/>
        <v>RS11NCP LF ONPK</v>
      </c>
      <c r="B887" t="s">
        <v>687</v>
      </c>
      <c r="C887" t="s">
        <v>151</v>
      </c>
      <c r="D887" s="5">
        <v>0.23269999999999999</v>
      </c>
      <c r="E887" s="5">
        <v>0.24729999999999999</v>
      </c>
      <c r="F887" s="5">
        <v>0.27339999999999998</v>
      </c>
      <c r="G887" s="5">
        <v>0.32500000000000001</v>
      </c>
      <c r="H887" s="5">
        <v>0.37040000000000001</v>
      </c>
      <c r="I887" s="5">
        <v>0.39</v>
      </c>
      <c r="J887" s="5">
        <v>0.42099999999999999</v>
      </c>
      <c r="K887" s="5">
        <v>0.42120000000000002</v>
      </c>
      <c r="L887" s="5">
        <v>0.3987</v>
      </c>
      <c r="M887" s="5">
        <v>0.3453</v>
      </c>
      <c r="N887" s="5">
        <v>0.25240000000000001</v>
      </c>
      <c r="O887" s="5">
        <v>0.25430000000000003</v>
      </c>
    </row>
    <row r="888" spans="1:16">
      <c r="A888" t="str">
        <f t="shared" si="13"/>
        <v>RS11NCP LF OFFPK</v>
      </c>
      <c r="B888" t="s">
        <v>687</v>
      </c>
      <c r="C888" t="s">
        <v>152</v>
      </c>
      <c r="D888" s="5">
        <v>0.17510000000000001</v>
      </c>
      <c r="E888" s="5">
        <v>0.18890000000000001</v>
      </c>
      <c r="F888" s="5">
        <v>0.2162</v>
      </c>
      <c r="G888" s="5">
        <v>0.21759999999999999</v>
      </c>
      <c r="H888" s="5">
        <v>0.2492</v>
      </c>
      <c r="I888" s="5">
        <v>0.27829999999999999</v>
      </c>
      <c r="J888" s="5">
        <v>0.29480000000000001</v>
      </c>
      <c r="K888" s="5">
        <v>0.29139999999999999</v>
      </c>
      <c r="L888" s="5">
        <v>0.28170000000000001</v>
      </c>
      <c r="M888" s="5">
        <v>0.24340000000000001</v>
      </c>
      <c r="N888" s="5">
        <v>0.19040000000000001</v>
      </c>
      <c r="O888" s="5">
        <v>0.189</v>
      </c>
      <c r="P888" s="89"/>
    </row>
    <row r="889" spans="1:16">
      <c r="A889" t="str">
        <f t="shared" si="13"/>
        <v>RS11GCP CF</v>
      </c>
      <c r="B889" t="s">
        <v>687</v>
      </c>
      <c r="C889" t="s">
        <v>153</v>
      </c>
      <c r="D889" s="5">
        <v>0.38250000000000001</v>
      </c>
      <c r="E889" s="5">
        <v>0.36959999999999998</v>
      </c>
      <c r="F889" s="5">
        <v>0.3463</v>
      </c>
      <c r="G889" s="5">
        <v>0.3957</v>
      </c>
      <c r="H889" s="5">
        <v>0.43140000000000001</v>
      </c>
      <c r="I889" s="5">
        <v>0.45400000000000001</v>
      </c>
      <c r="J889" s="5">
        <v>0.47710000000000002</v>
      </c>
      <c r="K889" s="5">
        <v>0.47589999999999999</v>
      </c>
      <c r="L889" s="5">
        <v>0.47349999999999998</v>
      </c>
      <c r="M889" s="5">
        <v>0.41749999999999998</v>
      </c>
      <c r="N889" s="5">
        <v>0.3029</v>
      </c>
      <c r="O889" s="5">
        <v>0.29730000000000001</v>
      </c>
    </row>
    <row r="890" spans="1:16">
      <c r="A890" t="str">
        <f t="shared" si="13"/>
        <v>RS11CP CF</v>
      </c>
      <c r="B890" t="s">
        <v>687</v>
      </c>
      <c r="C890" t="s">
        <v>154</v>
      </c>
      <c r="D890" s="5">
        <v>0.38250000000000001</v>
      </c>
      <c r="E890" s="5">
        <v>0.27479999999999999</v>
      </c>
      <c r="F890" s="5">
        <v>0.31690000000000002</v>
      </c>
      <c r="G890" s="5">
        <v>0.39500000000000002</v>
      </c>
      <c r="H890" s="5">
        <v>0.42170000000000002</v>
      </c>
      <c r="I890" s="5">
        <v>0.438</v>
      </c>
      <c r="J890" s="5">
        <v>0.46039999999999998</v>
      </c>
      <c r="K890" s="5">
        <v>0.4642</v>
      </c>
      <c r="L890" s="5">
        <v>0.45900000000000002</v>
      </c>
      <c r="M890" s="5">
        <v>0.3881</v>
      </c>
      <c r="N890" s="5">
        <v>0.28899999999999998</v>
      </c>
      <c r="O890" s="5">
        <v>0.29289999999999999</v>
      </c>
    </row>
    <row r="891" spans="1:16">
      <c r="A891" t="str">
        <f t="shared" si="13"/>
        <v>RS11GCP LF</v>
      </c>
      <c r="B891" t="s">
        <v>687</v>
      </c>
      <c r="C891" t="s">
        <v>155</v>
      </c>
      <c r="D891" s="5">
        <v>0.45140000000000002</v>
      </c>
      <c r="E891" s="5">
        <v>0.50870000000000004</v>
      </c>
      <c r="F891" s="5">
        <v>0.61250000000000004</v>
      </c>
      <c r="G891" s="5">
        <v>0.56920000000000004</v>
      </c>
      <c r="H891" s="5">
        <v>0.60589999999999999</v>
      </c>
      <c r="I891" s="5">
        <v>0.63219999999999998</v>
      </c>
      <c r="J891" s="5">
        <v>0.64180000000000004</v>
      </c>
      <c r="K891" s="5">
        <v>0.64039999999999997</v>
      </c>
      <c r="L891" s="5">
        <v>0.61209999999999998</v>
      </c>
      <c r="M891" s="5">
        <v>0.60029999999999994</v>
      </c>
      <c r="N891" s="5">
        <v>0.61929999999999996</v>
      </c>
      <c r="O891" s="5">
        <v>0.63</v>
      </c>
    </row>
    <row r="892" spans="1:16">
      <c r="A892" t="str">
        <f t="shared" si="13"/>
        <v>RS11GCP LF ONPK</v>
      </c>
      <c r="B892" t="s">
        <v>687</v>
      </c>
      <c r="C892" t="s">
        <v>156</v>
      </c>
      <c r="D892" s="5">
        <v>0.52339999999999998</v>
      </c>
      <c r="E892" s="5">
        <v>0.56030000000000002</v>
      </c>
      <c r="F892" s="5">
        <v>0.67749999999999999</v>
      </c>
      <c r="G892" s="5">
        <v>0.73180000000000001</v>
      </c>
      <c r="H892" s="5">
        <v>0.755</v>
      </c>
      <c r="I892" s="5">
        <v>0.78749999999999998</v>
      </c>
      <c r="J892" s="5">
        <v>0.82340000000000002</v>
      </c>
      <c r="K892" s="5">
        <v>0.81200000000000006</v>
      </c>
      <c r="L892" s="5">
        <v>0.85470000000000002</v>
      </c>
      <c r="M892" s="5">
        <v>0.74480000000000002</v>
      </c>
      <c r="N892" s="5">
        <v>0.71840000000000004</v>
      </c>
      <c r="O892" s="5">
        <v>0.68659999999999999</v>
      </c>
    </row>
    <row r="893" spans="1:16">
      <c r="A893" t="str">
        <f t="shared" si="13"/>
        <v>RS11GCP LF OFFPK</v>
      </c>
      <c r="B893" t="s">
        <v>687</v>
      </c>
      <c r="C893" t="s">
        <v>157</v>
      </c>
      <c r="D893" s="5">
        <v>0.50129999999999997</v>
      </c>
      <c r="E893" s="5">
        <v>0.59960000000000002</v>
      </c>
      <c r="F893" s="5">
        <v>0.60299999999999998</v>
      </c>
      <c r="G893" s="5">
        <v>0.52629999999999999</v>
      </c>
      <c r="H893" s="5">
        <v>0.55269999999999997</v>
      </c>
      <c r="I893" s="5">
        <v>0.57969999999999999</v>
      </c>
      <c r="J893" s="5">
        <v>0.58630000000000004</v>
      </c>
      <c r="K893" s="5">
        <v>0.58130000000000004</v>
      </c>
      <c r="L893" s="5">
        <v>0.56869999999999998</v>
      </c>
      <c r="M893" s="5">
        <v>0.58509999999999995</v>
      </c>
      <c r="N893" s="5">
        <v>0.59919999999999995</v>
      </c>
      <c r="O893" s="5">
        <v>0.62419999999999998</v>
      </c>
      <c r="P893" s="87"/>
    </row>
    <row r="894" spans="1:16">
      <c r="A894" t="str">
        <f t="shared" si="13"/>
        <v>RS11CP LF</v>
      </c>
      <c r="B894" t="s">
        <v>687</v>
      </c>
      <c r="C894" t="s">
        <v>158</v>
      </c>
      <c r="D894" s="5">
        <v>0.45140000000000002</v>
      </c>
      <c r="E894" s="5">
        <v>0.68440000000000001</v>
      </c>
      <c r="F894" s="5">
        <v>0.66930000000000001</v>
      </c>
      <c r="G894" s="5">
        <v>0.57020000000000004</v>
      </c>
      <c r="H894" s="5">
        <v>0.61990000000000001</v>
      </c>
      <c r="I894" s="5">
        <v>0.65529999999999999</v>
      </c>
      <c r="J894" s="5">
        <v>0.66500000000000004</v>
      </c>
      <c r="K894" s="5">
        <v>0.65659999999999996</v>
      </c>
      <c r="L894" s="5">
        <v>0.63139999999999996</v>
      </c>
      <c r="M894" s="5">
        <v>0.64570000000000005</v>
      </c>
      <c r="N894" s="5">
        <v>0.64900000000000002</v>
      </c>
      <c r="O894" s="5">
        <v>0.63939999999999997</v>
      </c>
    </row>
    <row r="895" spans="1:16">
      <c r="A895" t="str">
        <f t="shared" si="13"/>
        <v>RS11REL PREC:</v>
      </c>
      <c r="B895" t="s">
        <v>687</v>
      </c>
      <c r="C895" t="s">
        <v>65</v>
      </c>
    </row>
    <row r="896" spans="1:16">
      <c r="A896" t="str">
        <f t="shared" si="13"/>
        <v>RS11NCP RP</v>
      </c>
      <c r="B896" t="s">
        <v>687</v>
      </c>
      <c r="C896" t="s">
        <v>159</v>
      </c>
      <c r="D896" s="5">
        <v>3.0499999999999999E-2</v>
      </c>
      <c r="E896" s="5">
        <v>3.5499999999999997E-2</v>
      </c>
      <c r="F896" s="5">
        <v>3.32E-2</v>
      </c>
      <c r="G896" s="5">
        <v>2.8199999999999999E-2</v>
      </c>
      <c r="H896" s="5">
        <v>3.2300000000000002E-2</v>
      </c>
      <c r="I896" s="5">
        <v>2.53E-2</v>
      </c>
      <c r="J896" s="5">
        <v>2.7300000000000001E-2</v>
      </c>
      <c r="K896" s="5">
        <v>2.5100000000000001E-2</v>
      </c>
      <c r="L896" s="5">
        <v>2.4799999999999999E-2</v>
      </c>
      <c r="M896" s="5">
        <v>2.6599999999999999E-2</v>
      </c>
      <c r="N896" s="5">
        <v>3.04E-2</v>
      </c>
      <c r="O896" s="5">
        <v>3.44E-2</v>
      </c>
      <c r="P896" s="83"/>
    </row>
    <row r="897" spans="1:16">
      <c r="A897" t="str">
        <f t="shared" si="13"/>
        <v>RS11NCP RP ONPK</v>
      </c>
      <c r="B897" t="s">
        <v>687</v>
      </c>
      <c r="C897" t="s">
        <v>160</v>
      </c>
      <c r="D897" s="5">
        <v>3.0099999999999998E-2</v>
      </c>
      <c r="E897" s="5">
        <v>3.6400000000000002E-2</v>
      </c>
      <c r="F897" s="5">
        <v>3.2399999999999998E-2</v>
      </c>
      <c r="G897" s="5">
        <v>2.7300000000000001E-2</v>
      </c>
      <c r="H897" s="5">
        <v>3.1300000000000001E-2</v>
      </c>
      <c r="I897" s="5">
        <v>2.58E-2</v>
      </c>
      <c r="J897" s="5">
        <v>2.6800000000000001E-2</v>
      </c>
      <c r="K897" s="5">
        <v>2.4400000000000002E-2</v>
      </c>
      <c r="L897" s="5">
        <v>2.46E-2</v>
      </c>
      <c r="M897" s="5">
        <v>2.63E-2</v>
      </c>
      <c r="N897" s="5">
        <v>3.39E-2</v>
      </c>
      <c r="O897" s="5">
        <v>3.5400000000000001E-2</v>
      </c>
      <c r="P897" s="1"/>
    </row>
    <row r="898" spans="1:16">
      <c r="A898" t="str">
        <f t="shared" si="13"/>
        <v>RS11NCP RP OFFPK</v>
      </c>
      <c r="B898" t="s">
        <v>687</v>
      </c>
      <c r="C898" t="s">
        <v>161</v>
      </c>
      <c r="D898" s="5">
        <v>3.0800000000000001E-2</v>
      </c>
      <c r="E898" s="5">
        <v>3.56E-2</v>
      </c>
      <c r="F898" s="5">
        <v>3.3300000000000003E-2</v>
      </c>
      <c r="G898" s="5">
        <v>2.8400000000000002E-2</v>
      </c>
      <c r="H898" s="5">
        <v>3.1899999999999998E-2</v>
      </c>
      <c r="I898" s="5">
        <v>2.5100000000000001E-2</v>
      </c>
      <c r="J898" s="5">
        <v>2.75E-2</v>
      </c>
      <c r="K898" s="5">
        <v>2.52E-2</v>
      </c>
      <c r="L898" s="5">
        <v>2.53E-2</v>
      </c>
      <c r="M898" s="5">
        <v>2.6499999999999999E-2</v>
      </c>
      <c r="N898" s="5">
        <v>2.8199999999999999E-2</v>
      </c>
      <c r="O898" s="5">
        <v>3.5000000000000003E-2</v>
      </c>
      <c r="P898" s="5"/>
    </row>
    <row r="899" spans="1:16">
      <c r="A899" t="str">
        <f t="shared" si="13"/>
        <v>RS11GCP RP</v>
      </c>
      <c r="B899" t="s">
        <v>687</v>
      </c>
      <c r="C899" t="s">
        <v>162</v>
      </c>
      <c r="D899" s="5">
        <v>7.6499999999999999E-2</v>
      </c>
      <c r="E899" s="5">
        <v>9.4100000000000003E-2</v>
      </c>
      <c r="F899" s="5">
        <v>4.9099999999999998E-2</v>
      </c>
      <c r="G899" s="5">
        <v>4.1300000000000003E-2</v>
      </c>
      <c r="H899" s="5">
        <v>4.1300000000000003E-2</v>
      </c>
      <c r="I899" s="5">
        <v>3.9600000000000003E-2</v>
      </c>
      <c r="J899" s="5">
        <v>3.9899999999999998E-2</v>
      </c>
      <c r="K899" s="5">
        <v>3.3300000000000003E-2</v>
      </c>
      <c r="L899" s="5">
        <v>3.4799999999999998E-2</v>
      </c>
      <c r="M899" s="5">
        <v>3.5000000000000003E-2</v>
      </c>
      <c r="N899" s="5">
        <v>4.9799999999999997E-2</v>
      </c>
      <c r="O899" s="5">
        <v>5.8400000000000001E-2</v>
      </c>
      <c r="P899" s="5"/>
    </row>
    <row r="900" spans="1:16">
      <c r="A900" t="str">
        <f t="shared" si="13"/>
        <v>RS11GCP RP ONPK</v>
      </c>
      <c r="B900" t="s">
        <v>687</v>
      </c>
      <c r="C900" t="s">
        <v>163</v>
      </c>
      <c r="D900" s="5">
        <v>7.6499999999999999E-2</v>
      </c>
      <c r="E900" s="5">
        <v>9.4100000000000003E-2</v>
      </c>
      <c r="F900" s="5">
        <v>5.0799999999999998E-2</v>
      </c>
      <c r="G900" s="5">
        <v>4.1300000000000003E-2</v>
      </c>
      <c r="H900" s="5">
        <v>4.1300000000000003E-2</v>
      </c>
      <c r="I900" s="5">
        <v>3.5900000000000001E-2</v>
      </c>
      <c r="J900" s="5">
        <v>3.4200000000000001E-2</v>
      </c>
      <c r="K900" s="5">
        <v>3.3300000000000003E-2</v>
      </c>
      <c r="L900" s="5">
        <v>3.5299999999999998E-2</v>
      </c>
      <c r="M900" s="5">
        <v>3.5000000000000003E-2</v>
      </c>
      <c r="N900" s="5">
        <v>4.7500000000000001E-2</v>
      </c>
      <c r="O900" s="5">
        <v>5.8400000000000001E-2</v>
      </c>
      <c r="P900" s="5"/>
    </row>
    <row r="901" spans="1:16">
      <c r="A901" t="str">
        <f t="shared" si="13"/>
        <v>RS11GCP RP OFFPK</v>
      </c>
      <c r="B901" t="s">
        <v>687</v>
      </c>
      <c r="C901" t="s">
        <v>164</v>
      </c>
      <c r="D901" s="5">
        <v>7.3899999999999993E-2</v>
      </c>
      <c r="E901" s="5">
        <v>5.1799999999999999E-2</v>
      </c>
      <c r="F901" s="5">
        <v>4.9099999999999998E-2</v>
      </c>
      <c r="G901" s="5">
        <v>4.9399999999999999E-2</v>
      </c>
      <c r="H901" s="5">
        <v>5.1900000000000002E-2</v>
      </c>
      <c r="I901" s="5">
        <v>3.9600000000000003E-2</v>
      </c>
      <c r="J901" s="5">
        <v>3.9899999999999998E-2</v>
      </c>
      <c r="K901" s="5">
        <v>3.8100000000000002E-2</v>
      </c>
      <c r="L901" s="5">
        <v>3.4799999999999998E-2</v>
      </c>
      <c r="M901" s="5">
        <v>3.9399999999999998E-2</v>
      </c>
      <c r="N901" s="5">
        <v>4.9799999999999997E-2</v>
      </c>
      <c r="O901" s="5">
        <v>6.6100000000000006E-2</v>
      </c>
      <c r="P901" s="5"/>
    </row>
    <row r="902" spans="1:16">
      <c r="A902" t="str">
        <f t="shared" si="13"/>
        <v>RS11CP RP</v>
      </c>
      <c r="B902" t="s">
        <v>687</v>
      </c>
      <c r="C902" t="s">
        <v>165</v>
      </c>
      <c r="D902" s="5">
        <v>7.6499999999999999E-2</v>
      </c>
      <c r="E902" s="5">
        <v>5.1999999999999998E-2</v>
      </c>
      <c r="F902" s="5">
        <v>5.11E-2</v>
      </c>
      <c r="G902" s="5">
        <v>4.2999999999999997E-2</v>
      </c>
      <c r="H902" s="5">
        <v>4.3499999999999997E-2</v>
      </c>
      <c r="I902" s="5">
        <v>3.4500000000000003E-2</v>
      </c>
      <c r="J902" s="5">
        <v>3.5400000000000001E-2</v>
      </c>
      <c r="K902" s="5">
        <v>3.5700000000000003E-2</v>
      </c>
      <c r="L902" s="5">
        <v>3.5799999999999998E-2</v>
      </c>
      <c r="M902" s="5">
        <v>3.9899999999999998E-2</v>
      </c>
      <c r="N902" s="5">
        <v>4.7500000000000001E-2</v>
      </c>
      <c r="O902" s="5">
        <v>5.7599999999999998E-2</v>
      </c>
      <c r="P902" s="5"/>
    </row>
    <row r="903" spans="1:16">
      <c r="A903" t="str">
        <f t="shared" si="13"/>
        <v>RS11SAMPLE SIZE:</v>
      </c>
      <c r="B903" t="s">
        <v>687</v>
      </c>
      <c r="C903" t="s">
        <v>66</v>
      </c>
      <c r="P903" s="5"/>
    </row>
    <row r="904" spans="1:16">
      <c r="A904" t="str">
        <f t="shared" si="13"/>
        <v>RS11GCPSZ</v>
      </c>
      <c r="B904" t="s">
        <v>687</v>
      </c>
      <c r="C904" t="s">
        <v>166</v>
      </c>
      <c r="D904">
        <v>366</v>
      </c>
      <c r="E904">
        <v>366</v>
      </c>
      <c r="F904">
        <v>364</v>
      </c>
      <c r="G904">
        <v>368</v>
      </c>
      <c r="H904">
        <v>373</v>
      </c>
      <c r="I904">
        <v>373</v>
      </c>
      <c r="J904">
        <v>370</v>
      </c>
      <c r="K904">
        <v>371</v>
      </c>
      <c r="L904">
        <v>373</v>
      </c>
      <c r="M904">
        <v>375</v>
      </c>
      <c r="N904">
        <v>371</v>
      </c>
      <c r="O904">
        <v>367</v>
      </c>
      <c r="P904" s="5"/>
    </row>
    <row r="905" spans="1:16">
      <c r="A905" t="str">
        <f t="shared" si="13"/>
        <v>RS11GCPSZ ONPK</v>
      </c>
      <c r="B905" t="s">
        <v>687</v>
      </c>
      <c r="C905" t="s">
        <v>167</v>
      </c>
      <c r="D905">
        <v>366</v>
      </c>
      <c r="E905">
        <v>366</v>
      </c>
      <c r="F905">
        <v>364</v>
      </c>
      <c r="G905">
        <v>368</v>
      </c>
      <c r="H905">
        <v>373</v>
      </c>
      <c r="I905">
        <v>373</v>
      </c>
      <c r="J905">
        <v>370</v>
      </c>
      <c r="K905">
        <v>371</v>
      </c>
      <c r="L905">
        <v>373</v>
      </c>
      <c r="M905">
        <v>375</v>
      </c>
      <c r="N905">
        <v>371</v>
      </c>
      <c r="O905">
        <v>367</v>
      </c>
      <c r="P905" s="5"/>
    </row>
    <row r="906" spans="1:16">
      <c r="A906" t="str">
        <f t="shared" si="13"/>
        <v>RS11GCPSZ OFFPK</v>
      </c>
      <c r="B906" t="s">
        <v>687</v>
      </c>
      <c r="C906" t="s">
        <v>168</v>
      </c>
      <c r="D906">
        <v>366</v>
      </c>
      <c r="E906">
        <v>366</v>
      </c>
      <c r="F906">
        <v>364</v>
      </c>
      <c r="G906">
        <v>368</v>
      </c>
      <c r="H906">
        <v>373</v>
      </c>
      <c r="I906">
        <v>373</v>
      </c>
      <c r="J906">
        <v>370</v>
      </c>
      <c r="K906">
        <v>371</v>
      </c>
      <c r="L906">
        <v>373</v>
      </c>
      <c r="M906">
        <v>375</v>
      </c>
      <c r="N906">
        <v>371</v>
      </c>
      <c r="O906">
        <v>367</v>
      </c>
      <c r="P906" s="5"/>
    </row>
    <row r="907" spans="1:16">
      <c r="A907" t="str">
        <f t="shared" si="13"/>
        <v>RS11CPSZ</v>
      </c>
      <c r="B907" t="s">
        <v>687</v>
      </c>
      <c r="C907" t="s">
        <v>169</v>
      </c>
      <c r="D907">
        <v>366</v>
      </c>
      <c r="E907">
        <v>366</v>
      </c>
      <c r="F907">
        <v>364</v>
      </c>
      <c r="G907">
        <v>368</v>
      </c>
      <c r="H907">
        <v>373</v>
      </c>
      <c r="I907">
        <v>373</v>
      </c>
      <c r="J907">
        <v>370</v>
      </c>
      <c r="K907">
        <v>371</v>
      </c>
      <c r="L907">
        <v>373</v>
      </c>
      <c r="M907">
        <v>375</v>
      </c>
      <c r="N907">
        <v>371</v>
      </c>
      <c r="O907">
        <v>367</v>
      </c>
    </row>
    <row r="908" spans="1:16">
      <c r="A908" t="str">
        <f t="shared" si="13"/>
        <v/>
      </c>
      <c r="P908" s="5"/>
    </row>
    <row r="909" spans="1:16">
      <c r="A909" t="str">
        <f t="shared" si="13"/>
        <v/>
      </c>
      <c r="P909" s="5"/>
    </row>
    <row r="910" spans="1:16">
      <c r="A910" t="str">
        <f t="shared" si="13"/>
        <v/>
      </c>
      <c r="P910" s="5"/>
    </row>
    <row r="911" spans="1:16">
      <c r="A911" t="str">
        <f t="shared" si="13"/>
        <v/>
      </c>
      <c r="P911" s="5"/>
    </row>
    <row r="912" spans="1:16">
      <c r="A912" t="str">
        <f t="shared" si="13"/>
        <v/>
      </c>
      <c r="P912" s="5"/>
    </row>
    <row r="913" spans="1:16">
      <c r="A913" t="str">
        <f t="shared" si="13"/>
        <v/>
      </c>
      <c r="P913" s="5"/>
    </row>
    <row r="914" spans="1:16">
      <c r="A914" t="str">
        <f t="shared" si="13"/>
        <v/>
      </c>
      <c r="P914" s="5"/>
    </row>
    <row r="915" spans="1:16">
      <c r="A915" t="str">
        <f t="shared" si="13"/>
        <v/>
      </c>
    </row>
    <row r="916" spans="1:16">
      <c r="A916" t="str">
        <f t="shared" si="13"/>
        <v/>
      </c>
    </row>
    <row r="917" spans="1:16">
      <c r="A917" t="str">
        <f t="shared" si="13"/>
        <v xml:space="preserve">RS11 RS(T)-1 Residential Service 1 with TOU included (Sampled) </v>
      </c>
      <c r="B917" t="s">
        <v>686</v>
      </c>
      <c r="C917" t="s">
        <v>28</v>
      </c>
    </row>
    <row r="918" spans="1:16">
      <c r="A918" t="str">
        <f t="shared" si="13"/>
        <v xml:space="preserve">RS11MONTH </v>
      </c>
      <c r="B918" t="s">
        <v>687</v>
      </c>
      <c r="C918" t="s">
        <v>123</v>
      </c>
      <c r="D918" s="4">
        <v>40909</v>
      </c>
      <c r="E918" s="4">
        <v>40940</v>
      </c>
      <c r="F918" s="4">
        <v>40969</v>
      </c>
      <c r="G918" s="4">
        <v>41000</v>
      </c>
      <c r="H918" s="4">
        <v>41030</v>
      </c>
      <c r="I918" s="4">
        <v>41061</v>
      </c>
      <c r="J918" s="4">
        <v>41091</v>
      </c>
      <c r="K918" s="4">
        <v>41122</v>
      </c>
      <c r="L918" s="4">
        <v>41153</v>
      </c>
      <c r="M918" s="4">
        <v>41183</v>
      </c>
      <c r="N918" s="4">
        <v>41214</v>
      </c>
      <c r="O918" s="4">
        <v>41244</v>
      </c>
    </row>
    <row r="919" spans="1:16">
      <c r="A919" t="str">
        <f t="shared" si="13"/>
        <v/>
      </c>
    </row>
    <row r="920" spans="1:16">
      <c r="A920" t="str">
        <f t="shared" si="13"/>
        <v>RS11SDR GCP</v>
      </c>
      <c r="B920" t="s">
        <v>687</v>
      </c>
      <c r="C920" t="s">
        <v>171</v>
      </c>
      <c r="D920">
        <v>1.46</v>
      </c>
      <c r="E920">
        <v>1.423</v>
      </c>
      <c r="F920">
        <v>0.63400000000000001</v>
      </c>
      <c r="G920">
        <v>0.66700000000000004</v>
      </c>
      <c r="H920">
        <v>0.63100000000000001</v>
      </c>
      <c r="I920">
        <v>0.72899999999999998</v>
      </c>
      <c r="J920">
        <v>0.73099999999999998</v>
      </c>
      <c r="K920">
        <v>0.66700000000000004</v>
      </c>
      <c r="L920">
        <v>0.69</v>
      </c>
      <c r="M920">
        <v>0.628</v>
      </c>
      <c r="N920">
        <v>0.66700000000000004</v>
      </c>
      <c r="O920">
        <v>0.69199999999999995</v>
      </c>
    </row>
    <row r="921" spans="1:16">
      <c r="A921" t="str">
        <f t="shared" si="13"/>
        <v>RS11SDR GCP ONPK</v>
      </c>
      <c r="B921" t="s">
        <v>687</v>
      </c>
      <c r="C921" t="s">
        <v>172</v>
      </c>
      <c r="D921">
        <v>1.46</v>
      </c>
      <c r="E921">
        <v>1.423</v>
      </c>
      <c r="F921">
        <v>0.61699999999999999</v>
      </c>
      <c r="G921">
        <v>0.66700000000000004</v>
      </c>
      <c r="H921">
        <v>0.63100000000000001</v>
      </c>
      <c r="I921">
        <v>0.64700000000000002</v>
      </c>
      <c r="J921">
        <v>0.63400000000000001</v>
      </c>
      <c r="K921">
        <v>0.66700000000000004</v>
      </c>
      <c r="L921">
        <v>0.60699999999999998</v>
      </c>
      <c r="M921">
        <v>0.628</v>
      </c>
      <c r="N921">
        <v>0.626</v>
      </c>
      <c r="O921">
        <v>0.69199999999999995</v>
      </c>
    </row>
    <row r="922" spans="1:16">
      <c r="A922" t="str">
        <f t="shared" si="13"/>
        <v>RS11SDR GCP OFFP</v>
      </c>
      <c r="B922" t="s">
        <v>687</v>
      </c>
      <c r="C922" t="s">
        <v>219</v>
      </c>
      <c r="D922">
        <v>1.1639999999999999</v>
      </c>
      <c r="E922">
        <v>0.64600000000000002</v>
      </c>
      <c r="F922">
        <v>0.63400000000000001</v>
      </c>
      <c r="G922">
        <v>0.77</v>
      </c>
      <c r="H922">
        <v>0.77300000000000002</v>
      </c>
      <c r="I922">
        <v>0.72899999999999998</v>
      </c>
      <c r="J922">
        <v>0.73099999999999998</v>
      </c>
      <c r="K922">
        <v>0.72299999999999998</v>
      </c>
      <c r="L922">
        <v>0.69</v>
      </c>
      <c r="M922">
        <v>0.64600000000000002</v>
      </c>
      <c r="N922">
        <v>0.66700000000000004</v>
      </c>
      <c r="O922">
        <v>0.76600000000000001</v>
      </c>
      <c r="P922" s="4"/>
    </row>
    <row r="923" spans="1:16">
      <c r="A923" t="str">
        <f t="shared" si="13"/>
        <v>RS11SDR CP</v>
      </c>
      <c r="B923" t="s">
        <v>687</v>
      </c>
      <c r="C923" t="s">
        <v>174</v>
      </c>
      <c r="D923">
        <v>1.46</v>
      </c>
      <c r="E923">
        <v>0.57499999999999996</v>
      </c>
      <c r="F923">
        <v>0.61499999999999999</v>
      </c>
      <c r="G923">
        <v>0.67800000000000005</v>
      </c>
      <c r="H923">
        <v>0.65200000000000002</v>
      </c>
      <c r="I923">
        <v>0.60799999999999998</v>
      </c>
      <c r="J923">
        <v>0.625</v>
      </c>
      <c r="K923">
        <v>0.69699999999999995</v>
      </c>
      <c r="L923">
        <v>0.70399999999999996</v>
      </c>
      <c r="M923">
        <v>0.66200000000000003</v>
      </c>
      <c r="N923">
        <v>0.626</v>
      </c>
      <c r="O923">
        <v>0.67300000000000004</v>
      </c>
    </row>
    <row r="924" spans="1:16">
      <c r="A924" t="str">
        <f t="shared" si="13"/>
        <v/>
      </c>
    </row>
    <row r="925" spans="1:16">
      <c r="A925" t="str">
        <f t="shared" si="13"/>
        <v>RS11I   SDR GCP</v>
      </c>
      <c r="B925" t="s">
        <v>687</v>
      </c>
      <c r="C925" t="s">
        <v>220</v>
      </c>
      <c r="D925">
        <v>1.841</v>
      </c>
      <c r="E925">
        <v>1.9870000000000001</v>
      </c>
      <c r="F925">
        <v>0.74399999999999999</v>
      </c>
      <c r="G925">
        <v>0.80700000000000005</v>
      </c>
      <c r="H925">
        <v>0.69799999999999995</v>
      </c>
      <c r="I925">
        <v>0.81299999999999994</v>
      </c>
      <c r="J925">
        <v>1.1180000000000001</v>
      </c>
      <c r="K925">
        <v>0.67100000000000004</v>
      </c>
      <c r="L925">
        <v>0.874</v>
      </c>
      <c r="M925">
        <v>0.77600000000000002</v>
      </c>
      <c r="N925">
        <v>0.73199999999999998</v>
      </c>
      <c r="O925">
        <v>0.67200000000000004</v>
      </c>
    </row>
    <row r="926" spans="1:16">
      <c r="A926" t="str">
        <f t="shared" si="13"/>
        <v>RS11I   SDR GCP ONPK</v>
      </c>
      <c r="B926" t="s">
        <v>687</v>
      </c>
      <c r="C926" t="s">
        <v>221</v>
      </c>
      <c r="D926">
        <v>1.841</v>
      </c>
      <c r="E926">
        <v>1.9870000000000001</v>
      </c>
      <c r="F926">
        <v>0.78400000000000003</v>
      </c>
      <c r="G926">
        <v>0.80700000000000005</v>
      </c>
      <c r="H926">
        <v>0.69799999999999995</v>
      </c>
      <c r="I926">
        <v>0.872</v>
      </c>
      <c r="J926">
        <v>0.622</v>
      </c>
      <c r="K926">
        <v>0.67100000000000004</v>
      </c>
      <c r="L926">
        <v>0.81699999999999995</v>
      </c>
      <c r="M926">
        <v>0.77600000000000002</v>
      </c>
      <c r="N926">
        <v>0.49</v>
      </c>
      <c r="O926">
        <v>0.67200000000000004</v>
      </c>
    </row>
    <row r="927" spans="1:16">
      <c r="A927" t="str">
        <f t="shared" si="13"/>
        <v>RS11I   SDR GCP OFFPK</v>
      </c>
      <c r="B927" t="s">
        <v>687</v>
      </c>
      <c r="C927" t="s">
        <v>222</v>
      </c>
      <c r="D927">
        <v>1.6739999999999999</v>
      </c>
      <c r="E927">
        <v>0.73599999999999999</v>
      </c>
      <c r="F927">
        <v>0.74399999999999999</v>
      </c>
      <c r="G927">
        <v>0.95199999999999996</v>
      </c>
      <c r="H927">
        <v>0.92100000000000004</v>
      </c>
      <c r="I927">
        <v>0.81299999999999994</v>
      </c>
      <c r="J927">
        <v>1.1180000000000001</v>
      </c>
      <c r="K927">
        <v>0.85799999999999998</v>
      </c>
      <c r="L927">
        <v>0.874</v>
      </c>
      <c r="M927">
        <v>0.747</v>
      </c>
      <c r="N927">
        <v>0.73199999999999998</v>
      </c>
      <c r="O927">
        <v>0.98899999999999999</v>
      </c>
    </row>
    <row r="928" spans="1:16">
      <c r="A928" t="str">
        <f t="shared" si="13"/>
        <v>RS11I   SDR CP</v>
      </c>
      <c r="B928" t="s">
        <v>687</v>
      </c>
      <c r="C928" t="s">
        <v>638</v>
      </c>
      <c r="D928">
        <v>1.841</v>
      </c>
      <c r="E928">
        <v>0.77</v>
      </c>
      <c r="F928">
        <v>0.68200000000000005</v>
      </c>
      <c r="G928">
        <v>0.89400000000000002</v>
      </c>
      <c r="H928">
        <v>0.70099999999999996</v>
      </c>
      <c r="I928">
        <v>0.81200000000000006</v>
      </c>
      <c r="J928">
        <v>0.877</v>
      </c>
      <c r="K928">
        <v>0.67900000000000005</v>
      </c>
      <c r="L928">
        <v>0.69599999999999995</v>
      </c>
      <c r="M928">
        <v>0.88200000000000001</v>
      </c>
      <c r="N928">
        <v>0.49</v>
      </c>
      <c r="O928">
        <v>0.68700000000000006</v>
      </c>
    </row>
    <row r="929" spans="1:16">
      <c r="A929" t="str">
        <f t="shared" si="13"/>
        <v/>
      </c>
    </row>
    <row r="930" spans="1:16">
      <c r="A930" t="str">
        <f t="shared" si="13"/>
        <v>RS11II  SDR GCP</v>
      </c>
      <c r="B930" t="s">
        <v>687</v>
      </c>
      <c r="C930" t="s">
        <v>223</v>
      </c>
      <c r="D930">
        <v>2.69</v>
      </c>
      <c r="E930">
        <v>2.371</v>
      </c>
      <c r="F930">
        <v>1.169</v>
      </c>
      <c r="G930">
        <v>1.304</v>
      </c>
      <c r="H930">
        <v>1.1859999999999999</v>
      </c>
      <c r="I930">
        <v>1.3240000000000001</v>
      </c>
      <c r="J930">
        <v>1.294</v>
      </c>
      <c r="K930">
        <v>1.38</v>
      </c>
      <c r="L930">
        <v>1.3620000000000001</v>
      </c>
      <c r="M930">
        <v>1.23</v>
      </c>
      <c r="N930">
        <v>1.2869999999999999</v>
      </c>
      <c r="O930">
        <v>1.3340000000000001</v>
      </c>
    </row>
    <row r="931" spans="1:16">
      <c r="A931" t="str">
        <f t="shared" si="13"/>
        <v>RS11II  SDR GCP ONPK</v>
      </c>
      <c r="B931" t="s">
        <v>687</v>
      </c>
      <c r="C931" t="s">
        <v>224</v>
      </c>
      <c r="D931">
        <v>2.69</v>
      </c>
      <c r="E931">
        <v>2.371</v>
      </c>
      <c r="F931">
        <v>1.167</v>
      </c>
      <c r="G931">
        <v>1.304</v>
      </c>
      <c r="H931">
        <v>1.1859999999999999</v>
      </c>
      <c r="I931">
        <v>1.21</v>
      </c>
      <c r="J931">
        <v>1.369</v>
      </c>
      <c r="K931">
        <v>1.38</v>
      </c>
      <c r="L931">
        <v>1.173</v>
      </c>
      <c r="M931">
        <v>1.23</v>
      </c>
      <c r="N931">
        <v>1.2609999999999999</v>
      </c>
      <c r="O931">
        <v>1.3340000000000001</v>
      </c>
    </row>
    <row r="932" spans="1:16">
      <c r="A932" t="str">
        <f t="shared" si="13"/>
        <v>RS11II  SDR GCP OFFPK</v>
      </c>
      <c r="B932" t="s">
        <v>687</v>
      </c>
      <c r="C932" t="s">
        <v>225</v>
      </c>
      <c r="D932">
        <v>1.8120000000000001</v>
      </c>
      <c r="E932">
        <v>1.137</v>
      </c>
      <c r="F932">
        <v>1.169</v>
      </c>
      <c r="G932">
        <v>1.5289999999999999</v>
      </c>
      <c r="H932">
        <v>1.536</v>
      </c>
      <c r="I932">
        <v>1.3240000000000001</v>
      </c>
      <c r="J932">
        <v>1.294</v>
      </c>
      <c r="K932">
        <v>1.298</v>
      </c>
      <c r="L932">
        <v>1.3620000000000001</v>
      </c>
      <c r="M932">
        <v>1.2310000000000001</v>
      </c>
      <c r="N932">
        <v>1.2869999999999999</v>
      </c>
      <c r="O932">
        <v>1.274</v>
      </c>
    </row>
    <row r="933" spans="1:16">
      <c r="A933" t="str">
        <f t="shared" si="13"/>
        <v>RS11II  SDR CP</v>
      </c>
      <c r="B933" t="s">
        <v>687</v>
      </c>
      <c r="C933" t="s">
        <v>226</v>
      </c>
      <c r="D933">
        <v>2.69</v>
      </c>
      <c r="E933">
        <v>0.96099999999999997</v>
      </c>
      <c r="F933">
        <v>1.1279999999999999</v>
      </c>
      <c r="G933">
        <v>1.2170000000000001</v>
      </c>
      <c r="H933">
        <v>1.2569999999999999</v>
      </c>
      <c r="I933">
        <v>1.155</v>
      </c>
      <c r="J933">
        <v>1.196</v>
      </c>
      <c r="K933">
        <v>1.4530000000000001</v>
      </c>
      <c r="L933">
        <v>1.41</v>
      </c>
      <c r="M933">
        <v>1.2549999999999999</v>
      </c>
      <c r="N933">
        <v>1.2609999999999999</v>
      </c>
      <c r="O933">
        <v>1.2030000000000001</v>
      </c>
    </row>
    <row r="934" spans="1:16">
      <c r="A934" t="str">
        <f t="shared" si="13"/>
        <v/>
      </c>
    </row>
    <row r="935" spans="1:16">
      <c r="A935" t="str">
        <f t="shared" si="13"/>
        <v>RS11III SDR GCP</v>
      </c>
      <c r="B935" t="s">
        <v>687</v>
      </c>
      <c r="C935" t="s">
        <v>227</v>
      </c>
      <c r="D935">
        <v>3.5139999999999998</v>
      </c>
      <c r="E935">
        <v>3.6440000000000001</v>
      </c>
      <c r="F935">
        <v>1.593</v>
      </c>
      <c r="G935">
        <v>1.476</v>
      </c>
      <c r="H935">
        <v>1.554</v>
      </c>
      <c r="I935">
        <v>1.9119999999999999</v>
      </c>
      <c r="J935">
        <v>1.5960000000000001</v>
      </c>
      <c r="K935">
        <v>1.4370000000000001</v>
      </c>
      <c r="L935">
        <v>1.4330000000000001</v>
      </c>
      <c r="M935">
        <v>1.359</v>
      </c>
      <c r="N935">
        <v>1.597</v>
      </c>
      <c r="O935">
        <v>1.736</v>
      </c>
    </row>
    <row r="936" spans="1:16">
      <c r="A936" t="str">
        <f t="shared" si="13"/>
        <v>RS11III SDR GCP ONPK</v>
      </c>
      <c r="B936" t="s">
        <v>687</v>
      </c>
      <c r="C936" t="s">
        <v>228</v>
      </c>
      <c r="D936">
        <v>3.5139999999999998</v>
      </c>
      <c r="E936">
        <v>3.6440000000000001</v>
      </c>
      <c r="F936">
        <v>1.397</v>
      </c>
      <c r="G936">
        <v>1.476</v>
      </c>
      <c r="H936">
        <v>1.554</v>
      </c>
      <c r="I936">
        <v>1.4379999999999999</v>
      </c>
      <c r="J936">
        <v>1.2330000000000001</v>
      </c>
      <c r="K936">
        <v>1.4370000000000001</v>
      </c>
      <c r="L936">
        <v>1.2430000000000001</v>
      </c>
      <c r="M936">
        <v>1.359</v>
      </c>
      <c r="N936">
        <v>1.5760000000000001</v>
      </c>
      <c r="O936">
        <v>1.736</v>
      </c>
    </row>
    <row r="937" spans="1:16">
      <c r="A937" t="str">
        <f t="shared" si="13"/>
        <v>RS11III SDR GCP OFFPK</v>
      </c>
      <c r="B937" t="s">
        <v>687</v>
      </c>
      <c r="C937" t="s">
        <v>229</v>
      </c>
      <c r="D937">
        <v>3.113</v>
      </c>
      <c r="E937">
        <v>1.738</v>
      </c>
      <c r="F937">
        <v>1.593</v>
      </c>
      <c r="G937">
        <v>1.6040000000000001</v>
      </c>
      <c r="H937">
        <v>1.639</v>
      </c>
      <c r="I937">
        <v>1.9119999999999999</v>
      </c>
      <c r="J937">
        <v>1.5960000000000001</v>
      </c>
      <c r="K937">
        <v>1.8460000000000001</v>
      </c>
      <c r="L937">
        <v>1.4330000000000001</v>
      </c>
      <c r="M937">
        <v>1.51</v>
      </c>
      <c r="N937">
        <v>1.597</v>
      </c>
      <c r="O937">
        <v>2.0830000000000002</v>
      </c>
    </row>
    <row r="938" spans="1:16">
      <c r="A938" t="str">
        <f t="shared" si="13"/>
        <v>RS11III SDR CP</v>
      </c>
      <c r="B938" t="s">
        <v>687</v>
      </c>
      <c r="C938" t="s">
        <v>230</v>
      </c>
      <c r="D938">
        <v>3.5139999999999998</v>
      </c>
      <c r="E938">
        <v>1.4810000000000001</v>
      </c>
      <c r="F938">
        <v>1.601</v>
      </c>
      <c r="G938">
        <v>1.64</v>
      </c>
      <c r="H938">
        <v>1.583</v>
      </c>
      <c r="I938">
        <v>1.3160000000000001</v>
      </c>
      <c r="J938">
        <v>1.266</v>
      </c>
      <c r="K938">
        <v>1.512</v>
      </c>
      <c r="L938">
        <v>1.6639999999999999</v>
      </c>
      <c r="M938">
        <v>1.4450000000000001</v>
      </c>
      <c r="N938">
        <v>1.5760000000000001</v>
      </c>
      <c r="O938">
        <v>1.8540000000000001</v>
      </c>
    </row>
    <row r="939" spans="1:16">
      <c r="A939" t="str">
        <f t="shared" si="13"/>
        <v/>
      </c>
    </row>
    <row r="940" spans="1:16">
      <c r="A940" t="str">
        <f t="shared" si="13"/>
        <v>RS11IV  SDR GCP</v>
      </c>
      <c r="B940" t="s">
        <v>687</v>
      </c>
      <c r="C940" t="s">
        <v>231</v>
      </c>
      <c r="D940">
        <v>4.109</v>
      </c>
      <c r="E940">
        <v>4.8620000000000001</v>
      </c>
      <c r="F940">
        <v>1.7849999999999999</v>
      </c>
      <c r="G940">
        <v>1.903</v>
      </c>
      <c r="H940">
        <v>2.3730000000000002</v>
      </c>
      <c r="I940">
        <v>2.1739999999999999</v>
      </c>
      <c r="J940">
        <v>1.835</v>
      </c>
      <c r="K940">
        <v>1.9930000000000001</v>
      </c>
      <c r="L940">
        <v>2.1110000000000002</v>
      </c>
      <c r="M940">
        <v>1.7949999999999999</v>
      </c>
      <c r="N940">
        <v>2.2389999999999999</v>
      </c>
      <c r="O940">
        <v>2.5779999999999998</v>
      </c>
      <c r="P940" s="4"/>
    </row>
    <row r="941" spans="1:16">
      <c r="A941" t="str">
        <f t="shared" si="13"/>
        <v>RS11IV  SDR GCP ONPK</v>
      </c>
      <c r="B941" t="s">
        <v>687</v>
      </c>
      <c r="C941" t="s">
        <v>232</v>
      </c>
      <c r="D941">
        <v>4.109</v>
      </c>
      <c r="E941">
        <v>4.8620000000000001</v>
      </c>
      <c r="F941">
        <v>2.0710000000000002</v>
      </c>
      <c r="G941">
        <v>1.903</v>
      </c>
      <c r="H941">
        <v>2.3730000000000002</v>
      </c>
      <c r="I941">
        <v>1.889</v>
      </c>
      <c r="J941">
        <v>1.5589999999999999</v>
      </c>
      <c r="K941">
        <v>1.9930000000000001</v>
      </c>
      <c r="L941">
        <v>1.9890000000000001</v>
      </c>
      <c r="M941">
        <v>1.7949999999999999</v>
      </c>
      <c r="N941">
        <v>1.6739999999999999</v>
      </c>
      <c r="O941">
        <v>2.5779999999999998</v>
      </c>
    </row>
    <row r="942" spans="1:16">
      <c r="A942" t="str">
        <f t="shared" si="13"/>
        <v>RS11IV  SDR GCP OFFPK</v>
      </c>
      <c r="B942" t="s">
        <v>687</v>
      </c>
      <c r="C942" t="s">
        <v>233</v>
      </c>
      <c r="D942">
        <v>4.5880000000000001</v>
      </c>
      <c r="E942">
        <v>2.218</v>
      </c>
      <c r="F942">
        <v>1.7849999999999999</v>
      </c>
      <c r="G942">
        <v>2.363</v>
      </c>
      <c r="H942">
        <v>2.78</v>
      </c>
      <c r="I942">
        <v>2.1739999999999999</v>
      </c>
      <c r="J942">
        <v>1.835</v>
      </c>
      <c r="K942">
        <v>2.835</v>
      </c>
      <c r="L942">
        <v>2.1110000000000002</v>
      </c>
      <c r="M942">
        <v>2.5979999999999999</v>
      </c>
      <c r="N942">
        <v>2.2389999999999999</v>
      </c>
      <c r="O942">
        <v>2.1019999999999999</v>
      </c>
    </row>
    <row r="943" spans="1:16">
      <c r="A943" t="str">
        <f t="shared" si="13"/>
        <v>RS11IV  SDR CP</v>
      </c>
      <c r="B943" t="s">
        <v>687</v>
      </c>
      <c r="C943" t="s">
        <v>234</v>
      </c>
      <c r="D943">
        <v>4.109</v>
      </c>
      <c r="E943">
        <v>2.6</v>
      </c>
      <c r="F943">
        <v>1.583</v>
      </c>
      <c r="G943">
        <v>2.0699999999999998</v>
      </c>
      <c r="H943">
        <v>1.8819999999999999</v>
      </c>
      <c r="I943">
        <v>1.877</v>
      </c>
      <c r="J943">
        <v>1.8440000000000001</v>
      </c>
      <c r="K943">
        <v>1.637</v>
      </c>
      <c r="L943">
        <v>1.7509999999999999</v>
      </c>
      <c r="M943">
        <v>1.8140000000000001</v>
      </c>
      <c r="N943">
        <v>1.6739999999999999</v>
      </c>
      <c r="O943">
        <v>2.2130000000000001</v>
      </c>
    </row>
    <row r="944" spans="1:16">
      <c r="A944" t="str">
        <f t="shared" si="13"/>
        <v/>
      </c>
    </row>
    <row r="945" spans="1:16">
      <c r="A945" t="str">
        <f t="shared" si="13"/>
        <v/>
      </c>
    </row>
    <row r="946" spans="1:16">
      <c r="A946" t="str">
        <f t="shared" si="13"/>
        <v/>
      </c>
      <c r="P946" s="91"/>
    </row>
    <row r="947" spans="1:16">
      <c r="A947" t="str">
        <f t="shared" si="13"/>
        <v/>
      </c>
    </row>
    <row r="948" spans="1:16">
      <c r="A948" t="str">
        <f t="shared" si="13"/>
        <v/>
      </c>
    </row>
    <row r="949" spans="1:16">
      <c r="A949" t="str">
        <f t="shared" si="13"/>
        <v/>
      </c>
      <c r="P949" s="5"/>
    </row>
    <row r="950" spans="1:16">
      <c r="A950" t="str">
        <f t="shared" ref="A950:A1013" si="14">B950&amp;C950</f>
        <v/>
      </c>
      <c r="P950" s="5"/>
    </row>
    <row r="951" spans="1:16">
      <c r="A951" t="str">
        <f t="shared" si="14"/>
        <v/>
      </c>
    </row>
    <row r="952" spans="1:16">
      <c r="A952" t="str">
        <f t="shared" si="14"/>
        <v/>
      </c>
      <c r="P952" s="89"/>
    </row>
    <row r="953" spans="1:16">
      <c r="A953" t="str">
        <f t="shared" si="14"/>
        <v/>
      </c>
    </row>
    <row r="954" spans="1:16">
      <c r="A954" t="str">
        <f t="shared" si="14"/>
        <v/>
      </c>
    </row>
    <row r="955" spans="1:16">
      <c r="A955" t="str">
        <f t="shared" si="14"/>
        <v/>
      </c>
    </row>
    <row r="956" spans="1:16">
      <c r="A956" t="str">
        <f t="shared" si="14"/>
        <v/>
      </c>
    </row>
    <row r="957" spans="1:16">
      <c r="A957" t="str">
        <f t="shared" si="14"/>
        <v/>
      </c>
      <c r="P957" s="87"/>
    </row>
    <row r="958" spans="1:16">
      <c r="A958" t="str">
        <f t="shared" si="14"/>
        <v/>
      </c>
    </row>
    <row r="959" spans="1:16">
      <c r="A959" t="str">
        <f t="shared" si="14"/>
        <v/>
      </c>
    </row>
    <row r="960" spans="1:16">
      <c r="A960" t="str">
        <f t="shared" si="14"/>
        <v/>
      </c>
      <c r="P960" s="83"/>
    </row>
    <row r="961" spans="1:16">
      <c r="A961" t="str">
        <f t="shared" si="14"/>
        <v/>
      </c>
      <c r="P961" s="1"/>
    </row>
    <row r="962" spans="1:16">
      <c r="A962" t="str">
        <f t="shared" si="14"/>
        <v/>
      </c>
      <c r="P962" s="5"/>
    </row>
    <row r="963" spans="1:16">
      <c r="A963" t="str">
        <f t="shared" si="14"/>
        <v/>
      </c>
      <c r="P963" s="5"/>
    </row>
    <row r="964" spans="1:16">
      <c r="A964" t="str">
        <f t="shared" si="14"/>
        <v/>
      </c>
      <c r="P964" s="5"/>
    </row>
    <row r="965" spans="1:16">
      <c r="A965" t="str">
        <f t="shared" si="14"/>
        <v/>
      </c>
      <c r="P965" s="5"/>
    </row>
    <row r="966" spans="1:16">
      <c r="A966" t="str">
        <f t="shared" si="14"/>
        <v/>
      </c>
      <c r="P966" s="5"/>
    </row>
    <row r="967" spans="1:16">
      <c r="A967" t="str">
        <f t="shared" si="14"/>
        <v/>
      </c>
      <c r="P967" s="5"/>
    </row>
    <row r="968" spans="1:16">
      <c r="A968" t="str">
        <f t="shared" si="14"/>
        <v/>
      </c>
      <c r="P968" s="5"/>
    </row>
    <row r="969" spans="1:16">
      <c r="A969" t="str">
        <f t="shared" si="14"/>
        <v/>
      </c>
      <c r="P969" s="5"/>
    </row>
    <row r="970" spans="1:16">
      <c r="A970" t="str">
        <f t="shared" si="14"/>
        <v/>
      </c>
      <c r="P970" s="5"/>
    </row>
    <row r="971" spans="1:16">
      <c r="A971" t="str">
        <f t="shared" si="14"/>
        <v xml:space="preserve">SL01 Street Lighting (Modeled Rate Class) </v>
      </c>
      <c r="B971" s="307" t="s">
        <v>33</v>
      </c>
      <c r="C971" s="307" t="s">
        <v>34</v>
      </c>
      <c r="D971" s="307"/>
      <c r="E971" s="307"/>
      <c r="F971" s="307"/>
      <c r="G971" s="307"/>
      <c r="H971" s="307"/>
      <c r="I971" s="307"/>
      <c r="J971" s="307"/>
      <c r="K971" s="307"/>
      <c r="L971" s="307"/>
      <c r="M971" s="307"/>
      <c r="N971" s="307"/>
      <c r="O971" s="307"/>
    </row>
    <row r="972" spans="1:16">
      <c r="A972" t="str">
        <f t="shared" si="14"/>
        <v xml:space="preserve">SL01MONTH </v>
      </c>
      <c r="B972" s="307" t="s">
        <v>35</v>
      </c>
      <c r="C972" s="307" t="s">
        <v>123</v>
      </c>
      <c r="D972" s="308">
        <v>40909</v>
      </c>
      <c r="E972" s="308">
        <v>40940</v>
      </c>
      <c r="F972" s="308">
        <v>40969</v>
      </c>
      <c r="G972" s="308">
        <v>41000</v>
      </c>
      <c r="H972" s="308">
        <v>41030</v>
      </c>
      <c r="I972" s="308">
        <v>41061</v>
      </c>
      <c r="J972" s="308">
        <v>41091</v>
      </c>
      <c r="K972" s="308">
        <v>41122</v>
      </c>
      <c r="L972" s="308">
        <v>41153</v>
      </c>
      <c r="M972" s="308">
        <v>41183</v>
      </c>
      <c r="N972" s="308">
        <v>41214</v>
      </c>
      <c r="O972" s="308">
        <v>41244</v>
      </c>
      <c r="P972" s="5"/>
    </row>
    <row r="973" spans="1:16">
      <c r="A973" t="str">
        <f t="shared" si="14"/>
        <v xml:space="preserve">SL01CUSTOMERS </v>
      </c>
      <c r="B973" s="307" t="s">
        <v>35</v>
      </c>
      <c r="C973" s="307" t="s">
        <v>124</v>
      </c>
      <c r="D973" s="307">
        <v>8357</v>
      </c>
      <c r="E973" s="307">
        <v>8345</v>
      </c>
      <c r="F973" s="307">
        <v>8348</v>
      </c>
      <c r="G973" s="307">
        <v>8353</v>
      </c>
      <c r="H973" s="307">
        <v>8360</v>
      </c>
      <c r="I973" s="307">
        <v>8375</v>
      </c>
      <c r="J973" s="307">
        <v>8386</v>
      </c>
      <c r="K973" s="307">
        <v>8394</v>
      </c>
      <c r="L973" s="307">
        <v>8399</v>
      </c>
      <c r="M973" s="307">
        <v>8411</v>
      </c>
      <c r="N973" s="307">
        <v>8429</v>
      </c>
      <c r="O973" s="307">
        <v>8443</v>
      </c>
      <c r="P973" s="5"/>
    </row>
    <row r="974" spans="1:16">
      <c r="A974" t="str">
        <f t="shared" si="14"/>
        <v xml:space="preserve">SL01SALES </v>
      </c>
      <c r="B974" s="307" t="s">
        <v>35</v>
      </c>
      <c r="C974" s="307" t="s">
        <v>125</v>
      </c>
      <c r="D974" s="307">
        <v>41668746</v>
      </c>
      <c r="E974" s="307">
        <v>42011719</v>
      </c>
      <c r="F974" s="307">
        <v>42999581</v>
      </c>
      <c r="G974" s="307">
        <v>42670162</v>
      </c>
      <c r="H974" s="307">
        <v>41406832</v>
      </c>
      <c r="I974" s="307">
        <v>44640719</v>
      </c>
      <c r="J974" s="307">
        <v>40573526</v>
      </c>
      <c r="K974" s="307">
        <v>44054863</v>
      </c>
      <c r="L974" s="307">
        <v>42586639</v>
      </c>
      <c r="M974" s="307">
        <v>37269479</v>
      </c>
      <c r="N974" s="307">
        <v>47801078</v>
      </c>
      <c r="O974" s="307">
        <v>42673216</v>
      </c>
      <c r="P974" s="5"/>
    </row>
    <row r="975" spans="1:16">
      <c r="A975" t="str">
        <f t="shared" si="14"/>
        <v>SL01KW</v>
      </c>
      <c r="B975" s="307" t="s">
        <v>35</v>
      </c>
      <c r="C975" s="307" t="s">
        <v>126</v>
      </c>
      <c r="D975" s="307"/>
      <c r="E975" s="307"/>
      <c r="F975" s="307"/>
      <c r="G975" s="307"/>
      <c r="H975" s="307"/>
      <c r="I975" s="307"/>
      <c r="J975" s="307"/>
      <c r="K975" s="307"/>
      <c r="L975" s="307"/>
      <c r="M975" s="307"/>
      <c r="N975" s="307"/>
      <c r="O975" s="307"/>
      <c r="P975" s="5"/>
    </row>
    <row r="976" spans="1:16">
      <c r="A976" t="str">
        <f t="shared" si="14"/>
        <v>SL01N</v>
      </c>
      <c r="B976" s="307" t="s">
        <v>35</v>
      </c>
      <c r="C976" s="307" t="s">
        <v>127</v>
      </c>
      <c r="D976" s="307">
        <v>1</v>
      </c>
      <c r="E976" s="307">
        <v>1</v>
      </c>
      <c r="F976" s="307">
        <v>1</v>
      </c>
      <c r="G976" s="307">
        <v>1</v>
      </c>
      <c r="H976" s="307">
        <v>1</v>
      </c>
      <c r="I976" s="307">
        <v>1</v>
      </c>
      <c r="J976" s="307">
        <v>1</v>
      </c>
      <c r="K976" s="307">
        <v>1</v>
      </c>
      <c r="L976" s="307">
        <v>1</v>
      </c>
      <c r="M976" s="307">
        <v>1</v>
      </c>
      <c r="N976" s="307">
        <v>1</v>
      </c>
      <c r="O976" s="307">
        <v>1</v>
      </c>
      <c r="P976" s="5"/>
    </row>
    <row r="977" spans="1:16">
      <c r="A977" t="str">
        <f t="shared" si="14"/>
        <v>SL01RLR ENERGY:</v>
      </c>
      <c r="B977" s="307" t="s">
        <v>35</v>
      </c>
      <c r="C977" s="307" t="s">
        <v>61</v>
      </c>
      <c r="D977" s="307"/>
      <c r="E977" s="307"/>
      <c r="F977" s="307"/>
      <c r="G977" s="307"/>
      <c r="H977" s="307"/>
      <c r="I977" s="307"/>
      <c r="J977" s="307"/>
      <c r="K977" s="307"/>
      <c r="L977" s="307"/>
      <c r="M977" s="307"/>
      <c r="N977" s="307"/>
      <c r="O977" s="307"/>
      <c r="P977" s="5"/>
    </row>
    <row r="978" spans="1:16">
      <c r="A978" t="str">
        <f t="shared" si="14"/>
        <v>SL01KWH</v>
      </c>
      <c r="B978" s="307" t="s">
        <v>35</v>
      </c>
      <c r="C978" s="307" t="s">
        <v>128</v>
      </c>
      <c r="D978" s="307">
        <v>41668746</v>
      </c>
      <c r="E978" s="307">
        <v>42011719</v>
      </c>
      <c r="F978" s="307">
        <v>42999581</v>
      </c>
      <c r="G978" s="307">
        <v>42670162</v>
      </c>
      <c r="H978" s="307">
        <v>41406832</v>
      </c>
      <c r="I978" s="307">
        <v>44640719</v>
      </c>
      <c r="J978" s="307">
        <v>40573526</v>
      </c>
      <c r="K978" s="307">
        <v>44054863</v>
      </c>
      <c r="L978" s="307">
        <v>42586639</v>
      </c>
      <c r="M978" s="307">
        <v>37269479</v>
      </c>
      <c r="N978" s="307">
        <v>47679735</v>
      </c>
      <c r="O978" s="307">
        <v>42673216</v>
      </c>
      <c r="P978" s="5"/>
    </row>
    <row r="979" spans="1:16">
      <c r="A979" t="str">
        <f t="shared" si="14"/>
        <v>SL01KWH ONPK</v>
      </c>
      <c r="B979" s="307" t="s">
        <v>35</v>
      </c>
      <c r="C979" s="307" t="s">
        <v>129</v>
      </c>
      <c r="D979" s="307">
        <v>10872939</v>
      </c>
      <c r="E979" s="307">
        <v>11274979</v>
      </c>
      <c r="F979" s="307">
        <v>10159667</v>
      </c>
      <c r="G979" s="307">
        <v>3385415</v>
      </c>
      <c r="H979" s="307">
        <v>2842709</v>
      </c>
      <c r="I979" s="307">
        <v>2456009</v>
      </c>
      <c r="J979" s="307">
        <v>2096622</v>
      </c>
      <c r="K979" s="307">
        <v>3260223</v>
      </c>
      <c r="L979" s="307">
        <v>3731097</v>
      </c>
      <c r="M979" s="307">
        <v>4730541</v>
      </c>
      <c r="N979" s="307">
        <v>11933770</v>
      </c>
      <c r="O979" s="307">
        <v>10227463</v>
      </c>
    </row>
    <row r="980" spans="1:16">
      <c r="A980" t="str">
        <f t="shared" si="14"/>
        <v>SL01KWH OFFPK</v>
      </c>
      <c r="B980" s="307" t="s">
        <v>35</v>
      </c>
      <c r="C980" s="307" t="s">
        <v>130</v>
      </c>
      <c r="D980" s="307">
        <v>30795807</v>
      </c>
      <c r="E980" s="307">
        <v>30736740</v>
      </c>
      <c r="F980" s="307">
        <v>32839914</v>
      </c>
      <c r="G980" s="307">
        <v>39284747</v>
      </c>
      <c r="H980" s="307">
        <v>38564123</v>
      </c>
      <c r="I980" s="307">
        <v>42184710</v>
      </c>
      <c r="J980" s="307">
        <v>38476904</v>
      </c>
      <c r="K980" s="307">
        <v>40794640</v>
      </c>
      <c r="L980" s="307">
        <v>38855542</v>
      </c>
      <c r="M980" s="307">
        <v>32538938</v>
      </c>
      <c r="N980" s="307">
        <v>35745965</v>
      </c>
      <c r="O980" s="307">
        <v>32445753</v>
      </c>
    </row>
    <row r="981" spans="1:16">
      <c r="A981" t="str">
        <f t="shared" si="14"/>
        <v>SL01KWH ONPK%</v>
      </c>
      <c r="B981" s="307" t="s">
        <v>35</v>
      </c>
      <c r="C981" s="307" t="s">
        <v>131</v>
      </c>
      <c r="D981" s="309">
        <v>0.26094000000000001</v>
      </c>
      <c r="E981" s="309">
        <v>0.26838000000000001</v>
      </c>
      <c r="F981" s="309">
        <v>0.23627000000000001</v>
      </c>
      <c r="G981" s="309">
        <v>7.9339999999999994E-2</v>
      </c>
      <c r="H981" s="309">
        <v>6.8650000000000003E-2</v>
      </c>
      <c r="I981" s="309">
        <v>5.5019999999999999E-2</v>
      </c>
      <c r="J981" s="309">
        <v>5.1670000000000001E-2</v>
      </c>
      <c r="K981" s="309">
        <v>7.3999999999999996E-2</v>
      </c>
      <c r="L981" s="309">
        <v>8.7609999999999993E-2</v>
      </c>
      <c r="M981" s="309">
        <v>0.12692999999999999</v>
      </c>
      <c r="N981" s="309">
        <v>0.25029000000000001</v>
      </c>
      <c r="O981" s="309">
        <v>0.23966999999999999</v>
      </c>
    </row>
    <row r="982" spans="1:16">
      <c r="A982" t="str">
        <f t="shared" si="14"/>
        <v>SL01KWH OFFPK%</v>
      </c>
      <c r="B982" s="307" t="s">
        <v>35</v>
      </c>
      <c r="C982" s="307" t="s">
        <v>132</v>
      </c>
      <c r="D982" s="309">
        <v>0.73906000000000005</v>
      </c>
      <c r="E982" s="309">
        <v>0.73162000000000005</v>
      </c>
      <c r="F982" s="309">
        <v>0.76373000000000002</v>
      </c>
      <c r="G982" s="309">
        <v>0.92066000000000003</v>
      </c>
      <c r="H982" s="309">
        <v>0.93135000000000001</v>
      </c>
      <c r="I982" s="309">
        <v>0.94498000000000004</v>
      </c>
      <c r="J982" s="309">
        <v>0.94833000000000001</v>
      </c>
      <c r="K982" s="309">
        <v>0.92600000000000005</v>
      </c>
      <c r="L982" s="309">
        <v>0.91239000000000003</v>
      </c>
      <c r="M982" s="309">
        <v>0.87307000000000001</v>
      </c>
      <c r="N982" s="309">
        <v>0.74970999999999999</v>
      </c>
      <c r="O982" s="309">
        <v>0.76032999999999995</v>
      </c>
    </row>
    <row r="983" spans="1:16">
      <c r="A983" t="str">
        <f t="shared" si="14"/>
        <v>SL01DEMAND (KW):</v>
      </c>
      <c r="B983" s="307" t="s">
        <v>35</v>
      </c>
      <c r="C983" s="307" t="s">
        <v>62</v>
      </c>
      <c r="D983" s="307"/>
      <c r="E983" s="307"/>
      <c r="F983" s="307"/>
      <c r="G983" s="307"/>
      <c r="H983" s="307"/>
      <c r="I983" s="307"/>
      <c r="J983" s="307"/>
      <c r="K983" s="307"/>
      <c r="L983" s="307"/>
      <c r="M983" s="307"/>
      <c r="N983" s="307"/>
      <c r="O983" s="307"/>
    </row>
    <row r="984" spans="1:16">
      <c r="A984" t="str">
        <f t="shared" si="14"/>
        <v>SL01NCP</v>
      </c>
      <c r="B984" s="307" t="s">
        <v>35</v>
      </c>
      <c r="C984" s="307" t="s">
        <v>133</v>
      </c>
      <c r="D984" s="307">
        <v>101421</v>
      </c>
      <c r="E984" s="307">
        <v>113971</v>
      </c>
      <c r="F984" s="307">
        <v>116110</v>
      </c>
      <c r="G984" s="307">
        <v>126781</v>
      </c>
      <c r="H984" s="307">
        <v>125952</v>
      </c>
      <c r="I984" s="307">
        <v>144305</v>
      </c>
      <c r="J984" s="307">
        <v>125150</v>
      </c>
      <c r="K984" s="307">
        <v>129358</v>
      </c>
      <c r="L984" s="307">
        <v>121260</v>
      </c>
      <c r="M984" s="307">
        <v>96470</v>
      </c>
      <c r="N984" s="307">
        <v>121343</v>
      </c>
      <c r="O984" s="307">
        <v>102654</v>
      </c>
    </row>
    <row r="985" spans="1:16">
      <c r="A985" t="str">
        <f t="shared" si="14"/>
        <v>SL01NCP ONPK</v>
      </c>
      <c r="B985" s="307" t="s">
        <v>35</v>
      </c>
      <c r="C985" s="307" t="s">
        <v>134</v>
      </c>
      <c r="D985" s="307">
        <v>101421</v>
      </c>
      <c r="E985" s="307">
        <v>113971</v>
      </c>
      <c r="F985" s="307">
        <v>116110</v>
      </c>
      <c r="G985" s="307">
        <v>126781</v>
      </c>
      <c r="H985" s="307">
        <v>125952</v>
      </c>
      <c r="I985" s="307">
        <v>129712</v>
      </c>
      <c r="J985" s="307">
        <v>110548</v>
      </c>
      <c r="K985" s="307">
        <v>129358</v>
      </c>
      <c r="L985" s="307">
        <v>121260</v>
      </c>
      <c r="M985" s="307">
        <v>96470</v>
      </c>
      <c r="N985" s="307">
        <v>121343</v>
      </c>
      <c r="O985" s="307">
        <v>102654</v>
      </c>
    </row>
    <row r="986" spans="1:16">
      <c r="A986" t="str">
        <f t="shared" si="14"/>
        <v>SL01NCP OFFPK</v>
      </c>
      <c r="B986" s="307" t="s">
        <v>35</v>
      </c>
      <c r="C986" s="307" t="s">
        <v>135</v>
      </c>
      <c r="D986" s="307">
        <v>101421</v>
      </c>
      <c r="E986" s="307">
        <v>113971</v>
      </c>
      <c r="F986" s="307">
        <v>116110</v>
      </c>
      <c r="G986" s="307">
        <v>126781</v>
      </c>
      <c r="H986" s="307">
        <v>125952</v>
      </c>
      <c r="I986" s="307">
        <v>144305</v>
      </c>
      <c r="J986" s="307">
        <v>125150</v>
      </c>
      <c r="K986" s="307">
        <v>129358</v>
      </c>
      <c r="L986" s="307">
        <v>121260</v>
      </c>
      <c r="M986" s="307">
        <v>96470</v>
      </c>
      <c r="N986" s="307">
        <v>121343</v>
      </c>
      <c r="O986" s="307">
        <v>102654</v>
      </c>
      <c r="P986" s="4"/>
    </row>
    <row r="987" spans="1:16">
      <c r="A987" t="str">
        <f t="shared" si="14"/>
        <v>SL01GCP DATE</v>
      </c>
      <c r="B987" s="307" t="s">
        <v>35</v>
      </c>
      <c r="C987" s="307" t="s">
        <v>136</v>
      </c>
      <c r="D987" s="307" t="s">
        <v>930</v>
      </c>
      <c r="E987" s="307" t="s">
        <v>931</v>
      </c>
      <c r="F987" s="307" t="s">
        <v>23</v>
      </c>
      <c r="G987" s="307" t="s">
        <v>932</v>
      </c>
      <c r="H987" s="307" t="s">
        <v>933</v>
      </c>
      <c r="I987" s="307" t="s">
        <v>0</v>
      </c>
      <c r="J987" s="307" t="s">
        <v>934</v>
      </c>
      <c r="K987" s="307" t="s">
        <v>935</v>
      </c>
      <c r="L987" s="307" t="s">
        <v>929</v>
      </c>
      <c r="M987" s="307" t="s">
        <v>912</v>
      </c>
      <c r="N987" s="307" t="s">
        <v>181</v>
      </c>
      <c r="O987" s="307" t="s">
        <v>936</v>
      </c>
    </row>
    <row r="988" spans="1:16">
      <c r="A988" t="str">
        <f t="shared" si="14"/>
        <v>SL01GCP TIME</v>
      </c>
      <c r="B988" s="307" t="s">
        <v>35</v>
      </c>
      <c r="C988" s="307" t="s">
        <v>142</v>
      </c>
      <c r="D988" s="307" t="s">
        <v>201</v>
      </c>
      <c r="E988" s="307" t="s">
        <v>201</v>
      </c>
      <c r="F988" s="307" t="s">
        <v>201</v>
      </c>
      <c r="G988" s="307" t="s">
        <v>201</v>
      </c>
      <c r="H988" s="307" t="s">
        <v>201</v>
      </c>
      <c r="I988" s="307" t="s">
        <v>201</v>
      </c>
      <c r="J988" s="307" t="s">
        <v>201</v>
      </c>
      <c r="K988" s="307" t="s">
        <v>201</v>
      </c>
      <c r="L988" s="307" t="s">
        <v>201</v>
      </c>
      <c r="M988" s="307" t="s">
        <v>201</v>
      </c>
      <c r="N988" s="307" t="s">
        <v>201</v>
      </c>
      <c r="O988" s="307" t="s">
        <v>201</v>
      </c>
    </row>
    <row r="989" spans="1:16">
      <c r="A989" t="str">
        <f t="shared" si="14"/>
        <v>SL01GCP</v>
      </c>
      <c r="B989" s="307" t="s">
        <v>35</v>
      </c>
      <c r="C989" s="307" t="s">
        <v>147</v>
      </c>
      <c r="D989" s="307">
        <v>101421</v>
      </c>
      <c r="E989" s="307">
        <v>113971</v>
      </c>
      <c r="F989" s="307">
        <v>116110</v>
      </c>
      <c r="G989" s="307">
        <v>126781</v>
      </c>
      <c r="H989" s="307">
        <v>125952</v>
      </c>
      <c r="I989" s="307">
        <v>144305</v>
      </c>
      <c r="J989" s="307">
        <v>125150</v>
      </c>
      <c r="K989" s="307">
        <v>129358</v>
      </c>
      <c r="L989" s="307">
        <v>121260</v>
      </c>
      <c r="M989" s="307">
        <v>96470</v>
      </c>
      <c r="N989" s="307">
        <v>121343</v>
      </c>
      <c r="O989" s="307">
        <v>102654</v>
      </c>
    </row>
    <row r="990" spans="1:16">
      <c r="A990" t="str">
        <f t="shared" si="14"/>
        <v>SL01GCP ONPK</v>
      </c>
      <c r="B990" s="307" t="s">
        <v>35</v>
      </c>
      <c r="C990" s="307" t="s">
        <v>63</v>
      </c>
      <c r="D990" s="307">
        <v>101421</v>
      </c>
      <c r="E990" s="307">
        <v>113971</v>
      </c>
      <c r="F990" s="307">
        <v>116110</v>
      </c>
      <c r="G990" s="307">
        <v>126781</v>
      </c>
      <c r="H990" s="307">
        <v>125952</v>
      </c>
      <c r="I990" s="307">
        <v>129712</v>
      </c>
      <c r="J990" s="307">
        <v>110548</v>
      </c>
      <c r="K990" s="307">
        <v>129358</v>
      </c>
      <c r="L990" s="307">
        <v>121260</v>
      </c>
      <c r="M990" s="307">
        <v>96470</v>
      </c>
      <c r="N990" s="307">
        <v>121343</v>
      </c>
      <c r="O990" s="307">
        <v>102654</v>
      </c>
    </row>
    <row r="991" spans="1:16">
      <c r="A991" t="str">
        <f t="shared" si="14"/>
        <v>SL01GCP OFFPK</v>
      </c>
      <c r="B991" s="307" t="s">
        <v>35</v>
      </c>
      <c r="C991" s="307" t="s">
        <v>64</v>
      </c>
      <c r="D991" s="307">
        <v>101421</v>
      </c>
      <c r="E991" s="307">
        <v>113971</v>
      </c>
      <c r="F991" s="307">
        <v>116110</v>
      </c>
      <c r="G991" s="307">
        <v>126781</v>
      </c>
      <c r="H991" s="307">
        <v>125952</v>
      </c>
      <c r="I991" s="307">
        <v>144305</v>
      </c>
      <c r="J991" s="307">
        <v>125150</v>
      </c>
      <c r="K991" s="307">
        <v>129358</v>
      </c>
      <c r="L991" s="307">
        <v>121260</v>
      </c>
      <c r="M991" s="307">
        <v>96470</v>
      </c>
      <c r="N991" s="307">
        <v>121343</v>
      </c>
      <c r="O991" s="307">
        <v>102654</v>
      </c>
    </row>
    <row r="992" spans="1:16">
      <c r="A992" t="str">
        <f t="shared" si="14"/>
        <v>SL01CP</v>
      </c>
      <c r="B992" s="307" t="s">
        <v>35</v>
      </c>
      <c r="C992" s="307" t="s">
        <v>148</v>
      </c>
      <c r="D992" s="307">
        <v>11860</v>
      </c>
      <c r="E992" s="307">
        <v>0</v>
      </c>
      <c r="F992" s="307">
        <v>0</v>
      </c>
      <c r="G992" s="307">
        <v>0</v>
      </c>
      <c r="H992" s="307">
        <v>0</v>
      </c>
      <c r="I992" s="307">
        <v>0</v>
      </c>
      <c r="J992" s="307">
        <v>0</v>
      </c>
      <c r="K992" s="307">
        <v>0</v>
      </c>
      <c r="L992" s="307">
        <v>0</v>
      </c>
      <c r="M992" s="307">
        <v>0</v>
      </c>
      <c r="N992" s="307">
        <v>121343</v>
      </c>
      <c r="O992" s="307">
        <v>102654</v>
      </c>
    </row>
    <row r="993" spans="1:16">
      <c r="A993" t="str">
        <f t="shared" si="14"/>
        <v>SL01PERIOD START</v>
      </c>
      <c r="B993" s="307" t="s">
        <v>35</v>
      </c>
      <c r="C993" s="307" t="s">
        <v>149</v>
      </c>
      <c r="D993" s="310">
        <v>40909</v>
      </c>
      <c r="E993" s="310">
        <v>40940</v>
      </c>
      <c r="F993" s="310">
        <v>40969</v>
      </c>
      <c r="G993" s="310">
        <v>41000</v>
      </c>
      <c r="H993" s="310">
        <v>41030</v>
      </c>
      <c r="I993" s="310">
        <v>41061</v>
      </c>
      <c r="J993" s="310">
        <v>41091</v>
      </c>
      <c r="K993" s="310">
        <v>41122</v>
      </c>
      <c r="L993" s="310">
        <v>41153</v>
      </c>
      <c r="M993" s="310">
        <v>41183</v>
      </c>
      <c r="N993" s="310">
        <v>41214</v>
      </c>
      <c r="O993" s="310">
        <v>41244</v>
      </c>
    </row>
    <row r="994" spans="1:16">
      <c r="A994" t="str">
        <f t="shared" si="14"/>
        <v>SL01NCP LF</v>
      </c>
      <c r="B994" s="307" t="s">
        <v>35</v>
      </c>
      <c r="C994" s="307" t="s">
        <v>150</v>
      </c>
      <c r="D994" s="309">
        <v>0.55220000000000002</v>
      </c>
      <c r="E994" s="309">
        <v>0.52959999999999996</v>
      </c>
      <c r="F994" s="309">
        <v>0.49840000000000001</v>
      </c>
      <c r="G994" s="309">
        <v>0.46750000000000003</v>
      </c>
      <c r="H994" s="309">
        <v>0.44190000000000002</v>
      </c>
      <c r="I994" s="309">
        <v>0.42970000000000003</v>
      </c>
      <c r="J994" s="309">
        <v>0.43580000000000002</v>
      </c>
      <c r="K994" s="309">
        <v>0.45779999999999998</v>
      </c>
      <c r="L994" s="309">
        <v>0.48780000000000001</v>
      </c>
      <c r="M994" s="309">
        <v>0.51929999999999998</v>
      </c>
      <c r="N994" s="309">
        <v>0.54569999999999996</v>
      </c>
      <c r="O994" s="309">
        <v>0.55869999999999997</v>
      </c>
      <c r="P994" s="4"/>
    </row>
    <row r="995" spans="1:16">
      <c r="A995" t="str">
        <f t="shared" si="14"/>
        <v>SL01NCP LF ONPK</v>
      </c>
      <c r="B995" s="307" t="s">
        <v>35</v>
      </c>
      <c r="C995" s="307" t="s">
        <v>151</v>
      </c>
      <c r="D995" s="309">
        <v>0.6381</v>
      </c>
      <c r="E995" s="309">
        <v>0.58889999999999998</v>
      </c>
      <c r="F995" s="309">
        <v>0.49719999999999998</v>
      </c>
      <c r="G995" s="309">
        <v>0.14130000000000001</v>
      </c>
      <c r="H995" s="309">
        <v>0.114</v>
      </c>
      <c r="I995" s="309">
        <v>0.1002</v>
      </c>
      <c r="J995" s="309">
        <v>0.1003</v>
      </c>
      <c r="K995" s="309">
        <v>0.12180000000000001</v>
      </c>
      <c r="L995" s="309">
        <v>0.1799</v>
      </c>
      <c r="M995" s="309">
        <v>0.2369</v>
      </c>
      <c r="N995" s="309">
        <v>0.58540000000000003</v>
      </c>
      <c r="O995" s="309">
        <v>0.62270000000000003</v>
      </c>
    </row>
    <row r="996" spans="1:16">
      <c r="A996" t="str">
        <f t="shared" si="14"/>
        <v>SL01NCP LF OFFPK</v>
      </c>
      <c r="B996" s="307" t="s">
        <v>35</v>
      </c>
      <c r="C996" s="307" t="s">
        <v>152</v>
      </c>
      <c r="D996" s="309">
        <v>0.5272</v>
      </c>
      <c r="E996" s="309">
        <v>0.51080000000000003</v>
      </c>
      <c r="F996" s="309">
        <v>0.49880000000000002</v>
      </c>
      <c r="G996" s="309">
        <v>0.58350000000000002</v>
      </c>
      <c r="H996" s="309">
        <v>0.56079999999999997</v>
      </c>
      <c r="I996" s="309">
        <v>0.55049999999999999</v>
      </c>
      <c r="J996" s="309">
        <v>0.55400000000000005</v>
      </c>
      <c r="K996" s="309">
        <v>0.58730000000000004</v>
      </c>
      <c r="L996" s="309">
        <v>0.5837</v>
      </c>
      <c r="M996" s="309">
        <v>0.62809999999999999</v>
      </c>
      <c r="N996" s="309">
        <v>0.53369999999999995</v>
      </c>
      <c r="O996" s="309">
        <v>0.54120000000000001</v>
      </c>
    </row>
    <row r="997" spans="1:16">
      <c r="A997" t="str">
        <f t="shared" si="14"/>
        <v>SL01GCP CF</v>
      </c>
      <c r="B997" s="307" t="s">
        <v>35</v>
      </c>
      <c r="C997" s="307" t="s">
        <v>153</v>
      </c>
      <c r="D997" s="309">
        <v>1</v>
      </c>
      <c r="E997" s="309">
        <v>1</v>
      </c>
      <c r="F997" s="309">
        <v>1</v>
      </c>
      <c r="G997" s="309">
        <v>1</v>
      </c>
      <c r="H997" s="309">
        <v>1</v>
      </c>
      <c r="I997" s="309">
        <v>1</v>
      </c>
      <c r="J997" s="309">
        <v>1</v>
      </c>
      <c r="K997" s="309">
        <v>1</v>
      </c>
      <c r="L997" s="309">
        <v>1</v>
      </c>
      <c r="M997" s="309">
        <v>1</v>
      </c>
      <c r="N997" s="309">
        <v>1</v>
      </c>
      <c r="O997" s="309">
        <v>1</v>
      </c>
    </row>
    <row r="998" spans="1:16">
      <c r="A998" t="str">
        <f t="shared" si="14"/>
        <v>SL01CP CF</v>
      </c>
      <c r="B998" s="307" t="s">
        <v>35</v>
      </c>
      <c r="C998" s="307" t="s">
        <v>154</v>
      </c>
      <c r="D998" s="309">
        <v>0.1169</v>
      </c>
      <c r="E998" s="309">
        <v>0</v>
      </c>
      <c r="F998" s="309">
        <v>0</v>
      </c>
      <c r="G998" s="309">
        <v>0</v>
      </c>
      <c r="H998" s="309">
        <v>0</v>
      </c>
      <c r="I998" s="309">
        <v>0</v>
      </c>
      <c r="J998" s="309">
        <v>0</v>
      </c>
      <c r="K998" s="309">
        <v>0</v>
      </c>
      <c r="L998" s="309">
        <v>0</v>
      </c>
      <c r="M998" s="309">
        <v>0</v>
      </c>
      <c r="N998" s="309">
        <v>1</v>
      </c>
      <c r="O998" s="309">
        <v>1</v>
      </c>
    </row>
    <row r="999" spans="1:16">
      <c r="A999" t="str">
        <f t="shared" si="14"/>
        <v>SL01GCP LF</v>
      </c>
      <c r="B999" s="307" t="s">
        <v>35</v>
      </c>
      <c r="C999" s="307" t="s">
        <v>155</v>
      </c>
      <c r="D999" s="309">
        <v>0.55220000000000002</v>
      </c>
      <c r="E999" s="309">
        <v>0.52959999999999996</v>
      </c>
      <c r="F999" s="309">
        <v>0.49840000000000001</v>
      </c>
      <c r="G999" s="309">
        <v>0.46750000000000003</v>
      </c>
      <c r="H999" s="309">
        <v>0.44190000000000002</v>
      </c>
      <c r="I999" s="309">
        <v>0.42970000000000003</v>
      </c>
      <c r="J999" s="309">
        <v>0.43580000000000002</v>
      </c>
      <c r="K999" s="309">
        <v>0.45779999999999998</v>
      </c>
      <c r="L999" s="309">
        <v>0.48780000000000001</v>
      </c>
      <c r="M999" s="309">
        <v>0.51929999999999998</v>
      </c>
      <c r="N999" s="309">
        <v>0.54569999999999996</v>
      </c>
      <c r="O999" s="309">
        <v>0.55869999999999997</v>
      </c>
    </row>
    <row r="1000" spans="1:16">
      <c r="A1000" t="str">
        <f t="shared" si="14"/>
        <v>SL01GCP LF ONPK</v>
      </c>
      <c r="B1000" s="307" t="s">
        <v>35</v>
      </c>
      <c r="C1000" s="307" t="s">
        <v>156</v>
      </c>
      <c r="D1000" s="309">
        <v>0.6381</v>
      </c>
      <c r="E1000" s="309">
        <v>0.58889999999999998</v>
      </c>
      <c r="F1000" s="309">
        <v>0.49719999999999998</v>
      </c>
      <c r="G1000" s="309">
        <v>0.14130000000000001</v>
      </c>
      <c r="H1000" s="309">
        <v>0.114</v>
      </c>
      <c r="I1000" s="309">
        <v>0.1002</v>
      </c>
      <c r="J1000" s="309">
        <v>0.1003</v>
      </c>
      <c r="K1000" s="309">
        <v>0.12180000000000001</v>
      </c>
      <c r="L1000" s="309">
        <v>0.1799</v>
      </c>
      <c r="M1000" s="309">
        <v>0.2369</v>
      </c>
      <c r="N1000" s="309">
        <v>0.58540000000000003</v>
      </c>
      <c r="O1000" s="309">
        <v>0.62270000000000003</v>
      </c>
      <c r="P1000" s="91"/>
    </row>
    <row r="1001" spans="1:16">
      <c r="A1001" t="str">
        <f t="shared" si="14"/>
        <v>SL01GCP LF OFFPK</v>
      </c>
      <c r="B1001" s="307" t="s">
        <v>35</v>
      </c>
      <c r="C1001" s="307" t="s">
        <v>157</v>
      </c>
      <c r="D1001" s="309">
        <v>0.5272</v>
      </c>
      <c r="E1001" s="309">
        <v>0.51080000000000003</v>
      </c>
      <c r="F1001" s="309">
        <v>0.49880000000000002</v>
      </c>
      <c r="G1001" s="309">
        <v>0.58350000000000002</v>
      </c>
      <c r="H1001" s="309">
        <v>0.56079999999999997</v>
      </c>
      <c r="I1001" s="309">
        <v>0.55049999999999999</v>
      </c>
      <c r="J1001" s="309">
        <v>0.55400000000000005</v>
      </c>
      <c r="K1001" s="309">
        <v>0.58730000000000004</v>
      </c>
      <c r="L1001" s="309">
        <v>0.5837</v>
      </c>
      <c r="M1001" s="309">
        <v>0.62809999999999999</v>
      </c>
      <c r="N1001" s="309">
        <v>0.53369999999999995</v>
      </c>
      <c r="O1001" s="309">
        <v>0.54120000000000001</v>
      </c>
    </row>
    <row r="1002" spans="1:16">
      <c r="A1002" t="str">
        <f t="shared" si="14"/>
        <v>SL01CP LF</v>
      </c>
      <c r="B1002" s="307" t="s">
        <v>35</v>
      </c>
      <c r="C1002" s="307" t="s">
        <v>158</v>
      </c>
      <c r="D1002" s="309">
        <v>4.7222</v>
      </c>
      <c r="E1002" s="309">
        <v>0</v>
      </c>
      <c r="F1002" s="309">
        <v>0</v>
      </c>
      <c r="G1002" s="309">
        <v>0</v>
      </c>
      <c r="H1002" s="309">
        <v>0</v>
      </c>
      <c r="I1002" s="309">
        <v>0</v>
      </c>
      <c r="J1002" s="309">
        <v>0</v>
      </c>
      <c r="K1002" s="309">
        <v>0</v>
      </c>
      <c r="L1002" s="309">
        <v>0</v>
      </c>
      <c r="M1002" s="309">
        <v>0</v>
      </c>
      <c r="N1002" s="309">
        <v>0.54569999999999996</v>
      </c>
      <c r="O1002" s="309">
        <v>0.55869999999999997</v>
      </c>
    </row>
    <row r="1003" spans="1:16">
      <c r="A1003" t="str">
        <f t="shared" si="14"/>
        <v>SL01REL PREC:</v>
      </c>
      <c r="B1003" s="307" t="s">
        <v>35</v>
      </c>
      <c r="C1003" s="307" t="s">
        <v>65</v>
      </c>
      <c r="D1003" s="307"/>
      <c r="E1003" s="307"/>
      <c r="F1003" s="307"/>
      <c r="G1003" s="307"/>
      <c r="H1003" s="307"/>
      <c r="I1003" s="307"/>
      <c r="J1003" s="307"/>
      <c r="K1003" s="307"/>
      <c r="L1003" s="307"/>
      <c r="M1003" s="307"/>
      <c r="N1003" s="307"/>
      <c r="O1003" s="307"/>
      <c r="P1003" s="5"/>
    </row>
    <row r="1004" spans="1:16">
      <c r="A1004" t="str">
        <f t="shared" si="14"/>
        <v>SL01NCP RP</v>
      </c>
      <c r="B1004" s="307" t="s">
        <v>35</v>
      </c>
      <c r="C1004" s="307" t="s">
        <v>159</v>
      </c>
      <c r="D1004" s="309">
        <v>0</v>
      </c>
      <c r="E1004" s="309">
        <v>0</v>
      </c>
      <c r="F1004" s="309">
        <v>0</v>
      </c>
      <c r="G1004" s="309">
        <v>0</v>
      </c>
      <c r="H1004" s="309">
        <v>0</v>
      </c>
      <c r="I1004" s="309">
        <v>0</v>
      </c>
      <c r="J1004" s="309">
        <v>0</v>
      </c>
      <c r="K1004" s="309">
        <v>0</v>
      </c>
      <c r="L1004" s="309">
        <v>0</v>
      </c>
      <c r="M1004" s="309">
        <v>0</v>
      </c>
      <c r="N1004" s="309">
        <v>0</v>
      </c>
      <c r="O1004" s="309">
        <v>0</v>
      </c>
      <c r="P1004" s="5"/>
    </row>
    <row r="1005" spans="1:16">
      <c r="A1005" t="str">
        <f t="shared" si="14"/>
        <v>SL01NCP RP ONPK</v>
      </c>
      <c r="B1005" s="307" t="s">
        <v>35</v>
      </c>
      <c r="C1005" s="307" t="s">
        <v>160</v>
      </c>
      <c r="D1005" s="309">
        <v>0</v>
      </c>
      <c r="E1005" s="309">
        <v>0</v>
      </c>
      <c r="F1005" s="309">
        <v>0</v>
      </c>
      <c r="G1005" s="309">
        <v>0</v>
      </c>
      <c r="H1005" s="309">
        <v>0</v>
      </c>
      <c r="I1005" s="309">
        <v>0</v>
      </c>
      <c r="J1005" s="309">
        <v>0</v>
      </c>
      <c r="K1005" s="309">
        <v>0</v>
      </c>
      <c r="L1005" s="309">
        <v>0</v>
      </c>
      <c r="M1005" s="309">
        <v>0</v>
      </c>
      <c r="N1005" s="309">
        <v>0</v>
      </c>
      <c r="O1005" s="309">
        <v>0</v>
      </c>
    </row>
    <row r="1006" spans="1:16">
      <c r="A1006" t="str">
        <f t="shared" si="14"/>
        <v>SL01NCP RP OFFPK</v>
      </c>
      <c r="B1006" s="307" t="s">
        <v>35</v>
      </c>
      <c r="C1006" s="307" t="s">
        <v>161</v>
      </c>
      <c r="D1006" s="309">
        <v>0</v>
      </c>
      <c r="E1006" s="309">
        <v>0</v>
      </c>
      <c r="F1006" s="309">
        <v>0</v>
      </c>
      <c r="G1006" s="309">
        <v>0</v>
      </c>
      <c r="H1006" s="309">
        <v>0</v>
      </c>
      <c r="I1006" s="309">
        <v>0</v>
      </c>
      <c r="J1006" s="309">
        <v>0</v>
      </c>
      <c r="K1006" s="309">
        <v>0</v>
      </c>
      <c r="L1006" s="309">
        <v>0</v>
      </c>
      <c r="M1006" s="309">
        <v>0</v>
      </c>
      <c r="N1006" s="309">
        <v>0</v>
      </c>
      <c r="O1006" s="309">
        <v>0</v>
      </c>
      <c r="P1006" s="89"/>
    </row>
    <row r="1007" spans="1:16">
      <c r="A1007" t="str">
        <f t="shared" si="14"/>
        <v>SL01GCP RP</v>
      </c>
      <c r="B1007" s="307" t="s">
        <v>35</v>
      </c>
      <c r="C1007" s="307" t="s">
        <v>162</v>
      </c>
      <c r="D1007" s="309">
        <v>0</v>
      </c>
      <c r="E1007" s="309">
        <v>0</v>
      </c>
      <c r="F1007" s="309">
        <v>0</v>
      </c>
      <c r="G1007" s="309">
        <v>0</v>
      </c>
      <c r="H1007" s="309">
        <v>0</v>
      </c>
      <c r="I1007" s="309">
        <v>0</v>
      </c>
      <c r="J1007" s="309">
        <v>0</v>
      </c>
      <c r="K1007" s="309">
        <v>0</v>
      </c>
      <c r="L1007" s="309">
        <v>0</v>
      </c>
      <c r="M1007" s="309">
        <v>0</v>
      </c>
      <c r="N1007" s="309">
        <v>0</v>
      </c>
      <c r="O1007" s="309">
        <v>0</v>
      </c>
    </row>
    <row r="1008" spans="1:16">
      <c r="A1008" t="str">
        <f t="shared" si="14"/>
        <v>SL01GCP RP ONPK</v>
      </c>
      <c r="B1008" s="307" t="s">
        <v>35</v>
      </c>
      <c r="C1008" s="307" t="s">
        <v>163</v>
      </c>
      <c r="D1008" s="309">
        <v>0</v>
      </c>
      <c r="E1008" s="309">
        <v>0</v>
      </c>
      <c r="F1008" s="309">
        <v>0</v>
      </c>
      <c r="G1008" s="309">
        <v>0</v>
      </c>
      <c r="H1008" s="309">
        <v>0</v>
      </c>
      <c r="I1008" s="309">
        <v>0</v>
      </c>
      <c r="J1008" s="309">
        <v>0</v>
      </c>
      <c r="K1008" s="309">
        <v>0</v>
      </c>
      <c r="L1008" s="309">
        <v>0</v>
      </c>
      <c r="M1008" s="309">
        <v>0</v>
      </c>
      <c r="N1008" s="309">
        <v>0</v>
      </c>
      <c r="O1008" s="309">
        <v>0</v>
      </c>
    </row>
    <row r="1009" spans="1:16">
      <c r="A1009" t="str">
        <f t="shared" si="14"/>
        <v>SL01GCP RP OFFPK</v>
      </c>
      <c r="B1009" s="307" t="s">
        <v>35</v>
      </c>
      <c r="C1009" s="307" t="s">
        <v>164</v>
      </c>
      <c r="D1009" s="309">
        <v>0</v>
      </c>
      <c r="E1009" s="309">
        <v>0</v>
      </c>
      <c r="F1009" s="309">
        <v>0</v>
      </c>
      <c r="G1009" s="309">
        <v>0</v>
      </c>
      <c r="H1009" s="309">
        <v>0</v>
      </c>
      <c r="I1009" s="309">
        <v>0</v>
      </c>
      <c r="J1009" s="309">
        <v>0</v>
      </c>
      <c r="K1009" s="309">
        <v>0</v>
      </c>
      <c r="L1009" s="309">
        <v>0</v>
      </c>
      <c r="M1009" s="309">
        <v>0</v>
      </c>
      <c r="N1009" s="309">
        <v>0</v>
      </c>
      <c r="O1009" s="309">
        <v>0</v>
      </c>
    </row>
    <row r="1010" spans="1:16">
      <c r="A1010" t="str">
        <f t="shared" si="14"/>
        <v>SL01CP RP</v>
      </c>
      <c r="B1010" s="307" t="s">
        <v>35</v>
      </c>
      <c r="C1010" s="307" t="s">
        <v>165</v>
      </c>
      <c r="D1010" s="309">
        <v>0</v>
      </c>
      <c r="E1010" s="309">
        <v>0</v>
      </c>
      <c r="F1010" s="309">
        <v>0</v>
      </c>
      <c r="G1010" s="309">
        <v>0</v>
      </c>
      <c r="H1010" s="309">
        <v>0</v>
      </c>
      <c r="I1010" s="309">
        <v>0</v>
      </c>
      <c r="J1010" s="309">
        <v>0</v>
      </c>
      <c r="K1010" s="309">
        <v>0</v>
      </c>
      <c r="L1010" s="309">
        <v>0</v>
      </c>
      <c r="M1010" s="309">
        <v>0</v>
      </c>
      <c r="N1010" s="309">
        <v>0</v>
      </c>
      <c r="O1010" s="309">
        <v>0</v>
      </c>
    </row>
    <row r="1011" spans="1:16">
      <c r="A1011" t="str">
        <f t="shared" si="14"/>
        <v>SL01SAMPLE SIZE:</v>
      </c>
      <c r="B1011" s="307" t="s">
        <v>35</v>
      </c>
      <c r="C1011" s="307" t="s">
        <v>66</v>
      </c>
      <c r="D1011" s="307"/>
      <c r="E1011" s="307"/>
      <c r="F1011" s="307"/>
      <c r="G1011" s="307"/>
      <c r="H1011" s="307"/>
      <c r="I1011" s="307"/>
      <c r="J1011" s="307"/>
      <c r="K1011" s="307"/>
      <c r="L1011" s="307"/>
      <c r="M1011" s="307"/>
      <c r="N1011" s="307"/>
      <c r="O1011" s="307"/>
      <c r="P1011" s="87"/>
    </row>
    <row r="1012" spans="1:16">
      <c r="A1012" t="str">
        <f t="shared" si="14"/>
        <v>SL01GCPSZ</v>
      </c>
      <c r="B1012" s="307" t="s">
        <v>35</v>
      </c>
      <c r="C1012" s="307" t="s">
        <v>166</v>
      </c>
      <c r="D1012" s="307">
        <v>1</v>
      </c>
      <c r="E1012" s="307">
        <v>1</v>
      </c>
      <c r="F1012" s="307">
        <v>1</v>
      </c>
      <c r="G1012" s="307">
        <v>1</v>
      </c>
      <c r="H1012" s="307">
        <v>1</v>
      </c>
      <c r="I1012" s="307">
        <v>1</v>
      </c>
      <c r="J1012" s="307">
        <v>1</v>
      </c>
      <c r="K1012" s="307">
        <v>1</v>
      </c>
      <c r="L1012" s="307">
        <v>1</v>
      </c>
      <c r="M1012" s="307">
        <v>1</v>
      </c>
      <c r="N1012" s="307">
        <v>1</v>
      </c>
      <c r="O1012" s="307">
        <v>1</v>
      </c>
    </row>
    <row r="1013" spans="1:16">
      <c r="A1013" t="str">
        <f t="shared" si="14"/>
        <v>SL01GCPSZ ONPK</v>
      </c>
      <c r="B1013" s="307" t="s">
        <v>35</v>
      </c>
      <c r="C1013" s="307" t="s">
        <v>167</v>
      </c>
      <c r="D1013" s="307">
        <v>1</v>
      </c>
      <c r="E1013" s="307">
        <v>1</v>
      </c>
      <c r="F1013" s="307">
        <v>1</v>
      </c>
      <c r="G1013" s="307">
        <v>1</v>
      </c>
      <c r="H1013" s="307">
        <v>1</v>
      </c>
      <c r="I1013" s="307">
        <v>1</v>
      </c>
      <c r="J1013" s="307">
        <v>1</v>
      </c>
      <c r="K1013" s="307">
        <v>1</v>
      </c>
      <c r="L1013" s="307">
        <v>1</v>
      </c>
      <c r="M1013" s="307">
        <v>1</v>
      </c>
      <c r="N1013" s="307">
        <v>1</v>
      </c>
      <c r="O1013" s="307">
        <v>1</v>
      </c>
    </row>
    <row r="1014" spans="1:16">
      <c r="A1014" t="str">
        <f t="shared" ref="A1014:A1077" si="15">B1014&amp;C1014</f>
        <v>SL01GCPSZ OFFPK</v>
      </c>
      <c r="B1014" s="307" t="s">
        <v>35</v>
      </c>
      <c r="C1014" s="307" t="s">
        <v>168</v>
      </c>
      <c r="D1014" s="307">
        <v>1</v>
      </c>
      <c r="E1014" s="307">
        <v>1</v>
      </c>
      <c r="F1014" s="307">
        <v>1</v>
      </c>
      <c r="G1014" s="307">
        <v>1</v>
      </c>
      <c r="H1014" s="307">
        <v>1</v>
      </c>
      <c r="I1014" s="307">
        <v>1</v>
      </c>
      <c r="J1014" s="307">
        <v>1</v>
      </c>
      <c r="K1014" s="307">
        <v>1</v>
      </c>
      <c r="L1014" s="307">
        <v>1</v>
      </c>
      <c r="M1014" s="307">
        <v>1</v>
      </c>
      <c r="N1014" s="307">
        <v>1</v>
      </c>
      <c r="O1014" s="307">
        <v>1</v>
      </c>
      <c r="P1014" s="83"/>
    </row>
    <row r="1015" spans="1:16">
      <c r="A1015" t="str">
        <f t="shared" si="15"/>
        <v>SL01CPSZ</v>
      </c>
      <c r="B1015" s="307" t="s">
        <v>35</v>
      </c>
      <c r="C1015" s="307" t="s">
        <v>169</v>
      </c>
      <c r="D1015" s="307">
        <v>1</v>
      </c>
      <c r="E1015" s="307">
        <v>1</v>
      </c>
      <c r="F1015" s="307">
        <v>1</v>
      </c>
      <c r="G1015" s="307">
        <v>1</v>
      </c>
      <c r="H1015" s="307">
        <v>1</v>
      </c>
      <c r="I1015" s="307">
        <v>1</v>
      </c>
      <c r="J1015" s="307">
        <v>1</v>
      </c>
      <c r="K1015" s="307">
        <v>1</v>
      </c>
      <c r="L1015" s="307">
        <v>1</v>
      </c>
      <c r="M1015" s="307">
        <v>1</v>
      </c>
      <c r="N1015" s="307">
        <v>1</v>
      </c>
      <c r="O1015" s="307">
        <v>1</v>
      </c>
      <c r="P1015" s="1"/>
    </row>
    <row r="1016" spans="1:16">
      <c r="A1016" t="str">
        <f t="shared" si="15"/>
        <v/>
      </c>
      <c r="B1016" s="307"/>
      <c r="C1016" s="307"/>
      <c r="D1016" s="307"/>
      <c r="E1016" s="307"/>
      <c r="F1016" s="307"/>
      <c r="G1016" s="307"/>
      <c r="H1016" s="307"/>
      <c r="I1016" s="307"/>
      <c r="J1016" s="307"/>
      <c r="K1016" s="307"/>
      <c r="L1016" s="307"/>
      <c r="M1016" s="307"/>
      <c r="N1016" s="307"/>
      <c r="O1016" s="307"/>
      <c r="P1016" s="5"/>
    </row>
    <row r="1017" spans="1:16">
      <c r="A1017" t="str">
        <f t="shared" si="15"/>
        <v/>
      </c>
      <c r="B1017" s="307"/>
      <c r="C1017" s="307"/>
      <c r="D1017" s="307"/>
      <c r="E1017" s="307"/>
      <c r="F1017" s="307"/>
      <c r="G1017" s="307"/>
      <c r="H1017" s="307"/>
      <c r="I1017" s="307"/>
      <c r="J1017" s="307"/>
      <c r="K1017" s="307"/>
      <c r="L1017" s="307"/>
      <c r="M1017" s="307"/>
      <c r="N1017" s="307"/>
      <c r="O1017" s="307"/>
      <c r="P1017" s="5"/>
    </row>
    <row r="1018" spans="1:16">
      <c r="A1018" t="str">
        <f t="shared" si="15"/>
        <v/>
      </c>
      <c r="B1018" s="307"/>
      <c r="C1018" s="307"/>
      <c r="D1018" s="307"/>
      <c r="E1018" s="307"/>
      <c r="F1018" s="307"/>
      <c r="G1018" s="307"/>
      <c r="H1018" s="307"/>
      <c r="I1018" s="307"/>
      <c r="J1018" s="307"/>
      <c r="K1018" s="307"/>
      <c r="L1018" s="307"/>
      <c r="M1018" s="307"/>
      <c r="N1018" s="307"/>
      <c r="O1018" s="307"/>
      <c r="P1018" s="5"/>
    </row>
    <row r="1019" spans="1:16">
      <c r="A1019" t="str">
        <f t="shared" si="15"/>
        <v/>
      </c>
      <c r="B1019" s="307"/>
      <c r="C1019" s="307"/>
      <c r="D1019" s="307"/>
      <c r="E1019" s="307"/>
      <c r="F1019" s="307"/>
      <c r="G1019" s="307"/>
      <c r="H1019" s="307"/>
      <c r="I1019" s="307"/>
      <c r="J1019" s="307"/>
      <c r="K1019" s="307"/>
      <c r="L1019" s="307"/>
      <c r="M1019" s="307"/>
      <c r="N1019" s="307"/>
      <c r="O1019" s="307"/>
      <c r="P1019" s="5"/>
    </row>
    <row r="1020" spans="1:16">
      <c r="A1020" t="str">
        <f t="shared" si="15"/>
        <v/>
      </c>
      <c r="B1020" s="307"/>
      <c r="C1020" s="307"/>
      <c r="D1020" s="307"/>
      <c r="E1020" s="307"/>
      <c r="F1020" s="307"/>
      <c r="G1020" s="307"/>
      <c r="H1020" s="307"/>
      <c r="I1020" s="307"/>
      <c r="J1020" s="307"/>
      <c r="K1020" s="307"/>
      <c r="L1020" s="307"/>
      <c r="M1020" s="307"/>
      <c r="N1020" s="307"/>
      <c r="O1020" s="307"/>
      <c r="P1020" s="5"/>
    </row>
    <row r="1021" spans="1:16">
      <c r="A1021" t="str">
        <f t="shared" si="15"/>
        <v/>
      </c>
      <c r="B1021" s="307"/>
      <c r="C1021" s="307"/>
      <c r="D1021" s="307"/>
      <c r="E1021" s="307"/>
      <c r="F1021" s="307"/>
      <c r="G1021" s="307"/>
      <c r="H1021" s="307"/>
      <c r="I1021" s="307"/>
      <c r="J1021" s="307"/>
      <c r="K1021" s="307"/>
      <c r="L1021" s="307"/>
      <c r="M1021" s="307"/>
      <c r="N1021" s="307"/>
      <c r="O1021" s="307"/>
      <c r="P1021" s="5"/>
    </row>
    <row r="1022" spans="1:16">
      <c r="A1022" t="str">
        <f t="shared" si="15"/>
        <v/>
      </c>
      <c r="B1022" s="307"/>
      <c r="C1022" s="307"/>
      <c r="D1022" s="307"/>
      <c r="E1022" s="307"/>
      <c r="F1022" s="307"/>
      <c r="G1022" s="307"/>
      <c r="H1022" s="307"/>
      <c r="I1022" s="307"/>
      <c r="J1022" s="307"/>
      <c r="K1022" s="307"/>
      <c r="L1022" s="307"/>
      <c r="M1022" s="307"/>
      <c r="N1022" s="307"/>
      <c r="O1022" s="307"/>
      <c r="P1022" s="5"/>
    </row>
    <row r="1023" spans="1:16">
      <c r="A1023" t="str">
        <f t="shared" si="15"/>
        <v/>
      </c>
      <c r="B1023" s="307"/>
      <c r="C1023" s="307"/>
      <c r="D1023" s="307"/>
      <c r="E1023" s="307"/>
      <c r="F1023" s="307"/>
      <c r="G1023" s="307"/>
      <c r="H1023" s="307"/>
      <c r="I1023" s="307"/>
      <c r="J1023" s="307"/>
      <c r="K1023" s="307"/>
      <c r="L1023" s="307"/>
      <c r="M1023" s="307"/>
      <c r="N1023" s="307"/>
      <c r="O1023" s="307"/>
      <c r="P1023" s="5"/>
    </row>
    <row r="1024" spans="1:16">
      <c r="A1024" t="str">
        <f t="shared" si="15"/>
        <v/>
      </c>
      <c r="B1024" s="307"/>
      <c r="C1024" s="307"/>
      <c r="D1024" s="307"/>
      <c r="E1024" s="307"/>
      <c r="F1024" s="307"/>
      <c r="G1024" s="307"/>
      <c r="H1024" s="307"/>
      <c r="I1024" s="307"/>
      <c r="J1024" s="307"/>
      <c r="K1024" s="307"/>
      <c r="L1024" s="307"/>
      <c r="M1024" s="307"/>
      <c r="N1024" s="307"/>
      <c r="O1024" s="307"/>
      <c r="P1024" s="5"/>
    </row>
    <row r="1025" spans="1:16">
      <c r="A1025" t="str">
        <f t="shared" si="15"/>
        <v xml:space="preserve">SL02 Traffic Signal (Modeled Rate Class) </v>
      </c>
      <c r="B1025" s="307" t="s">
        <v>36</v>
      </c>
      <c r="C1025" s="307" t="s">
        <v>37</v>
      </c>
      <c r="D1025" s="307"/>
      <c r="E1025" s="307"/>
      <c r="F1025" s="307"/>
      <c r="G1025" s="307"/>
      <c r="H1025" s="307"/>
      <c r="I1025" s="307"/>
      <c r="J1025" s="307"/>
      <c r="K1025" s="307"/>
      <c r="L1025" s="307"/>
      <c r="M1025" s="307"/>
      <c r="N1025" s="307"/>
      <c r="O1025" s="307"/>
    </row>
    <row r="1026" spans="1:16">
      <c r="A1026" t="str">
        <f t="shared" si="15"/>
        <v xml:space="preserve">SL02MONTH </v>
      </c>
      <c r="B1026" s="307" t="s">
        <v>38</v>
      </c>
      <c r="C1026" s="307" t="s">
        <v>123</v>
      </c>
      <c r="D1026" s="308">
        <v>40909</v>
      </c>
      <c r="E1026" s="308">
        <v>40940</v>
      </c>
      <c r="F1026" s="308">
        <v>40969</v>
      </c>
      <c r="G1026" s="308">
        <v>41000</v>
      </c>
      <c r="H1026" s="308">
        <v>41030</v>
      </c>
      <c r="I1026" s="308">
        <v>41061</v>
      </c>
      <c r="J1026" s="308">
        <v>41091</v>
      </c>
      <c r="K1026" s="308">
        <v>41122</v>
      </c>
      <c r="L1026" s="308">
        <v>41153</v>
      </c>
      <c r="M1026" s="308">
        <v>41183</v>
      </c>
      <c r="N1026" s="308">
        <v>41214</v>
      </c>
      <c r="O1026" s="308">
        <v>41244</v>
      </c>
      <c r="P1026" s="5"/>
    </row>
    <row r="1027" spans="1:16">
      <c r="A1027" t="str">
        <f t="shared" si="15"/>
        <v xml:space="preserve">SL02CUSTOMERS </v>
      </c>
      <c r="B1027" s="307" t="s">
        <v>38</v>
      </c>
      <c r="C1027" s="307" t="s">
        <v>124</v>
      </c>
      <c r="D1027" s="307">
        <v>858</v>
      </c>
      <c r="E1027" s="307">
        <v>863</v>
      </c>
      <c r="F1027" s="307">
        <v>864</v>
      </c>
      <c r="G1027" s="307">
        <v>864</v>
      </c>
      <c r="H1027" s="307">
        <v>865</v>
      </c>
      <c r="I1027" s="307">
        <v>867</v>
      </c>
      <c r="J1027" s="307">
        <v>868</v>
      </c>
      <c r="K1027" s="307">
        <v>870</v>
      </c>
      <c r="L1027" s="307">
        <v>870</v>
      </c>
      <c r="M1027" s="307">
        <v>874</v>
      </c>
      <c r="N1027" s="307">
        <v>874</v>
      </c>
      <c r="O1027" s="307">
        <v>873</v>
      </c>
      <c r="P1027" s="5"/>
    </row>
    <row r="1028" spans="1:16">
      <c r="A1028" t="str">
        <f t="shared" si="15"/>
        <v xml:space="preserve">SL02SALES </v>
      </c>
      <c r="B1028" s="307" t="s">
        <v>38</v>
      </c>
      <c r="C1028" s="307" t="s">
        <v>125</v>
      </c>
      <c r="D1028" s="307">
        <v>2620338</v>
      </c>
      <c r="E1028" s="307">
        <v>2622566</v>
      </c>
      <c r="F1028" s="307">
        <v>2627776</v>
      </c>
      <c r="G1028" s="307">
        <v>2634560</v>
      </c>
      <c r="H1028" s="307">
        <v>2605014</v>
      </c>
      <c r="I1028" s="307">
        <v>2608019</v>
      </c>
      <c r="J1028" s="307">
        <v>2617138</v>
      </c>
      <c r="K1028" s="307">
        <v>2617346</v>
      </c>
      <c r="L1028" s="307">
        <v>2618400</v>
      </c>
      <c r="M1028" s="307">
        <v>2617579</v>
      </c>
      <c r="N1028" s="307">
        <v>2620096</v>
      </c>
      <c r="O1028" s="307">
        <v>2621807</v>
      </c>
      <c r="P1028" s="5"/>
    </row>
    <row r="1029" spans="1:16">
      <c r="A1029" t="str">
        <f t="shared" si="15"/>
        <v>SL02KW</v>
      </c>
      <c r="B1029" s="307" t="s">
        <v>38</v>
      </c>
      <c r="C1029" s="307" t="s">
        <v>126</v>
      </c>
      <c r="D1029" s="307"/>
      <c r="E1029" s="307"/>
      <c r="F1029" s="307"/>
      <c r="G1029" s="307"/>
      <c r="H1029" s="307"/>
      <c r="I1029" s="307"/>
      <c r="J1029" s="307"/>
      <c r="K1029" s="307"/>
      <c r="L1029" s="307"/>
      <c r="M1029" s="307"/>
      <c r="N1029" s="307"/>
      <c r="O1029" s="307"/>
      <c r="P1029" s="5"/>
    </row>
    <row r="1030" spans="1:16">
      <c r="A1030" t="str">
        <f t="shared" si="15"/>
        <v>SL02N</v>
      </c>
      <c r="B1030" s="307" t="s">
        <v>38</v>
      </c>
      <c r="C1030" s="307" t="s">
        <v>127</v>
      </c>
      <c r="D1030" s="307">
        <v>1</v>
      </c>
      <c r="E1030" s="307">
        <v>1</v>
      </c>
      <c r="F1030" s="307">
        <v>1</v>
      </c>
      <c r="G1030" s="307">
        <v>1</v>
      </c>
      <c r="H1030" s="307">
        <v>1</v>
      </c>
      <c r="I1030" s="307">
        <v>1</v>
      </c>
      <c r="J1030" s="307">
        <v>1</v>
      </c>
      <c r="K1030" s="307">
        <v>1</v>
      </c>
      <c r="L1030" s="307">
        <v>1</v>
      </c>
      <c r="M1030" s="307">
        <v>1</v>
      </c>
      <c r="N1030" s="307">
        <v>1</v>
      </c>
      <c r="O1030" s="307">
        <v>1</v>
      </c>
      <c r="P1030" s="5"/>
    </row>
    <row r="1031" spans="1:16">
      <c r="A1031" t="str">
        <f t="shared" si="15"/>
        <v>SL02RLR ENERGY:</v>
      </c>
      <c r="B1031" s="307" t="s">
        <v>38</v>
      </c>
      <c r="C1031" s="307" t="s">
        <v>61</v>
      </c>
      <c r="D1031" s="307"/>
      <c r="E1031" s="307"/>
      <c r="F1031" s="307"/>
      <c r="G1031" s="307"/>
      <c r="H1031" s="307"/>
      <c r="I1031" s="307"/>
      <c r="J1031" s="307"/>
      <c r="K1031" s="307"/>
      <c r="L1031" s="307"/>
      <c r="M1031" s="307"/>
      <c r="N1031" s="307"/>
      <c r="O1031" s="307"/>
      <c r="P1031" s="5"/>
    </row>
    <row r="1032" spans="1:16">
      <c r="A1032" t="str">
        <f t="shared" si="15"/>
        <v>SL02KWH</v>
      </c>
      <c r="B1032" s="307" t="s">
        <v>38</v>
      </c>
      <c r="C1032" s="307" t="s">
        <v>128</v>
      </c>
      <c r="D1032" s="307">
        <v>2620338</v>
      </c>
      <c r="E1032" s="307">
        <v>2622566</v>
      </c>
      <c r="F1032" s="307">
        <v>2627776</v>
      </c>
      <c r="G1032" s="307">
        <v>2634561</v>
      </c>
      <c r="H1032" s="307">
        <v>2605014</v>
      </c>
      <c r="I1032" s="307">
        <v>2608018</v>
      </c>
      <c r="J1032" s="307">
        <v>2617137</v>
      </c>
      <c r="K1032" s="307">
        <v>2617347</v>
      </c>
      <c r="L1032" s="307">
        <v>2618401</v>
      </c>
      <c r="M1032" s="307">
        <v>2617578</v>
      </c>
      <c r="N1032" s="307">
        <v>2612828</v>
      </c>
      <c r="O1032" s="307">
        <v>2621807</v>
      </c>
      <c r="P1032" s="5"/>
    </row>
    <row r="1033" spans="1:16">
      <c r="A1033" t="str">
        <f t="shared" si="15"/>
        <v>SL02KWH ONPK</v>
      </c>
      <c r="B1033" s="307" t="s">
        <v>38</v>
      </c>
      <c r="C1033" s="307" t="s">
        <v>129</v>
      </c>
      <c r="D1033" s="307">
        <v>591689</v>
      </c>
      <c r="E1033" s="307">
        <v>633033</v>
      </c>
      <c r="F1033" s="307">
        <v>622461</v>
      </c>
      <c r="G1033" s="307">
        <v>691572</v>
      </c>
      <c r="H1033" s="307">
        <v>693270</v>
      </c>
      <c r="I1033" s="307">
        <v>684605</v>
      </c>
      <c r="J1033" s="307">
        <v>664837</v>
      </c>
      <c r="K1033" s="307">
        <v>728213</v>
      </c>
      <c r="L1033" s="307">
        <v>621870</v>
      </c>
      <c r="M1033" s="307">
        <v>728278</v>
      </c>
      <c r="N1033" s="307">
        <v>610508</v>
      </c>
      <c r="O1033" s="307">
        <v>563829</v>
      </c>
    </row>
    <row r="1034" spans="1:16">
      <c r="A1034" t="str">
        <f t="shared" si="15"/>
        <v>SL02KWH OFFPK</v>
      </c>
      <c r="B1034" s="307" t="s">
        <v>38</v>
      </c>
      <c r="C1034" s="307" t="s">
        <v>130</v>
      </c>
      <c r="D1034" s="307">
        <v>2028649</v>
      </c>
      <c r="E1034" s="307">
        <v>1989533</v>
      </c>
      <c r="F1034" s="307">
        <v>2005315</v>
      </c>
      <c r="G1034" s="307">
        <v>1942988</v>
      </c>
      <c r="H1034" s="307">
        <v>1911744</v>
      </c>
      <c r="I1034" s="307">
        <v>1923413</v>
      </c>
      <c r="J1034" s="307">
        <v>1952300</v>
      </c>
      <c r="K1034" s="307">
        <v>1889133</v>
      </c>
      <c r="L1034" s="307">
        <v>1996531</v>
      </c>
      <c r="M1034" s="307">
        <v>1889300</v>
      </c>
      <c r="N1034" s="307">
        <v>2002320</v>
      </c>
      <c r="O1034" s="307">
        <v>2057978</v>
      </c>
    </row>
    <row r="1035" spans="1:16">
      <c r="A1035" t="str">
        <f t="shared" si="15"/>
        <v>SL02KWH ONPK%</v>
      </c>
      <c r="B1035" s="307" t="s">
        <v>38</v>
      </c>
      <c r="C1035" s="307" t="s">
        <v>131</v>
      </c>
      <c r="D1035" s="309">
        <v>0.22581000000000001</v>
      </c>
      <c r="E1035" s="309">
        <v>0.24138000000000001</v>
      </c>
      <c r="F1035" s="309">
        <v>0.23688000000000001</v>
      </c>
      <c r="G1035" s="309">
        <v>0.26250000000000001</v>
      </c>
      <c r="H1035" s="309">
        <v>0.26612999999999998</v>
      </c>
      <c r="I1035" s="309">
        <v>0.26250000000000001</v>
      </c>
      <c r="J1035" s="309">
        <v>0.25402999999999998</v>
      </c>
      <c r="K1035" s="309">
        <v>0.27822999999999998</v>
      </c>
      <c r="L1035" s="309">
        <v>0.23749999999999999</v>
      </c>
      <c r="M1035" s="309">
        <v>0.27822999999999998</v>
      </c>
      <c r="N1035" s="309">
        <v>0.23366000000000001</v>
      </c>
      <c r="O1035" s="309">
        <v>0.21504999999999999</v>
      </c>
    </row>
    <row r="1036" spans="1:16">
      <c r="A1036" t="str">
        <f t="shared" si="15"/>
        <v>SL02KWH OFFPK%</v>
      </c>
      <c r="B1036" s="307" t="s">
        <v>38</v>
      </c>
      <c r="C1036" s="307" t="s">
        <v>132</v>
      </c>
      <c r="D1036" s="309">
        <v>0.77419000000000004</v>
      </c>
      <c r="E1036" s="309">
        <v>0.75861999999999996</v>
      </c>
      <c r="F1036" s="309">
        <v>0.76312000000000002</v>
      </c>
      <c r="G1036" s="309">
        <v>0.73750000000000004</v>
      </c>
      <c r="H1036" s="309">
        <v>0.73387000000000002</v>
      </c>
      <c r="I1036" s="309">
        <v>0.73750000000000004</v>
      </c>
      <c r="J1036" s="309">
        <v>0.74597000000000002</v>
      </c>
      <c r="K1036" s="309">
        <v>0.72177000000000002</v>
      </c>
      <c r="L1036" s="309">
        <v>0.76249999999999996</v>
      </c>
      <c r="M1036" s="309">
        <v>0.72177000000000002</v>
      </c>
      <c r="N1036" s="309">
        <v>0.76634000000000002</v>
      </c>
      <c r="O1036" s="309">
        <v>0.78495000000000004</v>
      </c>
    </row>
    <row r="1037" spans="1:16">
      <c r="A1037" t="str">
        <f t="shared" si="15"/>
        <v>SL02DEMAND (KW):</v>
      </c>
      <c r="B1037" s="307" t="s">
        <v>38</v>
      </c>
      <c r="C1037" s="307" t="s">
        <v>62</v>
      </c>
      <c r="D1037" s="307"/>
      <c r="E1037" s="307"/>
      <c r="F1037" s="307"/>
      <c r="G1037" s="307"/>
      <c r="H1037" s="307"/>
      <c r="I1037" s="307"/>
      <c r="J1037" s="307"/>
      <c r="K1037" s="307"/>
      <c r="L1037" s="307"/>
      <c r="M1037" s="307"/>
      <c r="N1037" s="307"/>
      <c r="O1037" s="307"/>
    </row>
    <row r="1038" spans="1:16">
      <c r="A1038" t="str">
        <f t="shared" si="15"/>
        <v>SL02NCP</v>
      </c>
      <c r="B1038" s="307" t="s">
        <v>38</v>
      </c>
      <c r="C1038" s="307" t="s">
        <v>133</v>
      </c>
      <c r="D1038" s="307">
        <v>3522</v>
      </c>
      <c r="E1038" s="307">
        <v>3768</v>
      </c>
      <c r="F1038" s="307">
        <v>3537</v>
      </c>
      <c r="G1038" s="307">
        <v>3659</v>
      </c>
      <c r="H1038" s="307">
        <v>3501</v>
      </c>
      <c r="I1038" s="307">
        <v>3622</v>
      </c>
      <c r="J1038" s="307">
        <v>3518</v>
      </c>
      <c r="K1038" s="307">
        <v>3518</v>
      </c>
      <c r="L1038" s="307">
        <v>3637</v>
      </c>
      <c r="M1038" s="307">
        <v>3518</v>
      </c>
      <c r="N1038" s="307">
        <v>3634</v>
      </c>
      <c r="O1038" s="307">
        <v>3524</v>
      </c>
    </row>
    <row r="1039" spans="1:16">
      <c r="A1039" t="str">
        <f t="shared" si="15"/>
        <v>SL02NCP ONPK</v>
      </c>
      <c r="B1039" s="307" t="s">
        <v>38</v>
      </c>
      <c r="C1039" s="307" t="s">
        <v>134</v>
      </c>
      <c r="D1039" s="307">
        <v>3522</v>
      </c>
      <c r="E1039" s="307">
        <v>3768</v>
      </c>
      <c r="F1039" s="307">
        <v>3537</v>
      </c>
      <c r="G1039" s="307">
        <v>3659</v>
      </c>
      <c r="H1039" s="307">
        <v>3501</v>
      </c>
      <c r="I1039" s="307">
        <v>3622</v>
      </c>
      <c r="J1039" s="307">
        <v>3518</v>
      </c>
      <c r="K1039" s="307">
        <v>3518</v>
      </c>
      <c r="L1039" s="307">
        <v>3637</v>
      </c>
      <c r="M1039" s="307">
        <v>3518</v>
      </c>
      <c r="N1039" s="307">
        <v>3634</v>
      </c>
      <c r="O1039" s="307">
        <v>3524</v>
      </c>
    </row>
    <row r="1040" spans="1:16">
      <c r="A1040" t="str">
        <f t="shared" si="15"/>
        <v>SL02NCP OFFPK</v>
      </c>
      <c r="B1040" s="307" t="s">
        <v>38</v>
      </c>
      <c r="C1040" s="307" t="s">
        <v>135</v>
      </c>
      <c r="D1040" s="307">
        <v>3522</v>
      </c>
      <c r="E1040" s="307">
        <v>3768</v>
      </c>
      <c r="F1040" s="307">
        <v>3537</v>
      </c>
      <c r="G1040" s="307">
        <v>3659</v>
      </c>
      <c r="H1040" s="307">
        <v>3501</v>
      </c>
      <c r="I1040" s="307">
        <v>3622</v>
      </c>
      <c r="J1040" s="307">
        <v>3518</v>
      </c>
      <c r="K1040" s="307">
        <v>3518</v>
      </c>
      <c r="L1040" s="307">
        <v>3637</v>
      </c>
      <c r="M1040" s="307">
        <v>3518</v>
      </c>
      <c r="N1040" s="307">
        <v>3634</v>
      </c>
      <c r="O1040" s="307">
        <v>3524</v>
      </c>
    </row>
    <row r="1041" spans="1:16">
      <c r="A1041" t="str">
        <f t="shared" si="15"/>
        <v>SL02GCP DATE</v>
      </c>
      <c r="B1041" s="307" t="s">
        <v>38</v>
      </c>
      <c r="C1041" s="307" t="s">
        <v>136</v>
      </c>
      <c r="D1041" s="307" t="s">
        <v>930</v>
      </c>
      <c r="E1041" s="307" t="s">
        <v>931</v>
      </c>
      <c r="F1041" s="307" t="s">
        <v>23</v>
      </c>
      <c r="G1041" s="307" t="s">
        <v>932</v>
      </c>
      <c r="H1041" s="307" t="s">
        <v>933</v>
      </c>
      <c r="I1041" s="307" t="s">
        <v>0</v>
      </c>
      <c r="J1041" s="307" t="s">
        <v>934</v>
      </c>
      <c r="K1041" s="307" t="s">
        <v>935</v>
      </c>
      <c r="L1041" s="307" t="s">
        <v>929</v>
      </c>
      <c r="M1041" s="307" t="s">
        <v>912</v>
      </c>
      <c r="N1041" s="307" t="s">
        <v>181</v>
      </c>
      <c r="O1041" s="307" t="s">
        <v>936</v>
      </c>
    </row>
    <row r="1042" spans="1:16">
      <c r="A1042" t="str">
        <f t="shared" si="15"/>
        <v>SL02GCP TIME</v>
      </c>
      <c r="B1042" s="307" t="s">
        <v>38</v>
      </c>
      <c r="C1042" s="307" t="s">
        <v>142</v>
      </c>
      <c r="D1042" s="307" t="s">
        <v>201</v>
      </c>
      <c r="E1042" s="307" t="s">
        <v>201</v>
      </c>
      <c r="F1042" s="307" t="s">
        <v>201</v>
      </c>
      <c r="G1042" s="307" t="s">
        <v>201</v>
      </c>
      <c r="H1042" s="307" t="s">
        <v>201</v>
      </c>
      <c r="I1042" s="307" t="s">
        <v>201</v>
      </c>
      <c r="J1042" s="307" t="s">
        <v>201</v>
      </c>
      <c r="K1042" s="307" t="s">
        <v>201</v>
      </c>
      <c r="L1042" s="307" t="s">
        <v>201</v>
      </c>
      <c r="M1042" s="307" t="s">
        <v>201</v>
      </c>
      <c r="N1042" s="307" t="s">
        <v>201</v>
      </c>
      <c r="O1042" s="307" t="s">
        <v>201</v>
      </c>
    </row>
    <row r="1043" spans="1:16">
      <c r="A1043" t="str">
        <f t="shared" si="15"/>
        <v>SL02GCP</v>
      </c>
      <c r="B1043" s="307" t="s">
        <v>38</v>
      </c>
      <c r="C1043" s="307" t="s">
        <v>147</v>
      </c>
      <c r="D1043" s="307">
        <v>3522</v>
      </c>
      <c r="E1043" s="307">
        <v>3768</v>
      </c>
      <c r="F1043" s="307">
        <v>3537</v>
      </c>
      <c r="G1043" s="307">
        <v>3659</v>
      </c>
      <c r="H1043" s="307">
        <v>3501</v>
      </c>
      <c r="I1043" s="307">
        <v>3622</v>
      </c>
      <c r="J1043" s="307">
        <v>3518</v>
      </c>
      <c r="K1043" s="307">
        <v>3518</v>
      </c>
      <c r="L1043" s="307">
        <v>3637</v>
      </c>
      <c r="M1043" s="307">
        <v>3518</v>
      </c>
      <c r="N1043" s="307">
        <v>3634</v>
      </c>
      <c r="O1043" s="307">
        <v>3524</v>
      </c>
    </row>
    <row r="1044" spans="1:16">
      <c r="A1044" t="str">
        <f t="shared" si="15"/>
        <v>SL02GCP ONPK</v>
      </c>
      <c r="B1044" s="307" t="s">
        <v>38</v>
      </c>
      <c r="C1044" s="307" t="s">
        <v>63</v>
      </c>
      <c r="D1044" s="307">
        <v>3522</v>
      </c>
      <c r="E1044" s="307">
        <v>3768</v>
      </c>
      <c r="F1044" s="307">
        <v>3537</v>
      </c>
      <c r="G1044" s="307">
        <v>3659</v>
      </c>
      <c r="H1044" s="307">
        <v>3501</v>
      </c>
      <c r="I1044" s="307">
        <v>3622</v>
      </c>
      <c r="J1044" s="307">
        <v>3518</v>
      </c>
      <c r="K1044" s="307">
        <v>3518</v>
      </c>
      <c r="L1044" s="307">
        <v>3637</v>
      </c>
      <c r="M1044" s="307">
        <v>3518</v>
      </c>
      <c r="N1044" s="307">
        <v>3634</v>
      </c>
      <c r="O1044" s="307">
        <v>3524</v>
      </c>
    </row>
    <row r="1045" spans="1:16">
      <c r="A1045" t="str">
        <f t="shared" si="15"/>
        <v>SL02GCP OFFPK</v>
      </c>
      <c r="B1045" s="307" t="s">
        <v>38</v>
      </c>
      <c r="C1045" s="307" t="s">
        <v>64</v>
      </c>
      <c r="D1045" s="307">
        <v>3522</v>
      </c>
      <c r="E1045" s="307">
        <v>3768</v>
      </c>
      <c r="F1045" s="307">
        <v>3537</v>
      </c>
      <c r="G1045" s="307">
        <v>3659</v>
      </c>
      <c r="H1045" s="307">
        <v>3501</v>
      </c>
      <c r="I1045" s="307">
        <v>3622</v>
      </c>
      <c r="J1045" s="307">
        <v>3518</v>
      </c>
      <c r="K1045" s="307">
        <v>3518</v>
      </c>
      <c r="L1045" s="307">
        <v>3637</v>
      </c>
      <c r="M1045" s="307">
        <v>3518</v>
      </c>
      <c r="N1045" s="307">
        <v>3634</v>
      </c>
      <c r="O1045" s="307">
        <v>3524</v>
      </c>
      <c r="P1045" s="4"/>
    </row>
    <row r="1046" spans="1:16">
      <c r="A1046" t="str">
        <f t="shared" si="15"/>
        <v>SL02CP</v>
      </c>
      <c r="B1046" s="307" t="s">
        <v>38</v>
      </c>
      <c r="C1046" s="307" t="s">
        <v>148</v>
      </c>
      <c r="D1046" s="307">
        <v>3522</v>
      </c>
      <c r="E1046" s="307">
        <v>3768</v>
      </c>
      <c r="F1046" s="307">
        <v>3537</v>
      </c>
      <c r="G1046" s="307">
        <v>3659</v>
      </c>
      <c r="H1046" s="307">
        <v>3501</v>
      </c>
      <c r="I1046" s="307">
        <v>3622</v>
      </c>
      <c r="J1046" s="307">
        <v>3518</v>
      </c>
      <c r="K1046" s="307">
        <v>3518</v>
      </c>
      <c r="L1046" s="307">
        <v>3637</v>
      </c>
      <c r="M1046" s="307">
        <v>3518</v>
      </c>
      <c r="N1046" s="307">
        <v>3634</v>
      </c>
      <c r="O1046" s="307">
        <v>3524</v>
      </c>
    </row>
    <row r="1047" spans="1:16">
      <c r="A1047" t="str">
        <f t="shared" si="15"/>
        <v>SL02PERIOD START</v>
      </c>
      <c r="B1047" s="307" t="s">
        <v>38</v>
      </c>
      <c r="C1047" s="307" t="s">
        <v>149</v>
      </c>
      <c r="D1047" s="310">
        <v>40909</v>
      </c>
      <c r="E1047" s="310">
        <v>40940</v>
      </c>
      <c r="F1047" s="310">
        <v>40969</v>
      </c>
      <c r="G1047" s="310">
        <v>41000</v>
      </c>
      <c r="H1047" s="310">
        <v>41030</v>
      </c>
      <c r="I1047" s="310">
        <v>41061</v>
      </c>
      <c r="J1047" s="310">
        <v>41091</v>
      </c>
      <c r="K1047" s="310">
        <v>41122</v>
      </c>
      <c r="L1047" s="310">
        <v>41153</v>
      </c>
      <c r="M1047" s="310">
        <v>41183</v>
      </c>
      <c r="N1047" s="310">
        <v>41214</v>
      </c>
      <c r="O1047" s="310">
        <v>41244</v>
      </c>
    </row>
    <row r="1048" spans="1:16">
      <c r="A1048" t="str">
        <f t="shared" si="15"/>
        <v>SL02NCP LF</v>
      </c>
      <c r="B1048" s="307" t="s">
        <v>38</v>
      </c>
      <c r="C1048" s="307" t="s">
        <v>150</v>
      </c>
      <c r="D1048" s="309">
        <v>1</v>
      </c>
      <c r="E1048" s="309">
        <v>1</v>
      </c>
      <c r="F1048" s="309">
        <v>1</v>
      </c>
      <c r="G1048" s="309">
        <v>1</v>
      </c>
      <c r="H1048" s="309">
        <v>1</v>
      </c>
      <c r="I1048" s="309">
        <v>1</v>
      </c>
      <c r="J1048" s="309">
        <v>1</v>
      </c>
      <c r="K1048" s="309">
        <v>1</v>
      </c>
      <c r="L1048" s="309">
        <v>1</v>
      </c>
      <c r="M1048" s="309">
        <v>1</v>
      </c>
      <c r="N1048" s="309">
        <v>0.99860000000000004</v>
      </c>
      <c r="O1048" s="309">
        <v>1</v>
      </c>
    </row>
    <row r="1049" spans="1:16">
      <c r="A1049" t="str">
        <f t="shared" si="15"/>
        <v>SL02NCP LF ONPK</v>
      </c>
      <c r="B1049" s="307" t="s">
        <v>38</v>
      </c>
      <c r="C1049" s="307" t="s">
        <v>151</v>
      </c>
      <c r="D1049" s="309">
        <v>1</v>
      </c>
      <c r="E1049" s="309">
        <v>1</v>
      </c>
      <c r="F1049" s="309">
        <v>1</v>
      </c>
      <c r="G1049" s="309">
        <v>1</v>
      </c>
      <c r="H1049" s="309">
        <v>1</v>
      </c>
      <c r="I1049" s="309">
        <v>1</v>
      </c>
      <c r="J1049" s="309">
        <v>1</v>
      </c>
      <c r="K1049" s="309">
        <v>1</v>
      </c>
      <c r="L1049" s="309">
        <v>1</v>
      </c>
      <c r="M1049" s="309">
        <v>1</v>
      </c>
      <c r="N1049" s="309">
        <v>1</v>
      </c>
      <c r="O1049" s="309">
        <v>1</v>
      </c>
    </row>
    <row r="1050" spans="1:16">
      <c r="A1050" t="str">
        <f t="shared" si="15"/>
        <v>SL02NCP LF OFFPK</v>
      </c>
      <c r="B1050" s="307" t="s">
        <v>38</v>
      </c>
      <c r="C1050" s="307" t="s">
        <v>152</v>
      </c>
      <c r="D1050" s="309">
        <v>1</v>
      </c>
      <c r="E1050" s="309">
        <v>1</v>
      </c>
      <c r="F1050" s="309">
        <v>1</v>
      </c>
      <c r="G1050" s="309">
        <v>1</v>
      </c>
      <c r="H1050" s="309">
        <v>1</v>
      </c>
      <c r="I1050" s="309">
        <v>1</v>
      </c>
      <c r="J1050" s="309">
        <v>1</v>
      </c>
      <c r="K1050" s="309">
        <v>1</v>
      </c>
      <c r="L1050" s="309">
        <v>1</v>
      </c>
      <c r="M1050" s="309">
        <v>1</v>
      </c>
      <c r="N1050" s="309">
        <v>0.99819999999999998</v>
      </c>
      <c r="O1050" s="309">
        <v>1</v>
      </c>
    </row>
    <row r="1051" spans="1:16">
      <c r="A1051" t="str">
        <f t="shared" si="15"/>
        <v>SL02GCP CF</v>
      </c>
      <c r="B1051" s="307" t="s">
        <v>38</v>
      </c>
      <c r="C1051" s="307" t="s">
        <v>153</v>
      </c>
      <c r="D1051" s="309">
        <v>1</v>
      </c>
      <c r="E1051" s="309">
        <v>1</v>
      </c>
      <c r="F1051" s="309">
        <v>1</v>
      </c>
      <c r="G1051" s="309">
        <v>1</v>
      </c>
      <c r="H1051" s="309">
        <v>1</v>
      </c>
      <c r="I1051" s="309">
        <v>1</v>
      </c>
      <c r="J1051" s="309">
        <v>1</v>
      </c>
      <c r="K1051" s="309">
        <v>1</v>
      </c>
      <c r="L1051" s="309">
        <v>1</v>
      </c>
      <c r="M1051" s="309">
        <v>1</v>
      </c>
      <c r="N1051" s="309">
        <v>1</v>
      </c>
      <c r="O1051" s="309">
        <v>1</v>
      </c>
      <c r="P1051" s="91"/>
    </row>
    <row r="1052" spans="1:16">
      <c r="A1052" t="str">
        <f t="shared" si="15"/>
        <v>SL02CP CF</v>
      </c>
      <c r="B1052" s="307" t="s">
        <v>38</v>
      </c>
      <c r="C1052" s="307" t="s">
        <v>154</v>
      </c>
      <c r="D1052" s="309">
        <v>1</v>
      </c>
      <c r="E1052" s="309">
        <v>1</v>
      </c>
      <c r="F1052" s="309">
        <v>1</v>
      </c>
      <c r="G1052" s="309">
        <v>1</v>
      </c>
      <c r="H1052" s="309">
        <v>1</v>
      </c>
      <c r="I1052" s="309">
        <v>1</v>
      </c>
      <c r="J1052" s="309">
        <v>1</v>
      </c>
      <c r="K1052" s="309">
        <v>1</v>
      </c>
      <c r="L1052" s="309">
        <v>1</v>
      </c>
      <c r="M1052" s="309">
        <v>1</v>
      </c>
      <c r="N1052" s="309">
        <v>1</v>
      </c>
      <c r="O1052" s="309">
        <v>1</v>
      </c>
    </row>
    <row r="1053" spans="1:16">
      <c r="A1053" t="str">
        <f t="shared" si="15"/>
        <v>SL02GCP LF</v>
      </c>
      <c r="B1053" s="307" t="s">
        <v>38</v>
      </c>
      <c r="C1053" s="307" t="s">
        <v>155</v>
      </c>
      <c r="D1053" s="309">
        <v>1</v>
      </c>
      <c r="E1053" s="309">
        <v>1</v>
      </c>
      <c r="F1053" s="309">
        <v>1</v>
      </c>
      <c r="G1053" s="309">
        <v>1</v>
      </c>
      <c r="H1053" s="309">
        <v>1</v>
      </c>
      <c r="I1053" s="309">
        <v>1</v>
      </c>
      <c r="J1053" s="309">
        <v>1</v>
      </c>
      <c r="K1053" s="309">
        <v>1</v>
      </c>
      <c r="L1053" s="309">
        <v>1</v>
      </c>
      <c r="M1053" s="309">
        <v>1</v>
      </c>
      <c r="N1053" s="309">
        <v>0.99860000000000004</v>
      </c>
      <c r="O1053" s="309">
        <v>1</v>
      </c>
    </row>
    <row r="1054" spans="1:16">
      <c r="A1054" t="str">
        <f t="shared" si="15"/>
        <v>SL02GCP LF ONPK</v>
      </c>
      <c r="B1054" s="307" t="s">
        <v>38</v>
      </c>
      <c r="C1054" s="307" t="s">
        <v>156</v>
      </c>
      <c r="D1054" s="309">
        <v>1</v>
      </c>
      <c r="E1054" s="309">
        <v>1</v>
      </c>
      <c r="F1054" s="309">
        <v>1</v>
      </c>
      <c r="G1054" s="309">
        <v>1</v>
      </c>
      <c r="H1054" s="309">
        <v>1</v>
      </c>
      <c r="I1054" s="309">
        <v>1</v>
      </c>
      <c r="J1054" s="309">
        <v>1</v>
      </c>
      <c r="K1054" s="309">
        <v>1</v>
      </c>
      <c r="L1054" s="309">
        <v>1</v>
      </c>
      <c r="M1054" s="309">
        <v>1</v>
      </c>
      <c r="N1054" s="309">
        <v>1</v>
      </c>
      <c r="O1054" s="309">
        <v>1</v>
      </c>
      <c r="P1054" s="5"/>
    </row>
    <row r="1055" spans="1:16">
      <c r="A1055" t="str">
        <f t="shared" si="15"/>
        <v>SL02GCP LF OFFPK</v>
      </c>
      <c r="B1055" s="307" t="s">
        <v>38</v>
      </c>
      <c r="C1055" s="307" t="s">
        <v>157</v>
      </c>
      <c r="D1055" s="309">
        <v>1</v>
      </c>
      <c r="E1055" s="309">
        <v>1</v>
      </c>
      <c r="F1055" s="309">
        <v>1</v>
      </c>
      <c r="G1055" s="309">
        <v>1</v>
      </c>
      <c r="H1055" s="309">
        <v>1</v>
      </c>
      <c r="I1055" s="309">
        <v>1</v>
      </c>
      <c r="J1055" s="309">
        <v>1</v>
      </c>
      <c r="K1055" s="309">
        <v>1</v>
      </c>
      <c r="L1055" s="309">
        <v>1</v>
      </c>
      <c r="M1055" s="309">
        <v>1</v>
      </c>
      <c r="N1055" s="309">
        <v>0.99819999999999998</v>
      </c>
      <c r="O1055" s="309">
        <v>1</v>
      </c>
      <c r="P1055" s="5"/>
    </row>
    <row r="1056" spans="1:16">
      <c r="A1056" t="str">
        <f t="shared" si="15"/>
        <v>SL02CP LF</v>
      </c>
      <c r="B1056" s="307" t="s">
        <v>38</v>
      </c>
      <c r="C1056" s="307" t="s">
        <v>158</v>
      </c>
      <c r="D1056" s="309">
        <v>1</v>
      </c>
      <c r="E1056" s="309">
        <v>1</v>
      </c>
      <c r="F1056" s="309">
        <v>1</v>
      </c>
      <c r="G1056" s="309">
        <v>1</v>
      </c>
      <c r="H1056" s="309">
        <v>1</v>
      </c>
      <c r="I1056" s="309">
        <v>1</v>
      </c>
      <c r="J1056" s="309">
        <v>1</v>
      </c>
      <c r="K1056" s="309">
        <v>1</v>
      </c>
      <c r="L1056" s="309">
        <v>1</v>
      </c>
      <c r="M1056" s="309">
        <v>1</v>
      </c>
      <c r="N1056" s="309">
        <v>0.99860000000000004</v>
      </c>
      <c r="O1056" s="309">
        <v>1</v>
      </c>
    </row>
    <row r="1057" spans="1:16">
      <c r="A1057" t="str">
        <f t="shared" si="15"/>
        <v>SL02REL PREC:</v>
      </c>
      <c r="B1057" s="307" t="s">
        <v>38</v>
      </c>
      <c r="C1057" s="307" t="s">
        <v>65</v>
      </c>
      <c r="D1057" s="307"/>
      <c r="E1057" s="307"/>
      <c r="F1057" s="307"/>
      <c r="G1057" s="307"/>
      <c r="H1057" s="307"/>
      <c r="I1057" s="307"/>
      <c r="J1057" s="307"/>
      <c r="K1057" s="307"/>
      <c r="L1057" s="307"/>
      <c r="M1057" s="307"/>
      <c r="N1057" s="307"/>
      <c r="O1057" s="307"/>
      <c r="P1057" s="89"/>
    </row>
    <row r="1058" spans="1:16">
      <c r="A1058" t="str">
        <f t="shared" si="15"/>
        <v>SL02NCP RP</v>
      </c>
      <c r="B1058" s="307" t="s">
        <v>38</v>
      </c>
      <c r="C1058" s="307" t="s">
        <v>159</v>
      </c>
      <c r="D1058" s="309">
        <v>0</v>
      </c>
      <c r="E1058" s="309">
        <v>0</v>
      </c>
      <c r="F1058" s="309">
        <v>0</v>
      </c>
      <c r="G1058" s="309">
        <v>0</v>
      </c>
      <c r="H1058" s="309">
        <v>0</v>
      </c>
      <c r="I1058" s="309">
        <v>0</v>
      </c>
      <c r="J1058" s="309">
        <v>0</v>
      </c>
      <c r="K1058" s="309">
        <v>0</v>
      </c>
      <c r="L1058" s="309">
        <v>0</v>
      </c>
      <c r="M1058" s="309">
        <v>0</v>
      </c>
      <c r="N1058" s="309">
        <v>0</v>
      </c>
      <c r="O1058" s="309">
        <v>0</v>
      </c>
    </row>
    <row r="1059" spans="1:16">
      <c r="A1059" t="str">
        <f t="shared" si="15"/>
        <v>SL02NCP RP ONPK</v>
      </c>
      <c r="B1059" s="307" t="s">
        <v>38</v>
      </c>
      <c r="C1059" s="307" t="s">
        <v>160</v>
      </c>
      <c r="D1059" s="309">
        <v>0</v>
      </c>
      <c r="E1059" s="309">
        <v>0</v>
      </c>
      <c r="F1059" s="309">
        <v>0</v>
      </c>
      <c r="G1059" s="309">
        <v>0</v>
      </c>
      <c r="H1059" s="309">
        <v>0</v>
      </c>
      <c r="I1059" s="309">
        <v>0</v>
      </c>
      <c r="J1059" s="309">
        <v>0</v>
      </c>
      <c r="K1059" s="309">
        <v>0</v>
      </c>
      <c r="L1059" s="309">
        <v>0</v>
      </c>
      <c r="M1059" s="309">
        <v>0</v>
      </c>
      <c r="N1059" s="309">
        <v>0</v>
      </c>
      <c r="O1059" s="309">
        <v>0</v>
      </c>
    </row>
    <row r="1060" spans="1:16">
      <c r="A1060" t="str">
        <f t="shared" si="15"/>
        <v>SL02NCP RP OFFPK</v>
      </c>
      <c r="B1060" s="307" t="s">
        <v>38</v>
      </c>
      <c r="C1060" s="307" t="s">
        <v>161</v>
      </c>
      <c r="D1060" s="309">
        <v>0</v>
      </c>
      <c r="E1060" s="309">
        <v>0</v>
      </c>
      <c r="F1060" s="309">
        <v>0</v>
      </c>
      <c r="G1060" s="309">
        <v>0</v>
      </c>
      <c r="H1060" s="309">
        <v>0</v>
      </c>
      <c r="I1060" s="309">
        <v>0</v>
      </c>
      <c r="J1060" s="309">
        <v>0</v>
      </c>
      <c r="K1060" s="309">
        <v>0</v>
      </c>
      <c r="L1060" s="309">
        <v>0</v>
      </c>
      <c r="M1060" s="309">
        <v>0</v>
      </c>
      <c r="N1060" s="309">
        <v>0</v>
      </c>
      <c r="O1060" s="309">
        <v>0</v>
      </c>
    </row>
    <row r="1061" spans="1:16">
      <c r="A1061" t="str">
        <f t="shared" si="15"/>
        <v>SL02GCP RP</v>
      </c>
      <c r="B1061" s="307" t="s">
        <v>38</v>
      </c>
      <c r="C1061" s="307" t="s">
        <v>162</v>
      </c>
      <c r="D1061" s="309">
        <v>0</v>
      </c>
      <c r="E1061" s="309">
        <v>0</v>
      </c>
      <c r="F1061" s="309">
        <v>0</v>
      </c>
      <c r="G1061" s="309">
        <v>0</v>
      </c>
      <c r="H1061" s="309">
        <v>0</v>
      </c>
      <c r="I1061" s="309">
        <v>0</v>
      </c>
      <c r="J1061" s="309">
        <v>0</v>
      </c>
      <c r="K1061" s="309">
        <v>0</v>
      </c>
      <c r="L1061" s="309">
        <v>0</v>
      </c>
      <c r="M1061" s="309">
        <v>0</v>
      </c>
      <c r="N1061" s="309">
        <v>0</v>
      </c>
      <c r="O1061" s="309">
        <v>0</v>
      </c>
    </row>
    <row r="1062" spans="1:16">
      <c r="A1062" t="str">
        <f t="shared" si="15"/>
        <v>SL02GCP RP ONPK</v>
      </c>
      <c r="B1062" s="307" t="s">
        <v>38</v>
      </c>
      <c r="C1062" s="307" t="s">
        <v>163</v>
      </c>
      <c r="D1062" s="309">
        <v>0</v>
      </c>
      <c r="E1062" s="309">
        <v>0</v>
      </c>
      <c r="F1062" s="309">
        <v>0</v>
      </c>
      <c r="G1062" s="309">
        <v>0</v>
      </c>
      <c r="H1062" s="309">
        <v>0</v>
      </c>
      <c r="I1062" s="309">
        <v>0</v>
      </c>
      <c r="J1062" s="309">
        <v>0</v>
      </c>
      <c r="K1062" s="309">
        <v>0</v>
      </c>
      <c r="L1062" s="309">
        <v>0</v>
      </c>
      <c r="M1062" s="309">
        <v>0</v>
      </c>
      <c r="N1062" s="309">
        <v>0</v>
      </c>
      <c r="O1062" s="309">
        <v>0</v>
      </c>
      <c r="P1062" s="87"/>
    </row>
    <row r="1063" spans="1:16">
      <c r="A1063" t="str">
        <f t="shared" si="15"/>
        <v>SL02GCP RP OFFPK</v>
      </c>
      <c r="B1063" s="307" t="s">
        <v>38</v>
      </c>
      <c r="C1063" s="307" t="s">
        <v>164</v>
      </c>
      <c r="D1063" s="309">
        <v>0</v>
      </c>
      <c r="E1063" s="309">
        <v>0</v>
      </c>
      <c r="F1063" s="309">
        <v>0</v>
      </c>
      <c r="G1063" s="309">
        <v>0</v>
      </c>
      <c r="H1063" s="309">
        <v>0</v>
      </c>
      <c r="I1063" s="309">
        <v>0</v>
      </c>
      <c r="J1063" s="309">
        <v>0</v>
      </c>
      <c r="K1063" s="309">
        <v>0</v>
      </c>
      <c r="L1063" s="309">
        <v>0</v>
      </c>
      <c r="M1063" s="309">
        <v>0</v>
      </c>
      <c r="N1063" s="309">
        <v>0</v>
      </c>
      <c r="O1063" s="309">
        <v>0</v>
      </c>
    </row>
    <row r="1064" spans="1:16">
      <c r="A1064" t="str">
        <f t="shared" si="15"/>
        <v>SL02CP RP</v>
      </c>
      <c r="B1064" s="307" t="s">
        <v>38</v>
      </c>
      <c r="C1064" s="307" t="s">
        <v>165</v>
      </c>
      <c r="D1064" s="309">
        <v>0</v>
      </c>
      <c r="E1064" s="309">
        <v>0</v>
      </c>
      <c r="F1064" s="309">
        <v>0</v>
      </c>
      <c r="G1064" s="309">
        <v>0</v>
      </c>
      <c r="H1064" s="309">
        <v>0</v>
      </c>
      <c r="I1064" s="309">
        <v>0</v>
      </c>
      <c r="J1064" s="309">
        <v>0</v>
      </c>
      <c r="K1064" s="309">
        <v>0</v>
      </c>
      <c r="L1064" s="309">
        <v>0</v>
      </c>
      <c r="M1064" s="309">
        <v>0</v>
      </c>
      <c r="N1064" s="309">
        <v>0</v>
      </c>
      <c r="O1064" s="309">
        <v>0</v>
      </c>
    </row>
    <row r="1065" spans="1:16">
      <c r="A1065" t="str">
        <f t="shared" si="15"/>
        <v>SL02SAMPLE SIZE:</v>
      </c>
      <c r="B1065" s="307" t="s">
        <v>38</v>
      </c>
      <c r="C1065" s="307" t="s">
        <v>66</v>
      </c>
      <c r="D1065" s="307"/>
      <c r="E1065" s="307"/>
      <c r="F1065" s="307"/>
      <c r="G1065" s="307"/>
      <c r="H1065" s="307"/>
      <c r="I1065" s="307"/>
      <c r="J1065" s="307"/>
      <c r="K1065" s="307"/>
      <c r="L1065" s="307"/>
      <c r="M1065" s="307"/>
      <c r="N1065" s="307"/>
      <c r="O1065" s="307"/>
      <c r="P1065" s="83"/>
    </row>
    <row r="1066" spans="1:16">
      <c r="A1066" t="str">
        <f t="shared" si="15"/>
        <v>SL02GCPSZ</v>
      </c>
      <c r="B1066" s="307" t="s">
        <v>38</v>
      </c>
      <c r="C1066" s="307" t="s">
        <v>166</v>
      </c>
      <c r="D1066" s="307">
        <v>1</v>
      </c>
      <c r="E1066" s="307">
        <v>1</v>
      </c>
      <c r="F1066" s="307">
        <v>1</v>
      </c>
      <c r="G1066" s="307">
        <v>1</v>
      </c>
      <c r="H1066" s="307">
        <v>1</v>
      </c>
      <c r="I1066" s="307">
        <v>1</v>
      </c>
      <c r="J1066" s="307">
        <v>1</v>
      </c>
      <c r="K1066" s="307">
        <v>1</v>
      </c>
      <c r="L1066" s="307">
        <v>1</v>
      </c>
      <c r="M1066" s="307">
        <v>1</v>
      </c>
      <c r="N1066" s="307">
        <v>1</v>
      </c>
      <c r="O1066" s="307">
        <v>1</v>
      </c>
      <c r="P1066" s="1"/>
    </row>
    <row r="1067" spans="1:16">
      <c r="A1067" t="str">
        <f t="shared" si="15"/>
        <v>SL02GCPSZ ONPK</v>
      </c>
      <c r="B1067" s="307" t="s">
        <v>38</v>
      </c>
      <c r="C1067" s="307" t="s">
        <v>167</v>
      </c>
      <c r="D1067" s="307">
        <v>1</v>
      </c>
      <c r="E1067" s="307">
        <v>1</v>
      </c>
      <c r="F1067" s="307">
        <v>1</v>
      </c>
      <c r="G1067" s="307">
        <v>1</v>
      </c>
      <c r="H1067" s="307">
        <v>1</v>
      </c>
      <c r="I1067" s="307">
        <v>1</v>
      </c>
      <c r="J1067" s="307">
        <v>1</v>
      </c>
      <c r="K1067" s="307">
        <v>1</v>
      </c>
      <c r="L1067" s="307">
        <v>1</v>
      </c>
      <c r="M1067" s="307">
        <v>1</v>
      </c>
      <c r="N1067" s="307">
        <v>1</v>
      </c>
      <c r="O1067" s="307">
        <v>1</v>
      </c>
      <c r="P1067" s="5"/>
    </row>
    <row r="1068" spans="1:16">
      <c r="A1068" t="str">
        <f t="shared" si="15"/>
        <v>SL02GCPSZ OFFPK</v>
      </c>
      <c r="B1068" s="307" t="s">
        <v>38</v>
      </c>
      <c r="C1068" s="307" t="s">
        <v>168</v>
      </c>
      <c r="D1068" s="307">
        <v>1</v>
      </c>
      <c r="E1068" s="307">
        <v>1</v>
      </c>
      <c r="F1068" s="307">
        <v>1</v>
      </c>
      <c r="G1068" s="307">
        <v>1</v>
      </c>
      <c r="H1068" s="307">
        <v>1</v>
      </c>
      <c r="I1068" s="307">
        <v>1</v>
      </c>
      <c r="J1068" s="307">
        <v>1</v>
      </c>
      <c r="K1068" s="307">
        <v>1</v>
      </c>
      <c r="L1068" s="307">
        <v>1</v>
      </c>
      <c r="M1068" s="307">
        <v>1</v>
      </c>
      <c r="N1068" s="307">
        <v>1</v>
      </c>
      <c r="O1068" s="307">
        <v>1</v>
      </c>
      <c r="P1068" s="5"/>
    </row>
    <row r="1069" spans="1:16">
      <c r="A1069" t="str">
        <f t="shared" si="15"/>
        <v>SL02CPSZ</v>
      </c>
      <c r="B1069" s="307" t="s">
        <v>38</v>
      </c>
      <c r="C1069" s="307" t="s">
        <v>169</v>
      </c>
      <c r="D1069" s="307">
        <v>1</v>
      </c>
      <c r="E1069" s="307">
        <v>1</v>
      </c>
      <c r="F1069" s="307">
        <v>1</v>
      </c>
      <c r="G1069" s="307">
        <v>1</v>
      </c>
      <c r="H1069" s="307">
        <v>1</v>
      </c>
      <c r="I1069" s="307">
        <v>1</v>
      </c>
      <c r="J1069" s="307">
        <v>1</v>
      </c>
      <c r="K1069" s="307">
        <v>1</v>
      </c>
      <c r="L1069" s="307">
        <v>1</v>
      </c>
      <c r="M1069" s="307">
        <v>1</v>
      </c>
      <c r="N1069" s="307">
        <v>1</v>
      </c>
      <c r="O1069" s="307">
        <v>1</v>
      </c>
      <c r="P1069" s="5"/>
    </row>
    <row r="1070" spans="1:16">
      <c r="A1070" t="str">
        <f t="shared" si="15"/>
        <v/>
      </c>
      <c r="B1070" s="307"/>
      <c r="C1070" s="307"/>
      <c r="D1070" s="307"/>
      <c r="E1070" s="307"/>
      <c r="F1070" s="307"/>
      <c r="G1070" s="307"/>
      <c r="H1070" s="307"/>
      <c r="I1070" s="307"/>
      <c r="J1070" s="307"/>
      <c r="K1070" s="307"/>
      <c r="L1070" s="307"/>
      <c r="M1070" s="307"/>
      <c r="N1070" s="307"/>
      <c r="O1070" s="307"/>
      <c r="P1070" s="5"/>
    </row>
    <row r="1071" spans="1:16">
      <c r="A1071" t="str">
        <f t="shared" si="15"/>
        <v/>
      </c>
      <c r="B1071" s="307"/>
      <c r="C1071" s="307"/>
      <c r="D1071" s="307"/>
      <c r="E1071" s="307"/>
      <c r="F1071" s="307"/>
      <c r="G1071" s="307"/>
      <c r="H1071" s="307"/>
      <c r="I1071" s="307"/>
      <c r="J1071" s="307"/>
      <c r="K1071" s="307"/>
      <c r="L1071" s="307"/>
      <c r="M1071" s="307"/>
      <c r="N1071" s="307"/>
      <c r="O1071" s="307"/>
      <c r="P1071" s="5"/>
    </row>
    <row r="1072" spans="1:16">
      <c r="A1072" t="str">
        <f t="shared" si="15"/>
        <v/>
      </c>
      <c r="B1072" s="307"/>
      <c r="C1072" s="307"/>
      <c r="D1072" s="307"/>
      <c r="E1072" s="307"/>
      <c r="F1072" s="307"/>
      <c r="G1072" s="307"/>
      <c r="H1072" s="307"/>
      <c r="I1072" s="307"/>
      <c r="J1072" s="307"/>
      <c r="K1072" s="307"/>
      <c r="L1072" s="307"/>
      <c r="M1072" s="307"/>
      <c r="N1072" s="307"/>
      <c r="O1072" s="307"/>
      <c r="P1072" s="5"/>
    </row>
    <row r="1073" spans="1:16">
      <c r="A1073" t="str">
        <f t="shared" si="15"/>
        <v/>
      </c>
      <c r="B1073" s="307"/>
      <c r="C1073" s="307"/>
      <c r="D1073" s="307"/>
      <c r="E1073" s="307"/>
      <c r="F1073" s="307"/>
      <c r="G1073" s="307"/>
      <c r="H1073" s="307"/>
      <c r="I1073" s="307"/>
      <c r="J1073" s="307"/>
      <c r="K1073" s="307"/>
      <c r="L1073" s="307"/>
      <c r="M1073" s="307"/>
      <c r="N1073" s="307"/>
      <c r="O1073" s="307"/>
      <c r="P1073" s="5"/>
    </row>
    <row r="1074" spans="1:16">
      <c r="A1074" t="str">
        <f t="shared" si="15"/>
        <v/>
      </c>
      <c r="B1074" s="307"/>
      <c r="C1074" s="307"/>
      <c r="D1074" s="307"/>
      <c r="E1074" s="307"/>
      <c r="F1074" s="307"/>
      <c r="G1074" s="307"/>
      <c r="H1074" s="307"/>
      <c r="I1074" s="307"/>
      <c r="J1074" s="307"/>
      <c r="K1074" s="307"/>
      <c r="L1074" s="307"/>
      <c r="M1074" s="307"/>
      <c r="N1074" s="307"/>
      <c r="O1074" s="307"/>
      <c r="P1074" s="5"/>
    </row>
    <row r="1075" spans="1:16">
      <c r="A1075" t="str">
        <f t="shared" si="15"/>
        <v/>
      </c>
      <c r="B1075" s="307"/>
      <c r="C1075" s="307"/>
      <c r="D1075" s="307"/>
      <c r="E1075" s="307"/>
      <c r="F1075" s="307"/>
      <c r="G1075" s="307"/>
      <c r="H1075" s="307"/>
      <c r="I1075" s="307"/>
      <c r="J1075" s="307"/>
      <c r="K1075" s="307"/>
      <c r="L1075" s="307"/>
      <c r="M1075" s="307"/>
      <c r="N1075" s="307"/>
      <c r="O1075" s="307"/>
      <c r="P1075" s="5"/>
    </row>
    <row r="1076" spans="1:16">
      <c r="A1076" t="str">
        <f t="shared" si="15"/>
        <v/>
      </c>
      <c r="B1076" s="307"/>
      <c r="C1076" s="307"/>
      <c r="D1076" s="307"/>
      <c r="E1076" s="307"/>
      <c r="F1076" s="307"/>
      <c r="G1076" s="307"/>
      <c r="H1076" s="307"/>
      <c r="I1076" s="307"/>
      <c r="J1076" s="307"/>
      <c r="K1076" s="307"/>
      <c r="L1076" s="307"/>
      <c r="M1076" s="307"/>
      <c r="N1076" s="307"/>
      <c r="O1076" s="307"/>
    </row>
    <row r="1077" spans="1:16">
      <c r="A1077" t="str">
        <f t="shared" si="15"/>
        <v/>
      </c>
      <c r="B1077" s="307"/>
      <c r="C1077" s="307"/>
      <c r="D1077" s="307"/>
      <c r="E1077" s="307"/>
      <c r="F1077" s="307"/>
      <c r="G1077" s="307"/>
      <c r="H1077" s="307"/>
      <c r="I1077" s="307"/>
      <c r="J1077" s="307"/>
      <c r="K1077" s="307"/>
      <c r="L1077" s="307"/>
      <c r="M1077" s="307"/>
      <c r="N1077" s="307"/>
      <c r="O1077" s="307"/>
      <c r="P1077" s="5"/>
    </row>
    <row r="1078" spans="1:16">
      <c r="A1078" t="str">
        <f t="shared" ref="A1078:A1141" si="16">B1078&amp;C1078</f>
        <v/>
      </c>
      <c r="B1078" s="307"/>
      <c r="C1078" s="307"/>
      <c r="D1078" s="307"/>
      <c r="E1078" s="307"/>
      <c r="F1078" s="307"/>
      <c r="G1078" s="307"/>
      <c r="H1078" s="307"/>
      <c r="I1078" s="307"/>
      <c r="J1078" s="307"/>
      <c r="K1078" s="307"/>
      <c r="L1078" s="307"/>
      <c r="M1078" s="307"/>
      <c r="N1078" s="307"/>
      <c r="O1078" s="307"/>
      <c r="P1078" s="5"/>
    </row>
    <row r="1079" spans="1:16">
      <c r="A1079" t="str">
        <f t="shared" si="16"/>
        <v>SSTD SSTD-D Distribution Standby Load Combined (SST-1D</v>
      </c>
      <c r="B1079" t="s">
        <v>39</v>
      </c>
      <c r="C1079" t="s">
        <v>695</v>
      </c>
      <c r="D1079" t="s">
        <v>696</v>
      </c>
      <c r="P1079" s="5"/>
    </row>
    <row r="1080" spans="1:16">
      <c r="A1080" t="str">
        <f t="shared" si="16"/>
        <v xml:space="preserve">SSTDMONTH </v>
      </c>
      <c r="B1080" t="s">
        <v>40</v>
      </c>
      <c r="C1080" t="s">
        <v>123</v>
      </c>
      <c r="D1080" s="4">
        <v>40909</v>
      </c>
      <c r="E1080" s="4">
        <v>40940</v>
      </c>
      <c r="F1080" s="4">
        <v>40969</v>
      </c>
      <c r="G1080" s="4">
        <v>41000</v>
      </c>
      <c r="H1080" s="4">
        <v>41030</v>
      </c>
      <c r="I1080" s="4">
        <v>41061</v>
      </c>
      <c r="J1080" s="4">
        <v>41091</v>
      </c>
      <c r="K1080" s="4">
        <v>41122</v>
      </c>
      <c r="L1080" s="4">
        <v>41153</v>
      </c>
      <c r="M1080" s="4">
        <v>41183</v>
      </c>
      <c r="N1080" s="4">
        <v>41214</v>
      </c>
      <c r="O1080" s="4">
        <v>41244</v>
      </c>
      <c r="P1080" s="5"/>
    </row>
    <row r="1081" spans="1:16">
      <c r="A1081" t="str">
        <f t="shared" si="16"/>
        <v xml:space="preserve">SSTDCUSTOMERS </v>
      </c>
      <c r="B1081" t="s">
        <v>40</v>
      </c>
      <c r="C1081" t="s">
        <v>124</v>
      </c>
      <c r="D1081">
        <v>4</v>
      </c>
      <c r="E1081">
        <v>4</v>
      </c>
      <c r="F1081">
        <v>5</v>
      </c>
      <c r="G1081">
        <v>5</v>
      </c>
      <c r="H1081">
        <v>5</v>
      </c>
      <c r="I1081">
        <v>5</v>
      </c>
      <c r="J1081">
        <v>5</v>
      </c>
      <c r="K1081">
        <v>5</v>
      </c>
      <c r="L1081">
        <v>6</v>
      </c>
      <c r="M1081">
        <v>6</v>
      </c>
      <c r="N1081">
        <v>6</v>
      </c>
      <c r="O1081">
        <v>6</v>
      </c>
      <c r="P1081" s="5"/>
    </row>
    <row r="1082" spans="1:16">
      <c r="A1082" t="str">
        <f t="shared" si="16"/>
        <v xml:space="preserve">SSTDSALES </v>
      </c>
      <c r="B1082" t="s">
        <v>40</v>
      </c>
      <c r="C1082" t="s">
        <v>125</v>
      </c>
      <c r="D1082">
        <v>6570</v>
      </c>
      <c r="E1082">
        <v>3938</v>
      </c>
      <c r="F1082">
        <v>605295</v>
      </c>
      <c r="G1082">
        <v>1665953</v>
      </c>
      <c r="H1082">
        <v>692331</v>
      </c>
      <c r="I1082">
        <v>774811</v>
      </c>
      <c r="J1082">
        <v>706030</v>
      </c>
      <c r="K1082">
        <v>745804</v>
      </c>
      <c r="L1082">
        <v>2551907</v>
      </c>
      <c r="M1082">
        <v>1289798</v>
      </c>
      <c r="N1082">
        <v>538982</v>
      </c>
      <c r="O1082">
        <v>324274</v>
      </c>
      <c r="P1082" s="5"/>
    </row>
    <row r="1083" spans="1:16">
      <c r="A1083" t="str">
        <f t="shared" si="16"/>
        <v>SSTDKW</v>
      </c>
      <c r="B1083" t="s">
        <v>40</v>
      </c>
      <c r="C1083" t="s">
        <v>126</v>
      </c>
      <c r="P1083" s="5"/>
    </row>
    <row r="1084" spans="1:16">
      <c r="A1084" t="str">
        <f t="shared" si="16"/>
        <v>SSTDN</v>
      </c>
      <c r="B1084" t="s">
        <v>40</v>
      </c>
      <c r="C1084" t="s">
        <v>127</v>
      </c>
      <c r="D1084">
        <v>5</v>
      </c>
      <c r="E1084">
        <v>5</v>
      </c>
      <c r="F1084">
        <v>5</v>
      </c>
      <c r="G1084">
        <v>5</v>
      </c>
      <c r="H1084">
        <v>5</v>
      </c>
      <c r="I1084">
        <v>5</v>
      </c>
      <c r="J1084">
        <v>6</v>
      </c>
      <c r="K1084">
        <v>6</v>
      </c>
      <c r="L1084">
        <v>6</v>
      </c>
      <c r="M1084">
        <v>6</v>
      </c>
      <c r="N1084">
        <v>6</v>
      </c>
      <c r="O1084">
        <v>6</v>
      </c>
    </row>
    <row r="1085" spans="1:16">
      <c r="A1085" t="str">
        <f t="shared" si="16"/>
        <v>SSTDRLR ENERGY:</v>
      </c>
      <c r="B1085" t="s">
        <v>40</v>
      </c>
      <c r="C1085" t="s">
        <v>61</v>
      </c>
    </row>
    <row r="1086" spans="1:16">
      <c r="A1086" t="str">
        <f t="shared" si="16"/>
        <v>SSTDKWH</v>
      </c>
      <c r="B1086" t="s">
        <v>40</v>
      </c>
      <c r="C1086" t="s">
        <v>128</v>
      </c>
      <c r="D1086">
        <v>3644</v>
      </c>
      <c r="E1086">
        <v>239645</v>
      </c>
      <c r="F1086">
        <v>1909633</v>
      </c>
      <c r="G1086">
        <v>720953</v>
      </c>
      <c r="H1086">
        <v>732039</v>
      </c>
      <c r="I1086">
        <v>714121</v>
      </c>
      <c r="J1086">
        <v>1255514</v>
      </c>
      <c r="K1086">
        <v>1550424</v>
      </c>
      <c r="L1086">
        <v>1496846</v>
      </c>
      <c r="M1086">
        <v>731680</v>
      </c>
      <c r="N1086">
        <v>190308</v>
      </c>
      <c r="O1086">
        <v>301432</v>
      </c>
    </row>
    <row r="1087" spans="1:16">
      <c r="A1087" t="str">
        <f t="shared" si="16"/>
        <v>SSTDKWH ONPK</v>
      </c>
      <c r="B1087" t="s">
        <v>40</v>
      </c>
      <c r="C1087" t="s">
        <v>129</v>
      </c>
      <c r="D1087">
        <v>686</v>
      </c>
      <c r="E1087">
        <v>69797</v>
      </c>
      <c r="F1087">
        <v>448421</v>
      </c>
      <c r="G1087">
        <v>203592</v>
      </c>
      <c r="H1087">
        <v>217033</v>
      </c>
      <c r="I1087">
        <v>205784</v>
      </c>
      <c r="J1087">
        <v>347083</v>
      </c>
      <c r="K1087">
        <v>430350</v>
      </c>
      <c r="L1087">
        <v>396046</v>
      </c>
      <c r="M1087">
        <v>225051</v>
      </c>
      <c r="N1087">
        <v>54939</v>
      </c>
      <c r="O1087">
        <v>76278</v>
      </c>
    </row>
    <row r="1088" spans="1:16">
      <c r="A1088" t="str">
        <f t="shared" si="16"/>
        <v>SSTDKWH OFFPK</v>
      </c>
      <c r="B1088" t="s">
        <v>40</v>
      </c>
      <c r="C1088" t="s">
        <v>130</v>
      </c>
      <c r="D1088">
        <v>2958</v>
      </c>
      <c r="E1088">
        <v>169848</v>
      </c>
      <c r="F1088">
        <v>1461212</v>
      </c>
      <c r="G1088">
        <v>517362</v>
      </c>
      <c r="H1088">
        <v>515006</v>
      </c>
      <c r="I1088">
        <v>508337</v>
      </c>
      <c r="J1088">
        <v>908430</v>
      </c>
      <c r="K1088">
        <v>1120075</v>
      </c>
      <c r="L1088">
        <v>1100799</v>
      </c>
      <c r="M1088">
        <v>506629</v>
      </c>
      <c r="N1088">
        <v>135369</v>
      </c>
      <c r="O1088">
        <v>225154</v>
      </c>
    </row>
    <row r="1089" spans="1:16">
      <c r="A1089" t="str">
        <f t="shared" si="16"/>
        <v>SSTDKWH ONPK%</v>
      </c>
      <c r="B1089" t="s">
        <v>40</v>
      </c>
      <c r="C1089" t="s">
        <v>131</v>
      </c>
      <c r="D1089" s="5">
        <v>0.18825</v>
      </c>
      <c r="E1089" s="5">
        <v>0.29125000000000001</v>
      </c>
      <c r="F1089" s="5">
        <v>0.23482</v>
      </c>
      <c r="G1089" s="5">
        <v>0.28238999999999997</v>
      </c>
      <c r="H1089" s="5">
        <v>0.29648000000000002</v>
      </c>
      <c r="I1089" s="5">
        <v>0.28816000000000003</v>
      </c>
      <c r="J1089" s="5">
        <v>0.27644999999999997</v>
      </c>
      <c r="K1089" s="5">
        <v>0.27756999999999998</v>
      </c>
      <c r="L1089" s="5">
        <v>0.26458999999999999</v>
      </c>
      <c r="M1089" s="5">
        <v>0.30758000000000002</v>
      </c>
      <c r="N1089" s="5">
        <v>0.28867999999999999</v>
      </c>
      <c r="O1089" s="5">
        <v>0.25305</v>
      </c>
    </row>
    <row r="1090" spans="1:16">
      <c r="A1090" t="str">
        <f t="shared" si="16"/>
        <v>SSTDKWH OFFPK%</v>
      </c>
      <c r="B1090" t="s">
        <v>40</v>
      </c>
      <c r="C1090" t="s">
        <v>132</v>
      </c>
      <c r="D1090" s="5">
        <v>0.81174999999999997</v>
      </c>
      <c r="E1090" s="5">
        <v>0.70874999999999999</v>
      </c>
      <c r="F1090" s="5">
        <v>0.76517999999999997</v>
      </c>
      <c r="G1090" s="5">
        <v>0.71760999999999997</v>
      </c>
      <c r="H1090" s="5">
        <v>0.70352000000000003</v>
      </c>
      <c r="I1090" s="5">
        <v>0.71184000000000003</v>
      </c>
      <c r="J1090" s="5">
        <v>0.72355000000000003</v>
      </c>
      <c r="K1090" s="5">
        <v>0.72243000000000002</v>
      </c>
      <c r="L1090" s="5">
        <v>0.73541000000000001</v>
      </c>
      <c r="M1090" s="5">
        <v>0.69242000000000004</v>
      </c>
      <c r="N1090" s="5">
        <v>0.71131999999999995</v>
      </c>
      <c r="O1090" s="5">
        <v>0.74695</v>
      </c>
    </row>
    <row r="1091" spans="1:16">
      <c r="A1091" t="str">
        <f t="shared" si="16"/>
        <v>SSTDDEMAND (KW):</v>
      </c>
      <c r="B1091" t="s">
        <v>40</v>
      </c>
      <c r="C1091" t="s">
        <v>62</v>
      </c>
      <c r="P1091" s="4"/>
    </row>
    <row r="1092" spans="1:16">
      <c r="A1092" t="str">
        <f t="shared" si="16"/>
        <v>SSTDNCP</v>
      </c>
      <c r="B1092" t="s">
        <v>40</v>
      </c>
      <c r="C1092" t="s">
        <v>133</v>
      </c>
      <c r="D1092">
        <v>343</v>
      </c>
      <c r="E1092">
        <v>3476</v>
      </c>
      <c r="F1092">
        <v>3811</v>
      </c>
      <c r="G1092">
        <v>1881</v>
      </c>
      <c r="H1092">
        <v>1730</v>
      </c>
      <c r="I1092">
        <v>1870</v>
      </c>
      <c r="J1092">
        <v>3340</v>
      </c>
      <c r="K1092">
        <v>3730</v>
      </c>
      <c r="L1092">
        <v>3704</v>
      </c>
      <c r="M1092">
        <v>5932</v>
      </c>
      <c r="N1092">
        <v>5021</v>
      </c>
      <c r="O1092">
        <v>5687</v>
      </c>
    </row>
    <row r="1093" spans="1:16">
      <c r="A1093" t="str">
        <f t="shared" si="16"/>
        <v>SSTDNCP ONPK</v>
      </c>
      <c r="B1093" t="s">
        <v>40</v>
      </c>
      <c r="C1093" t="s">
        <v>134</v>
      </c>
      <c r="D1093">
        <v>150</v>
      </c>
      <c r="E1093">
        <v>3239</v>
      </c>
      <c r="F1093">
        <v>3569</v>
      </c>
      <c r="G1093">
        <v>1735</v>
      </c>
      <c r="H1093">
        <v>1684</v>
      </c>
      <c r="I1093">
        <v>1789</v>
      </c>
      <c r="J1093">
        <v>3162</v>
      </c>
      <c r="K1093">
        <v>3670</v>
      </c>
      <c r="L1093">
        <v>3612</v>
      </c>
      <c r="M1093">
        <v>5739</v>
      </c>
      <c r="N1093">
        <v>3542</v>
      </c>
      <c r="O1093">
        <v>2750</v>
      </c>
    </row>
    <row r="1094" spans="1:16">
      <c r="A1094" t="str">
        <f t="shared" si="16"/>
        <v>SSTDNCP OFFPK</v>
      </c>
      <c r="B1094" t="s">
        <v>40</v>
      </c>
      <c r="C1094" t="s">
        <v>135</v>
      </c>
      <c r="D1094">
        <v>343</v>
      </c>
      <c r="E1094">
        <v>3476</v>
      </c>
      <c r="F1094">
        <v>3739</v>
      </c>
      <c r="G1094">
        <v>1851</v>
      </c>
      <c r="H1094">
        <v>1638</v>
      </c>
      <c r="I1094">
        <v>1637</v>
      </c>
      <c r="J1094">
        <v>3236</v>
      </c>
      <c r="K1094">
        <v>3413</v>
      </c>
      <c r="L1094">
        <v>3564</v>
      </c>
      <c r="M1094">
        <v>4870</v>
      </c>
      <c r="N1094">
        <v>3717</v>
      </c>
      <c r="O1094">
        <v>5677</v>
      </c>
    </row>
    <row r="1095" spans="1:16">
      <c r="A1095" t="str">
        <f t="shared" si="16"/>
        <v>SSTDGCP DATE</v>
      </c>
      <c r="B1095" t="s">
        <v>40</v>
      </c>
      <c r="C1095" t="s">
        <v>136</v>
      </c>
      <c r="D1095" t="s">
        <v>953</v>
      </c>
      <c r="E1095" t="s">
        <v>954</v>
      </c>
      <c r="F1095" t="s">
        <v>137</v>
      </c>
      <c r="G1095" t="s">
        <v>138</v>
      </c>
      <c r="H1095" t="s">
        <v>204</v>
      </c>
      <c r="I1095" t="s">
        <v>235</v>
      </c>
      <c r="J1095" t="s">
        <v>975</v>
      </c>
      <c r="K1095" t="s">
        <v>1</v>
      </c>
      <c r="L1095" t="s">
        <v>209</v>
      </c>
      <c r="M1095" t="s">
        <v>965</v>
      </c>
      <c r="N1095" t="s">
        <v>906</v>
      </c>
      <c r="O1095" t="s">
        <v>976</v>
      </c>
    </row>
    <row r="1096" spans="1:16">
      <c r="A1096" t="str">
        <f t="shared" si="16"/>
        <v>SSTDGCP TIME</v>
      </c>
      <c r="B1096" t="s">
        <v>40</v>
      </c>
      <c r="C1096" t="s">
        <v>142</v>
      </c>
      <c r="D1096" t="s">
        <v>196</v>
      </c>
      <c r="E1096" t="s">
        <v>143</v>
      </c>
      <c r="F1096" t="s">
        <v>196</v>
      </c>
      <c r="G1096" t="s">
        <v>146</v>
      </c>
      <c r="H1096" t="s">
        <v>143</v>
      </c>
      <c r="I1096" t="s">
        <v>195</v>
      </c>
      <c r="J1096" t="s">
        <v>189</v>
      </c>
      <c r="K1096" t="s">
        <v>189</v>
      </c>
      <c r="L1096" t="s">
        <v>195</v>
      </c>
      <c r="M1096" t="s">
        <v>182</v>
      </c>
      <c r="N1096" t="s">
        <v>189</v>
      </c>
      <c r="O1096" t="s">
        <v>12</v>
      </c>
    </row>
    <row r="1097" spans="1:16">
      <c r="A1097" t="str">
        <f t="shared" si="16"/>
        <v>SSTDGCP</v>
      </c>
      <c r="B1097" t="s">
        <v>40</v>
      </c>
      <c r="C1097" t="s">
        <v>147</v>
      </c>
      <c r="D1097">
        <v>173</v>
      </c>
      <c r="E1097">
        <v>3093</v>
      </c>
      <c r="F1097">
        <v>3259</v>
      </c>
      <c r="G1097">
        <v>1479</v>
      </c>
      <c r="H1097">
        <v>1473</v>
      </c>
      <c r="I1097">
        <v>1473</v>
      </c>
      <c r="J1097">
        <v>2632</v>
      </c>
      <c r="K1097">
        <v>2934</v>
      </c>
      <c r="L1097">
        <v>3077</v>
      </c>
      <c r="M1097">
        <v>4084</v>
      </c>
      <c r="N1097">
        <v>3250</v>
      </c>
      <c r="O1097">
        <v>3691</v>
      </c>
      <c r="P1097" s="91"/>
    </row>
    <row r="1098" spans="1:16">
      <c r="A1098" t="str">
        <f t="shared" si="16"/>
        <v>SSTDGCP ONPK</v>
      </c>
      <c r="B1098" t="s">
        <v>40</v>
      </c>
      <c r="C1098" t="s">
        <v>63</v>
      </c>
      <c r="D1098">
        <v>137</v>
      </c>
      <c r="E1098">
        <v>3020</v>
      </c>
      <c r="F1098">
        <v>3089</v>
      </c>
      <c r="G1098">
        <v>1445</v>
      </c>
      <c r="H1098">
        <v>1473</v>
      </c>
      <c r="I1098">
        <v>1473</v>
      </c>
      <c r="J1098">
        <v>2500</v>
      </c>
      <c r="K1098">
        <v>2927</v>
      </c>
      <c r="L1098">
        <v>3077</v>
      </c>
      <c r="M1098">
        <v>4084</v>
      </c>
      <c r="N1098">
        <v>2118</v>
      </c>
      <c r="O1098">
        <v>2580</v>
      </c>
    </row>
    <row r="1099" spans="1:16">
      <c r="A1099" t="str">
        <f t="shared" si="16"/>
        <v>SSTDGCP OFFPK</v>
      </c>
      <c r="B1099" t="s">
        <v>40</v>
      </c>
      <c r="C1099" t="s">
        <v>64</v>
      </c>
      <c r="D1099">
        <v>173</v>
      </c>
      <c r="E1099">
        <v>3093</v>
      </c>
      <c r="F1099">
        <v>3259</v>
      </c>
      <c r="G1099">
        <v>1479</v>
      </c>
      <c r="H1099">
        <v>1380</v>
      </c>
      <c r="I1099">
        <v>1440</v>
      </c>
      <c r="J1099">
        <v>2632</v>
      </c>
      <c r="K1099">
        <v>2934</v>
      </c>
      <c r="L1099">
        <v>2986</v>
      </c>
      <c r="M1099">
        <v>3345</v>
      </c>
      <c r="N1099">
        <v>3250</v>
      </c>
      <c r="O1099">
        <v>3691</v>
      </c>
    </row>
    <row r="1100" spans="1:16">
      <c r="A1100" t="str">
        <f t="shared" si="16"/>
        <v>SSTDCP</v>
      </c>
      <c r="B1100" t="s">
        <v>40</v>
      </c>
      <c r="C1100" t="s">
        <v>148</v>
      </c>
      <c r="D1100">
        <v>0</v>
      </c>
      <c r="E1100">
        <v>0</v>
      </c>
      <c r="F1100">
        <v>3058</v>
      </c>
      <c r="G1100">
        <v>1087</v>
      </c>
      <c r="H1100">
        <v>1333</v>
      </c>
      <c r="I1100">
        <v>1424</v>
      </c>
      <c r="J1100">
        <v>2154</v>
      </c>
      <c r="K1100">
        <v>2684</v>
      </c>
      <c r="L1100">
        <v>699</v>
      </c>
      <c r="M1100">
        <v>2680</v>
      </c>
      <c r="N1100">
        <v>1607</v>
      </c>
      <c r="O1100">
        <v>311</v>
      </c>
      <c r="P1100" s="5"/>
    </row>
    <row r="1101" spans="1:16">
      <c r="A1101" t="str">
        <f t="shared" si="16"/>
        <v>SSTDPERIOD START</v>
      </c>
      <c r="B1101" t="s">
        <v>40</v>
      </c>
      <c r="C1101" t="s">
        <v>149</v>
      </c>
      <c r="D1101" s="1">
        <v>40909</v>
      </c>
      <c r="E1101" s="1">
        <v>40940</v>
      </c>
      <c r="F1101" s="1">
        <v>40969</v>
      </c>
      <c r="G1101" s="1">
        <v>41000</v>
      </c>
      <c r="H1101" s="1">
        <v>41030</v>
      </c>
      <c r="I1101" s="1">
        <v>41061</v>
      </c>
      <c r="J1101" s="1">
        <v>41091</v>
      </c>
      <c r="K1101" s="1">
        <v>41122</v>
      </c>
      <c r="L1101" s="1">
        <v>41153</v>
      </c>
      <c r="M1101" s="1">
        <v>41183</v>
      </c>
      <c r="N1101" s="1">
        <v>41214</v>
      </c>
      <c r="O1101" s="1">
        <v>41244</v>
      </c>
      <c r="P1101" s="5"/>
    </row>
    <row r="1102" spans="1:16">
      <c r="A1102" t="str">
        <f t="shared" si="16"/>
        <v>SSTDNCP LF</v>
      </c>
      <c r="B1102" t="s">
        <v>40</v>
      </c>
      <c r="C1102" t="s">
        <v>150</v>
      </c>
      <c r="D1102" s="5">
        <v>1.43E-2</v>
      </c>
      <c r="E1102" s="5">
        <v>9.9000000000000005E-2</v>
      </c>
      <c r="F1102" s="5">
        <v>0.6744</v>
      </c>
      <c r="G1102" s="5">
        <v>0.5323</v>
      </c>
      <c r="H1102" s="5">
        <v>0.56869999999999998</v>
      </c>
      <c r="I1102" s="5">
        <v>0.53049999999999997</v>
      </c>
      <c r="J1102" s="5">
        <v>0.50519999999999998</v>
      </c>
      <c r="K1102" s="5">
        <v>0.55869999999999997</v>
      </c>
      <c r="L1102" s="5">
        <v>0.56130000000000002</v>
      </c>
      <c r="M1102" s="5">
        <v>0.1658</v>
      </c>
      <c r="N1102" s="5">
        <v>5.2600000000000001E-2</v>
      </c>
      <c r="O1102" s="5">
        <v>7.1199999999999999E-2</v>
      </c>
    </row>
    <row r="1103" spans="1:16">
      <c r="A1103" t="str">
        <f t="shared" si="16"/>
        <v>SSTDNCP LF ONPK</v>
      </c>
      <c r="B1103" t="s">
        <v>40</v>
      </c>
      <c r="C1103" t="s">
        <v>151</v>
      </c>
      <c r="D1103" s="5">
        <v>2.7300000000000001E-2</v>
      </c>
      <c r="E1103" s="5">
        <v>0.1283</v>
      </c>
      <c r="F1103" s="5">
        <v>0.71389999999999998</v>
      </c>
      <c r="G1103" s="5">
        <v>0.62090000000000001</v>
      </c>
      <c r="H1103" s="5">
        <v>0.65110000000000001</v>
      </c>
      <c r="I1103" s="5">
        <v>0.60860000000000003</v>
      </c>
      <c r="J1103" s="5">
        <v>0.58079999999999998</v>
      </c>
      <c r="K1103" s="5">
        <v>0.5665</v>
      </c>
      <c r="L1103" s="5">
        <v>0.64119999999999999</v>
      </c>
      <c r="M1103" s="5">
        <v>0.18940000000000001</v>
      </c>
      <c r="N1103" s="5">
        <v>9.2299999999999993E-2</v>
      </c>
      <c r="O1103" s="5">
        <v>0.1734</v>
      </c>
      <c r="P1103" s="89"/>
    </row>
    <row r="1104" spans="1:16">
      <c r="A1104" t="str">
        <f t="shared" si="16"/>
        <v>SSTDNCP LF OFFPK</v>
      </c>
      <c r="B1104" t="s">
        <v>40</v>
      </c>
      <c r="C1104" t="s">
        <v>152</v>
      </c>
      <c r="D1104" s="5">
        <v>1.4999999999999999E-2</v>
      </c>
      <c r="E1104" s="5">
        <v>9.2499999999999999E-2</v>
      </c>
      <c r="F1104" s="5">
        <v>0.68920000000000003</v>
      </c>
      <c r="G1104" s="5">
        <v>0.52629999999999999</v>
      </c>
      <c r="H1104" s="5">
        <v>0.57599999999999996</v>
      </c>
      <c r="I1104" s="5">
        <v>0.58479999999999999</v>
      </c>
      <c r="J1104" s="5">
        <v>0.50580000000000003</v>
      </c>
      <c r="K1104" s="5">
        <v>0.61119999999999997</v>
      </c>
      <c r="L1104" s="5">
        <v>0.56259999999999999</v>
      </c>
      <c r="M1104" s="5">
        <v>0.19370000000000001</v>
      </c>
      <c r="N1104" s="5">
        <v>6.6000000000000003E-2</v>
      </c>
      <c r="O1104" s="5">
        <v>6.7900000000000002E-2</v>
      </c>
    </row>
    <row r="1105" spans="1:16">
      <c r="A1105" t="str">
        <f t="shared" si="16"/>
        <v>SSTDGCP CF</v>
      </c>
      <c r="B1105" t="s">
        <v>40</v>
      </c>
      <c r="C1105" t="s">
        <v>153</v>
      </c>
      <c r="D1105" s="5">
        <v>0.50339999999999996</v>
      </c>
      <c r="E1105" s="5">
        <v>0.88980000000000004</v>
      </c>
      <c r="F1105" s="5">
        <v>0.85509999999999997</v>
      </c>
      <c r="G1105" s="5">
        <v>0.78590000000000004</v>
      </c>
      <c r="H1105" s="5">
        <v>0.85140000000000005</v>
      </c>
      <c r="I1105" s="5">
        <v>0.78790000000000004</v>
      </c>
      <c r="J1105" s="5">
        <v>0.78790000000000004</v>
      </c>
      <c r="K1105" s="5">
        <v>0.78669999999999995</v>
      </c>
      <c r="L1105" s="5">
        <v>0.83089999999999997</v>
      </c>
      <c r="M1105" s="5">
        <v>0.6885</v>
      </c>
      <c r="N1105" s="5">
        <v>0.64739999999999998</v>
      </c>
      <c r="O1105" s="5">
        <v>0.64900000000000002</v>
      </c>
    </row>
    <row r="1106" spans="1:16">
      <c r="A1106" t="str">
        <f t="shared" si="16"/>
        <v>SSTDCP CF</v>
      </c>
      <c r="B1106" t="s">
        <v>40</v>
      </c>
      <c r="C1106" t="s">
        <v>154</v>
      </c>
      <c r="D1106" s="5">
        <v>0</v>
      </c>
      <c r="E1106" s="5">
        <v>0</v>
      </c>
      <c r="F1106" s="5">
        <v>0.80259999999999998</v>
      </c>
      <c r="G1106" s="5">
        <v>0.57779999999999998</v>
      </c>
      <c r="H1106" s="5">
        <v>0.77070000000000005</v>
      </c>
      <c r="I1106" s="5">
        <v>0.76180000000000003</v>
      </c>
      <c r="J1106" s="5">
        <v>0.64480000000000004</v>
      </c>
      <c r="K1106" s="5">
        <v>0.71970000000000001</v>
      </c>
      <c r="L1106" s="5">
        <v>0.18870000000000001</v>
      </c>
      <c r="M1106" s="5">
        <v>0.45179999999999998</v>
      </c>
      <c r="N1106" s="5">
        <v>0.3201</v>
      </c>
      <c r="O1106" s="5">
        <v>5.4699999999999999E-2</v>
      </c>
    </row>
    <row r="1107" spans="1:16">
      <c r="A1107" t="str">
        <f t="shared" si="16"/>
        <v>SSTDGCP LF</v>
      </c>
      <c r="B1107" t="s">
        <v>40</v>
      </c>
      <c r="C1107" t="s">
        <v>155</v>
      </c>
      <c r="D1107" s="5">
        <v>2.8400000000000002E-2</v>
      </c>
      <c r="E1107" s="5">
        <v>0.1113</v>
      </c>
      <c r="F1107" s="5">
        <v>0.78869999999999996</v>
      </c>
      <c r="G1107" s="5">
        <v>0.67720000000000002</v>
      </c>
      <c r="H1107" s="5">
        <v>0.66790000000000005</v>
      </c>
      <c r="I1107" s="5">
        <v>0.67330000000000001</v>
      </c>
      <c r="J1107" s="5">
        <v>0.64129999999999998</v>
      </c>
      <c r="K1107" s="5">
        <v>0.71030000000000004</v>
      </c>
      <c r="L1107" s="5">
        <v>0.67559999999999998</v>
      </c>
      <c r="M1107" s="5">
        <v>0.24079999999999999</v>
      </c>
      <c r="N1107" s="5">
        <v>8.1299999999999997E-2</v>
      </c>
      <c r="O1107" s="5">
        <v>0.10979999999999999</v>
      </c>
    </row>
    <row r="1108" spans="1:16">
      <c r="A1108" t="str">
        <f t="shared" si="16"/>
        <v>SSTDGCP LF ONPK</v>
      </c>
      <c r="B1108" t="s">
        <v>40</v>
      </c>
      <c r="C1108" t="s">
        <v>156</v>
      </c>
      <c r="D1108" s="5">
        <v>2.98E-2</v>
      </c>
      <c r="E1108" s="5">
        <v>0.1376</v>
      </c>
      <c r="F1108" s="5">
        <v>0.82489999999999997</v>
      </c>
      <c r="G1108" s="5">
        <v>0.74550000000000005</v>
      </c>
      <c r="H1108" s="5">
        <v>0.74409999999999998</v>
      </c>
      <c r="I1108" s="5">
        <v>0.73909999999999998</v>
      </c>
      <c r="J1108" s="5">
        <v>0.73460000000000003</v>
      </c>
      <c r="K1108" s="5">
        <v>0.71030000000000004</v>
      </c>
      <c r="L1108" s="5">
        <v>0.75260000000000005</v>
      </c>
      <c r="M1108" s="5">
        <v>0.26619999999999999</v>
      </c>
      <c r="N1108" s="5">
        <v>0.15440000000000001</v>
      </c>
      <c r="O1108" s="5">
        <v>0.18479999999999999</v>
      </c>
      <c r="P1108" s="87"/>
    </row>
    <row r="1109" spans="1:16">
      <c r="A1109" t="str">
        <f t="shared" si="16"/>
        <v>SSTDGCP LF OFFPK</v>
      </c>
      <c r="B1109" t="s">
        <v>40</v>
      </c>
      <c r="C1109" t="s">
        <v>157</v>
      </c>
      <c r="D1109" s="5">
        <v>2.98E-2</v>
      </c>
      <c r="E1109" s="5">
        <v>0.104</v>
      </c>
      <c r="F1109" s="5">
        <v>0.79079999999999995</v>
      </c>
      <c r="G1109" s="5">
        <v>0.65890000000000004</v>
      </c>
      <c r="H1109" s="5">
        <v>0.68379999999999996</v>
      </c>
      <c r="I1109" s="5">
        <v>0.66479999999999995</v>
      </c>
      <c r="J1109" s="5">
        <v>0.622</v>
      </c>
      <c r="K1109" s="5">
        <v>0.71089999999999998</v>
      </c>
      <c r="L1109" s="5">
        <v>0.67159999999999997</v>
      </c>
      <c r="M1109" s="5">
        <v>0.28199999999999997</v>
      </c>
      <c r="N1109" s="5">
        <v>7.5499999999999998E-2</v>
      </c>
      <c r="O1109" s="5">
        <v>0.1045</v>
      </c>
    </row>
    <row r="1110" spans="1:16">
      <c r="A1110" t="str">
        <f t="shared" si="16"/>
        <v>SSTDCP LF</v>
      </c>
      <c r="B1110" t="s">
        <v>40</v>
      </c>
      <c r="C1110" t="s">
        <v>158</v>
      </c>
      <c r="D1110" s="5">
        <v>0</v>
      </c>
      <c r="E1110" s="5">
        <v>0</v>
      </c>
      <c r="F1110" s="5">
        <v>0.84030000000000005</v>
      </c>
      <c r="G1110" s="5">
        <v>0.92110000000000003</v>
      </c>
      <c r="H1110" s="5">
        <v>0.7379</v>
      </c>
      <c r="I1110" s="5">
        <v>0.69640000000000002</v>
      </c>
      <c r="J1110" s="5">
        <v>0.78359999999999996</v>
      </c>
      <c r="K1110" s="5">
        <v>0.77639999999999998</v>
      </c>
      <c r="L1110" s="5">
        <v>2.9742000000000002</v>
      </c>
      <c r="M1110" s="5">
        <v>0.3669</v>
      </c>
      <c r="N1110" s="5">
        <v>0.16450000000000001</v>
      </c>
      <c r="O1110" s="5">
        <v>1.3023</v>
      </c>
    </row>
    <row r="1111" spans="1:16">
      <c r="A1111" t="str">
        <f t="shared" si="16"/>
        <v>SSTDREL PREC:</v>
      </c>
      <c r="B1111" t="s">
        <v>40</v>
      </c>
      <c r="C1111" t="s">
        <v>65</v>
      </c>
      <c r="P1111" s="83"/>
    </row>
    <row r="1112" spans="1:16">
      <c r="A1112" t="str">
        <f t="shared" si="16"/>
        <v>SSTDNCP RP</v>
      </c>
      <c r="B1112" t="s">
        <v>40</v>
      </c>
      <c r="C1112" t="s">
        <v>159</v>
      </c>
      <c r="D1112" s="5">
        <v>0</v>
      </c>
      <c r="E1112" s="5">
        <v>0</v>
      </c>
      <c r="F1112" s="5">
        <v>0</v>
      </c>
      <c r="G1112" s="5">
        <v>0</v>
      </c>
      <c r="H1112" s="5">
        <v>0</v>
      </c>
      <c r="I1112" s="5">
        <v>0</v>
      </c>
      <c r="J1112" s="5">
        <v>0</v>
      </c>
      <c r="K1112" s="5">
        <v>0</v>
      </c>
      <c r="L1112" s="5">
        <v>0</v>
      </c>
      <c r="M1112" s="5">
        <v>0</v>
      </c>
      <c r="N1112" s="5">
        <v>0</v>
      </c>
      <c r="O1112" s="5">
        <v>0</v>
      </c>
      <c r="P1112" s="1"/>
    </row>
    <row r="1113" spans="1:16">
      <c r="A1113" t="str">
        <f t="shared" si="16"/>
        <v>SSTDNCP RP ONPK</v>
      </c>
      <c r="B1113" t="s">
        <v>40</v>
      </c>
      <c r="C1113" t="s">
        <v>160</v>
      </c>
      <c r="D1113" s="5">
        <v>0</v>
      </c>
      <c r="E1113" s="5">
        <v>0</v>
      </c>
      <c r="F1113" s="5">
        <v>0</v>
      </c>
      <c r="G1113" s="5">
        <v>0</v>
      </c>
      <c r="H1113" s="5">
        <v>0</v>
      </c>
      <c r="I1113" s="5">
        <v>0</v>
      </c>
      <c r="J1113" s="5">
        <v>0</v>
      </c>
      <c r="K1113" s="5">
        <v>0</v>
      </c>
      <c r="L1113" s="5">
        <v>0</v>
      </c>
      <c r="M1113" s="5">
        <v>0</v>
      </c>
      <c r="N1113" s="5">
        <v>0</v>
      </c>
      <c r="O1113" s="5">
        <v>0</v>
      </c>
      <c r="P1113" s="5"/>
    </row>
    <row r="1114" spans="1:16">
      <c r="A1114" t="str">
        <f t="shared" si="16"/>
        <v>SSTDNCP RP OFFPK</v>
      </c>
      <c r="B1114" t="s">
        <v>40</v>
      </c>
      <c r="C1114" t="s">
        <v>161</v>
      </c>
      <c r="D1114" s="5">
        <v>0</v>
      </c>
      <c r="E1114" s="5">
        <v>0</v>
      </c>
      <c r="F1114" s="5">
        <v>0</v>
      </c>
      <c r="G1114" s="5">
        <v>0</v>
      </c>
      <c r="H1114" s="5">
        <v>0</v>
      </c>
      <c r="I1114" s="5">
        <v>0</v>
      </c>
      <c r="J1114" s="5">
        <v>0</v>
      </c>
      <c r="K1114" s="5">
        <v>0</v>
      </c>
      <c r="L1114" s="5">
        <v>0</v>
      </c>
      <c r="M1114" s="5">
        <v>0</v>
      </c>
      <c r="N1114" s="5">
        <v>0</v>
      </c>
      <c r="O1114" s="5">
        <v>0</v>
      </c>
      <c r="P1114" s="5"/>
    </row>
    <row r="1115" spans="1:16">
      <c r="A1115" t="str">
        <f t="shared" si="16"/>
        <v>SSTDGCP RP</v>
      </c>
      <c r="B1115" t="s">
        <v>40</v>
      </c>
      <c r="C1115" t="s">
        <v>162</v>
      </c>
      <c r="D1115" s="5">
        <v>0</v>
      </c>
      <c r="E1115" s="5">
        <v>0</v>
      </c>
      <c r="F1115" s="5">
        <v>0</v>
      </c>
      <c r="G1115" s="5">
        <v>0</v>
      </c>
      <c r="H1115" s="5">
        <v>0</v>
      </c>
      <c r="I1115" s="5">
        <v>0</v>
      </c>
      <c r="J1115" s="5">
        <v>0</v>
      </c>
      <c r="K1115" s="5">
        <v>0</v>
      </c>
      <c r="L1115" s="5">
        <v>0</v>
      </c>
      <c r="M1115" s="5">
        <v>0</v>
      </c>
      <c r="N1115" s="5">
        <v>0</v>
      </c>
      <c r="O1115" s="5">
        <v>0</v>
      </c>
      <c r="P1115" s="5"/>
    </row>
    <row r="1116" spans="1:16">
      <c r="A1116" t="str">
        <f t="shared" si="16"/>
        <v>SSTDGCP RP ONPK</v>
      </c>
      <c r="B1116" t="s">
        <v>40</v>
      </c>
      <c r="C1116" t="s">
        <v>163</v>
      </c>
      <c r="D1116" s="5">
        <v>0</v>
      </c>
      <c r="E1116" s="5">
        <v>0</v>
      </c>
      <c r="F1116" s="5">
        <v>0</v>
      </c>
      <c r="G1116" s="5">
        <v>0</v>
      </c>
      <c r="H1116" s="5">
        <v>0</v>
      </c>
      <c r="I1116" s="5">
        <v>0</v>
      </c>
      <c r="J1116" s="5">
        <v>0</v>
      </c>
      <c r="K1116" s="5">
        <v>0</v>
      </c>
      <c r="L1116" s="5">
        <v>0</v>
      </c>
      <c r="M1116" s="5">
        <v>0</v>
      </c>
      <c r="N1116" s="5">
        <v>0</v>
      </c>
      <c r="O1116" s="5">
        <v>0</v>
      </c>
      <c r="P1116" s="5"/>
    </row>
    <row r="1117" spans="1:16">
      <c r="A1117" t="str">
        <f t="shared" si="16"/>
        <v>SSTDGCP RP OFFPK</v>
      </c>
      <c r="B1117" t="s">
        <v>40</v>
      </c>
      <c r="C1117" t="s">
        <v>164</v>
      </c>
      <c r="D1117" s="5">
        <v>0</v>
      </c>
      <c r="E1117" s="5">
        <v>0</v>
      </c>
      <c r="F1117" s="5">
        <v>0</v>
      </c>
      <c r="G1117" s="5">
        <v>0</v>
      </c>
      <c r="H1117" s="5">
        <v>0</v>
      </c>
      <c r="I1117" s="5">
        <v>0</v>
      </c>
      <c r="J1117" s="5">
        <v>0</v>
      </c>
      <c r="K1117" s="5">
        <v>0</v>
      </c>
      <c r="L1117" s="5">
        <v>0</v>
      </c>
      <c r="M1117" s="5">
        <v>0</v>
      </c>
      <c r="N1117" s="5">
        <v>0</v>
      </c>
      <c r="O1117" s="5">
        <v>0</v>
      </c>
      <c r="P1117" s="5"/>
    </row>
    <row r="1118" spans="1:16">
      <c r="A1118" t="str">
        <f t="shared" si="16"/>
        <v>SSTDCP RP</v>
      </c>
      <c r="B1118" t="s">
        <v>40</v>
      </c>
      <c r="C1118" t="s">
        <v>165</v>
      </c>
      <c r="D1118" s="5">
        <v>0</v>
      </c>
      <c r="E1118" s="5">
        <v>0</v>
      </c>
      <c r="F1118" s="5">
        <v>0</v>
      </c>
      <c r="G1118" s="5">
        <v>0</v>
      </c>
      <c r="H1118" s="5">
        <v>0</v>
      </c>
      <c r="I1118" s="5">
        <v>0</v>
      </c>
      <c r="J1118" s="5">
        <v>0</v>
      </c>
      <c r="K1118" s="5">
        <v>0</v>
      </c>
      <c r="L1118" s="5">
        <v>0</v>
      </c>
      <c r="M1118" s="5">
        <v>0</v>
      </c>
      <c r="N1118" s="5">
        <v>0</v>
      </c>
      <c r="O1118" s="5">
        <v>0</v>
      </c>
      <c r="P1118" s="5"/>
    </row>
    <row r="1119" spans="1:16">
      <c r="A1119" t="str">
        <f t="shared" si="16"/>
        <v>SSTDSAMPLE SIZE:</v>
      </c>
      <c r="B1119" t="s">
        <v>40</v>
      </c>
      <c r="C1119" t="s">
        <v>66</v>
      </c>
      <c r="P1119" s="5"/>
    </row>
    <row r="1120" spans="1:16">
      <c r="A1120" t="str">
        <f t="shared" si="16"/>
        <v>SSTDGCPSZ</v>
      </c>
      <c r="B1120" t="s">
        <v>40</v>
      </c>
      <c r="C1120" t="s">
        <v>166</v>
      </c>
      <c r="D1120">
        <v>5</v>
      </c>
      <c r="E1120">
        <v>5</v>
      </c>
      <c r="F1120">
        <v>5</v>
      </c>
      <c r="G1120">
        <v>5</v>
      </c>
      <c r="H1120">
        <v>5</v>
      </c>
      <c r="I1120">
        <v>5</v>
      </c>
      <c r="J1120">
        <v>6</v>
      </c>
      <c r="K1120">
        <v>6</v>
      </c>
      <c r="L1120">
        <v>6</v>
      </c>
      <c r="M1120">
        <v>6</v>
      </c>
      <c r="N1120">
        <v>6</v>
      </c>
      <c r="O1120">
        <v>6</v>
      </c>
      <c r="P1120" s="5"/>
    </row>
    <row r="1121" spans="1:16">
      <c r="A1121" t="str">
        <f t="shared" si="16"/>
        <v>SSTDGCPSZ ONPK</v>
      </c>
      <c r="B1121" t="s">
        <v>40</v>
      </c>
      <c r="C1121" t="s">
        <v>167</v>
      </c>
      <c r="D1121">
        <v>5</v>
      </c>
      <c r="E1121">
        <v>5</v>
      </c>
      <c r="F1121">
        <v>5</v>
      </c>
      <c r="G1121">
        <v>5</v>
      </c>
      <c r="H1121">
        <v>5</v>
      </c>
      <c r="I1121">
        <v>5</v>
      </c>
      <c r="J1121">
        <v>6</v>
      </c>
      <c r="K1121">
        <v>6</v>
      </c>
      <c r="L1121">
        <v>6</v>
      </c>
      <c r="M1121">
        <v>6</v>
      </c>
      <c r="N1121">
        <v>6</v>
      </c>
      <c r="O1121">
        <v>6</v>
      </c>
      <c r="P1121" s="5"/>
    </row>
    <row r="1122" spans="1:16">
      <c r="A1122" t="str">
        <f t="shared" si="16"/>
        <v>SSTDGCPSZ OFFPK</v>
      </c>
      <c r="B1122" t="s">
        <v>40</v>
      </c>
      <c r="C1122" t="s">
        <v>168</v>
      </c>
      <c r="D1122">
        <v>5</v>
      </c>
      <c r="E1122">
        <v>5</v>
      </c>
      <c r="F1122">
        <v>5</v>
      </c>
      <c r="G1122">
        <v>5</v>
      </c>
      <c r="H1122">
        <v>5</v>
      </c>
      <c r="I1122">
        <v>5</v>
      </c>
      <c r="J1122">
        <v>6</v>
      </c>
      <c r="K1122">
        <v>6</v>
      </c>
      <c r="L1122">
        <v>6</v>
      </c>
      <c r="M1122">
        <v>6</v>
      </c>
      <c r="N1122">
        <v>6</v>
      </c>
      <c r="O1122">
        <v>6</v>
      </c>
    </row>
    <row r="1123" spans="1:16">
      <c r="A1123" t="str">
        <f t="shared" si="16"/>
        <v>SSTDCPSZ</v>
      </c>
      <c r="B1123" t="s">
        <v>40</v>
      </c>
      <c r="C1123" t="s">
        <v>169</v>
      </c>
      <c r="D1123">
        <v>5</v>
      </c>
      <c r="E1123">
        <v>5</v>
      </c>
      <c r="F1123">
        <v>5</v>
      </c>
      <c r="G1123">
        <v>5</v>
      </c>
      <c r="H1123">
        <v>5</v>
      </c>
      <c r="I1123">
        <v>5</v>
      </c>
      <c r="J1123">
        <v>6</v>
      </c>
      <c r="K1123">
        <v>6</v>
      </c>
      <c r="L1123">
        <v>6</v>
      </c>
      <c r="M1123">
        <v>6</v>
      </c>
      <c r="N1123">
        <v>6</v>
      </c>
      <c r="O1123">
        <v>6</v>
      </c>
      <c r="P1123" s="5"/>
    </row>
    <row r="1124" spans="1:16">
      <c r="A1124" t="str">
        <f t="shared" si="16"/>
        <v/>
      </c>
      <c r="P1124" s="5"/>
    </row>
    <row r="1125" spans="1:16">
      <c r="A1125" t="str">
        <f t="shared" si="16"/>
        <v/>
      </c>
      <c r="P1125" s="5"/>
    </row>
    <row r="1126" spans="1:16">
      <c r="A1126" t="str">
        <f t="shared" si="16"/>
        <v/>
      </c>
      <c r="P1126" s="5"/>
    </row>
    <row r="1127" spans="1:16">
      <c r="A1127" t="str">
        <f t="shared" si="16"/>
        <v/>
      </c>
      <c r="P1127" s="5"/>
    </row>
    <row r="1128" spans="1:16">
      <c r="A1128" t="str">
        <f t="shared" si="16"/>
        <v/>
      </c>
      <c r="P1128" s="5"/>
    </row>
    <row r="1129" spans="1:16">
      <c r="A1129" t="str">
        <f t="shared" si="16"/>
        <v/>
      </c>
      <c r="P1129" s="5"/>
    </row>
    <row r="1130" spans="1:16">
      <c r="A1130" t="str">
        <f t="shared" si="16"/>
        <v/>
      </c>
    </row>
    <row r="1131" spans="1:16">
      <c r="A1131" t="str">
        <f t="shared" si="16"/>
        <v/>
      </c>
    </row>
    <row r="1132" spans="1:16">
      <c r="A1132" t="str">
        <f t="shared" si="16"/>
        <v/>
      </c>
    </row>
    <row r="1133" spans="1:16">
      <c r="A1133" t="str">
        <f t="shared" si="16"/>
        <v xml:space="preserve">SSTTST SST-1 Transmission Standby </v>
      </c>
      <c r="B1133" t="s">
        <v>43</v>
      </c>
      <c r="C1133" t="s">
        <v>44</v>
      </c>
    </row>
    <row r="1134" spans="1:16">
      <c r="A1134" t="str">
        <f t="shared" si="16"/>
        <v xml:space="preserve">SSTTSTMONTH </v>
      </c>
      <c r="B1134" t="s">
        <v>45</v>
      </c>
      <c r="C1134" t="s">
        <v>123</v>
      </c>
      <c r="D1134" s="4">
        <v>40909</v>
      </c>
      <c r="E1134" s="4">
        <v>40940</v>
      </c>
      <c r="F1134" s="4">
        <v>40969</v>
      </c>
      <c r="G1134" s="4">
        <v>41000</v>
      </c>
      <c r="H1134" s="4">
        <v>41030</v>
      </c>
      <c r="I1134" s="4">
        <v>41061</v>
      </c>
      <c r="J1134" s="4">
        <v>41091</v>
      </c>
      <c r="K1134" s="4">
        <v>41122</v>
      </c>
      <c r="L1134" s="4">
        <v>41153</v>
      </c>
      <c r="M1134" s="4">
        <v>41183</v>
      </c>
      <c r="N1134" s="4">
        <v>41214</v>
      </c>
      <c r="O1134" s="4">
        <v>41244</v>
      </c>
    </row>
    <row r="1135" spans="1:16">
      <c r="A1135" t="str">
        <f t="shared" si="16"/>
        <v xml:space="preserve">SSTTSTCUSTOMERS </v>
      </c>
      <c r="B1135" t="s">
        <v>45</v>
      </c>
      <c r="C1135" t="s">
        <v>124</v>
      </c>
      <c r="D1135">
        <v>15</v>
      </c>
      <c r="E1135">
        <v>14</v>
      </c>
      <c r="F1135">
        <v>13</v>
      </c>
      <c r="G1135">
        <v>13</v>
      </c>
      <c r="H1135">
        <v>13</v>
      </c>
      <c r="I1135">
        <v>13</v>
      </c>
      <c r="J1135">
        <v>13</v>
      </c>
      <c r="K1135">
        <v>13</v>
      </c>
      <c r="L1135">
        <v>13</v>
      </c>
      <c r="M1135">
        <v>13</v>
      </c>
      <c r="N1135">
        <v>13</v>
      </c>
      <c r="O1135">
        <v>13</v>
      </c>
    </row>
    <row r="1136" spans="1:16">
      <c r="A1136" t="str">
        <f t="shared" si="16"/>
        <v xml:space="preserve">SSTTSTSALES </v>
      </c>
      <c r="B1136" t="s">
        <v>45</v>
      </c>
      <c r="C1136" t="s">
        <v>125</v>
      </c>
      <c r="D1136">
        <v>9323634</v>
      </c>
      <c r="E1136">
        <v>4697175</v>
      </c>
      <c r="F1136">
        <v>5129028</v>
      </c>
      <c r="G1136">
        <v>4820973</v>
      </c>
      <c r="H1136">
        <v>7265862</v>
      </c>
      <c r="I1136">
        <v>4239527</v>
      </c>
      <c r="J1136">
        <v>4432692</v>
      </c>
      <c r="K1136">
        <v>4613324</v>
      </c>
      <c r="L1136">
        <v>5121578</v>
      </c>
      <c r="M1136">
        <v>10726684</v>
      </c>
      <c r="N1136">
        <v>13110652</v>
      </c>
      <c r="O1136">
        <v>4827505</v>
      </c>
    </row>
    <row r="1137" spans="1:16">
      <c r="A1137" t="str">
        <f t="shared" si="16"/>
        <v>SSTTSTKW</v>
      </c>
      <c r="B1137" t="s">
        <v>45</v>
      </c>
      <c r="C1137" t="s">
        <v>126</v>
      </c>
      <c r="P1137" s="4"/>
    </row>
    <row r="1138" spans="1:16">
      <c r="A1138" t="str">
        <f t="shared" si="16"/>
        <v>SSTTSTN</v>
      </c>
      <c r="B1138" t="s">
        <v>45</v>
      </c>
      <c r="C1138" t="s">
        <v>127</v>
      </c>
      <c r="D1138">
        <v>13</v>
      </c>
      <c r="E1138">
        <v>13</v>
      </c>
      <c r="F1138">
        <v>13</v>
      </c>
      <c r="G1138">
        <v>13</v>
      </c>
      <c r="H1138">
        <v>13</v>
      </c>
      <c r="I1138">
        <v>13</v>
      </c>
      <c r="J1138">
        <v>13</v>
      </c>
      <c r="K1138">
        <v>13</v>
      </c>
      <c r="L1138">
        <v>13</v>
      </c>
      <c r="M1138">
        <v>13</v>
      </c>
      <c r="N1138">
        <v>13</v>
      </c>
      <c r="O1138">
        <v>13</v>
      </c>
    </row>
    <row r="1139" spans="1:16">
      <c r="A1139" t="str">
        <f t="shared" si="16"/>
        <v>SSTTSTRLR ENERGY:</v>
      </c>
      <c r="B1139" t="s">
        <v>45</v>
      </c>
      <c r="C1139" t="s">
        <v>61</v>
      </c>
    </row>
    <row r="1140" spans="1:16">
      <c r="A1140" t="str">
        <f t="shared" si="16"/>
        <v>SSTTSTKWH</v>
      </c>
      <c r="B1140" t="s">
        <v>45</v>
      </c>
      <c r="C1140" t="s">
        <v>128</v>
      </c>
      <c r="D1140">
        <v>7742157</v>
      </c>
      <c r="E1140">
        <v>4940026</v>
      </c>
      <c r="F1140">
        <v>3463550</v>
      </c>
      <c r="G1140">
        <v>7512545</v>
      </c>
      <c r="H1140">
        <v>6317518</v>
      </c>
      <c r="I1140">
        <v>3779798</v>
      </c>
      <c r="J1140">
        <v>3701337</v>
      </c>
      <c r="K1140">
        <v>5568370</v>
      </c>
      <c r="L1140">
        <v>9874613</v>
      </c>
      <c r="M1140">
        <v>13017757</v>
      </c>
      <c r="N1140">
        <v>6352365</v>
      </c>
      <c r="O1140">
        <v>4984535</v>
      </c>
    </row>
    <row r="1141" spans="1:16">
      <c r="A1141" t="str">
        <f t="shared" si="16"/>
        <v>SSTTSTKWH ONPK</v>
      </c>
      <c r="B1141" t="s">
        <v>45</v>
      </c>
      <c r="C1141" t="s">
        <v>129</v>
      </c>
      <c r="D1141">
        <v>1676107</v>
      </c>
      <c r="E1141">
        <v>1016966</v>
      </c>
      <c r="F1141">
        <v>693566</v>
      </c>
      <c r="G1141">
        <v>1965828</v>
      </c>
      <c r="H1141">
        <v>1295341</v>
      </c>
      <c r="I1141">
        <v>765709</v>
      </c>
      <c r="J1141">
        <v>846048</v>
      </c>
      <c r="K1141">
        <v>1149924</v>
      </c>
      <c r="L1141">
        <v>2149895</v>
      </c>
      <c r="M1141">
        <v>3402185</v>
      </c>
      <c r="N1141">
        <v>1432226</v>
      </c>
      <c r="O1141">
        <v>1023053</v>
      </c>
    </row>
    <row r="1142" spans="1:16">
      <c r="A1142" t="str">
        <f t="shared" ref="A1142:A1205" si="17">B1142&amp;C1142</f>
        <v>SSTTSTKWH OFFPK</v>
      </c>
      <c r="B1142" t="s">
        <v>45</v>
      </c>
      <c r="C1142" t="s">
        <v>130</v>
      </c>
      <c r="D1142">
        <v>6066050</v>
      </c>
      <c r="E1142">
        <v>3923061</v>
      </c>
      <c r="F1142">
        <v>2769983</v>
      </c>
      <c r="G1142">
        <v>5546717</v>
      </c>
      <c r="H1142">
        <v>5022176</v>
      </c>
      <c r="I1142">
        <v>3014089</v>
      </c>
      <c r="J1142">
        <v>2855289</v>
      </c>
      <c r="K1142">
        <v>4418446</v>
      </c>
      <c r="L1142">
        <v>7724718</v>
      </c>
      <c r="M1142">
        <v>9615572</v>
      </c>
      <c r="N1142">
        <v>4920139</v>
      </c>
      <c r="O1142">
        <v>3961483</v>
      </c>
    </row>
    <row r="1143" spans="1:16">
      <c r="A1143" t="str">
        <f t="shared" si="17"/>
        <v>SSTTSTKWH ONPK%</v>
      </c>
      <c r="B1143" t="s">
        <v>45</v>
      </c>
      <c r="C1143" t="s">
        <v>131</v>
      </c>
      <c r="D1143" s="5">
        <v>0.21648999999999999</v>
      </c>
      <c r="E1143" s="5">
        <v>0.20585999999999999</v>
      </c>
      <c r="F1143" s="5">
        <v>0.20025000000000001</v>
      </c>
      <c r="G1143" s="5">
        <v>0.26167000000000001</v>
      </c>
      <c r="H1143" s="5">
        <v>0.20504</v>
      </c>
      <c r="I1143" s="5">
        <v>0.20258000000000001</v>
      </c>
      <c r="J1143" s="5">
        <v>0.22858000000000001</v>
      </c>
      <c r="K1143" s="5">
        <v>0.20651</v>
      </c>
      <c r="L1143" s="5">
        <v>0.21772</v>
      </c>
      <c r="M1143" s="5">
        <v>0.26135000000000003</v>
      </c>
      <c r="N1143" s="5">
        <v>0.22545999999999999</v>
      </c>
      <c r="O1143" s="5">
        <v>0.20524999999999999</v>
      </c>
      <c r="P1143" s="91"/>
    </row>
    <row r="1144" spans="1:16">
      <c r="A1144" t="str">
        <f t="shared" si="17"/>
        <v>SSTTSTKWH OFFPK%</v>
      </c>
      <c r="B1144" t="s">
        <v>45</v>
      </c>
      <c r="C1144" t="s">
        <v>132</v>
      </c>
      <c r="D1144" s="5">
        <v>0.78351000000000004</v>
      </c>
      <c r="E1144" s="5">
        <v>0.79413999999999996</v>
      </c>
      <c r="F1144" s="5">
        <v>0.79974999999999996</v>
      </c>
      <c r="G1144" s="5">
        <v>0.73833000000000004</v>
      </c>
      <c r="H1144" s="5">
        <v>0.79496</v>
      </c>
      <c r="I1144" s="5">
        <v>0.79742000000000002</v>
      </c>
      <c r="J1144" s="5">
        <v>0.77141999999999999</v>
      </c>
      <c r="K1144" s="5">
        <v>0.79349000000000003</v>
      </c>
      <c r="L1144" s="5">
        <v>0.78227999999999998</v>
      </c>
      <c r="M1144" s="5">
        <v>0.73865000000000003</v>
      </c>
      <c r="N1144" s="5">
        <v>0.77454000000000001</v>
      </c>
      <c r="O1144" s="5">
        <v>0.79474999999999996</v>
      </c>
    </row>
    <row r="1145" spans="1:16">
      <c r="A1145" t="str">
        <f t="shared" si="17"/>
        <v>SSTTSTDEMAND (KW):</v>
      </c>
      <c r="B1145" t="s">
        <v>45</v>
      </c>
      <c r="C1145" t="s">
        <v>62</v>
      </c>
    </row>
    <row r="1146" spans="1:16">
      <c r="A1146" t="str">
        <f t="shared" si="17"/>
        <v>SSTTSTNCP</v>
      </c>
      <c r="B1146" t="s">
        <v>45</v>
      </c>
      <c r="C1146" t="s">
        <v>133</v>
      </c>
      <c r="D1146">
        <v>95511</v>
      </c>
      <c r="E1146">
        <v>56730</v>
      </c>
      <c r="F1146">
        <v>62571</v>
      </c>
      <c r="G1146">
        <v>83426</v>
      </c>
      <c r="H1146">
        <v>65762</v>
      </c>
      <c r="I1146">
        <v>68651</v>
      </c>
      <c r="J1146">
        <v>42232</v>
      </c>
      <c r="K1146">
        <v>91235</v>
      </c>
      <c r="L1146">
        <v>68088</v>
      </c>
      <c r="M1146">
        <v>89054</v>
      </c>
      <c r="N1146">
        <v>70729</v>
      </c>
      <c r="O1146">
        <v>78262</v>
      </c>
      <c r="P1146" s="5"/>
    </row>
    <row r="1147" spans="1:16">
      <c r="A1147" t="str">
        <f t="shared" si="17"/>
        <v>SSTTSTNCP ONPK</v>
      </c>
      <c r="B1147" t="s">
        <v>45</v>
      </c>
      <c r="C1147" t="s">
        <v>134</v>
      </c>
      <c r="D1147">
        <v>52116</v>
      </c>
      <c r="E1147">
        <v>27500</v>
      </c>
      <c r="F1147">
        <v>35234</v>
      </c>
      <c r="G1147">
        <v>66234</v>
      </c>
      <c r="H1147">
        <v>35184</v>
      </c>
      <c r="I1147">
        <v>45271</v>
      </c>
      <c r="J1147">
        <v>29464</v>
      </c>
      <c r="K1147">
        <v>48077</v>
      </c>
      <c r="L1147">
        <v>46645</v>
      </c>
      <c r="M1147">
        <v>85708</v>
      </c>
      <c r="N1147">
        <v>36285</v>
      </c>
      <c r="O1147">
        <v>38975</v>
      </c>
      <c r="P1147" s="5"/>
    </row>
    <row r="1148" spans="1:16">
      <c r="A1148" t="str">
        <f t="shared" si="17"/>
        <v>SSTTSTNCP OFFPK</v>
      </c>
      <c r="B1148" t="s">
        <v>45</v>
      </c>
      <c r="C1148" t="s">
        <v>135</v>
      </c>
      <c r="D1148">
        <v>93520</v>
      </c>
      <c r="E1148">
        <v>56730</v>
      </c>
      <c r="F1148">
        <v>62259</v>
      </c>
      <c r="G1148">
        <v>73348</v>
      </c>
      <c r="H1148">
        <v>63146</v>
      </c>
      <c r="I1148">
        <v>65975</v>
      </c>
      <c r="J1148">
        <v>28095</v>
      </c>
      <c r="K1148">
        <v>89560</v>
      </c>
      <c r="L1148">
        <v>67191</v>
      </c>
      <c r="M1148">
        <v>88212</v>
      </c>
      <c r="N1148">
        <v>69496</v>
      </c>
      <c r="O1148">
        <v>76058</v>
      </c>
    </row>
    <row r="1149" spans="1:16">
      <c r="A1149" t="str">
        <f t="shared" si="17"/>
        <v>SSTTSTGCP DATE</v>
      </c>
      <c r="B1149" t="s">
        <v>45</v>
      </c>
      <c r="C1149" t="s">
        <v>136</v>
      </c>
      <c r="D1149" t="s">
        <v>977</v>
      </c>
      <c r="E1149" t="s">
        <v>978</v>
      </c>
      <c r="F1149" t="s">
        <v>973</v>
      </c>
      <c r="G1149" t="s">
        <v>979</v>
      </c>
      <c r="H1149" t="s">
        <v>980</v>
      </c>
      <c r="I1149" t="s">
        <v>191</v>
      </c>
      <c r="J1149" t="s">
        <v>934</v>
      </c>
      <c r="K1149" t="s">
        <v>9</v>
      </c>
      <c r="L1149" t="s">
        <v>16</v>
      </c>
      <c r="M1149" t="s">
        <v>30</v>
      </c>
      <c r="N1149" t="s">
        <v>974</v>
      </c>
      <c r="O1149" t="s">
        <v>266</v>
      </c>
      <c r="P1149" s="89"/>
    </row>
    <row r="1150" spans="1:16">
      <c r="A1150" t="str">
        <f t="shared" si="17"/>
        <v>SSTTSTGCP TIME</v>
      </c>
      <c r="B1150" t="s">
        <v>45</v>
      </c>
      <c r="C1150" t="s">
        <v>142</v>
      </c>
      <c r="D1150" t="s">
        <v>145</v>
      </c>
      <c r="E1150" t="s">
        <v>11</v>
      </c>
      <c r="F1150" t="s">
        <v>145</v>
      </c>
      <c r="G1150" t="s">
        <v>193</v>
      </c>
      <c r="H1150" t="s">
        <v>299</v>
      </c>
      <c r="I1150" t="s">
        <v>145</v>
      </c>
      <c r="J1150" t="s">
        <v>27</v>
      </c>
      <c r="K1150" t="s">
        <v>196</v>
      </c>
      <c r="L1150" t="s">
        <v>202</v>
      </c>
      <c r="M1150" t="s">
        <v>213</v>
      </c>
      <c r="N1150" t="s">
        <v>145</v>
      </c>
      <c r="O1150" t="s">
        <v>146</v>
      </c>
    </row>
    <row r="1151" spans="1:16">
      <c r="A1151" t="str">
        <f t="shared" si="17"/>
        <v>SSTTSTGCP</v>
      </c>
      <c r="B1151" t="s">
        <v>45</v>
      </c>
      <c r="C1151" t="s">
        <v>147</v>
      </c>
      <c r="D1151">
        <v>33869</v>
      </c>
      <c r="E1151">
        <v>24419</v>
      </c>
      <c r="F1151">
        <v>27335</v>
      </c>
      <c r="G1151">
        <v>38857</v>
      </c>
      <c r="H1151">
        <v>32854</v>
      </c>
      <c r="I1151">
        <v>23756</v>
      </c>
      <c r="J1151">
        <v>15599</v>
      </c>
      <c r="K1151">
        <v>36764</v>
      </c>
      <c r="L1151">
        <v>37986</v>
      </c>
      <c r="M1151">
        <v>44487</v>
      </c>
      <c r="N1151">
        <v>32486</v>
      </c>
      <c r="O1151">
        <v>36138</v>
      </c>
    </row>
    <row r="1152" spans="1:16">
      <c r="A1152" t="str">
        <f t="shared" si="17"/>
        <v>SSTTSTGCP ONPK</v>
      </c>
      <c r="B1152" t="s">
        <v>45</v>
      </c>
      <c r="C1152" t="s">
        <v>63</v>
      </c>
      <c r="D1152">
        <v>22917</v>
      </c>
      <c r="E1152">
        <v>12966</v>
      </c>
      <c r="F1152">
        <v>18255</v>
      </c>
      <c r="G1152">
        <v>38857</v>
      </c>
      <c r="H1152">
        <v>20247</v>
      </c>
      <c r="I1152">
        <v>15485</v>
      </c>
      <c r="J1152">
        <v>15424</v>
      </c>
      <c r="K1152">
        <v>19993</v>
      </c>
      <c r="L1152">
        <v>34368</v>
      </c>
      <c r="M1152">
        <v>40498</v>
      </c>
      <c r="N1152">
        <v>21669</v>
      </c>
      <c r="O1152">
        <v>23862</v>
      </c>
    </row>
    <row r="1153" spans="1:16">
      <c r="A1153" t="str">
        <f t="shared" si="17"/>
        <v>SSTTSTGCP OFFPK</v>
      </c>
      <c r="B1153" t="s">
        <v>45</v>
      </c>
      <c r="C1153" t="s">
        <v>64</v>
      </c>
      <c r="D1153">
        <v>33869</v>
      </c>
      <c r="E1153">
        <v>24419</v>
      </c>
      <c r="F1153">
        <v>27335</v>
      </c>
      <c r="G1153">
        <v>36333</v>
      </c>
      <c r="H1153">
        <v>32854</v>
      </c>
      <c r="I1153">
        <v>23756</v>
      </c>
      <c r="J1153">
        <v>15599</v>
      </c>
      <c r="K1153">
        <v>36764</v>
      </c>
      <c r="L1153">
        <v>37986</v>
      </c>
      <c r="M1153">
        <v>44487</v>
      </c>
      <c r="N1153">
        <v>32486</v>
      </c>
      <c r="O1153">
        <v>36138</v>
      </c>
    </row>
    <row r="1154" spans="1:16">
      <c r="A1154" t="str">
        <f t="shared" si="17"/>
        <v>SSTTSTCP</v>
      </c>
      <c r="B1154" t="s">
        <v>45</v>
      </c>
      <c r="C1154" t="s">
        <v>148</v>
      </c>
      <c r="D1154">
        <v>17850</v>
      </c>
      <c r="E1154">
        <v>6455</v>
      </c>
      <c r="F1154">
        <v>7392</v>
      </c>
      <c r="G1154">
        <v>319</v>
      </c>
      <c r="H1154">
        <v>7121</v>
      </c>
      <c r="I1154">
        <v>2950</v>
      </c>
      <c r="J1154">
        <v>8156</v>
      </c>
      <c r="K1154">
        <v>3713</v>
      </c>
      <c r="L1154">
        <v>18381</v>
      </c>
      <c r="M1154">
        <v>3168</v>
      </c>
      <c r="N1154">
        <v>4683</v>
      </c>
      <c r="O1154">
        <v>4274</v>
      </c>
      <c r="P1154" s="87"/>
    </row>
    <row r="1155" spans="1:16">
      <c r="A1155" t="str">
        <f t="shared" si="17"/>
        <v>SSTTSTPERIOD START</v>
      </c>
      <c r="B1155" t="s">
        <v>45</v>
      </c>
      <c r="C1155" t="s">
        <v>149</v>
      </c>
      <c r="D1155" s="1">
        <v>40909</v>
      </c>
      <c r="E1155" s="1">
        <v>40940</v>
      </c>
      <c r="F1155" s="1">
        <v>40969</v>
      </c>
      <c r="G1155" s="1">
        <v>41000</v>
      </c>
      <c r="H1155" s="1">
        <v>41030</v>
      </c>
      <c r="I1155" s="1">
        <v>41061</v>
      </c>
      <c r="J1155" s="1">
        <v>41091</v>
      </c>
      <c r="K1155" s="1">
        <v>41122</v>
      </c>
      <c r="L1155" s="1">
        <v>41153</v>
      </c>
      <c r="M1155" s="1">
        <v>41183</v>
      </c>
      <c r="N1155" s="1">
        <v>41214</v>
      </c>
      <c r="O1155" s="1">
        <v>41244</v>
      </c>
    </row>
    <row r="1156" spans="1:16">
      <c r="A1156" t="str">
        <f t="shared" si="17"/>
        <v>SSTTSTNCP LF</v>
      </c>
      <c r="B1156" t="s">
        <v>45</v>
      </c>
      <c r="C1156" t="s">
        <v>150</v>
      </c>
      <c r="D1156" s="5">
        <v>0.109</v>
      </c>
      <c r="E1156" s="5">
        <v>0.12509999999999999</v>
      </c>
      <c r="F1156" s="5">
        <v>7.4499999999999997E-2</v>
      </c>
      <c r="G1156" s="5">
        <v>0.12509999999999999</v>
      </c>
      <c r="H1156" s="5">
        <v>0.12909999999999999</v>
      </c>
      <c r="I1156" s="5">
        <v>7.6499999999999999E-2</v>
      </c>
      <c r="J1156" s="5">
        <v>0.1178</v>
      </c>
      <c r="K1156" s="5">
        <v>8.2000000000000003E-2</v>
      </c>
      <c r="L1156" s="5">
        <v>0.2014</v>
      </c>
      <c r="M1156" s="5">
        <v>0.19650000000000001</v>
      </c>
      <c r="N1156" s="5">
        <v>0.12470000000000001</v>
      </c>
      <c r="O1156" s="5">
        <v>8.5599999999999996E-2</v>
      </c>
    </row>
    <row r="1157" spans="1:16">
      <c r="A1157" t="str">
        <f t="shared" si="17"/>
        <v>SSTTSTNCP LF ONPK</v>
      </c>
      <c r="B1157" t="s">
        <v>45</v>
      </c>
      <c r="C1157" t="s">
        <v>151</v>
      </c>
      <c r="D1157" s="5">
        <v>0.19139999999999999</v>
      </c>
      <c r="E1157" s="5">
        <v>0.22009999999999999</v>
      </c>
      <c r="F1157" s="5">
        <v>0.1118</v>
      </c>
      <c r="G1157" s="5">
        <v>0.157</v>
      </c>
      <c r="H1157" s="5">
        <v>0.18590000000000001</v>
      </c>
      <c r="I1157" s="5">
        <v>8.9499999999999996E-2</v>
      </c>
      <c r="J1157" s="5">
        <v>0.15190000000000001</v>
      </c>
      <c r="K1157" s="5">
        <v>0.11550000000000001</v>
      </c>
      <c r="L1157" s="5">
        <v>0.26950000000000002</v>
      </c>
      <c r="M1157" s="5">
        <v>0.1918</v>
      </c>
      <c r="N1157" s="5">
        <v>0.2349</v>
      </c>
      <c r="O1157" s="5">
        <v>0.1641</v>
      </c>
      <c r="P1157" s="83"/>
    </row>
    <row r="1158" spans="1:16">
      <c r="A1158" t="str">
        <f t="shared" si="17"/>
        <v>SSTTSTNCP LF OFFPK</v>
      </c>
      <c r="B1158" t="s">
        <v>45</v>
      </c>
      <c r="C1158" t="s">
        <v>152</v>
      </c>
      <c r="D1158" s="5">
        <v>0.11260000000000001</v>
      </c>
      <c r="E1158" s="5">
        <v>0.13100000000000001</v>
      </c>
      <c r="F1158" s="5">
        <v>7.85E-2</v>
      </c>
      <c r="G1158" s="5">
        <v>0.1424</v>
      </c>
      <c r="H1158" s="5">
        <v>0.1457</v>
      </c>
      <c r="I1158" s="5">
        <v>8.5999999999999993E-2</v>
      </c>
      <c r="J1158" s="5">
        <v>0.18310000000000001</v>
      </c>
      <c r="K1158" s="5">
        <v>9.1899999999999996E-2</v>
      </c>
      <c r="L1158" s="5">
        <v>0.2094</v>
      </c>
      <c r="M1158" s="5">
        <v>0.20300000000000001</v>
      </c>
      <c r="N1158" s="5">
        <v>0.1283</v>
      </c>
      <c r="O1158" s="5">
        <v>8.9200000000000002E-2</v>
      </c>
      <c r="P1158" s="1"/>
    </row>
    <row r="1159" spans="1:16">
      <c r="A1159" t="str">
        <f t="shared" si="17"/>
        <v>SSTTSTGCP CF</v>
      </c>
      <c r="B1159" t="s">
        <v>45</v>
      </c>
      <c r="C1159" t="s">
        <v>153</v>
      </c>
      <c r="D1159" s="5">
        <v>0.35460000000000003</v>
      </c>
      <c r="E1159" s="5">
        <v>0.43049999999999999</v>
      </c>
      <c r="F1159" s="5">
        <v>0.43690000000000001</v>
      </c>
      <c r="G1159" s="5">
        <v>0.46579999999999999</v>
      </c>
      <c r="H1159" s="5">
        <v>0.49959999999999999</v>
      </c>
      <c r="I1159" s="5">
        <v>0.34599999999999997</v>
      </c>
      <c r="J1159" s="5">
        <v>0.36940000000000001</v>
      </c>
      <c r="K1159" s="5">
        <v>0.40300000000000002</v>
      </c>
      <c r="L1159" s="5">
        <v>0.55789999999999995</v>
      </c>
      <c r="M1159" s="5">
        <v>0.49959999999999999</v>
      </c>
      <c r="N1159" s="5">
        <v>0.45929999999999999</v>
      </c>
      <c r="O1159" s="5">
        <v>0.46179999999999999</v>
      </c>
      <c r="P1159" s="5"/>
    </row>
    <row r="1160" spans="1:16">
      <c r="A1160" t="str">
        <f t="shared" si="17"/>
        <v>SSTTSTCP CF</v>
      </c>
      <c r="B1160" t="s">
        <v>45</v>
      </c>
      <c r="C1160" t="s">
        <v>154</v>
      </c>
      <c r="D1160" s="5">
        <v>0.18690000000000001</v>
      </c>
      <c r="E1160" s="5">
        <v>0.1138</v>
      </c>
      <c r="F1160" s="5">
        <v>0.1181</v>
      </c>
      <c r="G1160" s="5">
        <v>3.8E-3</v>
      </c>
      <c r="H1160" s="5">
        <v>0.10829999999999999</v>
      </c>
      <c r="I1160" s="5">
        <v>4.2999999999999997E-2</v>
      </c>
      <c r="J1160" s="5">
        <v>0.19309999999999999</v>
      </c>
      <c r="K1160" s="5">
        <v>4.07E-2</v>
      </c>
      <c r="L1160" s="5">
        <v>0.27</v>
      </c>
      <c r="M1160" s="5">
        <v>3.56E-2</v>
      </c>
      <c r="N1160" s="5">
        <v>6.6199999999999995E-2</v>
      </c>
      <c r="O1160" s="5">
        <v>5.4600000000000003E-2</v>
      </c>
      <c r="P1160" s="5"/>
    </row>
    <row r="1161" spans="1:16">
      <c r="A1161" t="str">
        <f t="shared" si="17"/>
        <v>SSTTSTGCP LF</v>
      </c>
      <c r="B1161" t="s">
        <v>45</v>
      </c>
      <c r="C1161" t="s">
        <v>155</v>
      </c>
      <c r="D1161" s="5">
        <v>0.30719999999999997</v>
      </c>
      <c r="E1161" s="5">
        <v>0.29070000000000001</v>
      </c>
      <c r="F1161" s="5">
        <v>0.17050000000000001</v>
      </c>
      <c r="G1161" s="5">
        <v>0.26850000000000002</v>
      </c>
      <c r="H1161" s="5">
        <v>0.25850000000000001</v>
      </c>
      <c r="I1161" s="5">
        <v>0.221</v>
      </c>
      <c r="J1161" s="5">
        <v>0.31890000000000002</v>
      </c>
      <c r="K1161" s="5">
        <v>0.2036</v>
      </c>
      <c r="L1161" s="5">
        <v>0.36099999999999999</v>
      </c>
      <c r="M1161" s="5">
        <v>0.39329999999999998</v>
      </c>
      <c r="N1161" s="5">
        <v>0.27160000000000001</v>
      </c>
      <c r="O1161" s="5">
        <v>0.18540000000000001</v>
      </c>
      <c r="P1161" s="5"/>
    </row>
    <row r="1162" spans="1:16">
      <c r="A1162" t="str">
        <f t="shared" si="17"/>
        <v>SSTTSTGCP LF ONPK</v>
      </c>
      <c r="B1162" t="s">
        <v>45</v>
      </c>
      <c r="C1162" t="s">
        <v>156</v>
      </c>
      <c r="D1162" s="5">
        <v>0.43530000000000002</v>
      </c>
      <c r="E1162" s="5">
        <v>0.46689999999999998</v>
      </c>
      <c r="F1162" s="5">
        <v>0.21590000000000001</v>
      </c>
      <c r="G1162" s="5">
        <v>0.26769999999999999</v>
      </c>
      <c r="H1162" s="5">
        <v>0.3231</v>
      </c>
      <c r="I1162" s="5">
        <v>0.2616</v>
      </c>
      <c r="J1162" s="5">
        <v>0.29020000000000001</v>
      </c>
      <c r="K1162" s="5">
        <v>0.27789999999999998</v>
      </c>
      <c r="L1162" s="5">
        <v>0.36580000000000001</v>
      </c>
      <c r="M1162" s="5">
        <v>0.40579999999999999</v>
      </c>
      <c r="N1162" s="5">
        <v>0.39340000000000003</v>
      </c>
      <c r="O1162" s="5">
        <v>0.26800000000000002</v>
      </c>
      <c r="P1162" s="5"/>
    </row>
    <row r="1163" spans="1:16">
      <c r="A1163" t="str">
        <f t="shared" si="17"/>
        <v>SSTTSTGCP LF OFFPK</v>
      </c>
      <c r="B1163" t="s">
        <v>45</v>
      </c>
      <c r="C1163" t="s">
        <v>157</v>
      </c>
      <c r="D1163" s="5">
        <v>0.31090000000000001</v>
      </c>
      <c r="E1163" s="5">
        <v>0.30430000000000001</v>
      </c>
      <c r="F1163" s="5">
        <v>0.1787</v>
      </c>
      <c r="G1163" s="5">
        <v>0.28749999999999998</v>
      </c>
      <c r="H1163" s="5">
        <v>0.28000000000000003</v>
      </c>
      <c r="I1163" s="5">
        <v>0.2389</v>
      </c>
      <c r="J1163" s="5">
        <v>0.32979999999999998</v>
      </c>
      <c r="K1163" s="5">
        <v>0.2238</v>
      </c>
      <c r="L1163" s="5">
        <v>0.37040000000000001</v>
      </c>
      <c r="M1163" s="5">
        <v>0.40250000000000002</v>
      </c>
      <c r="N1163" s="5">
        <v>0.27439999999999998</v>
      </c>
      <c r="O1163" s="5">
        <v>0.18770000000000001</v>
      </c>
      <c r="P1163" s="5"/>
    </row>
    <row r="1164" spans="1:16">
      <c r="A1164" t="str">
        <f t="shared" si="17"/>
        <v>SSTTSTCP LF</v>
      </c>
      <c r="B1164" t="s">
        <v>45</v>
      </c>
      <c r="C1164" t="s">
        <v>158</v>
      </c>
      <c r="D1164" s="5">
        <v>0.58299999999999996</v>
      </c>
      <c r="E1164" s="5">
        <v>1.0995999999999999</v>
      </c>
      <c r="F1164" s="5">
        <v>0.63060000000000005</v>
      </c>
      <c r="G1164" s="5">
        <v>32.7498</v>
      </c>
      <c r="H1164" s="5">
        <v>1.1923999999999999</v>
      </c>
      <c r="I1164" s="5">
        <v>1.7798</v>
      </c>
      <c r="J1164" s="5">
        <v>0.6099</v>
      </c>
      <c r="K1164" s="5">
        <v>2.0154999999999998</v>
      </c>
      <c r="L1164" s="5">
        <v>0.74619999999999997</v>
      </c>
      <c r="M1164" s="5">
        <v>5.5229999999999997</v>
      </c>
      <c r="N1164" s="5">
        <v>1.8842000000000001</v>
      </c>
      <c r="O1164" s="5">
        <v>1.5677000000000001</v>
      </c>
      <c r="P1164" s="5"/>
    </row>
    <row r="1165" spans="1:16">
      <c r="A1165" t="str">
        <f t="shared" si="17"/>
        <v>SSTTSTREL PREC:</v>
      </c>
      <c r="B1165" t="s">
        <v>45</v>
      </c>
      <c r="C1165" t="s">
        <v>65</v>
      </c>
      <c r="P1165" s="5"/>
    </row>
    <row r="1166" spans="1:16">
      <c r="A1166" t="str">
        <f t="shared" si="17"/>
        <v>SSTTSTNCP RP</v>
      </c>
      <c r="B1166" t="s">
        <v>45</v>
      </c>
      <c r="C1166" t="s">
        <v>159</v>
      </c>
      <c r="D1166" s="5">
        <v>0</v>
      </c>
      <c r="E1166" s="5">
        <v>0</v>
      </c>
      <c r="F1166" s="5">
        <v>0</v>
      </c>
      <c r="G1166" s="5">
        <v>0</v>
      </c>
      <c r="H1166" s="5">
        <v>0</v>
      </c>
      <c r="I1166" s="5">
        <v>0</v>
      </c>
      <c r="J1166" s="5">
        <v>0</v>
      </c>
      <c r="K1166" s="5">
        <v>0</v>
      </c>
      <c r="L1166" s="5">
        <v>0</v>
      </c>
      <c r="M1166" s="5">
        <v>0</v>
      </c>
      <c r="N1166" s="5">
        <v>0</v>
      </c>
      <c r="O1166" s="5">
        <v>0</v>
      </c>
      <c r="P1166" s="5"/>
    </row>
    <row r="1167" spans="1:16">
      <c r="A1167" t="str">
        <f t="shared" si="17"/>
        <v>SSTTSTNCP RP ONPK</v>
      </c>
      <c r="B1167" t="s">
        <v>45</v>
      </c>
      <c r="C1167" t="s">
        <v>160</v>
      </c>
      <c r="D1167" s="5">
        <v>0</v>
      </c>
      <c r="E1167" s="5">
        <v>0</v>
      </c>
      <c r="F1167" s="5">
        <v>0</v>
      </c>
      <c r="G1167" s="5">
        <v>0</v>
      </c>
      <c r="H1167" s="5">
        <v>0</v>
      </c>
      <c r="I1167" s="5">
        <v>0</v>
      </c>
      <c r="J1167" s="5">
        <v>0</v>
      </c>
      <c r="K1167" s="5">
        <v>0</v>
      </c>
      <c r="L1167" s="5">
        <v>0</v>
      </c>
      <c r="M1167" s="5">
        <v>0</v>
      </c>
      <c r="N1167" s="5">
        <v>0</v>
      </c>
      <c r="O1167" s="5">
        <v>0</v>
      </c>
      <c r="P1167" s="5"/>
    </row>
    <row r="1168" spans="1:16">
      <c r="A1168" t="str">
        <f t="shared" si="17"/>
        <v>SSTTSTNCP RP OFFPK</v>
      </c>
      <c r="B1168" t="s">
        <v>45</v>
      </c>
      <c r="C1168" t="s">
        <v>161</v>
      </c>
      <c r="D1168" s="5">
        <v>0</v>
      </c>
      <c r="E1168" s="5">
        <v>0</v>
      </c>
      <c r="F1168" s="5">
        <v>0</v>
      </c>
      <c r="G1168" s="5">
        <v>0</v>
      </c>
      <c r="H1168" s="5">
        <v>0</v>
      </c>
      <c r="I1168" s="5">
        <v>0</v>
      </c>
      <c r="J1168" s="5">
        <v>0</v>
      </c>
      <c r="K1168" s="5">
        <v>0</v>
      </c>
      <c r="L1168" s="5">
        <v>0</v>
      </c>
      <c r="M1168" s="5">
        <v>0</v>
      </c>
      <c r="N1168" s="5">
        <v>0</v>
      </c>
      <c r="O1168" s="5">
        <v>0</v>
      </c>
    </row>
    <row r="1169" spans="1:16">
      <c r="A1169" t="str">
        <f t="shared" si="17"/>
        <v>SSTTSTGCP RP</v>
      </c>
      <c r="B1169" t="s">
        <v>45</v>
      </c>
      <c r="C1169" t="s">
        <v>162</v>
      </c>
      <c r="D1169" s="5">
        <v>0</v>
      </c>
      <c r="E1169" s="5">
        <v>0</v>
      </c>
      <c r="F1169" s="5">
        <v>0</v>
      </c>
      <c r="G1169" s="5">
        <v>0</v>
      </c>
      <c r="H1169" s="5">
        <v>0</v>
      </c>
      <c r="I1169" s="5">
        <v>0</v>
      </c>
      <c r="J1169" s="5">
        <v>0</v>
      </c>
      <c r="K1169" s="5">
        <v>0</v>
      </c>
      <c r="L1169" s="5">
        <v>0</v>
      </c>
      <c r="M1169" s="5">
        <v>0</v>
      </c>
      <c r="N1169" s="5">
        <v>0</v>
      </c>
      <c r="O1169" s="5">
        <v>0</v>
      </c>
      <c r="P1169" s="5"/>
    </row>
    <row r="1170" spans="1:16">
      <c r="A1170" t="str">
        <f t="shared" si="17"/>
        <v>SSTTSTGCP RP ONPK</v>
      </c>
      <c r="B1170" t="s">
        <v>45</v>
      </c>
      <c r="C1170" t="s">
        <v>163</v>
      </c>
      <c r="D1170" s="5">
        <v>0</v>
      </c>
      <c r="E1170" s="5">
        <v>0</v>
      </c>
      <c r="F1170" s="5">
        <v>0</v>
      </c>
      <c r="G1170" s="5">
        <v>0</v>
      </c>
      <c r="H1170" s="5">
        <v>0</v>
      </c>
      <c r="I1170" s="5">
        <v>0</v>
      </c>
      <c r="J1170" s="5">
        <v>0</v>
      </c>
      <c r="K1170" s="5">
        <v>0</v>
      </c>
      <c r="L1170" s="5">
        <v>0</v>
      </c>
      <c r="M1170" s="5">
        <v>0</v>
      </c>
      <c r="N1170" s="5">
        <v>0</v>
      </c>
      <c r="O1170" s="5">
        <v>0</v>
      </c>
      <c r="P1170" s="5"/>
    </row>
    <row r="1171" spans="1:16">
      <c r="A1171" t="str">
        <f t="shared" si="17"/>
        <v>SSTTSTGCP RP OFFPK</v>
      </c>
      <c r="B1171" t="s">
        <v>45</v>
      </c>
      <c r="C1171" t="s">
        <v>164</v>
      </c>
      <c r="D1171" s="5">
        <v>0</v>
      </c>
      <c r="E1171" s="5">
        <v>0</v>
      </c>
      <c r="F1171" s="5">
        <v>0</v>
      </c>
      <c r="G1171" s="5">
        <v>0</v>
      </c>
      <c r="H1171" s="5">
        <v>0</v>
      </c>
      <c r="I1171" s="5">
        <v>0</v>
      </c>
      <c r="J1171" s="5">
        <v>0</v>
      </c>
      <c r="K1171" s="5">
        <v>0</v>
      </c>
      <c r="L1171" s="5">
        <v>0</v>
      </c>
      <c r="M1171" s="5">
        <v>0</v>
      </c>
      <c r="N1171" s="5">
        <v>0</v>
      </c>
      <c r="O1171" s="5">
        <v>0</v>
      </c>
      <c r="P1171" s="5"/>
    </row>
    <row r="1172" spans="1:16">
      <c r="A1172" t="str">
        <f t="shared" si="17"/>
        <v>SSTTSTCP RP</v>
      </c>
      <c r="B1172" t="s">
        <v>45</v>
      </c>
      <c r="C1172" t="s">
        <v>165</v>
      </c>
      <c r="D1172" s="5">
        <v>0</v>
      </c>
      <c r="E1172" s="5">
        <v>0</v>
      </c>
      <c r="F1172" s="5">
        <v>0</v>
      </c>
      <c r="G1172" s="5">
        <v>0</v>
      </c>
      <c r="H1172" s="5">
        <v>0</v>
      </c>
      <c r="I1172" s="5">
        <v>0</v>
      </c>
      <c r="J1172" s="5">
        <v>0</v>
      </c>
      <c r="K1172" s="5">
        <v>0</v>
      </c>
      <c r="L1172" s="5">
        <v>0</v>
      </c>
      <c r="M1172" s="5">
        <v>0</v>
      </c>
      <c r="N1172" s="5">
        <v>0</v>
      </c>
      <c r="O1172" s="5">
        <v>0</v>
      </c>
      <c r="P1172" s="5"/>
    </row>
    <row r="1173" spans="1:16">
      <c r="A1173" t="str">
        <f t="shared" si="17"/>
        <v>SSTTSTSAMPLE SIZE:</v>
      </c>
      <c r="B1173" t="s">
        <v>45</v>
      </c>
      <c r="C1173" t="s">
        <v>66</v>
      </c>
      <c r="P1173" s="5"/>
    </row>
    <row r="1174" spans="1:16">
      <c r="A1174" t="str">
        <f t="shared" si="17"/>
        <v>SSTTSTGCPSZ</v>
      </c>
      <c r="B1174" t="s">
        <v>45</v>
      </c>
      <c r="C1174" t="s">
        <v>166</v>
      </c>
      <c r="D1174">
        <v>13</v>
      </c>
      <c r="E1174">
        <v>13</v>
      </c>
      <c r="F1174">
        <v>13</v>
      </c>
      <c r="G1174">
        <v>13</v>
      </c>
      <c r="H1174">
        <v>13</v>
      </c>
      <c r="I1174">
        <v>13</v>
      </c>
      <c r="J1174">
        <v>13</v>
      </c>
      <c r="K1174">
        <v>13</v>
      </c>
      <c r="L1174">
        <v>13</v>
      </c>
      <c r="M1174">
        <v>13</v>
      </c>
      <c r="N1174">
        <v>13</v>
      </c>
      <c r="O1174">
        <v>13</v>
      </c>
      <c r="P1174" s="5"/>
    </row>
    <row r="1175" spans="1:16">
      <c r="A1175" t="str">
        <f t="shared" si="17"/>
        <v>SSTTSTGCPSZ ONPK</v>
      </c>
      <c r="B1175" t="s">
        <v>45</v>
      </c>
      <c r="C1175" t="s">
        <v>167</v>
      </c>
      <c r="D1175">
        <v>13</v>
      </c>
      <c r="E1175">
        <v>13</v>
      </c>
      <c r="F1175">
        <v>13</v>
      </c>
      <c r="G1175">
        <v>13</v>
      </c>
      <c r="H1175">
        <v>13</v>
      </c>
      <c r="I1175">
        <v>13</v>
      </c>
      <c r="J1175">
        <v>13</v>
      </c>
      <c r="K1175">
        <v>13</v>
      </c>
      <c r="L1175">
        <v>13</v>
      </c>
      <c r="M1175">
        <v>13</v>
      </c>
      <c r="N1175">
        <v>13</v>
      </c>
      <c r="O1175">
        <v>13</v>
      </c>
      <c r="P1175" s="5"/>
    </row>
    <row r="1176" spans="1:16">
      <c r="A1176" t="str">
        <f t="shared" si="17"/>
        <v>SSTTSTGCPSZ OFFPK</v>
      </c>
      <c r="B1176" t="s">
        <v>45</v>
      </c>
      <c r="C1176" t="s">
        <v>168</v>
      </c>
      <c r="D1176">
        <v>13</v>
      </c>
      <c r="E1176">
        <v>13</v>
      </c>
      <c r="F1176">
        <v>13</v>
      </c>
      <c r="G1176">
        <v>13</v>
      </c>
      <c r="H1176">
        <v>13</v>
      </c>
      <c r="I1176">
        <v>13</v>
      </c>
      <c r="J1176">
        <v>13</v>
      </c>
      <c r="K1176">
        <v>13</v>
      </c>
      <c r="L1176">
        <v>13</v>
      </c>
      <c r="M1176">
        <v>13</v>
      </c>
      <c r="N1176">
        <v>13</v>
      </c>
      <c r="O1176">
        <v>13</v>
      </c>
    </row>
    <row r="1177" spans="1:16">
      <c r="A1177" t="str">
        <f t="shared" si="17"/>
        <v>SSTTSTCPSZ</v>
      </c>
      <c r="B1177" t="s">
        <v>45</v>
      </c>
      <c r="C1177" t="s">
        <v>169</v>
      </c>
      <c r="D1177">
        <v>13</v>
      </c>
      <c r="E1177">
        <v>13</v>
      </c>
      <c r="F1177">
        <v>13</v>
      </c>
      <c r="G1177">
        <v>13</v>
      </c>
      <c r="H1177">
        <v>13</v>
      </c>
      <c r="I1177">
        <v>13</v>
      </c>
      <c r="J1177">
        <v>13</v>
      </c>
      <c r="K1177">
        <v>13</v>
      </c>
      <c r="L1177">
        <v>13</v>
      </c>
      <c r="M1177">
        <v>13</v>
      </c>
      <c r="N1177">
        <v>13</v>
      </c>
      <c r="O1177">
        <v>13</v>
      </c>
    </row>
    <row r="1178" spans="1:16">
      <c r="A1178" t="str">
        <f t="shared" si="17"/>
        <v/>
      </c>
    </row>
    <row r="1179" spans="1:16">
      <c r="A1179" t="str">
        <f t="shared" si="17"/>
        <v/>
      </c>
    </row>
    <row r="1180" spans="1:16">
      <c r="A1180" t="str">
        <f t="shared" si="17"/>
        <v/>
      </c>
    </row>
    <row r="1181" spans="1:16">
      <c r="A1181" t="str">
        <f t="shared" si="17"/>
        <v/>
      </c>
    </row>
    <row r="1182" spans="1:16">
      <c r="A1182" t="str">
        <f t="shared" si="17"/>
        <v/>
      </c>
    </row>
    <row r="1183" spans="1:16">
      <c r="A1183" t="str">
        <f t="shared" si="17"/>
        <v/>
      </c>
      <c r="P1183" s="4"/>
    </row>
    <row r="1184" spans="1:16">
      <c r="A1184" t="str">
        <f t="shared" si="17"/>
        <v/>
      </c>
    </row>
    <row r="1185" spans="1:16">
      <c r="A1185" t="str">
        <f t="shared" si="17"/>
        <v/>
      </c>
    </row>
    <row r="1186" spans="1:16">
      <c r="A1186" t="str">
        <f t="shared" si="17"/>
        <v/>
      </c>
    </row>
    <row r="1187" spans="1:16">
      <c r="A1187" t="str">
        <f t="shared" si="17"/>
        <v xml:space="preserve">TGSD1 Total GSD(T)-1 General Service Demand including TOU (21-499 kW) </v>
      </c>
      <c r="B1187" t="s">
        <v>992</v>
      </c>
      <c r="C1187" t="s">
        <v>993</v>
      </c>
    </row>
    <row r="1188" spans="1:16">
      <c r="A1188" t="str">
        <f t="shared" si="17"/>
        <v xml:space="preserve">TGSD1MONTH </v>
      </c>
      <c r="B1188" t="s">
        <v>994</v>
      </c>
      <c r="C1188" t="s">
        <v>123</v>
      </c>
      <c r="D1188" s="4">
        <v>40909</v>
      </c>
      <c r="E1188" s="4">
        <v>40940</v>
      </c>
      <c r="F1188" s="4">
        <v>40969</v>
      </c>
      <c r="G1188" s="4">
        <v>41000</v>
      </c>
      <c r="H1188" s="4">
        <v>41030</v>
      </c>
      <c r="I1188" s="4">
        <v>41061</v>
      </c>
      <c r="J1188" s="4">
        <v>41091</v>
      </c>
      <c r="K1188" s="4">
        <v>41122</v>
      </c>
      <c r="L1188" s="4">
        <v>41153</v>
      </c>
      <c r="M1188" s="4">
        <v>41183</v>
      </c>
      <c r="N1188" s="4">
        <v>41214</v>
      </c>
      <c r="O1188" s="4">
        <v>41244</v>
      </c>
    </row>
    <row r="1189" spans="1:16">
      <c r="A1189" t="str">
        <f t="shared" si="17"/>
        <v xml:space="preserve">TGSD1CUSTOMERS </v>
      </c>
      <c r="B1189" t="s">
        <v>994</v>
      </c>
      <c r="C1189" t="s">
        <v>124</v>
      </c>
      <c r="D1189">
        <v>100121</v>
      </c>
      <c r="E1189">
        <v>99842</v>
      </c>
      <c r="F1189">
        <v>99824</v>
      </c>
      <c r="G1189">
        <v>99815</v>
      </c>
      <c r="H1189">
        <v>99847</v>
      </c>
      <c r="I1189">
        <v>100230</v>
      </c>
      <c r="J1189">
        <v>100505</v>
      </c>
      <c r="K1189">
        <v>100771</v>
      </c>
      <c r="L1189">
        <v>100891</v>
      </c>
      <c r="M1189">
        <v>100859</v>
      </c>
      <c r="N1189">
        <v>100749</v>
      </c>
      <c r="O1189">
        <v>100750</v>
      </c>
      <c r="P1189" s="91"/>
    </row>
    <row r="1190" spans="1:16">
      <c r="A1190" t="str">
        <f t="shared" si="17"/>
        <v xml:space="preserve">TGSD1SALES </v>
      </c>
      <c r="B1190" t="s">
        <v>994</v>
      </c>
      <c r="C1190" t="s">
        <v>125</v>
      </c>
      <c r="D1190">
        <v>1924051415</v>
      </c>
      <c r="E1190">
        <v>1770264341</v>
      </c>
      <c r="F1190">
        <v>1889446278</v>
      </c>
      <c r="G1190">
        <v>1993397838</v>
      </c>
      <c r="H1190">
        <v>2000818126</v>
      </c>
      <c r="I1190">
        <v>2215933426</v>
      </c>
      <c r="J1190">
        <v>2246716665</v>
      </c>
      <c r="K1190">
        <v>2282999975</v>
      </c>
      <c r="L1190">
        <v>2263870968</v>
      </c>
      <c r="M1190">
        <v>2194203034</v>
      </c>
      <c r="N1190">
        <v>1929563489</v>
      </c>
      <c r="O1190">
        <v>1861993550</v>
      </c>
    </row>
    <row r="1191" spans="1:16">
      <c r="A1191" t="str">
        <f t="shared" si="17"/>
        <v>TGSD1KW</v>
      </c>
      <c r="B1191" t="s">
        <v>994</v>
      </c>
      <c r="C1191" t="s">
        <v>126</v>
      </c>
    </row>
    <row r="1192" spans="1:16">
      <c r="A1192" t="str">
        <f t="shared" si="17"/>
        <v>TGSD1N</v>
      </c>
      <c r="B1192" t="s">
        <v>994</v>
      </c>
      <c r="C1192" t="s">
        <v>127</v>
      </c>
      <c r="D1192">
        <v>100121</v>
      </c>
      <c r="E1192">
        <v>99843</v>
      </c>
      <c r="F1192">
        <v>99824</v>
      </c>
      <c r="G1192">
        <v>99814</v>
      </c>
      <c r="H1192">
        <v>99847</v>
      </c>
      <c r="I1192">
        <v>100230</v>
      </c>
      <c r="J1192">
        <v>100505</v>
      </c>
      <c r="K1192">
        <v>100773</v>
      </c>
      <c r="L1192">
        <v>100890</v>
      </c>
      <c r="M1192">
        <v>100860</v>
      </c>
      <c r="N1192">
        <v>100750</v>
      </c>
      <c r="O1192">
        <v>100750</v>
      </c>
      <c r="P1192" s="5"/>
    </row>
    <row r="1193" spans="1:16">
      <c r="A1193" t="str">
        <f t="shared" si="17"/>
        <v>TGSD1RLR ENERGY:</v>
      </c>
      <c r="B1193" t="s">
        <v>994</v>
      </c>
      <c r="C1193" t="s">
        <v>61</v>
      </c>
      <c r="P1193" s="5"/>
    </row>
    <row r="1194" spans="1:16">
      <c r="A1194" t="str">
        <f t="shared" si="17"/>
        <v>TGSD1KWH</v>
      </c>
      <c r="B1194" t="s">
        <v>994</v>
      </c>
      <c r="C1194" t="s">
        <v>128</v>
      </c>
      <c r="D1194">
        <v>1924054108</v>
      </c>
      <c r="E1194">
        <v>1770327580</v>
      </c>
      <c r="F1194">
        <v>1889449337</v>
      </c>
      <c r="G1194">
        <v>1993569086</v>
      </c>
      <c r="H1194">
        <v>2000839356</v>
      </c>
      <c r="I1194">
        <v>2215933425</v>
      </c>
      <c r="J1194">
        <v>2246815097</v>
      </c>
      <c r="K1194">
        <v>2283347585</v>
      </c>
      <c r="L1194">
        <v>2264143538</v>
      </c>
      <c r="M1194">
        <v>2194203414</v>
      </c>
      <c r="N1194">
        <v>1929618719</v>
      </c>
      <c r="O1194">
        <v>1862000094</v>
      </c>
    </row>
    <row r="1195" spans="1:16">
      <c r="A1195" t="str">
        <f t="shared" si="17"/>
        <v>TGSD1KWH ONPK</v>
      </c>
      <c r="B1195" t="s">
        <v>994</v>
      </c>
      <c r="C1195" t="s">
        <v>129</v>
      </c>
      <c r="D1195">
        <v>473901263</v>
      </c>
      <c r="E1195">
        <v>463917613</v>
      </c>
      <c r="F1195">
        <v>477555181</v>
      </c>
      <c r="G1195">
        <v>656509498</v>
      </c>
      <c r="H1195">
        <v>661314019</v>
      </c>
      <c r="I1195">
        <v>719446906</v>
      </c>
      <c r="J1195">
        <v>705480498</v>
      </c>
      <c r="K1195">
        <v>788529536</v>
      </c>
      <c r="L1195">
        <v>674770364</v>
      </c>
      <c r="M1195">
        <v>754376485</v>
      </c>
      <c r="N1195">
        <v>492247920</v>
      </c>
      <c r="O1195">
        <v>439183690</v>
      </c>
      <c r="P1195" s="89"/>
    </row>
    <row r="1196" spans="1:16">
      <c r="A1196" t="str">
        <f t="shared" si="17"/>
        <v>TGSD1KWH OFFPK</v>
      </c>
      <c r="B1196" t="s">
        <v>994</v>
      </c>
      <c r="C1196" t="s">
        <v>130</v>
      </c>
      <c r="D1196">
        <v>1450152845</v>
      </c>
      <c r="E1196">
        <v>1306409967</v>
      </c>
      <c r="F1196">
        <v>1411894156</v>
      </c>
      <c r="G1196">
        <v>1337059588</v>
      </c>
      <c r="H1196">
        <v>1339525337</v>
      </c>
      <c r="I1196">
        <v>1496486519</v>
      </c>
      <c r="J1196">
        <v>1541334598</v>
      </c>
      <c r="K1196">
        <v>1494818049</v>
      </c>
      <c r="L1196">
        <v>1589373174</v>
      </c>
      <c r="M1196">
        <v>1439826930</v>
      </c>
      <c r="N1196">
        <v>1437370799</v>
      </c>
      <c r="O1196">
        <v>1422816404</v>
      </c>
    </row>
    <row r="1197" spans="1:16">
      <c r="A1197" t="str">
        <f t="shared" si="17"/>
        <v>TGSD1KWH ONPK%</v>
      </c>
      <c r="B1197" t="s">
        <v>994</v>
      </c>
      <c r="C1197" t="s">
        <v>131</v>
      </c>
      <c r="D1197" s="5">
        <v>0.24629999999999999</v>
      </c>
      <c r="E1197" s="5">
        <v>0.26205000000000001</v>
      </c>
      <c r="F1197" s="5">
        <v>0.25274999999999997</v>
      </c>
      <c r="G1197" s="5">
        <v>0.32930999999999999</v>
      </c>
      <c r="H1197" s="5">
        <v>0.33051999999999998</v>
      </c>
      <c r="I1197" s="5">
        <v>0.32467000000000001</v>
      </c>
      <c r="J1197" s="5">
        <v>0.31398999999999999</v>
      </c>
      <c r="K1197" s="5">
        <v>0.34533999999999998</v>
      </c>
      <c r="L1197" s="5">
        <v>0.29802000000000001</v>
      </c>
      <c r="M1197" s="5">
        <v>0.34379999999999999</v>
      </c>
      <c r="N1197" s="5">
        <v>0.25509999999999999</v>
      </c>
      <c r="O1197" s="5">
        <v>0.23587</v>
      </c>
    </row>
    <row r="1198" spans="1:16">
      <c r="A1198" t="str">
        <f t="shared" si="17"/>
        <v>TGSD1KWH OFFPK%</v>
      </c>
      <c r="B1198" t="s">
        <v>994</v>
      </c>
      <c r="C1198" t="s">
        <v>132</v>
      </c>
      <c r="D1198" s="5">
        <v>0.75370000000000004</v>
      </c>
      <c r="E1198" s="5">
        <v>0.73794999999999999</v>
      </c>
      <c r="F1198" s="5">
        <v>0.74724999999999997</v>
      </c>
      <c r="G1198" s="5">
        <v>0.67069000000000001</v>
      </c>
      <c r="H1198" s="5">
        <v>0.66947999999999996</v>
      </c>
      <c r="I1198" s="5">
        <v>0.67532999999999999</v>
      </c>
      <c r="J1198" s="5">
        <v>0.68601000000000001</v>
      </c>
      <c r="K1198" s="5">
        <v>0.65466000000000002</v>
      </c>
      <c r="L1198" s="5">
        <v>0.70198000000000005</v>
      </c>
      <c r="M1198" s="5">
        <v>0.65620000000000001</v>
      </c>
      <c r="N1198" s="5">
        <v>0.74490000000000001</v>
      </c>
      <c r="O1198" s="5">
        <v>0.76412999999999998</v>
      </c>
    </row>
    <row r="1199" spans="1:16">
      <c r="A1199" t="str">
        <f t="shared" si="17"/>
        <v>TGSD1DEMAND (KW):</v>
      </c>
      <c r="B1199" t="s">
        <v>994</v>
      </c>
      <c r="C1199" t="s">
        <v>62</v>
      </c>
    </row>
    <row r="1200" spans="1:16">
      <c r="A1200" t="str">
        <f t="shared" si="17"/>
        <v>TGSD1NCP</v>
      </c>
      <c r="B1200" t="s">
        <v>994</v>
      </c>
      <c r="C1200" t="s">
        <v>133</v>
      </c>
      <c r="D1200">
        <v>5374431</v>
      </c>
      <c r="E1200">
        <v>5274091</v>
      </c>
      <c r="F1200">
        <v>5008972</v>
      </c>
      <c r="G1200">
        <v>5521833</v>
      </c>
      <c r="H1200">
        <v>5193640</v>
      </c>
      <c r="I1200">
        <v>5882347</v>
      </c>
      <c r="J1200">
        <v>5601284</v>
      </c>
      <c r="K1200">
        <v>5747980</v>
      </c>
      <c r="L1200">
        <v>5914223</v>
      </c>
      <c r="M1200">
        <v>5836802</v>
      </c>
      <c r="N1200">
        <v>5457009</v>
      </c>
      <c r="O1200">
        <v>5185520</v>
      </c>
      <c r="P1200" s="87"/>
    </row>
    <row r="1201" spans="1:16">
      <c r="A1201" t="str">
        <f t="shared" si="17"/>
        <v>TGSD1NCP ONPK</v>
      </c>
      <c r="B1201" t="s">
        <v>994</v>
      </c>
      <c r="C1201" t="s">
        <v>134</v>
      </c>
      <c r="D1201">
        <v>5042120</v>
      </c>
      <c r="E1201">
        <v>4942083</v>
      </c>
      <c r="F1201">
        <v>4674562</v>
      </c>
      <c r="G1201">
        <v>5369044</v>
      </c>
      <c r="H1201">
        <v>5011082</v>
      </c>
      <c r="I1201">
        <v>5656713</v>
      </c>
      <c r="J1201">
        <v>5423661</v>
      </c>
      <c r="K1201">
        <v>5563081</v>
      </c>
      <c r="L1201">
        <v>5681447</v>
      </c>
      <c r="M1201">
        <v>5665186</v>
      </c>
      <c r="N1201">
        <v>5057528</v>
      </c>
      <c r="O1201">
        <v>4813221</v>
      </c>
    </row>
    <row r="1202" spans="1:16">
      <c r="A1202" t="str">
        <f t="shared" si="17"/>
        <v>TGSD1NCP OFFPK</v>
      </c>
      <c r="B1202" t="s">
        <v>994</v>
      </c>
      <c r="C1202" t="s">
        <v>135</v>
      </c>
      <c r="D1202">
        <v>5164090</v>
      </c>
      <c r="E1202">
        <v>5148633</v>
      </c>
      <c r="F1202">
        <v>4938654</v>
      </c>
      <c r="G1202">
        <v>5318869</v>
      </c>
      <c r="H1202">
        <v>5075787</v>
      </c>
      <c r="I1202">
        <v>5731117</v>
      </c>
      <c r="J1202">
        <v>5474973</v>
      </c>
      <c r="K1202">
        <v>5593038</v>
      </c>
      <c r="L1202">
        <v>5808703</v>
      </c>
      <c r="M1202">
        <v>5672167</v>
      </c>
      <c r="N1202">
        <v>5400788</v>
      </c>
      <c r="O1202">
        <v>5078153</v>
      </c>
    </row>
    <row r="1203" spans="1:16">
      <c r="A1203" t="str">
        <f t="shared" si="17"/>
        <v>TGSD1GCP DATE</v>
      </c>
      <c r="B1203" t="s">
        <v>994</v>
      </c>
      <c r="C1203" t="s">
        <v>136</v>
      </c>
      <c r="D1203" t="s">
        <v>945</v>
      </c>
      <c r="E1203" t="s">
        <v>946</v>
      </c>
      <c r="F1203" t="s">
        <v>137</v>
      </c>
      <c r="G1203" t="s">
        <v>138</v>
      </c>
      <c r="H1203" t="s">
        <v>207</v>
      </c>
      <c r="I1203" t="s">
        <v>917</v>
      </c>
      <c r="J1203" t="s">
        <v>4</v>
      </c>
      <c r="K1203" t="s">
        <v>935</v>
      </c>
      <c r="L1203" t="s">
        <v>918</v>
      </c>
      <c r="M1203" t="s">
        <v>952</v>
      </c>
      <c r="N1203" t="s">
        <v>913</v>
      </c>
      <c r="O1203" t="s">
        <v>3</v>
      </c>
      <c r="P1203" s="83"/>
    </row>
    <row r="1204" spans="1:16">
      <c r="A1204" t="str">
        <f t="shared" si="17"/>
        <v>TGSD1GCP TIME</v>
      </c>
      <c r="B1204" t="s">
        <v>994</v>
      </c>
      <c r="C1204" t="s">
        <v>142</v>
      </c>
      <c r="D1204" t="s">
        <v>143</v>
      </c>
      <c r="E1204" t="s">
        <v>143</v>
      </c>
      <c r="F1204" t="s">
        <v>144</v>
      </c>
      <c r="G1204" t="s">
        <v>143</v>
      </c>
      <c r="H1204" t="s">
        <v>143</v>
      </c>
      <c r="I1204" t="s">
        <v>144</v>
      </c>
      <c r="J1204" t="s">
        <v>143</v>
      </c>
      <c r="K1204" t="s">
        <v>143</v>
      </c>
      <c r="L1204" t="s">
        <v>144</v>
      </c>
      <c r="M1204" t="s">
        <v>143</v>
      </c>
      <c r="N1204" t="s">
        <v>182</v>
      </c>
      <c r="O1204" t="s">
        <v>143</v>
      </c>
      <c r="P1204" s="1"/>
    </row>
    <row r="1205" spans="1:16">
      <c r="A1205" t="str">
        <f t="shared" si="17"/>
        <v>TGSD1GCP</v>
      </c>
      <c r="B1205" t="s">
        <v>994</v>
      </c>
      <c r="C1205" t="s">
        <v>147</v>
      </c>
      <c r="D1205">
        <v>3911017</v>
      </c>
      <c r="E1205">
        <v>3709107</v>
      </c>
      <c r="F1205">
        <v>3602955</v>
      </c>
      <c r="G1205">
        <v>4068519</v>
      </c>
      <c r="H1205">
        <v>3959026</v>
      </c>
      <c r="I1205">
        <v>4397750</v>
      </c>
      <c r="J1205">
        <v>4287978</v>
      </c>
      <c r="K1205">
        <v>4360564</v>
      </c>
      <c r="L1205">
        <v>4503487</v>
      </c>
      <c r="M1205">
        <v>4390200</v>
      </c>
      <c r="N1205">
        <v>3790525</v>
      </c>
      <c r="O1205">
        <v>3814544</v>
      </c>
      <c r="P1205" s="5"/>
    </row>
    <row r="1206" spans="1:16">
      <c r="A1206" t="str">
        <f t="shared" ref="A1206:A1269" si="18">B1206&amp;C1206</f>
        <v>TGSD1GCP ONPK</v>
      </c>
      <c r="B1206" t="s">
        <v>994</v>
      </c>
      <c r="C1206" t="s">
        <v>63</v>
      </c>
      <c r="D1206">
        <v>3435142</v>
      </c>
      <c r="E1206">
        <v>3420044</v>
      </c>
      <c r="F1206">
        <v>3274421</v>
      </c>
      <c r="G1206">
        <v>4068519</v>
      </c>
      <c r="H1206">
        <v>3959026</v>
      </c>
      <c r="I1206">
        <v>4397750</v>
      </c>
      <c r="J1206">
        <v>4287978</v>
      </c>
      <c r="K1206">
        <v>4360564</v>
      </c>
      <c r="L1206">
        <v>4503487</v>
      </c>
      <c r="M1206">
        <v>4390200</v>
      </c>
      <c r="N1206">
        <v>3533046</v>
      </c>
      <c r="O1206">
        <v>3443496</v>
      </c>
      <c r="P1206" s="5"/>
    </row>
    <row r="1207" spans="1:16">
      <c r="A1207" t="str">
        <f t="shared" si="18"/>
        <v>TGSD1GCP OFFPK</v>
      </c>
      <c r="B1207" t="s">
        <v>994</v>
      </c>
      <c r="C1207" t="s">
        <v>64</v>
      </c>
      <c r="D1207">
        <v>3911017</v>
      </c>
      <c r="E1207">
        <v>3709107</v>
      </c>
      <c r="F1207">
        <v>3602955</v>
      </c>
      <c r="G1207">
        <v>3973729</v>
      </c>
      <c r="H1207">
        <v>3814726</v>
      </c>
      <c r="I1207">
        <v>4250186</v>
      </c>
      <c r="J1207">
        <v>4155570</v>
      </c>
      <c r="K1207">
        <v>4236930</v>
      </c>
      <c r="L1207">
        <v>4390951</v>
      </c>
      <c r="M1207">
        <v>4217175</v>
      </c>
      <c r="N1207">
        <v>3790525</v>
      </c>
      <c r="O1207">
        <v>3814544</v>
      </c>
      <c r="P1207" s="5"/>
    </row>
    <row r="1208" spans="1:16">
      <c r="A1208" t="str">
        <f t="shared" si="18"/>
        <v>TGSD1CP</v>
      </c>
      <c r="B1208" t="s">
        <v>994</v>
      </c>
      <c r="C1208" t="s">
        <v>148</v>
      </c>
      <c r="D1208">
        <v>2329607</v>
      </c>
      <c r="E1208">
        <v>3646554</v>
      </c>
      <c r="F1208">
        <v>3430463</v>
      </c>
      <c r="G1208">
        <v>3719380</v>
      </c>
      <c r="H1208">
        <v>3725307</v>
      </c>
      <c r="I1208">
        <v>4083111</v>
      </c>
      <c r="J1208">
        <v>4028548</v>
      </c>
      <c r="K1208">
        <v>4027015</v>
      </c>
      <c r="L1208">
        <v>3718796</v>
      </c>
      <c r="M1208">
        <v>4157666</v>
      </c>
      <c r="N1208">
        <v>3447774</v>
      </c>
      <c r="O1208">
        <v>3306108</v>
      </c>
      <c r="P1208" s="5"/>
    </row>
    <row r="1209" spans="1:16">
      <c r="A1209" t="str">
        <f t="shared" si="18"/>
        <v>TGSD1PERIOD START</v>
      </c>
      <c r="B1209" t="s">
        <v>994</v>
      </c>
      <c r="C1209" t="s">
        <v>149</v>
      </c>
      <c r="D1209" s="1">
        <v>40909</v>
      </c>
      <c r="E1209" s="1">
        <v>40940</v>
      </c>
      <c r="F1209" s="1">
        <v>40969</v>
      </c>
      <c r="G1209" s="1">
        <v>41000</v>
      </c>
      <c r="H1209" s="1">
        <v>41030</v>
      </c>
      <c r="I1209" s="1">
        <v>41061</v>
      </c>
      <c r="J1209" s="1">
        <v>41091</v>
      </c>
      <c r="K1209" s="1">
        <v>41122</v>
      </c>
      <c r="L1209" s="1">
        <v>41153</v>
      </c>
      <c r="M1209" s="1">
        <v>41183</v>
      </c>
      <c r="N1209" s="1">
        <v>41214</v>
      </c>
      <c r="O1209" s="1">
        <v>41244</v>
      </c>
      <c r="P1209" s="5"/>
    </row>
    <row r="1210" spans="1:16">
      <c r="A1210" t="str">
        <f t="shared" si="18"/>
        <v>TGSD1NCP LF</v>
      </c>
      <c r="B1210" t="s">
        <v>994</v>
      </c>
      <c r="C1210" t="s">
        <v>150</v>
      </c>
      <c r="D1210" s="5">
        <v>0.48120000000000002</v>
      </c>
      <c r="E1210" s="5">
        <v>0.48230000000000001</v>
      </c>
      <c r="F1210" s="5">
        <v>0.50700000000000001</v>
      </c>
      <c r="G1210" s="5">
        <v>0.50139999999999996</v>
      </c>
      <c r="H1210" s="5">
        <v>0.51780000000000004</v>
      </c>
      <c r="I1210" s="5">
        <v>0.5232</v>
      </c>
      <c r="J1210" s="5">
        <v>0.53910000000000002</v>
      </c>
      <c r="K1210" s="5">
        <v>0.53390000000000004</v>
      </c>
      <c r="L1210" s="5">
        <v>0.53169999999999995</v>
      </c>
      <c r="M1210" s="5">
        <v>0.50529999999999997</v>
      </c>
      <c r="N1210" s="5">
        <v>0.49109999999999998</v>
      </c>
      <c r="O1210" s="5">
        <v>0.48259999999999997</v>
      </c>
      <c r="P1210" s="5"/>
    </row>
    <row r="1211" spans="1:16">
      <c r="A1211" t="str">
        <f t="shared" si="18"/>
        <v>TGSD1NCP LF ONPK</v>
      </c>
      <c r="B1211" t="s">
        <v>994</v>
      </c>
      <c r="C1211" t="s">
        <v>151</v>
      </c>
      <c r="D1211" s="5">
        <v>0</v>
      </c>
      <c r="E1211" s="5">
        <v>0</v>
      </c>
      <c r="F1211" s="5">
        <v>0</v>
      </c>
      <c r="G1211" s="5">
        <v>0</v>
      </c>
      <c r="H1211" s="5">
        <v>0</v>
      </c>
      <c r="I1211" s="5">
        <v>0</v>
      </c>
      <c r="J1211" s="5">
        <v>0</v>
      </c>
      <c r="K1211" s="5">
        <v>0</v>
      </c>
      <c r="L1211" s="5">
        <v>0</v>
      </c>
      <c r="M1211" s="5">
        <v>0</v>
      </c>
      <c r="N1211" s="5">
        <v>0</v>
      </c>
      <c r="O1211" s="5">
        <v>0</v>
      </c>
      <c r="P1211" s="5"/>
    </row>
    <row r="1212" spans="1:16">
      <c r="A1212" t="str">
        <f t="shared" si="18"/>
        <v>TGSD1NCP LF OFFPK</v>
      </c>
      <c r="B1212" t="s">
        <v>994</v>
      </c>
      <c r="C1212" t="s">
        <v>152</v>
      </c>
      <c r="D1212" s="5">
        <v>0</v>
      </c>
      <c r="E1212" s="5">
        <v>0</v>
      </c>
      <c r="F1212" s="5">
        <v>0</v>
      </c>
      <c r="G1212" s="5">
        <v>0</v>
      </c>
      <c r="H1212" s="5">
        <v>0</v>
      </c>
      <c r="I1212" s="5">
        <v>0</v>
      </c>
      <c r="J1212" s="5">
        <v>0</v>
      </c>
      <c r="K1212" s="5">
        <v>0</v>
      </c>
      <c r="L1212" s="5">
        <v>0</v>
      </c>
      <c r="M1212" s="5">
        <v>0</v>
      </c>
      <c r="N1212" s="5">
        <v>0</v>
      </c>
      <c r="O1212" s="5">
        <v>0</v>
      </c>
      <c r="P1212" s="5"/>
    </row>
    <row r="1213" spans="1:16">
      <c r="A1213" t="str">
        <f t="shared" si="18"/>
        <v>TGSD1GCP CF</v>
      </c>
      <c r="B1213" t="s">
        <v>994</v>
      </c>
      <c r="C1213" t="s">
        <v>153</v>
      </c>
      <c r="D1213" s="5">
        <v>0.72770000000000001</v>
      </c>
      <c r="E1213" s="5">
        <v>0.70330000000000004</v>
      </c>
      <c r="F1213" s="5">
        <v>0.71930000000000005</v>
      </c>
      <c r="G1213" s="5">
        <v>0.73680000000000001</v>
      </c>
      <c r="H1213" s="5">
        <v>0.76229999999999998</v>
      </c>
      <c r="I1213" s="5">
        <v>0.74760000000000004</v>
      </c>
      <c r="J1213" s="5">
        <v>0.76549999999999996</v>
      </c>
      <c r="K1213" s="5">
        <v>0.75860000000000005</v>
      </c>
      <c r="L1213" s="5">
        <v>0.76149999999999995</v>
      </c>
      <c r="M1213" s="5">
        <v>0.75219999999999998</v>
      </c>
      <c r="N1213" s="5">
        <v>0.6946</v>
      </c>
      <c r="O1213" s="5">
        <v>0.73560000000000003</v>
      </c>
      <c r="P1213" s="5"/>
    </row>
    <row r="1214" spans="1:16">
      <c r="A1214" t="str">
        <f t="shared" si="18"/>
        <v>TGSD1CP CF</v>
      </c>
      <c r="B1214" t="s">
        <v>994</v>
      </c>
      <c r="C1214" t="s">
        <v>154</v>
      </c>
      <c r="D1214" s="5">
        <v>0.4335</v>
      </c>
      <c r="E1214" s="5">
        <v>0.69140000000000001</v>
      </c>
      <c r="F1214" s="5">
        <v>0.68489999999999995</v>
      </c>
      <c r="G1214" s="5">
        <v>0.67359999999999998</v>
      </c>
      <c r="H1214" s="5">
        <v>0.71730000000000005</v>
      </c>
      <c r="I1214" s="5">
        <v>0.69410000000000005</v>
      </c>
      <c r="J1214" s="5">
        <v>0.71919999999999995</v>
      </c>
      <c r="K1214" s="5">
        <v>0.7006</v>
      </c>
      <c r="L1214" s="5">
        <v>0.62880000000000003</v>
      </c>
      <c r="M1214" s="5">
        <v>0.71230000000000004</v>
      </c>
      <c r="N1214" s="5">
        <v>0.63180000000000003</v>
      </c>
      <c r="O1214" s="5">
        <v>0.63759999999999994</v>
      </c>
    </row>
    <row r="1215" spans="1:16">
      <c r="A1215" t="str">
        <f t="shared" si="18"/>
        <v>TGSD1GCP LF</v>
      </c>
      <c r="B1215" t="s">
        <v>994</v>
      </c>
      <c r="C1215" t="s">
        <v>155</v>
      </c>
      <c r="D1215" s="5">
        <v>0.66120000000000001</v>
      </c>
      <c r="E1215" s="5">
        <v>0.68579999999999997</v>
      </c>
      <c r="F1215" s="5">
        <v>0.70489999999999997</v>
      </c>
      <c r="G1215" s="5">
        <v>0.68059999999999998</v>
      </c>
      <c r="H1215" s="5">
        <v>0.67930000000000001</v>
      </c>
      <c r="I1215" s="5">
        <v>0.69979999999999998</v>
      </c>
      <c r="J1215" s="5">
        <v>0.70430000000000004</v>
      </c>
      <c r="K1215" s="5">
        <v>0.70379999999999998</v>
      </c>
      <c r="L1215" s="5">
        <v>0.69830000000000003</v>
      </c>
      <c r="M1215" s="5">
        <v>0.67179999999999995</v>
      </c>
      <c r="N1215" s="5">
        <v>0.70699999999999996</v>
      </c>
      <c r="O1215" s="5">
        <v>0.65610000000000002</v>
      </c>
      <c r="P1215" s="5"/>
    </row>
    <row r="1216" spans="1:16">
      <c r="A1216" t="str">
        <f t="shared" si="18"/>
        <v>TGSD1GCP LF ONPK</v>
      </c>
      <c r="B1216" t="s">
        <v>994</v>
      </c>
      <c r="C1216" t="s">
        <v>156</v>
      </c>
      <c r="D1216" s="5">
        <v>0</v>
      </c>
      <c r="E1216" s="5">
        <v>0</v>
      </c>
      <c r="F1216" s="5">
        <v>0</v>
      </c>
      <c r="G1216" s="5">
        <v>0</v>
      </c>
      <c r="H1216" s="5">
        <v>0</v>
      </c>
      <c r="I1216" s="5">
        <v>0</v>
      </c>
      <c r="J1216" s="5">
        <v>0</v>
      </c>
      <c r="K1216" s="5">
        <v>0</v>
      </c>
      <c r="L1216" s="5">
        <v>0</v>
      </c>
      <c r="M1216" s="5">
        <v>0</v>
      </c>
      <c r="N1216" s="5">
        <v>0</v>
      </c>
      <c r="O1216" s="5">
        <v>0</v>
      </c>
      <c r="P1216" s="5"/>
    </row>
    <row r="1217" spans="1:16">
      <c r="A1217" t="str">
        <f t="shared" si="18"/>
        <v>TGSD1GCP LF OFFPK</v>
      </c>
      <c r="B1217" t="s">
        <v>994</v>
      </c>
      <c r="C1217" t="s">
        <v>157</v>
      </c>
      <c r="D1217" s="5">
        <v>0</v>
      </c>
      <c r="E1217" s="5">
        <v>0</v>
      </c>
      <c r="F1217" s="5">
        <v>0</v>
      </c>
      <c r="G1217" s="5">
        <v>0</v>
      </c>
      <c r="H1217" s="5">
        <v>0</v>
      </c>
      <c r="I1217" s="5">
        <v>0</v>
      </c>
      <c r="J1217" s="5">
        <v>0</v>
      </c>
      <c r="K1217" s="5">
        <v>0</v>
      </c>
      <c r="L1217" s="5">
        <v>0</v>
      </c>
      <c r="M1217" s="5">
        <v>0</v>
      </c>
      <c r="N1217" s="5">
        <v>0</v>
      </c>
      <c r="O1217" s="5">
        <v>0</v>
      </c>
      <c r="P1217" s="5"/>
    </row>
    <row r="1218" spans="1:16">
      <c r="A1218" t="str">
        <f t="shared" si="18"/>
        <v>TGSD1CP LF</v>
      </c>
      <c r="B1218" t="s">
        <v>994</v>
      </c>
      <c r="C1218" t="s">
        <v>158</v>
      </c>
      <c r="D1218" s="5">
        <v>1.1101000000000001</v>
      </c>
      <c r="E1218" s="5">
        <v>0.69750000000000001</v>
      </c>
      <c r="F1218" s="5">
        <v>0.74029999999999996</v>
      </c>
      <c r="G1218" s="5">
        <v>0.74439999999999995</v>
      </c>
      <c r="H1218" s="5">
        <v>0.72189999999999999</v>
      </c>
      <c r="I1218" s="5">
        <v>0.75380000000000003</v>
      </c>
      <c r="J1218" s="5">
        <v>0.74960000000000004</v>
      </c>
      <c r="K1218" s="5">
        <v>0.7621</v>
      </c>
      <c r="L1218" s="5">
        <v>0.84560000000000002</v>
      </c>
      <c r="M1218" s="5">
        <v>0.70930000000000004</v>
      </c>
      <c r="N1218" s="5">
        <v>0.77729999999999999</v>
      </c>
      <c r="O1218" s="5">
        <v>0.75700000000000001</v>
      </c>
      <c r="P1218" s="5"/>
    </row>
    <row r="1219" spans="1:16">
      <c r="A1219" t="str">
        <f t="shared" si="18"/>
        <v>TGSD1REL PREC:</v>
      </c>
      <c r="B1219" t="s">
        <v>994</v>
      </c>
      <c r="C1219" t="s">
        <v>65</v>
      </c>
      <c r="P1219" s="5"/>
    </row>
    <row r="1220" spans="1:16">
      <c r="A1220" t="str">
        <f t="shared" si="18"/>
        <v>TGSD1NCP RP</v>
      </c>
      <c r="B1220" t="s">
        <v>994</v>
      </c>
      <c r="C1220" t="s">
        <v>159</v>
      </c>
      <c r="D1220" s="5">
        <v>4.99E-2</v>
      </c>
      <c r="E1220" s="5">
        <v>5.1799999999999999E-2</v>
      </c>
      <c r="F1220" s="5">
        <v>5.0099999999999999E-2</v>
      </c>
      <c r="G1220" s="5">
        <v>4.7199999999999999E-2</v>
      </c>
      <c r="H1220" s="5">
        <v>4.7100000000000003E-2</v>
      </c>
      <c r="I1220" s="5">
        <v>4.82E-2</v>
      </c>
      <c r="J1220" s="5">
        <v>4.7300000000000002E-2</v>
      </c>
      <c r="K1220" s="5">
        <v>4.9599999999999998E-2</v>
      </c>
      <c r="L1220" s="5">
        <v>4.3200000000000002E-2</v>
      </c>
      <c r="M1220" s="5">
        <v>4.7199999999999999E-2</v>
      </c>
      <c r="N1220" s="5">
        <v>4.53E-2</v>
      </c>
      <c r="O1220" s="5">
        <v>5.3100000000000001E-2</v>
      </c>
      <c r="P1220" s="5"/>
    </row>
    <row r="1221" spans="1:16">
      <c r="A1221" t="str">
        <f t="shared" si="18"/>
        <v>TGSD1NCP RP ONPK</v>
      </c>
      <c r="B1221" t="s">
        <v>994</v>
      </c>
      <c r="C1221" t="s">
        <v>160</v>
      </c>
      <c r="D1221" s="5">
        <v>0.05</v>
      </c>
      <c r="E1221" s="5">
        <v>5.2400000000000002E-2</v>
      </c>
      <c r="F1221" s="5">
        <v>4.9799999999999997E-2</v>
      </c>
      <c r="G1221" s="5">
        <v>4.7500000000000001E-2</v>
      </c>
      <c r="H1221" s="5">
        <v>4.5999999999999999E-2</v>
      </c>
      <c r="I1221" s="5">
        <v>4.3900000000000002E-2</v>
      </c>
      <c r="J1221" s="5">
        <v>4.4900000000000002E-2</v>
      </c>
      <c r="K1221" s="5">
        <v>4.2000000000000003E-2</v>
      </c>
      <c r="L1221" s="5">
        <v>4.1200000000000001E-2</v>
      </c>
      <c r="M1221" s="5">
        <v>4.6300000000000001E-2</v>
      </c>
      <c r="N1221" s="5">
        <v>4.6600000000000003E-2</v>
      </c>
      <c r="O1221" s="5">
        <v>5.33E-2</v>
      </c>
      <c r="P1221" s="5"/>
    </row>
    <row r="1222" spans="1:16">
      <c r="A1222" t="str">
        <f t="shared" si="18"/>
        <v>TGSD1NCP RP OFFPK</v>
      </c>
      <c r="B1222" t="s">
        <v>994</v>
      </c>
      <c r="C1222" t="s">
        <v>161</v>
      </c>
      <c r="D1222" s="5">
        <v>4.6199999999999998E-2</v>
      </c>
      <c r="E1222" s="5">
        <v>5.1499999999999997E-2</v>
      </c>
      <c r="F1222" s="5">
        <v>5.0700000000000002E-2</v>
      </c>
      <c r="G1222" s="5">
        <v>4.7300000000000002E-2</v>
      </c>
      <c r="H1222" s="5">
        <v>4.7899999999999998E-2</v>
      </c>
      <c r="I1222" s="5">
        <v>4.8899999999999999E-2</v>
      </c>
      <c r="J1222" s="5">
        <v>4.8300000000000003E-2</v>
      </c>
      <c r="K1222" s="5">
        <v>5.1499999999999997E-2</v>
      </c>
      <c r="L1222" s="5">
        <v>4.3700000000000003E-2</v>
      </c>
      <c r="M1222" s="5">
        <v>4.8500000000000001E-2</v>
      </c>
      <c r="N1222" s="5">
        <v>4.5400000000000003E-2</v>
      </c>
      <c r="O1222" s="5">
        <v>5.2900000000000003E-2</v>
      </c>
    </row>
    <row r="1223" spans="1:16">
      <c r="A1223" t="str">
        <f t="shared" si="18"/>
        <v>TGSD1GCP RP</v>
      </c>
      <c r="B1223" t="s">
        <v>994</v>
      </c>
      <c r="C1223" t="s">
        <v>162</v>
      </c>
      <c r="D1223" s="5">
        <v>4.7600000000000003E-2</v>
      </c>
      <c r="E1223" s="5">
        <v>0.05</v>
      </c>
      <c r="F1223" s="5">
        <v>5.1299999999999998E-2</v>
      </c>
      <c r="G1223" s="5">
        <v>4.5999999999999999E-2</v>
      </c>
      <c r="H1223" s="5">
        <v>4.9099999999999998E-2</v>
      </c>
      <c r="I1223" s="5">
        <v>4.4699999999999997E-2</v>
      </c>
      <c r="J1223" s="5">
        <v>4.41E-2</v>
      </c>
      <c r="K1223" s="5">
        <v>4.2799999999999998E-2</v>
      </c>
      <c r="L1223" s="5">
        <v>4.5499999999999999E-2</v>
      </c>
      <c r="M1223" s="5">
        <v>4.0599999999999997E-2</v>
      </c>
      <c r="N1223" s="5">
        <v>4.9200000000000001E-2</v>
      </c>
      <c r="O1223" s="5">
        <v>5.5100000000000003E-2</v>
      </c>
    </row>
    <row r="1224" spans="1:16">
      <c r="A1224" t="str">
        <f t="shared" si="18"/>
        <v>TGSD1GCP RP ONPK</v>
      </c>
      <c r="B1224" t="s">
        <v>994</v>
      </c>
      <c r="C1224" t="s">
        <v>163</v>
      </c>
      <c r="D1224" s="5">
        <v>4.1000000000000002E-2</v>
      </c>
      <c r="E1224" s="5">
        <v>6.7799999999999999E-2</v>
      </c>
      <c r="F1224" s="5">
        <v>6.7100000000000007E-2</v>
      </c>
      <c r="G1224" s="5">
        <v>4.5999999999999999E-2</v>
      </c>
      <c r="H1224" s="5">
        <v>4.9099999999999998E-2</v>
      </c>
      <c r="I1224" s="5">
        <v>4.4699999999999997E-2</v>
      </c>
      <c r="J1224" s="5">
        <v>4.41E-2</v>
      </c>
      <c r="K1224" s="5">
        <v>4.2799999999999998E-2</v>
      </c>
      <c r="L1224" s="5">
        <v>4.5499999999999999E-2</v>
      </c>
      <c r="M1224" s="5">
        <v>4.0599999999999997E-2</v>
      </c>
      <c r="N1224" s="5">
        <v>5.3999999999999999E-2</v>
      </c>
      <c r="O1224" s="5">
        <v>5.7299999999999997E-2</v>
      </c>
    </row>
    <row r="1225" spans="1:16">
      <c r="A1225" t="str">
        <f t="shared" si="18"/>
        <v>TGSD1GCP RP OFFPK</v>
      </c>
      <c r="B1225" t="s">
        <v>994</v>
      </c>
      <c r="C1225" t="s">
        <v>164</v>
      </c>
      <c r="D1225" s="5">
        <v>4.7600000000000003E-2</v>
      </c>
      <c r="E1225" s="5">
        <v>0.05</v>
      </c>
      <c r="F1225" s="5">
        <v>5.1299999999999998E-2</v>
      </c>
      <c r="G1225" s="5">
        <v>5.2499999999999998E-2</v>
      </c>
      <c r="H1225" s="5">
        <v>5.04E-2</v>
      </c>
      <c r="I1225" s="5">
        <v>4.6300000000000001E-2</v>
      </c>
      <c r="J1225" s="5">
        <v>4.7800000000000002E-2</v>
      </c>
      <c r="K1225" s="5">
        <v>4.7699999999999999E-2</v>
      </c>
      <c r="L1225" s="5">
        <v>5.0200000000000002E-2</v>
      </c>
      <c r="M1225" s="5">
        <v>4.6600000000000003E-2</v>
      </c>
      <c r="N1225" s="5">
        <v>4.9200000000000001E-2</v>
      </c>
      <c r="O1225" s="5">
        <v>5.5100000000000003E-2</v>
      </c>
    </row>
    <row r="1226" spans="1:16">
      <c r="A1226" t="str">
        <f t="shared" si="18"/>
        <v>TGSD1CP RP</v>
      </c>
      <c r="B1226" t="s">
        <v>994</v>
      </c>
      <c r="C1226" t="s">
        <v>165</v>
      </c>
      <c r="D1226" s="5">
        <v>7.0699999999999999E-2</v>
      </c>
      <c r="E1226" s="5">
        <v>5.1999999999999998E-2</v>
      </c>
      <c r="F1226" s="5">
        <v>4.5699999999999998E-2</v>
      </c>
      <c r="G1226" s="5">
        <v>4.58E-2</v>
      </c>
      <c r="H1226" s="5">
        <v>4.6699999999999998E-2</v>
      </c>
      <c r="I1226" s="5">
        <v>4.3499999999999997E-2</v>
      </c>
      <c r="J1226" s="5">
        <v>4.2500000000000003E-2</v>
      </c>
      <c r="K1226" s="5">
        <v>4.4499999999999998E-2</v>
      </c>
      <c r="L1226" s="5">
        <v>4.7300000000000002E-2</v>
      </c>
      <c r="M1226" s="5">
        <v>4.41E-2</v>
      </c>
      <c r="N1226" s="5">
        <v>4.7699999999999999E-2</v>
      </c>
      <c r="O1226" s="5">
        <v>4.7199999999999999E-2</v>
      </c>
    </row>
    <row r="1227" spans="1:16">
      <c r="A1227" t="str">
        <f t="shared" si="18"/>
        <v>TGSD1SAMPLE SIZE:</v>
      </c>
      <c r="B1227" t="s">
        <v>994</v>
      </c>
      <c r="C1227" t="s">
        <v>66</v>
      </c>
    </row>
    <row r="1228" spans="1:16">
      <c r="A1228" t="str">
        <f t="shared" si="18"/>
        <v>TGSD1GCPSZ</v>
      </c>
      <c r="B1228" t="s">
        <v>994</v>
      </c>
      <c r="C1228" t="s">
        <v>166</v>
      </c>
      <c r="D1228">
        <v>499</v>
      </c>
      <c r="E1228">
        <v>499</v>
      </c>
      <c r="F1228">
        <v>499</v>
      </c>
      <c r="G1228">
        <v>495</v>
      </c>
      <c r="H1228">
        <v>496</v>
      </c>
      <c r="I1228">
        <v>495</v>
      </c>
      <c r="J1228">
        <v>495</v>
      </c>
      <c r="K1228">
        <v>495</v>
      </c>
      <c r="L1228">
        <v>496</v>
      </c>
      <c r="M1228">
        <v>494</v>
      </c>
      <c r="N1228">
        <v>496</v>
      </c>
      <c r="O1228">
        <v>499</v>
      </c>
    </row>
    <row r="1229" spans="1:16">
      <c r="A1229" t="str">
        <f t="shared" si="18"/>
        <v>TGSD1GCPSZ ONPK</v>
      </c>
      <c r="B1229" t="s">
        <v>994</v>
      </c>
      <c r="C1229" t="s">
        <v>167</v>
      </c>
      <c r="D1229">
        <v>499</v>
      </c>
      <c r="E1229">
        <v>499</v>
      </c>
      <c r="F1229">
        <v>499</v>
      </c>
      <c r="G1229">
        <v>495</v>
      </c>
      <c r="H1229">
        <v>496</v>
      </c>
      <c r="I1229">
        <v>495</v>
      </c>
      <c r="J1229">
        <v>495</v>
      </c>
      <c r="K1229">
        <v>495</v>
      </c>
      <c r="L1229">
        <v>496</v>
      </c>
      <c r="M1229">
        <v>494</v>
      </c>
      <c r="N1229">
        <v>496</v>
      </c>
      <c r="O1229">
        <v>499</v>
      </c>
      <c r="P1229" s="4"/>
    </row>
    <row r="1230" spans="1:16">
      <c r="A1230" t="str">
        <f t="shared" si="18"/>
        <v>TGSD1GCPSZ OFFPK</v>
      </c>
      <c r="B1230" t="s">
        <v>994</v>
      </c>
      <c r="C1230" t="s">
        <v>168</v>
      </c>
      <c r="D1230">
        <v>499</v>
      </c>
      <c r="E1230">
        <v>499</v>
      </c>
      <c r="F1230">
        <v>499</v>
      </c>
      <c r="G1230">
        <v>495</v>
      </c>
      <c r="H1230">
        <v>496</v>
      </c>
      <c r="I1230">
        <v>495</v>
      </c>
      <c r="J1230">
        <v>495</v>
      </c>
      <c r="K1230">
        <v>495</v>
      </c>
      <c r="L1230">
        <v>496</v>
      </c>
      <c r="M1230">
        <v>494</v>
      </c>
      <c r="N1230">
        <v>496</v>
      </c>
      <c r="O1230">
        <v>499</v>
      </c>
    </row>
    <row r="1231" spans="1:16">
      <c r="A1231" t="str">
        <f t="shared" si="18"/>
        <v>TGSD1CPSZ</v>
      </c>
      <c r="B1231" t="s">
        <v>994</v>
      </c>
      <c r="C1231" t="s">
        <v>169</v>
      </c>
      <c r="D1231">
        <v>499</v>
      </c>
      <c r="E1231">
        <v>499</v>
      </c>
      <c r="F1231">
        <v>499</v>
      </c>
      <c r="G1231">
        <v>495</v>
      </c>
      <c r="H1231">
        <v>496</v>
      </c>
      <c r="I1231">
        <v>495</v>
      </c>
      <c r="J1231">
        <v>495</v>
      </c>
      <c r="K1231">
        <v>495</v>
      </c>
      <c r="L1231">
        <v>496</v>
      </c>
      <c r="M1231">
        <v>494</v>
      </c>
      <c r="N1231">
        <v>496</v>
      </c>
      <c r="O1231">
        <v>499</v>
      </c>
    </row>
    <row r="1232" spans="1:16">
      <c r="A1232" t="str">
        <f t="shared" si="18"/>
        <v/>
      </c>
    </row>
    <row r="1233" spans="1:16">
      <c r="A1233" t="str">
        <f t="shared" si="18"/>
        <v/>
      </c>
    </row>
    <row r="1234" spans="1:16">
      <c r="A1234" t="str">
        <f t="shared" si="18"/>
        <v/>
      </c>
    </row>
    <row r="1235" spans="1:16">
      <c r="A1235" t="str">
        <f t="shared" si="18"/>
        <v/>
      </c>
    </row>
    <row r="1236" spans="1:16">
      <c r="A1236" t="str">
        <f t="shared" si="18"/>
        <v/>
      </c>
    </row>
    <row r="1237" spans="1:16">
      <c r="A1237" t="str">
        <f t="shared" si="18"/>
        <v/>
      </c>
      <c r="P1237" s="4"/>
    </row>
    <row r="1238" spans="1:16">
      <c r="A1238" t="str">
        <f t="shared" si="18"/>
        <v/>
      </c>
    </row>
    <row r="1239" spans="1:16" ht="14.4">
      <c r="A1239" t="str">
        <f t="shared" si="18"/>
        <v xml:space="preserve">NOTE:     TGSD1 rate class includes the GSD-1, GSDT-1, HLFT-1, SDTR-1A and SDTR-1B rate schedules.  </v>
      </c>
      <c r="B1239" s="301" t="s">
        <v>1002</v>
      </c>
    </row>
    <row r="1240" spans="1:16">
      <c r="A1240" t="str">
        <f t="shared" si="18"/>
        <v xml:space="preserve">                 Customer and Sales lines reflects the total of the aggregated rate schedules.</v>
      </c>
      <c r="B1240" t="s">
        <v>1003</v>
      </c>
    </row>
    <row r="1241" spans="1:16">
      <c r="A1241" t="str">
        <f t="shared" si="18"/>
        <v xml:space="preserve">TGSLD1 Total GSLD(T)-1 General Service Large Demand including TOU (500-1999 kW) </v>
      </c>
      <c r="B1241" t="s">
        <v>995</v>
      </c>
      <c r="C1241" t="s">
        <v>996</v>
      </c>
    </row>
    <row r="1242" spans="1:16">
      <c r="A1242" t="str">
        <f t="shared" si="18"/>
        <v xml:space="preserve">TGSLD1MONTH </v>
      </c>
      <c r="B1242" t="s">
        <v>997</v>
      </c>
      <c r="C1242" t="s">
        <v>123</v>
      </c>
      <c r="D1242" s="4">
        <v>40909</v>
      </c>
      <c r="E1242" s="4">
        <v>40940</v>
      </c>
      <c r="F1242" s="4">
        <v>40969</v>
      </c>
      <c r="G1242" s="4">
        <v>41000</v>
      </c>
      <c r="H1242" s="4">
        <v>41030</v>
      </c>
      <c r="I1242" s="4">
        <v>41061</v>
      </c>
      <c r="J1242" s="4">
        <v>41091</v>
      </c>
      <c r="K1242" s="4">
        <v>41122</v>
      </c>
      <c r="L1242" s="4">
        <v>41153</v>
      </c>
      <c r="M1242" s="4">
        <v>41183</v>
      </c>
      <c r="N1242" s="4">
        <v>41214</v>
      </c>
      <c r="O1242" s="4">
        <v>41244</v>
      </c>
    </row>
    <row r="1243" spans="1:16">
      <c r="A1243" t="str">
        <f t="shared" si="18"/>
        <v xml:space="preserve">TGSLD1CUSTOMERS </v>
      </c>
      <c r="B1243" t="s">
        <v>997</v>
      </c>
      <c r="C1243" t="s">
        <v>124</v>
      </c>
      <c r="D1243">
        <v>3041</v>
      </c>
      <c r="E1243">
        <v>3036</v>
      </c>
      <c r="F1243">
        <v>3048</v>
      </c>
      <c r="G1243">
        <v>3070</v>
      </c>
      <c r="H1243">
        <v>3087</v>
      </c>
      <c r="I1243">
        <v>3094</v>
      </c>
      <c r="J1243">
        <v>3128</v>
      </c>
      <c r="K1243">
        <v>3116</v>
      </c>
      <c r="L1243">
        <v>3082</v>
      </c>
      <c r="M1243">
        <v>3047</v>
      </c>
      <c r="N1243">
        <v>3020</v>
      </c>
      <c r="O1243">
        <v>3021</v>
      </c>
      <c r="P1243" s="91"/>
    </row>
    <row r="1244" spans="1:16">
      <c r="A1244" t="str">
        <f t="shared" si="18"/>
        <v xml:space="preserve">TGSLD1SALES </v>
      </c>
      <c r="B1244" t="s">
        <v>997</v>
      </c>
      <c r="C1244" t="s">
        <v>125</v>
      </c>
      <c r="D1244">
        <v>831493001</v>
      </c>
      <c r="E1244">
        <v>783154242</v>
      </c>
      <c r="F1244">
        <v>813895972</v>
      </c>
      <c r="G1244">
        <v>851542669</v>
      </c>
      <c r="H1244">
        <v>892287663</v>
      </c>
      <c r="I1244">
        <v>934579434</v>
      </c>
      <c r="J1244">
        <v>958209833</v>
      </c>
      <c r="K1244">
        <v>953867445</v>
      </c>
      <c r="L1244">
        <v>957730653</v>
      </c>
      <c r="M1244">
        <v>1001655971</v>
      </c>
      <c r="N1244">
        <v>823077811</v>
      </c>
      <c r="O1244">
        <v>803070920</v>
      </c>
    </row>
    <row r="1245" spans="1:16">
      <c r="A1245" t="str">
        <f t="shared" si="18"/>
        <v>TGSLD1KW</v>
      </c>
      <c r="B1245" t="s">
        <v>997</v>
      </c>
      <c r="C1245" t="s">
        <v>126</v>
      </c>
    </row>
    <row r="1246" spans="1:16">
      <c r="A1246" t="str">
        <f t="shared" si="18"/>
        <v>TGSLD1N</v>
      </c>
      <c r="B1246" t="s">
        <v>997</v>
      </c>
      <c r="C1246" t="s">
        <v>127</v>
      </c>
      <c r="D1246">
        <v>3041</v>
      </c>
      <c r="E1246">
        <v>3036</v>
      </c>
      <c r="F1246">
        <v>3049</v>
      </c>
      <c r="G1246">
        <v>3069</v>
      </c>
      <c r="H1246">
        <v>3086</v>
      </c>
      <c r="I1246">
        <v>3094</v>
      </c>
      <c r="J1246">
        <v>3126</v>
      </c>
      <c r="K1246">
        <v>3114</v>
      </c>
      <c r="L1246">
        <v>3080</v>
      </c>
      <c r="M1246">
        <v>3045</v>
      </c>
      <c r="N1246">
        <v>3019</v>
      </c>
      <c r="O1246">
        <v>3021</v>
      </c>
      <c r="P1246" s="5"/>
    </row>
    <row r="1247" spans="1:16">
      <c r="A1247" t="str">
        <f t="shared" si="18"/>
        <v>TGSLD1RLR ENERGY:</v>
      </c>
      <c r="B1247" t="s">
        <v>997</v>
      </c>
      <c r="C1247" t="s">
        <v>61</v>
      </c>
      <c r="P1247" s="5"/>
    </row>
    <row r="1248" spans="1:16">
      <c r="A1248" t="str">
        <f t="shared" si="18"/>
        <v>TGSLD1KWH</v>
      </c>
      <c r="B1248" t="s">
        <v>997</v>
      </c>
      <c r="C1248" t="s">
        <v>128</v>
      </c>
      <c r="D1248">
        <v>828796952</v>
      </c>
      <c r="E1248">
        <v>783226217</v>
      </c>
      <c r="F1248">
        <v>814454027</v>
      </c>
      <c r="G1248">
        <v>853018446</v>
      </c>
      <c r="H1248">
        <v>890579029</v>
      </c>
      <c r="I1248">
        <v>936367206</v>
      </c>
      <c r="J1248">
        <v>956532603</v>
      </c>
      <c r="K1248">
        <v>953756918</v>
      </c>
      <c r="L1248">
        <v>958249658</v>
      </c>
      <c r="M1248">
        <v>1000828928</v>
      </c>
      <c r="N1248">
        <v>823634345</v>
      </c>
      <c r="O1248">
        <v>805201580</v>
      </c>
    </row>
    <row r="1249" spans="1:16">
      <c r="A1249" t="str">
        <f t="shared" si="18"/>
        <v>TGSLD1KWH ONPK</v>
      </c>
      <c r="B1249" t="s">
        <v>997</v>
      </c>
      <c r="C1249" t="s">
        <v>129</v>
      </c>
      <c r="D1249">
        <v>212130722</v>
      </c>
      <c r="E1249">
        <v>212638593</v>
      </c>
      <c r="F1249">
        <v>214896302</v>
      </c>
      <c r="G1249">
        <v>287728960</v>
      </c>
      <c r="H1249">
        <v>298673159</v>
      </c>
      <c r="I1249">
        <v>303999006</v>
      </c>
      <c r="J1249">
        <v>300533023</v>
      </c>
      <c r="K1249">
        <v>326919868</v>
      </c>
      <c r="L1249">
        <v>290959146</v>
      </c>
      <c r="M1249">
        <v>348480307</v>
      </c>
      <c r="N1249">
        <v>216224436</v>
      </c>
      <c r="O1249">
        <v>197333137</v>
      </c>
      <c r="P1249" s="89"/>
    </row>
    <row r="1250" spans="1:16">
      <c r="A1250" t="str">
        <f t="shared" si="18"/>
        <v>TGSLD1KWH OFFPK</v>
      </c>
      <c r="B1250" t="s">
        <v>997</v>
      </c>
      <c r="C1250" t="s">
        <v>130</v>
      </c>
      <c r="D1250">
        <v>616666230</v>
      </c>
      <c r="E1250">
        <v>570587624</v>
      </c>
      <c r="F1250">
        <v>599557725</v>
      </c>
      <c r="G1250">
        <v>565289486</v>
      </c>
      <c r="H1250">
        <v>591905870</v>
      </c>
      <c r="I1250">
        <v>632368200</v>
      </c>
      <c r="J1250">
        <v>655999579</v>
      </c>
      <c r="K1250">
        <v>626837050</v>
      </c>
      <c r="L1250">
        <v>667290512</v>
      </c>
      <c r="M1250">
        <v>652348621</v>
      </c>
      <c r="N1250">
        <v>607409909</v>
      </c>
      <c r="O1250">
        <v>607868443</v>
      </c>
    </row>
    <row r="1251" spans="1:16">
      <c r="A1251" t="str">
        <f t="shared" si="18"/>
        <v>TGSLD1KWH ONPK%</v>
      </c>
      <c r="B1251" t="s">
        <v>997</v>
      </c>
      <c r="C1251" t="s">
        <v>131</v>
      </c>
      <c r="D1251" s="5">
        <v>0.25595000000000001</v>
      </c>
      <c r="E1251" s="5">
        <v>0.27149000000000001</v>
      </c>
      <c r="F1251" s="5">
        <v>0.26384999999999997</v>
      </c>
      <c r="G1251" s="5">
        <v>0.33731</v>
      </c>
      <c r="H1251" s="5">
        <v>0.33537</v>
      </c>
      <c r="I1251" s="5">
        <v>0.32466</v>
      </c>
      <c r="J1251" s="5">
        <v>0.31419000000000002</v>
      </c>
      <c r="K1251" s="5">
        <v>0.34277000000000002</v>
      </c>
      <c r="L1251" s="5">
        <v>0.30364000000000002</v>
      </c>
      <c r="M1251" s="5">
        <v>0.34819</v>
      </c>
      <c r="N1251" s="5">
        <v>0.26251999999999998</v>
      </c>
      <c r="O1251" s="5">
        <v>0.24507000000000001</v>
      </c>
    </row>
    <row r="1252" spans="1:16">
      <c r="A1252" t="str">
        <f t="shared" si="18"/>
        <v>TGSLD1KWH OFFPK%</v>
      </c>
      <c r="B1252" t="s">
        <v>997</v>
      </c>
      <c r="C1252" t="s">
        <v>132</v>
      </c>
      <c r="D1252" s="5">
        <v>0.74404999999999999</v>
      </c>
      <c r="E1252" s="5">
        <v>0.72850999999999999</v>
      </c>
      <c r="F1252" s="5">
        <v>0.73614999999999997</v>
      </c>
      <c r="G1252" s="5">
        <v>0.66269</v>
      </c>
      <c r="H1252" s="5">
        <v>0.66463000000000005</v>
      </c>
      <c r="I1252" s="5">
        <v>0.67534000000000005</v>
      </c>
      <c r="J1252" s="5">
        <v>0.68581000000000003</v>
      </c>
      <c r="K1252" s="5">
        <v>0.65722999999999998</v>
      </c>
      <c r="L1252" s="5">
        <v>0.69635999999999998</v>
      </c>
      <c r="M1252" s="5">
        <v>0.65181</v>
      </c>
      <c r="N1252" s="5">
        <v>0.73748000000000002</v>
      </c>
      <c r="O1252" s="5">
        <v>0.75492999999999999</v>
      </c>
    </row>
    <row r="1253" spans="1:16">
      <c r="A1253" t="str">
        <f t="shared" si="18"/>
        <v>TGSLD1DEMAND (KW):</v>
      </c>
      <c r="B1253" t="s">
        <v>997</v>
      </c>
      <c r="C1253" t="s">
        <v>62</v>
      </c>
    </row>
    <row r="1254" spans="1:16">
      <c r="A1254" t="str">
        <f t="shared" si="18"/>
        <v>TGSLD1NCP</v>
      </c>
      <c r="B1254" t="s">
        <v>997</v>
      </c>
      <c r="C1254" t="s">
        <v>133</v>
      </c>
      <c r="D1254">
        <v>2098175</v>
      </c>
      <c r="E1254">
        <v>2057824</v>
      </c>
      <c r="F1254">
        <v>2013556</v>
      </c>
      <c r="G1254">
        <v>2150695</v>
      </c>
      <c r="H1254">
        <v>2145826</v>
      </c>
      <c r="I1254">
        <v>2348628</v>
      </c>
      <c r="J1254">
        <v>2239010</v>
      </c>
      <c r="K1254">
        <v>2245256</v>
      </c>
      <c r="L1254">
        <v>2395989</v>
      </c>
      <c r="M1254">
        <v>2438934</v>
      </c>
      <c r="N1254">
        <v>2078698</v>
      </c>
      <c r="O1254">
        <v>2101903</v>
      </c>
      <c r="P1254" s="87"/>
    </row>
    <row r="1255" spans="1:16">
      <c r="A1255" t="str">
        <f t="shared" si="18"/>
        <v>TGSLD1NCP ONPK</v>
      </c>
      <c r="B1255" t="s">
        <v>997</v>
      </c>
      <c r="C1255" t="s">
        <v>134</v>
      </c>
      <c r="D1255">
        <v>1951158</v>
      </c>
      <c r="E1255">
        <v>1895057</v>
      </c>
      <c r="F1255">
        <v>1846535</v>
      </c>
      <c r="G1255">
        <v>2048015</v>
      </c>
      <c r="H1255">
        <v>2036273</v>
      </c>
      <c r="I1255">
        <v>2219523</v>
      </c>
      <c r="J1255">
        <v>2116757</v>
      </c>
      <c r="K1255">
        <v>2115292</v>
      </c>
      <c r="L1255">
        <v>2245160</v>
      </c>
      <c r="M1255">
        <v>2295038</v>
      </c>
      <c r="N1255">
        <v>1919986</v>
      </c>
      <c r="O1255">
        <v>1923268</v>
      </c>
    </row>
    <row r="1256" spans="1:16">
      <c r="A1256" t="str">
        <f t="shared" si="18"/>
        <v>TGSLD1NCP OFFPK</v>
      </c>
      <c r="B1256" t="s">
        <v>997</v>
      </c>
      <c r="C1256" t="s">
        <v>135</v>
      </c>
      <c r="D1256">
        <v>2071262</v>
      </c>
      <c r="E1256">
        <v>2035741</v>
      </c>
      <c r="F1256">
        <v>1996851</v>
      </c>
      <c r="G1256">
        <v>2100739</v>
      </c>
      <c r="H1256">
        <v>2108254</v>
      </c>
      <c r="I1256">
        <v>2316451</v>
      </c>
      <c r="J1256">
        <v>2198448</v>
      </c>
      <c r="K1256">
        <v>2209094</v>
      </c>
      <c r="L1256">
        <v>2356428</v>
      </c>
      <c r="M1256">
        <v>2401814</v>
      </c>
      <c r="N1256">
        <v>2063419</v>
      </c>
      <c r="O1256">
        <v>2090640</v>
      </c>
    </row>
    <row r="1257" spans="1:16">
      <c r="A1257" t="str">
        <f t="shared" si="18"/>
        <v>TGSLD1GCP DATE</v>
      </c>
      <c r="B1257" t="s">
        <v>997</v>
      </c>
      <c r="C1257" t="s">
        <v>136</v>
      </c>
      <c r="D1257" t="s">
        <v>914</v>
      </c>
      <c r="E1257" t="s">
        <v>946</v>
      </c>
      <c r="F1257" t="s">
        <v>23</v>
      </c>
      <c r="G1257" t="s">
        <v>138</v>
      </c>
      <c r="H1257" t="s">
        <v>197</v>
      </c>
      <c r="I1257" t="s">
        <v>139</v>
      </c>
      <c r="J1257" t="s">
        <v>1004</v>
      </c>
      <c r="K1257" t="s">
        <v>188</v>
      </c>
      <c r="L1257" t="s">
        <v>42</v>
      </c>
      <c r="M1257" t="s">
        <v>141</v>
      </c>
      <c r="N1257" t="s">
        <v>59</v>
      </c>
      <c r="O1257" t="s">
        <v>210</v>
      </c>
      <c r="P1257" s="83"/>
    </row>
    <row r="1258" spans="1:16">
      <c r="A1258" t="str">
        <f t="shared" si="18"/>
        <v>TGSLD1GCP TIME</v>
      </c>
      <c r="B1258" t="s">
        <v>997</v>
      </c>
      <c r="C1258" t="s">
        <v>142</v>
      </c>
      <c r="D1258" t="s">
        <v>146</v>
      </c>
      <c r="E1258" t="s">
        <v>143</v>
      </c>
      <c r="F1258" t="s">
        <v>143</v>
      </c>
      <c r="G1258" t="s">
        <v>143</v>
      </c>
      <c r="H1258" t="s">
        <v>146</v>
      </c>
      <c r="I1258" t="s">
        <v>146</v>
      </c>
      <c r="J1258" t="s">
        <v>146</v>
      </c>
      <c r="K1258" t="s">
        <v>146</v>
      </c>
      <c r="L1258" t="s">
        <v>146</v>
      </c>
      <c r="M1258" t="s">
        <v>146</v>
      </c>
      <c r="N1258" t="s">
        <v>143</v>
      </c>
      <c r="O1258" t="s">
        <v>146</v>
      </c>
      <c r="P1258" s="1"/>
    </row>
    <row r="1259" spans="1:16">
      <c r="A1259" t="str">
        <f t="shared" si="18"/>
        <v>TGSLD1GCP</v>
      </c>
      <c r="B1259" t="s">
        <v>997</v>
      </c>
      <c r="C1259" t="s">
        <v>147</v>
      </c>
      <c r="D1259">
        <v>1725139</v>
      </c>
      <c r="E1259">
        <v>1724427</v>
      </c>
      <c r="F1259">
        <v>1687140</v>
      </c>
      <c r="G1259">
        <v>1793507</v>
      </c>
      <c r="H1259">
        <v>1801109</v>
      </c>
      <c r="I1259">
        <v>1929788</v>
      </c>
      <c r="J1259">
        <v>1818688</v>
      </c>
      <c r="K1259">
        <v>1885681</v>
      </c>
      <c r="L1259">
        <v>2013462</v>
      </c>
      <c r="M1259">
        <v>2072336</v>
      </c>
      <c r="N1259">
        <v>1785896</v>
      </c>
      <c r="O1259">
        <v>1836752</v>
      </c>
      <c r="P1259" s="5"/>
    </row>
    <row r="1260" spans="1:16">
      <c r="A1260" t="str">
        <f t="shared" si="18"/>
        <v>TGSLD1GCP ONPK</v>
      </c>
      <c r="B1260" t="s">
        <v>997</v>
      </c>
      <c r="C1260" t="s">
        <v>63</v>
      </c>
      <c r="D1260">
        <v>1576933</v>
      </c>
      <c r="E1260">
        <v>1570366</v>
      </c>
      <c r="F1260">
        <v>1539229</v>
      </c>
      <c r="G1260">
        <v>1793507</v>
      </c>
      <c r="H1260">
        <v>1768430</v>
      </c>
      <c r="I1260">
        <v>1904376</v>
      </c>
      <c r="J1260">
        <v>1804689</v>
      </c>
      <c r="K1260">
        <v>1848623</v>
      </c>
      <c r="L1260">
        <v>1970419</v>
      </c>
      <c r="M1260">
        <v>2044310</v>
      </c>
      <c r="N1260">
        <v>1642605</v>
      </c>
      <c r="O1260">
        <v>1696411</v>
      </c>
      <c r="P1260" s="5"/>
    </row>
    <row r="1261" spans="1:16">
      <c r="A1261" t="str">
        <f t="shared" si="18"/>
        <v>TGSLD1GCP OFFPK</v>
      </c>
      <c r="B1261" t="s">
        <v>997</v>
      </c>
      <c r="C1261" t="s">
        <v>64</v>
      </c>
      <c r="D1261">
        <v>1725139</v>
      </c>
      <c r="E1261">
        <v>1724427</v>
      </c>
      <c r="F1261">
        <v>1687140</v>
      </c>
      <c r="G1261">
        <v>1790967</v>
      </c>
      <c r="H1261">
        <v>1801109</v>
      </c>
      <c r="I1261">
        <v>1929788</v>
      </c>
      <c r="J1261">
        <v>1818688</v>
      </c>
      <c r="K1261">
        <v>1885681</v>
      </c>
      <c r="L1261">
        <v>2013462</v>
      </c>
      <c r="M1261">
        <v>2072336</v>
      </c>
      <c r="N1261">
        <v>1785896</v>
      </c>
      <c r="O1261">
        <v>1836752</v>
      </c>
      <c r="P1261" s="5"/>
    </row>
    <row r="1262" spans="1:16">
      <c r="A1262" t="str">
        <f t="shared" si="18"/>
        <v>TGSLD1CP</v>
      </c>
      <c r="B1262" t="s">
        <v>997</v>
      </c>
      <c r="C1262" t="s">
        <v>148</v>
      </c>
      <c r="D1262">
        <v>1182438</v>
      </c>
      <c r="E1262">
        <v>1655413</v>
      </c>
      <c r="F1262">
        <v>1495588</v>
      </c>
      <c r="G1262">
        <v>1617606</v>
      </c>
      <c r="H1262">
        <v>1646599</v>
      </c>
      <c r="I1262">
        <v>1794378</v>
      </c>
      <c r="J1262">
        <v>1742336</v>
      </c>
      <c r="K1262">
        <v>1673753</v>
      </c>
      <c r="L1262">
        <v>1333428</v>
      </c>
      <c r="M1262">
        <v>1924923</v>
      </c>
      <c r="N1262">
        <v>1384398</v>
      </c>
      <c r="O1262">
        <v>1496608</v>
      </c>
      <c r="P1262" s="5"/>
    </row>
    <row r="1263" spans="1:16">
      <c r="A1263" t="str">
        <f t="shared" si="18"/>
        <v>TGSLD1PERIOD START</v>
      </c>
      <c r="B1263" t="s">
        <v>997</v>
      </c>
      <c r="C1263" t="s">
        <v>149</v>
      </c>
      <c r="D1263" s="1">
        <v>40909</v>
      </c>
      <c r="E1263" s="1">
        <v>40940</v>
      </c>
      <c r="F1263" s="1">
        <v>40969</v>
      </c>
      <c r="G1263" s="1">
        <v>41000</v>
      </c>
      <c r="H1263" s="1">
        <v>41030</v>
      </c>
      <c r="I1263" s="1">
        <v>41061</v>
      </c>
      <c r="J1263" s="1">
        <v>41091</v>
      </c>
      <c r="K1263" s="1">
        <v>41122</v>
      </c>
      <c r="L1263" s="1">
        <v>41153</v>
      </c>
      <c r="M1263" s="1">
        <v>41183</v>
      </c>
      <c r="N1263" s="1">
        <v>41214</v>
      </c>
      <c r="O1263" s="1">
        <v>41244</v>
      </c>
      <c r="P1263" s="5"/>
    </row>
    <row r="1264" spans="1:16">
      <c r="A1264" t="str">
        <f t="shared" si="18"/>
        <v>TGSLD1NCP LF</v>
      </c>
      <c r="B1264" t="s">
        <v>997</v>
      </c>
      <c r="C1264" t="s">
        <v>150</v>
      </c>
      <c r="D1264" s="5">
        <v>0.53090000000000004</v>
      </c>
      <c r="E1264" s="5">
        <v>0.54690000000000005</v>
      </c>
      <c r="F1264" s="5">
        <v>0.54369999999999996</v>
      </c>
      <c r="G1264" s="5">
        <v>0.55089999999999995</v>
      </c>
      <c r="H1264" s="5">
        <v>0.55779999999999996</v>
      </c>
      <c r="I1264" s="5">
        <v>0.55369999999999997</v>
      </c>
      <c r="J1264" s="5">
        <v>0.57420000000000004</v>
      </c>
      <c r="K1264" s="5">
        <v>0.57099999999999995</v>
      </c>
      <c r="L1264" s="5">
        <v>0.55549999999999999</v>
      </c>
      <c r="M1264" s="5">
        <v>0.55159999999999998</v>
      </c>
      <c r="N1264" s="5">
        <v>0.55030000000000001</v>
      </c>
      <c r="O1264" s="5">
        <v>0.51490000000000002</v>
      </c>
      <c r="P1264" s="5"/>
    </row>
    <row r="1265" spans="1:16">
      <c r="A1265" t="str">
        <f t="shared" si="18"/>
        <v>TGSLD1NCP LF ONPK</v>
      </c>
      <c r="B1265" t="s">
        <v>997</v>
      </c>
      <c r="C1265" t="s">
        <v>151</v>
      </c>
      <c r="D1265" s="5">
        <v>0</v>
      </c>
      <c r="E1265" s="5">
        <v>0</v>
      </c>
      <c r="F1265" s="5">
        <v>0</v>
      </c>
      <c r="G1265" s="5">
        <v>0</v>
      </c>
      <c r="H1265" s="5">
        <v>0</v>
      </c>
      <c r="I1265" s="5">
        <v>0</v>
      </c>
      <c r="J1265" s="5">
        <v>0</v>
      </c>
      <c r="K1265" s="5">
        <v>0</v>
      </c>
      <c r="L1265" s="5">
        <v>0</v>
      </c>
      <c r="M1265" s="5">
        <v>0</v>
      </c>
      <c r="N1265" s="5">
        <v>0</v>
      </c>
      <c r="O1265" s="5">
        <v>0</v>
      </c>
      <c r="P1265" s="5"/>
    </row>
    <row r="1266" spans="1:16">
      <c r="A1266" t="str">
        <f t="shared" si="18"/>
        <v>TGSLD1NCP LF OFFPK</v>
      </c>
      <c r="B1266" t="s">
        <v>997</v>
      </c>
      <c r="C1266" t="s">
        <v>152</v>
      </c>
      <c r="D1266" s="5">
        <v>0</v>
      </c>
      <c r="E1266" s="5">
        <v>0</v>
      </c>
      <c r="F1266" s="5">
        <v>0</v>
      </c>
      <c r="G1266" s="5">
        <v>0</v>
      </c>
      <c r="H1266" s="5">
        <v>0</v>
      </c>
      <c r="I1266" s="5">
        <v>0</v>
      </c>
      <c r="J1266" s="5">
        <v>0</v>
      </c>
      <c r="K1266" s="5">
        <v>0</v>
      </c>
      <c r="L1266" s="5">
        <v>0</v>
      </c>
      <c r="M1266" s="5">
        <v>0</v>
      </c>
      <c r="N1266" s="5">
        <v>0</v>
      </c>
      <c r="O1266" s="5">
        <v>0</v>
      </c>
      <c r="P1266" s="5"/>
    </row>
    <row r="1267" spans="1:16">
      <c r="A1267" t="str">
        <f t="shared" si="18"/>
        <v>TGSLD1GCP CF</v>
      </c>
      <c r="B1267" t="s">
        <v>997</v>
      </c>
      <c r="C1267" t="s">
        <v>153</v>
      </c>
      <c r="D1267" s="5">
        <v>0.82220000000000004</v>
      </c>
      <c r="E1267" s="5">
        <v>0.83799999999999997</v>
      </c>
      <c r="F1267" s="5">
        <v>0.83789999999999998</v>
      </c>
      <c r="G1267" s="5">
        <v>0.83389999999999997</v>
      </c>
      <c r="H1267" s="5">
        <v>0.83940000000000003</v>
      </c>
      <c r="I1267" s="5">
        <v>0.82169999999999999</v>
      </c>
      <c r="J1267" s="5">
        <v>0.81230000000000002</v>
      </c>
      <c r="K1267" s="5">
        <v>0.83989999999999998</v>
      </c>
      <c r="L1267" s="5">
        <v>0.84030000000000005</v>
      </c>
      <c r="M1267" s="5">
        <v>0.84970000000000001</v>
      </c>
      <c r="N1267" s="5">
        <v>0.85909999999999997</v>
      </c>
      <c r="O1267" s="5">
        <v>0.87390000000000001</v>
      </c>
      <c r="P1267" s="5"/>
    </row>
    <row r="1268" spans="1:16">
      <c r="A1268" t="str">
        <f t="shared" si="18"/>
        <v>TGSLD1CP CF</v>
      </c>
      <c r="B1268" t="s">
        <v>997</v>
      </c>
      <c r="C1268" t="s">
        <v>154</v>
      </c>
      <c r="D1268" s="5">
        <v>0.56359999999999999</v>
      </c>
      <c r="E1268" s="5">
        <v>0.8044</v>
      </c>
      <c r="F1268" s="5">
        <v>0.74280000000000002</v>
      </c>
      <c r="G1268" s="5">
        <v>0.75209999999999999</v>
      </c>
      <c r="H1268" s="5">
        <v>0.76729999999999998</v>
      </c>
      <c r="I1268" s="5">
        <v>0.76400000000000001</v>
      </c>
      <c r="J1268" s="5">
        <v>0.7782</v>
      </c>
      <c r="K1268" s="5">
        <v>0.74550000000000005</v>
      </c>
      <c r="L1268" s="5">
        <v>0.55649999999999999</v>
      </c>
      <c r="M1268" s="5">
        <v>0.78920000000000001</v>
      </c>
      <c r="N1268" s="5">
        <v>0.66600000000000004</v>
      </c>
      <c r="O1268" s="5">
        <v>0.71199999999999997</v>
      </c>
    </row>
    <row r="1269" spans="1:16">
      <c r="A1269" t="str">
        <f t="shared" si="18"/>
        <v>TGSLD1GCP LF</v>
      </c>
      <c r="B1269" t="s">
        <v>997</v>
      </c>
      <c r="C1269" t="s">
        <v>155</v>
      </c>
      <c r="D1269" s="5">
        <v>0.64570000000000005</v>
      </c>
      <c r="E1269" s="5">
        <v>0.65259999999999996</v>
      </c>
      <c r="F1269" s="5">
        <v>0.64880000000000004</v>
      </c>
      <c r="G1269" s="5">
        <v>0.66059999999999997</v>
      </c>
      <c r="H1269" s="5">
        <v>0.66459999999999997</v>
      </c>
      <c r="I1269" s="5">
        <v>0.67390000000000005</v>
      </c>
      <c r="J1269" s="5">
        <v>0.70689999999999997</v>
      </c>
      <c r="K1269" s="5">
        <v>0.67979999999999996</v>
      </c>
      <c r="L1269" s="5">
        <v>0.66100000000000003</v>
      </c>
      <c r="M1269" s="5">
        <v>0.64910000000000001</v>
      </c>
      <c r="N1269" s="5">
        <v>0.64049999999999996</v>
      </c>
      <c r="O1269" s="5">
        <v>0.58919999999999995</v>
      </c>
      <c r="P1269" s="5"/>
    </row>
    <row r="1270" spans="1:16">
      <c r="A1270" t="str">
        <f t="shared" ref="A1270:A1333" si="19">B1270&amp;C1270</f>
        <v>TGSLD1GCP LF ONPK</v>
      </c>
      <c r="B1270" t="s">
        <v>997</v>
      </c>
      <c r="C1270" t="s">
        <v>156</v>
      </c>
      <c r="D1270" s="5">
        <v>0</v>
      </c>
      <c r="E1270" s="5">
        <v>0</v>
      </c>
      <c r="F1270" s="5">
        <v>0</v>
      </c>
      <c r="G1270" s="5">
        <v>0</v>
      </c>
      <c r="H1270" s="5">
        <v>0</v>
      </c>
      <c r="I1270" s="5">
        <v>0</v>
      </c>
      <c r="J1270" s="5">
        <v>0</v>
      </c>
      <c r="K1270" s="5">
        <v>0</v>
      </c>
      <c r="L1270" s="5">
        <v>0</v>
      </c>
      <c r="M1270" s="5">
        <v>0</v>
      </c>
      <c r="N1270" s="5">
        <v>0</v>
      </c>
      <c r="O1270" s="5">
        <v>0</v>
      </c>
      <c r="P1270" s="5"/>
    </row>
    <row r="1271" spans="1:16">
      <c r="A1271" t="str">
        <f t="shared" si="19"/>
        <v>TGSLD1GCP LF OFFPK</v>
      </c>
      <c r="B1271" t="s">
        <v>997</v>
      </c>
      <c r="C1271" t="s">
        <v>157</v>
      </c>
      <c r="D1271" s="5">
        <v>0</v>
      </c>
      <c r="E1271" s="5">
        <v>0</v>
      </c>
      <c r="F1271" s="5">
        <v>0</v>
      </c>
      <c r="G1271" s="5">
        <v>0</v>
      </c>
      <c r="H1271" s="5">
        <v>0</v>
      </c>
      <c r="I1271" s="5">
        <v>0</v>
      </c>
      <c r="J1271" s="5">
        <v>0</v>
      </c>
      <c r="K1271" s="5">
        <v>0</v>
      </c>
      <c r="L1271" s="5">
        <v>0</v>
      </c>
      <c r="M1271" s="5">
        <v>0</v>
      </c>
      <c r="N1271" s="5">
        <v>0</v>
      </c>
      <c r="O1271" s="5">
        <v>0</v>
      </c>
      <c r="P1271" s="5"/>
    </row>
    <row r="1272" spans="1:16">
      <c r="A1272" t="str">
        <f t="shared" si="19"/>
        <v>TGSLD1CP LF</v>
      </c>
      <c r="B1272" t="s">
        <v>997</v>
      </c>
      <c r="C1272" t="s">
        <v>158</v>
      </c>
      <c r="D1272" s="5">
        <v>0.94210000000000005</v>
      </c>
      <c r="E1272" s="5">
        <v>0.67979999999999996</v>
      </c>
      <c r="F1272" s="5">
        <v>0.73199999999999998</v>
      </c>
      <c r="G1272" s="5">
        <v>0.73240000000000005</v>
      </c>
      <c r="H1272" s="5">
        <v>0.72699999999999998</v>
      </c>
      <c r="I1272" s="5">
        <v>0.7248</v>
      </c>
      <c r="J1272" s="5">
        <v>0.7379</v>
      </c>
      <c r="K1272" s="5">
        <v>0.76590000000000003</v>
      </c>
      <c r="L1272" s="5">
        <v>0.99809999999999999</v>
      </c>
      <c r="M1272" s="5">
        <v>0.69879999999999998</v>
      </c>
      <c r="N1272" s="5">
        <v>0.82630000000000003</v>
      </c>
      <c r="O1272" s="5">
        <v>0.72309999999999997</v>
      </c>
      <c r="P1272" s="5"/>
    </row>
    <row r="1273" spans="1:16">
      <c r="A1273" t="str">
        <f t="shared" si="19"/>
        <v>TGSLD1REL PREC:</v>
      </c>
      <c r="B1273" t="s">
        <v>997</v>
      </c>
      <c r="C1273" t="s">
        <v>65</v>
      </c>
      <c r="P1273" s="5"/>
    </row>
    <row r="1274" spans="1:16">
      <c r="A1274" t="str">
        <f t="shared" si="19"/>
        <v>TGSLD1NCP RP</v>
      </c>
      <c r="B1274" t="s">
        <v>997</v>
      </c>
      <c r="C1274" t="s">
        <v>159</v>
      </c>
      <c r="D1274" s="5">
        <v>2.3300000000000001E-2</v>
      </c>
      <c r="E1274" s="5">
        <v>2.4E-2</v>
      </c>
      <c r="F1274" s="5">
        <v>2.64E-2</v>
      </c>
      <c r="G1274" s="5">
        <v>2.4E-2</v>
      </c>
      <c r="H1274" s="5">
        <v>2.5600000000000001E-2</v>
      </c>
      <c r="I1274" s="5">
        <v>2.4799999999999999E-2</v>
      </c>
      <c r="J1274" s="5">
        <v>2.5399999999999999E-2</v>
      </c>
      <c r="K1274" s="5">
        <v>2.6499999999999999E-2</v>
      </c>
      <c r="L1274" s="5">
        <v>2.4799999999999999E-2</v>
      </c>
      <c r="M1274" s="5">
        <v>2.23E-2</v>
      </c>
      <c r="N1274" s="5">
        <v>2.29E-2</v>
      </c>
      <c r="O1274" s="5">
        <v>2.4799999999999999E-2</v>
      </c>
      <c r="P1274" s="5"/>
    </row>
    <row r="1275" spans="1:16">
      <c r="A1275" t="str">
        <f t="shared" si="19"/>
        <v>TGSLD1NCP RP ONPK</v>
      </c>
      <c r="B1275" t="s">
        <v>997</v>
      </c>
      <c r="C1275" t="s">
        <v>160</v>
      </c>
      <c r="D1275" s="5">
        <v>2.18E-2</v>
      </c>
      <c r="E1275" s="5">
        <v>2.1700000000000001E-2</v>
      </c>
      <c r="F1275" s="5">
        <v>2.41E-2</v>
      </c>
      <c r="G1275" s="5">
        <v>2.1600000000000001E-2</v>
      </c>
      <c r="H1275" s="5">
        <v>2.3900000000000001E-2</v>
      </c>
      <c r="I1275" s="5">
        <v>2.1299999999999999E-2</v>
      </c>
      <c r="J1275" s="5">
        <v>2.1700000000000001E-2</v>
      </c>
      <c r="K1275" s="5">
        <v>2.29E-2</v>
      </c>
      <c r="L1275" s="5">
        <v>2.18E-2</v>
      </c>
      <c r="M1275" s="5">
        <v>2.0299999999999999E-2</v>
      </c>
      <c r="N1275" s="5">
        <v>1.8800000000000001E-2</v>
      </c>
      <c r="O1275" s="5">
        <v>2.2100000000000002E-2</v>
      </c>
      <c r="P1275" s="5"/>
    </row>
    <row r="1276" spans="1:16">
      <c r="A1276" t="str">
        <f t="shared" si="19"/>
        <v>TGSLD1NCP RP OFFPK</v>
      </c>
      <c r="B1276" t="s">
        <v>997</v>
      </c>
      <c r="C1276" t="s">
        <v>161</v>
      </c>
      <c r="D1276" s="5">
        <v>2.29E-2</v>
      </c>
      <c r="E1276" s="5">
        <v>2.3300000000000001E-2</v>
      </c>
      <c r="F1276" s="5">
        <v>2.58E-2</v>
      </c>
      <c r="G1276" s="5">
        <v>2.4199999999999999E-2</v>
      </c>
      <c r="H1276" s="5">
        <v>2.6499999999999999E-2</v>
      </c>
      <c r="I1276" s="5">
        <v>2.52E-2</v>
      </c>
      <c r="J1276" s="5">
        <v>2.5999999999999999E-2</v>
      </c>
      <c r="K1276" s="5">
        <v>2.7099999999999999E-2</v>
      </c>
      <c r="L1276" s="5">
        <v>2.5399999999999999E-2</v>
      </c>
      <c r="M1276" s="5">
        <v>2.2700000000000001E-2</v>
      </c>
      <c r="N1276" s="5">
        <v>2.3099999999999999E-2</v>
      </c>
      <c r="O1276" s="5">
        <v>2.4799999999999999E-2</v>
      </c>
    </row>
    <row r="1277" spans="1:16">
      <c r="A1277" t="str">
        <f t="shared" si="19"/>
        <v>TGSLD1GCP RP</v>
      </c>
      <c r="B1277" t="s">
        <v>997</v>
      </c>
      <c r="C1277" t="s">
        <v>162</v>
      </c>
      <c r="D1277" s="5">
        <v>2.3800000000000002E-2</v>
      </c>
      <c r="E1277" s="5">
        <v>2.35E-2</v>
      </c>
      <c r="F1277" s="5">
        <v>2.5999999999999999E-2</v>
      </c>
      <c r="G1277" s="5">
        <v>2.1700000000000001E-2</v>
      </c>
      <c r="H1277" s="5">
        <v>2.64E-2</v>
      </c>
      <c r="I1277" s="5">
        <v>2.4299999999999999E-2</v>
      </c>
      <c r="J1277" s="5">
        <v>2.5100000000000001E-2</v>
      </c>
      <c r="K1277" s="5">
        <v>2.58E-2</v>
      </c>
      <c r="L1277" s="5">
        <v>2.4500000000000001E-2</v>
      </c>
      <c r="M1277" s="5">
        <v>2.1000000000000001E-2</v>
      </c>
      <c r="N1277" s="5">
        <v>2.3199999999999998E-2</v>
      </c>
      <c r="O1277" s="5">
        <v>2.7199999999999998E-2</v>
      </c>
    </row>
    <row r="1278" spans="1:16">
      <c r="A1278" t="str">
        <f t="shared" si="19"/>
        <v>TGSLD1GCP RP ONPK</v>
      </c>
      <c r="B1278" t="s">
        <v>997</v>
      </c>
      <c r="C1278" t="s">
        <v>163</v>
      </c>
      <c r="D1278" s="5">
        <v>2.4899999999999999E-2</v>
      </c>
      <c r="E1278" s="5">
        <v>2.1899999999999999E-2</v>
      </c>
      <c r="F1278" s="5">
        <v>2.3699999999999999E-2</v>
      </c>
      <c r="G1278" s="5">
        <v>2.1700000000000001E-2</v>
      </c>
      <c r="H1278" s="5">
        <v>2.64E-2</v>
      </c>
      <c r="I1278" s="5">
        <v>2.4500000000000001E-2</v>
      </c>
      <c r="J1278" s="5">
        <v>2.1999999999999999E-2</v>
      </c>
      <c r="K1278" s="5">
        <v>2.47E-2</v>
      </c>
      <c r="L1278" s="5">
        <v>2.3099999999999999E-2</v>
      </c>
      <c r="M1278" s="5">
        <v>1.9800000000000002E-2</v>
      </c>
      <c r="N1278" s="5">
        <v>2.2800000000000001E-2</v>
      </c>
      <c r="O1278" s="5">
        <v>2.69E-2</v>
      </c>
    </row>
    <row r="1279" spans="1:16">
      <c r="A1279" t="str">
        <f t="shared" si="19"/>
        <v>TGSLD1GCP RP OFFPK</v>
      </c>
      <c r="B1279" t="s">
        <v>997</v>
      </c>
      <c r="C1279" t="s">
        <v>164</v>
      </c>
      <c r="D1279" s="5">
        <v>2.3800000000000002E-2</v>
      </c>
      <c r="E1279" s="5">
        <v>2.35E-2</v>
      </c>
      <c r="F1279" s="5">
        <v>2.5999999999999999E-2</v>
      </c>
      <c r="G1279" s="5">
        <v>2.3900000000000001E-2</v>
      </c>
      <c r="H1279" s="5">
        <v>2.64E-2</v>
      </c>
      <c r="I1279" s="5">
        <v>2.4299999999999999E-2</v>
      </c>
      <c r="J1279" s="5">
        <v>2.5100000000000001E-2</v>
      </c>
      <c r="K1279" s="5">
        <v>2.58E-2</v>
      </c>
      <c r="L1279" s="5">
        <v>2.4500000000000001E-2</v>
      </c>
      <c r="M1279" s="5">
        <v>2.1000000000000001E-2</v>
      </c>
      <c r="N1279" s="5">
        <v>2.3199999999999998E-2</v>
      </c>
      <c r="O1279" s="5">
        <v>2.7199999999999998E-2</v>
      </c>
    </row>
    <row r="1280" spans="1:16">
      <c r="A1280" t="str">
        <f t="shared" si="19"/>
        <v>TGSLD1CP RP</v>
      </c>
      <c r="B1280" t="s">
        <v>997</v>
      </c>
      <c r="C1280" t="s">
        <v>165</v>
      </c>
      <c r="D1280" s="5">
        <v>3.5799999999999998E-2</v>
      </c>
      <c r="E1280" s="5">
        <v>2.1000000000000001E-2</v>
      </c>
      <c r="F1280" s="5">
        <v>2.23E-2</v>
      </c>
      <c r="G1280" s="5">
        <v>0.02</v>
      </c>
      <c r="H1280" s="5">
        <v>2.29E-2</v>
      </c>
      <c r="I1280" s="5">
        <v>2.1999999999999999E-2</v>
      </c>
      <c r="J1280" s="5">
        <v>2.2499999999999999E-2</v>
      </c>
      <c r="K1280" s="5">
        <v>2.3E-2</v>
      </c>
      <c r="L1280" s="5">
        <v>3.8399999999999997E-2</v>
      </c>
      <c r="M1280" s="5">
        <v>1.9599999999999999E-2</v>
      </c>
      <c r="N1280" s="5">
        <v>2.7300000000000001E-2</v>
      </c>
      <c r="O1280" s="5">
        <v>2.1700000000000001E-2</v>
      </c>
    </row>
    <row r="1281" spans="1:16">
      <c r="A1281" t="str">
        <f t="shared" si="19"/>
        <v>TGSLD1SAMPLE SIZE:</v>
      </c>
      <c r="B1281" t="s">
        <v>997</v>
      </c>
      <c r="C1281" t="s">
        <v>66</v>
      </c>
    </row>
    <row r="1282" spans="1:16">
      <c r="A1282" t="str">
        <f t="shared" si="19"/>
        <v>TGSLD1GCPSZ</v>
      </c>
      <c r="B1282" t="s">
        <v>997</v>
      </c>
      <c r="C1282" t="s">
        <v>166</v>
      </c>
      <c r="D1282">
        <v>624</v>
      </c>
      <c r="E1282">
        <v>626</v>
      </c>
      <c r="F1282">
        <v>625</v>
      </c>
      <c r="G1282">
        <v>623</v>
      </c>
      <c r="H1282">
        <v>627</v>
      </c>
      <c r="I1282">
        <v>626</v>
      </c>
      <c r="J1282">
        <v>627</v>
      </c>
      <c r="K1282">
        <v>621</v>
      </c>
      <c r="L1282">
        <v>614</v>
      </c>
      <c r="M1282">
        <v>614</v>
      </c>
      <c r="N1282">
        <v>627</v>
      </c>
      <c r="O1282">
        <v>629</v>
      </c>
    </row>
    <row r="1283" spans="1:16">
      <c r="A1283" t="str">
        <f t="shared" si="19"/>
        <v>TGSLD1GCPSZ ONPK</v>
      </c>
      <c r="B1283" t="s">
        <v>997</v>
      </c>
      <c r="C1283" t="s">
        <v>167</v>
      </c>
      <c r="D1283">
        <v>624</v>
      </c>
      <c r="E1283">
        <v>626</v>
      </c>
      <c r="F1283">
        <v>625</v>
      </c>
      <c r="G1283">
        <v>623</v>
      </c>
      <c r="H1283">
        <v>627</v>
      </c>
      <c r="I1283">
        <v>626</v>
      </c>
      <c r="J1283">
        <v>626</v>
      </c>
      <c r="K1283">
        <v>622</v>
      </c>
      <c r="L1283">
        <v>614</v>
      </c>
      <c r="M1283">
        <v>614</v>
      </c>
      <c r="N1283">
        <v>627</v>
      </c>
      <c r="O1283">
        <v>629</v>
      </c>
      <c r="P1283" s="4"/>
    </row>
    <row r="1284" spans="1:16">
      <c r="A1284" t="str">
        <f t="shared" si="19"/>
        <v>TGSLD1GCPSZ OFFPK</v>
      </c>
      <c r="B1284" t="s">
        <v>997</v>
      </c>
      <c r="C1284" t="s">
        <v>168</v>
      </c>
      <c r="D1284">
        <v>624</v>
      </c>
      <c r="E1284">
        <v>626</v>
      </c>
      <c r="F1284">
        <v>625</v>
      </c>
      <c r="G1284">
        <v>623</v>
      </c>
      <c r="H1284">
        <v>627</v>
      </c>
      <c r="I1284">
        <v>626</v>
      </c>
      <c r="J1284">
        <v>627</v>
      </c>
      <c r="K1284">
        <v>621</v>
      </c>
      <c r="L1284">
        <v>614</v>
      </c>
      <c r="M1284">
        <v>614</v>
      </c>
      <c r="N1284">
        <v>627</v>
      </c>
      <c r="O1284">
        <v>629</v>
      </c>
    </row>
    <row r="1285" spans="1:16">
      <c r="A1285" t="str">
        <f t="shared" si="19"/>
        <v>TGSLD1CPSZ</v>
      </c>
      <c r="B1285" t="s">
        <v>997</v>
      </c>
      <c r="C1285" t="s">
        <v>169</v>
      </c>
      <c r="D1285">
        <v>624</v>
      </c>
      <c r="E1285">
        <v>626</v>
      </c>
      <c r="F1285">
        <v>625</v>
      </c>
      <c r="G1285">
        <v>623</v>
      </c>
      <c r="H1285">
        <v>627</v>
      </c>
      <c r="I1285">
        <v>626</v>
      </c>
      <c r="J1285">
        <v>627</v>
      </c>
      <c r="K1285">
        <v>622</v>
      </c>
      <c r="L1285">
        <v>615</v>
      </c>
      <c r="M1285">
        <v>614</v>
      </c>
      <c r="N1285">
        <v>627</v>
      </c>
      <c r="O1285">
        <v>629</v>
      </c>
    </row>
    <row r="1286" spans="1:16">
      <c r="A1286" t="str">
        <f t="shared" si="19"/>
        <v/>
      </c>
    </row>
    <row r="1287" spans="1:16">
      <c r="A1287" t="str">
        <f t="shared" si="19"/>
        <v/>
      </c>
    </row>
    <row r="1288" spans="1:16">
      <c r="A1288" t="str">
        <f t="shared" si="19"/>
        <v/>
      </c>
    </row>
    <row r="1289" spans="1:16">
      <c r="A1289" t="str">
        <f t="shared" si="19"/>
        <v/>
      </c>
    </row>
    <row r="1290" spans="1:16">
      <c r="A1290" t="str">
        <f t="shared" si="19"/>
        <v/>
      </c>
    </row>
    <row r="1291" spans="1:16">
      <c r="A1291" t="str">
        <f t="shared" si="19"/>
        <v/>
      </c>
    </row>
    <row r="1292" spans="1:16">
      <c r="A1292" t="str">
        <f t="shared" si="19"/>
        <v/>
      </c>
    </row>
    <row r="1293" spans="1:16" ht="14.4">
      <c r="A1293" t="str">
        <f t="shared" si="19"/>
        <v xml:space="preserve">NOTE:     TGSLD1 rate class includes the GSLD-1, GSLDT-1, CS-1, CST-1, HLFT-2, SDTR-2A and SDTR-2B rate schedules.  </v>
      </c>
      <c r="B1293" s="301" t="s">
        <v>1005</v>
      </c>
    </row>
    <row r="1294" spans="1:16">
      <c r="A1294" t="str">
        <f t="shared" si="19"/>
        <v xml:space="preserve">                 Customer and Sales lines reflects the total of the aggregated rate schedules.</v>
      </c>
      <c r="B1294" t="s">
        <v>1003</v>
      </c>
    </row>
    <row r="1295" spans="1:16">
      <c r="A1295" t="str">
        <f t="shared" si="19"/>
        <v xml:space="preserve">TGSLD2 Total GSLD(T)-2 General Service Large Demand 2 including TOU (2000+ KW) </v>
      </c>
      <c r="B1295" t="s">
        <v>711</v>
      </c>
      <c r="C1295" t="s">
        <v>712</v>
      </c>
    </row>
    <row r="1296" spans="1:16">
      <c r="A1296" t="str">
        <f t="shared" si="19"/>
        <v xml:space="preserve">TGSLD2MONTH </v>
      </c>
      <c r="B1296" t="s">
        <v>713</v>
      </c>
      <c r="C1296" t="s">
        <v>123</v>
      </c>
      <c r="D1296" s="4">
        <v>40909</v>
      </c>
      <c r="E1296" s="4">
        <v>40940</v>
      </c>
      <c r="F1296" s="4">
        <v>40969</v>
      </c>
      <c r="G1296" s="4">
        <v>41000</v>
      </c>
      <c r="H1296" s="4">
        <v>41030</v>
      </c>
      <c r="I1296" s="4">
        <v>41061</v>
      </c>
      <c r="J1296" s="4">
        <v>41091</v>
      </c>
      <c r="K1296" s="4">
        <v>41122</v>
      </c>
      <c r="L1296" s="4">
        <v>41153</v>
      </c>
      <c r="M1296" s="4">
        <v>41183</v>
      </c>
      <c r="N1296" s="4">
        <v>41214</v>
      </c>
      <c r="O1296" s="4">
        <v>41244</v>
      </c>
    </row>
    <row r="1297" spans="1:16">
      <c r="A1297" t="str">
        <f t="shared" si="19"/>
        <v xml:space="preserve">TGSLD2CUSTOMERS </v>
      </c>
      <c r="B1297" t="s">
        <v>713</v>
      </c>
      <c r="C1297" t="s">
        <v>124</v>
      </c>
      <c r="D1297">
        <v>148</v>
      </c>
      <c r="E1297">
        <v>148</v>
      </c>
      <c r="F1297">
        <v>150</v>
      </c>
      <c r="G1297">
        <v>150</v>
      </c>
      <c r="H1297">
        <v>150</v>
      </c>
      <c r="I1297">
        <v>149</v>
      </c>
      <c r="J1297">
        <v>151</v>
      </c>
      <c r="K1297">
        <v>152</v>
      </c>
      <c r="L1297">
        <v>152</v>
      </c>
      <c r="M1297">
        <v>152</v>
      </c>
      <c r="N1297">
        <v>151</v>
      </c>
      <c r="O1297">
        <v>151</v>
      </c>
    </row>
    <row r="1298" spans="1:16">
      <c r="A1298" t="str">
        <f t="shared" si="19"/>
        <v xml:space="preserve">TGSLD2SALES </v>
      </c>
      <c r="B1298" t="s">
        <v>713</v>
      </c>
      <c r="C1298" t="s">
        <v>125</v>
      </c>
      <c r="D1298">
        <v>194803226</v>
      </c>
      <c r="E1298">
        <v>181878714</v>
      </c>
      <c r="F1298">
        <v>189246133</v>
      </c>
      <c r="G1298">
        <v>204179526</v>
      </c>
      <c r="H1298">
        <v>203503740</v>
      </c>
      <c r="I1298">
        <v>216001141</v>
      </c>
      <c r="J1298">
        <v>223237092</v>
      </c>
      <c r="K1298">
        <v>223006500</v>
      </c>
      <c r="L1298">
        <v>221201781</v>
      </c>
      <c r="M1298">
        <v>217472075</v>
      </c>
      <c r="N1298">
        <v>194714536</v>
      </c>
      <c r="O1298">
        <v>189438056</v>
      </c>
    </row>
    <row r="1299" spans="1:16">
      <c r="A1299" t="str">
        <f t="shared" si="19"/>
        <v>TGSLD2KW</v>
      </c>
      <c r="B1299" t="s">
        <v>713</v>
      </c>
      <c r="C1299" t="s">
        <v>126</v>
      </c>
    </row>
    <row r="1300" spans="1:16">
      <c r="A1300" t="str">
        <f t="shared" si="19"/>
        <v>TGSLD2N</v>
      </c>
      <c r="B1300" t="s">
        <v>713</v>
      </c>
      <c r="C1300" t="s">
        <v>127</v>
      </c>
      <c r="D1300">
        <v>148</v>
      </c>
      <c r="E1300">
        <v>148</v>
      </c>
      <c r="F1300">
        <v>150</v>
      </c>
      <c r="G1300">
        <v>150</v>
      </c>
      <c r="H1300">
        <v>150</v>
      </c>
      <c r="I1300">
        <v>150</v>
      </c>
      <c r="J1300">
        <v>151</v>
      </c>
      <c r="K1300">
        <v>152</v>
      </c>
      <c r="L1300">
        <v>152</v>
      </c>
      <c r="M1300">
        <v>152</v>
      </c>
      <c r="N1300">
        <v>151</v>
      </c>
      <c r="O1300">
        <v>151</v>
      </c>
    </row>
    <row r="1301" spans="1:16">
      <c r="A1301" t="str">
        <f t="shared" si="19"/>
        <v>TGSLD2RLR ENERGY:</v>
      </c>
      <c r="B1301" t="s">
        <v>713</v>
      </c>
      <c r="C1301" t="s">
        <v>61</v>
      </c>
    </row>
    <row r="1302" spans="1:16">
      <c r="A1302" t="str">
        <f t="shared" si="19"/>
        <v>TGSLD2KWH</v>
      </c>
      <c r="B1302" t="s">
        <v>713</v>
      </c>
      <c r="C1302" t="s">
        <v>128</v>
      </c>
      <c r="D1302">
        <v>194629182</v>
      </c>
      <c r="E1302">
        <v>183181351</v>
      </c>
      <c r="F1302">
        <v>194348539</v>
      </c>
      <c r="G1302">
        <v>197324479</v>
      </c>
      <c r="H1302">
        <v>200784776</v>
      </c>
      <c r="I1302">
        <v>220576853</v>
      </c>
      <c r="J1302">
        <v>218326169</v>
      </c>
      <c r="K1302">
        <v>223937859</v>
      </c>
      <c r="L1302">
        <v>220025826</v>
      </c>
      <c r="M1302">
        <v>221008037</v>
      </c>
      <c r="N1302">
        <v>193650988</v>
      </c>
      <c r="O1302">
        <v>188927426</v>
      </c>
    </row>
    <row r="1303" spans="1:16">
      <c r="A1303" t="str">
        <f t="shared" si="19"/>
        <v>TGSLD2KWH ONPK</v>
      </c>
      <c r="B1303" t="s">
        <v>713</v>
      </c>
      <c r="C1303" t="s">
        <v>129</v>
      </c>
      <c r="D1303">
        <v>44335110</v>
      </c>
      <c r="E1303">
        <v>44388191</v>
      </c>
      <c r="F1303">
        <v>45284954</v>
      </c>
      <c r="G1303">
        <v>54096102</v>
      </c>
      <c r="H1303">
        <v>55358870</v>
      </c>
      <c r="I1303">
        <v>59615429</v>
      </c>
      <c r="J1303">
        <v>57521851</v>
      </c>
      <c r="K1303">
        <v>64867231</v>
      </c>
      <c r="L1303">
        <v>54401643</v>
      </c>
      <c r="M1303">
        <v>63634505</v>
      </c>
      <c r="N1303">
        <v>45162351</v>
      </c>
      <c r="O1303">
        <v>41117453</v>
      </c>
    </row>
    <row r="1304" spans="1:16">
      <c r="A1304" t="str">
        <f t="shared" si="19"/>
        <v>TGSLD2KWH OFFPK</v>
      </c>
      <c r="B1304" t="s">
        <v>713</v>
      </c>
      <c r="C1304" t="s">
        <v>130</v>
      </c>
      <c r="D1304">
        <v>150294072</v>
      </c>
      <c r="E1304">
        <v>138793160</v>
      </c>
      <c r="F1304">
        <v>149063585</v>
      </c>
      <c r="G1304">
        <v>143228378</v>
      </c>
      <c r="H1304">
        <v>145425906</v>
      </c>
      <c r="I1304">
        <v>160961424</v>
      </c>
      <c r="J1304">
        <v>160804317</v>
      </c>
      <c r="K1304">
        <v>159070628</v>
      </c>
      <c r="L1304">
        <v>165624182</v>
      </c>
      <c r="M1304">
        <v>157373531</v>
      </c>
      <c r="N1304">
        <v>148488636</v>
      </c>
      <c r="O1304">
        <v>147809973</v>
      </c>
    </row>
    <row r="1305" spans="1:16">
      <c r="A1305" t="str">
        <f t="shared" si="19"/>
        <v>TGSLD2KWH ONPK%</v>
      </c>
      <c r="B1305" t="s">
        <v>713</v>
      </c>
      <c r="C1305" t="s">
        <v>131</v>
      </c>
      <c r="D1305" s="5">
        <v>0.22778999999999999</v>
      </c>
      <c r="E1305" s="5">
        <v>0.24232000000000001</v>
      </c>
      <c r="F1305" s="5">
        <v>0.23300999999999999</v>
      </c>
      <c r="G1305" s="5">
        <v>0.27415</v>
      </c>
      <c r="H1305" s="5">
        <v>0.27571000000000001</v>
      </c>
      <c r="I1305" s="5">
        <v>0.27027000000000001</v>
      </c>
      <c r="J1305" s="5">
        <v>0.26346999999999998</v>
      </c>
      <c r="K1305" s="5">
        <v>0.28966999999999998</v>
      </c>
      <c r="L1305" s="5">
        <v>0.24725</v>
      </c>
      <c r="M1305" s="5">
        <v>0.28793000000000002</v>
      </c>
      <c r="N1305" s="5">
        <v>0.23322000000000001</v>
      </c>
      <c r="O1305" s="5">
        <v>0.21764</v>
      </c>
    </row>
    <row r="1306" spans="1:16">
      <c r="A1306" t="str">
        <f t="shared" si="19"/>
        <v>TGSLD2KWH OFFPK%</v>
      </c>
      <c r="B1306" t="s">
        <v>713</v>
      </c>
      <c r="C1306" t="s">
        <v>132</v>
      </c>
      <c r="D1306" s="5">
        <v>0.77220999999999995</v>
      </c>
      <c r="E1306" s="5">
        <v>0.75768000000000002</v>
      </c>
      <c r="F1306" s="5">
        <v>0.76698999999999995</v>
      </c>
      <c r="G1306" s="5">
        <v>0.72585</v>
      </c>
      <c r="H1306" s="5">
        <v>0.72428999999999999</v>
      </c>
      <c r="I1306" s="5">
        <v>0.72972999999999999</v>
      </c>
      <c r="J1306" s="5">
        <v>0.73653000000000002</v>
      </c>
      <c r="K1306" s="5">
        <v>0.71033000000000002</v>
      </c>
      <c r="L1306" s="5">
        <v>0.75275000000000003</v>
      </c>
      <c r="M1306" s="5">
        <v>0.71206999999999998</v>
      </c>
      <c r="N1306" s="5">
        <v>0.76678000000000002</v>
      </c>
      <c r="O1306" s="5">
        <v>0.78236000000000006</v>
      </c>
    </row>
    <row r="1307" spans="1:16">
      <c r="A1307" t="str">
        <f t="shared" si="19"/>
        <v>TGSLD2DEMAND (KW):</v>
      </c>
      <c r="B1307" t="s">
        <v>713</v>
      </c>
      <c r="C1307" t="s">
        <v>62</v>
      </c>
    </row>
    <row r="1308" spans="1:16">
      <c r="A1308" t="str">
        <f t="shared" si="19"/>
        <v>TGSLD2NCP</v>
      </c>
      <c r="B1308" t="s">
        <v>713</v>
      </c>
      <c r="C1308" t="s">
        <v>133</v>
      </c>
      <c r="D1308">
        <v>404433</v>
      </c>
      <c r="E1308">
        <v>403383</v>
      </c>
      <c r="F1308">
        <v>396749</v>
      </c>
      <c r="G1308">
        <v>416585</v>
      </c>
      <c r="H1308">
        <v>401592</v>
      </c>
      <c r="I1308">
        <v>453309</v>
      </c>
      <c r="J1308">
        <v>433698</v>
      </c>
      <c r="K1308">
        <v>451522</v>
      </c>
      <c r="L1308">
        <v>460146</v>
      </c>
      <c r="M1308">
        <v>461794</v>
      </c>
      <c r="N1308">
        <v>422550</v>
      </c>
      <c r="O1308">
        <v>413979</v>
      </c>
    </row>
    <row r="1309" spans="1:16">
      <c r="A1309" t="str">
        <f t="shared" si="19"/>
        <v>TGSLD2NCP ONPK</v>
      </c>
      <c r="B1309" t="s">
        <v>713</v>
      </c>
      <c r="C1309" t="s">
        <v>134</v>
      </c>
      <c r="D1309">
        <v>353779</v>
      </c>
      <c r="E1309">
        <v>353856</v>
      </c>
      <c r="F1309">
        <v>334273</v>
      </c>
      <c r="G1309">
        <v>358493</v>
      </c>
      <c r="H1309">
        <v>343798</v>
      </c>
      <c r="I1309">
        <v>389387</v>
      </c>
      <c r="J1309">
        <v>376418</v>
      </c>
      <c r="K1309">
        <v>397479</v>
      </c>
      <c r="L1309">
        <v>392638</v>
      </c>
      <c r="M1309">
        <v>398385</v>
      </c>
      <c r="N1309">
        <v>359584</v>
      </c>
      <c r="O1309">
        <v>353852</v>
      </c>
    </row>
    <row r="1310" spans="1:16">
      <c r="A1310" t="str">
        <f t="shared" si="19"/>
        <v>TGSLD2NCP OFFPK</v>
      </c>
      <c r="B1310" t="s">
        <v>713</v>
      </c>
      <c r="C1310" t="s">
        <v>135</v>
      </c>
      <c r="D1310">
        <v>402254</v>
      </c>
      <c r="E1310">
        <v>401094</v>
      </c>
      <c r="F1310">
        <v>396072</v>
      </c>
      <c r="G1310">
        <v>409524</v>
      </c>
      <c r="H1310">
        <v>397829</v>
      </c>
      <c r="I1310">
        <v>448922</v>
      </c>
      <c r="J1310">
        <v>430887</v>
      </c>
      <c r="K1310">
        <v>447421</v>
      </c>
      <c r="L1310">
        <v>456490</v>
      </c>
      <c r="M1310">
        <v>452871</v>
      </c>
      <c r="N1310">
        <v>420821</v>
      </c>
      <c r="O1310">
        <v>412602</v>
      </c>
    </row>
    <row r="1311" spans="1:16">
      <c r="A1311" t="str">
        <f t="shared" si="19"/>
        <v>TGSLD2GCP DATE</v>
      </c>
      <c r="B1311" t="s">
        <v>713</v>
      </c>
      <c r="C1311" t="s">
        <v>136</v>
      </c>
      <c r="D1311" t="s">
        <v>945</v>
      </c>
      <c r="E1311" t="s">
        <v>954</v>
      </c>
      <c r="F1311" t="s">
        <v>916</v>
      </c>
      <c r="G1311" t="s">
        <v>138</v>
      </c>
      <c r="H1311" t="s">
        <v>207</v>
      </c>
      <c r="I1311" t="s">
        <v>955</v>
      </c>
      <c r="J1311" t="s">
        <v>208</v>
      </c>
      <c r="K1311" t="s">
        <v>217</v>
      </c>
      <c r="L1311" t="s">
        <v>209</v>
      </c>
      <c r="M1311" t="s">
        <v>212</v>
      </c>
      <c r="N1311" t="s">
        <v>913</v>
      </c>
      <c r="O1311" t="s">
        <v>210</v>
      </c>
      <c r="P1311" s="4"/>
    </row>
    <row r="1312" spans="1:16">
      <c r="A1312" t="str">
        <f t="shared" si="19"/>
        <v>TGSLD2GCP TIME</v>
      </c>
      <c r="B1312" t="s">
        <v>713</v>
      </c>
      <c r="C1312" t="s">
        <v>142</v>
      </c>
      <c r="D1312" t="s">
        <v>146</v>
      </c>
      <c r="E1312" t="s">
        <v>143</v>
      </c>
      <c r="F1312" t="s">
        <v>143</v>
      </c>
      <c r="G1312" t="s">
        <v>189</v>
      </c>
      <c r="H1312" t="s">
        <v>189</v>
      </c>
      <c r="I1312" t="s">
        <v>189</v>
      </c>
      <c r="J1312" t="s">
        <v>189</v>
      </c>
      <c r="K1312" t="s">
        <v>189</v>
      </c>
      <c r="L1312" t="s">
        <v>189</v>
      </c>
      <c r="M1312" t="s">
        <v>189</v>
      </c>
      <c r="N1312" t="s">
        <v>144</v>
      </c>
      <c r="O1312" t="s">
        <v>143</v>
      </c>
    </row>
    <row r="1313" spans="1:16">
      <c r="A1313" t="str">
        <f t="shared" si="19"/>
        <v>TGSLD2GCP</v>
      </c>
      <c r="B1313" t="s">
        <v>713</v>
      </c>
      <c r="C1313" t="s">
        <v>147</v>
      </c>
      <c r="D1313">
        <v>334054</v>
      </c>
      <c r="E1313">
        <v>323543</v>
      </c>
      <c r="F1313">
        <v>325434</v>
      </c>
      <c r="G1313">
        <v>334283</v>
      </c>
      <c r="H1313">
        <v>325162</v>
      </c>
      <c r="I1313">
        <v>358606</v>
      </c>
      <c r="J1313">
        <v>351506</v>
      </c>
      <c r="K1313">
        <v>355272</v>
      </c>
      <c r="L1313">
        <v>365498</v>
      </c>
      <c r="M1313">
        <v>361965</v>
      </c>
      <c r="N1313">
        <v>348293</v>
      </c>
      <c r="O1313">
        <v>332568</v>
      </c>
    </row>
    <row r="1314" spans="1:16">
      <c r="A1314" t="str">
        <f t="shared" si="19"/>
        <v>TGSLD2GCP ONPK</v>
      </c>
      <c r="B1314" t="s">
        <v>713</v>
      </c>
      <c r="C1314" t="s">
        <v>63</v>
      </c>
      <c r="D1314">
        <v>305180</v>
      </c>
      <c r="E1314">
        <v>299061</v>
      </c>
      <c r="F1314">
        <v>284445</v>
      </c>
      <c r="G1314">
        <v>313688</v>
      </c>
      <c r="H1314">
        <v>297923</v>
      </c>
      <c r="I1314">
        <v>335459</v>
      </c>
      <c r="J1314">
        <v>327878</v>
      </c>
      <c r="K1314">
        <v>334615</v>
      </c>
      <c r="L1314">
        <v>338648</v>
      </c>
      <c r="M1314">
        <v>343154</v>
      </c>
      <c r="N1314">
        <v>301388</v>
      </c>
      <c r="O1314">
        <v>301714</v>
      </c>
    </row>
    <row r="1315" spans="1:16">
      <c r="A1315" t="str">
        <f t="shared" si="19"/>
        <v>TGSLD2GCP OFFPK</v>
      </c>
      <c r="B1315" t="s">
        <v>713</v>
      </c>
      <c r="C1315" t="s">
        <v>64</v>
      </c>
      <c r="D1315">
        <v>334054</v>
      </c>
      <c r="E1315">
        <v>323543</v>
      </c>
      <c r="F1315">
        <v>325434</v>
      </c>
      <c r="G1315">
        <v>334283</v>
      </c>
      <c r="H1315">
        <v>325162</v>
      </c>
      <c r="I1315">
        <v>358606</v>
      </c>
      <c r="J1315">
        <v>351506</v>
      </c>
      <c r="K1315">
        <v>355272</v>
      </c>
      <c r="L1315">
        <v>365498</v>
      </c>
      <c r="M1315">
        <v>361965</v>
      </c>
      <c r="N1315">
        <v>348293</v>
      </c>
      <c r="O1315">
        <v>332568</v>
      </c>
    </row>
    <row r="1316" spans="1:16">
      <c r="A1316" t="str">
        <f t="shared" si="19"/>
        <v>TGSLD2CP</v>
      </c>
      <c r="B1316" t="s">
        <v>713</v>
      </c>
      <c r="C1316" t="s">
        <v>148</v>
      </c>
      <c r="D1316">
        <v>235472</v>
      </c>
      <c r="E1316">
        <v>314440</v>
      </c>
      <c r="F1316">
        <v>313040</v>
      </c>
      <c r="G1316">
        <v>299070</v>
      </c>
      <c r="H1316">
        <v>296969</v>
      </c>
      <c r="I1316">
        <v>325058</v>
      </c>
      <c r="J1316">
        <v>318639</v>
      </c>
      <c r="K1316">
        <v>323417</v>
      </c>
      <c r="L1316">
        <v>311232</v>
      </c>
      <c r="M1316">
        <v>327507</v>
      </c>
      <c r="N1316">
        <v>294871</v>
      </c>
      <c r="O1316">
        <v>297622</v>
      </c>
    </row>
    <row r="1317" spans="1:16">
      <c r="A1317" t="str">
        <f t="shared" si="19"/>
        <v>TGSLD2PERIOD START</v>
      </c>
      <c r="B1317" t="s">
        <v>713</v>
      </c>
      <c r="C1317" t="s">
        <v>149</v>
      </c>
      <c r="D1317" s="1">
        <v>40909</v>
      </c>
      <c r="E1317" s="1">
        <v>40940</v>
      </c>
      <c r="F1317" s="1">
        <v>40969</v>
      </c>
      <c r="G1317" s="1">
        <v>41000</v>
      </c>
      <c r="H1317" s="1">
        <v>41030</v>
      </c>
      <c r="I1317" s="1">
        <v>41061</v>
      </c>
      <c r="J1317" s="1">
        <v>41091</v>
      </c>
      <c r="K1317" s="1">
        <v>41122</v>
      </c>
      <c r="L1317" s="1">
        <v>41153</v>
      </c>
      <c r="M1317" s="1">
        <v>41183</v>
      </c>
      <c r="N1317" s="1">
        <v>41214</v>
      </c>
      <c r="O1317" s="1">
        <v>41244</v>
      </c>
      <c r="P1317" s="91"/>
    </row>
    <row r="1318" spans="1:16">
      <c r="A1318" t="str">
        <f t="shared" si="19"/>
        <v>TGSLD2NCP LF</v>
      </c>
      <c r="B1318" t="s">
        <v>713</v>
      </c>
      <c r="C1318" t="s">
        <v>150</v>
      </c>
      <c r="D1318" s="5">
        <v>0.64680000000000004</v>
      </c>
      <c r="E1318" s="5">
        <v>0.65249999999999997</v>
      </c>
      <c r="F1318" s="5">
        <v>0.65839999999999999</v>
      </c>
      <c r="G1318" s="5">
        <v>0.65790000000000004</v>
      </c>
      <c r="H1318" s="5">
        <v>0.67200000000000004</v>
      </c>
      <c r="I1318" s="5">
        <v>0.67579999999999996</v>
      </c>
      <c r="J1318" s="5">
        <v>0.67659999999999998</v>
      </c>
      <c r="K1318" s="5">
        <v>0.66659999999999997</v>
      </c>
      <c r="L1318" s="5">
        <v>0.66410000000000002</v>
      </c>
      <c r="M1318" s="5">
        <v>0.64329999999999998</v>
      </c>
      <c r="N1318" s="5">
        <v>0.63649999999999995</v>
      </c>
      <c r="O1318" s="5">
        <v>0.61339999999999995</v>
      </c>
    </row>
    <row r="1319" spans="1:16">
      <c r="A1319" t="str">
        <f t="shared" si="19"/>
        <v>TGSLD2NCP LF ONPK</v>
      </c>
      <c r="B1319" t="s">
        <v>713</v>
      </c>
      <c r="C1319" t="s">
        <v>151</v>
      </c>
      <c r="D1319" s="5">
        <v>0</v>
      </c>
      <c r="E1319" s="5">
        <v>0</v>
      </c>
      <c r="F1319" s="5">
        <v>0</v>
      </c>
      <c r="G1319" s="5">
        <v>0</v>
      </c>
      <c r="H1319" s="5">
        <v>0</v>
      </c>
      <c r="I1319" s="5">
        <v>0</v>
      </c>
      <c r="J1319" s="5">
        <v>0</v>
      </c>
      <c r="K1319" s="5">
        <v>0</v>
      </c>
      <c r="L1319" s="5">
        <v>0</v>
      </c>
      <c r="M1319" s="5">
        <v>0</v>
      </c>
      <c r="N1319" s="5">
        <v>0</v>
      </c>
      <c r="O1319" s="5">
        <v>0</v>
      </c>
    </row>
    <row r="1320" spans="1:16">
      <c r="A1320" t="str">
        <f t="shared" si="19"/>
        <v>TGSLD2NCP LF OFFPK</v>
      </c>
      <c r="B1320" t="s">
        <v>713</v>
      </c>
      <c r="C1320" t="s">
        <v>152</v>
      </c>
      <c r="D1320" s="5">
        <v>0</v>
      </c>
      <c r="E1320" s="5">
        <v>0</v>
      </c>
      <c r="F1320" s="5">
        <v>0</v>
      </c>
      <c r="G1320" s="5">
        <v>0</v>
      </c>
      <c r="H1320" s="5">
        <v>0</v>
      </c>
      <c r="I1320" s="5">
        <v>0</v>
      </c>
      <c r="J1320" s="5">
        <v>0</v>
      </c>
      <c r="K1320" s="5">
        <v>0</v>
      </c>
      <c r="L1320" s="5">
        <v>0</v>
      </c>
      <c r="M1320" s="5">
        <v>0</v>
      </c>
      <c r="N1320" s="5">
        <v>0</v>
      </c>
      <c r="O1320" s="5">
        <v>0</v>
      </c>
      <c r="P1320" s="5"/>
    </row>
    <row r="1321" spans="1:16">
      <c r="A1321" t="str">
        <f t="shared" si="19"/>
        <v>TGSLD2GCP CF</v>
      </c>
      <c r="B1321" t="s">
        <v>713</v>
      </c>
      <c r="C1321" t="s">
        <v>153</v>
      </c>
      <c r="D1321" s="5">
        <v>0.82599999999999996</v>
      </c>
      <c r="E1321" s="5">
        <v>0.80210000000000004</v>
      </c>
      <c r="F1321" s="5">
        <v>0.82030000000000003</v>
      </c>
      <c r="G1321" s="5">
        <v>0.8024</v>
      </c>
      <c r="H1321" s="5">
        <v>0.80969999999999998</v>
      </c>
      <c r="I1321" s="5">
        <v>0.79110000000000003</v>
      </c>
      <c r="J1321" s="5">
        <v>0.8105</v>
      </c>
      <c r="K1321" s="5">
        <v>0.78680000000000005</v>
      </c>
      <c r="L1321" s="5">
        <v>0.79430000000000001</v>
      </c>
      <c r="M1321" s="5">
        <v>0.78380000000000005</v>
      </c>
      <c r="N1321" s="5">
        <v>0.82430000000000003</v>
      </c>
      <c r="O1321" s="5">
        <v>0.80330000000000001</v>
      </c>
      <c r="P1321" s="5"/>
    </row>
    <row r="1322" spans="1:16">
      <c r="A1322" t="str">
        <f t="shared" si="19"/>
        <v>TGSLD2CP CF</v>
      </c>
      <c r="B1322" t="s">
        <v>713</v>
      </c>
      <c r="C1322" t="s">
        <v>154</v>
      </c>
      <c r="D1322" s="5">
        <v>0.58220000000000005</v>
      </c>
      <c r="E1322" s="5">
        <v>0.77949999999999997</v>
      </c>
      <c r="F1322" s="5">
        <v>0.78900000000000003</v>
      </c>
      <c r="G1322" s="5">
        <v>0.71789999999999998</v>
      </c>
      <c r="H1322" s="5">
        <v>0.73950000000000005</v>
      </c>
      <c r="I1322" s="5">
        <v>0.71709999999999996</v>
      </c>
      <c r="J1322" s="5">
        <v>0.73470000000000002</v>
      </c>
      <c r="K1322" s="5">
        <v>0.71630000000000005</v>
      </c>
      <c r="L1322" s="5">
        <v>0.6764</v>
      </c>
      <c r="M1322" s="5">
        <v>0.70920000000000005</v>
      </c>
      <c r="N1322" s="5">
        <v>0.69779999999999998</v>
      </c>
      <c r="O1322" s="5">
        <v>0.71889999999999998</v>
      </c>
    </row>
    <row r="1323" spans="1:16">
      <c r="A1323" t="str">
        <f t="shared" si="19"/>
        <v>TGSLD2GCP LF</v>
      </c>
      <c r="B1323" t="s">
        <v>713</v>
      </c>
      <c r="C1323" t="s">
        <v>155</v>
      </c>
      <c r="D1323" s="5">
        <v>0.78310000000000002</v>
      </c>
      <c r="E1323" s="5">
        <v>0.8135</v>
      </c>
      <c r="F1323" s="5">
        <v>0.80269999999999997</v>
      </c>
      <c r="G1323" s="5">
        <v>0.81979999999999997</v>
      </c>
      <c r="H1323" s="5">
        <v>0.83</v>
      </c>
      <c r="I1323" s="5">
        <v>0.85429999999999995</v>
      </c>
      <c r="J1323" s="5">
        <v>0.83479999999999999</v>
      </c>
      <c r="K1323" s="5">
        <v>0.84719999999999995</v>
      </c>
      <c r="L1323" s="5">
        <v>0.83609999999999995</v>
      </c>
      <c r="M1323" s="5">
        <v>0.82069999999999999</v>
      </c>
      <c r="N1323" s="5">
        <v>0.7722</v>
      </c>
      <c r="O1323" s="5">
        <v>0.76359999999999995</v>
      </c>
      <c r="P1323" s="89"/>
    </row>
    <row r="1324" spans="1:16">
      <c r="A1324" t="str">
        <f t="shared" si="19"/>
        <v>TGSLD2GCP LF ONPK</v>
      </c>
      <c r="B1324" t="s">
        <v>713</v>
      </c>
      <c r="C1324" t="s">
        <v>156</v>
      </c>
      <c r="D1324" s="5">
        <v>0</v>
      </c>
      <c r="E1324" s="5">
        <v>0</v>
      </c>
      <c r="F1324" s="5">
        <v>0</v>
      </c>
      <c r="G1324" s="5">
        <v>0</v>
      </c>
      <c r="H1324" s="5">
        <v>0</v>
      </c>
      <c r="I1324" s="5">
        <v>0</v>
      </c>
      <c r="J1324" s="5">
        <v>0</v>
      </c>
      <c r="K1324" s="5">
        <v>0</v>
      </c>
      <c r="L1324" s="5">
        <v>0</v>
      </c>
      <c r="M1324" s="5">
        <v>0</v>
      </c>
      <c r="N1324" s="5">
        <v>0</v>
      </c>
      <c r="O1324" s="5">
        <v>0</v>
      </c>
    </row>
    <row r="1325" spans="1:16">
      <c r="A1325" t="str">
        <f t="shared" si="19"/>
        <v>TGSLD2GCP LF OFFPK</v>
      </c>
      <c r="B1325" t="s">
        <v>713</v>
      </c>
      <c r="C1325" t="s">
        <v>157</v>
      </c>
      <c r="D1325" s="5">
        <v>0</v>
      </c>
      <c r="E1325" s="5">
        <v>0</v>
      </c>
      <c r="F1325" s="5">
        <v>0</v>
      </c>
      <c r="G1325" s="5">
        <v>0</v>
      </c>
      <c r="H1325" s="5">
        <v>0</v>
      </c>
      <c r="I1325" s="5">
        <v>0</v>
      </c>
      <c r="J1325" s="5">
        <v>0</v>
      </c>
      <c r="K1325" s="5">
        <v>0</v>
      </c>
      <c r="L1325" s="5">
        <v>0</v>
      </c>
      <c r="M1325" s="5">
        <v>0</v>
      </c>
      <c r="N1325" s="5">
        <v>0</v>
      </c>
      <c r="O1325" s="5">
        <v>0</v>
      </c>
    </row>
    <row r="1326" spans="1:16">
      <c r="A1326" t="str">
        <f t="shared" si="19"/>
        <v>TGSLD2CP LF</v>
      </c>
      <c r="B1326" t="s">
        <v>713</v>
      </c>
      <c r="C1326" t="s">
        <v>158</v>
      </c>
      <c r="D1326" s="5">
        <v>1.111</v>
      </c>
      <c r="E1326" s="5">
        <v>0.83699999999999997</v>
      </c>
      <c r="F1326" s="5">
        <v>0.83450000000000002</v>
      </c>
      <c r="G1326" s="5">
        <v>0.91639999999999999</v>
      </c>
      <c r="H1326" s="5">
        <v>0.90880000000000005</v>
      </c>
      <c r="I1326" s="5">
        <v>0.9425</v>
      </c>
      <c r="J1326" s="5">
        <v>0.92090000000000005</v>
      </c>
      <c r="K1326" s="5">
        <v>0.93069999999999997</v>
      </c>
      <c r="L1326" s="5">
        <v>0.9819</v>
      </c>
      <c r="M1326" s="5">
        <v>0.90700000000000003</v>
      </c>
      <c r="N1326" s="5">
        <v>0.91210000000000002</v>
      </c>
      <c r="O1326" s="5">
        <v>0.85319999999999996</v>
      </c>
    </row>
    <row r="1327" spans="1:16">
      <c r="A1327" t="str">
        <f t="shared" si="19"/>
        <v>TGSLD2REL PREC:</v>
      </c>
      <c r="B1327" t="s">
        <v>713</v>
      </c>
      <c r="C1327" t="s">
        <v>65</v>
      </c>
    </row>
    <row r="1328" spans="1:16">
      <c r="A1328" t="str">
        <f t="shared" si="19"/>
        <v>TGSLD2NCP RP</v>
      </c>
      <c r="B1328" t="s">
        <v>713</v>
      </c>
      <c r="C1328" t="s">
        <v>159</v>
      </c>
      <c r="D1328" s="5">
        <v>0</v>
      </c>
      <c r="E1328" s="5">
        <v>4.7999999999999996E-3</v>
      </c>
      <c r="F1328" s="5">
        <v>7.4999999999999997E-3</v>
      </c>
      <c r="G1328" s="5">
        <v>8.8999999999999999E-3</v>
      </c>
      <c r="H1328" s="5">
        <v>5.4000000000000003E-3</v>
      </c>
      <c r="I1328" s="5">
        <v>4.4000000000000003E-3</v>
      </c>
      <c r="J1328" s="5">
        <v>6.3E-3</v>
      </c>
      <c r="K1328" s="5">
        <v>9.1999999999999998E-3</v>
      </c>
      <c r="L1328" s="5">
        <v>5.1000000000000004E-3</v>
      </c>
      <c r="M1328" s="5">
        <v>5.1000000000000004E-3</v>
      </c>
      <c r="N1328" s="5">
        <v>5.4999999999999997E-3</v>
      </c>
      <c r="O1328" s="5">
        <v>7.4999999999999997E-3</v>
      </c>
      <c r="P1328" s="87"/>
    </row>
    <row r="1329" spans="1:16">
      <c r="A1329" t="str">
        <f t="shared" si="19"/>
        <v>TGSLD2NCP RP ONPK</v>
      </c>
      <c r="B1329" t="s">
        <v>713</v>
      </c>
      <c r="C1329" t="s">
        <v>160</v>
      </c>
      <c r="D1329" s="5">
        <v>0</v>
      </c>
      <c r="E1329" s="5">
        <v>3.2000000000000002E-3</v>
      </c>
      <c r="F1329" s="5">
        <v>5.3E-3</v>
      </c>
      <c r="G1329" s="5">
        <v>6.8999999999999999E-3</v>
      </c>
      <c r="H1329" s="5">
        <v>5.0000000000000001E-3</v>
      </c>
      <c r="I1329" s="5">
        <v>4.4000000000000003E-3</v>
      </c>
      <c r="J1329" s="5">
        <v>6.1999999999999998E-3</v>
      </c>
      <c r="K1329" s="5">
        <v>7.1999999999999998E-3</v>
      </c>
      <c r="L1329" s="5">
        <v>4.5999999999999999E-3</v>
      </c>
      <c r="M1329" s="5">
        <v>4.1999999999999997E-3</v>
      </c>
      <c r="N1329" s="5">
        <v>3.7000000000000002E-3</v>
      </c>
      <c r="O1329" s="5">
        <v>6.8999999999999999E-3</v>
      </c>
    </row>
    <row r="1330" spans="1:16">
      <c r="A1330" t="str">
        <f t="shared" si="19"/>
        <v>TGSLD2NCP RP OFFPK</v>
      </c>
      <c r="B1330" t="s">
        <v>713</v>
      </c>
      <c r="C1330" t="s">
        <v>161</v>
      </c>
      <c r="D1330" s="5">
        <v>0</v>
      </c>
      <c r="E1330" s="5">
        <v>4.7999999999999996E-3</v>
      </c>
      <c r="F1330" s="5">
        <v>7.4999999999999997E-3</v>
      </c>
      <c r="G1330" s="5">
        <v>8.8999999999999999E-3</v>
      </c>
      <c r="H1330" s="5">
        <v>5.4000000000000003E-3</v>
      </c>
      <c r="I1330" s="5">
        <v>4.4999999999999997E-3</v>
      </c>
      <c r="J1330" s="5">
        <v>6.4000000000000003E-3</v>
      </c>
      <c r="K1330" s="5">
        <v>9.1999999999999998E-3</v>
      </c>
      <c r="L1330" s="5">
        <v>5.1000000000000004E-3</v>
      </c>
      <c r="M1330" s="5">
        <v>5.1999999999999998E-3</v>
      </c>
      <c r="N1330" s="5">
        <v>5.4999999999999997E-3</v>
      </c>
      <c r="O1330" s="5">
        <v>7.4999999999999997E-3</v>
      </c>
    </row>
    <row r="1331" spans="1:16">
      <c r="A1331" t="str">
        <f t="shared" si="19"/>
        <v>TGSLD2GCP RP</v>
      </c>
      <c r="B1331" t="s">
        <v>713</v>
      </c>
      <c r="C1331" t="s">
        <v>162</v>
      </c>
      <c r="D1331" s="5">
        <v>0</v>
      </c>
      <c r="E1331" s="5">
        <v>3.3999999999999998E-3</v>
      </c>
      <c r="F1331" s="5">
        <v>6.7999999999999996E-3</v>
      </c>
      <c r="G1331" s="5">
        <v>6.3E-3</v>
      </c>
      <c r="H1331" s="5">
        <v>4.1000000000000003E-3</v>
      </c>
      <c r="I1331" s="5">
        <v>3.2000000000000002E-3</v>
      </c>
      <c r="J1331" s="5">
        <v>4.4999999999999997E-3</v>
      </c>
      <c r="K1331" s="5">
        <v>7.3000000000000001E-3</v>
      </c>
      <c r="L1331" s="5">
        <v>3.8999999999999998E-3</v>
      </c>
      <c r="M1331" s="5">
        <v>3.2000000000000002E-3</v>
      </c>
      <c r="N1331" s="5">
        <v>5.0000000000000001E-3</v>
      </c>
      <c r="O1331" s="5">
        <v>7.4000000000000003E-3</v>
      </c>
      <c r="P1331" s="83"/>
    </row>
    <row r="1332" spans="1:16">
      <c r="A1332" t="str">
        <f t="shared" si="19"/>
        <v>TGSLD2GCP RP ONPK</v>
      </c>
      <c r="B1332" t="s">
        <v>713</v>
      </c>
      <c r="C1332" t="s">
        <v>163</v>
      </c>
      <c r="D1332" s="5">
        <v>0</v>
      </c>
      <c r="E1332" s="5">
        <v>2.5999999999999999E-3</v>
      </c>
      <c r="F1332" s="5">
        <v>5.1999999999999998E-3</v>
      </c>
      <c r="G1332" s="5">
        <v>6.3E-3</v>
      </c>
      <c r="H1332" s="5">
        <v>4.3E-3</v>
      </c>
      <c r="I1332" s="5">
        <v>5.8999999999999999E-3</v>
      </c>
      <c r="J1332" s="5">
        <v>5.7999999999999996E-3</v>
      </c>
      <c r="K1332" s="5">
        <v>6.7000000000000002E-3</v>
      </c>
      <c r="L1332" s="5">
        <v>3.8999999999999998E-3</v>
      </c>
      <c r="M1332" s="5">
        <v>3.8999999999999998E-3</v>
      </c>
      <c r="N1332" s="5">
        <v>3.5999999999999999E-3</v>
      </c>
      <c r="O1332" s="5">
        <v>5.8999999999999999E-3</v>
      </c>
      <c r="P1332" s="1"/>
    </row>
    <row r="1333" spans="1:16">
      <c r="A1333" t="str">
        <f t="shared" si="19"/>
        <v>TGSLD2GCP RP OFFPK</v>
      </c>
      <c r="B1333" t="s">
        <v>713</v>
      </c>
      <c r="C1333" t="s">
        <v>164</v>
      </c>
      <c r="D1333" s="5">
        <v>0</v>
      </c>
      <c r="E1333" s="5">
        <v>3.3999999999999998E-3</v>
      </c>
      <c r="F1333" s="5">
        <v>6.7999999999999996E-3</v>
      </c>
      <c r="G1333" s="5">
        <v>6.3E-3</v>
      </c>
      <c r="H1333" s="5">
        <v>4.1000000000000003E-3</v>
      </c>
      <c r="I1333" s="5">
        <v>3.2000000000000002E-3</v>
      </c>
      <c r="J1333" s="5">
        <v>4.4999999999999997E-3</v>
      </c>
      <c r="K1333" s="5">
        <v>7.3000000000000001E-3</v>
      </c>
      <c r="L1333" s="5">
        <v>3.8999999999999998E-3</v>
      </c>
      <c r="M1333" s="5">
        <v>3.2000000000000002E-3</v>
      </c>
      <c r="N1333" s="5">
        <v>5.0000000000000001E-3</v>
      </c>
      <c r="O1333" s="5">
        <v>7.4000000000000003E-3</v>
      </c>
      <c r="P1333" s="5"/>
    </row>
    <row r="1334" spans="1:16">
      <c r="A1334" t="str">
        <f t="shared" ref="A1334:A1397" si="20">B1334&amp;C1334</f>
        <v>TGSLD2CP RP</v>
      </c>
      <c r="B1334" t="s">
        <v>713</v>
      </c>
      <c r="C1334" t="s">
        <v>165</v>
      </c>
      <c r="D1334" s="5">
        <v>0</v>
      </c>
      <c r="E1334" s="5">
        <v>2.8E-3</v>
      </c>
      <c r="F1334" s="5">
        <v>5.8999999999999999E-3</v>
      </c>
      <c r="G1334" s="5">
        <v>6.7000000000000002E-3</v>
      </c>
      <c r="H1334" s="5">
        <v>4.4999999999999997E-3</v>
      </c>
      <c r="I1334" s="5">
        <v>4.1999999999999997E-3</v>
      </c>
      <c r="J1334" s="5">
        <v>5.5999999999999999E-3</v>
      </c>
      <c r="K1334" s="5">
        <v>6.4000000000000003E-3</v>
      </c>
      <c r="L1334" s="5">
        <v>3.5000000000000001E-3</v>
      </c>
      <c r="M1334" s="5">
        <v>3.8E-3</v>
      </c>
      <c r="N1334" s="5">
        <v>4.0000000000000001E-3</v>
      </c>
      <c r="O1334" s="5">
        <v>6.3E-3</v>
      </c>
      <c r="P1334" s="5"/>
    </row>
    <row r="1335" spans="1:16">
      <c r="A1335" t="str">
        <f t="shared" si="20"/>
        <v>TGSLD2SAMPLE SIZE:</v>
      </c>
      <c r="B1335" t="s">
        <v>713</v>
      </c>
      <c r="C1335" t="s">
        <v>66</v>
      </c>
      <c r="P1335" s="5"/>
    </row>
    <row r="1336" spans="1:16">
      <c r="A1336" t="str">
        <f t="shared" si="20"/>
        <v>TGSLD2GCPSZ</v>
      </c>
      <c r="B1336" t="s">
        <v>713</v>
      </c>
      <c r="C1336" t="s">
        <v>166</v>
      </c>
      <c r="D1336">
        <v>148</v>
      </c>
      <c r="E1336">
        <v>147</v>
      </c>
      <c r="F1336">
        <v>148</v>
      </c>
      <c r="G1336">
        <v>147</v>
      </c>
      <c r="H1336">
        <v>149</v>
      </c>
      <c r="I1336">
        <v>148</v>
      </c>
      <c r="J1336">
        <v>149</v>
      </c>
      <c r="K1336">
        <v>148</v>
      </c>
      <c r="L1336">
        <v>151</v>
      </c>
      <c r="M1336">
        <v>150</v>
      </c>
      <c r="N1336">
        <v>149</v>
      </c>
      <c r="O1336">
        <v>148</v>
      </c>
      <c r="P1336" s="5"/>
    </row>
    <row r="1337" spans="1:16">
      <c r="A1337" t="str">
        <f t="shared" si="20"/>
        <v>TGSLD2GCPSZ ONPK</v>
      </c>
      <c r="B1337" t="s">
        <v>713</v>
      </c>
      <c r="C1337" t="s">
        <v>167</v>
      </c>
      <c r="D1337">
        <v>148</v>
      </c>
      <c r="E1337">
        <v>147</v>
      </c>
      <c r="F1337">
        <v>148</v>
      </c>
      <c r="G1337">
        <v>146</v>
      </c>
      <c r="H1337">
        <v>149</v>
      </c>
      <c r="I1337">
        <v>147</v>
      </c>
      <c r="J1337">
        <v>149</v>
      </c>
      <c r="K1337">
        <v>149</v>
      </c>
      <c r="L1337">
        <v>151</v>
      </c>
      <c r="M1337">
        <v>150</v>
      </c>
      <c r="N1337">
        <v>149</v>
      </c>
      <c r="O1337">
        <v>149</v>
      </c>
      <c r="P1337" s="5"/>
    </row>
    <row r="1338" spans="1:16">
      <c r="A1338" t="str">
        <f t="shared" si="20"/>
        <v>TGSLD2GCPSZ OFFPK</v>
      </c>
      <c r="B1338" t="s">
        <v>713</v>
      </c>
      <c r="C1338" t="s">
        <v>168</v>
      </c>
      <c r="D1338">
        <v>148</v>
      </c>
      <c r="E1338">
        <v>147</v>
      </c>
      <c r="F1338">
        <v>148</v>
      </c>
      <c r="G1338">
        <v>147</v>
      </c>
      <c r="H1338">
        <v>149</v>
      </c>
      <c r="I1338">
        <v>148</v>
      </c>
      <c r="J1338">
        <v>149</v>
      </c>
      <c r="K1338">
        <v>148</v>
      </c>
      <c r="L1338">
        <v>151</v>
      </c>
      <c r="M1338">
        <v>150</v>
      </c>
      <c r="N1338">
        <v>149</v>
      </c>
      <c r="O1338">
        <v>148</v>
      </c>
      <c r="P1338" s="5"/>
    </row>
    <row r="1339" spans="1:16">
      <c r="A1339" t="str">
        <f t="shared" si="20"/>
        <v>TGSLD2CPSZ</v>
      </c>
      <c r="B1339" t="s">
        <v>713</v>
      </c>
      <c r="C1339" t="s">
        <v>169</v>
      </c>
      <c r="D1339">
        <v>148</v>
      </c>
      <c r="E1339">
        <v>147</v>
      </c>
      <c r="F1339">
        <v>148</v>
      </c>
      <c r="G1339">
        <v>147</v>
      </c>
      <c r="H1339">
        <v>149</v>
      </c>
      <c r="I1339">
        <v>148</v>
      </c>
      <c r="J1339">
        <v>149</v>
      </c>
      <c r="K1339">
        <v>149</v>
      </c>
      <c r="L1339">
        <v>151</v>
      </c>
      <c r="M1339">
        <v>150</v>
      </c>
      <c r="N1339">
        <v>149</v>
      </c>
      <c r="O1339">
        <v>149</v>
      </c>
      <c r="P1339" s="5"/>
    </row>
    <row r="1340" spans="1:16">
      <c r="A1340" t="str">
        <f t="shared" si="20"/>
        <v/>
      </c>
      <c r="P1340" s="5"/>
    </row>
    <row r="1341" spans="1:16">
      <c r="A1341" t="str">
        <f t="shared" si="20"/>
        <v/>
      </c>
      <c r="P1341" s="5"/>
    </row>
    <row r="1342" spans="1:16">
      <c r="A1342" t="str">
        <f t="shared" si="20"/>
        <v/>
      </c>
    </row>
    <row r="1343" spans="1:16">
      <c r="A1343" t="str">
        <f t="shared" si="20"/>
        <v/>
      </c>
      <c r="P1343" s="5"/>
    </row>
    <row r="1344" spans="1:16">
      <c r="A1344" t="str">
        <f t="shared" si="20"/>
        <v/>
      </c>
      <c r="P1344" s="5"/>
    </row>
    <row r="1345" spans="1:16">
      <c r="A1345" t="str">
        <f t="shared" si="20"/>
        <v/>
      </c>
      <c r="P1345" s="5"/>
    </row>
    <row r="1346" spans="1:16">
      <c r="A1346" t="str">
        <f t="shared" si="20"/>
        <v/>
      </c>
      <c r="P1346" s="5"/>
    </row>
    <row r="1347" spans="1:16" ht="14.4">
      <c r="A1347" t="str">
        <f t="shared" si="20"/>
        <v xml:space="preserve">NOTE:     TGSLD2 rate class includes the GSLD-2, GSLDT-2, CS-2, CST-2, HLFT-3, SDTR-3A and SDTR-3B rate schedules.  </v>
      </c>
      <c r="B1347" s="301" t="s">
        <v>1006</v>
      </c>
      <c r="P1347" s="5"/>
    </row>
    <row r="1348" spans="1:16">
      <c r="A1348" t="str">
        <f t="shared" si="20"/>
        <v xml:space="preserve">                 Customer and Sales lines reflects the total of the aggregated rate schedules.</v>
      </c>
      <c r="B1348" t="s">
        <v>1003</v>
      </c>
      <c r="P1348" s="5"/>
    </row>
    <row r="1349" spans="1:16">
      <c r="A1349" t="str">
        <f t="shared" si="20"/>
        <v xml:space="preserve">TGSLD3 Total GSLD(T)-3 General Service Large Demand 3 including TOU (2000+ KW) </v>
      </c>
      <c r="B1349" t="s">
        <v>715</v>
      </c>
      <c r="C1349" t="s">
        <v>716</v>
      </c>
      <c r="P1349" s="5"/>
    </row>
    <row r="1350" spans="1:16">
      <c r="A1350" t="str">
        <f t="shared" si="20"/>
        <v xml:space="preserve">TGSLD3MONTH </v>
      </c>
      <c r="B1350" t="s">
        <v>717</v>
      </c>
      <c r="C1350" t="s">
        <v>123</v>
      </c>
      <c r="D1350" s="4">
        <v>40909</v>
      </c>
      <c r="E1350" s="4">
        <v>40940</v>
      </c>
      <c r="F1350" s="4">
        <v>40969</v>
      </c>
      <c r="G1350" s="4">
        <v>41000</v>
      </c>
      <c r="H1350" s="4">
        <v>41030</v>
      </c>
      <c r="I1350" s="4">
        <v>41061</v>
      </c>
      <c r="J1350" s="4">
        <v>41091</v>
      </c>
      <c r="K1350" s="4">
        <v>41122</v>
      </c>
      <c r="L1350" s="4">
        <v>41153</v>
      </c>
      <c r="M1350" s="4">
        <v>41183</v>
      </c>
      <c r="N1350" s="4">
        <v>41214</v>
      </c>
      <c r="O1350" s="4">
        <v>41244</v>
      </c>
    </row>
    <row r="1351" spans="1:16">
      <c r="A1351" t="str">
        <f t="shared" si="20"/>
        <v xml:space="preserve">TGSLD3CUSTOMERS </v>
      </c>
      <c r="B1351" t="s">
        <v>717</v>
      </c>
      <c r="C1351" t="s">
        <v>124</v>
      </c>
      <c r="D1351">
        <v>7</v>
      </c>
      <c r="E1351">
        <v>7</v>
      </c>
      <c r="F1351">
        <v>7</v>
      </c>
      <c r="G1351">
        <v>7</v>
      </c>
      <c r="H1351">
        <v>7</v>
      </c>
      <c r="I1351">
        <v>7</v>
      </c>
      <c r="J1351">
        <v>7</v>
      </c>
      <c r="K1351">
        <v>7</v>
      </c>
      <c r="L1351">
        <v>7</v>
      </c>
      <c r="M1351">
        <v>7</v>
      </c>
      <c r="N1351">
        <v>7</v>
      </c>
      <c r="O1351">
        <v>7</v>
      </c>
    </row>
    <row r="1352" spans="1:16">
      <c r="A1352" t="str">
        <f t="shared" si="20"/>
        <v xml:space="preserve">TGSLD3SALES </v>
      </c>
      <c r="B1352" t="s">
        <v>717</v>
      </c>
      <c r="C1352" t="s">
        <v>125</v>
      </c>
      <c r="D1352">
        <v>13751800</v>
      </c>
      <c r="E1352">
        <v>16005962</v>
      </c>
      <c r="F1352">
        <v>14039495</v>
      </c>
      <c r="G1352">
        <v>15277800</v>
      </c>
      <c r="H1352">
        <v>16254003</v>
      </c>
      <c r="I1352">
        <v>15334522</v>
      </c>
      <c r="J1352">
        <v>12998851</v>
      </c>
      <c r="K1352">
        <v>13327400</v>
      </c>
      <c r="L1352">
        <v>12087800</v>
      </c>
      <c r="M1352">
        <v>12699065</v>
      </c>
      <c r="N1352">
        <v>11927600</v>
      </c>
      <c r="O1352">
        <v>13664800</v>
      </c>
    </row>
    <row r="1353" spans="1:16">
      <c r="A1353" t="str">
        <f t="shared" si="20"/>
        <v>TGSLD3KW</v>
      </c>
      <c r="B1353" t="s">
        <v>717</v>
      </c>
      <c r="C1353" t="s">
        <v>126</v>
      </c>
    </row>
    <row r="1354" spans="1:16">
      <c r="A1354" t="str">
        <f t="shared" si="20"/>
        <v>TGSLD3N</v>
      </c>
      <c r="B1354" t="s">
        <v>717</v>
      </c>
      <c r="C1354" t="s">
        <v>127</v>
      </c>
      <c r="D1354">
        <v>8</v>
      </c>
      <c r="E1354">
        <v>8</v>
      </c>
      <c r="F1354">
        <v>8</v>
      </c>
      <c r="G1354">
        <v>8</v>
      </c>
      <c r="H1354">
        <v>8</v>
      </c>
      <c r="I1354">
        <v>8</v>
      </c>
      <c r="J1354">
        <v>8</v>
      </c>
      <c r="K1354">
        <v>8</v>
      </c>
      <c r="L1354">
        <v>8</v>
      </c>
      <c r="M1354">
        <v>8</v>
      </c>
      <c r="N1354">
        <v>8</v>
      </c>
      <c r="O1354">
        <v>8</v>
      </c>
    </row>
    <row r="1355" spans="1:16">
      <c r="A1355" t="str">
        <f t="shared" si="20"/>
        <v>TGSLD3RLR ENERGY:</v>
      </c>
      <c r="B1355" t="s">
        <v>717</v>
      </c>
      <c r="C1355" t="s">
        <v>61</v>
      </c>
    </row>
    <row r="1356" spans="1:16">
      <c r="A1356" t="str">
        <f t="shared" si="20"/>
        <v>TGSLD3KWH</v>
      </c>
      <c r="B1356" t="s">
        <v>717</v>
      </c>
      <c r="C1356" t="s">
        <v>128</v>
      </c>
      <c r="D1356">
        <v>15545888</v>
      </c>
      <c r="E1356">
        <v>14409474</v>
      </c>
      <c r="F1356">
        <v>15583845</v>
      </c>
      <c r="G1356">
        <v>15657780</v>
      </c>
      <c r="H1356">
        <v>15061955</v>
      </c>
      <c r="I1356">
        <v>12861708</v>
      </c>
      <c r="J1356">
        <v>13027603</v>
      </c>
      <c r="K1356">
        <v>13232097</v>
      </c>
      <c r="L1356">
        <v>12597552</v>
      </c>
      <c r="M1356">
        <v>12461853</v>
      </c>
      <c r="N1356">
        <v>12635354</v>
      </c>
      <c r="O1356">
        <v>14958781</v>
      </c>
    </row>
    <row r="1357" spans="1:16">
      <c r="A1357" t="str">
        <f t="shared" si="20"/>
        <v>TGSLD3KWH ONPK</v>
      </c>
      <c r="B1357" t="s">
        <v>717</v>
      </c>
      <c r="C1357" t="s">
        <v>129</v>
      </c>
      <c r="D1357">
        <v>3542746</v>
      </c>
      <c r="E1357">
        <v>3540090</v>
      </c>
      <c r="F1357">
        <v>3745294</v>
      </c>
      <c r="G1357">
        <v>4367549</v>
      </c>
      <c r="H1357">
        <v>4323706</v>
      </c>
      <c r="I1357">
        <v>3580571</v>
      </c>
      <c r="J1357">
        <v>3512589</v>
      </c>
      <c r="K1357">
        <v>3913066</v>
      </c>
      <c r="L1357">
        <v>3134372</v>
      </c>
      <c r="M1357">
        <v>3622691</v>
      </c>
      <c r="N1357">
        <v>2936227</v>
      </c>
      <c r="O1357">
        <v>3149178</v>
      </c>
    </row>
    <row r="1358" spans="1:16">
      <c r="A1358" t="str">
        <f t="shared" si="20"/>
        <v>TGSLD3KWH OFFPK</v>
      </c>
      <c r="B1358" t="s">
        <v>717</v>
      </c>
      <c r="C1358" t="s">
        <v>130</v>
      </c>
      <c r="D1358">
        <v>12003141</v>
      </c>
      <c r="E1358">
        <v>10869385</v>
      </c>
      <c r="F1358">
        <v>11838551</v>
      </c>
      <c r="G1358">
        <v>11290231</v>
      </c>
      <c r="H1358">
        <v>10738250</v>
      </c>
      <c r="I1358">
        <v>9281136</v>
      </c>
      <c r="J1358">
        <v>9515014</v>
      </c>
      <c r="K1358">
        <v>9319031</v>
      </c>
      <c r="L1358">
        <v>9463180</v>
      </c>
      <c r="M1358">
        <v>8839162</v>
      </c>
      <c r="N1358">
        <v>9699127</v>
      </c>
      <c r="O1358">
        <v>11809604</v>
      </c>
    </row>
    <row r="1359" spans="1:16">
      <c r="A1359" t="str">
        <f t="shared" si="20"/>
        <v>TGSLD3KWH ONPK%</v>
      </c>
      <c r="B1359" t="s">
        <v>717</v>
      </c>
      <c r="C1359" t="s">
        <v>131</v>
      </c>
      <c r="D1359" s="5">
        <v>0.22789000000000001</v>
      </c>
      <c r="E1359" s="5">
        <v>0.24568000000000001</v>
      </c>
      <c r="F1359" s="5">
        <v>0.24032999999999999</v>
      </c>
      <c r="G1359" s="5">
        <v>0.27894000000000002</v>
      </c>
      <c r="H1359" s="5">
        <v>0.28705999999999998</v>
      </c>
      <c r="I1359" s="5">
        <v>0.27839000000000003</v>
      </c>
      <c r="J1359" s="5">
        <v>0.26962999999999998</v>
      </c>
      <c r="K1359" s="5">
        <v>0.29572999999999999</v>
      </c>
      <c r="L1359" s="5">
        <v>0.24881</v>
      </c>
      <c r="M1359" s="5">
        <v>0.29070000000000001</v>
      </c>
      <c r="N1359" s="5">
        <v>0.23238</v>
      </c>
      <c r="O1359" s="5">
        <v>0.21052000000000001</v>
      </c>
    </row>
    <row r="1360" spans="1:16">
      <c r="A1360" t="str">
        <f t="shared" si="20"/>
        <v>TGSLD3KWH OFFPK%</v>
      </c>
      <c r="B1360" t="s">
        <v>717</v>
      </c>
      <c r="C1360" t="s">
        <v>132</v>
      </c>
      <c r="D1360" s="5">
        <v>0.77210999999999996</v>
      </c>
      <c r="E1360" s="5">
        <v>0.75431999999999999</v>
      </c>
      <c r="F1360" s="5">
        <v>0.75966999999999996</v>
      </c>
      <c r="G1360" s="5">
        <v>0.72106000000000003</v>
      </c>
      <c r="H1360" s="5">
        <v>0.71294000000000002</v>
      </c>
      <c r="I1360" s="5">
        <v>0.72160999999999997</v>
      </c>
      <c r="J1360" s="5">
        <v>0.73036999999999996</v>
      </c>
      <c r="K1360" s="5">
        <v>0.70426999999999995</v>
      </c>
      <c r="L1360" s="5">
        <v>0.75119000000000002</v>
      </c>
      <c r="M1360" s="5">
        <v>0.70930000000000004</v>
      </c>
      <c r="N1360" s="5">
        <v>0.76761999999999997</v>
      </c>
      <c r="O1360" s="5">
        <v>0.78947999999999996</v>
      </c>
    </row>
    <row r="1361" spans="1:15">
      <c r="A1361" t="str">
        <f t="shared" si="20"/>
        <v>TGSLD3DEMAND (KW):</v>
      </c>
      <c r="B1361" t="s">
        <v>717</v>
      </c>
      <c r="C1361" t="s">
        <v>62</v>
      </c>
    </row>
    <row r="1362" spans="1:15">
      <c r="A1362" t="str">
        <f t="shared" si="20"/>
        <v>TGSLD3NCP</v>
      </c>
      <c r="B1362" t="s">
        <v>717</v>
      </c>
      <c r="C1362" t="s">
        <v>133</v>
      </c>
      <c r="D1362">
        <v>36769</v>
      </c>
      <c r="E1362">
        <v>35955</v>
      </c>
      <c r="F1362">
        <v>36567</v>
      </c>
      <c r="G1362">
        <v>36171</v>
      </c>
      <c r="H1362">
        <v>37716</v>
      </c>
      <c r="I1362">
        <v>31012</v>
      </c>
      <c r="J1362">
        <v>31690</v>
      </c>
      <c r="K1362">
        <v>31593</v>
      </c>
      <c r="L1362">
        <v>35242</v>
      </c>
      <c r="M1362">
        <v>35476</v>
      </c>
      <c r="N1362">
        <v>36969</v>
      </c>
      <c r="O1362">
        <v>34145</v>
      </c>
    </row>
    <row r="1363" spans="1:15">
      <c r="A1363" t="str">
        <f t="shared" si="20"/>
        <v>TGSLD3NCP ONPK</v>
      </c>
      <c r="B1363" t="s">
        <v>717</v>
      </c>
      <c r="C1363" t="s">
        <v>134</v>
      </c>
      <c r="D1363">
        <v>29409</v>
      </c>
      <c r="E1363">
        <v>27850</v>
      </c>
      <c r="F1363">
        <v>26568</v>
      </c>
      <c r="G1363">
        <v>28130</v>
      </c>
      <c r="H1363">
        <v>29809</v>
      </c>
      <c r="I1363">
        <v>23120</v>
      </c>
      <c r="J1363">
        <v>22737</v>
      </c>
      <c r="K1363">
        <v>23404</v>
      </c>
      <c r="L1363">
        <v>22490</v>
      </c>
      <c r="M1363">
        <v>21995</v>
      </c>
      <c r="N1363">
        <v>25136</v>
      </c>
      <c r="O1363">
        <v>25776</v>
      </c>
    </row>
    <row r="1364" spans="1:15">
      <c r="A1364" t="str">
        <f t="shared" si="20"/>
        <v>TGSLD3NCP OFFPK</v>
      </c>
      <c r="B1364" t="s">
        <v>717</v>
      </c>
      <c r="C1364" t="s">
        <v>135</v>
      </c>
      <c r="D1364">
        <v>36231</v>
      </c>
      <c r="E1364">
        <v>35955</v>
      </c>
      <c r="F1364">
        <v>36539</v>
      </c>
      <c r="G1364">
        <v>35650</v>
      </c>
      <c r="H1364">
        <v>36542</v>
      </c>
      <c r="I1364">
        <v>30761</v>
      </c>
      <c r="J1364">
        <v>30835</v>
      </c>
      <c r="K1364">
        <v>31025</v>
      </c>
      <c r="L1364">
        <v>34688</v>
      </c>
      <c r="M1364">
        <v>34813</v>
      </c>
      <c r="N1364">
        <v>36787</v>
      </c>
      <c r="O1364">
        <v>34112</v>
      </c>
    </row>
    <row r="1365" spans="1:15">
      <c r="A1365" t="str">
        <f t="shared" si="20"/>
        <v>TGSLD3GCP DATE</v>
      </c>
      <c r="B1365" t="s">
        <v>717</v>
      </c>
      <c r="C1365" t="s">
        <v>136</v>
      </c>
      <c r="D1365" t="s">
        <v>1007</v>
      </c>
      <c r="E1365" t="s">
        <v>938</v>
      </c>
      <c r="F1365" t="s">
        <v>939</v>
      </c>
      <c r="G1365" t="s">
        <v>206</v>
      </c>
      <c r="H1365" t="s">
        <v>1008</v>
      </c>
      <c r="I1365" t="s">
        <v>29</v>
      </c>
      <c r="J1365" t="s">
        <v>31</v>
      </c>
      <c r="K1365" t="s">
        <v>188</v>
      </c>
      <c r="L1365" t="s">
        <v>956</v>
      </c>
      <c r="M1365" t="s">
        <v>957</v>
      </c>
      <c r="N1365" t="s">
        <v>1009</v>
      </c>
      <c r="O1365" t="s">
        <v>1010</v>
      </c>
    </row>
    <row r="1366" spans="1:15">
      <c r="A1366" t="str">
        <f t="shared" si="20"/>
        <v>TGSLD3GCP TIME</v>
      </c>
      <c r="B1366" t="s">
        <v>717</v>
      </c>
      <c r="C1366" t="s">
        <v>142</v>
      </c>
      <c r="D1366" t="s">
        <v>200</v>
      </c>
      <c r="E1366" t="s">
        <v>189</v>
      </c>
      <c r="F1366" t="s">
        <v>182</v>
      </c>
      <c r="G1366" t="s">
        <v>202</v>
      </c>
      <c r="H1366" t="s">
        <v>189</v>
      </c>
      <c r="I1366" t="s">
        <v>196</v>
      </c>
      <c r="J1366" t="s">
        <v>195</v>
      </c>
      <c r="K1366" t="s">
        <v>189</v>
      </c>
      <c r="L1366" t="s">
        <v>182</v>
      </c>
      <c r="M1366" t="s">
        <v>202</v>
      </c>
      <c r="N1366" t="s">
        <v>196</v>
      </c>
      <c r="O1366" t="s">
        <v>145</v>
      </c>
    </row>
    <row r="1367" spans="1:15">
      <c r="A1367" t="str">
        <f t="shared" si="20"/>
        <v>TGSLD3GCP</v>
      </c>
      <c r="B1367" t="s">
        <v>717</v>
      </c>
      <c r="C1367" t="s">
        <v>147</v>
      </c>
      <c r="D1367">
        <v>27522</v>
      </c>
      <c r="E1367">
        <v>29770</v>
      </c>
      <c r="F1367">
        <v>26797</v>
      </c>
      <c r="G1367">
        <v>31692</v>
      </c>
      <c r="H1367">
        <v>29061</v>
      </c>
      <c r="I1367">
        <v>24028</v>
      </c>
      <c r="J1367">
        <v>24104</v>
      </c>
      <c r="K1367">
        <v>26885</v>
      </c>
      <c r="L1367">
        <v>29287</v>
      </c>
      <c r="M1367">
        <v>28471</v>
      </c>
      <c r="N1367">
        <v>25482</v>
      </c>
      <c r="O1367">
        <v>28451</v>
      </c>
    </row>
    <row r="1368" spans="1:15">
      <c r="A1368" t="str">
        <f t="shared" si="20"/>
        <v>TGSLD3GCP ONPK</v>
      </c>
      <c r="B1368" t="s">
        <v>717</v>
      </c>
      <c r="C1368" t="s">
        <v>63</v>
      </c>
      <c r="D1368">
        <v>24439</v>
      </c>
      <c r="E1368">
        <v>25410</v>
      </c>
      <c r="F1368">
        <v>23584</v>
      </c>
      <c r="G1368">
        <v>26564</v>
      </c>
      <c r="H1368">
        <v>27110</v>
      </c>
      <c r="I1368">
        <v>22055</v>
      </c>
      <c r="J1368">
        <v>21146</v>
      </c>
      <c r="K1368">
        <v>21565</v>
      </c>
      <c r="L1368">
        <v>21060</v>
      </c>
      <c r="M1368">
        <v>20757</v>
      </c>
      <c r="N1368">
        <v>21889</v>
      </c>
      <c r="O1368">
        <v>24506</v>
      </c>
    </row>
    <row r="1369" spans="1:15">
      <c r="A1369" t="str">
        <f t="shared" si="20"/>
        <v>TGSLD3GCP OFFPK</v>
      </c>
      <c r="B1369" t="s">
        <v>717</v>
      </c>
      <c r="C1369" t="s">
        <v>64</v>
      </c>
      <c r="D1369">
        <v>27522</v>
      </c>
      <c r="E1369">
        <v>29770</v>
      </c>
      <c r="F1369">
        <v>26797</v>
      </c>
      <c r="G1369">
        <v>31692</v>
      </c>
      <c r="H1369">
        <v>29061</v>
      </c>
      <c r="I1369">
        <v>24028</v>
      </c>
      <c r="J1369">
        <v>24104</v>
      </c>
      <c r="K1369">
        <v>26885</v>
      </c>
      <c r="L1369">
        <v>29287</v>
      </c>
      <c r="M1369">
        <v>28471</v>
      </c>
      <c r="N1369">
        <v>25482</v>
      </c>
      <c r="O1369">
        <v>28451</v>
      </c>
    </row>
    <row r="1370" spans="1:15">
      <c r="A1370" t="str">
        <f t="shared" si="20"/>
        <v>TGSLD3CP</v>
      </c>
      <c r="B1370" t="s">
        <v>717</v>
      </c>
      <c r="C1370" t="s">
        <v>148</v>
      </c>
      <c r="D1370">
        <v>22856</v>
      </c>
      <c r="E1370">
        <v>23740</v>
      </c>
      <c r="F1370">
        <v>23348</v>
      </c>
      <c r="G1370">
        <v>25489</v>
      </c>
      <c r="H1370">
        <v>20919</v>
      </c>
      <c r="I1370">
        <v>19512</v>
      </c>
      <c r="J1370">
        <v>19924</v>
      </c>
      <c r="K1370">
        <v>19872</v>
      </c>
      <c r="L1370">
        <v>18294</v>
      </c>
      <c r="M1370">
        <v>17679</v>
      </c>
      <c r="N1370">
        <v>17738</v>
      </c>
      <c r="O1370">
        <v>23596</v>
      </c>
    </row>
    <row r="1371" spans="1:15">
      <c r="A1371" t="str">
        <f t="shared" si="20"/>
        <v>TGSLD3PERIOD START</v>
      </c>
      <c r="B1371" t="s">
        <v>717</v>
      </c>
      <c r="C1371" t="s">
        <v>149</v>
      </c>
      <c r="D1371" s="1">
        <v>40909</v>
      </c>
      <c r="E1371" s="1">
        <v>40940</v>
      </c>
      <c r="F1371" s="1">
        <v>40969</v>
      </c>
      <c r="G1371" s="1">
        <v>41000</v>
      </c>
      <c r="H1371" s="1">
        <v>41030</v>
      </c>
      <c r="I1371" s="1">
        <v>41061</v>
      </c>
      <c r="J1371" s="1">
        <v>41091</v>
      </c>
      <c r="K1371" s="1">
        <v>41122</v>
      </c>
      <c r="L1371" s="1">
        <v>41153</v>
      </c>
      <c r="M1371" s="1">
        <v>41183</v>
      </c>
      <c r="N1371" s="1">
        <v>41214</v>
      </c>
      <c r="O1371" s="1">
        <v>41244</v>
      </c>
    </row>
    <row r="1372" spans="1:15">
      <c r="A1372" t="str">
        <f t="shared" si="20"/>
        <v>TGSLD3NCP LF</v>
      </c>
      <c r="B1372" t="s">
        <v>717</v>
      </c>
      <c r="C1372" t="s">
        <v>150</v>
      </c>
      <c r="D1372" s="5">
        <v>0.56830000000000003</v>
      </c>
      <c r="E1372" s="5">
        <v>0.57579999999999998</v>
      </c>
      <c r="F1372" s="5">
        <v>0.57279999999999998</v>
      </c>
      <c r="G1372" s="5">
        <v>0.60119999999999996</v>
      </c>
      <c r="H1372" s="5">
        <v>0.53680000000000005</v>
      </c>
      <c r="I1372" s="5">
        <v>0.57599999999999996</v>
      </c>
      <c r="J1372" s="5">
        <v>0.55249999999999999</v>
      </c>
      <c r="K1372" s="5">
        <v>0.56289999999999996</v>
      </c>
      <c r="L1372" s="5">
        <v>0.4965</v>
      </c>
      <c r="M1372" s="5">
        <v>0.47210000000000002</v>
      </c>
      <c r="N1372" s="5">
        <v>0.47470000000000001</v>
      </c>
      <c r="O1372" s="5">
        <v>0.58879999999999999</v>
      </c>
    </row>
    <row r="1373" spans="1:15">
      <c r="A1373" t="str">
        <f t="shared" si="20"/>
        <v>TGSLD3NCP LF ONPK</v>
      </c>
      <c r="B1373" t="s">
        <v>717</v>
      </c>
      <c r="C1373" t="s">
        <v>151</v>
      </c>
      <c r="D1373" s="5">
        <v>0</v>
      </c>
      <c r="E1373" s="5">
        <v>0</v>
      </c>
      <c r="F1373" s="5">
        <v>0</v>
      </c>
      <c r="G1373" s="5">
        <v>0</v>
      </c>
      <c r="H1373" s="5">
        <v>0</v>
      </c>
      <c r="I1373" s="5">
        <v>0</v>
      </c>
      <c r="J1373" s="5">
        <v>0</v>
      </c>
      <c r="K1373" s="5">
        <v>0</v>
      </c>
      <c r="L1373" s="5">
        <v>0</v>
      </c>
      <c r="M1373" s="5">
        <v>0</v>
      </c>
      <c r="N1373" s="5">
        <v>0</v>
      </c>
      <c r="O1373" s="5">
        <v>0</v>
      </c>
    </row>
    <row r="1374" spans="1:15">
      <c r="A1374" t="str">
        <f t="shared" si="20"/>
        <v>TGSLD3NCP LF OFFPK</v>
      </c>
      <c r="B1374" t="s">
        <v>717</v>
      </c>
      <c r="C1374" t="s">
        <v>152</v>
      </c>
      <c r="D1374" s="5">
        <v>0</v>
      </c>
      <c r="E1374" s="5">
        <v>0</v>
      </c>
      <c r="F1374" s="5">
        <v>0</v>
      </c>
      <c r="G1374" s="5">
        <v>0</v>
      </c>
      <c r="H1374" s="5">
        <v>0</v>
      </c>
      <c r="I1374" s="5">
        <v>0</v>
      </c>
      <c r="J1374" s="5">
        <v>0</v>
      </c>
      <c r="K1374" s="5">
        <v>0</v>
      </c>
      <c r="L1374" s="5">
        <v>0</v>
      </c>
      <c r="M1374" s="5">
        <v>0</v>
      </c>
      <c r="N1374" s="5">
        <v>0</v>
      </c>
      <c r="O1374" s="5">
        <v>0</v>
      </c>
    </row>
    <row r="1375" spans="1:15">
      <c r="A1375" t="str">
        <f t="shared" si="20"/>
        <v>TGSLD3GCP CF</v>
      </c>
      <c r="B1375" t="s">
        <v>717</v>
      </c>
      <c r="C1375" t="s">
        <v>153</v>
      </c>
      <c r="D1375" s="5">
        <v>0.74850000000000005</v>
      </c>
      <c r="E1375" s="5">
        <v>0.82799999999999996</v>
      </c>
      <c r="F1375" s="5">
        <v>0.73280000000000001</v>
      </c>
      <c r="G1375" s="5">
        <v>0.87619999999999998</v>
      </c>
      <c r="H1375" s="5">
        <v>0.77049999999999996</v>
      </c>
      <c r="I1375" s="5">
        <v>0.77480000000000004</v>
      </c>
      <c r="J1375" s="5">
        <v>0.76060000000000005</v>
      </c>
      <c r="K1375" s="5">
        <v>0.85099999999999998</v>
      </c>
      <c r="L1375" s="5">
        <v>0.83099999999999996</v>
      </c>
      <c r="M1375" s="5">
        <v>0.80249999999999999</v>
      </c>
      <c r="N1375" s="5">
        <v>0.68930000000000002</v>
      </c>
      <c r="O1375" s="5">
        <v>0.83320000000000005</v>
      </c>
    </row>
    <row r="1376" spans="1:15">
      <c r="A1376" t="str">
        <f t="shared" si="20"/>
        <v>TGSLD3CP CF</v>
      </c>
      <c r="B1376" t="s">
        <v>717</v>
      </c>
      <c r="C1376" t="s">
        <v>154</v>
      </c>
      <c r="D1376" s="5">
        <v>0.62160000000000004</v>
      </c>
      <c r="E1376" s="5">
        <v>0.6603</v>
      </c>
      <c r="F1376" s="5">
        <v>0.63849999999999996</v>
      </c>
      <c r="G1376" s="5">
        <v>0.70469999999999999</v>
      </c>
      <c r="H1376" s="5">
        <v>0.55469999999999997</v>
      </c>
      <c r="I1376" s="5">
        <v>0.62919999999999998</v>
      </c>
      <c r="J1376" s="5">
        <v>0.62870000000000004</v>
      </c>
      <c r="K1376" s="5">
        <v>0.629</v>
      </c>
      <c r="L1376" s="5">
        <v>0.51910000000000001</v>
      </c>
      <c r="M1376" s="5">
        <v>0.49830000000000002</v>
      </c>
      <c r="N1376" s="5">
        <v>0.4798</v>
      </c>
      <c r="O1376" s="5">
        <v>0.69099999999999995</v>
      </c>
    </row>
    <row r="1377" spans="1:16">
      <c r="A1377" t="str">
        <f t="shared" si="20"/>
        <v>TGSLD3GCP LF</v>
      </c>
      <c r="B1377" t="s">
        <v>717</v>
      </c>
      <c r="C1377" t="s">
        <v>155</v>
      </c>
      <c r="D1377" s="5">
        <v>0.75919999999999999</v>
      </c>
      <c r="E1377" s="5">
        <v>0.69540000000000002</v>
      </c>
      <c r="F1377" s="5">
        <v>0.78169999999999995</v>
      </c>
      <c r="G1377" s="5">
        <v>0.68620000000000003</v>
      </c>
      <c r="H1377" s="5">
        <v>0.6966</v>
      </c>
      <c r="I1377" s="5">
        <v>0.74339999999999995</v>
      </c>
      <c r="J1377" s="5">
        <v>0.72640000000000005</v>
      </c>
      <c r="K1377" s="5">
        <v>0.66149999999999998</v>
      </c>
      <c r="L1377" s="5">
        <v>0.59740000000000004</v>
      </c>
      <c r="M1377" s="5">
        <v>0.58830000000000005</v>
      </c>
      <c r="N1377" s="5">
        <v>0.68869999999999998</v>
      </c>
      <c r="O1377" s="5">
        <v>0.70669999999999999</v>
      </c>
    </row>
    <row r="1378" spans="1:16">
      <c r="A1378" t="str">
        <f t="shared" si="20"/>
        <v>TGSLD3GCP LF ONPK</v>
      </c>
      <c r="B1378" t="s">
        <v>717</v>
      </c>
      <c r="C1378" t="s">
        <v>156</v>
      </c>
      <c r="D1378" s="5">
        <v>0</v>
      </c>
      <c r="E1378" s="5">
        <v>0</v>
      </c>
      <c r="F1378" s="5">
        <v>0</v>
      </c>
      <c r="G1378" s="5">
        <v>0</v>
      </c>
      <c r="H1378" s="5">
        <v>0</v>
      </c>
      <c r="I1378" s="5">
        <v>0</v>
      </c>
      <c r="J1378" s="5">
        <v>0</v>
      </c>
      <c r="K1378" s="5">
        <v>0</v>
      </c>
      <c r="L1378" s="5">
        <v>0</v>
      </c>
      <c r="M1378" s="5">
        <v>0</v>
      </c>
      <c r="N1378" s="5">
        <v>0</v>
      </c>
      <c r="O1378" s="5">
        <v>0</v>
      </c>
    </row>
    <row r="1379" spans="1:16">
      <c r="A1379" t="str">
        <f t="shared" si="20"/>
        <v>TGSLD3GCP LF OFFPK</v>
      </c>
      <c r="B1379" t="s">
        <v>717</v>
      </c>
      <c r="C1379" t="s">
        <v>157</v>
      </c>
      <c r="D1379" s="5">
        <v>0</v>
      </c>
      <c r="E1379" s="5">
        <v>0</v>
      </c>
      <c r="F1379" s="5">
        <v>0</v>
      </c>
      <c r="G1379" s="5">
        <v>0</v>
      </c>
      <c r="H1379" s="5">
        <v>0</v>
      </c>
      <c r="I1379" s="5">
        <v>0</v>
      </c>
      <c r="J1379" s="5">
        <v>0</v>
      </c>
      <c r="K1379" s="5">
        <v>0</v>
      </c>
      <c r="L1379" s="5">
        <v>0</v>
      </c>
      <c r="M1379" s="5">
        <v>0</v>
      </c>
      <c r="N1379" s="5">
        <v>0</v>
      </c>
      <c r="O1379" s="5">
        <v>0</v>
      </c>
    </row>
    <row r="1380" spans="1:16">
      <c r="A1380" t="str">
        <f t="shared" si="20"/>
        <v>TGSLD3CP LF</v>
      </c>
      <c r="B1380" t="s">
        <v>717</v>
      </c>
      <c r="C1380" t="s">
        <v>158</v>
      </c>
      <c r="D1380" s="5">
        <v>0.91420000000000001</v>
      </c>
      <c r="E1380" s="5">
        <v>0.87209999999999999</v>
      </c>
      <c r="F1380" s="5">
        <v>0.89710000000000001</v>
      </c>
      <c r="G1380" s="5">
        <v>0.85319999999999996</v>
      </c>
      <c r="H1380" s="5">
        <v>0.96779999999999999</v>
      </c>
      <c r="I1380" s="5">
        <v>0.91549999999999998</v>
      </c>
      <c r="J1380" s="5">
        <v>0.87890000000000001</v>
      </c>
      <c r="K1380" s="5">
        <v>0.89500000000000002</v>
      </c>
      <c r="L1380" s="5">
        <v>0.95640000000000003</v>
      </c>
      <c r="M1380" s="5">
        <v>0.94750000000000001</v>
      </c>
      <c r="N1380" s="5">
        <v>0.98929999999999996</v>
      </c>
      <c r="O1380" s="5">
        <v>0.85209999999999997</v>
      </c>
      <c r="P1380" s="4"/>
    </row>
    <row r="1381" spans="1:16">
      <c r="A1381" t="str">
        <f t="shared" si="20"/>
        <v>TGSLD3REL PREC:</v>
      </c>
      <c r="B1381" t="s">
        <v>717</v>
      </c>
      <c r="C1381" t="s">
        <v>65</v>
      </c>
    </row>
    <row r="1382" spans="1:16">
      <c r="A1382" t="str">
        <f t="shared" si="20"/>
        <v>TGSLD3NCP RP</v>
      </c>
      <c r="B1382" t="s">
        <v>717</v>
      </c>
      <c r="C1382" t="s">
        <v>159</v>
      </c>
      <c r="D1382" s="5">
        <v>0</v>
      </c>
      <c r="E1382" s="5">
        <v>0</v>
      </c>
      <c r="F1382" s="5">
        <v>0</v>
      </c>
      <c r="G1382" s="5">
        <v>0</v>
      </c>
      <c r="H1382" s="5">
        <v>0</v>
      </c>
      <c r="I1382" s="5">
        <v>0</v>
      </c>
      <c r="J1382" s="5">
        <v>0</v>
      </c>
      <c r="K1382" s="5">
        <v>0</v>
      </c>
      <c r="L1382" s="5">
        <v>0</v>
      </c>
      <c r="M1382" s="5">
        <v>0</v>
      </c>
      <c r="N1382" s="5">
        <v>0</v>
      </c>
      <c r="O1382" s="5">
        <v>0</v>
      </c>
    </row>
    <row r="1383" spans="1:16">
      <c r="A1383" t="str">
        <f t="shared" si="20"/>
        <v>TGSLD3NCP RP ONPK</v>
      </c>
      <c r="B1383" t="s">
        <v>717</v>
      </c>
      <c r="C1383" t="s">
        <v>160</v>
      </c>
      <c r="D1383" s="5">
        <v>0</v>
      </c>
      <c r="E1383" s="5">
        <v>0</v>
      </c>
      <c r="F1383" s="5">
        <v>0</v>
      </c>
      <c r="G1383" s="5">
        <v>0</v>
      </c>
      <c r="H1383" s="5">
        <v>0</v>
      </c>
      <c r="I1383" s="5">
        <v>0</v>
      </c>
      <c r="J1383" s="5">
        <v>0</v>
      </c>
      <c r="K1383" s="5">
        <v>0</v>
      </c>
      <c r="L1383" s="5">
        <v>0</v>
      </c>
      <c r="M1383" s="5">
        <v>0</v>
      </c>
      <c r="N1383" s="5">
        <v>0</v>
      </c>
      <c r="O1383" s="5">
        <v>0</v>
      </c>
    </row>
    <row r="1384" spans="1:16">
      <c r="A1384" t="str">
        <f t="shared" si="20"/>
        <v>TGSLD3NCP RP OFFPK</v>
      </c>
      <c r="B1384" t="s">
        <v>717</v>
      </c>
      <c r="C1384" t="s">
        <v>161</v>
      </c>
      <c r="D1384" s="5">
        <v>0</v>
      </c>
      <c r="E1384" s="5">
        <v>0</v>
      </c>
      <c r="F1384" s="5">
        <v>0</v>
      </c>
      <c r="G1384" s="5">
        <v>0</v>
      </c>
      <c r="H1384" s="5">
        <v>0</v>
      </c>
      <c r="I1384" s="5">
        <v>0</v>
      </c>
      <c r="J1384" s="5">
        <v>0</v>
      </c>
      <c r="K1384" s="5">
        <v>0</v>
      </c>
      <c r="L1384" s="5">
        <v>0</v>
      </c>
      <c r="M1384" s="5">
        <v>0</v>
      </c>
      <c r="N1384" s="5">
        <v>0</v>
      </c>
      <c r="O1384" s="5">
        <v>0</v>
      </c>
    </row>
    <row r="1385" spans="1:16">
      <c r="A1385" t="str">
        <f t="shared" si="20"/>
        <v>TGSLD3GCP RP</v>
      </c>
      <c r="B1385" t="s">
        <v>717</v>
      </c>
      <c r="C1385" t="s">
        <v>162</v>
      </c>
      <c r="D1385" s="5">
        <v>0</v>
      </c>
      <c r="E1385" s="5">
        <v>0</v>
      </c>
      <c r="F1385" s="5">
        <v>0</v>
      </c>
      <c r="G1385" s="5">
        <v>0</v>
      </c>
      <c r="H1385" s="5">
        <v>0</v>
      </c>
      <c r="I1385" s="5">
        <v>0</v>
      </c>
      <c r="J1385" s="5">
        <v>0</v>
      </c>
      <c r="K1385" s="5">
        <v>0</v>
      </c>
      <c r="L1385" s="5">
        <v>0</v>
      </c>
      <c r="M1385" s="5">
        <v>0</v>
      </c>
      <c r="N1385" s="5">
        <v>0</v>
      </c>
      <c r="O1385" s="5">
        <v>0</v>
      </c>
    </row>
    <row r="1386" spans="1:16">
      <c r="A1386" t="str">
        <f t="shared" si="20"/>
        <v>TGSLD3GCP RP ONPK</v>
      </c>
      <c r="B1386" t="s">
        <v>717</v>
      </c>
      <c r="C1386" t="s">
        <v>163</v>
      </c>
      <c r="D1386" s="5">
        <v>0</v>
      </c>
      <c r="E1386" s="5">
        <v>0</v>
      </c>
      <c r="F1386" s="5">
        <v>0</v>
      </c>
      <c r="G1386" s="5">
        <v>0</v>
      </c>
      <c r="H1386" s="5">
        <v>0</v>
      </c>
      <c r="I1386" s="5">
        <v>0</v>
      </c>
      <c r="J1386" s="5">
        <v>0</v>
      </c>
      <c r="K1386" s="5">
        <v>0</v>
      </c>
      <c r="L1386" s="5">
        <v>0</v>
      </c>
      <c r="M1386" s="5">
        <v>0</v>
      </c>
      <c r="N1386" s="5">
        <v>0</v>
      </c>
      <c r="O1386" s="5">
        <v>0</v>
      </c>
      <c r="P1386" s="91"/>
    </row>
    <row r="1387" spans="1:16">
      <c r="A1387" t="str">
        <f t="shared" si="20"/>
        <v>TGSLD3GCP RP OFFPK</v>
      </c>
      <c r="B1387" t="s">
        <v>717</v>
      </c>
      <c r="C1387" t="s">
        <v>164</v>
      </c>
      <c r="D1387" s="5">
        <v>0</v>
      </c>
      <c r="E1387" s="5">
        <v>0</v>
      </c>
      <c r="F1387" s="5">
        <v>0</v>
      </c>
      <c r="G1387" s="5">
        <v>0</v>
      </c>
      <c r="H1387" s="5">
        <v>0</v>
      </c>
      <c r="I1387" s="5">
        <v>0</v>
      </c>
      <c r="J1387" s="5">
        <v>0</v>
      </c>
      <c r="K1387" s="5">
        <v>0</v>
      </c>
      <c r="L1387" s="5">
        <v>0</v>
      </c>
      <c r="M1387" s="5">
        <v>0</v>
      </c>
      <c r="N1387" s="5">
        <v>0</v>
      </c>
      <c r="O1387" s="5">
        <v>0</v>
      </c>
    </row>
    <row r="1388" spans="1:16">
      <c r="A1388" t="str">
        <f t="shared" si="20"/>
        <v>TGSLD3CP RP</v>
      </c>
      <c r="B1388" t="s">
        <v>717</v>
      </c>
      <c r="C1388" t="s">
        <v>165</v>
      </c>
      <c r="D1388" s="5">
        <v>0</v>
      </c>
      <c r="E1388" s="5">
        <v>0</v>
      </c>
      <c r="F1388" s="5">
        <v>0</v>
      </c>
      <c r="G1388" s="5">
        <v>0</v>
      </c>
      <c r="H1388" s="5">
        <v>0</v>
      </c>
      <c r="I1388" s="5">
        <v>0</v>
      </c>
      <c r="J1388" s="5">
        <v>0</v>
      </c>
      <c r="K1388" s="5">
        <v>0</v>
      </c>
      <c r="L1388" s="5">
        <v>0</v>
      </c>
      <c r="M1388" s="5">
        <v>0</v>
      </c>
      <c r="N1388" s="5">
        <v>0</v>
      </c>
      <c r="O1388" s="5">
        <v>0</v>
      </c>
    </row>
    <row r="1389" spans="1:16">
      <c r="A1389" t="str">
        <f t="shared" si="20"/>
        <v>TGSLD3SAMPLE SIZE:</v>
      </c>
      <c r="B1389" t="s">
        <v>717</v>
      </c>
      <c r="C1389" t="s">
        <v>66</v>
      </c>
      <c r="P1389" s="5"/>
    </row>
    <row r="1390" spans="1:16">
      <c r="A1390" t="str">
        <f t="shared" si="20"/>
        <v>TGSLD3GCPSZ</v>
      </c>
      <c r="B1390" t="s">
        <v>717</v>
      </c>
      <c r="C1390" t="s">
        <v>166</v>
      </c>
      <c r="D1390">
        <v>8</v>
      </c>
      <c r="E1390">
        <v>7</v>
      </c>
      <c r="F1390">
        <v>8</v>
      </c>
      <c r="G1390">
        <v>8</v>
      </c>
      <c r="H1390">
        <v>8</v>
      </c>
      <c r="I1390">
        <v>8</v>
      </c>
      <c r="J1390">
        <v>8</v>
      </c>
      <c r="K1390">
        <v>8</v>
      </c>
      <c r="L1390">
        <v>8</v>
      </c>
      <c r="M1390">
        <v>8</v>
      </c>
      <c r="N1390">
        <v>8</v>
      </c>
      <c r="O1390">
        <v>8</v>
      </c>
      <c r="P1390" s="5"/>
    </row>
    <row r="1391" spans="1:16">
      <c r="A1391" t="str">
        <f t="shared" si="20"/>
        <v>TGSLD3GCPSZ ONPK</v>
      </c>
      <c r="B1391" t="s">
        <v>717</v>
      </c>
      <c r="C1391" t="s">
        <v>167</v>
      </c>
      <c r="D1391">
        <v>8</v>
      </c>
      <c r="E1391">
        <v>7</v>
      </c>
      <c r="F1391">
        <v>8</v>
      </c>
      <c r="G1391">
        <v>8</v>
      </c>
      <c r="H1391">
        <v>8</v>
      </c>
      <c r="I1391">
        <v>8</v>
      </c>
      <c r="J1391">
        <v>8</v>
      </c>
      <c r="K1391">
        <v>8</v>
      </c>
      <c r="L1391">
        <v>8</v>
      </c>
      <c r="M1391">
        <v>8</v>
      </c>
      <c r="N1391">
        <v>8</v>
      </c>
      <c r="O1391">
        <v>8</v>
      </c>
    </row>
    <row r="1392" spans="1:16">
      <c r="A1392" t="str">
        <f t="shared" si="20"/>
        <v>TGSLD3GCPSZ OFFPK</v>
      </c>
      <c r="B1392" t="s">
        <v>717</v>
      </c>
      <c r="C1392" t="s">
        <v>168</v>
      </c>
      <c r="D1392">
        <v>8</v>
      </c>
      <c r="E1392">
        <v>7</v>
      </c>
      <c r="F1392">
        <v>8</v>
      </c>
      <c r="G1392">
        <v>8</v>
      </c>
      <c r="H1392">
        <v>8</v>
      </c>
      <c r="I1392">
        <v>8</v>
      </c>
      <c r="J1392">
        <v>8</v>
      </c>
      <c r="K1392">
        <v>8</v>
      </c>
      <c r="L1392">
        <v>8</v>
      </c>
      <c r="M1392">
        <v>8</v>
      </c>
      <c r="N1392">
        <v>8</v>
      </c>
      <c r="O1392">
        <v>8</v>
      </c>
      <c r="P1392" s="89"/>
    </row>
    <row r="1393" spans="1:16">
      <c r="A1393" t="str">
        <f t="shared" si="20"/>
        <v>TGSLD3CPSZ</v>
      </c>
      <c r="B1393" t="s">
        <v>717</v>
      </c>
      <c r="C1393" t="s">
        <v>169</v>
      </c>
      <c r="D1393">
        <v>8</v>
      </c>
      <c r="E1393">
        <v>7</v>
      </c>
      <c r="F1393">
        <v>8</v>
      </c>
      <c r="G1393">
        <v>8</v>
      </c>
      <c r="H1393">
        <v>8</v>
      </c>
      <c r="I1393">
        <v>8</v>
      </c>
      <c r="J1393">
        <v>8</v>
      </c>
      <c r="K1393">
        <v>8</v>
      </c>
      <c r="L1393">
        <v>8</v>
      </c>
      <c r="M1393">
        <v>8</v>
      </c>
      <c r="N1393">
        <v>8</v>
      </c>
      <c r="O1393">
        <v>8</v>
      </c>
    </row>
    <row r="1394" spans="1:16">
      <c r="A1394" t="str">
        <f t="shared" si="20"/>
        <v/>
      </c>
    </row>
    <row r="1395" spans="1:16">
      <c r="A1395" t="str">
        <f t="shared" si="20"/>
        <v/>
      </c>
    </row>
    <row r="1396" spans="1:16">
      <c r="A1396" t="str">
        <f t="shared" si="20"/>
        <v/>
      </c>
    </row>
    <row r="1397" spans="1:16">
      <c r="A1397" t="str">
        <f t="shared" si="20"/>
        <v/>
      </c>
      <c r="P1397" s="87"/>
    </row>
    <row r="1398" spans="1:16">
      <c r="A1398" t="str">
        <f t="shared" ref="A1398:A1461" si="21">B1398&amp;C1398</f>
        <v/>
      </c>
    </row>
    <row r="1399" spans="1:16">
      <c r="A1399" t="str">
        <f t="shared" si="21"/>
        <v/>
      </c>
    </row>
    <row r="1400" spans="1:16">
      <c r="A1400" t="str">
        <f t="shared" si="21"/>
        <v/>
      </c>
      <c r="P1400" s="83"/>
    </row>
    <row r="1401" spans="1:16" ht="14.4">
      <c r="A1401" t="str">
        <f t="shared" si="21"/>
        <v xml:space="preserve">NOTE:     TGSLD3 rate class includes the GSLD-3, GSLDT-3, CS-3 and CST-3 rate schedules.  </v>
      </c>
      <c r="B1401" s="301" t="s">
        <v>1011</v>
      </c>
      <c r="P1401" s="1"/>
    </row>
    <row r="1402" spans="1:16">
      <c r="A1402" t="str">
        <f t="shared" si="21"/>
        <v xml:space="preserve">                 Customer and Sales lines reflects the total of the aggregated rate schedules.</v>
      </c>
      <c r="B1402" t="s">
        <v>1003</v>
      </c>
      <c r="P1402" s="5"/>
    </row>
    <row r="1403" spans="1:16">
      <c r="A1403" t="str">
        <f t="shared" si="21"/>
        <v xml:space="preserve">WAUCHULA Wholesale City of Wauchula </v>
      </c>
      <c r="B1403" t="s">
        <v>722</v>
      </c>
      <c r="C1403" t="s">
        <v>723</v>
      </c>
      <c r="P1403" s="5"/>
    </row>
    <row r="1404" spans="1:16">
      <c r="A1404" t="str">
        <f t="shared" si="21"/>
        <v xml:space="preserve">WAUCHULAMONTH </v>
      </c>
      <c r="B1404" t="s">
        <v>724</v>
      </c>
      <c r="C1404" t="s">
        <v>123</v>
      </c>
      <c r="D1404" s="4">
        <v>40909</v>
      </c>
      <c r="E1404" s="4">
        <v>40940</v>
      </c>
      <c r="F1404" s="4">
        <v>40969</v>
      </c>
      <c r="G1404" s="4">
        <v>41000</v>
      </c>
      <c r="H1404" s="4">
        <v>41030</v>
      </c>
      <c r="I1404" s="4">
        <v>41061</v>
      </c>
      <c r="J1404" s="4">
        <v>41091</v>
      </c>
      <c r="K1404" s="4">
        <v>41122</v>
      </c>
      <c r="L1404" s="4">
        <v>41153</v>
      </c>
      <c r="M1404" s="4">
        <v>41183</v>
      </c>
      <c r="N1404" s="4">
        <v>41214</v>
      </c>
      <c r="O1404" s="4">
        <v>41244</v>
      </c>
      <c r="P1404" s="5"/>
    </row>
    <row r="1405" spans="1:16">
      <c r="A1405" t="str">
        <f t="shared" si="21"/>
        <v xml:space="preserve">WAUCHULACUSTOMERS </v>
      </c>
      <c r="B1405" t="s">
        <v>724</v>
      </c>
      <c r="C1405" t="s">
        <v>124</v>
      </c>
      <c r="D1405">
        <v>3</v>
      </c>
      <c r="E1405">
        <v>3</v>
      </c>
      <c r="F1405">
        <v>3</v>
      </c>
      <c r="G1405">
        <v>3</v>
      </c>
      <c r="H1405">
        <v>3</v>
      </c>
      <c r="I1405">
        <v>4</v>
      </c>
      <c r="J1405">
        <v>4</v>
      </c>
      <c r="K1405">
        <v>4</v>
      </c>
      <c r="L1405">
        <v>4</v>
      </c>
      <c r="M1405">
        <v>4</v>
      </c>
      <c r="N1405">
        <v>4</v>
      </c>
      <c r="O1405">
        <v>4</v>
      </c>
      <c r="P1405" s="5"/>
    </row>
    <row r="1406" spans="1:16">
      <c r="A1406" t="str">
        <f t="shared" si="21"/>
        <v xml:space="preserve">WAUCHULASALES </v>
      </c>
      <c r="B1406" t="s">
        <v>724</v>
      </c>
      <c r="C1406" t="s">
        <v>125</v>
      </c>
      <c r="D1406">
        <v>56129329</v>
      </c>
      <c r="E1406">
        <v>55969779</v>
      </c>
      <c r="F1406">
        <v>56754611</v>
      </c>
      <c r="G1406">
        <v>64918601</v>
      </c>
      <c r="H1406">
        <v>62296913</v>
      </c>
      <c r="I1406">
        <v>75993810</v>
      </c>
      <c r="J1406">
        <v>79622845</v>
      </c>
      <c r="K1406">
        <v>88049119</v>
      </c>
      <c r="L1406">
        <v>88321780</v>
      </c>
      <c r="M1406">
        <v>76919724</v>
      </c>
      <c r="N1406">
        <v>71039401</v>
      </c>
      <c r="O1406">
        <v>52889179</v>
      </c>
      <c r="P1406" s="5"/>
    </row>
    <row r="1407" spans="1:16">
      <c r="A1407" t="str">
        <f t="shared" si="21"/>
        <v>WAUCHULAKW</v>
      </c>
      <c r="B1407" t="s">
        <v>724</v>
      </c>
      <c r="C1407" t="s">
        <v>126</v>
      </c>
      <c r="P1407" s="5"/>
    </row>
    <row r="1408" spans="1:16">
      <c r="A1408" t="str">
        <f t="shared" si="21"/>
        <v>WAUCHULAN</v>
      </c>
      <c r="B1408" t="s">
        <v>724</v>
      </c>
      <c r="C1408" t="s">
        <v>127</v>
      </c>
      <c r="D1408">
        <v>1</v>
      </c>
      <c r="E1408">
        <v>1</v>
      </c>
      <c r="F1408">
        <v>1</v>
      </c>
      <c r="G1408">
        <v>1</v>
      </c>
      <c r="H1408">
        <v>1</v>
      </c>
      <c r="I1408">
        <v>1</v>
      </c>
      <c r="J1408">
        <v>1</v>
      </c>
      <c r="K1408">
        <v>1</v>
      </c>
      <c r="L1408">
        <v>1</v>
      </c>
      <c r="M1408">
        <v>1</v>
      </c>
      <c r="N1408">
        <v>1</v>
      </c>
      <c r="O1408">
        <v>1</v>
      </c>
      <c r="P1408" s="5"/>
    </row>
    <row r="1409" spans="1:16">
      <c r="A1409" t="str">
        <f t="shared" si="21"/>
        <v>WAUCHULARLR ENERGY:</v>
      </c>
      <c r="B1409" t="s">
        <v>724</v>
      </c>
      <c r="C1409" t="s">
        <v>61</v>
      </c>
      <c r="P1409" s="5"/>
    </row>
    <row r="1410" spans="1:16">
      <c r="A1410" t="str">
        <f t="shared" si="21"/>
        <v>WAUCHULAKWH</v>
      </c>
      <c r="B1410" t="s">
        <v>724</v>
      </c>
      <c r="C1410" t="s">
        <v>128</v>
      </c>
      <c r="D1410">
        <v>4696802</v>
      </c>
      <c r="E1410">
        <v>4387832</v>
      </c>
      <c r="F1410">
        <v>4923176</v>
      </c>
      <c r="G1410">
        <v>4983318</v>
      </c>
      <c r="H1410">
        <v>6121061</v>
      </c>
      <c r="I1410">
        <v>5728761</v>
      </c>
      <c r="J1410">
        <v>6238877</v>
      </c>
      <c r="K1410">
        <v>6415755</v>
      </c>
      <c r="L1410">
        <v>5749036</v>
      </c>
      <c r="M1410">
        <v>5337916</v>
      </c>
      <c r="N1410">
        <v>4118235</v>
      </c>
      <c r="O1410">
        <v>4579340</v>
      </c>
      <c r="P1410" s="5"/>
    </row>
    <row r="1411" spans="1:16">
      <c r="A1411" t="str">
        <f t="shared" si="21"/>
        <v>WAUCHULAKWH ONPK</v>
      </c>
      <c r="B1411" t="s">
        <v>724</v>
      </c>
      <c r="C1411" t="s">
        <v>129</v>
      </c>
      <c r="D1411">
        <v>1229946</v>
      </c>
      <c r="E1411">
        <v>1175172</v>
      </c>
      <c r="F1411">
        <v>1258070</v>
      </c>
      <c r="G1411">
        <v>1714745</v>
      </c>
      <c r="H1411">
        <v>2134574</v>
      </c>
      <c r="I1411">
        <v>1903612</v>
      </c>
      <c r="J1411">
        <v>2023567</v>
      </c>
      <c r="K1411">
        <v>2331245</v>
      </c>
      <c r="L1411">
        <v>1732168</v>
      </c>
      <c r="M1411">
        <v>1908959</v>
      </c>
      <c r="N1411">
        <v>1066772</v>
      </c>
      <c r="O1411">
        <v>1088668</v>
      </c>
    </row>
    <row r="1412" spans="1:16">
      <c r="A1412" t="str">
        <f t="shared" si="21"/>
        <v>WAUCHULAKWH OFFPK</v>
      </c>
      <c r="B1412" t="s">
        <v>724</v>
      </c>
      <c r="C1412" t="s">
        <v>130</v>
      </c>
      <c r="D1412">
        <v>3466856</v>
      </c>
      <c r="E1412">
        <v>3212660</v>
      </c>
      <c r="F1412">
        <v>3665106</v>
      </c>
      <c r="G1412">
        <v>3268573</v>
      </c>
      <c r="H1412">
        <v>3986487</v>
      </c>
      <c r="I1412">
        <v>3825148</v>
      </c>
      <c r="J1412">
        <v>4215310</v>
      </c>
      <c r="K1412">
        <v>4084510</v>
      </c>
      <c r="L1412">
        <v>4016868</v>
      </c>
      <c r="M1412">
        <v>3428958</v>
      </c>
      <c r="N1412">
        <v>3051463</v>
      </c>
      <c r="O1412">
        <v>3490672</v>
      </c>
      <c r="P1412" s="5"/>
    </row>
    <row r="1413" spans="1:16">
      <c r="A1413" t="str">
        <f t="shared" si="21"/>
        <v>WAUCHULAKWH ONPK%</v>
      </c>
      <c r="B1413" t="s">
        <v>724</v>
      </c>
      <c r="C1413" t="s">
        <v>131</v>
      </c>
      <c r="D1413" s="5">
        <v>0.26186999999999999</v>
      </c>
      <c r="E1413" s="5">
        <v>0.26783000000000001</v>
      </c>
      <c r="F1413" s="5">
        <v>0.25553999999999999</v>
      </c>
      <c r="G1413" s="5">
        <v>0.34410000000000002</v>
      </c>
      <c r="H1413" s="5">
        <v>0.34872999999999998</v>
      </c>
      <c r="I1413" s="5">
        <v>0.33228999999999997</v>
      </c>
      <c r="J1413" s="5">
        <v>0.32435000000000003</v>
      </c>
      <c r="K1413" s="5">
        <v>0.36336000000000002</v>
      </c>
      <c r="L1413" s="5">
        <v>0.30130000000000001</v>
      </c>
      <c r="M1413" s="5">
        <v>0.35761999999999999</v>
      </c>
      <c r="N1413" s="5">
        <v>0.25903999999999999</v>
      </c>
      <c r="O1413" s="5">
        <v>0.23773</v>
      </c>
      <c r="P1413" s="5"/>
    </row>
    <row r="1414" spans="1:16">
      <c r="A1414" t="str">
        <f t="shared" si="21"/>
        <v>WAUCHULAKWH OFFPK%</v>
      </c>
      <c r="B1414" t="s">
        <v>724</v>
      </c>
      <c r="C1414" t="s">
        <v>132</v>
      </c>
      <c r="D1414" s="5">
        <v>0.73812999999999995</v>
      </c>
      <c r="E1414" s="5">
        <v>0.73216999999999999</v>
      </c>
      <c r="F1414" s="5">
        <v>0.74446000000000001</v>
      </c>
      <c r="G1414" s="5">
        <v>0.65590000000000004</v>
      </c>
      <c r="H1414" s="5">
        <v>0.65127000000000002</v>
      </c>
      <c r="I1414" s="5">
        <v>0.66771000000000003</v>
      </c>
      <c r="J1414" s="5">
        <v>0.67564999999999997</v>
      </c>
      <c r="K1414" s="5">
        <v>0.63663999999999998</v>
      </c>
      <c r="L1414" s="5">
        <v>0.69869999999999999</v>
      </c>
      <c r="M1414" s="5">
        <v>0.64237999999999995</v>
      </c>
      <c r="N1414" s="5">
        <v>0.74095999999999995</v>
      </c>
      <c r="O1414" s="5">
        <v>0.76227</v>
      </c>
      <c r="P1414" s="5"/>
    </row>
    <row r="1415" spans="1:16">
      <c r="A1415" t="str">
        <f t="shared" si="21"/>
        <v>WAUCHULADEMAND (KW):</v>
      </c>
      <c r="B1415" t="s">
        <v>724</v>
      </c>
      <c r="C1415" t="s">
        <v>62</v>
      </c>
      <c r="P1415" s="5"/>
    </row>
    <row r="1416" spans="1:16">
      <c r="A1416" t="str">
        <f t="shared" si="21"/>
        <v>WAUCHULANCP</v>
      </c>
      <c r="B1416" t="s">
        <v>724</v>
      </c>
      <c r="C1416" t="s">
        <v>133</v>
      </c>
      <c r="D1416">
        <v>13129</v>
      </c>
      <c r="E1416">
        <v>11883</v>
      </c>
      <c r="F1416">
        <v>10638</v>
      </c>
      <c r="G1416">
        <v>11650</v>
      </c>
      <c r="H1416">
        <v>13132</v>
      </c>
      <c r="I1416">
        <v>13054</v>
      </c>
      <c r="J1416">
        <v>13417</v>
      </c>
      <c r="K1416">
        <v>13650</v>
      </c>
      <c r="L1416">
        <v>12873</v>
      </c>
      <c r="M1416">
        <v>12111</v>
      </c>
      <c r="N1416">
        <v>8158</v>
      </c>
      <c r="O1416">
        <v>10033</v>
      </c>
      <c r="P1416" s="5"/>
    </row>
    <row r="1417" spans="1:16">
      <c r="A1417" t="str">
        <f t="shared" si="21"/>
        <v>WAUCHULANCP ONPK</v>
      </c>
      <c r="B1417" t="s">
        <v>724</v>
      </c>
      <c r="C1417" t="s">
        <v>134</v>
      </c>
      <c r="D1417">
        <v>13129</v>
      </c>
      <c r="E1417">
        <v>11883</v>
      </c>
      <c r="F1417">
        <v>9418</v>
      </c>
      <c r="G1417">
        <v>11650</v>
      </c>
      <c r="H1417">
        <v>13132</v>
      </c>
      <c r="I1417">
        <v>13054</v>
      </c>
      <c r="J1417">
        <v>13417</v>
      </c>
      <c r="K1417">
        <v>13650</v>
      </c>
      <c r="L1417">
        <v>12873</v>
      </c>
      <c r="M1417">
        <v>12111</v>
      </c>
      <c r="N1417">
        <v>7902</v>
      </c>
      <c r="O1417">
        <v>9140</v>
      </c>
      <c r="P1417" s="5"/>
    </row>
    <row r="1418" spans="1:16">
      <c r="A1418" t="str">
        <f t="shared" si="21"/>
        <v>WAUCHULANCP OFFPK</v>
      </c>
      <c r="B1418" t="s">
        <v>724</v>
      </c>
      <c r="C1418" t="s">
        <v>135</v>
      </c>
      <c r="D1418">
        <v>11650</v>
      </c>
      <c r="E1418">
        <v>10249</v>
      </c>
      <c r="F1418">
        <v>10638</v>
      </c>
      <c r="G1418">
        <v>9574</v>
      </c>
      <c r="H1418">
        <v>10930</v>
      </c>
      <c r="I1418">
        <v>11138</v>
      </c>
      <c r="J1418">
        <v>11655</v>
      </c>
      <c r="K1418">
        <v>11733</v>
      </c>
      <c r="L1418">
        <v>11034</v>
      </c>
      <c r="M1418">
        <v>10280</v>
      </c>
      <c r="N1418">
        <v>8158</v>
      </c>
      <c r="O1418">
        <v>10033</v>
      </c>
      <c r="P1418" s="5"/>
    </row>
    <row r="1419" spans="1:16">
      <c r="A1419" t="str">
        <f t="shared" si="21"/>
        <v>WAUCHULAGCP DATE</v>
      </c>
      <c r="B1419" t="s">
        <v>724</v>
      </c>
      <c r="C1419" t="s">
        <v>136</v>
      </c>
      <c r="D1419" t="s">
        <v>924</v>
      </c>
      <c r="E1419" t="s">
        <v>958</v>
      </c>
      <c r="F1419" t="s">
        <v>916</v>
      </c>
      <c r="G1419" t="s">
        <v>138</v>
      </c>
      <c r="H1419" t="s">
        <v>207</v>
      </c>
      <c r="I1419" t="s">
        <v>981</v>
      </c>
      <c r="J1419" t="s">
        <v>187</v>
      </c>
      <c r="K1419" t="s">
        <v>959</v>
      </c>
      <c r="L1419" t="s">
        <v>982</v>
      </c>
      <c r="M1419" t="s">
        <v>952</v>
      </c>
      <c r="N1419" t="s">
        <v>913</v>
      </c>
      <c r="O1419" t="s">
        <v>10</v>
      </c>
    </row>
    <row r="1420" spans="1:16">
      <c r="A1420" t="str">
        <f t="shared" si="21"/>
        <v>WAUCHULAGCP TIME</v>
      </c>
      <c r="B1420" t="s">
        <v>724</v>
      </c>
      <c r="C1420" t="s">
        <v>142</v>
      </c>
      <c r="D1420" t="s">
        <v>203</v>
      </c>
      <c r="E1420" t="s">
        <v>203</v>
      </c>
      <c r="F1420" t="s">
        <v>195</v>
      </c>
      <c r="G1420" t="s">
        <v>195</v>
      </c>
      <c r="H1420" t="s">
        <v>195</v>
      </c>
      <c r="I1420" t="s">
        <v>195</v>
      </c>
      <c r="J1420" t="s">
        <v>195</v>
      </c>
      <c r="K1420" t="s">
        <v>195</v>
      </c>
      <c r="L1420" t="s">
        <v>145</v>
      </c>
      <c r="M1420" t="s">
        <v>145</v>
      </c>
      <c r="N1420" t="s">
        <v>145</v>
      </c>
      <c r="O1420" t="s">
        <v>194</v>
      </c>
    </row>
    <row r="1421" spans="1:16">
      <c r="A1421" t="str">
        <f t="shared" si="21"/>
        <v>WAUCHULAGCP</v>
      </c>
      <c r="B1421" t="s">
        <v>724</v>
      </c>
      <c r="C1421" t="s">
        <v>147</v>
      </c>
      <c r="D1421">
        <v>13129</v>
      </c>
      <c r="E1421">
        <v>11883</v>
      </c>
      <c r="F1421">
        <v>10638</v>
      </c>
      <c r="G1421">
        <v>11650</v>
      </c>
      <c r="H1421">
        <v>13132</v>
      </c>
      <c r="I1421">
        <v>13054</v>
      </c>
      <c r="J1421">
        <v>13417</v>
      </c>
      <c r="K1421">
        <v>13650</v>
      </c>
      <c r="L1421">
        <v>12873</v>
      </c>
      <c r="M1421">
        <v>12111</v>
      </c>
      <c r="N1421">
        <v>8158</v>
      </c>
      <c r="O1421">
        <v>10033</v>
      </c>
    </row>
    <row r="1422" spans="1:16">
      <c r="A1422" t="str">
        <f t="shared" si="21"/>
        <v>WAUCHULAGCP ONPK</v>
      </c>
      <c r="B1422" t="s">
        <v>724</v>
      </c>
      <c r="C1422" t="s">
        <v>63</v>
      </c>
      <c r="D1422">
        <v>13129</v>
      </c>
      <c r="E1422">
        <v>11883</v>
      </c>
      <c r="F1422">
        <v>9418</v>
      </c>
      <c r="G1422">
        <v>11650</v>
      </c>
      <c r="H1422">
        <v>13132</v>
      </c>
      <c r="I1422">
        <v>13054</v>
      </c>
      <c r="J1422">
        <v>13417</v>
      </c>
      <c r="K1422">
        <v>13650</v>
      </c>
      <c r="L1422">
        <v>12873</v>
      </c>
      <c r="M1422">
        <v>12111</v>
      </c>
      <c r="N1422">
        <v>7902</v>
      </c>
      <c r="O1422">
        <v>9140</v>
      </c>
    </row>
    <row r="1423" spans="1:16">
      <c r="A1423" t="str">
        <f t="shared" si="21"/>
        <v>WAUCHULAGCP OFFPK</v>
      </c>
      <c r="B1423" t="s">
        <v>724</v>
      </c>
      <c r="C1423" t="s">
        <v>64</v>
      </c>
      <c r="D1423">
        <v>11650</v>
      </c>
      <c r="E1423">
        <v>10249</v>
      </c>
      <c r="F1423">
        <v>10638</v>
      </c>
      <c r="G1423">
        <v>9574</v>
      </c>
      <c r="H1423">
        <v>10930</v>
      </c>
      <c r="I1423">
        <v>11138</v>
      </c>
      <c r="J1423">
        <v>11655</v>
      </c>
      <c r="K1423">
        <v>11733</v>
      </c>
      <c r="L1423">
        <v>11034</v>
      </c>
      <c r="M1423">
        <v>10280</v>
      </c>
      <c r="N1423">
        <v>8158</v>
      </c>
      <c r="O1423">
        <v>10033</v>
      </c>
    </row>
    <row r="1424" spans="1:16">
      <c r="A1424" t="str">
        <f t="shared" si="21"/>
        <v>WAUCHULACP</v>
      </c>
      <c r="B1424" t="s">
        <v>724</v>
      </c>
      <c r="C1424" t="s">
        <v>148</v>
      </c>
      <c r="D1424">
        <v>13129</v>
      </c>
      <c r="E1424">
        <v>9782</v>
      </c>
      <c r="F1424">
        <v>10638</v>
      </c>
      <c r="G1424">
        <v>11027</v>
      </c>
      <c r="H1424">
        <v>13132</v>
      </c>
      <c r="I1424">
        <v>12251</v>
      </c>
      <c r="J1424">
        <v>12666</v>
      </c>
      <c r="K1424">
        <v>13210</v>
      </c>
      <c r="L1424">
        <v>10827</v>
      </c>
      <c r="M1424">
        <v>11498</v>
      </c>
      <c r="N1424">
        <v>7682</v>
      </c>
      <c r="O1424">
        <v>9140</v>
      </c>
    </row>
    <row r="1425" spans="1:16">
      <c r="A1425" t="str">
        <f t="shared" si="21"/>
        <v>WAUCHULAPERIOD START</v>
      </c>
      <c r="B1425" t="s">
        <v>724</v>
      </c>
      <c r="C1425" t="s">
        <v>149</v>
      </c>
      <c r="D1425" s="1">
        <v>40909</v>
      </c>
      <c r="E1425" s="1">
        <v>40940</v>
      </c>
      <c r="F1425" s="1">
        <v>40969</v>
      </c>
      <c r="G1425" s="1">
        <v>41000</v>
      </c>
      <c r="H1425" s="1">
        <v>41030</v>
      </c>
      <c r="I1425" s="1">
        <v>41061</v>
      </c>
      <c r="J1425" s="1">
        <v>41091</v>
      </c>
      <c r="K1425" s="1">
        <v>41122</v>
      </c>
      <c r="L1425" s="1">
        <v>41153</v>
      </c>
      <c r="M1425" s="1">
        <v>41183</v>
      </c>
      <c r="N1425" s="1">
        <v>41214</v>
      </c>
      <c r="O1425" s="1">
        <v>41244</v>
      </c>
    </row>
    <row r="1426" spans="1:16">
      <c r="A1426" t="str">
        <f t="shared" si="21"/>
        <v>WAUCHULANCP LF</v>
      </c>
      <c r="B1426" t="s">
        <v>724</v>
      </c>
      <c r="C1426" t="s">
        <v>150</v>
      </c>
      <c r="D1426" s="5">
        <v>0.48080000000000001</v>
      </c>
      <c r="E1426" s="5">
        <v>0.53049999999999997</v>
      </c>
      <c r="F1426" s="5">
        <v>0.62290000000000001</v>
      </c>
      <c r="G1426" s="5">
        <v>0.59409999999999996</v>
      </c>
      <c r="H1426" s="5">
        <v>0.62649999999999995</v>
      </c>
      <c r="I1426" s="5">
        <v>0.60950000000000004</v>
      </c>
      <c r="J1426" s="5">
        <v>0.625</v>
      </c>
      <c r="K1426" s="5">
        <v>0.63180000000000003</v>
      </c>
      <c r="L1426" s="5">
        <v>0.62029999999999996</v>
      </c>
      <c r="M1426" s="5">
        <v>0.59240000000000004</v>
      </c>
      <c r="N1426" s="5">
        <v>0.70109999999999995</v>
      </c>
      <c r="O1426" s="5">
        <v>0.61350000000000005</v>
      </c>
    </row>
    <row r="1427" spans="1:16">
      <c r="A1427" t="str">
        <f t="shared" si="21"/>
        <v>WAUCHULANCP LF ONPK</v>
      </c>
      <c r="B1427" t="s">
        <v>724</v>
      </c>
      <c r="C1427" t="s">
        <v>151</v>
      </c>
      <c r="D1427" s="5">
        <v>0.55759999999999998</v>
      </c>
      <c r="E1427" s="5">
        <v>0.58860000000000001</v>
      </c>
      <c r="F1427" s="5">
        <v>0.75900000000000001</v>
      </c>
      <c r="G1427" s="5">
        <v>0.77880000000000005</v>
      </c>
      <c r="H1427" s="5">
        <v>0.82099999999999995</v>
      </c>
      <c r="I1427" s="5">
        <v>0.77159999999999995</v>
      </c>
      <c r="J1427" s="5">
        <v>0.79800000000000004</v>
      </c>
      <c r="K1427" s="5">
        <v>0.82509999999999994</v>
      </c>
      <c r="L1427" s="5">
        <v>0.78690000000000004</v>
      </c>
      <c r="M1427" s="5">
        <v>0.76139999999999997</v>
      </c>
      <c r="N1427" s="5">
        <v>0.80359999999999998</v>
      </c>
      <c r="O1427" s="5">
        <v>0.74450000000000005</v>
      </c>
    </row>
    <row r="1428" spans="1:16">
      <c r="A1428" t="str">
        <f t="shared" si="21"/>
        <v>WAUCHULANCP LF OFFPK</v>
      </c>
      <c r="B1428" t="s">
        <v>724</v>
      </c>
      <c r="C1428" t="s">
        <v>152</v>
      </c>
      <c r="D1428" s="5">
        <v>0.51659999999999995</v>
      </c>
      <c r="E1428" s="5">
        <v>0.59370000000000001</v>
      </c>
      <c r="F1428" s="5">
        <v>0.60760000000000003</v>
      </c>
      <c r="G1428" s="5">
        <v>0.64290000000000003</v>
      </c>
      <c r="H1428" s="5">
        <v>0.66800000000000004</v>
      </c>
      <c r="I1428" s="5">
        <v>0.64680000000000004</v>
      </c>
      <c r="J1428" s="5">
        <v>0.65159999999999996</v>
      </c>
      <c r="K1428" s="5">
        <v>0.64829999999999999</v>
      </c>
      <c r="L1428" s="5">
        <v>0.66310000000000002</v>
      </c>
      <c r="M1428" s="5">
        <v>0.62119999999999997</v>
      </c>
      <c r="N1428" s="5">
        <v>0.67759999999999998</v>
      </c>
      <c r="O1428" s="5">
        <v>0.5958</v>
      </c>
    </row>
    <row r="1429" spans="1:16">
      <c r="A1429" t="str">
        <f t="shared" si="21"/>
        <v>WAUCHULAGCP CF</v>
      </c>
      <c r="B1429" t="s">
        <v>724</v>
      </c>
      <c r="C1429" t="s">
        <v>153</v>
      </c>
      <c r="D1429" s="5">
        <v>1</v>
      </c>
      <c r="E1429" s="5">
        <v>1</v>
      </c>
      <c r="F1429" s="5">
        <v>1</v>
      </c>
      <c r="G1429" s="5">
        <v>1</v>
      </c>
      <c r="H1429" s="5">
        <v>1</v>
      </c>
      <c r="I1429" s="5">
        <v>1</v>
      </c>
      <c r="J1429" s="5">
        <v>1</v>
      </c>
      <c r="K1429" s="5">
        <v>1</v>
      </c>
      <c r="L1429" s="5">
        <v>1</v>
      </c>
      <c r="M1429" s="5">
        <v>1</v>
      </c>
      <c r="N1429" s="5">
        <v>1</v>
      </c>
      <c r="O1429" s="5">
        <v>1</v>
      </c>
    </row>
    <row r="1430" spans="1:16">
      <c r="A1430" t="str">
        <f t="shared" si="21"/>
        <v>WAUCHULACP CF</v>
      </c>
      <c r="B1430" t="s">
        <v>724</v>
      </c>
      <c r="C1430" t="s">
        <v>154</v>
      </c>
      <c r="D1430" s="5">
        <v>1</v>
      </c>
      <c r="E1430" s="5">
        <v>0.82310000000000005</v>
      </c>
      <c r="F1430" s="5">
        <v>1</v>
      </c>
      <c r="G1430" s="5">
        <v>0.94650000000000001</v>
      </c>
      <c r="H1430" s="5">
        <v>1</v>
      </c>
      <c r="I1430" s="5">
        <v>0.9385</v>
      </c>
      <c r="J1430" s="5">
        <v>0.94399999999999995</v>
      </c>
      <c r="K1430" s="5">
        <v>0.9677</v>
      </c>
      <c r="L1430" s="5">
        <v>0.84099999999999997</v>
      </c>
      <c r="M1430" s="5">
        <v>0.94940000000000002</v>
      </c>
      <c r="N1430" s="5">
        <v>0.94169999999999998</v>
      </c>
      <c r="O1430" s="5">
        <v>0.91100000000000003</v>
      </c>
    </row>
    <row r="1431" spans="1:16">
      <c r="A1431" t="str">
        <f t="shared" si="21"/>
        <v>WAUCHULAGCP LF</v>
      </c>
      <c r="B1431" t="s">
        <v>724</v>
      </c>
      <c r="C1431" t="s">
        <v>155</v>
      </c>
      <c r="D1431" s="5">
        <v>0.48080000000000001</v>
      </c>
      <c r="E1431" s="5">
        <v>0.53049999999999997</v>
      </c>
      <c r="F1431" s="5">
        <v>0.62290000000000001</v>
      </c>
      <c r="G1431" s="5">
        <v>0.59409999999999996</v>
      </c>
      <c r="H1431" s="5">
        <v>0.62649999999999995</v>
      </c>
      <c r="I1431" s="5">
        <v>0.60950000000000004</v>
      </c>
      <c r="J1431" s="5">
        <v>0.625</v>
      </c>
      <c r="K1431" s="5">
        <v>0.63180000000000003</v>
      </c>
      <c r="L1431" s="5">
        <v>0.62029999999999996</v>
      </c>
      <c r="M1431" s="5">
        <v>0.59240000000000004</v>
      </c>
      <c r="N1431" s="5">
        <v>0.70109999999999995</v>
      </c>
      <c r="O1431" s="5">
        <v>0.61350000000000005</v>
      </c>
      <c r="P1431" s="4"/>
    </row>
    <row r="1432" spans="1:16">
      <c r="A1432" t="str">
        <f t="shared" si="21"/>
        <v>WAUCHULAGCP LF ONPK</v>
      </c>
      <c r="B1432" t="s">
        <v>724</v>
      </c>
      <c r="C1432" t="s">
        <v>156</v>
      </c>
      <c r="D1432" s="5">
        <v>0.55759999999999998</v>
      </c>
      <c r="E1432" s="5">
        <v>0.58860000000000001</v>
      </c>
      <c r="F1432" s="5">
        <v>0.75900000000000001</v>
      </c>
      <c r="G1432" s="5">
        <v>0.77880000000000005</v>
      </c>
      <c r="H1432" s="5">
        <v>0.82099999999999995</v>
      </c>
      <c r="I1432" s="5">
        <v>0.77159999999999995</v>
      </c>
      <c r="J1432" s="5">
        <v>0.79800000000000004</v>
      </c>
      <c r="K1432" s="5">
        <v>0.82509999999999994</v>
      </c>
      <c r="L1432" s="5">
        <v>0.78690000000000004</v>
      </c>
      <c r="M1432" s="5">
        <v>0.76139999999999997</v>
      </c>
      <c r="N1432" s="5">
        <v>0.80359999999999998</v>
      </c>
      <c r="O1432" s="5">
        <v>0.74450000000000005</v>
      </c>
    </row>
    <row r="1433" spans="1:16">
      <c r="A1433" t="str">
        <f t="shared" si="21"/>
        <v>WAUCHULAGCP LF OFFPK</v>
      </c>
      <c r="B1433" t="s">
        <v>724</v>
      </c>
      <c r="C1433" t="s">
        <v>157</v>
      </c>
      <c r="D1433" s="5">
        <v>0.51659999999999995</v>
      </c>
      <c r="E1433" s="5">
        <v>0.59370000000000001</v>
      </c>
      <c r="F1433" s="5">
        <v>0.60760000000000003</v>
      </c>
      <c r="G1433" s="5">
        <v>0.64290000000000003</v>
      </c>
      <c r="H1433" s="5">
        <v>0.66800000000000004</v>
      </c>
      <c r="I1433" s="5">
        <v>0.64680000000000004</v>
      </c>
      <c r="J1433" s="5">
        <v>0.65159999999999996</v>
      </c>
      <c r="K1433" s="5">
        <v>0.64829999999999999</v>
      </c>
      <c r="L1433" s="5">
        <v>0.66310000000000002</v>
      </c>
      <c r="M1433" s="5">
        <v>0.62119999999999997</v>
      </c>
      <c r="N1433" s="5">
        <v>0.67759999999999998</v>
      </c>
      <c r="O1433" s="5">
        <v>0.5958</v>
      </c>
    </row>
    <row r="1434" spans="1:16">
      <c r="A1434" t="str">
        <f t="shared" si="21"/>
        <v>WAUCHULACP LF</v>
      </c>
      <c r="B1434" t="s">
        <v>724</v>
      </c>
      <c r="C1434" t="s">
        <v>158</v>
      </c>
      <c r="D1434" s="5">
        <v>0.48080000000000001</v>
      </c>
      <c r="E1434" s="5">
        <v>0.64449999999999996</v>
      </c>
      <c r="F1434" s="5">
        <v>0.62290000000000001</v>
      </c>
      <c r="G1434" s="5">
        <v>0.62770000000000004</v>
      </c>
      <c r="H1434" s="5">
        <v>0.62649999999999995</v>
      </c>
      <c r="I1434" s="5">
        <v>0.64949999999999997</v>
      </c>
      <c r="J1434" s="5">
        <v>0.66210000000000002</v>
      </c>
      <c r="K1434" s="5">
        <v>0.65280000000000005</v>
      </c>
      <c r="L1434" s="5">
        <v>0.73750000000000004</v>
      </c>
      <c r="M1434" s="5">
        <v>0.624</v>
      </c>
      <c r="N1434" s="5">
        <v>0.74450000000000005</v>
      </c>
      <c r="O1434" s="5">
        <v>0.6734</v>
      </c>
    </row>
    <row r="1435" spans="1:16">
      <c r="A1435" t="str">
        <f t="shared" si="21"/>
        <v>WAUCHULAREL PREC:</v>
      </c>
      <c r="B1435" t="s">
        <v>724</v>
      </c>
      <c r="C1435" t="s">
        <v>65</v>
      </c>
    </row>
    <row r="1436" spans="1:16">
      <c r="A1436" t="str">
        <f t="shared" si="21"/>
        <v>WAUCHULANCP RP</v>
      </c>
      <c r="B1436" t="s">
        <v>724</v>
      </c>
      <c r="C1436" t="s">
        <v>159</v>
      </c>
      <c r="D1436" s="5">
        <v>0</v>
      </c>
      <c r="E1436" s="5">
        <v>0</v>
      </c>
      <c r="F1436" s="5">
        <v>0</v>
      </c>
      <c r="G1436" s="5">
        <v>0</v>
      </c>
      <c r="H1436" s="5">
        <v>0</v>
      </c>
      <c r="I1436" s="5">
        <v>0</v>
      </c>
      <c r="J1436" s="5">
        <v>0</v>
      </c>
      <c r="K1436" s="5">
        <v>0</v>
      </c>
      <c r="L1436" s="5">
        <v>0</v>
      </c>
      <c r="M1436" s="5">
        <v>0</v>
      </c>
      <c r="N1436" s="5">
        <v>0</v>
      </c>
      <c r="O1436" s="5">
        <v>0</v>
      </c>
    </row>
    <row r="1437" spans="1:16">
      <c r="A1437" t="str">
        <f t="shared" si="21"/>
        <v>WAUCHULANCP RP ONPK</v>
      </c>
      <c r="B1437" t="s">
        <v>724</v>
      </c>
      <c r="C1437" t="s">
        <v>160</v>
      </c>
      <c r="D1437" s="5">
        <v>0</v>
      </c>
      <c r="E1437" s="5">
        <v>0</v>
      </c>
      <c r="F1437" s="5">
        <v>0</v>
      </c>
      <c r="G1437" s="5">
        <v>0</v>
      </c>
      <c r="H1437" s="5">
        <v>0</v>
      </c>
      <c r="I1437" s="5">
        <v>0</v>
      </c>
      <c r="J1437" s="5">
        <v>0</v>
      </c>
      <c r="K1437" s="5">
        <v>0</v>
      </c>
      <c r="L1437" s="5">
        <v>0</v>
      </c>
      <c r="M1437" s="5">
        <v>0</v>
      </c>
      <c r="N1437" s="5">
        <v>0</v>
      </c>
      <c r="O1437" s="5">
        <v>0</v>
      </c>
      <c r="P1437" s="91"/>
    </row>
    <row r="1438" spans="1:16">
      <c r="A1438" t="str">
        <f t="shared" si="21"/>
        <v>WAUCHULANCP RP OFFPK</v>
      </c>
      <c r="B1438" t="s">
        <v>724</v>
      </c>
      <c r="C1438" t="s">
        <v>161</v>
      </c>
      <c r="D1438" s="5">
        <v>0</v>
      </c>
      <c r="E1438" s="5">
        <v>0</v>
      </c>
      <c r="F1438" s="5">
        <v>0</v>
      </c>
      <c r="G1438" s="5">
        <v>0</v>
      </c>
      <c r="H1438" s="5">
        <v>0</v>
      </c>
      <c r="I1438" s="5">
        <v>0</v>
      </c>
      <c r="J1438" s="5">
        <v>0</v>
      </c>
      <c r="K1438" s="5">
        <v>0</v>
      </c>
      <c r="L1438" s="5">
        <v>0</v>
      </c>
      <c r="M1438" s="5">
        <v>0</v>
      </c>
      <c r="N1438" s="5">
        <v>0</v>
      </c>
      <c r="O1438" s="5">
        <v>0</v>
      </c>
    </row>
    <row r="1439" spans="1:16">
      <c r="A1439" t="str">
        <f t="shared" si="21"/>
        <v>WAUCHULAGCP RP</v>
      </c>
      <c r="B1439" t="s">
        <v>724</v>
      </c>
      <c r="C1439" t="s">
        <v>162</v>
      </c>
      <c r="D1439" s="5">
        <v>0</v>
      </c>
      <c r="E1439" s="5">
        <v>0</v>
      </c>
      <c r="F1439" s="5">
        <v>0</v>
      </c>
      <c r="G1439" s="5">
        <v>0</v>
      </c>
      <c r="H1439" s="5">
        <v>0</v>
      </c>
      <c r="I1439" s="5">
        <v>0</v>
      </c>
      <c r="J1439" s="5">
        <v>0</v>
      </c>
      <c r="K1439" s="5">
        <v>0</v>
      </c>
      <c r="L1439" s="5">
        <v>0</v>
      </c>
      <c r="M1439" s="5">
        <v>0</v>
      </c>
      <c r="N1439" s="5">
        <v>0</v>
      </c>
      <c r="O1439" s="5">
        <v>0</v>
      </c>
    </row>
    <row r="1440" spans="1:16">
      <c r="A1440" t="str">
        <f t="shared" si="21"/>
        <v>WAUCHULAGCP RP ONPK</v>
      </c>
      <c r="B1440" t="s">
        <v>724</v>
      </c>
      <c r="C1440" t="s">
        <v>163</v>
      </c>
      <c r="D1440" s="5">
        <v>0</v>
      </c>
      <c r="E1440" s="5">
        <v>0</v>
      </c>
      <c r="F1440" s="5">
        <v>0</v>
      </c>
      <c r="G1440" s="5">
        <v>0</v>
      </c>
      <c r="H1440" s="5">
        <v>0</v>
      </c>
      <c r="I1440" s="5">
        <v>0</v>
      </c>
      <c r="J1440" s="5">
        <v>0</v>
      </c>
      <c r="K1440" s="5">
        <v>0</v>
      </c>
      <c r="L1440" s="5">
        <v>0</v>
      </c>
      <c r="M1440" s="5">
        <v>0</v>
      </c>
      <c r="N1440" s="5">
        <v>0</v>
      </c>
      <c r="O1440" s="5">
        <v>0</v>
      </c>
      <c r="P1440" s="5"/>
    </row>
    <row r="1441" spans="1:16">
      <c r="A1441" t="str">
        <f t="shared" si="21"/>
        <v>WAUCHULAGCP RP OFFPK</v>
      </c>
      <c r="B1441" t="s">
        <v>724</v>
      </c>
      <c r="C1441" t="s">
        <v>164</v>
      </c>
      <c r="D1441" s="5">
        <v>0</v>
      </c>
      <c r="E1441" s="5">
        <v>0</v>
      </c>
      <c r="F1441" s="5">
        <v>0</v>
      </c>
      <c r="G1441" s="5">
        <v>0</v>
      </c>
      <c r="H1441" s="5">
        <v>0</v>
      </c>
      <c r="I1441" s="5">
        <v>0</v>
      </c>
      <c r="J1441" s="5">
        <v>0</v>
      </c>
      <c r="K1441" s="5">
        <v>0</v>
      </c>
      <c r="L1441" s="5">
        <v>0</v>
      </c>
      <c r="M1441" s="5">
        <v>0</v>
      </c>
      <c r="N1441" s="5">
        <v>0</v>
      </c>
      <c r="O1441" s="5">
        <v>0</v>
      </c>
      <c r="P1441" s="5"/>
    </row>
    <row r="1442" spans="1:16">
      <c r="A1442" t="str">
        <f t="shared" si="21"/>
        <v>WAUCHULACP RP</v>
      </c>
      <c r="B1442" t="s">
        <v>724</v>
      </c>
      <c r="C1442" t="s">
        <v>165</v>
      </c>
      <c r="D1442" s="5">
        <v>0</v>
      </c>
      <c r="E1442" s="5">
        <v>0</v>
      </c>
      <c r="F1442" s="5">
        <v>0</v>
      </c>
      <c r="G1442" s="5">
        <v>0</v>
      </c>
      <c r="H1442" s="5">
        <v>0</v>
      </c>
      <c r="I1442" s="5">
        <v>0</v>
      </c>
      <c r="J1442" s="5">
        <v>0</v>
      </c>
      <c r="K1442" s="5">
        <v>0</v>
      </c>
      <c r="L1442" s="5">
        <v>0</v>
      </c>
      <c r="M1442" s="5">
        <v>0</v>
      </c>
      <c r="N1442" s="5">
        <v>0</v>
      </c>
      <c r="O1442" s="5">
        <v>0</v>
      </c>
    </row>
    <row r="1443" spans="1:16">
      <c r="A1443" t="str">
        <f t="shared" si="21"/>
        <v>WAUCHULASAMPLE SIZE:</v>
      </c>
      <c r="B1443" t="s">
        <v>724</v>
      </c>
      <c r="C1443" t="s">
        <v>66</v>
      </c>
      <c r="P1443" s="89"/>
    </row>
    <row r="1444" spans="1:16">
      <c r="A1444" t="str">
        <f t="shared" si="21"/>
        <v>WAUCHULAGCPSZ</v>
      </c>
      <c r="B1444" t="s">
        <v>724</v>
      </c>
      <c r="C1444" t="s">
        <v>166</v>
      </c>
      <c r="D1444">
        <v>1</v>
      </c>
      <c r="E1444">
        <v>1</v>
      </c>
      <c r="F1444">
        <v>1</v>
      </c>
      <c r="G1444">
        <v>1</v>
      </c>
      <c r="H1444">
        <v>1</v>
      </c>
      <c r="I1444">
        <v>1</v>
      </c>
      <c r="J1444">
        <v>1</v>
      </c>
      <c r="K1444">
        <v>1</v>
      </c>
      <c r="L1444">
        <v>1</v>
      </c>
      <c r="M1444">
        <v>1</v>
      </c>
      <c r="N1444">
        <v>1</v>
      </c>
      <c r="O1444">
        <v>1</v>
      </c>
    </row>
    <row r="1445" spans="1:16">
      <c r="A1445" t="str">
        <f t="shared" si="21"/>
        <v>WAUCHULAGCPSZ ONPK</v>
      </c>
      <c r="B1445" t="s">
        <v>724</v>
      </c>
      <c r="C1445" t="s">
        <v>167</v>
      </c>
      <c r="D1445">
        <v>1</v>
      </c>
      <c r="E1445">
        <v>1</v>
      </c>
      <c r="F1445">
        <v>1</v>
      </c>
      <c r="G1445">
        <v>1</v>
      </c>
      <c r="H1445">
        <v>1</v>
      </c>
      <c r="I1445">
        <v>1</v>
      </c>
      <c r="J1445">
        <v>1</v>
      </c>
      <c r="K1445">
        <v>1</v>
      </c>
      <c r="L1445">
        <v>1</v>
      </c>
      <c r="M1445">
        <v>1</v>
      </c>
      <c r="N1445">
        <v>1</v>
      </c>
      <c r="O1445">
        <v>1</v>
      </c>
    </row>
    <row r="1446" spans="1:16">
      <c r="A1446" t="str">
        <f t="shared" si="21"/>
        <v>WAUCHULAGCPSZ OFFPK</v>
      </c>
      <c r="B1446" t="s">
        <v>724</v>
      </c>
      <c r="C1446" t="s">
        <v>168</v>
      </c>
      <c r="D1446">
        <v>1</v>
      </c>
      <c r="E1446">
        <v>1</v>
      </c>
      <c r="F1446">
        <v>1</v>
      </c>
      <c r="G1446">
        <v>1</v>
      </c>
      <c r="H1446">
        <v>1</v>
      </c>
      <c r="I1446">
        <v>1</v>
      </c>
      <c r="J1446">
        <v>1</v>
      </c>
      <c r="K1446">
        <v>1</v>
      </c>
      <c r="L1446">
        <v>1</v>
      </c>
      <c r="M1446">
        <v>1</v>
      </c>
      <c r="N1446">
        <v>1</v>
      </c>
      <c r="O1446">
        <v>1</v>
      </c>
    </row>
    <row r="1447" spans="1:16">
      <c r="A1447" t="str">
        <f t="shared" si="21"/>
        <v>WAUCHULACPSZ</v>
      </c>
      <c r="B1447" t="s">
        <v>724</v>
      </c>
      <c r="C1447" t="s">
        <v>169</v>
      </c>
      <c r="D1447">
        <v>1</v>
      </c>
      <c r="E1447">
        <v>1</v>
      </c>
      <c r="F1447">
        <v>1</v>
      </c>
      <c r="G1447">
        <v>1</v>
      </c>
      <c r="H1447">
        <v>1</v>
      </c>
      <c r="I1447">
        <v>1</v>
      </c>
      <c r="J1447">
        <v>1</v>
      </c>
      <c r="K1447">
        <v>1</v>
      </c>
      <c r="L1447">
        <v>1</v>
      </c>
      <c r="M1447">
        <v>1</v>
      </c>
      <c r="N1447">
        <v>1</v>
      </c>
      <c r="O1447">
        <v>1</v>
      </c>
    </row>
    <row r="1448" spans="1:16">
      <c r="A1448" t="str">
        <f t="shared" si="21"/>
        <v/>
      </c>
      <c r="P1448" s="87"/>
    </row>
    <row r="1449" spans="1:16">
      <c r="A1449" t="str">
        <f t="shared" si="21"/>
        <v/>
      </c>
    </row>
    <row r="1450" spans="1:16">
      <c r="A1450" t="str">
        <f t="shared" si="21"/>
        <v/>
      </c>
    </row>
    <row r="1451" spans="1:16">
      <c r="A1451" t="str">
        <f t="shared" si="21"/>
        <v/>
      </c>
      <c r="P1451" s="88"/>
    </row>
    <row r="1452" spans="1:16">
      <c r="A1452" t="str">
        <f t="shared" si="21"/>
        <v/>
      </c>
      <c r="P1452" s="1"/>
    </row>
    <row r="1453" spans="1:16">
      <c r="A1453" t="str">
        <f t="shared" si="21"/>
        <v/>
      </c>
      <c r="P1453" s="5"/>
    </row>
    <row r="1454" spans="1:16">
      <c r="A1454" t="str">
        <f t="shared" si="21"/>
        <v/>
      </c>
      <c r="P1454" s="5"/>
    </row>
    <row r="1455" spans="1:16" ht="14.4">
      <c r="A1455" t="str">
        <f t="shared" si="21"/>
        <v>NOTE:     Sales line does not match sales in the Rate and Revenue Report due to billing lag.</v>
      </c>
      <c r="B1455" s="301" t="s">
        <v>608</v>
      </c>
      <c r="P1455" s="5"/>
    </row>
    <row r="1456" spans="1:16" ht="14.4">
      <c r="A1456" t="str">
        <f t="shared" si="21"/>
        <v xml:space="preserve">                 In addition, the City of Blountstown, FKEC, Metro Dade and City of Wauchula are classified as Rate Code 940. The sales for the contracts are reported combined in the Rate &amp; Revenue Report.</v>
      </c>
      <c r="B1456" s="319" t="s">
        <v>754</v>
      </c>
      <c r="P1456" s="5"/>
    </row>
    <row r="1457" spans="1:16">
      <c r="A1457" t="str">
        <f t="shared" si="21"/>
        <v/>
      </c>
      <c r="P1457" s="5"/>
    </row>
    <row r="1458" spans="1:16">
      <c r="A1458" t="str">
        <f t="shared" si="21"/>
        <v/>
      </c>
      <c r="D1458" s="4"/>
      <c r="E1458" s="4"/>
      <c r="F1458" s="4"/>
      <c r="G1458" s="4"/>
      <c r="H1458" s="4"/>
      <c r="I1458" s="4"/>
      <c r="J1458" s="4"/>
      <c r="K1458" s="4"/>
      <c r="L1458" s="4"/>
      <c r="M1458" s="4"/>
      <c r="N1458" s="4"/>
      <c r="O1458" s="4"/>
      <c r="P1458" s="5"/>
    </row>
    <row r="1459" spans="1:16">
      <c r="A1459" t="str">
        <f t="shared" si="21"/>
        <v/>
      </c>
      <c r="P1459" s="5"/>
    </row>
    <row r="1460" spans="1:16">
      <c r="A1460" t="str">
        <f t="shared" si="21"/>
        <v/>
      </c>
      <c r="P1460" s="5"/>
    </row>
    <row r="1461" spans="1:16">
      <c r="A1461" t="str">
        <f t="shared" si="21"/>
        <v/>
      </c>
      <c r="P1461" s="5"/>
    </row>
    <row r="1462" spans="1:16">
      <c r="A1462" t="str">
        <f t="shared" ref="A1462:A1525" si="22">B1462&amp;C1462</f>
        <v/>
      </c>
    </row>
    <row r="1463" spans="1:16">
      <c r="A1463" t="str">
        <f t="shared" si="22"/>
        <v/>
      </c>
      <c r="P1463" s="5"/>
    </row>
    <row r="1464" spans="1:16">
      <c r="A1464" t="str">
        <f t="shared" si="22"/>
        <v/>
      </c>
      <c r="P1464" s="5"/>
    </row>
    <row r="1465" spans="1:16">
      <c r="A1465" t="str">
        <f t="shared" si="22"/>
        <v/>
      </c>
      <c r="P1465" s="5"/>
    </row>
    <row r="1466" spans="1:16">
      <c r="A1466" t="str">
        <f t="shared" si="22"/>
        <v/>
      </c>
      <c r="P1466" s="5"/>
    </row>
    <row r="1467" spans="1:16">
      <c r="A1467" t="str">
        <f t="shared" si="22"/>
        <v/>
      </c>
      <c r="D1467" s="5"/>
      <c r="E1467" s="5"/>
      <c r="F1467" s="5"/>
      <c r="G1467" s="5"/>
      <c r="H1467" s="5"/>
      <c r="I1467" s="5"/>
      <c r="J1467" s="5"/>
      <c r="K1467" s="5"/>
      <c r="L1467" s="5"/>
      <c r="M1467" s="5"/>
      <c r="N1467" s="5"/>
      <c r="O1467" s="5"/>
      <c r="P1467" s="5"/>
    </row>
    <row r="1468" spans="1:16">
      <c r="A1468" t="str">
        <f t="shared" si="22"/>
        <v/>
      </c>
      <c r="D1468" s="5"/>
      <c r="E1468" s="5"/>
      <c r="F1468" s="5"/>
      <c r="G1468" s="5"/>
      <c r="H1468" s="5"/>
      <c r="I1468" s="5"/>
      <c r="J1468" s="5"/>
      <c r="K1468" s="5"/>
      <c r="L1468" s="5"/>
      <c r="M1468" s="5"/>
      <c r="N1468" s="5"/>
      <c r="O1468" s="5"/>
      <c r="P1468" s="5"/>
    </row>
    <row r="1469" spans="1:16">
      <c r="A1469" t="str">
        <f t="shared" si="22"/>
        <v/>
      </c>
      <c r="P1469" s="5"/>
    </row>
    <row r="1470" spans="1:16">
      <c r="A1470" t="str">
        <f t="shared" si="22"/>
        <v/>
      </c>
    </row>
    <row r="1471" spans="1:16">
      <c r="A1471" t="str">
        <f t="shared" si="22"/>
        <v/>
      </c>
    </row>
    <row r="1472" spans="1:16">
      <c r="A1472" t="str">
        <f t="shared" si="22"/>
        <v/>
      </c>
    </row>
    <row r="1473" spans="1:15">
      <c r="A1473" t="str">
        <f t="shared" si="22"/>
        <v/>
      </c>
    </row>
    <row r="1474" spans="1:15">
      <c r="A1474" t="str">
        <f t="shared" si="22"/>
        <v/>
      </c>
    </row>
    <row r="1475" spans="1:15">
      <c r="A1475" t="str">
        <f t="shared" si="22"/>
        <v/>
      </c>
    </row>
    <row r="1476" spans="1:15">
      <c r="A1476" t="str">
        <f t="shared" si="22"/>
        <v/>
      </c>
    </row>
    <row r="1477" spans="1:15">
      <c r="A1477" t="str">
        <f t="shared" si="22"/>
        <v/>
      </c>
    </row>
    <row r="1478" spans="1:15">
      <c r="A1478" t="str">
        <f t="shared" si="22"/>
        <v/>
      </c>
    </row>
    <row r="1479" spans="1:15">
      <c r="A1479" t="str">
        <f t="shared" si="22"/>
        <v/>
      </c>
      <c r="D1479" s="1"/>
      <c r="E1479" s="1"/>
      <c r="F1479" s="1"/>
      <c r="G1479" s="1"/>
      <c r="H1479" s="1"/>
      <c r="I1479" s="1"/>
      <c r="J1479" s="1"/>
      <c r="K1479" s="1"/>
      <c r="L1479" s="1"/>
      <c r="M1479" s="1"/>
      <c r="N1479" s="1"/>
      <c r="O1479" s="1"/>
    </row>
    <row r="1480" spans="1:15">
      <c r="A1480" t="str">
        <f t="shared" si="22"/>
        <v/>
      </c>
      <c r="D1480" s="5"/>
      <c r="E1480" s="5"/>
      <c r="F1480" s="5"/>
      <c r="G1480" s="5"/>
      <c r="H1480" s="5"/>
      <c r="I1480" s="5"/>
      <c r="J1480" s="5"/>
      <c r="K1480" s="5"/>
      <c r="L1480" s="5"/>
      <c r="M1480" s="5"/>
      <c r="N1480" s="5"/>
      <c r="O1480" s="5"/>
    </row>
    <row r="1481" spans="1:15">
      <c r="A1481" t="str">
        <f t="shared" si="22"/>
        <v/>
      </c>
      <c r="D1481" s="5"/>
      <c r="E1481" s="5"/>
      <c r="F1481" s="5"/>
      <c r="G1481" s="5"/>
      <c r="H1481" s="5"/>
      <c r="I1481" s="5"/>
      <c r="J1481" s="5"/>
      <c r="K1481" s="5"/>
      <c r="L1481" s="5"/>
      <c r="M1481" s="5"/>
      <c r="N1481" s="5"/>
      <c r="O1481" s="5"/>
    </row>
    <row r="1482" spans="1:15">
      <c r="A1482" t="str">
        <f t="shared" si="22"/>
        <v/>
      </c>
      <c r="D1482" s="5"/>
      <c r="E1482" s="5"/>
      <c r="F1482" s="5"/>
      <c r="G1482" s="5"/>
      <c r="H1482" s="5"/>
      <c r="I1482" s="5"/>
      <c r="J1482" s="5"/>
      <c r="K1482" s="5"/>
      <c r="L1482" s="5"/>
      <c r="M1482" s="5"/>
      <c r="N1482" s="5"/>
      <c r="O1482" s="5"/>
    </row>
    <row r="1483" spans="1:15">
      <c r="A1483" t="str">
        <f t="shared" si="22"/>
        <v/>
      </c>
      <c r="D1483" s="5"/>
      <c r="E1483" s="5"/>
      <c r="F1483" s="5"/>
      <c r="G1483" s="5"/>
      <c r="H1483" s="5"/>
      <c r="I1483" s="5"/>
      <c r="J1483" s="5"/>
      <c r="K1483" s="5"/>
      <c r="L1483" s="5"/>
      <c r="M1483" s="5"/>
      <c r="N1483" s="5"/>
      <c r="O1483" s="5"/>
    </row>
    <row r="1484" spans="1:15">
      <c r="A1484" t="str">
        <f t="shared" si="22"/>
        <v/>
      </c>
      <c r="D1484" s="5"/>
      <c r="E1484" s="5"/>
      <c r="F1484" s="5"/>
      <c r="G1484" s="5"/>
      <c r="H1484" s="5"/>
      <c r="I1484" s="5"/>
      <c r="J1484" s="5"/>
      <c r="K1484" s="5"/>
      <c r="L1484" s="5"/>
      <c r="M1484" s="5"/>
      <c r="N1484" s="5"/>
      <c r="O1484" s="5"/>
    </row>
    <row r="1485" spans="1:15">
      <c r="A1485" t="str">
        <f t="shared" si="22"/>
        <v/>
      </c>
      <c r="D1485" s="5"/>
      <c r="E1485" s="5"/>
      <c r="F1485" s="5"/>
      <c r="G1485" s="5"/>
      <c r="H1485" s="5"/>
      <c r="I1485" s="5"/>
      <c r="J1485" s="5"/>
      <c r="K1485" s="5"/>
      <c r="L1485" s="5"/>
      <c r="M1485" s="5"/>
      <c r="N1485" s="5"/>
      <c r="O1485" s="5"/>
    </row>
    <row r="1486" spans="1:15">
      <c r="A1486" t="str">
        <f t="shared" si="22"/>
        <v/>
      </c>
      <c r="D1486" s="5"/>
      <c r="E1486" s="5"/>
      <c r="F1486" s="5"/>
      <c r="G1486" s="5"/>
      <c r="H1486" s="5"/>
      <c r="I1486" s="5"/>
      <c r="J1486" s="5"/>
      <c r="K1486" s="5"/>
      <c r="L1486" s="5"/>
      <c r="M1486" s="5"/>
      <c r="N1486" s="5"/>
      <c r="O1486" s="5"/>
    </row>
    <row r="1487" spans="1:15">
      <c r="A1487" t="str">
        <f t="shared" si="22"/>
        <v/>
      </c>
      <c r="D1487" s="5"/>
      <c r="E1487" s="5"/>
      <c r="F1487" s="5"/>
      <c r="G1487" s="5"/>
      <c r="H1487" s="5"/>
      <c r="I1487" s="5"/>
      <c r="J1487" s="5"/>
      <c r="K1487" s="5"/>
      <c r="L1487" s="5"/>
      <c r="M1487" s="5"/>
      <c r="N1487" s="5"/>
      <c r="O1487" s="5"/>
    </row>
    <row r="1488" spans="1:15">
      <c r="A1488" t="str">
        <f t="shared" si="22"/>
        <v/>
      </c>
      <c r="D1488" s="5"/>
      <c r="E1488" s="5"/>
      <c r="F1488" s="5"/>
      <c r="G1488" s="5"/>
      <c r="H1488" s="5"/>
      <c r="I1488" s="5"/>
      <c r="J1488" s="5"/>
      <c r="K1488" s="5"/>
      <c r="L1488" s="5"/>
      <c r="M1488" s="5"/>
      <c r="N1488" s="5"/>
      <c r="O1488" s="5"/>
    </row>
    <row r="1489" spans="1:15">
      <c r="A1489" t="str">
        <f t="shared" si="22"/>
        <v/>
      </c>
    </row>
    <row r="1490" spans="1:15">
      <c r="A1490" t="str">
        <f t="shared" si="22"/>
        <v/>
      </c>
      <c r="D1490" s="5"/>
      <c r="E1490" s="5"/>
      <c r="F1490" s="5"/>
      <c r="G1490" s="5"/>
      <c r="H1490" s="5"/>
      <c r="I1490" s="5"/>
      <c r="J1490" s="5"/>
      <c r="K1490" s="5"/>
      <c r="L1490" s="5"/>
      <c r="M1490" s="5"/>
      <c r="N1490" s="5"/>
      <c r="O1490" s="5"/>
    </row>
    <row r="1491" spans="1:15">
      <c r="A1491" t="str">
        <f t="shared" si="22"/>
        <v/>
      </c>
      <c r="D1491" s="5"/>
      <c r="E1491" s="5"/>
      <c r="F1491" s="5"/>
      <c r="G1491" s="5"/>
      <c r="H1491" s="5"/>
      <c r="I1491" s="5"/>
      <c r="J1491" s="5"/>
      <c r="K1491" s="5"/>
      <c r="L1491" s="5"/>
      <c r="M1491" s="5"/>
      <c r="N1491" s="5"/>
      <c r="O1491" s="5"/>
    </row>
    <row r="1492" spans="1:15">
      <c r="A1492" t="str">
        <f t="shared" si="22"/>
        <v/>
      </c>
      <c r="D1492" s="5"/>
      <c r="E1492" s="5"/>
      <c r="F1492" s="5"/>
      <c r="G1492" s="5"/>
      <c r="H1492" s="5"/>
      <c r="I1492" s="5"/>
      <c r="J1492" s="5"/>
      <c r="K1492" s="5"/>
      <c r="L1492" s="5"/>
      <c r="M1492" s="5"/>
      <c r="N1492" s="5"/>
      <c r="O1492" s="5"/>
    </row>
    <row r="1493" spans="1:15">
      <c r="A1493" t="str">
        <f t="shared" si="22"/>
        <v/>
      </c>
      <c r="D1493" s="5"/>
      <c r="E1493" s="5"/>
      <c r="F1493" s="5"/>
      <c r="G1493" s="5"/>
      <c r="H1493" s="5"/>
      <c r="I1493" s="5"/>
      <c r="J1493" s="5"/>
      <c r="K1493" s="5"/>
      <c r="L1493" s="5"/>
      <c r="M1493" s="5"/>
      <c r="N1493" s="5"/>
      <c r="O1493" s="5"/>
    </row>
    <row r="1494" spans="1:15">
      <c r="A1494" t="str">
        <f t="shared" si="22"/>
        <v/>
      </c>
      <c r="D1494" s="5"/>
      <c r="E1494" s="5"/>
      <c r="F1494" s="5"/>
      <c r="G1494" s="5"/>
      <c r="H1494" s="5"/>
      <c r="I1494" s="5"/>
      <c r="J1494" s="5"/>
      <c r="K1494" s="5"/>
      <c r="L1494" s="5"/>
      <c r="M1494" s="5"/>
      <c r="N1494" s="5"/>
      <c r="O1494" s="5"/>
    </row>
    <row r="1495" spans="1:15">
      <c r="A1495" t="str">
        <f t="shared" si="22"/>
        <v/>
      </c>
      <c r="D1495" s="5"/>
      <c r="E1495" s="5"/>
      <c r="F1495" s="5"/>
      <c r="G1495" s="5"/>
      <c r="H1495" s="5"/>
      <c r="I1495" s="5"/>
      <c r="J1495" s="5"/>
      <c r="K1495" s="5"/>
      <c r="L1495" s="5"/>
      <c r="M1495" s="5"/>
      <c r="N1495" s="5"/>
      <c r="O1495" s="5"/>
    </row>
    <row r="1496" spans="1:15">
      <c r="A1496" t="str">
        <f t="shared" si="22"/>
        <v/>
      </c>
      <c r="D1496" s="5"/>
      <c r="E1496" s="5"/>
      <c r="F1496" s="5"/>
      <c r="G1496" s="5"/>
      <c r="H1496" s="5"/>
      <c r="I1496" s="5"/>
      <c r="J1496" s="5"/>
      <c r="K1496" s="5"/>
      <c r="L1496" s="5"/>
      <c r="M1496" s="5"/>
      <c r="N1496" s="5"/>
      <c r="O1496" s="5"/>
    </row>
    <row r="1497" spans="1:15">
      <c r="A1497" t="str">
        <f t="shared" si="22"/>
        <v/>
      </c>
    </row>
    <row r="1498" spans="1:15">
      <c r="A1498" t="str">
        <f t="shared" si="22"/>
        <v/>
      </c>
    </row>
    <row r="1499" spans="1:15">
      <c r="A1499" t="str">
        <f t="shared" si="22"/>
        <v/>
      </c>
    </row>
    <row r="1500" spans="1:15">
      <c r="A1500" t="str">
        <f t="shared" si="22"/>
        <v/>
      </c>
    </row>
    <row r="1501" spans="1:15">
      <c r="A1501" t="str">
        <f t="shared" si="22"/>
        <v/>
      </c>
    </row>
    <row r="1502" spans="1:15">
      <c r="A1502" t="str">
        <f t="shared" si="22"/>
        <v/>
      </c>
    </row>
    <row r="1503" spans="1:15">
      <c r="A1503" t="str">
        <f t="shared" si="22"/>
        <v/>
      </c>
    </row>
    <row r="1504" spans="1:15">
      <c r="A1504" t="str">
        <f t="shared" si="22"/>
        <v/>
      </c>
    </row>
    <row r="1505" spans="1:15">
      <c r="A1505" t="str">
        <f t="shared" si="22"/>
        <v/>
      </c>
    </row>
    <row r="1506" spans="1:15">
      <c r="A1506" t="str">
        <f t="shared" si="22"/>
        <v/>
      </c>
    </row>
    <row r="1507" spans="1:15">
      <c r="A1507" t="str">
        <f t="shared" si="22"/>
        <v/>
      </c>
    </row>
    <row r="1508" spans="1:15">
      <c r="A1508" t="str">
        <f t="shared" si="22"/>
        <v/>
      </c>
    </row>
    <row r="1509" spans="1:15">
      <c r="A1509" t="str">
        <f t="shared" si="22"/>
        <v/>
      </c>
    </row>
    <row r="1510" spans="1:15">
      <c r="A1510" t="str">
        <f t="shared" si="22"/>
        <v/>
      </c>
    </row>
    <row r="1511" spans="1:15">
      <c r="A1511" t="str">
        <f t="shared" si="22"/>
        <v/>
      </c>
    </row>
    <row r="1512" spans="1:15">
      <c r="A1512" t="str">
        <f t="shared" si="22"/>
        <v/>
      </c>
      <c r="D1512" s="4"/>
      <c r="E1512" s="4"/>
      <c r="F1512" s="4"/>
      <c r="G1512" s="4"/>
      <c r="H1512" s="4"/>
      <c r="I1512" s="4"/>
      <c r="J1512" s="4"/>
      <c r="K1512" s="4"/>
      <c r="L1512" s="4"/>
      <c r="M1512" s="4"/>
      <c r="N1512" s="4"/>
      <c r="O1512" s="4"/>
    </row>
    <row r="1513" spans="1:15">
      <c r="A1513" t="str">
        <f t="shared" si="22"/>
        <v/>
      </c>
    </row>
    <row r="1514" spans="1:15">
      <c r="A1514" t="str">
        <f t="shared" si="22"/>
        <v/>
      </c>
    </row>
    <row r="1515" spans="1:15">
      <c r="A1515" t="str">
        <f t="shared" si="22"/>
        <v/>
      </c>
    </row>
    <row r="1516" spans="1:15">
      <c r="A1516" t="str">
        <f t="shared" si="22"/>
        <v/>
      </c>
    </row>
    <row r="1517" spans="1:15">
      <c r="A1517" t="str">
        <f t="shared" si="22"/>
        <v/>
      </c>
    </row>
    <row r="1518" spans="1:15">
      <c r="A1518" t="str">
        <f t="shared" si="22"/>
        <v/>
      </c>
    </row>
    <row r="1519" spans="1:15">
      <c r="A1519" t="str">
        <f t="shared" si="22"/>
        <v/>
      </c>
    </row>
    <row r="1520" spans="1:15">
      <c r="A1520" t="str">
        <f t="shared" si="22"/>
        <v/>
      </c>
    </row>
    <row r="1521" spans="1:16">
      <c r="A1521" t="str">
        <f t="shared" si="22"/>
        <v/>
      </c>
      <c r="D1521" s="5"/>
      <c r="E1521" s="5"/>
      <c r="F1521" s="5"/>
      <c r="G1521" s="5"/>
      <c r="H1521" s="5"/>
      <c r="I1521" s="5"/>
      <c r="J1521" s="5"/>
      <c r="K1521" s="5"/>
      <c r="L1521" s="5"/>
      <c r="M1521" s="5"/>
      <c r="N1521" s="5"/>
      <c r="O1521" s="5"/>
    </row>
    <row r="1522" spans="1:16">
      <c r="A1522" t="str">
        <f t="shared" si="22"/>
        <v/>
      </c>
      <c r="D1522" s="5"/>
      <c r="E1522" s="5"/>
      <c r="F1522" s="5"/>
      <c r="G1522" s="5"/>
      <c r="H1522" s="5"/>
      <c r="I1522" s="5"/>
      <c r="J1522" s="5"/>
      <c r="K1522" s="5"/>
      <c r="L1522" s="5"/>
      <c r="M1522" s="5"/>
      <c r="N1522" s="5"/>
      <c r="O1522" s="5"/>
    </row>
    <row r="1523" spans="1:16">
      <c r="A1523" t="str">
        <f t="shared" si="22"/>
        <v/>
      </c>
      <c r="P1523" s="4"/>
    </row>
    <row r="1524" spans="1:16">
      <c r="A1524" t="str">
        <f t="shared" si="22"/>
        <v/>
      </c>
    </row>
    <row r="1525" spans="1:16">
      <c r="A1525" t="str">
        <f t="shared" si="22"/>
        <v/>
      </c>
    </row>
    <row r="1526" spans="1:16">
      <c r="A1526" t="str">
        <f t="shared" ref="A1526:A1589" si="23">B1526&amp;C1526</f>
        <v/>
      </c>
    </row>
    <row r="1527" spans="1:16">
      <c r="A1527" t="str">
        <f t="shared" si="23"/>
        <v/>
      </c>
    </row>
    <row r="1528" spans="1:16">
      <c r="A1528" t="str">
        <f t="shared" si="23"/>
        <v/>
      </c>
    </row>
    <row r="1529" spans="1:16">
      <c r="A1529" t="str">
        <f t="shared" si="23"/>
        <v/>
      </c>
      <c r="P1529" s="91"/>
    </row>
    <row r="1530" spans="1:16">
      <c r="A1530" t="str">
        <f t="shared" si="23"/>
        <v/>
      </c>
    </row>
    <row r="1531" spans="1:16">
      <c r="A1531" t="str">
        <f t="shared" si="23"/>
        <v/>
      </c>
    </row>
    <row r="1532" spans="1:16">
      <c r="A1532" t="str">
        <f t="shared" si="23"/>
        <v/>
      </c>
      <c r="P1532" s="5"/>
    </row>
    <row r="1533" spans="1:16">
      <c r="A1533" t="str">
        <f t="shared" si="23"/>
        <v/>
      </c>
      <c r="D1533" s="1"/>
      <c r="E1533" s="1"/>
      <c r="F1533" s="1"/>
      <c r="G1533" s="1"/>
      <c r="H1533" s="1"/>
      <c r="I1533" s="1"/>
      <c r="J1533" s="1"/>
      <c r="K1533" s="1"/>
      <c r="L1533" s="1"/>
      <c r="M1533" s="1"/>
      <c r="N1533" s="1"/>
      <c r="O1533" s="1"/>
      <c r="P1533" s="5"/>
    </row>
    <row r="1534" spans="1:16">
      <c r="A1534" t="str">
        <f t="shared" si="23"/>
        <v/>
      </c>
      <c r="D1534" s="5"/>
      <c r="E1534" s="5"/>
      <c r="F1534" s="5"/>
      <c r="G1534" s="5"/>
      <c r="H1534" s="5"/>
      <c r="I1534" s="5"/>
      <c r="J1534" s="5"/>
      <c r="K1534" s="5"/>
      <c r="L1534" s="5"/>
      <c r="M1534" s="5"/>
      <c r="N1534" s="5"/>
      <c r="O1534" s="5"/>
    </row>
    <row r="1535" spans="1:16">
      <c r="A1535" t="str">
        <f t="shared" si="23"/>
        <v/>
      </c>
      <c r="D1535" s="5"/>
      <c r="E1535" s="5"/>
      <c r="F1535" s="5"/>
      <c r="G1535" s="5"/>
      <c r="H1535" s="5"/>
      <c r="I1535" s="5"/>
      <c r="J1535" s="5"/>
      <c r="K1535" s="5"/>
      <c r="L1535" s="5"/>
      <c r="M1535" s="5"/>
      <c r="N1535" s="5"/>
      <c r="O1535" s="5"/>
      <c r="P1535" s="89"/>
    </row>
    <row r="1536" spans="1:16">
      <c r="A1536" t="str">
        <f t="shared" si="23"/>
        <v/>
      </c>
      <c r="D1536" s="5"/>
      <c r="E1536" s="5"/>
      <c r="F1536" s="5"/>
      <c r="G1536" s="5"/>
      <c r="H1536" s="5"/>
      <c r="I1536" s="5"/>
      <c r="J1536" s="5"/>
      <c r="K1536" s="5"/>
      <c r="L1536" s="5"/>
      <c r="M1536" s="5"/>
      <c r="N1536" s="5"/>
      <c r="O1536" s="5"/>
    </row>
    <row r="1537" spans="1:16">
      <c r="A1537" t="str">
        <f t="shared" si="23"/>
        <v/>
      </c>
      <c r="D1537" s="5"/>
      <c r="E1537" s="5"/>
      <c r="F1537" s="5"/>
      <c r="G1537" s="5"/>
      <c r="H1537" s="5"/>
      <c r="I1537" s="5"/>
      <c r="J1537" s="5"/>
      <c r="K1537" s="5"/>
      <c r="L1537" s="5"/>
      <c r="M1537" s="5"/>
      <c r="N1537" s="5"/>
      <c r="O1537" s="5"/>
    </row>
    <row r="1538" spans="1:16">
      <c r="A1538" t="str">
        <f t="shared" si="23"/>
        <v/>
      </c>
      <c r="D1538" s="5"/>
      <c r="E1538" s="5"/>
      <c r="F1538" s="5"/>
      <c r="G1538" s="5"/>
      <c r="H1538" s="5"/>
      <c r="I1538" s="5"/>
      <c r="J1538" s="5"/>
      <c r="K1538" s="5"/>
      <c r="L1538" s="5"/>
      <c r="M1538" s="5"/>
      <c r="N1538" s="5"/>
      <c r="O1538" s="5"/>
    </row>
    <row r="1539" spans="1:16">
      <c r="A1539" t="str">
        <f t="shared" si="23"/>
        <v/>
      </c>
      <c r="D1539" s="5"/>
      <c r="E1539" s="5"/>
      <c r="F1539" s="5"/>
      <c r="G1539" s="5"/>
      <c r="H1539" s="5"/>
      <c r="I1539" s="5"/>
      <c r="J1539" s="5"/>
      <c r="K1539" s="5"/>
      <c r="L1539" s="5"/>
      <c r="M1539" s="5"/>
      <c r="N1539" s="5"/>
      <c r="O1539" s="5"/>
    </row>
    <row r="1540" spans="1:16">
      <c r="A1540" t="str">
        <f t="shared" si="23"/>
        <v/>
      </c>
      <c r="D1540" s="5"/>
      <c r="E1540" s="5"/>
      <c r="F1540" s="5"/>
      <c r="G1540" s="5"/>
      <c r="H1540" s="5"/>
      <c r="I1540" s="5"/>
      <c r="J1540" s="5"/>
      <c r="K1540" s="5"/>
      <c r="L1540" s="5"/>
      <c r="M1540" s="5"/>
      <c r="N1540" s="5"/>
      <c r="O1540" s="5"/>
      <c r="P1540" s="87"/>
    </row>
    <row r="1541" spans="1:16">
      <c r="A1541" t="str">
        <f t="shared" si="23"/>
        <v/>
      </c>
      <c r="D1541" s="5"/>
      <c r="E1541" s="5"/>
      <c r="F1541" s="5"/>
      <c r="G1541" s="5"/>
      <c r="H1541" s="5"/>
      <c r="I1541" s="5"/>
      <c r="J1541" s="5"/>
      <c r="K1541" s="5"/>
      <c r="L1541" s="5"/>
      <c r="M1541" s="5"/>
      <c r="N1541" s="5"/>
      <c r="O1541" s="5"/>
    </row>
    <row r="1542" spans="1:16">
      <c r="A1542" t="str">
        <f t="shared" si="23"/>
        <v/>
      </c>
      <c r="D1542" s="5"/>
      <c r="E1542" s="5"/>
      <c r="F1542" s="5"/>
      <c r="G1542" s="5"/>
      <c r="H1542" s="5"/>
      <c r="I1542" s="5"/>
      <c r="J1542" s="5"/>
      <c r="K1542" s="5"/>
      <c r="L1542" s="5"/>
      <c r="M1542" s="5"/>
      <c r="N1542" s="5"/>
      <c r="O1542" s="5"/>
    </row>
    <row r="1543" spans="1:16">
      <c r="A1543" t="str">
        <f t="shared" si="23"/>
        <v/>
      </c>
      <c r="P1543" s="83"/>
    </row>
    <row r="1544" spans="1:16">
      <c r="A1544" t="str">
        <f t="shared" si="23"/>
        <v/>
      </c>
      <c r="D1544" s="5"/>
      <c r="E1544" s="5"/>
      <c r="F1544" s="5"/>
      <c r="G1544" s="5"/>
      <c r="H1544" s="5"/>
      <c r="I1544" s="5"/>
      <c r="J1544" s="5"/>
      <c r="K1544" s="5"/>
      <c r="L1544" s="5"/>
      <c r="M1544" s="5"/>
      <c r="N1544" s="5"/>
      <c r="O1544" s="5"/>
      <c r="P1544" s="1"/>
    </row>
    <row r="1545" spans="1:16">
      <c r="A1545" t="str">
        <f t="shared" si="23"/>
        <v/>
      </c>
      <c r="D1545" s="5"/>
      <c r="E1545" s="5"/>
      <c r="F1545" s="5"/>
      <c r="G1545" s="5"/>
      <c r="H1545" s="5"/>
      <c r="I1545" s="5"/>
      <c r="J1545" s="5"/>
      <c r="K1545" s="5"/>
      <c r="L1545" s="5"/>
      <c r="M1545" s="5"/>
      <c r="N1545" s="5"/>
      <c r="O1545" s="5"/>
      <c r="P1545" s="5"/>
    </row>
    <row r="1546" spans="1:16">
      <c r="A1546" t="str">
        <f t="shared" si="23"/>
        <v/>
      </c>
      <c r="D1546" s="5"/>
      <c r="E1546" s="5"/>
      <c r="F1546" s="5"/>
      <c r="G1546" s="5"/>
      <c r="H1546" s="5"/>
      <c r="I1546" s="5"/>
      <c r="J1546" s="5"/>
      <c r="K1546" s="5"/>
      <c r="L1546" s="5"/>
      <c r="M1546" s="5"/>
      <c r="N1546" s="5"/>
      <c r="O1546" s="5"/>
      <c r="P1546" s="5"/>
    </row>
    <row r="1547" spans="1:16">
      <c r="A1547" t="str">
        <f t="shared" si="23"/>
        <v/>
      </c>
      <c r="D1547" s="5"/>
      <c r="E1547" s="5"/>
      <c r="F1547" s="5"/>
      <c r="G1547" s="5"/>
      <c r="H1547" s="5"/>
      <c r="I1547" s="5"/>
      <c r="J1547" s="5"/>
      <c r="K1547" s="5"/>
      <c r="L1547" s="5"/>
      <c r="M1547" s="5"/>
      <c r="N1547" s="5"/>
      <c r="O1547" s="5"/>
      <c r="P1547" s="5"/>
    </row>
    <row r="1548" spans="1:16">
      <c r="A1548" t="str">
        <f t="shared" si="23"/>
        <v/>
      </c>
      <c r="D1548" s="5"/>
      <c r="E1548" s="5"/>
      <c r="F1548" s="5"/>
      <c r="G1548" s="5"/>
      <c r="H1548" s="5"/>
      <c r="I1548" s="5"/>
      <c r="J1548" s="5"/>
      <c r="K1548" s="5"/>
      <c r="L1548" s="5"/>
      <c r="M1548" s="5"/>
      <c r="N1548" s="5"/>
      <c r="O1548" s="5"/>
      <c r="P1548" s="5"/>
    </row>
    <row r="1549" spans="1:16">
      <c r="A1549" t="str">
        <f t="shared" si="23"/>
        <v/>
      </c>
      <c r="D1549" s="5"/>
      <c r="E1549" s="5"/>
      <c r="F1549" s="5"/>
      <c r="G1549" s="5"/>
      <c r="H1549" s="5"/>
      <c r="I1549" s="5"/>
      <c r="J1549" s="5"/>
      <c r="K1549" s="5"/>
      <c r="L1549" s="5"/>
      <c r="M1549" s="5"/>
      <c r="N1549" s="5"/>
      <c r="O1549" s="5"/>
      <c r="P1549" s="5"/>
    </row>
    <row r="1550" spans="1:16">
      <c r="A1550" t="str">
        <f t="shared" si="23"/>
        <v/>
      </c>
      <c r="D1550" s="5"/>
      <c r="E1550" s="5"/>
      <c r="F1550" s="5"/>
      <c r="G1550" s="5"/>
      <c r="H1550" s="5"/>
      <c r="I1550" s="5"/>
      <c r="J1550" s="5"/>
      <c r="K1550" s="5"/>
      <c r="L1550" s="5"/>
      <c r="M1550" s="5"/>
      <c r="N1550" s="5"/>
      <c r="O1550" s="5"/>
      <c r="P1550" s="5"/>
    </row>
    <row r="1551" spans="1:16">
      <c r="A1551" t="str">
        <f t="shared" si="23"/>
        <v/>
      </c>
      <c r="P1551" s="5"/>
    </row>
    <row r="1552" spans="1:16">
      <c r="A1552" t="str">
        <f t="shared" si="23"/>
        <v/>
      </c>
      <c r="P1552" s="5"/>
    </row>
    <row r="1553" spans="1:16">
      <c r="A1553" t="str">
        <f t="shared" si="23"/>
        <v/>
      </c>
      <c r="P1553" s="5"/>
    </row>
    <row r="1554" spans="1:16">
      <c r="A1554" t="str">
        <f t="shared" si="23"/>
        <v/>
      </c>
    </row>
    <row r="1555" spans="1:16">
      <c r="A1555" t="str">
        <f t="shared" si="23"/>
        <v/>
      </c>
      <c r="P1555" s="5"/>
    </row>
    <row r="1556" spans="1:16">
      <c r="A1556" t="str">
        <f t="shared" si="23"/>
        <v/>
      </c>
      <c r="P1556" s="5"/>
    </row>
    <row r="1557" spans="1:16">
      <c r="A1557" t="str">
        <f t="shared" si="23"/>
        <v/>
      </c>
      <c r="P1557" s="5"/>
    </row>
    <row r="1558" spans="1:16">
      <c r="A1558" t="str">
        <f t="shared" si="23"/>
        <v/>
      </c>
      <c r="P1558" s="5"/>
    </row>
    <row r="1559" spans="1:16">
      <c r="A1559" t="str">
        <f t="shared" si="23"/>
        <v/>
      </c>
      <c r="P1559" s="5"/>
    </row>
    <row r="1560" spans="1:16">
      <c r="A1560" t="str">
        <f t="shared" si="23"/>
        <v/>
      </c>
      <c r="P1560" s="5"/>
    </row>
    <row r="1561" spans="1:16">
      <c r="A1561" t="str">
        <f t="shared" si="23"/>
        <v/>
      </c>
      <c r="P1561" s="5"/>
    </row>
    <row r="1562" spans="1:16">
      <c r="A1562" t="str">
        <f t="shared" si="23"/>
        <v/>
      </c>
    </row>
    <row r="1563" spans="1:16">
      <c r="A1563" t="str">
        <f t="shared" si="23"/>
        <v/>
      </c>
    </row>
    <row r="1564" spans="1:16">
      <c r="A1564" t="str">
        <f t="shared" si="23"/>
        <v/>
      </c>
    </row>
    <row r="1565" spans="1:16">
      <c r="A1565" t="str">
        <f t="shared" si="23"/>
        <v/>
      </c>
    </row>
    <row r="1566" spans="1:16">
      <c r="A1566" t="str">
        <f t="shared" si="23"/>
        <v/>
      </c>
      <c r="D1566" s="4"/>
      <c r="E1566" s="4"/>
      <c r="F1566" s="4"/>
      <c r="G1566" s="4"/>
      <c r="H1566" s="4"/>
      <c r="I1566" s="4"/>
      <c r="J1566" s="4"/>
      <c r="K1566" s="4"/>
      <c r="L1566" s="4"/>
      <c r="M1566" s="4"/>
      <c r="N1566" s="4"/>
      <c r="O1566" s="4"/>
    </row>
    <row r="1567" spans="1:16">
      <c r="A1567" t="str">
        <f t="shared" si="23"/>
        <v/>
      </c>
    </row>
    <row r="1568" spans="1:16">
      <c r="A1568" t="str">
        <f t="shared" si="23"/>
        <v/>
      </c>
    </row>
    <row r="1569" spans="1:16">
      <c r="A1569" t="str">
        <f t="shared" si="23"/>
        <v/>
      </c>
      <c r="P1569" s="4"/>
    </row>
    <row r="1570" spans="1:16">
      <c r="A1570" t="str">
        <f t="shared" si="23"/>
        <v/>
      </c>
    </row>
    <row r="1571" spans="1:16">
      <c r="A1571" t="str">
        <f t="shared" si="23"/>
        <v/>
      </c>
    </row>
    <row r="1572" spans="1:16">
      <c r="A1572" t="str">
        <f t="shared" si="23"/>
        <v/>
      </c>
    </row>
    <row r="1573" spans="1:16">
      <c r="A1573" t="str">
        <f t="shared" si="23"/>
        <v/>
      </c>
    </row>
    <row r="1574" spans="1:16">
      <c r="A1574" t="str">
        <f t="shared" si="23"/>
        <v/>
      </c>
    </row>
    <row r="1575" spans="1:16">
      <c r="A1575" t="str">
        <f t="shared" si="23"/>
        <v/>
      </c>
      <c r="D1575" s="5"/>
      <c r="E1575" s="5"/>
      <c r="F1575" s="5"/>
      <c r="G1575" s="5"/>
      <c r="H1575" s="5"/>
      <c r="I1575" s="5"/>
      <c r="J1575" s="5"/>
      <c r="K1575" s="5"/>
      <c r="L1575" s="5"/>
      <c r="M1575" s="5"/>
      <c r="N1575" s="5"/>
      <c r="O1575" s="5"/>
      <c r="P1575" s="91"/>
    </row>
    <row r="1576" spans="1:16">
      <c r="A1576" t="str">
        <f t="shared" si="23"/>
        <v/>
      </c>
      <c r="D1576" s="5"/>
      <c r="E1576" s="5"/>
      <c r="F1576" s="5"/>
      <c r="G1576" s="5"/>
      <c r="H1576" s="5"/>
      <c r="I1576" s="5"/>
      <c r="J1576" s="5"/>
      <c r="K1576" s="5"/>
      <c r="L1576" s="5"/>
      <c r="M1576" s="5"/>
      <c r="N1576" s="5"/>
      <c r="O1576" s="5"/>
    </row>
    <row r="1577" spans="1:16">
      <c r="A1577" t="str">
        <f t="shared" si="23"/>
        <v/>
      </c>
    </row>
    <row r="1578" spans="1:16">
      <c r="A1578" t="str">
        <f t="shared" si="23"/>
        <v/>
      </c>
      <c r="P1578" s="5"/>
    </row>
    <row r="1579" spans="1:16">
      <c r="A1579" t="str">
        <f t="shared" si="23"/>
        <v/>
      </c>
      <c r="P1579" s="5"/>
    </row>
    <row r="1580" spans="1:16">
      <c r="A1580" t="str">
        <f t="shared" si="23"/>
        <v/>
      </c>
    </row>
    <row r="1581" spans="1:16">
      <c r="A1581" t="str">
        <f t="shared" si="23"/>
        <v/>
      </c>
      <c r="P1581" s="89"/>
    </row>
    <row r="1582" spans="1:16">
      <c r="A1582" t="str">
        <f t="shared" si="23"/>
        <v/>
      </c>
    </row>
    <row r="1583" spans="1:16">
      <c r="A1583" t="str">
        <f t="shared" si="23"/>
        <v/>
      </c>
    </row>
    <row r="1584" spans="1:16">
      <c r="A1584" t="str">
        <f t="shared" si="23"/>
        <v/>
      </c>
    </row>
    <row r="1585" spans="1:16">
      <c r="A1585" t="str">
        <f t="shared" si="23"/>
        <v/>
      </c>
    </row>
    <row r="1586" spans="1:16">
      <c r="A1586" t="str">
        <f t="shared" si="23"/>
        <v/>
      </c>
      <c r="P1586" s="87"/>
    </row>
    <row r="1587" spans="1:16">
      <c r="A1587" t="str">
        <f t="shared" si="23"/>
        <v/>
      </c>
      <c r="D1587" s="1"/>
      <c r="E1587" s="1"/>
      <c r="F1587" s="1"/>
      <c r="G1587" s="1"/>
      <c r="H1587" s="1"/>
      <c r="I1587" s="1"/>
      <c r="J1587" s="1"/>
      <c r="K1587" s="1"/>
      <c r="L1587" s="1"/>
      <c r="M1587" s="1"/>
      <c r="N1587" s="1"/>
      <c r="O1587" s="1"/>
    </row>
    <row r="1588" spans="1:16">
      <c r="A1588" t="str">
        <f t="shared" si="23"/>
        <v/>
      </c>
      <c r="D1588" s="5"/>
      <c r="E1588" s="5"/>
      <c r="F1588" s="5"/>
      <c r="G1588" s="5"/>
      <c r="H1588" s="5"/>
      <c r="I1588" s="5"/>
      <c r="J1588" s="5"/>
      <c r="K1588" s="5"/>
      <c r="L1588" s="5"/>
      <c r="M1588" s="5"/>
      <c r="N1588" s="5"/>
      <c r="O1588" s="5"/>
    </row>
    <row r="1589" spans="1:16">
      <c r="A1589" t="str">
        <f t="shared" si="23"/>
        <v/>
      </c>
      <c r="D1589" s="5"/>
      <c r="E1589" s="5"/>
      <c r="F1589" s="5"/>
      <c r="G1589" s="5"/>
      <c r="H1589" s="5"/>
      <c r="I1589" s="5"/>
      <c r="J1589" s="5"/>
      <c r="K1589" s="5"/>
      <c r="L1589" s="5"/>
      <c r="M1589" s="5"/>
      <c r="N1589" s="5"/>
      <c r="O1589" s="5"/>
      <c r="P1589" s="83"/>
    </row>
    <row r="1590" spans="1:16">
      <c r="A1590" t="str">
        <f t="shared" ref="A1590:A1653" si="24">B1590&amp;C1590</f>
        <v/>
      </c>
      <c r="D1590" s="5"/>
      <c r="E1590" s="5"/>
      <c r="F1590" s="5"/>
      <c r="G1590" s="5"/>
      <c r="H1590" s="5"/>
      <c r="I1590" s="5"/>
      <c r="J1590" s="5"/>
      <c r="K1590" s="5"/>
      <c r="L1590" s="5"/>
      <c r="M1590" s="5"/>
      <c r="N1590" s="5"/>
      <c r="O1590" s="5"/>
      <c r="P1590" s="1"/>
    </row>
    <row r="1591" spans="1:16">
      <c r="A1591" t="str">
        <f t="shared" si="24"/>
        <v/>
      </c>
      <c r="D1591" s="5"/>
      <c r="E1591" s="5"/>
      <c r="F1591" s="5"/>
      <c r="G1591" s="5"/>
      <c r="H1591" s="5"/>
      <c r="I1591" s="5"/>
      <c r="J1591" s="5"/>
      <c r="K1591" s="5"/>
      <c r="L1591" s="5"/>
      <c r="M1591" s="5"/>
      <c r="N1591" s="5"/>
      <c r="O1591" s="5"/>
      <c r="P1591" s="5"/>
    </row>
    <row r="1592" spans="1:16">
      <c r="A1592" t="str">
        <f t="shared" si="24"/>
        <v/>
      </c>
      <c r="D1592" s="5"/>
      <c r="E1592" s="5"/>
      <c r="F1592" s="5"/>
      <c r="G1592" s="5"/>
      <c r="H1592" s="5"/>
      <c r="I1592" s="5"/>
      <c r="J1592" s="5"/>
      <c r="K1592" s="5"/>
      <c r="L1592" s="5"/>
      <c r="M1592" s="5"/>
      <c r="N1592" s="5"/>
      <c r="O1592" s="5"/>
      <c r="P1592" s="5"/>
    </row>
    <row r="1593" spans="1:16">
      <c r="A1593" t="str">
        <f t="shared" si="24"/>
        <v/>
      </c>
      <c r="D1593" s="5"/>
      <c r="E1593" s="5"/>
      <c r="F1593" s="5"/>
      <c r="G1593" s="5"/>
      <c r="H1593" s="5"/>
      <c r="I1593" s="5"/>
      <c r="J1593" s="5"/>
      <c r="K1593" s="5"/>
      <c r="L1593" s="5"/>
      <c r="M1593" s="5"/>
      <c r="N1593" s="5"/>
      <c r="O1593" s="5"/>
      <c r="P1593" s="5"/>
    </row>
    <row r="1594" spans="1:16">
      <c r="A1594" t="str">
        <f t="shared" si="24"/>
        <v/>
      </c>
      <c r="D1594" s="5"/>
      <c r="E1594" s="5"/>
      <c r="F1594" s="5"/>
      <c r="G1594" s="5"/>
      <c r="H1594" s="5"/>
      <c r="I1594" s="5"/>
      <c r="J1594" s="5"/>
      <c r="K1594" s="5"/>
      <c r="L1594" s="5"/>
      <c r="M1594" s="5"/>
      <c r="N1594" s="5"/>
      <c r="O1594" s="5"/>
      <c r="P1594" s="5"/>
    </row>
    <row r="1595" spans="1:16">
      <c r="A1595" t="str">
        <f t="shared" si="24"/>
        <v/>
      </c>
      <c r="D1595" s="5"/>
      <c r="E1595" s="5"/>
      <c r="F1595" s="5"/>
      <c r="G1595" s="5"/>
      <c r="H1595" s="5"/>
      <c r="I1595" s="5"/>
      <c r="J1595" s="5"/>
      <c r="K1595" s="5"/>
      <c r="L1595" s="5"/>
      <c r="M1595" s="5"/>
      <c r="N1595" s="5"/>
      <c r="O1595" s="5"/>
      <c r="P1595" s="5"/>
    </row>
    <row r="1596" spans="1:16">
      <c r="A1596" t="str">
        <f t="shared" si="24"/>
        <v/>
      </c>
      <c r="D1596" s="5"/>
      <c r="E1596" s="5"/>
      <c r="F1596" s="5"/>
      <c r="G1596" s="5"/>
      <c r="H1596" s="5"/>
      <c r="I1596" s="5"/>
      <c r="J1596" s="5"/>
      <c r="K1596" s="5"/>
      <c r="L1596" s="5"/>
      <c r="M1596" s="5"/>
      <c r="N1596" s="5"/>
      <c r="O1596" s="5"/>
      <c r="P1596" s="5"/>
    </row>
    <row r="1597" spans="1:16">
      <c r="A1597" t="str">
        <f t="shared" si="24"/>
        <v/>
      </c>
      <c r="P1597" s="5"/>
    </row>
    <row r="1598" spans="1:16">
      <c r="A1598" t="str">
        <f t="shared" si="24"/>
        <v/>
      </c>
      <c r="D1598" s="5"/>
      <c r="E1598" s="5"/>
      <c r="F1598" s="5"/>
      <c r="G1598" s="5"/>
      <c r="H1598" s="5"/>
      <c r="I1598" s="5"/>
      <c r="J1598" s="5"/>
      <c r="K1598" s="5"/>
      <c r="L1598" s="5"/>
      <c r="M1598" s="5"/>
      <c r="N1598" s="5"/>
      <c r="O1598" s="5"/>
      <c r="P1598" s="5"/>
    </row>
    <row r="1599" spans="1:16">
      <c r="A1599" t="str">
        <f t="shared" si="24"/>
        <v/>
      </c>
      <c r="D1599" s="5"/>
      <c r="E1599" s="5"/>
      <c r="F1599" s="5"/>
      <c r="G1599" s="5"/>
      <c r="H1599" s="5"/>
      <c r="I1599" s="5"/>
      <c r="J1599" s="5"/>
      <c r="K1599" s="5"/>
      <c r="L1599" s="5"/>
      <c r="M1599" s="5"/>
      <c r="N1599" s="5"/>
      <c r="O1599" s="5"/>
      <c r="P1599" s="5"/>
    </row>
    <row r="1600" spans="1:16">
      <c r="A1600" t="str">
        <f t="shared" si="24"/>
        <v/>
      </c>
      <c r="D1600" s="5"/>
      <c r="E1600" s="5"/>
      <c r="F1600" s="5"/>
      <c r="G1600" s="5"/>
      <c r="H1600" s="5"/>
      <c r="I1600" s="5"/>
      <c r="J1600" s="5"/>
      <c r="K1600" s="5"/>
      <c r="L1600" s="5"/>
      <c r="M1600" s="5"/>
      <c r="N1600" s="5"/>
      <c r="O1600" s="5"/>
    </row>
    <row r="1601" spans="1:16">
      <c r="A1601" t="str">
        <f t="shared" si="24"/>
        <v/>
      </c>
      <c r="D1601" s="5"/>
      <c r="E1601" s="5"/>
      <c r="F1601" s="5"/>
      <c r="G1601" s="5"/>
      <c r="H1601" s="5"/>
      <c r="I1601" s="5"/>
      <c r="J1601" s="5"/>
      <c r="K1601" s="5"/>
      <c r="L1601" s="5"/>
      <c r="M1601" s="5"/>
      <c r="N1601" s="5"/>
      <c r="O1601" s="5"/>
      <c r="P1601" s="5"/>
    </row>
    <row r="1602" spans="1:16">
      <c r="A1602" t="str">
        <f t="shared" si="24"/>
        <v/>
      </c>
      <c r="D1602" s="5"/>
      <c r="E1602" s="5"/>
      <c r="F1602" s="5"/>
      <c r="G1602" s="5"/>
      <c r="H1602" s="5"/>
      <c r="I1602" s="5"/>
      <c r="J1602" s="5"/>
      <c r="K1602" s="5"/>
      <c r="L1602" s="5"/>
      <c r="M1602" s="5"/>
      <c r="N1602" s="5"/>
      <c r="O1602" s="5"/>
      <c r="P1602" s="5"/>
    </row>
    <row r="1603" spans="1:16">
      <c r="A1603" t="str">
        <f t="shared" si="24"/>
        <v/>
      </c>
      <c r="D1603" s="5"/>
      <c r="E1603" s="5"/>
      <c r="F1603" s="5"/>
      <c r="G1603" s="5"/>
      <c r="H1603" s="5"/>
      <c r="I1603" s="5"/>
      <c r="J1603" s="5"/>
      <c r="K1603" s="5"/>
      <c r="L1603" s="5"/>
      <c r="M1603" s="5"/>
      <c r="N1603" s="5"/>
      <c r="O1603" s="5"/>
      <c r="P1603" s="5"/>
    </row>
    <row r="1604" spans="1:16">
      <c r="A1604" t="str">
        <f t="shared" si="24"/>
        <v/>
      </c>
      <c r="D1604" s="5"/>
      <c r="E1604" s="5"/>
      <c r="F1604" s="5"/>
      <c r="G1604" s="5"/>
      <c r="H1604" s="5"/>
      <c r="I1604" s="5"/>
      <c r="J1604" s="5"/>
      <c r="K1604" s="5"/>
      <c r="L1604" s="5"/>
      <c r="M1604" s="5"/>
      <c r="N1604" s="5"/>
      <c r="O1604" s="5"/>
      <c r="P1604" s="5"/>
    </row>
    <row r="1605" spans="1:16">
      <c r="A1605" t="str">
        <f t="shared" si="24"/>
        <v/>
      </c>
      <c r="P1605" s="5"/>
    </row>
    <row r="1606" spans="1:16">
      <c r="A1606" t="str">
        <f t="shared" si="24"/>
        <v/>
      </c>
      <c r="P1606" s="5"/>
    </row>
    <row r="1607" spans="1:16">
      <c r="A1607" t="str">
        <f t="shared" si="24"/>
        <v/>
      </c>
      <c r="P1607" s="5"/>
    </row>
    <row r="1608" spans="1:16">
      <c r="A1608" t="str">
        <f t="shared" si="24"/>
        <v/>
      </c>
    </row>
    <row r="1609" spans="1:16">
      <c r="A1609" t="str">
        <f t="shared" si="24"/>
        <v/>
      </c>
    </row>
    <row r="1610" spans="1:16">
      <c r="A1610" t="str">
        <f t="shared" si="24"/>
        <v/>
      </c>
    </row>
    <row r="1611" spans="1:16">
      <c r="A1611" t="str">
        <f t="shared" si="24"/>
        <v/>
      </c>
    </row>
    <row r="1612" spans="1:16">
      <c r="A1612" t="str">
        <f t="shared" si="24"/>
        <v/>
      </c>
    </row>
    <row r="1613" spans="1:16">
      <c r="A1613" t="str">
        <f t="shared" si="24"/>
        <v/>
      </c>
    </row>
    <row r="1614" spans="1:16">
      <c r="A1614" t="str">
        <f t="shared" si="24"/>
        <v/>
      </c>
    </row>
    <row r="1615" spans="1:16">
      <c r="A1615" t="str">
        <f t="shared" si="24"/>
        <v/>
      </c>
      <c r="P1615" s="4"/>
    </row>
    <row r="1616" spans="1:16">
      <c r="A1616" t="str">
        <f t="shared" si="24"/>
        <v/>
      </c>
    </row>
    <row r="1617" spans="1:16">
      <c r="A1617" t="str">
        <f t="shared" si="24"/>
        <v/>
      </c>
    </row>
    <row r="1618" spans="1:16">
      <c r="A1618" t="str">
        <f t="shared" si="24"/>
        <v/>
      </c>
    </row>
    <row r="1619" spans="1:16">
      <c r="A1619" t="str">
        <f t="shared" si="24"/>
        <v/>
      </c>
    </row>
    <row r="1620" spans="1:16">
      <c r="A1620" t="str">
        <f t="shared" si="24"/>
        <v/>
      </c>
      <c r="D1620" s="4"/>
      <c r="E1620" s="4"/>
      <c r="F1620" s="4"/>
      <c r="G1620" s="4"/>
      <c r="H1620" s="4"/>
      <c r="I1620" s="4"/>
      <c r="J1620" s="4"/>
      <c r="K1620" s="4"/>
      <c r="L1620" s="4"/>
      <c r="M1620" s="4"/>
      <c r="N1620" s="4"/>
      <c r="O1620" s="4"/>
    </row>
    <row r="1621" spans="1:16">
      <c r="A1621" t="str">
        <f t="shared" si="24"/>
        <v/>
      </c>
      <c r="P1621" s="91"/>
    </row>
    <row r="1622" spans="1:16">
      <c r="A1622" t="str">
        <f t="shared" si="24"/>
        <v/>
      </c>
    </row>
    <row r="1623" spans="1:16">
      <c r="A1623" t="str">
        <f t="shared" si="24"/>
        <v/>
      </c>
    </row>
    <row r="1624" spans="1:16">
      <c r="A1624" t="str">
        <f t="shared" si="24"/>
        <v/>
      </c>
      <c r="P1624" s="5"/>
    </row>
    <row r="1625" spans="1:16">
      <c r="A1625" t="str">
        <f t="shared" si="24"/>
        <v/>
      </c>
      <c r="P1625" s="5"/>
    </row>
    <row r="1626" spans="1:16">
      <c r="A1626" t="str">
        <f t="shared" si="24"/>
        <v/>
      </c>
    </row>
    <row r="1627" spans="1:16">
      <c r="A1627" t="str">
        <f t="shared" si="24"/>
        <v/>
      </c>
      <c r="P1627" s="89"/>
    </row>
    <row r="1628" spans="1:16">
      <c r="A1628" t="str">
        <f t="shared" si="24"/>
        <v/>
      </c>
    </row>
    <row r="1629" spans="1:16">
      <c r="A1629" t="str">
        <f t="shared" si="24"/>
        <v/>
      </c>
    </row>
    <row r="1630" spans="1:16">
      <c r="A1630" t="str">
        <f t="shared" si="24"/>
        <v/>
      </c>
    </row>
    <row r="1631" spans="1:16">
      <c r="A1631" t="str">
        <f t="shared" si="24"/>
        <v/>
      </c>
    </row>
    <row r="1632" spans="1:16">
      <c r="A1632" t="str">
        <f t="shared" si="24"/>
        <v/>
      </c>
      <c r="P1632" s="87"/>
    </row>
    <row r="1633" spans="1:16">
      <c r="A1633" t="str">
        <f t="shared" si="24"/>
        <v/>
      </c>
    </row>
    <row r="1634" spans="1:16">
      <c r="A1634" t="str">
        <f t="shared" si="24"/>
        <v/>
      </c>
    </row>
    <row r="1635" spans="1:16">
      <c r="A1635" t="str">
        <f t="shared" si="24"/>
        <v/>
      </c>
      <c r="P1635" s="83"/>
    </row>
    <row r="1636" spans="1:16">
      <c r="A1636" t="str">
        <f t="shared" si="24"/>
        <v/>
      </c>
      <c r="P1636" s="1"/>
    </row>
    <row r="1637" spans="1:16">
      <c r="A1637" t="str">
        <f t="shared" si="24"/>
        <v/>
      </c>
      <c r="P1637" s="5"/>
    </row>
    <row r="1638" spans="1:16">
      <c r="A1638" t="str">
        <f t="shared" si="24"/>
        <v/>
      </c>
      <c r="P1638" s="5"/>
    </row>
    <row r="1639" spans="1:16">
      <c r="A1639" t="str">
        <f t="shared" si="24"/>
        <v/>
      </c>
      <c r="P1639" s="5"/>
    </row>
    <row r="1640" spans="1:16">
      <c r="A1640" t="str">
        <f t="shared" si="24"/>
        <v/>
      </c>
      <c r="P1640" s="5"/>
    </row>
    <row r="1641" spans="1:16">
      <c r="A1641" t="str">
        <f t="shared" si="24"/>
        <v/>
      </c>
      <c r="P1641" s="5"/>
    </row>
    <row r="1642" spans="1:16">
      <c r="A1642" t="str">
        <f t="shared" si="24"/>
        <v/>
      </c>
      <c r="P1642" s="5"/>
    </row>
    <row r="1643" spans="1:16">
      <c r="A1643" t="str">
        <f t="shared" si="24"/>
        <v/>
      </c>
      <c r="P1643" s="5"/>
    </row>
    <row r="1644" spans="1:16">
      <c r="A1644" t="str">
        <f t="shared" si="24"/>
        <v/>
      </c>
      <c r="P1644" s="5"/>
    </row>
    <row r="1645" spans="1:16">
      <c r="A1645" t="str">
        <f t="shared" si="24"/>
        <v/>
      </c>
      <c r="P1645" s="5"/>
    </row>
    <row r="1646" spans="1:16">
      <c r="A1646" t="str">
        <f t="shared" si="24"/>
        <v/>
      </c>
    </row>
    <row r="1647" spans="1:16">
      <c r="A1647" t="str">
        <f t="shared" si="24"/>
        <v/>
      </c>
      <c r="P1647" s="5"/>
    </row>
    <row r="1648" spans="1:16">
      <c r="A1648" t="str">
        <f t="shared" si="24"/>
        <v/>
      </c>
      <c r="P1648" s="5"/>
    </row>
    <row r="1649" spans="1:16">
      <c r="A1649" t="str">
        <f t="shared" si="24"/>
        <v/>
      </c>
      <c r="P1649" s="5"/>
    </row>
    <row r="1650" spans="1:16">
      <c r="A1650" t="str">
        <f t="shared" si="24"/>
        <v/>
      </c>
      <c r="P1650" s="5"/>
    </row>
    <row r="1651" spans="1:16">
      <c r="A1651" t="str">
        <f t="shared" si="24"/>
        <v/>
      </c>
      <c r="P1651" s="5"/>
    </row>
    <row r="1652" spans="1:16">
      <c r="A1652" t="str">
        <f t="shared" si="24"/>
        <v/>
      </c>
      <c r="P1652" s="5"/>
    </row>
    <row r="1653" spans="1:16">
      <c r="A1653" t="str">
        <f t="shared" si="24"/>
        <v/>
      </c>
      <c r="P1653" s="5"/>
    </row>
    <row r="1654" spans="1:16">
      <c r="A1654" t="str">
        <f t="shared" ref="A1654:A1717" si="25">B1654&amp;C1654</f>
        <v/>
      </c>
    </row>
    <row r="1655" spans="1:16">
      <c r="A1655" t="str">
        <f t="shared" si="25"/>
        <v/>
      </c>
    </row>
    <row r="1656" spans="1:16">
      <c r="A1656" t="str">
        <f t="shared" si="25"/>
        <v/>
      </c>
    </row>
    <row r="1657" spans="1:16">
      <c r="A1657" t="str">
        <f t="shared" si="25"/>
        <v/>
      </c>
    </row>
    <row r="1658" spans="1:16">
      <c r="A1658" t="str">
        <f t="shared" si="25"/>
        <v/>
      </c>
    </row>
    <row r="1659" spans="1:16">
      <c r="A1659" t="str">
        <f t="shared" si="25"/>
        <v/>
      </c>
    </row>
    <row r="1660" spans="1:16">
      <c r="A1660" t="str">
        <f t="shared" si="25"/>
        <v/>
      </c>
    </row>
    <row r="1661" spans="1:16">
      <c r="A1661" t="str">
        <f t="shared" si="25"/>
        <v/>
      </c>
      <c r="P1661" s="4"/>
    </row>
    <row r="1662" spans="1:16">
      <c r="A1662" t="str">
        <f t="shared" si="25"/>
        <v/>
      </c>
    </row>
    <row r="1663" spans="1:16">
      <c r="A1663" t="str">
        <f t="shared" si="25"/>
        <v/>
      </c>
    </row>
    <row r="1664" spans="1:16">
      <c r="A1664" t="str">
        <f t="shared" si="25"/>
        <v/>
      </c>
    </row>
    <row r="1665" spans="1:16">
      <c r="A1665" t="str">
        <f t="shared" si="25"/>
        <v/>
      </c>
    </row>
    <row r="1666" spans="1:16">
      <c r="A1666" t="str">
        <f t="shared" si="25"/>
        <v/>
      </c>
    </row>
    <row r="1667" spans="1:16">
      <c r="A1667" t="str">
        <f t="shared" si="25"/>
        <v/>
      </c>
      <c r="P1667" s="91"/>
    </row>
    <row r="1668" spans="1:16">
      <c r="A1668" t="str">
        <f t="shared" si="25"/>
        <v/>
      </c>
    </row>
    <row r="1669" spans="1:16">
      <c r="A1669" t="str">
        <f t="shared" si="25"/>
        <v/>
      </c>
    </row>
    <row r="1670" spans="1:16">
      <c r="A1670" t="str">
        <f t="shared" si="25"/>
        <v/>
      </c>
      <c r="P1670" s="5"/>
    </row>
    <row r="1671" spans="1:16">
      <c r="A1671" t="str">
        <f t="shared" si="25"/>
        <v/>
      </c>
      <c r="P1671" s="5"/>
    </row>
    <row r="1672" spans="1:16">
      <c r="A1672" t="str">
        <f t="shared" si="25"/>
        <v/>
      </c>
    </row>
    <row r="1673" spans="1:16">
      <c r="A1673" t="str">
        <f t="shared" si="25"/>
        <v/>
      </c>
      <c r="P1673" s="89"/>
    </row>
    <row r="1674" spans="1:16">
      <c r="A1674" t="str">
        <f t="shared" si="25"/>
        <v/>
      </c>
      <c r="D1674" s="4"/>
      <c r="E1674" s="4"/>
      <c r="F1674" s="4"/>
      <c r="G1674" s="4"/>
      <c r="H1674" s="4"/>
      <c r="I1674" s="4"/>
      <c r="J1674" s="4"/>
      <c r="K1674" s="4"/>
      <c r="L1674" s="4"/>
      <c r="M1674" s="4"/>
      <c r="N1674" s="4"/>
      <c r="O1674" s="4"/>
    </row>
    <row r="1675" spans="1:16">
      <c r="A1675" t="str">
        <f t="shared" si="25"/>
        <v/>
      </c>
    </row>
    <row r="1676" spans="1:16">
      <c r="A1676" t="str">
        <f t="shared" si="25"/>
        <v/>
      </c>
    </row>
    <row r="1677" spans="1:16">
      <c r="A1677" t="str">
        <f t="shared" si="25"/>
        <v/>
      </c>
    </row>
    <row r="1678" spans="1:16">
      <c r="A1678" t="str">
        <f t="shared" si="25"/>
        <v/>
      </c>
      <c r="P1678" s="87"/>
    </row>
    <row r="1679" spans="1:16">
      <c r="A1679" t="str">
        <f t="shared" si="25"/>
        <v/>
      </c>
    </row>
    <row r="1680" spans="1:16">
      <c r="A1680" t="str">
        <f t="shared" si="25"/>
        <v/>
      </c>
    </row>
    <row r="1681" spans="1:16">
      <c r="A1681" t="str">
        <f t="shared" si="25"/>
        <v/>
      </c>
      <c r="P1681" s="83"/>
    </row>
    <row r="1682" spans="1:16">
      <c r="A1682" t="str">
        <f t="shared" si="25"/>
        <v/>
      </c>
      <c r="P1682" s="1"/>
    </row>
    <row r="1683" spans="1:16">
      <c r="A1683" t="str">
        <f t="shared" si="25"/>
        <v/>
      </c>
      <c r="D1683" s="5"/>
      <c r="E1683" s="5"/>
      <c r="F1683" s="5"/>
      <c r="G1683" s="5"/>
      <c r="H1683" s="5"/>
      <c r="I1683" s="5"/>
      <c r="J1683" s="5"/>
      <c r="K1683" s="5"/>
      <c r="L1683" s="5"/>
      <c r="M1683" s="5"/>
      <c r="N1683" s="5"/>
      <c r="O1683" s="5"/>
      <c r="P1683" s="5"/>
    </row>
    <row r="1684" spans="1:16">
      <c r="A1684" t="str">
        <f t="shared" si="25"/>
        <v/>
      </c>
      <c r="D1684" s="5"/>
      <c r="E1684" s="5"/>
      <c r="F1684" s="5"/>
      <c r="G1684" s="5"/>
      <c r="H1684" s="5"/>
      <c r="I1684" s="5"/>
      <c r="J1684" s="5"/>
      <c r="K1684" s="5"/>
      <c r="L1684" s="5"/>
      <c r="M1684" s="5"/>
      <c r="N1684" s="5"/>
      <c r="O1684" s="5"/>
      <c r="P1684" s="5"/>
    </row>
    <row r="1685" spans="1:16">
      <c r="A1685" t="str">
        <f t="shared" si="25"/>
        <v/>
      </c>
      <c r="P1685" s="5"/>
    </row>
    <row r="1686" spans="1:16">
      <c r="A1686" t="str">
        <f t="shared" si="25"/>
        <v/>
      </c>
      <c r="P1686" s="5"/>
    </row>
    <row r="1687" spans="1:16">
      <c r="A1687" t="str">
        <f t="shared" si="25"/>
        <v/>
      </c>
      <c r="P1687" s="5"/>
    </row>
    <row r="1688" spans="1:16">
      <c r="A1688" t="str">
        <f t="shared" si="25"/>
        <v/>
      </c>
      <c r="P1688" s="5"/>
    </row>
    <row r="1689" spans="1:16">
      <c r="A1689" t="str">
        <f t="shared" si="25"/>
        <v/>
      </c>
      <c r="P1689" s="5"/>
    </row>
    <row r="1690" spans="1:16">
      <c r="A1690" t="str">
        <f t="shared" si="25"/>
        <v/>
      </c>
      <c r="P1690" s="5"/>
    </row>
    <row r="1691" spans="1:16">
      <c r="A1691" t="str">
        <f t="shared" si="25"/>
        <v/>
      </c>
      <c r="P1691" s="5"/>
    </row>
    <row r="1692" spans="1:16">
      <c r="A1692" t="str">
        <f t="shared" si="25"/>
        <v/>
      </c>
    </row>
    <row r="1693" spans="1:16">
      <c r="A1693" t="str">
        <f t="shared" si="25"/>
        <v/>
      </c>
      <c r="P1693" s="5"/>
    </row>
    <row r="1694" spans="1:16">
      <c r="A1694" t="str">
        <f t="shared" si="25"/>
        <v/>
      </c>
      <c r="P1694" s="5"/>
    </row>
    <row r="1695" spans="1:16">
      <c r="A1695" t="str">
        <f t="shared" si="25"/>
        <v/>
      </c>
      <c r="D1695" s="1"/>
      <c r="E1695" s="1"/>
      <c r="F1695" s="1"/>
      <c r="G1695" s="1"/>
      <c r="H1695" s="1"/>
      <c r="I1695" s="1"/>
      <c r="J1695" s="1"/>
      <c r="K1695" s="1"/>
      <c r="L1695" s="1"/>
      <c r="M1695" s="1"/>
      <c r="N1695" s="1"/>
      <c r="O1695" s="1"/>
      <c r="P1695" s="5"/>
    </row>
    <row r="1696" spans="1:16">
      <c r="A1696" t="str">
        <f t="shared" si="25"/>
        <v/>
      </c>
      <c r="D1696" s="5"/>
      <c r="E1696" s="5"/>
      <c r="F1696" s="5"/>
      <c r="G1696" s="5"/>
      <c r="H1696" s="5"/>
      <c r="I1696" s="5"/>
      <c r="J1696" s="5"/>
      <c r="K1696" s="5"/>
      <c r="L1696" s="5"/>
      <c r="M1696" s="5"/>
      <c r="N1696" s="5"/>
      <c r="O1696" s="5"/>
      <c r="P1696" s="5"/>
    </row>
    <row r="1697" spans="1:16">
      <c r="A1697" t="str">
        <f t="shared" si="25"/>
        <v/>
      </c>
      <c r="D1697" s="5"/>
      <c r="E1697" s="5"/>
      <c r="F1697" s="5"/>
      <c r="G1697" s="5"/>
      <c r="H1697" s="5"/>
      <c r="I1697" s="5"/>
      <c r="J1697" s="5"/>
      <c r="K1697" s="5"/>
      <c r="L1697" s="5"/>
      <c r="M1697" s="5"/>
      <c r="N1697" s="5"/>
      <c r="O1697" s="5"/>
      <c r="P1697" s="5"/>
    </row>
    <row r="1698" spans="1:16">
      <c r="A1698" t="str">
        <f t="shared" si="25"/>
        <v/>
      </c>
      <c r="D1698" s="5"/>
      <c r="E1698" s="5"/>
      <c r="F1698" s="5"/>
      <c r="G1698" s="5"/>
      <c r="H1698" s="5"/>
      <c r="I1698" s="5"/>
      <c r="J1698" s="5"/>
      <c r="K1698" s="5"/>
      <c r="L1698" s="5"/>
      <c r="M1698" s="5"/>
      <c r="N1698" s="5"/>
      <c r="O1698" s="5"/>
      <c r="P1698" s="5"/>
    </row>
    <row r="1699" spans="1:16">
      <c r="A1699" t="str">
        <f t="shared" si="25"/>
        <v/>
      </c>
      <c r="D1699" s="5"/>
      <c r="E1699" s="5"/>
      <c r="F1699" s="5"/>
      <c r="G1699" s="5"/>
      <c r="H1699" s="5"/>
      <c r="I1699" s="5"/>
      <c r="J1699" s="5"/>
      <c r="K1699" s="5"/>
      <c r="L1699" s="5"/>
      <c r="M1699" s="5"/>
      <c r="N1699" s="5"/>
      <c r="O1699" s="5"/>
      <c r="P1699" s="5"/>
    </row>
    <row r="1700" spans="1:16">
      <c r="A1700" t="str">
        <f t="shared" si="25"/>
        <v/>
      </c>
      <c r="D1700" s="5"/>
      <c r="E1700" s="5"/>
      <c r="F1700" s="5"/>
      <c r="G1700" s="5"/>
      <c r="H1700" s="5"/>
      <c r="I1700" s="5"/>
      <c r="J1700" s="5"/>
      <c r="K1700" s="5"/>
      <c r="L1700" s="5"/>
      <c r="M1700" s="5"/>
      <c r="N1700" s="5"/>
      <c r="O1700" s="5"/>
    </row>
    <row r="1701" spans="1:16">
      <c r="A1701" t="str">
        <f t="shared" si="25"/>
        <v/>
      </c>
      <c r="D1701" s="5"/>
      <c r="E1701" s="5"/>
      <c r="F1701" s="5"/>
      <c r="G1701" s="5"/>
      <c r="H1701" s="5"/>
      <c r="I1701" s="5"/>
      <c r="J1701" s="5"/>
      <c r="K1701" s="5"/>
      <c r="L1701" s="5"/>
      <c r="M1701" s="5"/>
      <c r="N1701" s="5"/>
      <c r="O1701" s="5"/>
    </row>
    <row r="1702" spans="1:16">
      <c r="A1702" t="str">
        <f t="shared" si="25"/>
        <v/>
      </c>
      <c r="D1702" s="5"/>
      <c r="E1702" s="5"/>
      <c r="F1702" s="5"/>
      <c r="G1702" s="5"/>
      <c r="H1702" s="5"/>
      <c r="I1702" s="5"/>
      <c r="J1702" s="5"/>
      <c r="K1702" s="5"/>
      <c r="L1702" s="5"/>
      <c r="M1702" s="5"/>
      <c r="N1702" s="5"/>
      <c r="O1702" s="5"/>
    </row>
    <row r="1703" spans="1:16">
      <c r="A1703" t="str">
        <f t="shared" si="25"/>
        <v/>
      </c>
      <c r="D1703" s="5"/>
      <c r="E1703" s="5"/>
      <c r="F1703" s="5"/>
      <c r="G1703" s="5"/>
      <c r="H1703" s="5"/>
      <c r="I1703" s="5"/>
      <c r="J1703" s="5"/>
      <c r="K1703" s="5"/>
      <c r="L1703" s="5"/>
      <c r="M1703" s="5"/>
      <c r="N1703" s="5"/>
      <c r="O1703" s="5"/>
    </row>
    <row r="1704" spans="1:16">
      <c r="A1704" t="str">
        <f t="shared" si="25"/>
        <v/>
      </c>
      <c r="D1704" s="5"/>
      <c r="E1704" s="5"/>
      <c r="F1704" s="5"/>
      <c r="G1704" s="5"/>
      <c r="H1704" s="5"/>
      <c r="I1704" s="5"/>
      <c r="J1704" s="5"/>
      <c r="K1704" s="5"/>
      <c r="L1704" s="5"/>
      <c r="M1704" s="5"/>
      <c r="N1704" s="5"/>
      <c r="O1704" s="5"/>
    </row>
    <row r="1705" spans="1:16">
      <c r="A1705" t="str">
        <f t="shared" si="25"/>
        <v/>
      </c>
    </row>
    <row r="1706" spans="1:16">
      <c r="A1706" t="str">
        <f t="shared" si="25"/>
        <v/>
      </c>
      <c r="D1706" s="5"/>
      <c r="E1706" s="5"/>
      <c r="F1706" s="5"/>
      <c r="G1706" s="5"/>
      <c r="H1706" s="5"/>
      <c r="I1706" s="5"/>
      <c r="J1706" s="5"/>
      <c r="K1706" s="5"/>
      <c r="L1706" s="5"/>
      <c r="M1706" s="5"/>
      <c r="N1706" s="5"/>
      <c r="O1706" s="5"/>
    </row>
    <row r="1707" spans="1:16">
      <c r="A1707" t="str">
        <f t="shared" si="25"/>
        <v/>
      </c>
      <c r="D1707" s="5"/>
      <c r="E1707" s="5"/>
      <c r="F1707" s="5"/>
      <c r="G1707" s="5"/>
      <c r="H1707" s="5"/>
      <c r="I1707" s="5"/>
      <c r="J1707" s="5"/>
      <c r="K1707" s="5"/>
      <c r="L1707" s="5"/>
      <c r="M1707" s="5"/>
      <c r="N1707" s="5"/>
      <c r="O1707" s="5"/>
    </row>
    <row r="1708" spans="1:16">
      <c r="A1708" t="str">
        <f t="shared" si="25"/>
        <v/>
      </c>
      <c r="D1708" s="5"/>
      <c r="E1708" s="5"/>
      <c r="F1708" s="5"/>
      <c r="G1708" s="5"/>
      <c r="H1708" s="5"/>
      <c r="I1708" s="5"/>
      <c r="J1708" s="5"/>
      <c r="K1708" s="5"/>
      <c r="L1708" s="5"/>
      <c r="M1708" s="5"/>
      <c r="N1708" s="5"/>
      <c r="O1708" s="5"/>
    </row>
    <row r="1709" spans="1:16">
      <c r="A1709" t="str">
        <f t="shared" si="25"/>
        <v/>
      </c>
      <c r="D1709" s="5"/>
      <c r="E1709" s="5"/>
      <c r="F1709" s="5"/>
      <c r="G1709" s="5"/>
      <c r="H1709" s="5"/>
      <c r="I1709" s="5"/>
      <c r="J1709" s="5"/>
      <c r="K1709" s="5"/>
      <c r="L1709" s="5"/>
      <c r="M1709" s="5"/>
      <c r="N1709" s="5"/>
      <c r="O1709" s="5"/>
    </row>
    <row r="1710" spans="1:16">
      <c r="A1710" t="str">
        <f t="shared" si="25"/>
        <v/>
      </c>
      <c r="D1710" s="5"/>
      <c r="E1710" s="5"/>
      <c r="F1710" s="5"/>
      <c r="G1710" s="5"/>
      <c r="H1710" s="5"/>
      <c r="I1710" s="5"/>
      <c r="J1710" s="5"/>
      <c r="K1710" s="5"/>
      <c r="L1710" s="5"/>
      <c r="M1710" s="5"/>
      <c r="N1710" s="5"/>
      <c r="O1710" s="5"/>
    </row>
    <row r="1711" spans="1:16">
      <c r="A1711" t="str">
        <f t="shared" si="25"/>
        <v/>
      </c>
      <c r="D1711" s="5"/>
      <c r="E1711" s="5"/>
      <c r="F1711" s="5"/>
      <c r="G1711" s="5"/>
      <c r="H1711" s="5"/>
      <c r="I1711" s="5"/>
      <c r="J1711" s="5"/>
      <c r="K1711" s="5"/>
      <c r="L1711" s="5"/>
      <c r="M1711" s="5"/>
      <c r="N1711" s="5"/>
      <c r="O1711" s="5"/>
    </row>
    <row r="1712" spans="1:16">
      <c r="A1712" t="str">
        <f t="shared" si="25"/>
        <v/>
      </c>
      <c r="D1712" s="5"/>
      <c r="E1712" s="5"/>
      <c r="F1712" s="5"/>
      <c r="G1712" s="5"/>
      <c r="H1712" s="5"/>
      <c r="I1712" s="5"/>
      <c r="J1712" s="5"/>
      <c r="K1712" s="5"/>
      <c r="L1712" s="5"/>
      <c r="M1712" s="5"/>
      <c r="N1712" s="5"/>
      <c r="O1712" s="5"/>
    </row>
    <row r="1713" spans="1:15">
      <c r="A1713" t="str">
        <f t="shared" si="25"/>
        <v/>
      </c>
    </row>
    <row r="1714" spans="1:15">
      <c r="A1714" t="str">
        <f t="shared" si="25"/>
        <v/>
      </c>
    </row>
    <row r="1715" spans="1:15">
      <c r="A1715" t="str">
        <f t="shared" si="25"/>
        <v/>
      </c>
    </row>
    <row r="1716" spans="1:15">
      <c r="A1716" t="str">
        <f t="shared" si="25"/>
        <v/>
      </c>
    </row>
    <row r="1717" spans="1:15">
      <c r="A1717" t="str">
        <f t="shared" si="25"/>
        <v/>
      </c>
    </row>
    <row r="1718" spans="1:15">
      <c r="A1718" t="str">
        <f t="shared" ref="A1718:A1781" si="26">B1718&amp;C1718</f>
        <v/>
      </c>
    </row>
    <row r="1719" spans="1:15">
      <c r="A1719" t="str">
        <f t="shared" si="26"/>
        <v/>
      </c>
    </row>
    <row r="1720" spans="1:15">
      <c r="A1720" t="str">
        <f t="shared" si="26"/>
        <v/>
      </c>
    </row>
    <row r="1721" spans="1:15">
      <c r="A1721" t="str">
        <f t="shared" si="26"/>
        <v/>
      </c>
    </row>
    <row r="1722" spans="1:15">
      <c r="A1722" t="str">
        <f t="shared" si="26"/>
        <v/>
      </c>
    </row>
    <row r="1723" spans="1:15">
      <c r="A1723" t="str">
        <f t="shared" si="26"/>
        <v/>
      </c>
    </row>
    <row r="1724" spans="1:15">
      <c r="A1724" t="str">
        <f t="shared" si="26"/>
        <v/>
      </c>
    </row>
    <row r="1725" spans="1:15">
      <c r="A1725" t="str">
        <f t="shared" si="26"/>
        <v/>
      </c>
    </row>
    <row r="1726" spans="1:15">
      <c r="A1726" t="str">
        <f t="shared" si="26"/>
        <v/>
      </c>
    </row>
    <row r="1727" spans="1:15">
      <c r="A1727" t="str">
        <f t="shared" si="26"/>
        <v/>
      </c>
    </row>
    <row r="1728" spans="1:15">
      <c r="A1728" t="str">
        <f t="shared" si="26"/>
        <v/>
      </c>
      <c r="D1728" s="4"/>
      <c r="E1728" s="4"/>
      <c r="F1728" s="4"/>
      <c r="G1728" s="4"/>
      <c r="H1728" s="4"/>
      <c r="I1728" s="4"/>
      <c r="J1728" s="4"/>
      <c r="K1728" s="4"/>
      <c r="L1728" s="4"/>
      <c r="M1728" s="4"/>
      <c r="N1728" s="4"/>
      <c r="O1728" s="4"/>
    </row>
    <row r="1729" spans="1:1">
      <c r="A1729" t="str">
        <f t="shared" si="26"/>
        <v/>
      </c>
    </row>
    <row r="1730" spans="1:1">
      <c r="A1730" t="str">
        <f t="shared" si="26"/>
        <v/>
      </c>
    </row>
    <row r="1731" spans="1:1">
      <c r="A1731" t="str">
        <f t="shared" si="26"/>
        <v/>
      </c>
    </row>
    <row r="1732" spans="1:1">
      <c r="A1732" t="str">
        <f t="shared" si="26"/>
        <v/>
      </c>
    </row>
    <row r="1733" spans="1:1">
      <c r="A1733" t="str">
        <f t="shared" si="26"/>
        <v/>
      </c>
    </row>
    <row r="1734" spans="1:1">
      <c r="A1734" t="str">
        <f t="shared" si="26"/>
        <v/>
      </c>
    </row>
    <row r="1735" spans="1:1">
      <c r="A1735" t="str">
        <f t="shared" si="26"/>
        <v/>
      </c>
    </row>
    <row r="1736" spans="1:1">
      <c r="A1736" t="str">
        <f t="shared" si="26"/>
        <v/>
      </c>
    </row>
    <row r="1737" spans="1:1">
      <c r="A1737" t="str">
        <f t="shared" si="26"/>
        <v/>
      </c>
    </row>
    <row r="1738" spans="1:1">
      <c r="A1738" t="str">
        <f t="shared" si="26"/>
        <v/>
      </c>
    </row>
    <row r="1739" spans="1:1">
      <c r="A1739" t="str">
        <f t="shared" si="26"/>
        <v/>
      </c>
    </row>
    <row r="1740" spans="1:1">
      <c r="A1740" t="str">
        <f t="shared" si="26"/>
        <v/>
      </c>
    </row>
    <row r="1741" spans="1:1">
      <c r="A1741" t="str">
        <f t="shared" si="26"/>
        <v/>
      </c>
    </row>
    <row r="1742" spans="1:1">
      <c r="A1742" t="str">
        <f t="shared" si="26"/>
        <v/>
      </c>
    </row>
    <row r="1743" spans="1:1">
      <c r="A1743" t="str">
        <f t="shared" si="26"/>
        <v/>
      </c>
    </row>
    <row r="1744" spans="1:1">
      <c r="A1744" t="str">
        <f t="shared" si="26"/>
        <v/>
      </c>
    </row>
    <row r="1745" spans="1:1">
      <c r="A1745" t="str">
        <f t="shared" si="26"/>
        <v/>
      </c>
    </row>
    <row r="1746" spans="1:1">
      <c r="A1746" t="str">
        <f t="shared" si="26"/>
        <v/>
      </c>
    </row>
    <row r="1747" spans="1:1">
      <c r="A1747" t="str">
        <f t="shared" si="26"/>
        <v/>
      </c>
    </row>
    <row r="1748" spans="1:1">
      <c r="A1748" t="str">
        <f t="shared" si="26"/>
        <v/>
      </c>
    </row>
    <row r="1749" spans="1:1">
      <c r="A1749" t="str">
        <f t="shared" si="26"/>
        <v/>
      </c>
    </row>
    <row r="1750" spans="1:1">
      <c r="A1750" t="str">
        <f t="shared" si="26"/>
        <v/>
      </c>
    </row>
    <row r="1751" spans="1:1">
      <c r="A1751" t="str">
        <f t="shared" si="26"/>
        <v/>
      </c>
    </row>
    <row r="1752" spans="1:1">
      <c r="A1752" t="str">
        <f t="shared" si="26"/>
        <v/>
      </c>
    </row>
    <row r="1753" spans="1:1">
      <c r="A1753" t="str">
        <f t="shared" si="26"/>
        <v/>
      </c>
    </row>
    <row r="1754" spans="1:1">
      <c r="A1754" t="str">
        <f t="shared" si="26"/>
        <v/>
      </c>
    </row>
    <row r="1755" spans="1:1">
      <c r="A1755" t="str">
        <f t="shared" si="26"/>
        <v/>
      </c>
    </row>
    <row r="1756" spans="1:1">
      <c r="A1756" t="str">
        <f t="shared" si="26"/>
        <v/>
      </c>
    </row>
    <row r="1757" spans="1:1">
      <c r="A1757" t="str">
        <f t="shared" si="26"/>
        <v/>
      </c>
    </row>
    <row r="1758" spans="1:1">
      <c r="A1758" t="str">
        <f t="shared" si="26"/>
        <v/>
      </c>
    </row>
    <row r="1759" spans="1:1">
      <c r="A1759" t="str">
        <f t="shared" si="26"/>
        <v/>
      </c>
    </row>
    <row r="1760" spans="1:1">
      <c r="A1760" t="str">
        <f t="shared" si="26"/>
        <v/>
      </c>
    </row>
    <row r="1761" spans="1:1">
      <c r="A1761" t="str">
        <f t="shared" si="26"/>
        <v/>
      </c>
    </row>
    <row r="1762" spans="1:1">
      <c r="A1762" t="str">
        <f t="shared" si="26"/>
        <v/>
      </c>
    </row>
    <row r="1763" spans="1:1">
      <c r="A1763" t="str">
        <f t="shared" si="26"/>
        <v/>
      </c>
    </row>
    <row r="1764" spans="1:1">
      <c r="A1764" t="str">
        <f t="shared" si="26"/>
        <v/>
      </c>
    </row>
    <row r="1765" spans="1:1">
      <c r="A1765" t="str">
        <f t="shared" si="26"/>
        <v/>
      </c>
    </row>
    <row r="1766" spans="1:1">
      <c r="A1766" t="str">
        <f t="shared" si="26"/>
        <v/>
      </c>
    </row>
    <row r="1767" spans="1:1">
      <c r="A1767" t="str">
        <f t="shared" si="26"/>
        <v/>
      </c>
    </row>
    <row r="1768" spans="1:1">
      <c r="A1768" t="str">
        <f t="shared" si="26"/>
        <v/>
      </c>
    </row>
    <row r="1769" spans="1:1">
      <c r="A1769" t="str">
        <f t="shared" si="26"/>
        <v/>
      </c>
    </row>
    <row r="1770" spans="1:1">
      <c r="A1770" t="str">
        <f t="shared" si="26"/>
        <v/>
      </c>
    </row>
    <row r="1771" spans="1:1">
      <c r="A1771" t="str">
        <f t="shared" si="26"/>
        <v/>
      </c>
    </row>
    <row r="1772" spans="1:1">
      <c r="A1772" t="str">
        <f t="shared" si="26"/>
        <v/>
      </c>
    </row>
    <row r="1773" spans="1:1">
      <c r="A1773" t="str">
        <f t="shared" si="26"/>
        <v/>
      </c>
    </row>
    <row r="1774" spans="1:1">
      <c r="A1774" t="str">
        <f t="shared" si="26"/>
        <v/>
      </c>
    </row>
    <row r="1775" spans="1:1">
      <c r="A1775" t="str">
        <f t="shared" si="26"/>
        <v/>
      </c>
    </row>
    <row r="1776" spans="1:1">
      <c r="A1776" t="str">
        <f t="shared" si="26"/>
        <v/>
      </c>
    </row>
    <row r="1777" spans="1:15">
      <c r="A1777" t="str">
        <f t="shared" si="26"/>
        <v/>
      </c>
    </row>
    <row r="1778" spans="1:15">
      <c r="A1778" t="str">
        <f t="shared" si="26"/>
        <v/>
      </c>
    </row>
    <row r="1779" spans="1:15">
      <c r="A1779" t="str">
        <f t="shared" si="26"/>
        <v/>
      </c>
    </row>
    <row r="1780" spans="1:15">
      <c r="A1780" t="str">
        <f t="shared" si="26"/>
        <v/>
      </c>
    </row>
    <row r="1781" spans="1:15">
      <c r="A1781" t="str">
        <f t="shared" si="26"/>
        <v/>
      </c>
    </row>
    <row r="1782" spans="1:15">
      <c r="A1782" t="str">
        <f t="shared" ref="A1782:A1845" si="27">B1782&amp;C1782</f>
        <v/>
      </c>
      <c r="D1782" s="4"/>
      <c r="E1782" s="4"/>
      <c r="F1782" s="4"/>
      <c r="G1782" s="4"/>
      <c r="H1782" s="4"/>
      <c r="I1782" s="4"/>
      <c r="J1782" s="4"/>
      <c r="K1782" s="4"/>
      <c r="L1782" s="4"/>
      <c r="M1782" s="4"/>
      <c r="N1782" s="4"/>
      <c r="O1782" s="4"/>
    </row>
    <row r="1783" spans="1:15">
      <c r="A1783" t="str">
        <f t="shared" si="27"/>
        <v/>
      </c>
    </row>
    <row r="1784" spans="1:15">
      <c r="A1784" t="str">
        <f t="shared" si="27"/>
        <v/>
      </c>
    </row>
    <row r="1785" spans="1:15">
      <c r="A1785" t="str">
        <f t="shared" si="27"/>
        <v/>
      </c>
    </row>
    <row r="1786" spans="1:15">
      <c r="A1786" t="str">
        <f t="shared" si="27"/>
        <v/>
      </c>
    </row>
    <row r="1787" spans="1:15">
      <c r="A1787" t="str">
        <f t="shared" si="27"/>
        <v/>
      </c>
    </row>
    <row r="1788" spans="1:15">
      <c r="A1788" t="str">
        <f t="shared" si="27"/>
        <v/>
      </c>
    </row>
    <row r="1789" spans="1:15">
      <c r="A1789" t="str">
        <f t="shared" si="27"/>
        <v/>
      </c>
    </row>
    <row r="1790" spans="1:15">
      <c r="A1790" t="str">
        <f t="shared" si="27"/>
        <v/>
      </c>
    </row>
    <row r="1791" spans="1:15">
      <c r="A1791" t="str">
        <f t="shared" si="27"/>
        <v/>
      </c>
      <c r="D1791" s="5"/>
      <c r="E1791" s="5"/>
      <c r="F1791" s="5"/>
      <c r="G1791" s="5"/>
      <c r="H1791" s="5"/>
      <c r="I1791" s="5"/>
      <c r="J1791" s="5"/>
      <c r="K1791" s="5"/>
      <c r="L1791" s="5"/>
      <c r="M1791" s="5"/>
      <c r="N1791" s="5"/>
      <c r="O1791" s="5"/>
    </row>
    <row r="1792" spans="1:15">
      <c r="A1792" t="str">
        <f t="shared" si="27"/>
        <v/>
      </c>
      <c r="D1792" s="5"/>
      <c r="E1792" s="5"/>
      <c r="F1792" s="5"/>
      <c r="G1792" s="5"/>
      <c r="H1792" s="5"/>
      <c r="I1792" s="5"/>
      <c r="J1792" s="5"/>
      <c r="K1792" s="5"/>
      <c r="L1792" s="5"/>
      <c r="M1792" s="5"/>
      <c r="N1792" s="5"/>
      <c r="O1792" s="5"/>
    </row>
    <row r="1793" spans="1:15">
      <c r="A1793" t="str">
        <f t="shared" si="27"/>
        <v/>
      </c>
    </row>
    <row r="1794" spans="1:15">
      <c r="A1794" t="str">
        <f t="shared" si="27"/>
        <v/>
      </c>
    </row>
    <row r="1795" spans="1:15">
      <c r="A1795" t="str">
        <f t="shared" si="27"/>
        <v/>
      </c>
    </row>
    <row r="1796" spans="1:15">
      <c r="A1796" t="str">
        <f t="shared" si="27"/>
        <v/>
      </c>
    </row>
    <row r="1797" spans="1:15">
      <c r="A1797" t="str">
        <f t="shared" si="27"/>
        <v/>
      </c>
    </row>
    <row r="1798" spans="1:15">
      <c r="A1798" t="str">
        <f t="shared" si="27"/>
        <v/>
      </c>
    </row>
    <row r="1799" spans="1:15">
      <c r="A1799" t="str">
        <f t="shared" si="27"/>
        <v/>
      </c>
    </row>
    <row r="1800" spans="1:15">
      <c r="A1800" t="str">
        <f t="shared" si="27"/>
        <v/>
      </c>
    </row>
    <row r="1801" spans="1:15">
      <c r="A1801" t="str">
        <f t="shared" si="27"/>
        <v/>
      </c>
    </row>
    <row r="1802" spans="1:15">
      <c r="A1802" t="str">
        <f t="shared" si="27"/>
        <v/>
      </c>
    </row>
    <row r="1803" spans="1:15">
      <c r="A1803" t="str">
        <f t="shared" si="27"/>
        <v/>
      </c>
      <c r="D1803" s="1"/>
      <c r="E1803" s="1"/>
      <c r="F1803" s="1"/>
      <c r="G1803" s="1"/>
      <c r="H1803" s="1"/>
      <c r="I1803" s="1"/>
      <c r="J1803" s="1"/>
      <c r="K1803" s="1"/>
      <c r="L1803" s="1"/>
      <c r="M1803" s="1"/>
      <c r="N1803" s="1"/>
      <c r="O1803" s="1"/>
    </row>
    <row r="1804" spans="1:15">
      <c r="A1804" t="str">
        <f t="shared" si="27"/>
        <v/>
      </c>
      <c r="D1804" s="5"/>
      <c r="E1804" s="5"/>
      <c r="F1804" s="5"/>
      <c r="G1804" s="5"/>
      <c r="H1804" s="5"/>
      <c r="I1804" s="5"/>
      <c r="J1804" s="5"/>
      <c r="K1804" s="5"/>
      <c r="L1804" s="5"/>
      <c r="M1804" s="5"/>
      <c r="N1804" s="5"/>
      <c r="O1804" s="5"/>
    </row>
    <row r="1805" spans="1:15">
      <c r="A1805" t="str">
        <f t="shared" si="27"/>
        <v/>
      </c>
      <c r="D1805" s="5"/>
      <c r="E1805" s="5"/>
      <c r="F1805" s="5"/>
      <c r="G1805" s="5"/>
      <c r="H1805" s="5"/>
      <c r="I1805" s="5"/>
      <c r="J1805" s="5"/>
      <c r="K1805" s="5"/>
      <c r="L1805" s="5"/>
      <c r="M1805" s="5"/>
      <c r="N1805" s="5"/>
      <c r="O1805" s="5"/>
    </row>
    <row r="1806" spans="1:15">
      <c r="A1806" t="str">
        <f t="shared" si="27"/>
        <v/>
      </c>
      <c r="D1806" s="5"/>
      <c r="E1806" s="5"/>
      <c r="F1806" s="5"/>
      <c r="G1806" s="5"/>
      <c r="H1806" s="5"/>
      <c r="I1806" s="5"/>
      <c r="J1806" s="5"/>
      <c r="K1806" s="5"/>
      <c r="L1806" s="5"/>
      <c r="M1806" s="5"/>
      <c r="N1806" s="5"/>
      <c r="O1806" s="5"/>
    </row>
    <row r="1807" spans="1:15">
      <c r="A1807" t="str">
        <f t="shared" si="27"/>
        <v/>
      </c>
      <c r="D1807" s="5"/>
      <c r="E1807" s="5"/>
      <c r="F1807" s="5"/>
      <c r="G1807" s="5"/>
      <c r="H1807" s="5"/>
      <c r="I1807" s="5"/>
      <c r="J1807" s="5"/>
      <c r="K1807" s="5"/>
      <c r="L1807" s="5"/>
      <c r="M1807" s="5"/>
      <c r="N1807" s="5"/>
      <c r="O1807" s="5"/>
    </row>
    <row r="1808" spans="1:15">
      <c r="A1808" t="str">
        <f t="shared" si="27"/>
        <v/>
      </c>
      <c r="D1808" s="5"/>
      <c r="E1808" s="5"/>
      <c r="F1808" s="5"/>
      <c r="G1808" s="5"/>
      <c r="H1808" s="5"/>
      <c r="I1808" s="5"/>
      <c r="J1808" s="5"/>
      <c r="K1808" s="5"/>
      <c r="L1808" s="5"/>
      <c r="M1808" s="5"/>
      <c r="N1808" s="5"/>
      <c r="O1808" s="5"/>
    </row>
    <row r="1809" spans="1:15">
      <c r="A1809" t="str">
        <f t="shared" si="27"/>
        <v/>
      </c>
      <c r="D1809" s="5"/>
      <c r="E1809" s="5"/>
      <c r="F1809" s="5"/>
      <c r="G1809" s="5"/>
      <c r="H1809" s="5"/>
      <c r="I1809" s="5"/>
      <c r="J1809" s="5"/>
      <c r="K1809" s="5"/>
      <c r="L1809" s="5"/>
      <c r="M1809" s="5"/>
      <c r="N1809" s="5"/>
      <c r="O1809" s="5"/>
    </row>
    <row r="1810" spans="1:15">
      <c r="A1810" t="str">
        <f t="shared" si="27"/>
        <v/>
      </c>
      <c r="D1810" s="5"/>
      <c r="E1810" s="5"/>
      <c r="F1810" s="5"/>
      <c r="G1810" s="5"/>
      <c r="H1810" s="5"/>
      <c r="I1810" s="5"/>
      <c r="J1810" s="5"/>
      <c r="K1810" s="5"/>
      <c r="L1810" s="5"/>
      <c r="M1810" s="5"/>
      <c r="N1810" s="5"/>
      <c r="O1810" s="5"/>
    </row>
    <row r="1811" spans="1:15">
      <c r="A1811" t="str">
        <f t="shared" si="27"/>
        <v/>
      </c>
      <c r="D1811" s="5"/>
      <c r="E1811" s="5"/>
      <c r="F1811" s="5"/>
      <c r="G1811" s="5"/>
      <c r="H1811" s="5"/>
      <c r="I1811" s="5"/>
      <c r="J1811" s="5"/>
      <c r="K1811" s="5"/>
      <c r="L1811" s="5"/>
      <c r="M1811" s="5"/>
      <c r="N1811" s="5"/>
      <c r="O1811" s="5"/>
    </row>
    <row r="1812" spans="1:15">
      <c r="A1812" t="str">
        <f t="shared" si="27"/>
        <v/>
      </c>
      <c r="D1812" s="5"/>
      <c r="E1812" s="5"/>
      <c r="F1812" s="5"/>
      <c r="G1812" s="5"/>
      <c r="H1812" s="5"/>
      <c r="I1812" s="5"/>
      <c r="J1812" s="5"/>
      <c r="K1812" s="5"/>
      <c r="L1812" s="5"/>
      <c r="M1812" s="5"/>
      <c r="N1812" s="5"/>
      <c r="O1812" s="5"/>
    </row>
    <row r="1813" spans="1:15">
      <c r="A1813" t="str">
        <f t="shared" si="27"/>
        <v/>
      </c>
    </row>
    <row r="1814" spans="1:15">
      <c r="A1814" t="str">
        <f t="shared" si="27"/>
        <v/>
      </c>
      <c r="D1814" s="5"/>
      <c r="E1814" s="5"/>
      <c r="F1814" s="5"/>
      <c r="G1814" s="5"/>
      <c r="H1814" s="5"/>
      <c r="I1814" s="5"/>
      <c r="J1814" s="5"/>
      <c r="K1814" s="5"/>
      <c r="L1814" s="5"/>
      <c r="M1814" s="5"/>
      <c r="N1814" s="5"/>
      <c r="O1814" s="5"/>
    </row>
    <row r="1815" spans="1:15">
      <c r="A1815" t="str">
        <f t="shared" si="27"/>
        <v/>
      </c>
      <c r="D1815" s="5"/>
      <c r="E1815" s="5"/>
      <c r="F1815" s="5"/>
      <c r="G1815" s="5"/>
      <c r="H1815" s="5"/>
      <c r="I1815" s="5"/>
      <c r="J1815" s="5"/>
      <c r="K1815" s="5"/>
      <c r="L1815" s="5"/>
      <c r="M1815" s="5"/>
      <c r="N1815" s="5"/>
      <c r="O1815" s="5"/>
    </row>
    <row r="1816" spans="1:15">
      <c r="A1816" t="str">
        <f t="shared" si="27"/>
        <v/>
      </c>
      <c r="D1816" s="5"/>
      <c r="E1816" s="5"/>
      <c r="F1816" s="5"/>
      <c r="G1816" s="5"/>
      <c r="H1816" s="5"/>
      <c r="I1816" s="5"/>
      <c r="J1816" s="5"/>
      <c r="K1816" s="5"/>
      <c r="L1816" s="5"/>
      <c r="M1816" s="5"/>
      <c r="N1816" s="5"/>
      <c r="O1816" s="5"/>
    </row>
    <row r="1817" spans="1:15">
      <c r="A1817" t="str">
        <f t="shared" si="27"/>
        <v/>
      </c>
      <c r="D1817" s="5"/>
      <c r="E1817" s="5"/>
      <c r="F1817" s="5"/>
      <c r="G1817" s="5"/>
      <c r="H1817" s="5"/>
      <c r="I1817" s="5"/>
      <c r="J1817" s="5"/>
      <c r="K1817" s="5"/>
      <c r="L1817" s="5"/>
      <c r="M1817" s="5"/>
      <c r="N1817" s="5"/>
      <c r="O1817" s="5"/>
    </row>
    <row r="1818" spans="1:15">
      <c r="A1818" t="str">
        <f t="shared" si="27"/>
        <v/>
      </c>
      <c r="D1818" s="5"/>
      <c r="E1818" s="5"/>
      <c r="F1818" s="5"/>
      <c r="G1818" s="5"/>
      <c r="H1818" s="5"/>
      <c r="I1818" s="5"/>
      <c r="J1818" s="5"/>
      <c r="K1818" s="5"/>
      <c r="L1818" s="5"/>
      <c r="M1818" s="5"/>
      <c r="N1818" s="5"/>
      <c r="O1818" s="5"/>
    </row>
    <row r="1819" spans="1:15">
      <c r="A1819" t="str">
        <f t="shared" si="27"/>
        <v/>
      </c>
      <c r="D1819" s="5"/>
      <c r="E1819" s="5"/>
      <c r="F1819" s="5"/>
      <c r="G1819" s="5"/>
      <c r="H1819" s="5"/>
      <c r="I1819" s="5"/>
      <c r="J1819" s="5"/>
      <c r="K1819" s="5"/>
      <c r="L1819" s="5"/>
      <c r="M1819" s="5"/>
      <c r="N1819" s="5"/>
      <c r="O1819" s="5"/>
    </row>
    <row r="1820" spans="1:15">
      <c r="A1820" t="str">
        <f t="shared" si="27"/>
        <v/>
      </c>
      <c r="D1820" s="5"/>
      <c r="E1820" s="5"/>
      <c r="F1820" s="5"/>
      <c r="G1820" s="5"/>
      <c r="H1820" s="5"/>
      <c r="I1820" s="5"/>
      <c r="J1820" s="5"/>
      <c r="K1820" s="5"/>
      <c r="L1820" s="5"/>
      <c r="M1820" s="5"/>
      <c r="N1820" s="5"/>
      <c r="O1820" s="5"/>
    </row>
    <row r="1821" spans="1:15">
      <c r="A1821" t="str">
        <f t="shared" si="27"/>
        <v/>
      </c>
    </row>
    <row r="1822" spans="1:15">
      <c r="A1822" t="str">
        <f t="shared" si="27"/>
        <v/>
      </c>
    </row>
    <row r="1823" spans="1:15">
      <c r="A1823" t="str">
        <f t="shared" si="27"/>
        <v/>
      </c>
    </row>
    <row r="1824" spans="1:15">
      <c r="A1824" t="str">
        <f t="shared" si="27"/>
        <v/>
      </c>
    </row>
    <row r="1825" spans="1:15">
      <c r="A1825" t="str">
        <f t="shared" si="27"/>
        <v/>
      </c>
    </row>
    <row r="1826" spans="1:15">
      <c r="A1826" t="str">
        <f t="shared" si="27"/>
        <v/>
      </c>
    </row>
    <row r="1827" spans="1:15">
      <c r="A1827" t="str">
        <f t="shared" si="27"/>
        <v/>
      </c>
    </row>
    <row r="1828" spans="1:15">
      <c r="A1828" t="str">
        <f t="shared" si="27"/>
        <v/>
      </c>
    </row>
    <row r="1829" spans="1:15">
      <c r="A1829" t="str">
        <f t="shared" si="27"/>
        <v/>
      </c>
    </row>
    <row r="1830" spans="1:15">
      <c r="A1830" t="str">
        <f t="shared" si="27"/>
        <v/>
      </c>
    </row>
    <row r="1831" spans="1:15">
      <c r="A1831" t="str">
        <f t="shared" si="27"/>
        <v/>
      </c>
    </row>
    <row r="1832" spans="1:15">
      <c r="A1832" t="str">
        <f t="shared" si="27"/>
        <v/>
      </c>
    </row>
    <row r="1833" spans="1:15">
      <c r="A1833" t="str">
        <f t="shared" si="27"/>
        <v/>
      </c>
    </row>
    <row r="1834" spans="1:15">
      <c r="A1834" t="str">
        <f t="shared" si="27"/>
        <v/>
      </c>
    </row>
    <row r="1835" spans="1:15">
      <c r="A1835" t="str">
        <f t="shared" si="27"/>
        <v/>
      </c>
    </row>
    <row r="1836" spans="1:15">
      <c r="A1836" t="str">
        <f t="shared" si="27"/>
        <v/>
      </c>
      <c r="D1836" s="4"/>
      <c r="E1836" s="4"/>
      <c r="F1836" s="4"/>
      <c r="G1836" s="4"/>
      <c r="H1836" s="4"/>
      <c r="I1836" s="4"/>
      <c r="J1836" s="4"/>
      <c r="K1836" s="4"/>
      <c r="L1836" s="4"/>
      <c r="M1836" s="4"/>
      <c r="N1836" s="4"/>
      <c r="O1836" s="4"/>
    </row>
    <row r="1837" spans="1:15">
      <c r="A1837" t="str">
        <f t="shared" si="27"/>
        <v/>
      </c>
    </row>
    <row r="1838" spans="1:15">
      <c r="A1838" t="str">
        <f t="shared" si="27"/>
        <v/>
      </c>
    </row>
    <row r="1839" spans="1:15">
      <c r="A1839" t="str">
        <f t="shared" si="27"/>
        <v/>
      </c>
    </row>
    <row r="1840" spans="1:15">
      <c r="A1840" t="str">
        <f t="shared" si="27"/>
        <v/>
      </c>
    </row>
    <row r="1841" spans="1:15">
      <c r="A1841" t="str">
        <f t="shared" si="27"/>
        <v/>
      </c>
    </row>
    <row r="1842" spans="1:15">
      <c r="A1842" t="str">
        <f t="shared" si="27"/>
        <v/>
      </c>
    </row>
    <row r="1843" spans="1:15">
      <c r="A1843" t="str">
        <f t="shared" si="27"/>
        <v/>
      </c>
    </row>
    <row r="1844" spans="1:15">
      <c r="A1844" t="str">
        <f t="shared" si="27"/>
        <v/>
      </c>
    </row>
    <row r="1845" spans="1:15">
      <c r="A1845" t="str">
        <f t="shared" si="27"/>
        <v/>
      </c>
      <c r="D1845" s="5"/>
      <c r="E1845" s="5"/>
      <c r="F1845" s="5"/>
      <c r="G1845" s="5"/>
      <c r="H1845" s="5"/>
      <c r="I1845" s="5"/>
      <c r="J1845" s="5"/>
      <c r="K1845" s="5"/>
      <c r="L1845" s="5"/>
      <c r="M1845" s="5"/>
      <c r="N1845" s="5"/>
      <c r="O1845" s="5"/>
    </row>
    <row r="1846" spans="1:15">
      <c r="A1846" t="str">
        <f t="shared" ref="A1846:A1909" si="28">B1846&amp;C1846</f>
        <v/>
      </c>
      <c r="D1846" s="5"/>
      <c r="E1846" s="5"/>
      <c r="F1846" s="5"/>
      <c r="G1846" s="5"/>
      <c r="H1846" s="5"/>
      <c r="I1846" s="5"/>
      <c r="J1846" s="5"/>
      <c r="K1846" s="5"/>
      <c r="L1846" s="5"/>
      <c r="M1846" s="5"/>
      <c r="N1846" s="5"/>
      <c r="O1846" s="5"/>
    </row>
    <row r="1847" spans="1:15">
      <c r="A1847" t="str">
        <f t="shared" si="28"/>
        <v/>
      </c>
    </row>
    <row r="1848" spans="1:15">
      <c r="A1848" t="str">
        <f t="shared" si="28"/>
        <v/>
      </c>
    </row>
    <row r="1849" spans="1:15">
      <c r="A1849" t="str">
        <f t="shared" si="28"/>
        <v/>
      </c>
    </row>
    <row r="1850" spans="1:15">
      <c r="A1850" t="str">
        <f t="shared" si="28"/>
        <v/>
      </c>
    </row>
    <row r="1851" spans="1:15">
      <c r="A1851" t="str">
        <f t="shared" si="28"/>
        <v/>
      </c>
    </row>
    <row r="1852" spans="1:15">
      <c r="A1852" t="str">
        <f t="shared" si="28"/>
        <v/>
      </c>
    </row>
    <row r="1853" spans="1:15">
      <c r="A1853" t="str">
        <f t="shared" si="28"/>
        <v/>
      </c>
    </row>
    <row r="1854" spans="1:15">
      <c r="A1854" t="str">
        <f t="shared" si="28"/>
        <v/>
      </c>
    </row>
    <row r="1855" spans="1:15">
      <c r="A1855" t="str">
        <f t="shared" si="28"/>
        <v/>
      </c>
    </row>
    <row r="1856" spans="1:15">
      <c r="A1856" t="str">
        <f t="shared" si="28"/>
        <v/>
      </c>
    </row>
    <row r="1857" spans="1:15">
      <c r="A1857" t="str">
        <f t="shared" si="28"/>
        <v/>
      </c>
      <c r="D1857" s="1"/>
      <c r="E1857" s="1"/>
      <c r="F1857" s="1"/>
      <c r="G1857" s="1"/>
      <c r="H1857" s="1"/>
      <c r="I1857" s="1"/>
      <c r="J1857" s="1"/>
      <c r="K1857" s="1"/>
      <c r="L1857" s="1"/>
      <c r="M1857" s="1"/>
      <c r="N1857" s="1"/>
      <c r="O1857" s="1"/>
    </row>
    <row r="1858" spans="1:15">
      <c r="A1858" t="str">
        <f t="shared" si="28"/>
        <v/>
      </c>
      <c r="D1858" s="5"/>
      <c r="E1858" s="5"/>
      <c r="F1858" s="5"/>
      <c r="G1858" s="5"/>
      <c r="H1858" s="5"/>
      <c r="I1858" s="5"/>
      <c r="J1858" s="5"/>
      <c r="K1858" s="5"/>
      <c r="L1858" s="5"/>
      <c r="M1858" s="5"/>
      <c r="N1858" s="5"/>
      <c r="O1858" s="5"/>
    </row>
    <row r="1859" spans="1:15">
      <c r="A1859" t="str">
        <f t="shared" si="28"/>
        <v/>
      </c>
      <c r="D1859" s="5"/>
      <c r="E1859" s="5"/>
      <c r="F1859" s="5"/>
      <c r="G1859" s="5"/>
      <c r="H1859" s="5"/>
      <c r="I1859" s="5"/>
      <c r="J1859" s="5"/>
      <c r="K1859" s="5"/>
      <c r="L1859" s="5"/>
      <c r="M1859" s="5"/>
      <c r="N1859" s="5"/>
      <c r="O1859" s="5"/>
    </row>
    <row r="1860" spans="1:15">
      <c r="A1860" t="str">
        <f t="shared" si="28"/>
        <v/>
      </c>
      <c r="D1860" s="5"/>
      <c r="E1860" s="5"/>
      <c r="F1860" s="5"/>
      <c r="G1860" s="5"/>
      <c r="H1860" s="5"/>
      <c r="I1860" s="5"/>
      <c r="J1860" s="5"/>
      <c r="K1860" s="5"/>
      <c r="L1860" s="5"/>
      <c r="M1860" s="5"/>
      <c r="N1860" s="5"/>
      <c r="O1860" s="5"/>
    </row>
    <row r="1861" spans="1:15">
      <c r="A1861" t="str">
        <f t="shared" si="28"/>
        <v/>
      </c>
      <c r="D1861" s="5"/>
      <c r="E1861" s="5"/>
      <c r="F1861" s="5"/>
      <c r="G1861" s="5"/>
      <c r="H1861" s="5"/>
      <c r="I1861" s="5"/>
      <c r="J1861" s="5"/>
      <c r="K1861" s="5"/>
      <c r="L1861" s="5"/>
      <c r="M1861" s="5"/>
      <c r="N1861" s="5"/>
      <c r="O1861" s="5"/>
    </row>
    <row r="1862" spans="1:15">
      <c r="A1862" t="str">
        <f t="shared" si="28"/>
        <v/>
      </c>
      <c r="D1862" s="5"/>
      <c r="E1862" s="5"/>
      <c r="F1862" s="5"/>
      <c r="G1862" s="5"/>
      <c r="H1862" s="5"/>
      <c r="I1862" s="5"/>
      <c r="J1862" s="5"/>
      <c r="K1862" s="5"/>
      <c r="L1862" s="5"/>
      <c r="M1862" s="5"/>
      <c r="N1862" s="5"/>
      <c r="O1862" s="5"/>
    </row>
    <row r="1863" spans="1:15">
      <c r="A1863" t="str">
        <f t="shared" si="28"/>
        <v/>
      </c>
      <c r="D1863" s="5"/>
      <c r="E1863" s="5"/>
      <c r="F1863" s="5"/>
      <c r="G1863" s="5"/>
      <c r="H1863" s="5"/>
      <c r="I1863" s="5"/>
      <c r="J1863" s="5"/>
      <c r="K1863" s="5"/>
      <c r="L1863" s="5"/>
      <c r="M1863" s="5"/>
      <c r="N1863" s="5"/>
      <c r="O1863" s="5"/>
    </row>
    <row r="1864" spans="1:15">
      <c r="A1864" t="str">
        <f t="shared" si="28"/>
        <v/>
      </c>
      <c r="D1864" s="5"/>
      <c r="E1864" s="5"/>
      <c r="F1864" s="5"/>
      <c r="G1864" s="5"/>
      <c r="H1864" s="5"/>
      <c r="I1864" s="5"/>
      <c r="J1864" s="5"/>
      <c r="K1864" s="5"/>
      <c r="L1864" s="5"/>
      <c r="M1864" s="5"/>
      <c r="N1864" s="5"/>
      <c r="O1864" s="5"/>
    </row>
    <row r="1865" spans="1:15">
      <c r="A1865" t="str">
        <f t="shared" si="28"/>
        <v/>
      </c>
      <c r="D1865" s="5"/>
      <c r="E1865" s="5"/>
      <c r="F1865" s="5"/>
      <c r="G1865" s="5"/>
      <c r="H1865" s="5"/>
      <c r="I1865" s="5"/>
      <c r="J1865" s="5"/>
      <c r="K1865" s="5"/>
      <c r="L1865" s="5"/>
      <c r="M1865" s="5"/>
      <c r="N1865" s="5"/>
      <c r="O1865" s="5"/>
    </row>
    <row r="1866" spans="1:15">
      <c r="A1866" t="str">
        <f t="shared" si="28"/>
        <v/>
      </c>
      <c r="D1866" s="5"/>
      <c r="E1866" s="5"/>
      <c r="F1866" s="5"/>
      <c r="G1866" s="5"/>
      <c r="H1866" s="5"/>
      <c r="I1866" s="5"/>
      <c r="J1866" s="5"/>
      <c r="K1866" s="5"/>
      <c r="L1866" s="5"/>
      <c r="M1866" s="5"/>
      <c r="N1866" s="5"/>
      <c r="O1866" s="5"/>
    </row>
    <row r="1867" spans="1:15">
      <c r="A1867" t="str">
        <f t="shared" si="28"/>
        <v/>
      </c>
    </row>
    <row r="1868" spans="1:15">
      <c r="A1868" t="str">
        <f t="shared" si="28"/>
        <v/>
      </c>
      <c r="D1868" s="5"/>
      <c r="E1868" s="5"/>
      <c r="F1868" s="5"/>
      <c r="G1868" s="5"/>
      <c r="H1868" s="5"/>
      <c r="I1868" s="5"/>
      <c r="J1868" s="5"/>
      <c r="K1868" s="5"/>
      <c r="L1868" s="5"/>
      <c r="M1868" s="5"/>
      <c r="N1868" s="5"/>
      <c r="O1868" s="5"/>
    </row>
    <row r="1869" spans="1:15">
      <c r="A1869" t="str">
        <f t="shared" si="28"/>
        <v/>
      </c>
      <c r="D1869" s="5"/>
      <c r="E1869" s="5"/>
      <c r="F1869" s="5"/>
      <c r="G1869" s="5"/>
      <c r="H1869" s="5"/>
      <c r="I1869" s="5"/>
      <c r="J1869" s="5"/>
      <c r="K1869" s="5"/>
      <c r="L1869" s="5"/>
      <c r="M1869" s="5"/>
      <c r="N1869" s="5"/>
      <c r="O1869" s="5"/>
    </row>
    <row r="1870" spans="1:15">
      <c r="A1870" t="str">
        <f t="shared" si="28"/>
        <v/>
      </c>
      <c r="D1870" s="5"/>
      <c r="E1870" s="5"/>
      <c r="F1870" s="5"/>
      <c r="G1870" s="5"/>
      <c r="H1870" s="5"/>
      <c r="I1870" s="5"/>
      <c r="J1870" s="5"/>
      <c r="K1870" s="5"/>
      <c r="L1870" s="5"/>
      <c r="M1870" s="5"/>
      <c r="N1870" s="5"/>
      <c r="O1870" s="5"/>
    </row>
    <row r="1871" spans="1:15">
      <c r="A1871" t="str">
        <f t="shared" si="28"/>
        <v/>
      </c>
      <c r="D1871" s="5"/>
      <c r="E1871" s="5"/>
      <c r="F1871" s="5"/>
      <c r="G1871" s="5"/>
      <c r="H1871" s="5"/>
      <c r="I1871" s="5"/>
      <c r="J1871" s="5"/>
      <c r="K1871" s="5"/>
      <c r="L1871" s="5"/>
      <c r="M1871" s="5"/>
      <c r="N1871" s="5"/>
      <c r="O1871" s="5"/>
    </row>
    <row r="1872" spans="1:15">
      <c r="A1872" t="str">
        <f t="shared" si="28"/>
        <v/>
      </c>
      <c r="D1872" s="5"/>
      <c r="E1872" s="5"/>
      <c r="F1872" s="5"/>
      <c r="G1872" s="5"/>
      <c r="H1872" s="5"/>
      <c r="I1872" s="5"/>
      <c r="J1872" s="5"/>
      <c r="K1872" s="5"/>
      <c r="L1872" s="5"/>
      <c r="M1872" s="5"/>
      <c r="N1872" s="5"/>
      <c r="O1872" s="5"/>
    </row>
    <row r="1873" spans="1:15">
      <c r="A1873" t="str">
        <f t="shared" si="28"/>
        <v/>
      </c>
      <c r="D1873" s="5"/>
      <c r="E1873" s="5"/>
      <c r="F1873" s="5"/>
      <c r="G1873" s="5"/>
      <c r="H1873" s="5"/>
      <c r="I1873" s="5"/>
      <c r="J1873" s="5"/>
      <c r="K1873" s="5"/>
      <c r="L1873" s="5"/>
      <c r="M1873" s="5"/>
      <c r="N1873" s="5"/>
      <c r="O1873" s="5"/>
    </row>
    <row r="1874" spans="1:15">
      <c r="A1874" t="str">
        <f t="shared" si="28"/>
        <v/>
      </c>
      <c r="D1874" s="5"/>
      <c r="E1874" s="5"/>
      <c r="F1874" s="5"/>
      <c r="G1874" s="5"/>
      <c r="H1874" s="5"/>
      <c r="I1874" s="5"/>
      <c r="J1874" s="5"/>
      <c r="K1874" s="5"/>
      <c r="L1874" s="5"/>
      <c r="M1874" s="5"/>
      <c r="N1874" s="5"/>
      <c r="O1874" s="5"/>
    </row>
    <row r="1875" spans="1:15">
      <c r="A1875" t="str">
        <f t="shared" si="28"/>
        <v/>
      </c>
    </row>
    <row r="1876" spans="1:15">
      <c r="A1876" t="str">
        <f t="shared" si="28"/>
        <v/>
      </c>
    </row>
    <row r="1877" spans="1:15">
      <c r="A1877" t="str">
        <f t="shared" si="28"/>
        <v/>
      </c>
    </row>
    <row r="1878" spans="1:15">
      <c r="A1878" t="str">
        <f t="shared" si="28"/>
        <v/>
      </c>
    </row>
    <row r="1879" spans="1:15">
      <c r="A1879" t="str">
        <f t="shared" si="28"/>
        <v/>
      </c>
    </row>
    <row r="1880" spans="1:15">
      <c r="A1880" t="str">
        <f t="shared" si="28"/>
        <v/>
      </c>
    </row>
    <row r="1881" spans="1:15">
      <c r="A1881" t="str">
        <f t="shared" si="28"/>
        <v/>
      </c>
    </row>
    <row r="1882" spans="1:15">
      <c r="A1882" t="str">
        <f t="shared" si="28"/>
        <v/>
      </c>
    </row>
    <row r="1883" spans="1:15">
      <c r="A1883" t="str">
        <f t="shared" si="28"/>
        <v/>
      </c>
    </row>
    <row r="1884" spans="1:15">
      <c r="A1884" t="str">
        <f t="shared" si="28"/>
        <v/>
      </c>
    </row>
    <row r="1885" spans="1:15">
      <c r="A1885" t="str">
        <f t="shared" si="28"/>
        <v/>
      </c>
    </row>
    <row r="1886" spans="1:15">
      <c r="A1886" t="str">
        <f t="shared" si="28"/>
        <v/>
      </c>
    </row>
    <row r="1887" spans="1:15">
      <c r="A1887" t="str">
        <f t="shared" si="28"/>
        <v/>
      </c>
    </row>
    <row r="1888" spans="1:15">
      <c r="A1888" t="str">
        <f t="shared" si="28"/>
        <v/>
      </c>
    </row>
    <row r="1889" spans="1:15">
      <c r="A1889" t="str">
        <f t="shared" si="28"/>
        <v/>
      </c>
      <c r="B1889" s="307"/>
      <c r="C1889" s="307"/>
      <c r="D1889" s="307"/>
      <c r="E1889" s="307"/>
      <c r="F1889" s="307"/>
      <c r="G1889" s="307"/>
      <c r="H1889" s="307"/>
      <c r="I1889" s="307"/>
      <c r="J1889" s="307"/>
      <c r="K1889" s="307"/>
      <c r="L1889" s="307"/>
      <c r="M1889" s="307"/>
      <c r="N1889" s="307"/>
      <c r="O1889" s="307"/>
    </row>
    <row r="1890" spans="1:15">
      <c r="A1890" t="str">
        <f t="shared" si="28"/>
        <v/>
      </c>
      <c r="B1890" s="307"/>
      <c r="C1890" s="307"/>
      <c r="D1890" s="308"/>
      <c r="E1890" s="308"/>
      <c r="F1890" s="308"/>
      <c r="G1890" s="308"/>
      <c r="H1890" s="308"/>
      <c r="I1890" s="308"/>
      <c r="J1890" s="308"/>
      <c r="K1890" s="308"/>
      <c r="L1890" s="308"/>
      <c r="M1890" s="308"/>
      <c r="N1890" s="308"/>
      <c r="O1890" s="308"/>
    </row>
    <row r="1891" spans="1:15">
      <c r="A1891" t="str">
        <f t="shared" si="28"/>
        <v/>
      </c>
      <c r="B1891" s="307"/>
      <c r="C1891" s="307"/>
      <c r="D1891" s="307"/>
      <c r="E1891" s="307"/>
      <c r="F1891" s="307"/>
      <c r="G1891" s="307"/>
      <c r="H1891" s="307"/>
      <c r="I1891" s="307"/>
      <c r="J1891" s="307"/>
      <c r="K1891" s="307"/>
      <c r="L1891" s="307"/>
      <c r="M1891" s="307"/>
      <c r="N1891" s="307"/>
      <c r="O1891" s="307"/>
    </row>
    <row r="1892" spans="1:15">
      <c r="A1892" t="str">
        <f t="shared" si="28"/>
        <v/>
      </c>
      <c r="B1892" s="307"/>
      <c r="C1892" s="307"/>
      <c r="D1892" s="307"/>
      <c r="E1892" s="307"/>
      <c r="F1892" s="307"/>
      <c r="G1892" s="307"/>
      <c r="H1892" s="307"/>
      <c r="I1892" s="307"/>
      <c r="J1892" s="307"/>
      <c r="K1892" s="307"/>
      <c r="L1892" s="307"/>
      <c r="M1892" s="307"/>
      <c r="N1892" s="307"/>
      <c r="O1892" s="307"/>
    </row>
    <row r="1893" spans="1:15">
      <c r="A1893" t="str">
        <f t="shared" si="28"/>
        <v/>
      </c>
      <c r="B1893" s="307"/>
      <c r="C1893" s="307"/>
      <c r="D1893" s="307"/>
      <c r="E1893" s="307"/>
      <c r="F1893" s="307"/>
      <c r="G1893" s="307"/>
      <c r="H1893" s="307"/>
      <c r="I1893" s="307"/>
      <c r="J1893" s="307"/>
      <c r="K1893" s="307"/>
      <c r="L1893" s="307"/>
      <c r="M1893" s="307"/>
      <c r="N1893" s="307"/>
      <c r="O1893" s="307"/>
    </row>
    <row r="1894" spans="1:15">
      <c r="A1894" t="str">
        <f t="shared" si="28"/>
        <v/>
      </c>
      <c r="B1894" s="307"/>
      <c r="C1894" s="307"/>
      <c r="D1894" s="307"/>
      <c r="E1894" s="307"/>
      <c r="F1894" s="307"/>
      <c r="G1894" s="307"/>
      <c r="H1894" s="307"/>
      <c r="I1894" s="307"/>
      <c r="J1894" s="307"/>
      <c r="K1894" s="307"/>
      <c r="L1894" s="307"/>
      <c r="M1894" s="307"/>
      <c r="N1894" s="307"/>
      <c r="O1894" s="307"/>
    </row>
    <row r="1895" spans="1:15">
      <c r="A1895" t="str">
        <f t="shared" si="28"/>
        <v/>
      </c>
      <c r="B1895" s="307"/>
      <c r="C1895" s="307"/>
      <c r="D1895" s="307"/>
      <c r="E1895" s="307"/>
      <c r="F1895" s="307"/>
      <c r="G1895" s="307"/>
      <c r="H1895" s="307"/>
      <c r="I1895" s="307"/>
      <c r="J1895" s="307"/>
      <c r="K1895" s="307"/>
      <c r="L1895" s="307"/>
      <c r="M1895" s="307"/>
      <c r="N1895" s="307"/>
      <c r="O1895" s="307"/>
    </row>
    <row r="1896" spans="1:15">
      <c r="A1896" t="str">
        <f t="shared" si="28"/>
        <v/>
      </c>
      <c r="B1896" s="307"/>
      <c r="C1896" s="307"/>
      <c r="D1896" s="307"/>
      <c r="E1896" s="307"/>
      <c r="F1896" s="307"/>
      <c r="G1896" s="307"/>
      <c r="H1896" s="307"/>
      <c r="I1896" s="307"/>
      <c r="J1896" s="307"/>
      <c r="K1896" s="307"/>
      <c r="L1896" s="307"/>
      <c r="M1896" s="307"/>
      <c r="N1896" s="307"/>
      <c r="O1896" s="307"/>
    </row>
    <row r="1897" spans="1:15">
      <c r="A1897" t="str">
        <f t="shared" si="28"/>
        <v/>
      </c>
      <c r="B1897" s="307"/>
      <c r="C1897" s="307"/>
      <c r="D1897" s="307"/>
      <c r="E1897" s="307"/>
      <c r="F1897" s="307"/>
      <c r="G1897" s="307"/>
      <c r="H1897" s="307"/>
      <c r="I1897" s="307"/>
      <c r="J1897" s="307"/>
      <c r="K1897" s="307"/>
      <c r="L1897" s="307"/>
      <c r="M1897" s="307"/>
      <c r="N1897" s="307"/>
      <c r="O1897" s="307"/>
    </row>
    <row r="1898" spans="1:15">
      <c r="A1898" t="str">
        <f t="shared" si="28"/>
        <v/>
      </c>
      <c r="B1898" s="307"/>
      <c r="C1898" s="307"/>
      <c r="D1898" s="307"/>
      <c r="E1898" s="307"/>
      <c r="F1898" s="307"/>
      <c r="G1898" s="307"/>
      <c r="H1898" s="307"/>
      <c r="I1898" s="307"/>
      <c r="J1898" s="307"/>
      <c r="K1898" s="307"/>
      <c r="L1898" s="307"/>
      <c r="M1898" s="307"/>
      <c r="N1898" s="307"/>
      <c r="O1898" s="307"/>
    </row>
    <row r="1899" spans="1:15">
      <c r="A1899" t="str">
        <f t="shared" si="28"/>
        <v/>
      </c>
      <c r="B1899" s="307"/>
      <c r="C1899" s="307"/>
      <c r="D1899" s="309"/>
      <c r="E1899" s="309"/>
      <c r="F1899" s="309"/>
      <c r="G1899" s="309"/>
      <c r="H1899" s="309"/>
      <c r="I1899" s="309"/>
      <c r="J1899" s="309"/>
      <c r="K1899" s="309"/>
      <c r="L1899" s="309"/>
      <c r="M1899" s="309"/>
      <c r="N1899" s="309"/>
      <c r="O1899" s="309"/>
    </row>
    <row r="1900" spans="1:15">
      <c r="A1900" t="str">
        <f t="shared" si="28"/>
        <v/>
      </c>
      <c r="B1900" s="307"/>
      <c r="C1900" s="307"/>
      <c r="D1900" s="309"/>
      <c r="E1900" s="309"/>
      <c r="F1900" s="309"/>
      <c r="G1900" s="309"/>
      <c r="H1900" s="309"/>
      <c r="I1900" s="309"/>
      <c r="J1900" s="309"/>
      <c r="K1900" s="309"/>
      <c r="L1900" s="309"/>
      <c r="M1900" s="309"/>
      <c r="N1900" s="309"/>
      <c r="O1900" s="309"/>
    </row>
    <row r="1901" spans="1:15">
      <c r="A1901" t="str">
        <f t="shared" si="28"/>
        <v/>
      </c>
      <c r="B1901" s="307"/>
      <c r="C1901" s="307"/>
      <c r="D1901" s="307"/>
      <c r="E1901" s="307"/>
      <c r="F1901" s="307"/>
      <c r="G1901" s="307"/>
      <c r="H1901" s="307"/>
      <c r="I1901" s="307"/>
      <c r="J1901" s="307"/>
      <c r="K1901" s="307"/>
      <c r="L1901" s="307"/>
      <c r="M1901" s="307"/>
      <c r="N1901" s="307"/>
      <c r="O1901" s="307"/>
    </row>
    <row r="1902" spans="1:15">
      <c r="A1902" t="str">
        <f t="shared" si="28"/>
        <v/>
      </c>
      <c r="B1902" s="307"/>
      <c r="C1902" s="307"/>
      <c r="D1902" s="307"/>
      <c r="E1902" s="307"/>
      <c r="F1902" s="307"/>
      <c r="G1902" s="307"/>
      <c r="H1902" s="307"/>
      <c r="I1902" s="307"/>
      <c r="J1902" s="307"/>
      <c r="K1902" s="307"/>
      <c r="L1902" s="307"/>
      <c r="M1902" s="307"/>
      <c r="N1902" s="307"/>
      <c r="O1902" s="307"/>
    </row>
    <row r="1903" spans="1:15">
      <c r="A1903" t="str">
        <f t="shared" si="28"/>
        <v/>
      </c>
      <c r="B1903" s="307"/>
      <c r="C1903" s="307"/>
      <c r="D1903" s="307"/>
      <c r="E1903" s="307"/>
      <c r="F1903" s="307"/>
      <c r="G1903" s="307"/>
      <c r="H1903" s="307"/>
      <c r="I1903" s="307"/>
      <c r="J1903" s="307"/>
      <c r="K1903" s="307"/>
      <c r="L1903" s="307"/>
      <c r="M1903" s="307"/>
      <c r="N1903" s="307"/>
      <c r="O1903" s="307"/>
    </row>
    <row r="1904" spans="1:15">
      <c r="A1904" t="str">
        <f t="shared" si="28"/>
        <v/>
      </c>
      <c r="B1904" s="307"/>
      <c r="C1904" s="307"/>
      <c r="D1904" s="307"/>
      <c r="E1904" s="307"/>
      <c r="F1904" s="307"/>
      <c r="G1904" s="307"/>
      <c r="H1904" s="307"/>
      <c r="I1904" s="307"/>
      <c r="J1904" s="307"/>
      <c r="K1904" s="307"/>
      <c r="L1904" s="307"/>
      <c r="M1904" s="307"/>
      <c r="N1904" s="307"/>
      <c r="O1904" s="307"/>
    </row>
    <row r="1905" spans="1:15">
      <c r="A1905" t="str">
        <f t="shared" si="28"/>
        <v/>
      </c>
      <c r="B1905" s="307"/>
      <c r="C1905" s="307"/>
      <c r="D1905" s="307"/>
      <c r="E1905" s="307"/>
      <c r="F1905" s="307"/>
      <c r="G1905" s="307"/>
      <c r="H1905" s="307"/>
      <c r="I1905" s="307"/>
      <c r="J1905" s="307"/>
      <c r="K1905" s="307"/>
      <c r="L1905" s="307"/>
      <c r="M1905" s="307"/>
      <c r="N1905" s="307"/>
      <c r="O1905" s="307"/>
    </row>
    <row r="1906" spans="1:15">
      <c r="A1906" t="str">
        <f t="shared" si="28"/>
        <v/>
      </c>
      <c r="B1906" s="307"/>
      <c r="C1906" s="307"/>
      <c r="D1906" s="307"/>
      <c r="E1906" s="307"/>
      <c r="F1906" s="307"/>
      <c r="G1906" s="307"/>
      <c r="H1906" s="307"/>
      <c r="I1906" s="307"/>
      <c r="J1906" s="307"/>
      <c r="K1906" s="307"/>
      <c r="L1906" s="307"/>
      <c r="M1906" s="307"/>
      <c r="N1906" s="307"/>
      <c r="O1906" s="307"/>
    </row>
    <row r="1907" spans="1:15">
      <c r="A1907" t="str">
        <f t="shared" si="28"/>
        <v/>
      </c>
      <c r="B1907" s="307"/>
      <c r="C1907" s="307"/>
      <c r="D1907" s="307"/>
      <c r="E1907" s="307"/>
      <c r="F1907" s="307"/>
      <c r="G1907" s="307"/>
      <c r="H1907" s="307"/>
      <c r="I1907" s="307"/>
      <c r="J1907" s="307"/>
      <c r="K1907" s="307"/>
      <c r="L1907" s="307"/>
      <c r="M1907" s="307"/>
      <c r="N1907" s="307"/>
      <c r="O1907" s="307"/>
    </row>
    <row r="1908" spans="1:15">
      <c r="A1908" t="str">
        <f t="shared" si="28"/>
        <v/>
      </c>
      <c r="B1908" s="307"/>
      <c r="C1908" s="307"/>
      <c r="D1908" s="307"/>
      <c r="E1908" s="307"/>
      <c r="F1908" s="307"/>
      <c r="G1908" s="307"/>
      <c r="H1908" s="307"/>
      <c r="I1908" s="307"/>
      <c r="J1908" s="307"/>
      <c r="K1908" s="307"/>
      <c r="L1908" s="307"/>
      <c r="M1908" s="307"/>
      <c r="N1908" s="307"/>
      <c r="O1908" s="307"/>
    </row>
    <row r="1909" spans="1:15">
      <c r="A1909" t="str">
        <f t="shared" si="28"/>
        <v/>
      </c>
      <c r="B1909" s="307"/>
      <c r="C1909" s="307"/>
      <c r="D1909" s="307"/>
      <c r="E1909" s="307"/>
      <c r="F1909" s="307"/>
      <c r="G1909" s="307"/>
      <c r="H1909" s="307"/>
      <c r="I1909" s="307"/>
      <c r="J1909" s="307"/>
      <c r="K1909" s="307"/>
      <c r="L1909" s="307"/>
      <c r="M1909" s="307"/>
      <c r="N1909" s="307"/>
      <c r="O1909" s="307"/>
    </row>
    <row r="1910" spans="1:15">
      <c r="A1910" t="str">
        <f t="shared" ref="A1910:A1973" si="29">B1910&amp;C1910</f>
        <v/>
      </c>
      <c r="B1910" s="307"/>
      <c r="C1910" s="307"/>
      <c r="D1910" s="307"/>
      <c r="E1910" s="307"/>
      <c r="F1910" s="307"/>
      <c r="G1910" s="307"/>
      <c r="H1910" s="307"/>
      <c r="I1910" s="307"/>
      <c r="J1910" s="307"/>
      <c r="K1910" s="307"/>
      <c r="L1910" s="307"/>
      <c r="M1910" s="307"/>
      <c r="N1910" s="307"/>
      <c r="O1910" s="307"/>
    </row>
    <row r="1911" spans="1:15">
      <c r="A1911" t="str">
        <f t="shared" si="29"/>
        <v/>
      </c>
      <c r="B1911" s="307"/>
      <c r="C1911" s="307"/>
      <c r="D1911" s="310"/>
      <c r="E1911" s="310"/>
      <c r="F1911" s="310"/>
      <c r="G1911" s="310"/>
      <c r="H1911" s="310"/>
      <c r="I1911" s="310"/>
      <c r="J1911" s="310"/>
      <c r="K1911" s="310"/>
      <c r="L1911" s="310"/>
      <c r="M1911" s="310"/>
      <c r="N1911" s="310"/>
      <c r="O1911" s="310"/>
    </row>
    <row r="1912" spans="1:15">
      <c r="A1912" t="str">
        <f t="shared" si="29"/>
        <v/>
      </c>
      <c r="B1912" s="307"/>
      <c r="C1912" s="307"/>
      <c r="D1912" s="309"/>
      <c r="E1912" s="309"/>
      <c r="F1912" s="309"/>
      <c r="G1912" s="309"/>
      <c r="H1912" s="309"/>
      <c r="I1912" s="309"/>
      <c r="J1912" s="309"/>
      <c r="K1912" s="309"/>
      <c r="L1912" s="309"/>
      <c r="M1912" s="309"/>
      <c r="N1912" s="309"/>
      <c r="O1912" s="309"/>
    </row>
    <row r="1913" spans="1:15">
      <c r="A1913" t="str">
        <f t="shared" si="29"/>
        <v/>
      </c>
      <c r="B1913" s="307"/>
      <c r="C1913" s="307"/>
      <c r="D1913" s="309"/>
      <c r="E1913" s="309"/>
      <c r="F1913" s="309"/>
      <c r="G1913" s="309"/>
      <c r="H1913" s="309"/>
      <c r="I1913" s="309"/>
      <c r="J1913" s="309"/>
      <c r="K1913" s="309"/>
      <c r="L1913" s="309"/>
      <c r="M1913" s="309"/>
      <c r="N1913" s="309"/>
      <c r="O1913" s="309"/>
    </row>
    <row r="1914" spans="1:15">
      <c r="A1914" t="str">
        <f t="shared" si="29"/>
        <v/>
      </c>
      <c r="B1914" s="307"/>
      <c r="C1914" s="307"/>
      <c r="D1914" s="309"/>
      <c r="E1914" s="309"/>
      <c r="F1914" s="309"/>
      <c r="G1914" s="309"/>
      <c r="H1914" s="309"/>
      <c r="I1914" s="309"/>
      <c r="J1914" s="309"/>
      <c r="K1914" s="309"/>
      <c r="L1914" s="309"/>
      <c r="M1914" s="309"/>
      <c r="N1914" s="309"/>
      <c r="O1914" s="309"/>
    </row>
    <row r="1915" spans="1:15">
      <c r="A1915" t="str">
        <f t="shared" si="29"/>
        <v/>
      </c>
      <c r="B1915" s="307"/>
      <c r="C1915" s="307"/>
      <c r="D1915" s="309"/>
      <c r="E1915" s="309"/>
      <c r="F1915" s="309"/>
      <c r="G1915" s="309"/>
      <c r="H1915" s="309"/>
      <c r="I1915" s="309"/>
      <c r="J1915" s="309"/>
      <c r="K1915" s="309"/>
      <c r="L1915" s="309"/>
      <c r="M1915" s="309"/>
      <c r="N1915" s="309"/>
      <c r="O1915" s="309"/>
    </row>
    <row r="1916" spans="1:15">
      <c r="A1916" t="str">
        <f t="shared" si="29"/>
        <v/>
      </c>
      <c r="B1916" s="307"/>
      <c r="C1916" s="307"/>
      <c r="D1916" s="309"/>
      <c r="E1916" s="309"/>
      <c r="F1916" s="309"/>
      <c r="G1916" s="309"/>
      <c r="H1916" s="309"/>
      <c r="I1916" s="309"/>
      <c r="J1916" s="309"/>
      <c r="K1916" s="309"/>
      <c r="L1916" s="309"/>
      <c r="M1916" s="309"/>
      <c r="N1916" s="309"/>
      <c r="O1916" s="309"/>
    </row>
    <row r="1917" spans="1:15">
      <c r="A1917" t="str">
        <f t="shared" si="29"/>
        <v/>
      </c>
      <c r="B1917" s="307"/>
      <c r="C1917" s="307"/>
      <c r="D1917" s="309"/>
      <c r="E1917" s="309"/>
      <c r="F1917" s="309"/>
      <c r="G1917" s="309"/>
      <c r="H1917" s="309"/>
      <c r="I1917" s="309"/>
      <c r="J1917" s="309"/>
      <c r="K1917" s="309"/>
      <c r="L1917" s="309"/>
      <c r="M1917" s="309"/>
      <c r="N1917" s="309"/>
      <c r="O1917" s="309"/>
    </row>
    <row r="1918" spans="1:15">
      <c r="A1918" t="str">
        <f t="shared" si="29"/>
        <v/>
      </c>
      <c r="B1918" s="307"/>
      <c r="C1918" s="307"/>
      <c r="D1918" s="309"/>
      <c r="E1918" s="309"/>
      <c r="F1918" s="309"/>
      <c r="G1918" s="309"/>
      <c r="H1918" s="309"/>
      <c r="I1918" s="309"/>
      <c r="J1918" s="309"/>
      <c r="K1918" s="309"/>
      <c r="L1918" s="309"/>
      <c r="M1918" s="309"/>
      <c r="N1918" s="309"/>
      <c r="O1918" s="309"/>
    </row>
    <row r="1919" spans="1:15">
      <c r="A1919" t="str">
        <f t="shared" si="29"/>
        <v/>
      </c>
      <c r="B1919" s="307"/>
      <c r="C1919" s="307"/>
      <c r="D1919" s="309"/>
      <c r="E1919" s="309"/>
      <c r="F1919" s="309"/>
      <c r="G1919" s="309"/>
      <c r="H1919" s="309"/>
      <c r="I1919" s="309"/>
      <c r="J1919" s="309"/>
      <c r="K1919" s="309"/>
      <c r="L1919" s="309"/>
      <c r="M1919" s="309"/>
      <c r="N1919" s="309"/>
      <c r="O1919" s="309"/>
    </row>
    <row r="1920" spans="1:15">
      <c r="A1920" t="str">
        <f t="shared" si="29"/>
        <v/>
      </c>
      <c r="B1920" s="307"/>
      <c r="C1920" s="307"/>
      <c r="D1920" s="309"/>
      <c r="E1920" s="309"/>
      <c r="F1920" s="309"/>
      <c r="G1920" s="309"/>
      <c r="H1920" s="309"/>
      <c r="I1920" s="309"/>
      <c r="J1920" s="309"/>
      <c r="K1920" s="309"/>
      <c r="L1920" s="309"/>
      <c r="M1920" s="309"/>
      <c r="N1920" s="309"/>
      <c r="O1920" s="309"/>
    </row>
    <row r="1921" spans="1:15">
      <c r="A1921" t="str">
        <f t="shared" si="29"/>
        <v/>
      </c>
      <c r="B1921" s="307"/>
      <c r="C1921" s="307"/>
      <c r="D1921" s="307"/>
      <c r="E1921" s="307"/>
      <c r="F1921" s="307"/>
      <c r="G1921" s="307"/>
      <c r="H1921" s="307"/>
      <c r="I1921" s="307"/>
      <c r="J1921" s="307"/>
      <c r="K1921" s="307"/>
      <c r="L1921" s="307"/>
      <c r="M1921" s="307"/>
      <c r="N1921" s="307"/>
      <c r="O1921" s="307"/>
    </row>
    <row r="1922" spans="1:15">
      <c r="A1922" t="str">
        <f t="shared" si="29"/>
        <v/>
      </c>
      <c r="B1922" s="307"/>
      <c r="C1922" s="307"/>
      <c r="D1922" s="309"/>
      <c r="E1922" s="309"/>
      <c r="F1922" s="309"/>
      <c r="G1922" s="309"/>
      <c r="H1922" s="309"/>
      <c r="I1922" s="309"/>
      <c r="J1922" s="309"/>
      <c r="K1922" s="309"/>
      <c r="L1922" s="309"/>
      <c r="M1922" s="309"/>
      <c r="N1922" s="309"/>
      <c r="O1922" s="309"/>
    </row>
    <row r="1923" spans="1:15">
      <c r="A1923" t="str">
        <f t="shared" si="29"/>
        <v/>
      </c>
      <c r="B1923" s="307"/>
      <c r="C1923" s="307"/>
      <c r="D1923" s="309"/>
      <c r="E1923" s="309"/>
      <c r="F1923" s="309"/>
      <c r="G1923" s="309"/>
      <c r="H1923" s="309"/>
      <c r="I1923" s="309"/>
      <c r="J1923" s="309"/>
      <c r="K1923" s="309"/>
      <c r="L1923" s="309"/>
      <c r="M1923" s="309"/>
      <c r="N1923" s="309"/>
      <c r="O1923" s="309"/>
    </row>
    <row r="1924" spans="1:15">
      <c r="A1924" t="str">
        <f t="shared" si="29"/>
        <v/>
      </c>
      <c r="B1924" s="307"/>
      <c r="C1924" s="307"/>
      <c r="D1924" s="309"/>
      <c r="E1924" s="309"/>
      <c r="F1924" s="309"/>
      <c r="G1924" s="309"/>
      <c r="H1924" s="309"/>
      <c r="I1924" s="309"/>
      <c r="J1924" s="309"/>
      <c r="K1924" s="309"/>
      <c r="L1924" s="309"/>
      <c r="M1924" s="309"/>
      <c r="N1924" s="309"/>
      <c r="O1924" s="309"/>
    </row>
    <row r="1925" spans="1:15">
      <c r="A1925" t="str">
        <f t="shared" si="29"/>
        <v/>
      </c>
      <c r="B1925" s="307"/>
      <c r="C1925" s="307"/>
      <c r="D1925" s="309"/>
      <c r="E1925" s="309"/>
      <c r="F1925" s="309"/>
      <c r="G1925" s="309"/>
      <c r="H1925" s="309"/>
      <c r="I1925" s="309"/>
      <c r="J1925" s="309"/>
      <c r="K1925" s="309"/>
      <c r="L1925" s="309"/>
      <c r="M1925" s="309"/>
      <c r="N1925" s="309"/>
      <c r="O1925" s="309"/>
    </row>
    <row r="1926" spans="1:15">
      <c r="A1926" t="str">
        <f t="shared" si="29"/>
        <v/>
      </c>
      <c r="B1926" s="307"/>
      <c r="C1926" s="307"/>
      <c r="D1926" s="309"/>
      <c r="E1926" s="309"/>
      <c r="F1926" s="309"/>
      <c r="G1926" s="309"/>
      <c r="H1926" s="309"/>
      <c r="I1926" s="309"/>
      <c r="J1926" s="309"/>
      <c r="K1926" s="309"/>
      <c r="L1926" s="309"/>
      <c r="M1926" s="309"/>
      <c r="N1926" s="309"/>
      <c r="O1926" s="309"/>
    </row>
    <row r="1927" spans="1:15">
      <c r="A1927" t="str">
        <f t="shared" si="29"/>
        <v/>
      </c>
      <c r="B1927" s="307"/>
      <c r="C1927" s="307"/>
      <c r="D1927" s="309"/>
      <c r="E1927" s="309"/>
      <c r="F1927" s="309"/>
      <c r="G1927" s="309"/>
      <c r="H1927" s="309"/>
      <c r="I1927" s="309"/>
      <c r="J1927" s="309"/>
      <c r="K1927" s="309"/>
      <c r="L1927" s="309"/>
      <c r="M1927" s="309"/>
      <c r="N1927" s="309"/>
      <c r="O1927" s="309"/>
    </row>
    <row r="1928" spans="1:15">
      <c r="A1928" t="str">
        <f t="shared" si="29"/>
        <v/>
      </c>
      <c r="B1928" s="307"/>
      <c r="C1928" s="307"/>
      <c r="D1928" s="309"/>
      <c r="E1928" s="309"/>
      <c r="F1928" s="309"/>
      <c r="G1928" s="309"/>
      <c r="H1928" s="309"/>
      <c r="I1928" s="309"/>
      <c r="J1928" s="309"/>
      <c r="K1928" s="309"/>
      <c r="L1928" s="309"/>
      <c r="M1928" s="309"/>
      <c r="N1928" s="309"/>
      <c r="O1928" s="309"/>
    </row>
    <row r="1929" spans="1:15">
      <c r="A1929" t="str">
        <f t="shared" si="29"/>
        <v/>
      </c>
      <c r="B1929" s="307"/>
      <c r="C1929" s="307"/>
      <c r="D1929" s="307"/>
      <c r="E1929" s="307"/>
      <c r="F1929" s="307"/>
      <c r="G1929" s="307"/>
      <c r="H1929" s="307"/>
      <c r="I1929" s="307"/>
      <c r="J1929" s="307"/>
      <c r="K1929" s="307"/>
      <c r="L1929" s="307"/>
      <c r="M1929" s="307"/>
      <c r="N1929" s="307"/>
      <c r="O1929" s="307"/>
    </row>
    <row r="1930" spans="1:15">
      <c r="A1930" t="str">
        <f t="shared" si="29"/>
        <v/>
      </c>
      <c r="B1930" s="307"/>
      <c r="C1930" s="307"/>
      <c r="D1930" s="307"/>
      <c r="E1930" s="307"/>
      <c r="F1930" s="307"/>
      <c r="G1930" s="307"/>
      <c r="H1930" s="307"/>
      <c r="I1930" s="307"/>
      <c r="J1930" s="307"/>
      <c r="K1930" s="307"/>
      <c r="L1930" s="307"/>
      <c r="M1930" s="307"/>
      <c r="N1930" s="307"/>
      <c r="O1930" s="307"/>
    </row>
    <row r="1931" spans="1:15">
      <c r="A1931" t="str">
        <f t="shared" si="29"/>
        <v/>
      </c>
      <c r="B1931" s="307"/>
      <c r="C1931" s="307"/>
      <c r="D1931" s="307"/>
      <c r="E1931" s="307"/>
      <c r="F1931" s="307"/>
      <c r="G1931" s="307"/>
      <c r="H1931" s="307"/>
      <c r="I1931" s="307"/>
      <c r="J1931" s="307"/>
      <c r="K1931" s="307"/>
      <c r="L1931" s="307"/>
      <c r="M1931" s="307"/>
      <c r="N1931" s="307"/>
      <c r="O1931" s="307"/>
    </row>
    <row r="1932" spans="1:15">
      <c r="A1932" t="str">
        <f t="shared" si="29"/>
        <v/>
      </c>
      <c r="B1932" s="307"/>
      <c r="C1932" s="307"/>
      <c r="D1932" s="307"/>
      <c r="E1932" s="307"/>
      <c r="F1932" s="307"/>
      <c r="G1932" s="307"/>
      <c r="H1932" s="307"/>
      <c r="I1932" s="307"/>
      <c r="J1932" s="307"/>
      <c r="K1932" s="307"/>
      <c r="L1932" s="307"/>
      <c r="M1932" s="307"/>
      <c r="N1932" s="307"/>
      <c r="O1932" s="307"/>
    </row>
    <row r="1933" spans="1:15">
      <c r="A1933" t="str">
        <f t="shared" si="29"/>
        <v/>
      </c>
      <c r="B1933" s="307"/>
      <c r="C1933" s="307"/>
      <c r="D1933" s="307"/>
      <c r="E1933" s="307"/>
      <c r="F1933" s="307"/>
      <c r="G1933" s="307"/>
      <c r="H1933" s="307"/>
      <c r="I1933" s="307"/>
      <c r="J1933" s="307"/>
      <c r="K1933" s="307"/>
      <c r="L1933" s="307"/>
      <c r="M1933" s="307"/>
      <c r="N1933" s="307"/>
      <c r="O1933" s="307"/>
    </row>
    <row r="1934" spans="1:15">
      <c r="A1934" t="str">
        <f t="shared" si="29"/>
        <v/>
      </c>
      <c r="B1934" s="307"/>
      <c r="C1934" s="307"/>
      <c r="D1934" s="307"/>
      <c r="E1934" s="307"/>
      <c r="F1934" s="307"/>
      <c r="G1934" s="307"/>
      <c r="H1934" s="307"/>
      <c r="I1934" s="307"/>
      <c r="J1934" s="307"/>
      <c r="K1934" s="307"/>
      <c r="L1934" s="307"/>
      <c r="M1934" s="307"/>
      <c r="N1934" s="307"/>
      <c r="O1934" s="307"/>
    </row>
    <row r="1935" spans="1:15">
      <c r="A1935" t="str">
        <f t="shared" si="29"/>
        <v/>
      </c>
      <c r="B1935" s="307"/>
      <c r="C1935" s="307"/>
      <c r="D1935" s="307"/>
      <c r="E1935" s="307"/>
      <c r="F1935" s="307"/>
      <c r="G1935" s="307"/>
      <c r="H1935" s="307"/>
      <c r="I1935" s="307"/>
      <c r="J1935" s="307"/>
      <c r="K1935" s="307"/>
      <c r="L1935" s="307"/>
      <c r="M1935" s="307"/>
      <c r="N1935" s="307"/>
      <c r="O1935" s="307"/>
    </row>
    <row r="1936" spans="1:15">
      <c r="A1936" t="str">
        <f t="shared" si="29"/>
        <v/>
      </c>
      <c r="B1936" s="307"/>
      <c r="C1936" s="307"/>
      <c r="D1936" s="307"/>
      <c r="E1936" s="307"/>
      <c r="F1936" s="307"/>
      <c r="G1936" s="307"/>
      <c r="H1936" s="307"/>
      <c r="I1936" s="307"/>
      <c r="J1936" s="307"/>
      <c r="K1936" s="307"/>
      <c r="L1936" s="307"/>
      <c r="M1936" s="307"/>
      <c r="N1936" s="307"/>
      <c r="O1936" s="307"/>
    </row>
    <row r="1937" spans="1:15">
      <c r="A1937" t="str">
        <f t="shared" si="29"/>
        <v/>
      </c>
      <c r="B1937" s="307"/>
      <c r="C1937" s="307"/>
      <c r="D1937" s="307"/>
      <c r="E1937" s="307"/>
      <c r="F1937" s="307"/>
      <c r="G1937" s="307"/>
      <c r="H1937" s="307"/>
      <c r="I1937" s="307"/>
      <c r="J1937" s="307"/>
      <c r="K1937" s="307"/>
      <c r="L1937" s="307"/>
      <c r="M1937" s="307"/>
      <c r="N1937" s="307"/>
      <c r="O1937" s="307"/>
    </row>
    <row r="1938" spans="1:15">
      <c r="A1938" t="str">
        <f t="shared" si="29"/>
        <v/>
      </c>
      <c r="B1938" s="307"/>
      <c r="C1938" s="307"/>
      <c r="D1938" s="307"/>
      <c r="E1938" s="307"/>
      <c r="F1938" s="307"/>
      <c r="G1938" s="307"/>
      <c r="H1938" s="307"/>
      <c r="I1938" s="307"/>
      <c r="J1938" s="307"/>
      <c r="K1938" s="307"/>
      <c r="L1938" s="307"/>
      <c r="M1938" s="307"/>
      <c r="N1938" s="307"/>
      <c r="O1938" s="307"/>
    </row>
    <row r="1939" spans="1:15">
      <c r="A1939" t="str">
        <f t="shared" si="29"/>
        <v/>
      </c>
      <c r="B1939" s="307"/>
      <c r="C1939" s="307"/>
      <c r="D1939" s="307"/>
      <c r="E1939" s="307"/>
      <c r="F1939" s="307"/>
      <c r="G1939" s="307"/>
      <c r="H1939" s="307"/>
      <c r="I1939" s="307"/>
      <c r="J1939" s="307"/>
      <c r="K1939" s="307"/>
      <c r="L1939" s="307"/>
      <c r="M1939" s="307"/>
      <c r="N1939" s="307"/>
      <c r="O1939" s="307"/>
    </row>
    <row r="1940" spans="1:15">
      <c r="A1940" t="str">
        <f t="shared" si="29"/>
        <v/>
      </c>
      <c r="B1940" s="307"/>
      <c r="C1940" s="307"/>
      <c r="D1940" s="307"/>
      <c r="E1940" s="307"/>
      <c r="F1940" s="307"/>
      <c r="G1940" s="307"/>
      <c r="H1940" s="307"/>
      <c r="I1940" s="307"/>
      <c r="J1940" s="307"/>
      <c r="K1940" s="307"/>
      <c r="L1940" s="307"/>
      <c r="M1940" s="307"/>
      <c r="N1940" s="307"/>
      <c r="O1940" s="307"/>
    </row>
    <row r="1941" spans="1:15">
      <c r="A1941" t="str">
        <f t="shared" si="29"/>
        <v/>
      </c>
      <c r="B1941" s="307"/>
      <c r="C1941" s="307"/>
      <c r="D1941" s="307"/>
      <c r="E1941" s="307"/>
      <c r="F1941" s="307"/>
      <c r="G1941" s="307"/>
      <c r="H1941" s="307"/>
      <c r="I1941" s="307"/>
      <c r="J1941" s="307"/>
      <c r="K1941" s="307"/>
      <c r="L1941" s="307"/>
      <c r="M1941" s="307"/>
      <c r="N1941" s="307"/>
      <c r="O1941" s="307"/>
    </row>
    <row r="1942" spans="1:15">
      <c r="A1942" t="str">
        <f t="shared" si="29"/>
        <v/>
      </c>
      <c r="B1942" s="307"/>
      <c r="C1942" s="307"/>
      <c r="D1942" s="307"/>
      <c r="E1942" s="307"/>
      <c r="F1942" s="307"/>
      <c r="G1942" s="307"/>
      <c r="H1942" s="307"/>
      <c r="I1942" s="307"/>
      <c r="J1942" s="307"/>
      <c r="K1942" s="307"/>
      <c r="L1942" s="307"/>
      <c r="M1942" s="307"/>
      <c r="N1942" s="307"/>
      <c r="O1942" s="307"/>
    </row>
    <row r="1943" spans="1:15">
      <c r="A1943" t="str">
        <f t="shared" si="29"/>
        <v/>
      </c>
      <c r="B1943" s="307"/>
      <c r="C1943" s="307"/>
      <c r="D1943" s="307"/>
      <c r="E1943" s="307"/>
      <c r="F1943" s="307"/>
      <c r="G1943" s="307"/>
      <c r="H1943" s="307"/>
      <c r="I1943" s="307"/>
      <c r="J1943" s="307"/>
      <c r="K1943" s="307"/>
      <c r="L1943" s="307"/>
      <c r="M1943" s="307"/>
      <c r="N1943" s="307"/>
      <c r="O1943" s="307"/>
    </row>
    <row r="1944" spans="1:15">
      <c r="A1944" t="str">
        <f t="shared" si="29"/>
        <v/>
      </c>
      <c r="B1944" s="307"/>
      <c r="C1944" s="307"/>
      <c r="D1944" s="308"/>
      <c r="E1944" s="308"/>
      <c r="F1944" s="308"/>
      <c r="G1944" s="308"/>
      <c r="H1944" s="308"/>
      <c r="I1944" s="308"/>
      <c r="J1944" s="308"/>
      <c r="K1944" s="308"/>
      <c r="L1944" s="308"/>
      <c r="M1944" s="308"/>
      <c r="N1944" s="308"/>
      <c r="O1944" s="308"/>
    </row>
    <row r="1945" spans="1:15">
      <c r="A1945" t="str">
        <f t="shared" si="29"/>
        <v/>
      </c>
      <c r="B1945" s="307"/>
      <c r="C1945" s="307"/>
      <c r="D1945" s="307"/>
      <c r="E1945" s="307"/>
      <c r="F1945" s="307"/>
      <c r="G1945" s="307"/>
      <c r="H1945" s="307"/>
      <c r="I1945" s="307"/>
      <c r="J1945" s="307"/>
      <c r="K1945" s="307"/>
      <c r="L1945" s="307"/>
      <c r="M1945" s="307"/>
      <c r="N1945" s="307"/>
      <c r="O1945" s="307"/>
    </row>
    <row r="1946" spans="1:15">
      <c r="A1946" t="str">
        <f t="shared" si="29"/>
        <v/>
      </c>
      <c r="B1946" s="307"/>
      <c r="C1946" s="307"/>
      <c r="D1946" s="307"/>
      <c r="E1946" s="307"/>
      <c r="F1946" s="307"/>
      <c r="G1946" s="307"/>
      <c r="H1946" s="307"/>
      <c r="I1946" s="307"/>
      <c r="J1946" s="307"/>
      <c r="K1946" s="307"/>
      <c r="L1946" s="307"/>
      <c r="M1946" s="307"/>
      <c r="N1946" s="307"/>
      <c r="O1946" s="307"/>
    </row>
    <row r="1947" spans="1:15">
      <c r="A1947" t="str">
        <f t="shared" si="29"/>
        <v/>
      </c>
      <c r="B1947" s="307"/>
      <c r="C1947" s="307"/>
      <c r="D1947" s="307"/>
      <c r="E1947" s="307"/>
      <c r="F1947" s="307"/>
      <c r="G1947" s="307"/>
      <c r="H1947" s="307"/>
      <c r="I1947" s="307"/>
      <c r="J1947" s="307"/>
      <c r="K1947" s="307"/>
      <c r="L1947" s="307"/>
      <c r="M1947" s="307"/>
      <c r="N1947" s="307"/>
      <c r="O1947" s="307"/>
    </row>
    <row r="1948" spans="1:15">
      <c r="A1948" t="str">
        <f t="shared" si="29"/>
        <v/>
      </c>
      <c r="B1948" s="307"/>
      <c r="C1948" s="307"/>
      <c r="D1948" s="307"/>
      <c r="E1948" s="307"/>
      <c r="F1948" s="307"/>
      <c r="G1948" s="307"/>
      <c r="H1948" s="307"/>
      <c r="I1948" s="307"/>
      <c r="J1948" s="307"/>
      <c r="K1948" s="307"/>
      <c r="L1948" s="307"/>
      <c r="M1948" s="307"/>
      <c r="N1948" s="307"/>
      <c r="O1948" s="307"/>
    </row>
    <row r="1949" spans="1:15">
      <c r="A1949" t="str">
        <f t="shared" si="29"/>
        <v/>
      </c>
      <c r="B1949" s="307"/>
      <c r="C1949" s="307"/>
      <c r="D1949" s="307"/>
      <c r="E1949" s="307"/>
      <c r="F1949" s="307"/>
      <c r="G1949" s="307"/>
      <c r="H1949" s="307"/>
      <c r="I1949" s="307"/>
      <c r="J1949" s="307"/>
      <c r="K1949" s="307"/>
      <c r="L1949" s="307"/>
      <c r="M1949" s="307"/>
      <c r="N1949" s="307"/>
      <c r="O1949" s="307"/>
    </row>
    <row r="1950" spans="1:15">
      <c r="A1950" t="str">
        <f t="shared" si="29"/>
        <v/>
      </c>
      <c r="B1950" s="307"/>
      <c r="C1950" s="307"/>
      <c r="D1950" s="307"/>
      <c r="E1950" s="307"/>
      <c r="F1950" s="307"/>
      <c r="G1950" s="307"/>
      <c r="H1950" s="307"/>
      <c r="I1950" s="307"/>
      <c r="J1950" s="307"/>
      <c r="K1950" s="307"/>
      <c r="L1950" s="307"/>
      <c r="M1950" s="307"/>
      <c r="N1950" s="307"/>
      <c r="O1950" s="307"/>
    </row>
    <row r="1951" spans="1:15">
      <c r="A1951" t="str">
        <f t="shared" si="29"/>
        <v/>
      </c>
      <c r="B1951" s="307"/>
      <c r="C1951" s="307"/>
      <c r="D1951" s="307"/>
      <c r="E1951" s="307"/>
      <c r="F1951" s="307"/>
      <c r="G1951" s="307"/>
      <c r="H1951" s="307"/>
      <c r="I1951" s="307"/>
      <c r="J1951" s="307"/>
      <c r="K1951" s="307"/>
      <c r="L1951" s="307"/>
      <c r="M1951" s="307"/>
      <c r="N1951" s="307"/>
      <c r="O1951" s="307"/>
    </row>
    <row r="1952" spans="1:15">
      <c r="A1952" t="str">
        <f t="shared" si="29"/>
        <v/>
      </c>
      <c r="B1952" s="307"/>
      <c r="C1952" s="307"/>
      <c r="D1952" s="307"/>
      <c r="E1952" s="307"/>
      <c r="F1952" s="307"/>
      <c r="G1952" s="307"/>
      <c r="H1952" s="307"/>
      <c r="I1952" s="307"/>
      <c r="J1952" s="307"/>
      <c r="K1952" s="307"/>
      <c r="L1952" s="307"/>
      <c r="M1952" s="307"/>
      <c r="N1952" s="307"/>
      <c r="O1952" s="307"/>
    </row>
    <row r="1953" spans="1:15">
      <c r="A1953" t="str">
        <f t="shared" si="29"/>
        <v/>
      </c>
      <c r="B1953" s="307"/>
      <c r="C1953" s="307"/>
      <c r="D1953" s="309"/>
      <c r="E1953" s="309"/>
      <c r="F1953" s="309"/>
      <c r="G1953" s="309"/>
      <c r="H1953" s="309"/>
      <c r="I1953" s="309"/>
      <c r="J1953" s="309"/>
      <c r="K1953" s="309"/>
      <c r="L1953" s="309"/>
      <c r="M1953" s="309"/>
      <c r="N1953" s="309"/>
      <c r="O1953" s="309"/>
    </row>
    <row r="1954" spans="1:15">
      <c r="A1954" t="str">
        <f t="shared" si="29"/>
        <v/>
      </c>
      <c r="B1954" s="307"/>
      <c r="C1954" s="307"/>
      <c r="D1954" s="309"/>
      <c r="E1954" s="309"/>
      <c r="F1954" s="309"/>
      <c r="G1954" s="309"/>
      <c r="H1954" s="309"/>
      <c r="I1954" s="309"/>
      <c r="J1954" s="309"/>
      <c r="K1954" s="309"/>
      <c r="L1954" s="309"/>
      <c r="M1954" s="309"/>
      <c r="N1954" s="309"/>
      <c r="O1954" s="309"/>
    </row>
    <row r="1955" spans="1:15">
      <c r="A1955" t="str">
        <f t="shared" si="29"/>
        <v/>
      </c>
      <c r="B1955" s="307"/>
      <c r="C1955" s="307"/>
      <c r="D1955" s="307"/>
      <c r="E1955" s="307"/>
      <c r="F1955" s="307"/>
      <c r="G1955" s="307"/>
      <c r="H1955" s="307"/>
      <c r="I1955" s="307"/>
      <c r="J1955" s="307"/>
      <c r="K1955" s="307"/>
      <c r="L1955" s="307"/>
      <c r="M1955" s="307"/>
      <c r="N1955" s="307"/>
      <c r="O1955" s="307"/>
    </row>
    <row r="1956" spans="1:15">
      <c r="A1956" t="str">
        <f t="shared" si="29"/>
        <v/>
      </c>
      <c r="B1956" s="307"/>
      <c r="C1956" s="307"/>
      <c r="D1956" s="307"/>
      <c r="E1956" s="307"/>
      <c r="F1956" s="307"/>
      <c r="G1956" s="307"/>
      <c r="H1956" s="307"/>
      <c r="I1956" s="307"/>
      <c r="J1956" s="307"/>
      <c r="K1956" s="307"/>
      <c r="L1956" s="307"/>
      <c r="M1956" s="307"/>
      <c r="N1956" s="307"/>
      <c r="O1956" s="307"/>
    </row>
    <row r="1957" spans="1:15">
      <c r="A1957" t="str">
        <f t="shared" si="29"/>
        <v/>
      </c>
      <c r="B1957" s="307"/>
      <c r="C1957" s="307"/>
      <c r="D1957" s="307"/>
      <c r="E1957" s="307"/>
      <c r="F1957" s="307"/>
      <c r="G1957" s="307"/>
      <c r="H1957" s="307"/>
      <c r="I1957" s="307"/>
      <c r="J1957" s="307"/>
      <c r="K1957" s="307"/>
      <c r="L1957" s="307"/>
      <c r="M1957" s="307"/>
      <c r="N1957" s="307"/>
      <c r="O1957" s="307"/>
    </row>
    <row r="1958" spans="1:15">
      <c r="A1958" t="str">
        <f t="shared" si="29"/>
        <v/>
      </c>
      <c r="B1958" s="307"/>
      <c r="C1958" s="307"/>
      <c r="D1958" s="307"/>
      <c r="E1958" s="307"/>
      <c r="F1958" s="307"/>
      <c r="G1958" s="307"/>
      <c r="H1958" s="307"/>
      <c r="I1958" s="307"/>
      <c r="J1958" s="307"/>
      <c r="K1958" s="307"/>
      <c r="L1958" s="307"/>
      <c r="M1958" s="307"/>
      <c r="N1958" s="307"/>
      <c r="O1958" s="307"/>
    </row>
    <row r="1959" spans="1:15">
      <c r="A1959" t="str">
        <f t="shared" si="29"/>
        <v/>
      </c>
      <c r="B1959" s="307"/>
      <c r="C1959" s="307"/>
      <c r="D1959" s="307"/>
      <c r="E1959" s="307"/>
      <c r="F1959" s="307"/>
      <c r="G1959" s="307"/>
      <c r="H1959" s="307"/>
      <c r="I1959" s="307"/>
      <c r="J1959" s="307"/>
      <c r="K1959" s="307"/>
      <c r="L1959" s="307"/>
      <c r="M1959" s="307"/>
      <c r="N1959" s="307"/>
      <c r="O1959" s="307"/>
    </row>
    <row r="1960" spans="1:15">
      <c r="A1960" t="str">
        <f t="shared" si="29"/>
        <v/>
      </c>
      <c r="B1960" s="307"/>
      <c r="C1960" s="307"/>
      <c r="D1960" s="307"/>
      <c r="E1960" s="307"/>
      <c r="F1960" s="307"/>
      <c r="G1960" s="307"/>
      <c r="H1960" s="307"/>
      <c r="I1960" s="307"/>
      <c r="J1960" s="307"/>
      <c r="K1960" s="307"/>
      <c r="L1960" s="307"/>
      <c r="M1960" s="307"/>
      <c r="N1960" s="307"/>
      <c r="O1960" s="307"/>
    </row>
    <row r="1961" spans="1:15">
      <c r="A1961" t="str">
        <f t="shared" si="29"/>
        <v/>
      </c>
      <c r="B1961" s="307"/>
      <c r="C1961" s="307"/>
      <c r="D1961" s="307"/>
      <c r="E1961" s="307"/>
      <c r="F1961" s="307"/>
      <c r="G1961" s="307"/>
      <c r="H1961" s="307"/>
      <c r="I1961" s="307"/>
      <c r="J1961" s="307"/>
      <c r="K1961" s="307"/>
      <c r="L1961" s="307"/>
      <c r="M1961" s="307"/>
      <c r="N1961" s="307"/>
      <c r="O1961" s="307"/>
    </row>
    <row r="1962" spans="1:15">
      <c r="A1962" t="str">
        <f t="shared" si="29"/>
        <v/>
      </c>
      <c r="B1962" s="307"/>
      <c r="C1962" s="307"/>
      <c r="D1962" s="307"/>
      <c r="E1962" s="307"/>
      <c r="F1962" s="307"/>
      <c r="G1962" s="307"/>
      <c r="H1962" s="307"/>
      <c r="I1962" s="307"/>
      <c r="J1962" s="307"/>
      <c r="K1962" s="307"/>
      <c r="L1962" s="307"/>
      <c r="M1962" s="307"/>
      <c r="N1962" s="307"/>
      <c r="O1962" s="307"/>
    </row>
    <row r="1963" spans="1:15">
      <c r="A1963" t="str">
        <f t="shared" si="29"/>
        <v/>
      </c>
      <c r="B1963" s="307"/>
      <c r="C1963" s="307"/>
      <c r="D1963" s="307"/>
      <c r="E1963" s="307"/>
      <c r="F1963" s="307"/>
      <c r="G1963" s="307"/>
      <c r="H1963" s="307"/>
      <c r="I1963" s="307"/>
      <c r="J1963" s="307"/>
      <c r="K1963" s="307"/>
      <c r="L1963" s="307"/>
      <c r="M1963" s="307"/>
      <c r="N1963" s="307"/>
      <c r="O1963" s="307"/>
    </row>
    <row r="1964" spans="1:15">
      <c r="A1964" t="str">
        <f t="shared" si="29"/>
        <v/>
      </c>
      <c r="B1964" s="307"/>
      <c r="C1964" s="307"/>
      <c r="D1964" s="307"/>
      <c r="E1964" s="307"/>
      <c r="F1964" s="307"/>
      <c r="G1964" s="307"/>
      <c r="H1964" s="307"/>
      <c r="I1964" s="307"/>
      <c r="J1964" s="307"/>
      <c r="K1964" s="307"/>
      <c r="L1964" s="307"/>
      <c r="M1964" s="307"/>
      <c r="N1964" s="307"/>
      <c r="O1964" s="307"/>
    </row>
    <row r="1965" spans="1:15">
      <c r="A1965" t="str">
        <f t="shared" si="29"/>
        <v/>
      </c>
      <c r="B1965" s="307"/>
      <c r="C1965" s="307"/>
      <c r="D1965" s="310"/>
      <c r="E1965" s="310"/>
      <c r="F1965" s="310"/>
      <c r="G1965" s="310"/>
      <c r="H1965" s="310"/>
      <c r="I1965" s="310"/>
      <c r="J1965" s="310"/>
      <c r="K1965" s="310"/>
      <c r="L1965" s="310"/>
      <c r="M1965" s="310"/>
      <c r="N1965" s="310"/>
      <c r="O1965" s="310"/>
    </row>
    <row r="1966" spans="1:15">
      <c r="A1966" t="str">
        <f t="shared" si="29"/>
        <v/>
      </c>
      <c r="B1966" s="307"/>
      <c r="C1966" s="307"/>
      <c r="D1966" s="309"/>
      <c r="E1966" s="309"/>
      <c r="F1966" s="309"/>
      <c r="G1966" s="309"/>
      <c r="H1966" s="309"/>
      <c r="I1966" s="309"/>
      <c r="J1966" s="309"/>
      <c r="K1966" s="309"/>
      <c r="L1966" s="309"/>
      <c r="M1966" s="309"/>
      <c r="N1966" s="309"/>
      <c r="O1966" s="309"/>
    </row>
    <row r="1967" spans="1:15">
      <c r="A1967" t="str">
        <f t="shared" si="29"/>
        <v/>
      </c>
      <c r="B1967" s="307"/>
      <c r="C1967" s="307"/>
      <c r="D1967" s="309"/>
      <c r="E1967" s="309"/>
      <c r="F1967" s="309"/>
      <c r="G1967" s="309"/>
      <c r="H1967" s="309"/>
      <c r="I1967" s="309"/>
      <c r="J1967" s="309"/>
      <c r="K1967" s="309"/>
      <c r="L1967" s="309"/>
      <c r="M1967" s="309"/>
      <c r="N1967" s="309"/>
      <c r="O1967" s="309"/>
    </row>
    <row r="1968" spans="1:15">
      <c r="A1968" t="str">
        <f t="shared" si="29"/>
        <v/>
      </c>
      <c r="B1968" s="307"/>
      <c r="C1968" s="307"/>
      <c r="D1968" s="309"/>
      <c r="E1968" s="309"/>
      <c r="F1968" s="309"/>
      <c r="G1968" s="309"/>
      <c r="H1968" s="309"/>
      <c r="I1968" s="309"/>
      <c r="J1968" s="309"/>
      <c r="K1968" s="309"/>
      <c r="L1968" s="309"/>
      <c r="M1968" s="309"/>
      <c r="N1968" s="309"/>
      <c r="O1968" s="309"/>
    </row>
    <row r="1969" spans="1:15">
      <c r="A1969" t="str">
        <f t="shared" si="29"/>
        <v/>
      </c>
      <c r="B1969" s="307"/>
      <c r="C1969" s="307"/>
      <c r="D1969" s="309"/>
      <c r="E1969" s="309"/>
      <c r="F1969" s="309"/>
      <c r="G1969" s="309"/>
      <c r="H1969" s="309"/>
      <c r="I1969" s="309"/>
      <c r="J1969" s="309"/>
      <c r="K1969" s="309"/>
      <c r="L1969" s="309"/>
      <c r="M1969" s="309"/>
      <c r="N1969" s="309"/>
      <c r="O1969" s="309"/>
    </row>
    <row r="1970" spans="1:15">
      <c r="A1970" t="str">
        <f t="shared" si="29"/>
        <v/>
      </c>
      <c r="B1970" s="307"/>
      <c r="C1970" s="307"/>
      <c r="D1970" s="309"/>
      <c r="E1970" s="309"/>
      <c r="F1970" s="309"/>
      <c r="G1970" s="309"/>
      <c r="H1970" s="309"/>
      <c r="I1970" s="309"/>
      <c r="J1970" s="309"/>
      <c r="K1970" s="309"/>
      <c r="L1970" s="309"/>
      <c r="M1970" s="309"/>
      <c r="N1970" s="309"/>
      <c r="O1970" s="309"/>
    </row>
    <row r="1971" spans="1:15">
      <c r="A1971" t="str">
        <f t="shared" si="29"/>
        <v/>
      </c>
      <c r="B1971" s="307"/>
      <c r="C1971" s="307"/>
      <c r="D1971" s="309"/>
      <c r="E1971" s="309"/>
      <c r="F1971" s="309"/>
      <c r="G1971" s="309"/>
      <c r="H1971" s="309"/>
      <c r="I1971" s="309"/>
      <c r="J1971" s="309"/>
      <c r="K1971" s="309"/>
      <c r="L1971" s="309"/>
      <c r="M1971" s="309"/>
      <c r="N1971" s="309"/>
      <c r="O1971" s="309"/>
    </row>
    <row r="1972" spans="1:15">
      <c r="A1972" t="str">
        <f t="shared" si="29"/>
        <v/>
      </c>
      <c r="B1972" s="307"/>
      <c r="C1972" s="307"/>
      <c r="D1972" s="309"/>
      <c r="E1972" s="309"/>
      <c r="F1972" s="309"/>
      <c r="G1972" s="309"/>
      <c r="H1972" s="309"/>
      <c r="I1972" s="309"/>
      <c r="J1972" s="309"/>
      <c r="K1972" s="309"/>
      <c r="L1972" s="309"/>
      <c r="M1972" s="309"/>
      <c r="N1972" s="309"/>
      <c r="O1972" s="309"/>
    </row>
    <row r="1973" spans="1:15">
      <c r="A1973" t="str">
        <f t="shared" si="29"/>
        <v/>
      </c>
      <c r="B1973" s="307"/>
      <c r="C1973" s="307"/>
      <c r="D1973" s="309"/>
      <c r="E1973" s="309"/>
      <c r="F1973" s="309"/>
      <c r="G1973" s="309"/>
      <c r="H1973" s="309"/>
      <c r="I1973" s="309"/>
      <c r="J1973" s="309"/>
      <c r="K1973" s="309"/>
      <c r="L1973" s="309"/>
      <c r="M1973" s="309"/>
      <c r="N1973" s="309"/>
      <c r="O1973" s="309"/>
    </row>
    <row r="1974" spans="1:15">
      <c r="A1974" t="str">
        <f t="shared" ref="A1974:A2037" si="30">B1974&amp;C1974</f>
        <v/>
      </c>
      <c r="B1974" s="307"/>
      <c r="C1974" s="307"/>
      <c r="D1974" s="309"/>
      <c r="E1974" s="309"/>
      <c r="F1974" s="309"/>
      <c r="G1974" s="309"/>
      <c r="H1974" s="309"/>
      <c r="I1974" s="309"/>
      <c r="J1974" s="309"/>
      <c r="K1974" s="309"/>
      <c r="L1974" s="309"/>
      <c r="M1974" s="309"/>
      <c r="N1974" s="309"/>
      <c r="O1974" s="309"/>
    </row>
    <row r="1975" spans="1:15">
      <c r="A1975" t="str">
        <f t="shared" si="30"/>
        <v/>
      </c>
      <c r="B1975" s="307"/>
      <c r="C1975" s="307"/>
      <c r="D1975" s="307"/>
      <c r="E1975" s="307"/>
      <c r="F1975" s="307"/>
      <c r="G1975" s="307"/>
      <c r="H1975" s="307"/>
      <c r="I1975" s="307"/>
      <c r="J1975" s="307"/>
      <c r="K1975" s="307"/>
      <c r="L1975" s="307"/>
      <c r="M1975" s="307"/>
      <c r="N1975" s="307"/>
      <c r="O1975" s="307"/>
    </row>
    <row r="1976" spans="1:15">
      <c r="A1976" t="str">
        <f t="shared" si="30"/>
        <v/>
      </c>
      <c r="B1976" s="307"/>
      <c r="C1976" s="307"/>
      <c r="D1976" s="309"/>
      <c r="E1976" s="309"/>
      <c r="F1976" s="309"/>
      <c r="G1976" s="309"/>
      <c r="H1976" s="309"/>
      <c r="I1976" s="309"/>
      <c r="J1976" s="309"/>
      <c r="K1976" s="309"/>
      <c r="L1976" s="309"/>
      <c r="M1976" s="309"/>
      <c r="N1976" s="309"/>
      <c r="O1976" s="309"/>
    </row>
    <row r="1977" spans="1:15">
      <c r="A1977" t="str">
        <f t="shared" si="30"/>
        <v/>
      </c>
      <c r="B1977" s="307"/>
      <c r="C1977" s="307"/>
      <c r="D1977" s="309"/>
      <c r="E1977" s="309"/>
      <c r="F1977" s="309"/>
      <c r="G1977" s="309"/>
      <c r="H1977" s="309"/>
      <c r="I1977" s="309"/>
      <c r="J1977" s="309"/>
      <c r="K1977" s="309"/>
      <c r="L1977" s="309"/>
      <c r="M1977" s="309"/>
      <c r="N1977" s="309"/>
      <c r="O1977" s="309"/>
    </row>
    <row r="1978" spans="1:15">
      <c r="A1978" t="str">
        <f t="shared" si="30"/>
        <v/>
      </c>
      <c r="B1978" s="307"/>
      <c r="C1978" s="307"/>
      <c r="D1978" s="309"/>
      <c r="E1978" s="309"/>
      <c r="F1978" s="309"/>
      <c r="G1978" s="309"/>
      <c r="H1978" s="309"/>
      <c r="I1978" s="309"/>
      <c r="J1978" s="309"/>
      <c r="K1978" s="309"/>
      <c r="L1978" s="309"/>
      <c r="M1978" s="309"/>
      <c r="N1978" s="309"/>
      <c r="O1978" s="309"/>
    </row>
    <row r="1979" spans="1:15">
      <c r="A1979" t="str">
        <f t="shared" si="30"/>
        <v/>
      </c>
      <c r="B1979" s="307"/>
      <c r="C1979" s="307"/>
      <c r="D1979" s="309"/>
      <c r="E1979" s="309"/>
      <c r="F1979" s="309"/>
      <c r="G1979" s="309"/>
      <c r="H1979" s="309"/>
      <c r="I1979" s="309"/>
      <c r="J1979" s="309"/>
      <c r="K1979" s="309"/>
      <c r="L1979" s="309"/>
      <c r="M1979" s="309"/>
      <c r="N1979" s="309"/>
      <c r="O1979" s="309"/>
    </row>
    <row r="1980" spans="1:15">
      <c r="A1980" t="str">
        <f t="shared" si="30"/>
        <v/>
      </c>
      <c r="B1980" s="307"/>
      <c r="C1980" s="307"/>
      <c r="D1980" s="309"/>
      <c r="E1980" s="309"/>
      <c r="F1980" s="309"/>
      <c r="G1980" s="309"/>
      <c r="H1980" s="309"/>
      <c r="I1980" s="309"/>
      <c r="J1980" s="309"/>
      <c r="K1980" s="309"/>
      <c r="L1980" s="309"/>
      <c r="M1980" s="309"/>
      <c r="N1980" s="309"/>
      <c r="O1980" s="309"/>
    </row>
    <row r="1981" spans="1:15">
      <c r="A1981" t="str">
        <f t="shared" si="30"/>
        <v/>
      </c>
      <c r="B1981" s="307"/>
      <c r="C1981" s="307"/>
      <c r="D1981" s="309"/>
      <c r="E1981" s="309"/>
      <c r="F1981" s="309"/>
      <c r="G1981" s="309"/>
      <c r="H1981" s="309"/>
      <c r="I1981" s="309"/>
      <c r="J1981" s="309"/>
      <c r="K1981" s="309"/>
      <c r="L1981" s="309"/>
      <c r="M1981" s="309"/>
      <c r="N1981" s="309"/>
      <c r="O1981" s="309"/>
    </row>
    <row r="1982" spans="1:15">
      <c r="A1982" t="str">
        <f t="shared" si="30"/>
        <v/>
      </c>
      <c r="B1982" s="307"/>
      <c r="C1982" s="307"/>
      <c r="D1982" s="309"/>
      <c r="E1982" s="309"/>
      <c r="F1982" s="309"/>
      <c r="G1982" s="309"/>
      <c r="H1982" s="309"/>
      <c r="I1982" s="309"/>
      <c r="J1982" s="309"/>
      <c r="K1982" s="309"/>
      <c r="L1982" s="309"/>
      <c r="M1982" s="309"/>
      <c r="N1982" s="309"/>
      <c r="O1982" s="309"/>
    </row>
    <row r="1983" spans="1:15">
      <c r="A1983" t="str">
        <f t="shared" si="30"/>
        <v/>
      </c>
      <c r="B1983" s="307"/>
      <c r="C1983" s="307"/>
      <c r="D1983" s="307"/>
      <c r="E1983" s="307"/>
      <c r="F1983" s="307"/>
      <c r="G1983" s="307"/>
      <c r="H1983" s="307"/>
      <c r="I1983" s="307"/>
      <c r="J1983" s="307"/>
      <c r="K1983" s="307"/>
      <c r="L1983" s="307"/>
      <c r="M1983" s="307"/>
      <c r="N1983" s="307"/>
      <c r="O1983" s="307"/>
    </row>
    <row r="1984" spans="1:15">
      <c r="A1984" t="str">
        <f t="shared" si="30"/>
        <v/>
      </c>
      <c r="B1984" s="307"/>
      <c r="C1984" s="307"/>
      <c r="D1984" s="307"/>
      <c r="E1984" s="307"/>
      <c r="F1984" s="307"/>
      <c r="G1984" s="307"/>
      <c r="H1984" s="307"/>
      <c r="I1984" s="307"/>
      <c r="J1984" s="307"/>
      <c r="K1984" s="307"/>
      <c r="L1984" s="307"/>
      <c r="M1984" s="307"/>
      <c r="N1984" s="307"/>
      <c r="O1984" s="307"/>
    </row>
    <row r="1985" spans="1:15">
      <c r="A1985" t="str">
        <f t="shared" si="30"/>
        <v/>
      </c>
      <c r="B1985" s="307"/>
      <c r="C1985" s="307"/>
      <c r="D1985" s="307"/>
      <c r="E1985" s="307"/>
      <c r="F1985" s="307"/>
      <c r="G1985" s="307"/>
      <c r="H1985" s="307"/>
      <c r="I1985" s="307"/>
      <c r="J1985" s="307"/>
      <c r="K1985" s="307"/>
      <c r="L1985" s="307"/>
      <c r="M1985" s="307"/>
      <c r="N1985" s="307"/>
      <c r="O1985" s="307"/>
    </row>
    <row r="1986" spans="1:15">
      <c r="A1986" t="str">
        <f t="shared" si="30"/>
        <v/>
      </c>
      <c r="B1986" s="307"/>
      <c r="C1986" s="307"/>
      <c r="D1986" s="307"/>
      <c r="E1986" s="307"/>
      <c r="F1986" s="307"/>
      <c r="G1986" s="307"/>
      <c r="H1986" s="307"/>
      <c r="I1986" s="307"/>
      <c r="J1986" s="307"/>
      <c r="K1986" s="307"/>
      <c r="L1986" s="307"/>
      <c r="M1986" s="307"/>
      <c r="N1986" s="307"/>
      <c r="O1986" s="307"/>
    </row>
    <row r="1987" spans="1:15">
      <c r="A1987" t="str">
        <f t="shared" si="30"/>
        <v/>
      </c>
      <c r="B1987" s="307"/>
      <c r="C1987" s="307"/>
      <c r="D1987" s="307"/>
      <c r="E1987" s="307"/>
      <c r="F1987" s="307"/>
      <c r="G1987" s="307"/>
      <c r="H1987" s="307"/>
      <c r="I1987" s="307"/>
      <c r="J1987" s="307"/>
      <c r="K1987" s="307"/>
      <c r="L1987" s="307"/>
      <c r="M1987" s="307"/>
      <c r="N1987" s="307"/>
      <c r="O1987" s="307"/>
    </row>
    <row r="1988" spans="1:15">
      <c r="A1988" t="str">
        <f t="shared" si="30"/>
        <v/>
      </c>
      <c r="B1988" s="307"/>
      <c r="C1988" s="307"/>
      <c r="D1988" s="307"/>
      <c r="E1988" s="307"/>
      <c r="F1988" s="307"/>
      <c r="G1988" s="307"/>
      <c r="H1988" s="307"/>
      <c r="I1988" s="307"/>
      <c r="J1988" s="307"/>
      <c r="K1988" s="307"/>
      <c r="L1988" s="307"/>
      <c r="M1988" s="307"/>
      <c r="N1988" s="307"/>
      <c r="O1988" s="307"/>
    </row>
    <row r="1989" spans="1:15">
      <c r="A1989" t="str">
        <f t="shared" si="30"/>
        <v/>
      </c>
      <c r="B1989" s="307"/>
      <c r="C1989" s="307"/>
      <c r="D1989" s="307"/>
      <c r="E1989" s="307"/>
      <c r="F1989" s="307"/>
      <c r="G1989" s="307"/>
      <c r="H1989" s="307"/>
      <c r="I1989" s="307"/>
      <c r="J1989" s="307"/>
      <c r="K1989" s="307"/>
      <c r="L1989" s="307"/>
      <c r="M1989" s="307"/>
      <c r="N1989" s="307"/>
      <c r="O1989" s="307"/>
    </row>
    <row r="1990" spans="1:15">
      <c r="A1990" t="str">
        <f t="shared" si="30"/>
        <v/>
      </c>
      <c r="B1990" s="307"/>
      <c r="C1990" s="307"/>
      <c r="D1990" s="307"/>
      <c r="E1990" s="307"/>
      <c r="F1990" s="307"/>
      <c r="G1990" s="307"/>
      <c r="H1990" s="307"/>
      <c r="I1990" s="307"/>
      <c r="J1990" s="307"/>
      <c r="K1990" s="307"/>
      <c r="L1990" s="307"/>
      <c r="M1990" s="307"/>
      <c r="N1990" s="307"/>
      <c r="O1990" s="307"/>
    </row>
    <row r="1991" spans="1:15">
      <c r="A1991" t="str">
        <f t="shared" si="30"/>
        <v/>
      </c>
      <c r="B1991" s="307"/>
      <c r="C1991" s="307"/>
      <c r="D1991" s="307"/>
      <c r="E1991" s="307"/>
      <c r="F1991" s="307"/>
      <c r="G1991" s="307"/>
      <c r="H1991" s="307"/>
      <c r="I1991" s="307"/>
      <c r="J1991" s="307"/>
      <c r="K1991" s="307"/>
      <c r="L1991" s="307"/>
      <c r="M1991" s="307"/>
      <c r="N1991" s="307"/>
      <c r="O1991" s="307"/>
    </row>
    <row r="1992" spans="1:15">
      <c r="A1992" t="str">
        <f t="shared" si="30"/>
        <v/>
      </c>
      <c r="B1992" s="307"/>
      <c r="C1992" s="307"/>
      <c r="D1992" s="307"/>
      <c r="E1992" s="307"/>
      <c r="F1992" s="307"/>
      <c r="G1992" s="307"/>
      <c r="H1992" s="307"/>
      <c r="I1992" s="307"/>
      <c r="J1992" s="307"/>
      <c r="K1992" s="307"/>
      <c r="L1992" s="307"/>
      <c r="M1992" s="307"/>
      <c r="N1992" s="307"/>
      <c r="O1992" s="307"/>
    </row>
    <row r="1993" spans="1:15">
      <c r="A1993" t="str">
        <f t="shared" si="30"/>
        <v/>
      </c>
      <c r="B1993" s="307"/>
      <c r="C1993" s="307"/>
      <c r="D1993" s="307"/>
      <c r="E1993" s="307"/>
      <c r="F1993" s="307"/>
      <c r="G1993" s="307"/>
      <c r="H1993" s="307"/>
      <c r="I1993" s="307"/>
      <c r="J1993" s="307"/>
      <c r="K1993" s="307"/>
      <c r="L1993" s="307"/>
      <c r="M1993" s="307"/>
      <c r="N1993" s="307"/>
      <c r="O1993" s="307"/>
    </row>
    <row r="1994" spans="1:15">
      <c r="A1994" t="str">
        <f t="shared" si="30"/>
        <v/>
      </c>
      <c r="B1994" s="307"/>
      <c r="C1994" s="307"/>
      <c r="D1994" s="307"/>
      <c r="E1994" s="307"/>
      <c r="F1994" s="307"/>
      <c r="G1994" s="307"/>
      <c r="H1994" s="307"/>
      <c r="I1994" s="307"/>
      <c r="J1994" s="307"/>
      <c r="K1994" s="307"/>
      <c r="L1994" s="307"/>
      <c r="M1994" s="307"/>
      <c r="N1994" s="307"/>
      <c r="O1994" s="307"/>
    </row>
    <row r="1995" spans="1:15">
      <c r="A1995" t="str">
        <f t="shared" si="30"/>
        <v/>
      </c>
      <c r="B1995" s="307"/>
      <c r="C1995" s="307"/>
      <c r="D1995" s="307"/>
      <c r="E1995" s="307"/>
      <c r="F1995" s="307"/>
      <c r="G1995" s="307"/>
      <c r="H1995" s="307"/>
      <c r="I1995" s="307"/>
      <c r="J1995" s="307"/>
      <c r="K1995" s="307"/>
      <c r="L1995" s="307"/>
      <c r="M1995" s="307"/>
      <c r="N1995" s="307"/>
      <c r="O1995" s="307"/>
    </row>
    <row r="1996" spans="1:15">
      <c r="A1996" t="str">
        <f t="shared" si="30"/>
        <v/>
      </c>
      <c r="B1996" s="307"/>
      <c r="C1996" s="307"/>
      <c r="D1996" s="307"/>
      <c r="E1996" s="307"/>
      <c r="F1996" s="307"/>
      <c r="G1996" s="307"/>
      <c r="H1996" s="307"/>
      <c r="I1996" s="307"/>
      <c r="J1996" s="307"/>
      <c r="K1996" s="307"/>
      <c r="L1996" s="307"/>
      <c r="M1996" s="307"/>
      <c r="N1996" s="307"/>
      <c r="O1996" s="307"/>
    </row>
    <row r="1997" spans="1:15">
      <c r="A1997" t="str">
        <f t="shared" si="30"/>
        <v/>
      </c>
    </row>
    <row r="1998" spans="1:15">
      <c r="A1998" t="str">
        <f t="shared" si="30"/>
        <v/>
      </c>
      <c r="D1998" s="4"/>
      <c r="E1998" s="4"/>
      <c r="F1998" s="4"/>
      <c r="G1998" s="4"/>
      <c r="H1998" s="4"/>
      <c r="I1998" s="4"/>
      <c r="J1998" s="4"/>
      <c r="K1998" s="4"/>
      <c r="L1998" s="4"/>
      <c r="M1998" s="4"/>
      <c r="N1998" s="4"/>
      <c r="O1998" s="4"/>
    </row>
    <row r="1999" spans="1:15">
      <c r="A1999" t="str">
        <f t="shared" si="30"/>
        <v/>
      </c>
    </row>
    <row r="2000" spans="1:15">
      <c r="A2000" t="str">
        <f t="shared" si="30"/>
        <v/>
      </c>
    </row>
    <row r="2001" spans="1:15">
      <c r="A2001" t="str">
        <f t="shared" si="30"/>
        <v/>
      </c>
    </row>
    <row r="2002" spans="1:15">
      <c r="A2002" t="str">
        <f t="shared" si="30"/>
        <v/>
      </c>
    </row>
    <row r="2003" spans="1:15">
      <c r="A2003" t="str">
        <f t="shared" si="30"/>
        <v/>
      </c>
    </row>
    <row r="2004" spans="1:15">
      <c r="A2004" t="str">
        <f t="shared" si="30"/>
        <v/>
      </c>
    </row>
    <row r="2005" spans="1:15">
      <c r="A2005" t="str">
        <f t="shared" si="30"/>
        <v/>
      </c>
    </row>
    <row r="2006" spans="1:15">
      <c r="A2006" t="str">
        <f t="shared" si="30"/>
        <v/>
      </c>
    </row>
    <row r="2007" spans="1:15">
      <c r="A2007" t="str">
        <f t="shared" si="30"/>
        <v/>
      </c>
      <c r="D2007" s="5"/>
      <c r="E2007" s="5"/>
      <c r="F2007" s="5"/>
      <c r="G2007" s="5"/>
      <c r="H2007" s="5"/>
      <c r="I2007" s="5"/>
      <c r="J2007" s="5"/>
      <c r="K2007" s="5"/>
      <c r="L2007" s="5"/>
      <c r="M2007" s="5"/>
      <c r="N2007" s="5"/>
      <c r="O2007" s="5"/>
    </row>
    <row r="2008" spans="1:15">
      <c r="A2008" t="str">
        <f t="shared" si="30"/>
        <v/>
      </c>
      <c r="D2008" s="5"/>
      <c r="E2008" s="5"/>
      <c r="F2008" s="5"/>
      <c r="G2008" s="5"/>
      <c r="H2008" s="5"/>
      <c r="I2008" s="5"/>
      <c r="J2008" s="5"/>
      <c r="K2008" s="5"/>
      <c r="L2008" s="5"/>
      <c r="M2008" s="5"/>
      <c r="N2008" s="5"/>
      <c r="O2008" s="5"/>
    </row>
    <row r="2009" spans="1:15">
      <c r="A2009" t="str">
        <f t="shared" si="30"/>
        <v/>
      </c>
    </row>
    <row r="2010" spans="1:15">
      <c r="A2010" t="str">
        <f t="shared" si="30"/>
        <v/>
      </c>
    </row>
    <row r="2011" spans="1:15">
      <c r="A2011" t="str">
        <f t="shared" si="30"/>
        <v/>
      </c>
    </row>
    <row r="2012" spans="1:15">
      <c r="A2012" t="str">
        <f t="shared" si="30"/>
        <v/>
      </c>
    </row>
    <row r="2013" spans="1:15">
      <c r="A2013" t="str">
        <f t="shared" si="30"/>
        <v/>
      </c>
    </row>
    <row r="2014" spans="1:15">
      <c r="A2014" t="str">
        <f t="shared" si="30"/>
        <v/>
      </c>
    </row>
    <row r="2015" spans="1:15">
      <c r="A2015" t="str">
        <f t="shared" si="30"/>
        <v/>
      </c>
    </row>
    <row r="2016" spans="1:15">
      <c r="A2016" t="str">
        <f t="shared" si="30"/>
        <v/>
      </c>
    </row>
    <row r="2017" spans="1:15">
      <c r="A2017" t="str">
        <f t="shared" si="30"/>
        <v/>
      </c>
    </row>
    <row r="2018" spans="1:15">
      <c r="A2018" t="str">
        <f t="shared" si="30"/>
        <v/>
      </c>
    </row>
    <row r="2019" spans="1:15">
      <c r="A2019" t="str">
        <f t="shared" si="30"/>
        <v/>
      </c>
      <c r="D2019" s="1"/>
      <c r="E2019" s="1"/>
      <c r="F2019" s="1"/>
      <c r="G2019" s="1"/>
      <c r="H2019" s="1"/>
      <c r="I2019" s="1"/>
      <c r="J2019" s="1"/>
      <c r="K2019" s="1"/>
      <c r="L2019" s="1"/>
      <c r="M2019" s="1"/>
      <c r="N2019" s="1"/>
      <c r="O2019" s="1"/>
    </row>
    <row r="2020" spans="1:15">
      <c r="A2020" t="str">
        <f t="shared" si="30"/>
        <v/>
      </c>
      <c r="D2020" s="5"/>
      <c r="E2020" s="5"/>
      <c r="F2020" s="5"/>
      <c r="G2020" s="5"/>
      <c r="H2020" s="5"/>
      <c r="I2020" s="5"/>
      <c r="J2020" s="5"/>
      <c r="K2020" s="5"/>
      <c r="L2020" s="5"/>
      <c r="M2020" s="5"/>
      <c r="N2020" s="5"/>
      <c r="O2020" s="5"/>
    </row>
    <row r="2021" spans="1:15">
      <c r="A2021" t="str">
        <f t="shared" si="30"/>
        <v/>
      </c>
      <c r="D2021" s="5"/>
      <c r="E2021" s="5"/>
      <c r="F2021" s="5"/>
      <c r="G2021" s="5"/>
      <c r="H2021" s="5"/>
      <c r="I2021" s="5"/>
      <c r="J2021" s="5"/>
      <c r="K2021" s="5"/>
      <c r="L2021" s="5"/>
      <c r="M2021" s="5"/>
      <c r="N2021" s="5"/>
      <c r="O2021" s="5"/>
    </row>
    <row r="2022" spans="1:15">
      <c r="A2022" t="str">
        <f t="shared" si="30"/>
        <v/>
      </c>
      <c r="D2022" s="5"/>
      <c r="E2022" s="5"/>
      <c r="F2022" s="5"/>
      <c r="G2022" s="5"/>
      <c r="H2022" s="5"/>
      <c r="I2022" s="5"/>
      <c r="J2022" s="5"/>
      <c r="K2022" s="5"/>
      <c r="L2022" s="5"/>
      <c r="M2022" s="5"/>
      <c r="N2022" s="5"/>
      <c r="O2022" s="5"/>
    </row>
    <row r="2023" spans="1:15">
      <c r="A2023" t="str">
        <f t="shared" si="30"/>
        <v/>
      </c>
      <c r="D2023" s="5"/>
      <c r="E2023" s="5"/>
      <c r="F2023" s="5"/>
      <c r="G2023" s="5"/>
      <c r="H2023" s="5"/>
      <c r="I2023" s="5"/>
      <c r="J2023" s="5"/>
      <c r="K2023" s="5"/>
      <c r="L2023" s="5"/>
      <c r="M2023" s="5"/>
      <c r="N2023" s="5"/>
      <c r="O2023" s="5"/>
    </row>
    <row r="2024" spans="1:15">
      <c r="A2024" t="str">
        <f t="shared" si="30"/>
        <v/>
      </c>
      <c r="D2024" s="5"/>
      <c r="E2024" s="5"/>
      <c r="F2024" s="5"/>
      <c r="G2024" s="5"/>
      <c r="H2024" s="5"/>
      <c r="I2024" s="5"/>
      <c r="J2024" s="5"/>
      <c r="K2024" s="5"/>
      <c r="L2024" s="5"/>
      <c r="M2024" s="5"/>
      <c r="N2024" s="5"/>
      <c r="O2024" s="5"/>
    </row>
    <row r="2025" spans="1:15">
      <c r="A2025" t="str">
        <f t="shared" si="30"/>
        <v/>
      </c>
      <c r="D2025" s="5"/>
      <c r="E2025" s="5"/>
      <c r="F2025" s="5"/>
      <c r="G2025" s="5"/>
      <c r="H2025" s="5"/>
      <c r="I2025" s="5"/>
      <c r="J2025" s="5"/>
      <c r="K2025" s="5"/>
      <c r="L2025" s="5"/>
      <c r="M2025" s="5"/>
      <c r="N2025" s="5"/>
      <c r="O2025" s="5"/>
    </row>
    <row r="2026" spans="1:15">
      <c r="A2026" t="str">
        <f t="shared" si="30"/>
        <v/>
      </c>
      <c r="D2026" s="5"/>
      <c r="E2026" s="5"/>
      <c r="F2026" s="5"/>
      <c r="G2026" s="5"/>
      <c r="H2026" s="5"/>
      <c r="I2026" s="5"/>
      <c r="J2026" s="5"/>
      <c r="K2026" s="5"/>
      <c r="L2026" s="5"/>
      <c r="M2026" s="5"/>
      <c r="N2026" s="5"/>
      <c r="O2026" s="5"/>
    </row>
    <row r="2027" spans="1:15">
      <c r="A2027" t="str">
        <f t="shared" si="30"/>
        <v/>
      </c>
      <c r="D2027" s="5"/>
      <c r="E2027" s="5"/>
      <c r="F2027" s="5"/>
      <c r="G2027" s="5"/>
      <c r="H2027" s="5"/>
      <c r="I2027" s="5"/>
      <c r="J2027" s="5"/>
      <c r="K2027" s="5"/>
      <c r="L2027" s="5"/>
      <c r="M2027" s="5"/>
      <c r="N2027" s="5"/>
      <c r="O2027" s="5"/>
    </row>
    <row r="2028" spans="1:15">
      <c r="A2028" t="str">
        <f t="shared" si="30"/>
        <v/>
      </c>
      <c r="D2028" s="5"/>
      <c r="E2028" s="5"/>
      <c r="F2028" s="5"/>
      <c r="G2028" s="5"/>
      <c r="H2028" s="5"/>
      <c r="I2028" s="5"/>
      <c r="J2028" s="5"/>
      <c r="K2028" s="5"/>
      <c r="L2028" s="5"/>
      <c r="M2028" s="5"/>
      <c r="N2028" s="5"/>
      <c r="O2028" s="5"/>
    </row>
    <row r="2029" spans="1:15">
      <c r="A2029" t="str">
        <f t="shared" si="30"/>
        <v/>
      </c>
    </row>
    <row r="2030" spans="1:15">
      <c r="A2030" t="str">
        <f t="shared" si="30"/>
        <v/>
      </c>
      <c r="D2030" s="5"/>
      <c r="E2030" s="5"/>
      <c r="F2030" s="5"/>
      <c r="G2030" s="5"/>
      <c r="H2030" s="5"/>
      <c r="I2030" s="5"/>
      <c r="J2030" s="5"/>
      <c r="K2030" s="5"/>
      <c r="L2030" s="5"/>
      <c r="M2030" s="5"/>
      <c r="N2030" s="5"/>
      <c r="O2030" s="5"/>
    </row>
    <row r="2031" spans="1:15">
      <c r="A2031" t="str">
        <f t="shared" si="30"/>
        <v/>
      </c>
      <c r="D2031" s="5"/>
      <c r="E2031" s="5"/>
      <c r="F2031" s="5"/>
      <c r="G2031" s="5"/>
      <c r="H2031" s="5"/>
      <c r="I2031" s="5"/>
      <c r="J2031" s="5"/>
      <c r="K2031" s="5"/>
      <c r="L2031" s="5"/>
      <c r="M2031" s="5"/>
      <c r="N2031" s="5"/>
      <c r="O2031" s="5"/>
    </row>
    <row r="2032" spans="1:15">
      <c r="A2032" t="str">
        <f t="shared" si="30"/>
        <v/>
      </c>
      <c r="D2032" s="5"/>
      <c r="E2032" s="5"/>
      <c r="F2032" s="5"/>
      <c r="G2032" s="5"/>
      <c r="H2032" s="5"/>
      <c r="I2032" s="5"/>
      <c r="J2032" s="5"/>
      <c r="K2032" s="5"/>
      <c r="L2032" s="5"/>
      <c r="M2032" s="5"/>
      <c r="N2032" s="5"/>
      <c r="O2032" s="5"/>
    </row>
    <row r="2033" spans="1:15">
      <c r="A2033" t="str">
        <f t="shared" si="30"/>
        <v/>
      </c>
      <c r="D2033" s="5"/>
      <c r="E2033" s="5"/>
      <c r="F2033" s="5"/>
      <c r="G2033" s="5"/>
      <c r="H2033" s="5"/>
      <c r="I2033" s="5"/>
      <c r="J2033" s="5"/>
      <c r="K2033" s="5"/>
      <c r="L2033" s="5"/>
      <c r="M2033" s="5"/>
      <c r="N2033" s="5"/>
      <c r="O2033" s="5"/>
    </row>
    <row r="2034" spans="1:15">
      <c r="A2034" t="str">
        <f t="shared" si="30"/>
        <v/>
      </c>
      <c r="D2034" s="5"/>
      <c r="E2034" s="5"/>
      <c r="F2034" s="5"/>
      <c r="G2034" s="5"/>
      <c r="H2034" s="5"/>
      <c r="I2034" s="5"/>
      <c r="J2034" s="5"/>
      <c r="K2034" s="5"/>
      <c r="L2034" s="5"/>
      <c r="M2034" s="5"/>
      <c r="N2034" s="5"/>
      <c r="O2034" s="5"/>
    </row>
    <row r="2035" spans="1:15">
      <c r="A2035" t="str">
        <f t="shared" si="30"/>
        <v/>
      </c>
      <c r="D2035" s="5"/>
      <c r="E2035" s="5"/>
      <c r="F2035" s="5"/>
      <c r="G2035" s="5"/>
      <c r="H2035" s="5"/>
      <c r="I2035" s="5"/>
      <c r="J2035" s="5"/>
      <c r="K2035" s="5"/>
      <c r="L2035" s="5"/>
      <c r="M2035" s="5"/>
      <c r="N2035" s="5"/>
      <c r="O2035" s="5"/>
    </row>
    <row r="2036" spans="1:15">
      <c r="A2036" t="str">
        <f t="shared" si="30"/>
        <v/>
      </c>
      <c r="D2036" s="5"/>
      <c r="E2036" s="5"/>
      <c r="F2036" s="5"/>
      <c r="G2036" s="5"/>
      <c r="H2036" s="5"/>
      <c r="I2036" s="5"/>
      <c r="J2036" s="5"/>
      <c r="K2036" s="5"/>
      <c r="L2036" s="5"/>
      <c r="M2036" s="5"/>
      <c r="N2036" s="5"/>
      <c r="O2036" s="5"/>
    </row>
    <row r="2037" spans="1:15">
      <c r="A2037" t="str">
        <f t="shared" si="30"/>
        <v/>
      </c>
    </row>
    <row r="2038" spans="1:15">
      <c r="A2038" t="str">
        <f t="shared" ref="A2038:A2101" si="31">B2038&amp;C2038</f>
        <v/>
      </c>
    </row>
    <row r="2039" spans="1:15">
      <c r="A2039" t="str">
        <f t="shared" si="31"/>
        <v/>
      </c>
    </row>
    <row r="2040" spans="1:15">
      <c r="A2040" t="str">
        <f t="shared" si="31"/>
        <v/>
      </c>
    </row>
    <row r="2041" spans="1:15">
      <c r="A2041" t="str">
        <f t="shared" si="31"/>
        <v/>
      </c>
    </row>
    <row r="2042" spans="1:15">
      <c r="A2042" t="str">
        <f t="shared" si="31"/>
        <v/>
      </c>
    </row>
    <row r="2043" spans="1:15">
      <c r="A2043" t="str">
        <f t="shared" si="31"/>
        <v/>
      </c>
    </row>
    <row r="2044" spans="1:15">
      <c r="A2044" t="str">
        <f t="shared" si="31"/>
        <v/>
      </c>
    </row>
    <row r="2045" spans="1:15">
      <c r="A2045" t="str">
        <f t="shared" si="31"/>
        <v/>
      </c>
    </row>
    <row r="2046" spans="1:15">
      <c r="A2046" t="str">
        <f t="shared" si="31"/>
        <v/>
      </c>
    </row>
    <row r="2047" spans="1:15">
      <c r="A2047" t="str">
        <f t="shared" si="31"/>
        <v/>
      </c>
    </row>
    <row r="2048" spans="1:15">
      <c r="A2048" t="str">
        <f t="shared" si="31"/>
        <v/>
      </c>
    </row>
    <row r="2049" spans="1:15">
      <c r="A2049" t="str">
        <f t="shared" si="31"/>
        <v/>
      </c>
    </row>
    <row r="2050" spans="1:15">
      <c r="A2050" t="str">
        <f t="shared" si="31"/>
        <v/>
      </c>
    </row>
    <row r="2051" spans="1:15">
      <c r="A2051" t="str">
        <f t="shared" si="31"/>
        <v/>
      </c>
    </row>
    <row r="2052" spans="1:15">
      <c r="A2052" t="str">
        <f t="shared" si="31"/>
        <v/>
      </c>
      <c r="D2052" s="4"/>
      <c r="E2052" s="4"/>
      <c r="F2052" s="4"/>
      <c r="G2052" s="4"/>
      <c r="H2052" s="4"/>
      <c r="I2052" s="4"/>
      <c r="J2052" s="4"/>
      <c r="K2052" s="4"/>
      <c r="L2052" s="4"/>
      <c r="M2052" s="4"/>
      <c r="N2052" s="4"/>
      <c r="O2052" s="4"/>
    </row>
    <row r="2053" spans="1:15">
      <c r="A2053" t="str">
        <f t="shared" si="31"/>
        <v/>
      </c>
    </row>
    <row r="2054" spans="1:15">
      <c r="A2054" t="str">
        <f t="shared" si="31"/>
        <v/>
      </c>
    </row>
    <row r="2055" spans="1:15">
      <c r="A2055" t="str">
        <f t="shared" si="31"/>
        <v/>
      </c>
    </row>
    <row r="2056" spans="1:15">
      <c r="A2056" t="str">
        <f t="shared" si="31"/>
        <v/>
      </c>
    </row>
    <row r="2057" spans="1:15">
      <c r="A2057" t="str">
        <f t="shared" si="31"/>
        <v/>
      </c>
    </row>
    <row r="2058" spans="1:15">
      <c r="A2058" t="str">
        <f t="shared" si="31"/>
        <v/>
      </c>
    </row>
    <row r="2059" spans="1:15">
      <c r="A2059" t="str">
        <f t="shared" si="31"/>
        <v/>
      </c>
    </row>
    <row r="2060" spans="1:15">
      <c r="A2060" t="str">
        <f t="shared" si="31"/>
        <v/>
      </c>
    </row>
    <row r="2061" spans="1:15">
      <c r="A2061" t="str">
        <f t="shared" si="31"/>
        <v/>
      </c>
      <c r="D2061" s="5"/>
      <c r="E2061" s="5"/>
      <c r="F2061" s="5"/>
      <c r="G2061" s="5"/>
      <c r="H2061" s="5"/>
      <c r="I2061" s="5"/>
      <c r="J2061" s="5"/>
      <c r="K2061" s="5"/>
      <c r="L2061" s="5"/>
      <c r="M2061" s="5"/>
      <c r="N2061" s="5"/>
      <c r="O2061" s="5"/>
    </row>
    <row r="2062" spans="1:15">
      <c r="A2062" t="str">
        <f t="shared" si="31"/>
        <v/>
      </c>
      <c r="D2062" s="5"/>
      <c r="E2062" s="5"/>
      <c r="F2062" s="5"/>
      <c r="G2062" s="5"/>
      <c r="H2062" s="5"/>
      <c r="I2062" s="5"/>
      <c r="J2062" s="5"/>
      <c r="K2062" s="5"/>
      <c r="L2062" s="5"/>
      <c r="M2062" s="5"/>
      <c r="N2062" s="5"/>
      <c r="O2062" s="5"/>
    </row>
    <row r="2063" spans="1:15">
      <c r="A2063" t="str">
        <f t="shared" si="31"/>
        <v/>
      </c>
    </row>
    <row r="2064" spans="1:15">
      <c r="A2064" t="str">
        <f t="shared" si="31"/>
        <v/>
      </c>
    </row>
    <row r="2065" spans="1:15">
      <c r="A2065" t="str">
        <f t="shared" si="31"/>
        <v/>
      </c>
    </row>
    <row r="2066" spans="1:15">
      <c r="A2066" t="str">
        <f t="shared" si="31"/>
        <v/>
      </c>
    </row>
    <row r="2067" spans="1:15">
      <c r="A2067" t="str">
        <f t="shared" si="31"/>
        <v/>
      </c>
    </row>
    <row r="2068" spans="1:15">
      <c r="A2068" t="str">
        <f t="shared" si="31"/>
        <v/>
      </c>
    </row>
    <row r="2069" spans="1:15">
      <c r="A2069" t="str">
        <f t="shared" si="31"/>
        <v/>
      </c>
    </row>
    <row r="2070" spans="1:15">
      <c r="A2070" t="str">
        <f t="shared" si="31"/>
        <v/>
      </c>
    </row>
    <row r="2071" spans="1:15">
      <c r="A2071" t="str">
        <f t="shared" si="31"/>
        <v/>
      </c>
    </row>
    <row r="2072" spans="1:15">
      <c r="A2072" t="str">
        <f t="shared" si="31"/>
        <v/>
      </c>
    </row>
    <row r="2073" spans="1:15">
      <c r="A2073" t="str">
        <f t="shared" si="31"/>
        <v/>
      </c>
      <c r="D2073" s="1"/>
      <c r="E2073" s="1"/>
      <c r="F2073" s="1"/>
      <c r="G2073" s="1"/>
      <c r="H2073" s="1"/>
      <c r="I2073" s="1"/>
      <c r="J2073" s="1"/>
      <c r="K2073" s="1"/>
      <c r="L2073" s="1"/>
      <c r="M2073" s="1"/>
      <c r="N2073" s="1"/>
      <c r="O2073" s="1"/>
    </row>
    <row r="2074" spans="1:15">
      <c r="A2074" t="str">
        <f t="shared" si="31"/>
        <v/>
      </c>
      <c r="D2074" s="5"/>
      <c r="E2074" s="5"/>
      <c r="F2074" s="5"/>
      <c r="G2074" s="5"/>
      <c r="H2074" s="5"/>
      <c r="I2074" s="5"/>
      <c r="J2074" s="5"/>
      <c r="K2074" s="5"/>
      <c r="L2074" s="5"/>
      <c r="M2074" s="5"/>
      <c r="N2074" s="5"/>
      <c r="O2074" s="5"/>
    </row>
    <row r="2075" spans="1:15">
      <c r="A2075" t="str">
        <f t="shared" si="31"/>
        <v/>
      </c>
      <c r="D2075" s="5"/>
      <c r="E2075" s="5"/>
      <c r="F2075" s="5"/>
      <c r="G2075" s="5"/>
      <c r="H2075" s="5"/>
      <c r="I2075" s="5"/>
      <c r="J2075" s="5"/>
      <c r="K2075" s="5"/>
      <c r="L2075" s="5"/>
      <c r="M2075" s="5"/>
      <c r="N2075" s="5"/>
      <c r="O2075" s="5"/>
    </row>
    <row r="2076" spans="1:15">
      <c r="A2076" t="str">
        <f t="shared" si="31"/>
        <v/>
      </c>
      <c r="D2076" s="5"/>
      <c r="E2076" s="5"/>
      <c r="F2076" s="5"/>
      <c r="G2076" s="5"/>
      <c r="H2076" s="5"/>
      <c r="I2076" s="5"/>
      <c r="J2076" s="5"/>
      <c r="K2076" s="5"/>
      <c r="L2076" s="5"/>
      <c r="M2076" s="5"/>
      <c r="N2076" s="5"/>
      <c r="O2076" s="5"/>
    </row>
    <row r="2077" spans="1:15">
      <c r="A2077" t="str">
        <f t="shared" si="31"/>
        <v/>
      </c>
      <c r="D2077" s="5"/>
      <c r="E2077" s="5"/>
      <c r="F2077" s="5"/>
      <c r="G2077" s="5"/>
      <c r="H2077" s="5"/>
      <c r="I2077" s="5"/>
      <c r="J2077" s="5"/>
      <c r="K2077" s="5"/>
      <c r="L2077" s="5"/>
      <c r="M2077" s="5"/>
      <c r="N2077" s="5"/>
      <c r="O2077" s="5"/>
    </row>
    <row r="2078" spans="1:15">
      <c r="A2078" t="str">
        <f t="shared" si="31"/>
        <v/>
      </c>
      <c r="D2078" s="5"/>
      <c r="E2078" s="5"/>
      <c r="F2078" s="5"/>
      <c r="G2078" s="5"/>
      <c r="H2078" s="5"/>
      <c r="I2078" s="5"/>
      <c r="J2078" s="5"/>
      <c r="K2078" s="5"/>
      <c r="L2078" s="5"/>
      <c r="M2078" s="5"/>
      <c r="N2078" s="5"/>
      <c r="O2078" s="5"/>
    </row>
    <row r="2079" spans="1:15">
      <c r="A2079" t="str">
        <f t="shared" si="31"/>
        <v/>
      </c>
      <c r="D2079" s="5"/>
      <c r="E2079" s="5"/>
      <c r="F2079" s="5"/>
      <c r="G2079" s="5"/>
      <c r="H2079" s="5"/>
      <c r="I2079" s="5"/>
      <c r="J2079" s="5"/>
      <c r="K2079" s="5"/>
      <c r="L2079" s="5"/>
      <c r="M2079" s="5"/>
      <c r="N2079" s="5"/>
      <c r="O2079" s="5"/>
    </row>
    <row r="2080" spans="1:15">
      <c r="A2080" t="str">
        <f t="shared" si="31"/>
        <v/>
      </c>
      <c r="D2080" s="5"/>
      <c r="E2080" s="5"/>
      <c r="F2080" s="5"/>
      <c r="G2080" s="5"/>
      <c r="H2080" s="5"/>
      <c r="I2080" s="5"/>
      <c r="J2080" s="5"/>
      <c r="K2080" s="5"/>
      <c r="L2080" s="5"/>
      <c r="M2080" s="5"/>
      <c r="N2080" s="5"/>
      <c r="O2080" s="5"/>
    </row>
    <row r="2081" spans="1:15">
      <c r="A2081" t="str">
        <f t="shared" si="31"/>
        <v/>
      </c>
      <c r="D2081" s="5"/>
      <c r="E2081" s="5"/>
      <c r="F2081" s="5"/>
      <c r="G2081" s="5"/>
      <c r="H2081" s="5"/>
      <c r="I2081" s="5"/>
      <c r="J2081" s="5"/>
      <c r="K2081" s="5"/>
      <c r="L2081" s="5"/>
      <c r="M2081" s="5"/>
      <c r="N2081" s="5"/>
      <c r="O2081" s="5"/>
    </row>
    <row r="2082" spans="1:15">
      <c r="A2082" t="str">
        <f t="shared" si="31"/>
        <v/>
      </c>
      <c r="D2082" s="5"/>
      <c r="E2082" s="5"/>
      <c r="F2082" s="5"/>
      <c r="G2082" s="5"/>
      <c r="H2082" s="5"/>
      <c r="I2082" s="5"/>
      <c r="J2082" s="5"/>
      <c r="K2082" s="5"/>
      <c r="L2082" s="5"/>
      <c r="M2082" s="5"/>
      <c r="N2082" s="5"/>
      <c r="O2082" s="5"/>
    </row>
    <row r="2083" spans="1:15">
      <c r="A2083" t="str">
        <f t="shared" si="31"/>
        <v/>
      </c>
    </row>
    <row r="2084" spans="1:15">
      <c r="A2084" t="str">
        <f t="shared" si="31"/>
        <v/>
      </c>
      <c r="D2084" s="5"/>
      <c r="E2084" s="5"/>
      <c r="F2084" s="5"/>
      <c r="G2084" s="5"/>
      <c r="H2084" s="5"/>
      <c r="I2084" s="5"/>
      <c r="J2084" s="5"/>
      <c r="K2084" s="5"/>
      <c r="L2084" s="5"/>
      <c r="M2084" s="5"/>
      <c r="N2084" s="5"/>
      <c r="O2084" s="5"/>
    </row>
    <row r="2085" spans="1:15">
      <c r="A2085" t="str">
        <f t="shared" si="31"/>
        <v/>
      </c>
      <c r="D2085" s="5"/>
      <c r="E2085" s="5"/>
      <c r="F2085" s="5"/>
      <c r="G2085" s="5"/>
      <c r="H2085" s="5"/>
      <c r="I2085" s="5"/>
      <c r="J2085" s="5"/>
      <c r="K2085" s="5"/>
      <c r="L2085" s="5"/>
      <c r="M2085" s="5"/>
      <c r="N2085" s="5"/>
      <c r="O2085" s="5"/>
    </row>
    <row r="2086" spans="1:15">
      <c r="A2086" t="str">
        <f t="shared" si="31"/>
        <v/>
      </c>
      <c r="D2086" s="5"/>
      <c r="E2086" s="5"/>
      <c r="F2086" s="5"/>
      <c r="G2086" s="5"/>
      <c r="H2086" s="5"/>
      <c r="I2086" s="5"/>
      <c r="J2086" s="5"/>
      <c r="K2086" s="5"/>
      <c r="L2086" s="5"/>
      <c r="M2086" s="5"/>
      <c r="N2086" s="5"/>
      <c r="O2086" s="5"/>
    </row>
    <row r="2087" spans="1:15">
      <c r="A2087" t="str">
        <f t="shared" si="31"/>
        <v/>
      </c>
      <c r="D2087" s="5"/>
      <c r="E2087" s="5"/>
      <c r="F2087" s="5"/>
      <c r="G2087" s="5"/>
      <c r="H2087" s="5"/>
      <c r="I2087" s="5"/>
      <c r="J2087" s="5"/>
      <c r="K2087" s="5"/>
      <c r="L2087" s="5"/>
      <c r="M2087" s="5"/>
      <c r="N2087" s="5"/>
      <c r="O2087" s="5"/>
    </row>
    <row r="2088" spans="1:15">
      <c r="A2088" t="str">
        <f t="shared" si="31"/>
        <v/>
      </c>
      <c r="D2088" s="5"/>
      <c r="E2088" s="5"/>
      <c r="F2088" s="5"/>
      <c r="G2088" s="5"/>
      <c r="H2088" s="5"/>
      <c r="I2088" s="5"/>
      <c r="J2088" s="5"/>
      <c r="K2088" s="5"/>
      <c r="L2088" s="5"/>
      <c r="M2088" s="5"/>
      <c r="N2088" s="5"/>
      <c r="O2088" s="5"/>
    </row>
    <row r="2089" spans="1:15">
      <c r="A2089" t="str">
        <f t="shared" si="31"/>
        <v/>
      </c>
      <c r="D2089" s="5"/>
      <c r="E2089" s="5"/>
      <c r="F2089" s="5"/>
      <c r="G2089" s="5"/>
      <c r="H2089" s="5"/>
      <c r="I2089" s="5"/>
      <c r="J2089" s="5"/>
      <c r="K2089" s="5"/>
      <c r="L2089" s="5"/>
      <c r="M2089" s="5"/>
      <c r="N2089" s="5"/>
      <c r="O2089" s="5"/>
    </row>
    <row r="2090" spans="1:15">
      <c r="A2090" t="str">
        <f t="shared" si="31"/>
        <v/>
      </c>
      <c r="D2090" s="5"/>
      <c r="E2090" s="5"/>
      <c r="F2090" s="5"/>
      <c r="G2090" s="5"/>
      <c r="H2090" s="5"/>
      <c r="I2090" s="5"/>
      <c r="J2090" s="5"/>
      <c r="K2090" s="5"/>
      <c r="L2090" s="5"/>
      <c r="M2090" s="5"/>
      <c r="N2090" s="5"/>
      <c r="O2090" s="5"/>
    </row>
    <row r="2091" spans="1:15">
      <c r="A2091" t="str">
        <f t="shared" si="31"/>
        <v/>
      </c>
    </row>
    <row r="2092" spans="1:15">
      <c r="A2092" t="str">
        <f t="shared" si="31"/>
        <v/>
      </c>
    </row>
    <row r="2093" spans="1:15">
      <c r="A2093" t="str">
        <f t="shared" si="31"/>
        <v/>
      </c>
    </row>
    <row r="2094" spans="1:15">
      <c r="A2094" t="str">
        <f t="shared" si="31"/>
        <v/>
      </c>
    </row>
    <row r="2095" spans="1:15">
      <c r="A2095" t="str">
        <f t="shared" si="31"/>
        <v/>
      </c>
    </row>
    <row r="2096" spans="1:15">
      <c r="A2096" t="str">
        <f t="shared" si="31"/>
        <v/>
      </c>
    </row>
    <row r="2097" spans="1:15">
      <c r="A2097" t="str">
        <f t="shared" si="31"/>
        <v/>
      </c>
    </row>
    <row r="2098" spans="1:15">
      <c r="A2098" t="str">
        <f t="shared" si="31"/>
        <v/>
      </c>
    </row>
    <row r="2099" spans="1:15">
      <c r="A2099" t="str">
        <f t="shared" si="31"/>
        <v/>
      </c>
    </row>
    <row r="2100" spans="1:15">
      <c r="A2100" t="str">
        <f t="shared" si="31"/>
        <v/>
      </c>
    </row>
    <row r="2101" spans="1:15">
      <c r="A2101" t="str">
        <f t="shared" si="31"/>
        <v/>
      </c>
    </row>
    <row r="2102" spans="1:15">
      <c r="A2102" t="str">
        <f t="shared" ref="A2102:A2158" si="32">B2102&amp;C2102</f>
        <v/>
      </c>
    </row>
    <row r="2103" spans="1:15">
      <c r="A2103" t="str">
        <f t="shared" si="32"/>
        <v/>
      </c>
    </row>
    <row r="2104" spans="1:15">
      <c r="A2104" t="str">
        <f t="shared" si="32"/>
        <v/>
      </c>
    </row>
    <row r="2105" spans="1:15">
      <c r="A2105" t="str">
        <f t="shared" si="32"/>
        <v/>
      </c>
    </row>
    <row r="2106" spans="1:15">
      <c r="A2106" t="str">
        <f t="shared" si="32"/>
        <v/>
      </c>
      <c r="D2106" s="4"/>
      <c r="E2106" s="4"/>
      <c r="F2106" s="4"/>
      <c r="G2106" s="4"/>
      <c r="H2106" s="4"/>
      <c r="I2106" s="4"/>
      <c r="J2106" s="4"/>
      <c r="K2106" s="4"/>
      <c r="L2106" s="4"/>
      <c r="M2106" s="4"/>
      <c r="N2106" s="4"/>
      <c r="O2106" s="4"/>
    </row>
    <row r="2107" spans="1:15">
      <c r="A2107" t="str">
        <f t="shared" si="32"/>
        <v/>
      </c>
    </row>
    <row r="2108" spans="1:15">
      <c r="A2108" t="str">
        <f t="shared" si="32"/>
        <v/>
      </c>
    </row>
    <row r="2109" spans="1:15">
      <c r="A2109" t="str">
        <f t="shared" si="32"/>
        <v/>
      </c>
    </row>
    <row r="2110" spans="1:15">
      <c r="A2110" t="str">
        <f t="shared" si="32"/>
        <v/>
      </c>
    </row>
    <row r="2111" spans="1:15">
      <c r="A2111" t="str">
        <f t="shared" si="32"/>
        <v/>
      </c>
    </row>
    <row r="2112" spans="1:15">
      <c r="A2112" t="str">
        <f t="shared" si="32"/>
        <v/>
      </c>
    </row>
    <row r="2113" spans="1:15">
      <c r="A2113" t="str">
        <f t="shared" si="32"/>
        <v/>
      </c>
    </row>
    <row r="2114" spans="1:15">
      <c r="A2114" t="str">
        <f t="shared" si="32"/>
        <v/>
      </c>
    </row>
    <row r="2115" spans="1:15">
      <c r="A2115" t="str">
        <f t="shared" si="32"/>
        <v/>
      </c>
      <c r="D2115" s="5"/>
      <c r="E2115" s="5"/>
      <c r="F2115" s="5"/>
      <c r="G2115" s="5"/>
      <c r="H2115" s="5"/>
      <c r="I2115" s="5"/>
      <c r="J2115" s="5"/>
      <c r="K2115" s="5"/>
      <c r="L2115" s="5"/>
      <c r="M2115" s="5"/>
      <c r="N2115" s="5"/>
      <c r="O2115" s="5"/>
    </row>
    <row r="2116" spans="1:15">
      <c r="A2116" t="str">
        <f t="shared" si="32"/>
        <v/>
      </c>
      <c r="D2116" s="5"/>
      <c r="E2116" s="5"/>
      <c r="F2116" s="5"/>
      <c r="G2116" s="5"/>
      <c r="H2116" s="5"/>
      <c r="I2116" s="5"/>
      <c r="J2116" s="5"/>
      <c r="K2116" s="5"/>
      <c r="L2116" s="5"/>
      <c r="M2116" s="5"/>
      <c r="N2116" s="5"/>
      <c r="O2116" s="5"/>
    </row>
    <row r="2117" spans="1:15">
      <c r="A2117" t="str">
        <f t="shared" si="32"/>
        <v/>
      </c>
    </row>
    <row r="2118" spans="1:15">
      <c r="A2118" t="str">
        <f t="shared" si="32"/>
        <v/>
      </c>
    </row>
    <row r="2119" spans="1:15">
      <c r="A2119" t="str">
        <f t="shared" si="32"/>
        <v/>
      </c>
    </row>
    <row r="2120" spans="1:15">
      <c r="A2120" t="str">
        <f t="shared" si="32"/>
        <v/>
      </c>
    </row>
    <row r="2121" spans="1:15">
      <c r="A2121" t="str">
        <f t="shared" si="32"/>
        <v/>
      </c>
    </row>
    <row r="2122" spans="1:15">
      <c r="A2122" t="str">
        <f t="shared" si="32"/>
        <v/>
      </c>
    </row>
    <row r="2123" spans="1:15">
      <c r="A2123" t="str">
        <f t="shared" si="32"/>
        <v/>
      </c>
    </row>
    <row r="2124" spans="1:15">
      <c r="A2124" t="str">
        <f t="shared" si="32"/>
        <v/>
      </c>
    </row>
    <row r="2125" spans="1:15">
      <c r="A2125" t="str">
        <f t="shared" si="32"/>
        <v/>
      </c>
    </row>
    <row r="2126" spans="1:15">
      <c r="A2126" t="str">
        <f t="shared" si="32"/>
        <v/>
      </c>
    </row>
    <row r="2127" spans="1:15">
      <c r="A2127" t="str">
        <f t="shared" si="32"/>
        <v/>
      </c>
      <c r="D2127" s="1"/>
      <c r="E2127" s="1"/>
      <c r="F2127" s="1"/>
      <c r="G2127" s="1"/>
      <c r="H2127" s="1"/>
      <c r="I2127" s="1"/>
      <c r="J2127" s="1"/>
      <c r="K2127" s="1"/>
      <c r="L2127" s="1"/>
      <c r="M2127" s="1"/>
      <c r="N2127" s="1"/>
      <c r="O2127" s="1"/>
    </row>
    <row r="2128" spans="1:15">
      <c r="A2128" t="str">
        <f t="shared" si="32"/>
        <v/>
      </c>
      <c r="D2128" s="5"/>
      <c r="E2128" s="5"/>
      <c r="F2128" s="5"/>
      <c r="G2128" s="5"/>
      <c r="H2128" s="5"/>
      <c r="I2128" s="5"/>
      <c r="J2128" s="5"/>
      <c r="K2128" s="5"/>
      <c r="L2128" s="5"/>
      <c r="M2128" s="5"/>
      <c r="N2128" s="5"/>
      <c r="O2128" s="5"/>
    </row>
    <row r="2129" spans="1:15">
      <c r="A2129" t="str">
        <f t="shared" si="32"/>
        <v/>
      </c>
      <c r="D2129" s="5"/>
      <c r="E2129" s="5"/>
      <c r="F2129" s="5"/>
      <c r="G2129" s="5"/>
      <c r="H2129" s="5"/>
      <c r="I2129" s="5"/>
      <c r="J2129" s="5"/>
      <c r="K2129" s="5"/>
      <c r="L2129" s="5"/>
      <c r="M2129" s="5"/>
      <c r="N2129" s="5"/>
      <c r="O2129" s="5"/>
    </row>
    <row r="2130" spans="1:15">
      <c r="A2130" t="str">
        <f t="shared" si="32"/>
        <v/>
      </c>
      <c r="D2130" s="5"/>
      <c r="E2130" s="5"/>
      <c r="F2130" s="5"/>
      <c r="G2130" s="5"/>
      <c r="H2130" s="5"/>
      <c r="I2130" s="5"/>
      <c r="J2130" s="5"/>
      <c r="K2130" s="5"/>
      <c r="L2130" s="5"/>
      <c r="M2130" s="5"/>
      <c r="N2130" s="5"/>
      <c r="O2130" s="5"/>
    </row>
    <row r="2131" spans="1:15">
      <c r="A2131" t="str">
        <f t="shared" si="32"/>
        <v/>
      </c>
      <c r="D2131" s="5"/>
      <c r="E2131" s="5"/>
      <c r="F2131" s="5"/>
      <c r="G2131" s="5"/>
      <c r="H2131" s="5"/>
      <c r="I2131" s="5"/>
      <c r="J2131" s="5"/>
      <c r="K2131" s="5"/>
      <c r="L2131" s="5"/>
      <c r="M2131" s="5"/>
      <c r="N2131" s="5"/>
      <c r="O2131" s="5"/>
    </row>
    <row r="2132" spans="1:15">
      <c r="A2132" t="str">
        <f t="shared" si="32"/>
        <v/>
      </c>
      <c r="D2132" s="5"/>
      <c r="E2132" s="5"/>
      <c r="F2132" s="5"/>
      <c r="G2132" s="5"/>
      <c r="H2132" s="5"/>
      <c r="I2132" s="5"/>
      <c r="J2132" s="5"/>
      <c r="K2132" s="5"/>
      <c r="L2132" s="5"/>
      <c r="M2132" s="5"/>
      <c r="N2132" s="5"/>
      <c r="O2132" s="5"/>
    </row>
    <row r="2133" spans="1:15">
      <c r="A2133" t="str">
        <f t="shared" si="32"/>
        <v/>
      </c>
      <c r="D2133" s="5"/>
      <c r="E2133" s="5"/>
      <c r="F2133" s="5"/>
      <c r="G2133" s="5"/>
      <c r="H2133" s="5"/>
      <c r="I2133" s="5"/>
      <c r="J2133" s="5"/>
      <c r="K2133" s="5"/>
      <c r="L2133" s="5"/>
      <c r="M2133" s="5"/>
      <c r="N2133" s="5"/>
      <c r="O2133" s="5"/>
    </row>
    <row r="2134" spans="1:15">
      <c r="A2134" t="str">
        <f t="shared" si="32"/>
        <v/>
      </c>
      <c r="D2134" s="5"/>
      <c r="E2134" s="5"/>
      <c r="F2134" s="5"/>
      <c r="G2134" s="5"/>
      <c r="H2134" s="5"/>
      <c r="I2134" s="5"/>
      <c r="J2134" s="5"/>
      <c r="K2134" s="5"/>
      <c r="L2134" s="5"/>
      <c r="M2134" s="5"/>
      <c r="N2134" s="5"/>
      <c r="O2134" s="5"/>
    </row>
    <row r="2135" spans="1:15">
      <c r="A2135" t="str">
        <f t="shared" si="32"/>
        <v/>
      </c>
      <c r="D2135" s="5"/>
      <c r="E2135" s="5"/>
      <c r="F2135" s="5"/>
      <c r="G2135" s="5"/>
      <c r="H2135" s="5"/>
      <c r="I2135" s="5"/>
      <c r="J2135" s="5"/>
      <c r="K2135" s="5"/>
      <c r="L2135" s="5"/>
      <c r="M2135" s="5"/>
      <c r="N2135" s="5"/>
      <c r="O2135" s="5"/>
    </row>
    <row r="2136" spans="1:15">
      <c r="A2136" t="str">
        <f t="shared" si="32"/>
        <v/>
      </c>
      <c r="D2136" s="5"/>
      <c r="E2136" s="5"/>
      <c r="F2136" s="5"/>
      <c r="G2136" s="5"/>
      <c r="H2136" s="5"/>
      <c r="I2136" s="5"/>
      <c r="J2136" s="5"/>
      <c r="K2136" s="5"/>
      <c r="L2136" s="5"/>
      <c r="M2136" s="5"/>
      <c r="N2136" s="5"/>
      <c r="O2136" s="5"/>
    </row>
    <row r="2137" spans="1:15">
      <c r="A2137" t="str">
        <f t="shared" si="32"/>
        <v/>
      </c>
    </row>
    <row r="2138" spans="1:15">
      <c r="A2138" t="str">
        <f t="shared" si="32"/>
        <v/>
      </c>
      <c r="D2138" s="5"/>
      <c r="E2138" s="5"/>
      <c r="F2138" s="5"/>
      <c r="G2138" s="5"/>
      <c r="H2138" s="5"/>
      <c r="I2138" s="5"/>
      <c r="J2138" s="5"/>
      <c r="K2138" s="5"/>
      <c r="L2138" s="5"/>
      <c r="M2138" s="5"/>
      <c r="N2138" s="5"/>
      <c r="O2138" s="5"/>
    </row>
    <row r="2139" spans="1:15">
      <c r="A2139" t="str">
        <f t="shared" si="32"/>
        <v/>
      </c>
      <c r="D2139" s="5"/>
      <c r="E2139" s="5"/>
      <c r="F2139" s="5"/>
      <c r="G2139" s="5"/>
      <c r="H2139" s="5"/>
      <c r="I2139" s="5"/>
      <c r="J2139" s="5"/>
      <c r="K2139" s="5"/>
      <c r="L2139" s="5"/>
      <c r="M2139" s="5"/>
      <c r="N2139" s="5"/>
      <c r="O2139" s="5"/>
    </row>
    <row r="2140" spans="1:15">
      <c r="A2140" t="str">
        <f t="shared" si="32"/>
        <v/>
      </c>
      <c r="D2140" s="5"/>
      <c r="E2140" s="5"/>
      <c r="F2140" s="5"/>
      <c r="G2140" s="5"/>
      <c r="H2140" s="5"/>
      <c r="I2140" s="5"/>
      <c r="J2140" s="5"/>
      <c r="K2140" s="5"/>
      <c r="L2140" s="5"/>
      <c r="M2140" s="5"/>
      <c r="N2140" s="5"/>
      <c r="O2140" s="5"/>
    </row>
    <row r="2141" spans="1:15">
      <c r="A2141" t="str">
        <f t="shared" si="32"/>
        <v/>
      </c>
      <c r="D2141" s="5"/>
      <c r="E2141" s="5"/>
      <c r="F2141" s="5"/>
      <c r="G2141" s="5"/>
      <c r="H2141" s="5"/>
      <c r="I2141" s="5"/>
      <c r="J2141" s="5"/>
      <c r="K2141" s="5"/>
      <c r="L2141" s="5"/>
      <c r="M2141" s="5"/>
      <c r="N2141" s="5"/>
      <c r="O2141" s="5"/>
    </row>
    <row r="2142" spans="1:15">
      <c r="A2142" t="str">
        <f t="shared" si="32"/>
        <v/>
      </c>
      <c r="D2142" s="5"/>
      <c r="E2142" s="5"/>
      <c r="F2142" s="5"/>
      <c r="G2142" s="5"/>
      <c r="H2142" s="5"/>
      <c r="I2142" s="5"/>
      <c r="J2142" s="5"/>
      <c r="K2142" s="5"/>
      <c r="L2142" s="5"/>
      <c r="M2142" s="5"/>
      <c r="N2142" s="5"/>
      <c r="O2142" s="5"/>
    </row>
    <row r="2143" spans="1:15">
      <c r="A2143" t="str">
        <f t="shared" si="32"/>
        <v/>
      </c>
      <c r="D2143" s="5"/>
      <c r="E2143" s="5"/>
      <c r="F2143" s="5"/>
      <c r="G2143" s="5"/>
      <c r="H2143" s="5"/>
      <c r="I2143" s="5"/>
      <c r="J2143" s="5"/>
      <c r="K2143" s="5"/>
      <c r="L2143" s="5"/>
      <c r="M2143" s="5"/>
      <c r="N2143" s="5"/>
      <c r="O2143" s="5"/>
    </row>
    <row r="2144" spans="1:15">
      <c r="A2144" t="str">
        <f t="shared" si="32"/>
        <v/>
      </c>
      <c r="D2144" s="5"/>
      <c r="E2144" s="5"/>
      <c r="F2144" s="5"/>
      <c r="G2144" s="5"/>
      <c r="H2144" s="5"/>
      <c r="I2144" s="5"/>
      <c r="J2144" s="5"/>
      <c r="K2144" s="5"/>
      <c r="L2144" s="5"/>
      <c r="M2144" s="5"/>
      <c r="N2144" s="5"/>
      <c r="O2144" s="5"/>
    </row>
    <row r="2145" spans="1:2">
      <c r="A2145" t="str">
        <f t="shared" si="32"/>
        <v/>
      </c>
    </row>
    <row r="2146" spans="1:2">
      <c r="A2146" t="str">
        <f t="shared" si="32"/>
        <v/>
      </c>
    </row>
    <row r="2147" spans="1:2">
      <c r="A2147" t="str">
        <f t="shared" si="32"/>
        <v/>
      </c>
    </row>
    <row r="2148" spans="1:2">
      <c r="A2148" t="str">
        <f t="shared" si="32"/>
        <v/>
      </c>
    </row>
    <row r="2149" spans="1:2">
      <c r="A2149" t="str">
        <f t="shared" si="32"/>
        <v/>
      </c>
    </row>
    <row r="2150" spans="1:2">
      <c r="A2150" t="str">
        <f t="shared" si="32"/>
        <v/>
      </c>
    </row>
    <row r="2151" spans="1:2">
      <c r="A2151" t="str">
        <f t="shared" si="32"/>
        <v/>
      </c>
    </row>
    <row r="2152" spans="1:2">
      <c r="A2152" t="str">
        <f t="shared" si="32"/>
        <v/>
      </c>
    </row>
    <row r="2153" spans="1:2">
      <c r="A2153" t="str">
        <f t="shared" si="32"/>
        <v/>
      </c>
    </row>
    <row r="2154" spans="1:2">
      <c r="A2154" t="str">
        <f t="shared" si="32"/>
        <v/>
      </c>
    </row>
    <row r="2155" spans="1:2">
      <c r="A2155" t="str">
        <f t="shared" si="32"/>
        <v/>
      </c>
    </row>
    <row r="2156" spans="1:2" ht="409.6">
      <c r="A2156" t="str">
        <f t="shared" si="32"/>
        <v/>
      </c>
    </row>
    <row r="2157" spans="1:2" ht="15">
      <c r="A2157" t="str">
        <f t="shared" si="32"/>
        <v/>
      </c>
      <c r="B2157" s="301"/>
    </row>
    <row r="2158" spans="1:2" ht="14.4">
      <c r="A2158" t="str">
        <f t="shared" si="32"/>
        <v/>
      </c>
      <c r="B2158" s="306"/>
    </row>
  </sheetData>
  <pageMargins left="0.75" right="0.75" top="1" bottom="1" header="0.5" footer="0.5"/>
  <pageSetup scale="74" fitToHeight="50" orientation="landscape" copies="4" r:id="rId1"/>
  <headerFooter alignWithMargins="0">
    <oddFooter>&amp;L04/07/2008  1:20:00 PM&amp;RPage &amp;P of &amp;N</oddFooter>
  </headerFooter>
  <rowBreaks count="33" manualBreakCount="33">
    <brk id="51" min="2" max="15" man="1"/>
    <brk id="102" min="2" max="15" man="1"/>
    <brk id="199" min="2" max="15" man="1"/>
    <brk id="245" min="2" max="15" man="1"/>
    <brk id="291" min="2" max="15" man="1"/>
    <brk id="337" min="2" max="15" man="1"/>
    <brk id="434" min="2" max="15" man="1"/>
    <brk id="480" min="2" max="15" man="1"/>
    <brk id="526" min="2" max="15" man="1"/>
    <brk id="572" min="2" max="15" man="1"/>
    <brk id="600" min="2" max="15" man="1"/>
    <brk id="646" min="2" max="15" man="1"/>
    <brk id="654" min="2" max="15" man="1"/>
    <brk id="700" min="2" max="15" man="1"/>
    <brk id="723" min="2" max="15" man="1"/>
    <brk id="769" min="2" max="15" man="1"/>
    <brk id="777" min="2" max="15" man="1"/>
    <brk id="874" min="2" max="15" man="1"/>
    <brk id="920" min="2" max="15" man="1"/>
    <brk id="938" min="2" max="15" man="1"/>
    <brk id="984" min="2" max="15" man="1"/>
    <brk id="992" min="2" max="15" man="1"/>
    <brk id="1089" min="2" max="15" man="1"/>
    <brk id="1135" min="2" max="15" man="1"/>
    <brk id="1181" min="2" max="15" man="1"/>
    <brk id="1227" min="2" max="15" man="1"/>
    <brk id="1235" min="2" max="15" man="1"/>
    <brk id="1281" min="2" max="15" man="1"/>
    <brk id="1309" min="2" max="15" man="1"/>
    <brk id="1521" min="2" max="15" man="1"/>
    <brk id="1567" min="2" max="15" man="1"/>
    <brk id="1613" min="2" max="15" man="1"/>
    <brk id="1659" min="2" max="15"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0000"/>
  </sheetPr>
  <dimension ref="A1:V1778"/>
  <sheetViews>
    <sheetView showGridLines="0" zoomScale="75" zoomScaleNormal="75" zoomScaleSheetLayoutView="75" workbookViewId="0">
      <selection activeCell="A2" sqref="A1:A3"/>
    </sheetView>
  </sheetViews>
  <sheetFormatPr defaultRowHeight="13.2"/>
  <cols>
    <col min="1" max="1" width="43.5546875" customWidth="1"/>
    <col min="2" max="2" width="21.88671875" customWidth="1"/>
    <col min="3" max="3" width="15.6640625" customWidth="1"/>
    <col min="4" max="15" width="11.6640625" customWidth="1"/>
    <col min="16" max="16" width="12.6640625" customWidth="1"/>
    <col min="21" max="21" width="12.33203125" bestFit="1" customWidth="1"/>
    <col min="22" max="22" width="11.33203125" bestFit="1" customWidth="1"/>
    <col min="25" max="25" width="9.109375" customWidth="1"/>
  </cols>
  <sheetData>
    <row r="1" spans="1:15" s="8" customFormat="1">
      <c r="A1" s="8" t="s">
        <v>1324</v>
      </c>
    </row>
    <row r="2" spans="1:15" s="8" customFormat="1">
      <c r="A2" s="8" t="s">
        <v>1267</v>
      </c>
    </row>
    <row r="3" spans="1:15" s="8" customFormat="1"/>
    <row r="4" spans="1:15">
      <c r="A4" t="s">
        <v>883</v>
      </c>
      <c r="B4" t="s">
        <v>729</v>
      </c>
    </row>
    <row r="5" spans="1:15">
      <c r="B5" t="s">
        <v>252</v>
      </c>
    </row>
    <row r="6" spans="1:15">
      <c r="B6" t="s">
        <v>251</v>
      </c>
    </row>
    <row r="7" spans="1:15">
      <c r="C7" t="s">
        <v>102</v>
      </c>
    </row>
    <row r="8" spans="1:15">
      <c r="C8" t="s">
        <v>103</v>
      </c>
    </row>
    <row r="9" spans="1:15">
      <c r="C9" t="s">
        <v>104</v>
      </c>
    </row>
    <row r="10" spans="1:15">
      <c r="B10" t="s">
        <v>250</v>
      </c>
    </row>
    <row r="11" spans="1:15">
      <c r="B11" t="s">
        <v>105</v>
      </c>
    </row>
    <row r="12" spans="1:15">
      <c r="B12" t="s">
        <v>106</v>
      </c>
      <c r="D12" s="1">
        <v>41283</v>
      </c>
      <c r="E12" s="1">
        <v>41330</v>
      </c>
      <c r="F12" s="1">
        <v>41337</v>
      </c>
      <c r="G12" s="1">
        <v>41383</v>
      </c>
      <c r="H12" s="1">
        <v>41418</v>
      </c>
      <c r="I12" s="1">
        <v>41443</v>
      </c>
      <c r="J12" s="1">
        <v>41481</v>
      </c>
      <c r="K12" s="1">
        <v>41499</v>
      </c>
      <c r="L12" s="1">
        <v>41523</v>
      </c>
      <c r="M12" s="1">
        <v>41569</v>
      </c>
      <c r="N12" s="1">
        <v>41579</v>
      </c>
      <c r="O12" s="1">
        <v>41631</v>
      </c>
    </row>
    <row r="13" spans="1:15">
      <c r="B13" t="s">
        <v>107</v>
      </c>
      <c r="D13" s="80" t="s">
        <v>249</v>
      </c>
      <c r="E13" s="80" t="s">
        <v>309</v>
      </c>
      <c r="F13" s="80" t="s">
        <v>309</v>
      </c>
      <c r="G13" s="80" t="s">
        <v>308</v>
      </c>
      <c r="H13" s="80" t="s">
        <v>308</v>
      </c>
      <c r="I13" s="80" t="s">
        <v>324</v>
      </c>
      <c r="J13" s="80" t="s">
        <v>308</v>
      </c>
      <c r="K13" s="80" t="s">
        <v>324</v>
      </c>
      <c r="L13" s="80" t="s">
        <v>308</v>
      </c>
      <c r="M13" s="80" t="s">
        <v>324</v>
      </c>
      <c r="N13" s="80" t="s">
        <v>308</v>
      </c>
      <c r="O13" s="80" t="s">
        <v>309</v>
      </c>
    </row>
    <row r="14" spans="1:15">
      <c r="B14" t="s">
        <v>112</v>
      </c>
      <c r="D14" s="2">
        <v>0.79166666666666663</v>
      </c>
      <c r="E14" s="2">
        <v>0.66666666666666663</v>
      </c>
      <c r="F14" s="2">
        <v>0.33333333333333331</v>
      </c>
      <c r="G14" s="2">
        <v>0.70833333333333337</v>
      </c>
      <c r="H14" s="2">
        <v>0.70833333333333337</v>
      </c>
      <c r="I14" s="2">
        <v>0.70833333333333337</v>
      </c>
      <c r="J14" s="2">
        <v>0.66666666666666663</v>
      </c>
      <c r="K14" s="2">
        <v>0.70833333333333337</v>
      </c>
      <c r="L14" s="2">
        <v>0.66666666666666663</v>
      </c>
      <c r="M14" s="2">
        <v>0.70833333333333337</v>
      </c>
      <c r="N14" s="2">
        <v>0.70833333333333337</v>
      </c>
      <c r="O14" s="2">
        <v>0.625</v>
      </c>
    </row>
    <row r="15" spans="1:15">
      <c r="B15" t="s">
        <v>113</v>
      </c>
      <c r="D15" s="145">
        <v>15135</v>
      </c>
      <c r="E15" s="145">
        <v>15627</v>
      </c>
      <c r="F15" s="145">
        <v>15931</v>
      </c>
      <c r="G15" s="145">
        <v>18419</v>
      </c>
      <c r="H15" s="145">
        <v>19579</v>
      </c>
      <c r="I15" s="145">
        <v>21147</v>
      </c>
      <c r="J15" s="145">
        <v>20261</v>
      </c>
      <c r="K15" s="145">
        <v>21576</v>
      </c>
      <c r="L15" s="145">
        <v>20297</v>
      </c>
      <c r="M15" s="145">
        <v>19313</v>
      </c>
      <c r="N15" s="145">
        <v>18028</v>
      </c>
      <c r="O15" s="145">
        <v>16161</v>
      </c>
    </row>
    <row r="21" spans="2:15">
      <c r="B21" t="s">
        <v>114</v>
      </c>
      <c r="D21" s="2">
        <v>0.29791666666666666</v>
      </c>
      <c r="E21" s="2">
        <v>0.28263888888888888</v>
      </c>
      <c r="F21" s="2">
        <v>0.27847222222222223</v>
      </c>
      <c r="G21" s="2">
        <v>0.28750000000000003</v>
      </c>
      <c r="H21" s="2">
        <v>0.27152777777777776</v>
      </c>
      <c r="I21" s="2">
        <v>0.27083333333333331</v>
      </c>
      <c r="J21" s="2">
        <v>0.28055555555555556</v>
      </c>
      <c r="K21" s="2">
        <v>0.28680555555555554</v>
      </c>
      <c r="L21" s="2">
        <v>0.29375000000000001</v>
      </c>
      <c r="M21" s="2">
        <v>0.30763888888888891</v>
      </c>
      <c r="N21" s="2">
        <v>0.31180555555555556</v>
      </c>
      <c r="O21" s="2">
        <v>0.29444444444444445</v>
      </c>
    </row>
    <row r="22" spans="2:15">
      <c r="B22" t="s">
        <v>115</v>
      </c>
      <c r="D22" s="2">
        <v>0.74097222222222225</v>
      </c>
      <c r="E22" s="2">
        <v>0.76388888888888884</v>
      </c>
      <c r="F22" s="2">
        <v>0.76666666666666661</v>
      </c>
      <c r="G22" s="2">
        <v>0.82361111111111107</v>
      </c>
      <c r="H22" s="2">
        <v>0.83611111111111114</v>
      </c>
      <c r="I22" s="2">
        <v>0.84305555555555556</v>
      </c>
      <c r="J22" s="2">
        <v>0.84027777777777779</v>
      </c>
      <c r="K22" s="2">
        <v>0.83194444444444438</v>
      </c>
      <c r="L22" s="2">
        <v>0.81527777777777777</v>
      </c>
      <c r="M22" s="2">
        <v>0.78263888888888899</v>
      </c>
      <c r="N22" s="2">
        <v>0.77708333333333324</v>
      </c>
      <c r="O22" s="2">
        <v>0.73333333333333339</v>
      </c>
    </row>
    <row r="23" spans="2:15">
      <c r="B23" t="s">
        <v>248</v>
      </c>
    </row>
    <row r="27" spans="2:15">
      <c r="B27" s="80" t="s">
        <v>116</v>
      </c>
    </row>
    <row r="28" spans="2:15">
      <c r="C28" t="s">
        <v>582</v>
      </c>
    </row>
    <row r="29" spans="2:15">
      <c r="C29" t="s">
        <v>730</v>
      </c>
    </row>
    <row r="30" spans="2:15">
      <c r="C30" t="s">
        <v>731</v>
      </c>
    </row>
    <row r="31" spans="2:15">
      <c r="C31" t="s">
        <v>732</v>
      </c>
    </row>
    <row r="32" spans="2:15">
      <c r="C32" t="s">
        <v>733</v>
      </c>
    </row>
    <row r="33" spans="2:11">
      <c r="C33" t="s">
        <v>734</v>
      </c>
    </row>
    <row r="34" spans="2:11">
      <c r="C34" t="s">
        <v>735</v>
      </c>
    </row>
    <row r="35" spans="2:11">
      <c r="C35" t="s">
        <v>736</v>
      </c>
    </row>
    <row r="36" spans="2:11">
      <c r="C36" t="s">
        <v>737</v>
      </c>
    </row>
    <row r="37" spans="2:11">
      <c r="C37" t="s">
        <v>738</v>
      </c>
    </row>
    <row r="38" spans="2:11">
      <c r="C38" t="s">
        <v>739</v>
      </c>
    </row>
    <row r="39" spans="2:11">
      <c r="C39" t="s">
        <v>740</v>
      </c>
    </row>
    <row r="40" spans="2:11">
      <c r="C40" t="s">
        <v>741</v>
      </c>
    </row>
    <row r="44" spans="2:11">
      <c r="B44" s="80" t="s">
        <v>595</v>
      </c>
    </row>
    <row r="46" spans="2:11">
      <c r="C46" t="s">
        <v>117</v>
      </c>
      <c r="K46" t="s">
        <v>742</v>
      </c>
    </row>
    <row r="47" spans="2:11">
      <c r="C47" t="s">
        <v>597</v>
      </c>
      <c r="K47" t="s">
        <v>598</v>
      </c>
    </row>
    <row r="48" spans="2:11">
      <c r="C48" t="s">
        <v>118</v>
      </c>
      <c r="K48" t="s">
        <v>599</v>
      </c>
    </row>
    <row r="49" spans="1:15">
      <c r="C49" t="s">
        <v>600</v>
      </c>
      <c r="K49" t="s">
        <v>119</v>
      </c>
    </row>
    <row r="51" spans="1:15">
      <c r="B51" s="3"/>
    </row>
    <row r="52" spans="1:15">
      <c r="A52" t="str">
        <f>B52&amp;C52</f>
        <v xml:space="preserve">BLOUNTSTOWN Wholesale City of Blountstown </v>
      </c>
      <c r="B52" t="s">
        <v>601</v>
      </c>
      <c r="C52" t="s">
        <v>602</v>
      </c>
    </row>
    <row r="53" spans="1:15">
      <c r="A53" t="str">
        <f t="shared" ref="A53:A116" si="0">B53&amp;C53</f>
        <v xml:space="preserve">BLOUNTSTOWNMONTH </v>
      </c>
      <c r="B53" t="s">
        <v>603</v>
      </c>
      <c r="C53" t="s">
        <v>123</v>
      </c>
      <c r="D53" s="4">
        <v>41275</v>
      </c>
      <c r="E53" s="4">
        <v>41306</v>
      </c>
      <c r="F53" s="4">
        <v>41334</v>
      </c>
      <c r="G53" s="4">
        <v>41365</v>
      </c>
      <c r="H53" s="4">
        <v>41395</v>
      </c>
      <c r="I53" s="4">
        <v>41426</v>
      </c>
      <c r="J53" s="4">
        <v>41456</v>
      </c>
      <c r="K53" s="4">
        <v>41487</v>
      </c>
      <c r="L53" s="4">
        <v>41518</v>
      </c>
      <c r="M53" s="4">
        <v>41548</v>
      </c>
      <c r="N53" s="4">
        <v>41579</v>
      </c>
      <c r="O53" s="4">
        <v>41609</v>
      </c>
    </row>
    <row r="54" spans="1:15">
      <c r="A54" t="str">
        <f t="shared" si="0"/>
        <v xml:space="preserve">BLOUNTSTOWNCUSTOMERS </v>
      </c>
      <c r="B54" t="s">
        <v>603</v>
      </c>
      <c r="C54" t="s">
        <v>124</v>
      </c>
      <c r="D54">
        <v>4</v>
      </c>
      <c r="E54">
        <v>4</v>
      </c>
      <c r="F54">
        <v>4</v>
      </c>
      <c r="G54">
        <v>4</v>
      </c>
      <c r="H54">
        <v>4</v>
      </c>
      <c r="I54">
        <v>4</v>
      </c>
      <c r="J54">
        <v>4</v>
      </c>
      <c r="K54">
        <v>4</v>
      </c>
      <c r="L54">
        <v>4</v>
      </c>
      <c r="M54">
        <v>4</v>
      </c>
      <c r="N54">
        <v>4</v>
      </c>
      <c r="O54">
        <v>4</v>
      </c>
    </row>
    <row r="55" spans="1:15">
      <c r="A55" t="str">
        <f t="shared" si="0"/>
        <v xml:space="preserve">BLOUNTSTOWNSALES </v>
      </c>
      <c r="B55" t="s">
        <v>603</v>
      </c>
      <c r="C55" t="s">
        <v>125</v>
      </c>
      <c r="D55">
        <v>61189908</v>
      </c>
      <c r="E55">
        <v>63149555</v>
      </c>
      <c r="F55">
        <v>58105670</v>
      </c>
      <c r="G55">
        <v>60933431</v>
      </c>
      <c r="H55">
        <v>70271983</v>
      </c>
      <c r="I55">
        <v>73381393</v>
      </c>
      <c r="J55">
        <v>81686209</v>
      </c>
      <c r="K55">
        <v>85307849</v>
      </c>
      <c r="L55">
        <v>88503862</v>
      </c>
      <c r="M55">
        <v>78273789</v>
      </c>
      <c r="N55">
        <v>74983627</v>
      </c>
      <c r="O55">
        <v>63486551</v>
      </c>
    </row>
    <row r="56" spans="1:15">
      <c r="A56" t="str">
        <f t="shared" si="0"/>
        <v>BLOUNTSTOWNKW</v>
      </c>
      <c r="B56" t="s">
        <v>603</v>
      </c>
      <c r="C56" t="s">
        <v>126</v>
      </c>
    </row>
    <row r="57" spans="1:15">
      <c r="A57" t="str">
        <f t="shared" si="0"/>
        <v>BLOUNTSTOWNN</v>
      </c>
      <c r="B57" t="s">
        <v>603</v>
      </c>
      <c r="C57" t="s">
        <v>127</v>
      </c>
      <c r="D57">
        <v>1</v>
      </c>
      <c r="E57">
        <v>1</v>
      </c>
      <c r="F57">
        <v>1</v>
      </c>
      <c r="G57">
        <v>1</v>
      </c>
      <c r="H57">
        <v>1</v>
      </c>
      <c r="I57">
        <v>1</v>
      </c>
      <c r="J57">
        <v>1</v>
      </c>
      <c r="K57">
        <v>1</v>
      </c>
      <c r="L57">
        <v>1</v>
      </c>
      <c r="M57">
        <v>1</v>
      </c>
      <c r="N57">
        <v>1</v>
      </c>
      <c r="O57">
        <v>1</v>
      </c>
    </row>
    <row r="58" spans="1:15">
      <c r="A58" t="str">
        <f t="shared" si="0"/>
        <v>BLOUNTSTOWNRLR ENERGY:</v>
      </c>
      <c r="B58" t="s">
        <v>603</v>
      </c>
      <c r="C58" t="s">
        <v>61</v>
      </c>
    </row>
    <row r="59" spans="1:15">
      <c r="A59" t="str">
        <f t="shared" si="0"/>
        <v>BLOUNTSTOWNKWH</v>
      </c>
      <c r="B59" t="s">
        <v>603</v>
      </c>
      <c r="C59" t="s">
        <v>128</v>
      </c>
      <c r="D59">
        <v>2945213</v>
      </c>
      <c r="E59">
        <v>2702863</v>
      </c>
      <c r="F59">
        <v>2949091</v>
      </c>
      <c r="G59">
        <v>2772409</v>
      </c>
      <c r="H59">
        <v>3156020</v>
      </c>
      <c r="I59">
        <v>3746268</v>
      </c>
      <c r="J59">
        <v>3766602</v>
      </c>
      <c r="K59">
        <v>3922942</v>
      </c>
      <c r="L59">
        <v>3620488</v>
      </c>
      <c r="M59">
        <v>2964078</v>
      </c>
      <c r="N59">
        <v>2659422</v>
      </c>
      <c r="O59">
        <v>2936488</v>
      </c>
    </row>
    <row r="60" spans="1:15">
      <c r="A60" t="str">
        <f t="shared" si="0"/>
        <v>BLOUNTSTOWNKWH ONPK</v>
      </c>
      <c r="B60" t="s">
        <v>603</v>
      </c>
      <c r="C60" t="s">
        <v>129</v>
      </c>
      <c r="D60">
        <v>770145</v>
      </c>
      <c r="E60">
        <v>705917</v>
      </c>
      <c r="F60">
        <v>744710</v>
      </c>
      <c r="G60">
        <v>949262</v>
      </c>
      <c r="H60">
        <v>1086106</v>
      </c>
      <c r="I60">
        <v>1213850</v>
      </c>
      <c r="J60">
        <v>1302695</v>
      </c>
      <c r="K60">
        <v>1344991</v>
      </c>
      <c r="L60">
        <v>1189633</v>
      </c>
      <c r="M60">
        <v>1036988</v>
      </c>
      <c r="N60">
        <v>653412</v>
      </c>
      <c r="O60">
        <v>751328</v>
      </c>
    </row>
    <row r="61" spans="1:15">
      <c r="A61" t="str">
        <f t="shared" si="0"/>
        <v>BLOUNTSTOWNKWH OFFPK</v>
      </c>
      <c r="B61" t="s">
        <v>603</v>
      </c>
      <c r="C61" t="s">
        <v>130</v>
      </c>
      <c r="D61">
        <v>2175069</v>
      </c>
      <c r="E61">
        <v>1996946</v>
      </c>
      <c r="F61">
        <v>2204381</v>
      </c>
      <c r="G61">
        <v>1823147</v>
      </c>
      <c r="H61">
        <v>2069914</v>
      </c>
      <c r="I61">
        <v>2532418</v>
      </c>
      <c r="J61">
        <v>2463907</v>
      </c>
      <c r="K61">
        <v>2577950</v>
      </c>
      <c r="L61">
        <v>2430855</v>
      </c>
      <c r="M61">
        <v>1927091</v>
      </c>
      <c r="N61">
        <v>2006010</v>
      </c>
      <c r="O61">
        <v>2185160</v>
      </c>
    </row>
    <row r="62" spans="1:15">
      <c r="A62" t="str">
        <f t="shared" si="0"/>
        <v>BLOUNTSTOWNKWH ONPK%</v>
      </c>
      <c r="B62" t="s">
        <v>603</v>
      </c>
      <c r="C62" t="s">
        <v>131</v>
      </c>
      <c r="D62" s="5">
        <v>0.26149</v>
      </c>
      <c r="E62" s="5">
        <v>0.26117000000000001</v>
      </c>
      <c r="F62" s="5">
        <v>0.25252000000000002</v>
      </c>
      <c r="G62" s="5">
        <v>0.34239999999999998</v>
      </c>
      <c r="H62" s="5">
        <v>0.34414</v>
      </c>
      <c r="I62" s="5">
        <v>0.32401999999999997</v>
      </c>
      <c r="J62" s="5">
        <v>0.34584999999999999</v>
      </c>
      <c r="K62" s="5">
        <v>0.34284999999999999</v>
      </c>
      <c r="L62" s="5">
        <v>0.32857999999999998</v>
      </c>
      <c r="M62" s="5">
        <v>0.34984999999999999</v>
      </c>
      <c r="N62" s="5">
        <v>0.2457</v>
      </c>
      <c r="O62" s="5">
        <v>0.25585999999999998</v>
      </c>
    </row>
    <row r="63" spans="1:15">
      <c r="A63" t="str">
        <f t="shared" si="0"/>
        <v>BLOUNTSTOWNKWH OFFPK%</v>
      </c>
      <c r="B63" t="s">
        <v>603</v>
      </c>
      <c r="C63" t="s">
        <v>132</v>
      </c>
      <c r="D63" s="5">
        <v>0.73851</v>
      </c>
      <c r="E63" s="5">
        <v>0.73882999999999999</v>
      </c>
      <c r="F63" s="5">
        <v>0.74748000000000003</v>
      </c>
      <c r="G63" s="5">
        <v>0.65759999999999996</v>
      </c>
      <c r="H63" s="5">
        <v>0.65586</v>
      </c>
      <c r="I63" s="5">
        <v>0.67598000000000003</v>
      </c>
      <c r="J63" s="5">
        <v>0.65415000000000001</v>
      </c>
      <c r="K63" s="5">
        <v>0.65715000000000001</v>
      </c>
      <c r="L63" s="5">
        <v>0.67142000000000002</v>
      </c>
      <c r="M63" s="5">
        <v>0.65015000000000001</v>
      </c>
      <c r="N63" s="5">
        <v>0.75429999999999997</v>
      </c>
      <c r="O63" s="5">
        <v>0.74414000000000002</v>
      </c>
    </row>
    <row r="64" spans="1:15">
      <c r="A64" t="str">
        <f t="shared" si="0"/>
        <v>BLOUNTSTOWNDEMAND (KW):</v>
      </c>
      <c r="B64" t="s">
        <v>603</v>
      </c>
      <c r="C64" t="s">
        <v>62</v>
      </c>
    </row>
    <row r="65" spans="1:15">
      <c r="A65" t="str">
        <f t="shared" si="0"/>
        <v>BLOUNTSTOWNNCP</v>
      </c>
      <c r="B65" t="s">
        <v>603</v>
      </c>
      <c r="C65" t="s">
        <v>133</v>
      </c>
      <c r="D65">
        <v>6529</v>
      </c>
      <c r="E65">
        <v>6727</v>
      </c>
      <c r="F65">
        <v>6742</v>
      </c>
      <c r="G65">
        <v>6324</v>
      </c>
      <c r="H65">
        <v>7555</v>
      </c>
      <c r="I65">
        <v>7987</v>
      </c>
      <c r="J65">
        <v>8255</v>
      </c>
      <c r="K65">
        <v>8389</v>
      </c>
      <c r="L65">
        <v>8163</v>
      </c>
      <c r="M65">
        <v>7220</v>
      </c>
      <c r="N65">
        <v>5707</v>
      </c>
      <c r="O65">
        <v>6401</v>
      </c>
    </row>
    <row r="66" spans="1:15">
      <c r="A66" t="str">
        <f t="shared" si="0"/>
        <v>BLOUNTSTOWNNCP ONPK</v>
      </c>
      <c r="B66" t="s">
        <v>603</v>
      </c>
      <c r="C66" t="s">
        <v>134</v>
      </c>
      <c r="D66">
        <v>6529</v>
      </c>
      <c r="E66">
        <v>6727</v>
      </c>
      <c r="F66">
        <v>6742</v>
      </c>
      <c r="G66">
        <v>6324</v>
      </c>
      <c r="H66">
        <v>7555</v>
      </c>
      <c r="I66">
        <v>7987</v>
      </c>
      <c r="J66">
        <v>8255</v>
      </c>
      <c r="K66">
        <v>8389</v>
      </c>
      <c r="L66">
        <v>8163</v>
      </c>
      <c r="M66">
        <v>7220</v>
      </c>
      <c r="N66">
        <v>5707</v>
      </c>
      <c r="O66">
        <v>6401</v>
      </c>
    </row>
    <row r="67" spans="1:15">
      <c r="A67" t="str">
        <f t="shared" si="0"/>
        <v>BLOUNTSTOWNNCP OFFPK</v>
      </c>
      <c r="B67" t="s">
        <v>603</v>
      </c>
      <c r="C67" t="s">
        <v>135</v>
      </c>
      <c r="D67">
        <v>5747</v>
      </c>
      <c r="E67">
        <v>6147</v>
      </c>
      <c r="F67">
        <v>5796</v>
      </c>
      <c r="G67">
        <v>5510</v>
      </c>
      <c r="H67">
        <v>6400</v>
      </c>
      <c r="I67">
        <v>7183</v>
      </c>
      <c r="J67">
        <v>7068</v>
      </c>
      <c r="K67">
        <v>7283</v>
      </c>
      <c r="L67">
        <v>7192</v>
      </c>
      <c r="M67">
        <v>6145</v>
      </c>
      <c r="N67">
        <v>5638</v>
      </c>
      <c r="O67">
        <v>6030</v>
      </c>
    </row>
    <row r="68" spans="1:15">
      <c r="A68" t="str">
        <f t="shared" si="0"/>
        <v>BLOUNTSTOWNGCP DATE</v>
      </c>
      <c r="B68" t="s">
        <v>603</v>
      </c>
      <c r="C68" t="s">
        <v>136</v>
      </c>
      <c r="D68" t="s">
        <v>275</v>
      </c>
      <c r="E68" t="s">
        <v>743</v>
      </c>
      <c r="F68" t="s">
        <v>744</v>
      </c>
      <c r="G68" t="s">
        <v>745</v>
      </c>
      <c r="H68" t="s">
        <v>746</v>
      </c>
      <c r="I68" t="s">
        <v>747</v>
      </c>
      <c r="J68" t="s">
        <v>748</v>
      </c>
      <c r="K68" t="s">
        <v>749</v>
      </c>
      <c r="L68" t="s">
        <v>750</v>
      </c>
      <c r="M68" t="s">
        <v>751</v>
      </c>
      <c r="N68" t="s">
        <v>752</v>
      </c>
      <c r="O68" t="s">
        <v>753</v>
      </c>
    </row>
    <row r="69" spans="1:15">
      <c r="A69" t="str">
        <f t="shared" si="0"/>
        <v>BLOUNTSTOWNGCP TIME</v>
      </c>
      <c r="B69" t="s">
        <v>603</v>
      </c>
      <c r="C69" t="s">
        <v>142</v>
      </c>
      <c r="D69" t="s">
        <v>194</v>
      </c>
      <c r="E69" t="s">
        <v>194</v>
      </c>
      <c r="F69" t="s">
        <v>203</v>
      </c>
      <c r="G69" t="s">
        <v>145</v>
      </c>
      <c r="H69" t="s">
        <v>195</v>
      </c>
      <c r="I69" t="s">
        <v>145</v>
      </c>
      <c r="J69" t="s">
        <v>145</v>
      </c>
      <c r="K69" t="s">
        <v>144</v>
      </c>
      <c r="L69" t="s">
        <v>195</v>
      </c>
      <c r="M69" t="s">
        <v>145</v>
      </c>
      <c r="N69" t="s">
        <v>194</v>
      </c>
      <c r="O69" t="s">
        <v>202</v>
      </c>
    </row>
    <row r="70" spans="1:15">
      <c r="A70" t="str">
        <f t="shared" si="0"/>
        <v>BLOUNTSTOWNGCP</v>
      </c>
      <c r="B70" t="s">
        <v>603</v>
      </c>
      <c r="C70" t="s">
        <v>147</v>
      </c>
      <c r="D70">
        <v>6529</v>
      </c>
      <c r="E70">
        <v>6727</v>
      </c>
      <c r="F70">
        <v>6742</v>
      </c>
      <c r="G70">
        <v>6324</v>
      </c>
      <c r="H70">
        <v>7555</v>
      </c>
      <c r="I70">
        <v>7987</v>
      </c>
      <c r="J70">
        <v>8255</v>
      </c>
      <c r="K70">
        <v>8389</v>
      </c>
      <c r="L70">
        <v>8163</v>
      </c>
      <c r="M70">
        <v>7220</v>
      </c>
      <c r="N70">
        <v>5707</v>
      </c>
      <c r="O70">
        <v>6401</v>
      </c>
    </row>
    <row r="71" spans="1:15">
      <c r="A71" t="str">
        <f t="shared" si="0"/>
        <v>BLOUNTSTOWNGCP ONPK</v>
      </c>
      <c r="B71" t="s">
        <v>603</v>
      </c>
      <c r="C71" t="s">
        <v>63</v>
      </c>
      <c r="D71">
        <v>6529</v>
      </c>
      <c r="E71">
        <v>6727</v>
      </c>
      <c r="F71">
        <v>6742</v>
      </c>
      <c r="G71">
        <v>6324</v>
      </c>
      <c r="H71">
        <v>7555</v>
      </c>
      <c r="I71">
        <v>7987</v>
      </c>
      <c r="J71">
        <v>8255</v>
      </c>
      <c r="K71">
        <v>8389</v>
      </c>
      <c r="L71">
        <v>8163</v>
      </c>
      <c r="M71">
        <v>7220</v>
      </c>
      <c r="N71">
        <v>5707</v>
      </c>
      <c r="O71">
        <v>6401</v>
      </c>
    </row>
    <row r="72" spans="1:15">
      <c r="A72" t="str">
        <f t="shared" si="0"/>
        <v>BLOUNTSTOWNGCP OFFPK</v>
      </c>
      <c r="B72" t="s">
        <v>603</v>
      </c>
      <c r="C72" t="s">
        <v>64</v>
      </c>
      <c r="D72">
        <v>5747</v>
      </c>
      <c r="E72">
        <v>6147</v>
      </c>
      <c r="F72">
        <v>5796</v>
      </c>
      <c r="G72">
        <v>5510</v>
      </c>
      <c r="H72">
        <v>6400</v>
      </c>
      <c r="I72">
        <v>7183</v>
      </c>
      <c r="J72">
        <v>7068</v>
      </c>
      <c r="K72">
        <v>7283</v>
      </c>
      <c r="L72">
        <v>7192</v>
      </c>
      <c r="M72">
        <v>6145</v>
      </c>
      <c r="N72">
        <v>5638</v>
      </c>
      <c r="O72">
        <v>6030</v>
      </c>
    </row>
    <row r="73" spans="1:15">
      <c r="A73" t="str">
        <f t="shared" si="0"/>
        <v>BLOUNTSTOWNCP</v>
      </c>
      <c r="B73" t="s">
        <v>603</v>
      </c>
      <c r="C73" t="s">
        <v>148</v>
      </c>
      <c r="D73">
        <v>4302</v>
      </c>
      <c r="E73">
        <v>4307</v>
      </c>
      <c r="F73">
        <v>6742</v>
      </c>
      <c r="G73">
        <v>4318</v>
      </c>
      <c r="H73">
        <v>6673</v>
      </c>
      <c r="I73">
        <v>7798</v>
      </c>
      <c r="J73">
        <v>7539</v>
      </c>
      <c r="K73">
        <v>6256</v>
      </c>
      <c r="L73">
        <v>7974</v>
      </c>
      <c r="M73">
        <v>4534</v>
      </c>
      <c r="N73">
        <v>4625</v>
      </c>
      <c r="O73">
        <v>4302</v>
      </c>
    </row>
    <row r="74" spans="1:15">
      <c r="A74" t="str">
        <f t="shared" si="0"/>
        <v>BLOUNTSTOWNPERIOD START</v>
      </c>
      <c r="B74" t="s">
        <v>603</v>
      </c>
      <c r="C74" t="s">
        <v>149</v>
      </c>
      <c r="D74" s="1">
        <v>41275</v>
      </c>
      <c r="E74" s="1">
        <v>41306</v>
      </c>
      <c r="F74" s="1">
        <v>41334</v>
      </c>
      <c r="G74" s="1">
        <v>41365</v>
      </c>
      <c r="H74" s="1">
        <v>41395</v>
      </c>
      <c r="I74" s="1">
        <v>41426</v>
      </c>
      <c r="J74" s="1">
        <v>41456</v>
      </c>
      <c r="K74" s="1">
        <v>41487</v>
      </c>
      <c r="L74" s="1">
        <v>41518</v>
      </c>
      <c r="M74" s="1">
        <v>41548</v>
      </c>
      <c r="N74" s="1">
        <v>41579</v>
      </c>
      <c r="O74" s="1">
        <v>41609</v>
      </c>
    </row>
    <row r="75" spans="1:15">
      <c r="A75" t="str">
        <f t="shared" si="0"/>
        <v>BLOUNTSTOWNNCP LF</v>
      </c>
      <c r="B75" t="s">
        <v>603</v>
      </c>
      <c r="C75" t="s">
        <v>150</v>
      </c>
      <c r="D75" s="5">
        <v>0.60629999999999995</v>
      </c>
      <c r="E75" s="5">
        <v>0.59789999999999999</v>
      </c>
      <c r="F75" s="5">
        <v>0.5887</v>
      </c>
      <c r="G75" s="5">
        <v>0.6089</v>
      </c>
      <c r="H75" s="5">
        <v>0.5615</v>
      </c>
      <c r="I75" s="5">
        <v>0.65139999999999998</v>
      </c>
      <c r="J75" s="5">
        <v>0.61329999999999996</v>
      </c>
      <c r="K75" s="5">
        <v>0.62849999999999995</v>
      </c>
      <c r="L75" s="5">
        <v>0.61599999999999999</v>
      </c>
      <c r="M75" s="5">
        <v>0.55179999999999996</v>
      </c>
      <c r="N75" s="5">
        <v>0.6472</v>
      </c>
      <c r="O75" s="5">
        <v>0.61660000000000004</v>
      </c>
    </row>
    <row r="76" spans="1:15">
      <c r="A76" t="str">
        <f t="shared" si="0"/>
        <v>BLOUNTSTOWNNCP LF ONPK</v>
      </c>
      <c r="B76" t="s">
        <v>603</v>
      </c>
      <c r="C76" t="s">
        <v>151</v>
      </c>
      <c r="D76" s="5">
        <v>0.67020000000000002</v>
      </c>
      <c r="E76" s="5">
        <v>0.65580000000000005</v>
      </c>
      <c r="F76" s="5">
        <v>0.65749999999999997</v>
      </c>
      <c r="G76" s="5">
        <v>0.7581</v>
      </c>
      <c r="H76" s="5">
        <v>0.72609999999999997</v>
      </c>
      <c r="I76" s="5">
        <v>0.84430000000000005</v>
      </c>
      <c r="J76" s="5">
        <v>0.79700000000000004</v>
      </c>
      <c r="K76" s="5">
        <v>0.80969999999999998</v>
      </c>
      <c r="L76" s="5">
        <v>0.80959999999999999</v>
      </c>
      <c r="M76" s="5">
        <v>0.69389999999999996</v>
      </c>
      <c r="N76" s="5">
        <v>0.71560000000000001</v>
      </c>
      <c r="O76" s="5">
        <v>0.6986</v>
      </c>
    </row>
    <row r="77" spans="1:15">
      <c r="A77" t="str">
        <f t="shared" si="0"/>
        <v>BLOUNTSTOWNNCP LF OFFPK</v>
      </c>
      <c r="B77" t="s">
        <v>603</v>
      </c>
      <c r="C77" t="s">
        <v>152</v>
      </c>
      <c r="D77" s="5">
        <v>0.66639999999999999</v>
      </c>
      <c r="E77" s="5">
        <v>0.63449999999999995</v>
      </c>
      <c r="F77" s="5">
        <v>0.66149999999999998</v>
      </c>
      <c r="G77" s="5">
        <v>0.63380000000000003</v>
      </c>
      <c r="H77" s="5">
        <v>0.59230000000000005</v>
      </c>
      <c r="I77" s="5">
        <v>0.65290000000000004</v>
      </c>
      <c r="J77" s="5">
        <v>0.63839999999999997</v>
      </c>
      <c r="K77" s="5">
        <v>0.64829999999999999</v>
      </c>
      <c r="L77" s="5">
        <v>0.62590000000000001</v>
      </c>
      <c r="M77" s="5">
        <v>0.58399999999999996</v>
      </c>
      <c r="N77" s="5">
        <v>0.63539999999999996</v>
      </c>
      <c r="O77" s="5">
        <v>0.62909999999999999</v>
      </c>
    </row>
    <row r="78" spans="1:15">
      <c r="A78" t="str">
        <f t="shared" si="0"/>
        <v>BLOUNTSTOWNGCP CF</v>
      </c>
      <c r="B78" t="s">
        <v>603</v>
      </c>
      <c r="C78" t="s">
        <v>153</v>
      </c>
      <c r="D78" s="5">
        <v>1</v>
      </c>
      <c r="E78" s="5">
        <v>1</v>
      </c>
      <c r="F78" s="5">
        <v>1</v>
      </c>
      <c r="G78" s="5">
        <v>1</v>
      </c>
      <c r="H78" s="5">
        <v>1</v>
      </c>
      <c r="I78" s="5">
        <v>1</v>
      </c>
      <c r="J78" s="5">
        <v>1</v>
      </c>
      <c r="K78" s="5">
        <v>1</v>
      </c>
      <c r="L78" s="5">
        <v>1</v>
      </c>
      <c r="M78" s="5">
        <v>1</v>
      </c>
      <c r="N78" s="5">
        <v>1</v>
      </c>
      <c r="O78" s="5">
        <v>1</v>
      </c>
    </row>
    <row r="79" spans="1:15">
      <c r="A79" t="str">
        <f t="shared" si="0"/>
        <v>BLOUNTSTOWNCP CF</v>
      </c>
      <c r="B79" t="s">
        <v>603</v>
      </c>
      <c r="C79" t="s">
        <v>154</v>
      </c>
      <c r="D79" s="5">
        <v>0.65900000000000003</v>
      </c>
      <c r="E79" s="5">
        <v>0.64019999999999999</v>
      </c>
      <c r="F79" s="5">
        <v>1</v>
      </c>
      <c r="G79" s="5">
        <v>0.68289999999999995</v>
      </c>
      <c r="H79" s="5">
        <v>0.88329999999999997</v>
      </c>
      <c r="I79" s="5">
        <v>0.97629999999999995</v>
      </c>
      <c r="J79" s="5">
        <v>0.91320000000000001</v>
      </c>
      <c r="K79" s="5">
        <v>0.74570000000000003</v>
      </c>
      <c r="L79" s="5">
        <v>0.9768</v>
      </c>
      <c r="M79" s="5">
        <v>0.628</v>
      </c>
      <c r="N79" s="5">
        <v>0.81040000000000001</v>
      </c>
      <c r="O79" s="5">
        <v>0.67200000000000004</v>
      </c>
    </row>
    <row r="80" spans="1:15">
      <c r="A80" t="str">
        <f t="shared" si="0"/>
        <v>BLOUNTSTOWNGCP LF</v>
      </c>
      <c r="B80" t="s">
        <v>603</v>
      </c>
      <c r="C80" t="s">
        <v>155</v>
      </c>
      <c r="D80" s="5">
        <v>0.60629999999999995</v>
      </c>
      <c r="E80" s="5">
        <v>0.59789999999999999</v>
      </c>
      <c r="F80" s="5">
        <v>0.5887</v>
      </c>
      <c r="G80" s="5">
        <v>0.6089</v>
      </c>
      <c r="H80" s="5">
        <v>0.5615</v>
      </c>
      <c r="I80" s="5">
        <v>0.65139999999999998</v>
      </c>
      <c r="J80" s="5">
        <v>0.61329999999999996</v>
      </c>
      <c r="K80" s="5">
        <v>0.62849999999999995</v>
      </c>
      <c r="L80" s="5">
        <v>0.61599999999999999</v>
      </c>
      <c r="M80" s="5">
        <v>0.55179999999999996</v>
      </c>
      <c r="N80" s="5">
        <v>0.6472</v>
      </c>
      <c r="O80" s="5">
        <v>0.61660000000000004</v>
      </c>
    </row>
    <row r="81" spans="1:15">
      <c r="A81" t="str">
        <f t="shared" si="0"/>
        <v>BLOUNTSTOWNGCP LF ONPK</v>
      </c>
      <c r="B81" t="s">
        <v>603</v>
      </c>
      <c r="C81" t="s">
        <v>156</v>
      </c>
      <c r="D81" s="5">
        <v>0.67020000000000002</v>
      </c>
      <c r="E81" s="5">
        <v>0.65580000000000005</v>
      </c>
      <c r="F81" s="5">
        <v>0.65749999999999997</v>
      </c>
      <c r="G81" s="5">
        <v>0.7581</v>
      </c>
      <c r="H81" s="5">
        <v>0.72609999999999997</v>
      </c>
      <c r="I81" s="5">
        <v>0.84430000000000005</v>
      </c>
      <c r="J81" s="5">
        <v>0.79700000000000004</v>
      </c>
      <c r="K81" s="5">
        <v>0.80969999999999998</v>
      </c>
      <c r="L81" s="5">
        <v>0.80959999999999999</v>
      </c>
      <c r="M81" s="5">
        <v>0.69389999999999996</v>
      </c>
      <c r="N81" s="5">
        <v>0.71560000000000001</v>
      </c>
      <c r="O81" s="5">
        <v>0.6986</v>
      </c>
    </row>
    <row r="82" spans="1:15">
      <c r="A82" t="str">
        <f t="shared" si="0"/>
        <v>BLOUNTSTOWNGCP LF OFFPK</v>
      </c>
      <c r="B82" t="s">
        <v>603</v>
      </c>
      <c r="C82" t="s">
        <v>157</v>
      </c>
      <c r="D82" s="5">
        <v>0.66639999999999999</v>
      </c>
      <c r="E82" s="5">
        <v>0.63449999999999995</v>
      </c>
      <c r="F82" s="5">
        <v>0.66149999999999998</v>
      </c>
      <c r="G82" s="5">
        <v>0.63380000000000003</v>
      </c>
      <c r="H82" s="5">
        <v>0.59230000000000005</v>
      </c>
      <c r="I82" s="5">
        <v>0.65290000000000004</v>
      </c>
      <c r="J82" s="5">
        <v>0.63839999999999997</v>
      </c>
      <c r="K82" s="5">
        <v>0.64829999999999999</v>
      </c>
      <c r="L82" s="5">
        <v>0.62590000000000001</v>
      </c>
      <c r="M82" s="5">
        <v>0.58399999999999996</v>
      </c>
      <c r="N82" s="5">
        <v>0.63539999999999996</v>
      </c>
      <c r="O82" s="5">
        <v>0.62909999999999999</v>
      </c>
    </row>
    <row r="83" spans="1:15">
      <c r="A83" t="str">
        <f t="shared" si="0"/>
        <v>BLOUNTSTOWNCP LF</v>
      </c>
      <c r="B83" t="s">
        <v>603</v>
      </c>
      <c r="C83" t="s">
        <v>158</v>
      </c>
      <c r="D83" s="5">
        <v>0.92010000000000003</v>
      </c>
      <c r="E83" s="5">
        <v>0.93389999999999995</v>
      </c>
      <c r="F83" s="5">
        <v>0.5887</v>
      </c>
      <c r="G83" s="5">
        <v>0.89170000000000005</v>
      </c>
      <c r="H83" s="5">
        <v>0.63570000000000004</v>
      </c>
      <c r="I83" s="5">
        <v>0.66720000000000002</v>
      </c>
      <c r="J83" s="5">
        <v>0.67149999999999999</v>
      </c>
      <c r="K83" s="5">
        <v>0.84279999999999999</v>
      </c>
      <c r="L83" s="5">
        <v>0.63060000000000005</v>
      </c>
      <c r="M83" s="5">
        <v>0.87870000000000004</v>
      </c>
      <c r="N83" s="5">
        <v>0.79869999999999997</v>
      </c>
      <c r="O83" s="5">
        <v>0.91749999999999998</v>
      </c>
    </row>
    <row r="84" spans="1:15">
      <c r="A84" t="str">
        <f t="shared" si="0"/>
        <v>BLOUNTSTOWNREL PREC:</v>
      </c>
      <c r="B84" t="s">
        <v>603</v>
      </c>
      <c r="C84" t="s">
        <v>65</v>
      </c>
    </row>
    <row r="85" spans="1:15">
      <c r="A85" t="str">
        <f t="shared" si="0"/>
        <v>BLOUNTSTOWNNCP RP</v>
      </c>
      <c r="B85" t="s">
        <v>603</v>
      </c>
      <c r="C85" t="s">
        <v>159</v>
      </c>
      <c r="D85" s="5">
        <v>0</v>
      </c>
      <c r="E85" s="5">
        <v>0</v>
      </c>
      <c r="F85" s="5">
        <v>0</v>
      </c>
      <c r="G85" s="5">
        <v>0</v>
      </c>
      <c r="H85" s="5">
        <v>0</v>
      </c>
      <c r="I85" s="5">
        <v>0</v>
      </c>
      <c r="J85" s="5">
        <v>0</v>
      </c>
      <c r="K85" s="5">
        <v>0</v>
      </c>
      <c r="L85" s="5">
        <v>0</v>
      </c>
      <c r="M85" s="5">
        <v>0</v>
      </c>
      <c r="N85" s="5">
        <v>0</v>
      </c>
      <c r="O85" s="5">
        <v>0</v>
      </c>
    </row>
    <row r="86" spans="1:15">
      <c r="A86" t="str">
        <f t="shared" si="0"/>
        <v>BLOUNTSTOWNNCP RP ONPK</v>
      </c>
      <c r="B86" t="s">
        <v>603</v>
      </c>
      <c r="C86" t="s">
        <v>160</v>
      </c>
      <c r="D86" s="5">
        <v>0</v>
      </c>
      <c r="E86" s="5">
        <v>0</v>
      </c>
      <c r="F86" s="5">
        <v>0</v>
      </c>
      <c r="G86" s="5">
        <v>0</v>
      </c>
      <c r="H86" s="5">
        <v>0</v>
      </c>
      <c r="I86" s="5">
        <v>0</v>
      </c>
      <c r="J86" s="5">
        <v>0</v>
      </c>
      <c r="K86" s="5">
        <v>0</v>
      </c>
      <c r="L86" s="5">
        <v>0</v>
      </c>
      <c r="M86" s="5">
        <v>0</v>
      </c>
      <c r="N86" s="5">
        <v>0</v>
      </c>
      <c r="O86" s="5">
        <v>0</v>
      </c>
    </row>
    <row r="87" spans="1:15">
      <c r="A87" t="str">
        <f t="shared" si="0"/>
        <v>BLOUNTSTOWNNCP RP OFFPK</v>
      </c>
      <c r="B87" t="s">
        <v>603</v>
      </c>
      <c r="C87" t="s">
        <v>161</v>
      </c>
      <c r="D87" s="5">
        <v>0</v>
      </c>
      <c r="E87" s="5">
        <v>0</v>
      </c>
      <c r="F87" s="5">
        <v>0</v>
      </c>
      <c r="G87" s="5">
        <v>0</v>
      </c>
      <c r="H87" s="5">
        <v>0</v>
      </c>
      <c r="I87" s="5">
        <v>0</v>
      </c>
      <c r="J87" s="5">
        <v>0</v>
      </c>
      <c r="K87" s="5">
        <v>0</v>
      </c>
      <c r="L87" s="5">
        <v>0</v>
      </c>
      <c r="M87" s="5">
        <v>0</v>
      </c>
      <c r="N87" s="5">
        <v>0</v>
      </c>
      <c r="O87" s="5">
        <v>0</v>
      </c>
    </row>
    <row r="88" spans="1:15">
      <c r="A88" t="str">
        <f t="shared" si="0"/>
        <v>BLOUNTSTOWNGCP RP</v>
      </c>
      <c r="B88" t="s">
        <v>603</v>
      </c>
      <c r="C88" t="s">
        <v>162</v>
      </c>
      <c r="D88" s="5">
        <v>0</v>
      </c>
      <c r="E88" s="5">
        <v>0</v>
      </c>
      <c r="F88" s="5">
        <v>0</v>
      </c>
      <c r="G88" s="5">
        <v>0</v>
      </c>
      <c r="H88" s="5">
        <v>0</v>
      </c>
      <c r="I88" s="5">
        <v>0</v>
      </c>
      <c r="J88" s="5">
        <v>0</v>
      </c>
      <c r="K88" s="5">
        <v>0</v>
      </c>
      <c r="L88" s="5">
        <v>0</v>
      </c>
      <c r="M88" s="5">
        <v>0</v>
      </c>
      <c r="N88" s="5">
        <v>0</v>
      </c>
      <c r="O88" s="5">
        <v>0</v>
      </c>
    </row>
    <row r="89" spans="1:15">
      <c r="A89" t="str">
        <f t="shared" si="0"/>
        <v>BLOUNTSTOWNGCP RP ONPK</v>
      </c>
      <c r="B89" t="s">
        <v>603</v>
      </c>
      <c r="C89" t="s">
        <v>163</v>
      </c>
      <c r="D89" s="5">
        <v>0</v>
      </c>
      <c r="E89" s="5">
        <v>0</v>
      </c>
      <c r="F89" s="5">
        <v>0</v>
      </c>
      <c r="G89" s="5">
        <v>0</v>
      </c>
      <c r="H89" s="5">
        <v>0</v>
      </c>
      <c r="I89" s="5">
        <v>0</v>
      </c>
      <c r="J89" s="5">
        <v>0</v>
      </c>
      <c r="K89" s="5">
        <v>0</v>
      </c>
      <c r="L89" s="5">
        <v>0</v>
      </c>
      <c r="M89" s="5">
        <v>0</v>
      </c>
      <c r="N89" s="5">
        <v>0</v>
      </c>
      <c r="O89" s="5">
        <v>0</v>
      </c>
    </row>
    <row r="90" spans="1:15">
      <c r="A90" t="str">
        <f t="shared" si="0"/>
        <v>BLOUNTSTOWNGCP RP OFFPK</v>
      </c>
      <c r="B90" t="s">
        <v>603</v>
      </c>
      <c r="C90" t="s">
        <v>164</v>
      </c>
      <c r="D90" s="5">
        <v>0</v>
      </c>
      <c r="E90" s="5">
        <v>0</v>
      </c>
      <c r="F90" s="5">
        <v>0</v>
      </c>
      <c r="G90" s="5">
        <v>0</v>
      </c>
      <c r="H90" s="5">
        <v>0</v>
      </c>
      <c r="I90" s="5">
        <v>0</v>
      </c>
      <c r="J90" s="5">
        <v>0</v>
      </c>
      <c r="K90" s="5">
        <v>0</v>
      </c>
      <c r="L90" s="5">
        <v>0</v>
      </c>
      <c r="M90" s="5">
        <v>0</v>
      </c>
      <c r="N90" s="5">
        <v>0</v>
      </c>
      <c r="O90" s="5">
        <v>0</v>
      </c>
    </row>
    <row r="91" spans="1:15">
      <c r="A91" t="str">
        <f t="shared" si="0"/>
        <v>BLOUNTSTOWNCP RP</v>
      </c>
      <c r="B91" t="s">
        <v>603</v>
      </c>
      <c r="C91" t="s">
        <v>165</v>
      </c>
      <c r="D91" s="5">
        <v>0</v>
      </c>
      <c r="E91" s="5">
        <v>0</v>
      </c>
      <c r="F91" s="5">
        <v>0</v>
      </c>
      <c r="G91" s="5">
        <v>0</v>
      </c>
      <c r="H91" s="5">
        <v>0</v>
      </c>
      <c r="I91" s="5">
        <v>0</v>
      </c>
      <c r="J91" s="5">
        <v>0</v>
      </c>
      <c r="K91" s="5">
        <v>0</v>
      </c>
      <c r="L91" s="5">
        <v>0</v>
      </c>
      <c r="M91" s="5">
        <v>0</v>
      </c>
      <c r="N91" s="5">
        <v>0</v>
      </c>
      <c r="O91" s="5">
        <v>0</v>
      </c>
    </row>
    <row r="92" spans="1:15">
      <c r="A92" t="str">
        <f t="shared" si="0"/>
        <v>BLOUNTSTOWNSAMPLE SIZE:</v>
      </c>
      <c r="B92" t="s">
        <v>603</v>
      </c>
      <c r="C92" t="s">
        <v>66</v>
      </c>
    </row>
    <row r="93" spans="1:15">
      <c r="A93" t="str">
        <f t="shared" si="0"/>
        <v>BLOUNTSTOWNGCPSZ</v>
      </c>
      <c r="B93" t="s">
        <v>603</v>
      </c>
      <c r="C93" t="s">
        <v>166</v>
      </c>
      <c r="D93">
        <v>1</v>
      </c>
      <c r="E93">
        <v>1</v>
      </c>
      <c r="F93">
        <v>1</v>
      </c>
      <c r="G93">
        <v>1</v>
      </c>
      <c r="H93">
        <v>1</v>
      </c>
      <c r="I93">
        <v>1</v>
      </c>
      <c r="J93">
        <v>1</v>
      </c>
      <c r="K93">
        <v>1</v>
      </c>
      <c r="L93">
        <v>1</v>
      </c>
      <c r="M93">
        <v>1</v>
      </c>
      <c r="N93">
        <v>1</v>
      </c>
      <c r="O93">
        <v>1</v>
      </c>
    </row>
    <row r="94" spans="1:15">
      <c r="A94" t="str">
        <f t="shared" si="0"/>
        <v>BLOUNTSTOWNGCPSZ ONPK</v>
      </c>
      <c r="B94" t="s">
        <v>603</v>
      </c>
      <c r="C94" t="s">
        <v>167</v>
      </c>
      <c r="D94">
        <v>1</v>
      </c>
      <c r="E94">
        <v>1</v>
      </c>
      <c r="F94">
        <v>1</v>
      </c>
      <c r="G94">
        <v>1</v>
      </c>
      <c r="H94">
        <v>1</v>
      </c>
      <c r="I94">
        <v>1</v>
      </c>
      <c r="J94">
        <v>1</v>
      </c>
      <c r="K94">
        <v>1</v>
      </c>
      <c r="L94">
        <v>1</v>
      </c>
      <c r="M94">
        <v>1</v>
      </c>
      <c r="N94">
        <v>1</v>
      </c>
      <c r="O94">
        <v>1</v>
      </c>
    </row>
    <row r="95" spans="1:15">
      <c r="A95" t="str">
        <f t="shared" si="0"/>
        <v>BLOUNTSTOWNGCPSZ OFFPK</v>
      </c>
      <c r="B95" t="s">
        <v>603</v>
      </c>
      <c r="C95" t="s">
        <v>168</v>
      </c>
      <c r="D95">
        <v>1</v>
      </c>
      <c r="E95">
        <v>1</v>
      </c>
      <c r="F95">
        <v>1</v>
      </c>
      <c r="G95">
        <v>1</v>
      </c>
      <c r="H95">
        <v>1</v>
      </c>
      <c r="I95">
        <v>1</v>
      </c>
      <c r="J95">
        <v>1</v>
      </c>
      <c r="K95">
        <v>1</v>
      </c>
      <c r="L95">
        <v>1</v>
      </c>
      <c r="M95">
        <v>1</v>
      </c>
      <c r="N95">
        <v>1</v>
      </c>
      <c r="O95">
        <v>1</v>
      </c>
    </row>
    <row r="96" spans="1:15">
      <c r="A96" t="str">
        <f t="shared" si="0"/>
        <v>BLOUNTSTOWNCPSZ</v>
      </c>
      <c r="B96" t="s">
        <v>603</v>
      </c>
      <c r="C96" t="s">
        <v>169</v>
      </c>
      <c r="D96">
        <v>1</v>
      </c>
      <c r="E96">
        <v>1</v>
      </c>
      <c r="F96">
        <v>1</v>
      </c>
      <c r="G96">
        <v>1</v>
      </c>
      <c r="H96">
        <v>1</v>
      </c>
      <c r="I96">
        <v>1</v>
      </c>
      <c r="J96">
        <v>1</v>
      </c>
      <c r="K96">
        <v>1</v>
      </c>
      <c r="L96">
        <v>1</v>
      </c>
      <c r="M96">
        <v>1</v>
      </c>
      <c r="N96">
        <v>1</v>
      </c>
      <c r="O96">
        <v>1</v>
      </c>
    </row>
    <row r="97" spans="1:15">
      <c r="A97" t="str">
        <f t="shared" si="0"/>
        <v/>
      </c>
    </row>
    <row r="98" spans="1:15" ht="14.4">
      <c r="A98" t="str">
        <f t="shared" si="0"/>
        <v>NOTE:     Sales line does not match sales in the Rate and Revenue Report due to billing lag.</v>
      </c>
      <c r="B98" s="301" t="s">
        <v>608</v>
      </c>
    </row>
    <row r="99" spans="1:15" ht="14.4">
      <c r="A99" t="str">
        <f t="shared" si="0"/>
        <v xml:space="preserve">                 In addition, the City of Blountstown, FKEC, Metro Dade and City of Wauchula are classified as Rate Code 940. The sales for the contracts are reported combined in the Rate &amp; Revenue Report.</v>
      </c>
      <c r="B99" s="319" t="s">
        <v>754</v>
      </c>
    </row>
    <row r="100" spans="1:15">
      <c r="A100" t="str">
        <f t="shared" si="0"/>
        <v xml:space="preserve">CILC1D Commercial/Industrial Load Control - Distribution (54) </v>
      </c>
      <c r="B100" t="s">
        <v>120</v>
      </c>
      <c r="C100" t="s">
        <v>121</v>
      </c>
    </row>
    <row r="101" spans="1:15">
      <c r="A101" t="str">
        <f t="shared" si="0"/>
        <v xml:space="preserve">CILC1DMONTH </v>
      </c>
      <c r="B101" t="s">
        <v>122</v>
      </c>
      <c r="C101" t="s">
        <v>123</v>
      </c>
      <c r="D101" s="4">
        <v>41275</v>
      </c>
      <c r="E101" s="4">
        <v>41306</v>
      </c>
      <c r="F101" s="4">
        <v>41334</v>
      </c>
      <c r="G101" s="4">
        <v>41365</v>
      </c>
      <c r="H101" s="4">
        <v>41395</v>
      </c>
      <c r="I101" s="4">
        <v>41426</v>
      </c>
      <c r="J101" s="4">
        <v>41456</v>
      </c>
      <c r="K101" s="4">
        <v>41487</v>
      </c>
      <c r="L101" s="4">
        <v>41518</v>
      </c>
      <c r="M101" s="4">
        <v>41548</v>
      </c>
      <c r="N101" s="4">
        <v>41579</v>
      </c>
      <c r="O101" s="4">
        <v>41609</v>
      </c>
    </row>
    <row r="102" spans="1:15">
      <c r="A102" t="str">
        <f t="shared" si="0"/>
        <v xml:space="preserve">CILC1DCUSTOMERS </v>
      </c>
      <c r="B102" t="s">
        <v>122</v>
      </c>
      <c r="C102" t="s">
        <v>124</v>
      </c>
      <c r="D102">
        <v>321</v>
      </c>
      <c r="E102">
        <v>320</v>
      </c>
      <c r="F102">
        <v>319</v>
      </c>
      <c r="G102">
        <v>319</v>
      </c>
      <c r="H102">
        <v>318</v>
      </c>
      <c r="I102">
        <v>315</v>
      </c>
      <c r="J102">
        <v>315</v>
      </c>
      <c r="K102">
        <v>315</v>
      </c>
      <c r="L102">
        <v>315</v>
      </c>
      <c r="M102">
        <v>314</v>
      </c>
      <c r="N102">
        <v>314</v>
      </c>
      <c r="O102">
        <v>314</v>
      </c>
    </row>
    <row r="103" spans="1:15">
      <c r="A103" t="str">
        <f t="shared" si="0"/>
        <v xml:space="preserve">CILC1DSALES </v>
      </c>
      <c r="B103" t="s">
        <v>122</v>
      </c>
      <c r="C103" t="s">
        <v>125</v>
      </c>
      <c r="D103">
        <v>236852071</v>
      </c>
      <c r="E103">
        <v>223834835</v>
      </c>
      <c r="F103">
        <v>217250590</v>
      </c>
      <c r="G103">
        <v>231321369</v>
      </c>
      <c r="H103">
        <v>243434924</v>
      </c>
      <c r="I103">
        <v>242110860</v>
      </c>
      <c r="J103">
        <v>243825334</v>
      </c>
      <c r="K103">
        <v>250329782</v>
      </c>
      <c r="L103">
        <v>262177082</v>
      </c>
      <c r="M103">
        <v>234484651</v>
      </c>
      <c r="N103">
        <v>229364555</v>
      </c>
      <c r="O103">
        <v>235383370</v>
      </c>
    </row>
    <row r="104" spans="1:15">
      <c r="A104" t="str">
        <f t="shared" si="0"/>
        <v>CILC1DKW</v>
      </c>
      <c r="B104" t="s">
        <v>122</v>
      </c>
      <c r="C104" t="s">
        <v>126</v>
      </c>
    </row>
    <row r="105" spans="1:15">
      <c r="A105" t="str">
        <f t="shared" si="0"/>
        <v>CILC1DN</v>
      </c>
      <c r="B105" t="s">
        <v>122</v>
      </c>
      <c r="C105" t="s">
        <v>127</v>
      </c>
      <c r="D105">
        <v>321</v>
      </c>
      <c r="E105">
        <v>320</v>
      </c>
      <c r="F105">
        <v>318</v>
      </c>
      <c r="G105">
        <v>318</v>
      </c>
      <c r="H105">
        <v>318</v>
      </c>
      <c r="I105">
        <v>316</v>
      </c>
      <c r="J105">
        <v>315</v>
      </c>
      <c r="K105">
        <v>315</v>
      </c>
      <c r="L105">
        <v>315</v>
      </c>
      <c r="M105">
        <v>314</v>
      </c>
      <c r="N105">
        <v>314</v>
      </c>
      <c r="O105">
        <v>313</v>
      </c>
    </row>
    <row r="106" spans="1:15">
      <c r="A106" t="str">
        <f t="shared" si="0"/>
        <v>CILC1DRLR ENERGY:</v>
      </c>
      <c r="B106" t="s">
        <v>122</v>
      </c>
      <c r="C106" t="s">
        <v>61</v>
      </c>
    </row>
    <row r="107" spans="1:15">
      <c r="A107" t="str">
        <f t="shared" si="0"/>
        <v>CILC1DKWH</v>
      </c>
      <c r="B107" t="s">
        <v>122</v>
      </c>
      <c r="C107" t="s">
        <v>128</v>
      </c>
      <c r="D107">
        <v>237455148</v>
      </c>
      <c r="E107">
        <v>224589723</v>
      </c>
      <c r="F107">
        <v>215691041</v>
      </c>
      <c r="G107">
        <v>231521252</v>
      </c>
      <c r="H107">
        <v>243133579</v>
      </c>
      <c r="I107">
        <v>241945532</v>
      </c>
      <c r="J107">
        <v>245212136</v>
      </c>
      <c r="K107">
        <v>251840117</v>
      </c>
      <c r="L107">
        <v>260019952</v>
      </c>
      <c r="M107">
        <v>235575458</v>
      </c>
      <c r="N107">
        <v>228430701</v>
      </c>
      <c r="O107">
        <v>234295211</v>
      </c>
    </row>
    <row r="108" spans="1:15">
      <c r="A108" t="str">
        <f t="shared" si="0"/>
        <v>CILC1DKWH ONPK</v>
      </c>
      <c r="B108" t="s">
        <v>122</v>
      </c>
      <c r="C108" t="s">
        <v>129</v>
      </c>
      <c r="D108">
        <v>58299321</v>
      </c>
      <c r="E108">
        <v>55700495</v>
      </c>
      <c r="F108">
        <v>50582076</v>
      </c>
      <c r="G108">
        <v>67895374</v>
      </c>
      <c r="H108">
        <v>68892703</v>
      </c>
      <c r="I108">
        <v>64783983</v>
      </c>
      <c r="J108">
        <v>69526477</v>
      </c>
      <c r="K108">
        <v>71323995</v>
      </c>
      <c r="L108">
        <v>69737662</v>
      </c>
      <c r="M108">
        <v>69979029</v>
      </c>
      <c r="N108">
        <v>52498107</v>
      </c>
      <c r="O108">
        <v>54460020</v>
      </c>
    </row>
    <row r="109" spans="1:15">
      <c r="A109" t="str">
        <f t="shared" si="0"/>
        <v>CILC1DKWH OFFPK</v>
      </c>
      <c r="B109" t="s">
        <v>122</v>
      </c>
      <c r="C109" t="s">
        <v>130</v>
      </c>
      <c r="D109">
        <v>179155827</v>
      </c>
      <c r="E109">
        <v>168889228</v>
      </c>
      <c r="F109">
        <v>165108965</v>
      </c>
      <c r="G109">
        <v>163625877</v>
      </c>
      <c r="H109">
        <v>174240876</v>
      </c>
      <c r="I109">
        <v>177161549</v>
      </c>
      <c r="J109">
        <v>175685658</v>
      </c>
      <c r="K109">
        <v>180516121</v>
      </c>
      <c r="L109">
        <v>190282290</v>
      </c>
      <c r="M109">
        <v>165596429</v>
      </c>
      <c r="N109">
        <v>175932594</v>
      </c>
      <c r="O109">
        <v>179835191</v>
      </c>
    </row>
    <row r="110" spans="1:15">
      <c r="A110" t="str">
        <f t="shared" si="0"/>
        <v>CILC1DKWH ONPK%</v>
      </c>
      <c r="B110" t="s">
        <v>122</v>
      </c>
      <c r="C110" t="s">
        <v>131</v>
      </c>
      <c r="D110" s="5">
        <v>0.24551999999999999</v>
      </c>
      <c r="E110" s="5">
        <v>0.24801000000000001</v>
      </c>
      <c r="F110" s="5">
        <v>0.23451</v>
      </c>
      <c r="G110" s="5">
        <v>0.29326000000000002</v>
      </c>
      <c r="H110" s="5">
        <v>0.28334999999999999</v>
      </c>
      <c r="I110" s="5">
        <v>0.26776</v>
      </c>
      <c r="J110" s="5">
        <v>0.28354000000000001</v>
      </c>
      <c r="K110" s="5">
        <v>0.28321000000000002</v>
      </c>
      <c r="L110" s="5">
        <v>0.26819999999999999</v>
      </c>
      <c r="M110" s="5">
        <v>0.29705999999999999</v>
      </c>
      <c r="N110" s="5">
        <v>0.22982</v>
      </c>
      <c r="O110" s="5">
        <v>0.23244000000000001</v>
      </c>
    </row>
    <row r="111" spans="1:15">
      <c r="A111" t="str">
        <f t="shared" si="0"/>
        <v>CILC1DKWH OFFPK%</v>
      </c>
      <c r="B111" t="s">
        <v>122</v>
      </c>
      <c r="C111" t="s">
        <v>132</v>
      </c>
      <c r="D111" s="5">
        <v>0.75448000000000004</v>
      </c>
      <c r="E111" s="5">
        <v>0.75199000000000005</v>
      </c>
      <c r="F111" s="5">
        <v>0.76549</v>
      </c>
      <c r="G111" s="5">
        <v>0.70674000000000003</v>
      </c>
      <c r="H111" s="5">
        <v>0.71665000000000001</v>
      </c>
      <c r="I111" s="5">
        <v>0.73224</v>
      </c>
      <c r="J111" s="5">
        <v>0.71645999999999999</v>
      </c>
      <c r="K111" s="5">
        <v>0.71679000000000004</v>
      </c>
      <c r="L111" s="5">
        <v>0.73180000000000001</v>
      </c>
      <c r="M111" s="5">
        <v>0.70294000000000001</v>
      </c>
      <c r="N111" s="5">
        <v>0.77017999999999998</v>
      </c>
      <c r="O111" s="5">
        <v>0.76756000000000002</v>
      </c>
    </row>
    <row r="112" spans="1:15">
      <c r="A112" t="str">
        <f t="shared" si="0"/>
        <v>CILC1DDEMAND (KW):</v>
      </c>
      <c r="B112" t="s">
        <v>122</v>
      </c>
      <c r="C112" t="s">
        <v>62</v>
      </c>
    </row>
    <row r="113" spans="1:15">
      <c r="A113" t="str">
        <f t="shared" si="0"/>
        <v>CILC1DNCP</v>
      </c>
      <c r="B113" t="s">
        <v>122</v>
      </c>
      <c r="C113" t="s">
        <v>133</v>
      </c>
      <c r="D113">
        <v>444782</v>
      </c>
      <c r="E113">
        <v>472220</v>
      </c>
      <c r="F113">
        <v>414095</v>
      </c>
      <c r="G113">
        <v>452550</v>
      </c>
      <c r="H113">
        <v>462553</v>
      </c>
      <c r="I113">
        <v>466586</v>
      </c>
      <c r="J113">
        <v>465006</v>
      </c>
      <c r="K113">
        <v>463695</v>
      </c>
      <c r="L113">
        <v>504734</v>
      </c>
      <c r="M113">
        <v>441738</v>
      </c>
      <c r="N113">
        <v>448957</v>
      </c>
      <c r="O113">
        <v>445264</v>
      </c>
    </row>
    <row r="114" spans="1:15">
      <c r="A114" t="str">
        <f t="shared" si="0"/>
        <v>CILC1DNCP ONPK</v>
      </c>
      <c r="B114" t="s">
        <v>122</v>
      </c>
      <c r="C114" t="s">
        <v>134</v>
      </c>
      <c r="D114">
        <v>426057</v>
      </c>
      <c r="E114">
        <v>453423</v>
      </c>
      <c r="F114">
        <v>394583</v>
      </c>
      <c r="G114">
        <v>435855</v>
      </c>
      <c r="H114">
        <v>442473</v>
      </c>
      <c r="I114">
        <v>446884</v>
      </c>
      <c r="J114">
        <v>448733</v>
      </c>
      <c r="K114">
        <v>447260</v>
      </c>
      <c r="L114">
        <v>481269</v>
      </c>
      <c r="M114">
        <v>426826</v>
      </c>
      <c r="N114">
        <v>428929</v>
      </c>
      <c r="O114">
        <v>425706</v>
      </c>
    </row>
    <row r="115" spans="1:15">
      <c r="A115" t="str">
        <f t="shared" si="0"/>
        <v>CILC1DNCP OFFPK</v>
      </c>
      <c r="B115" t="s">
        <v>122</v>
      </c>
      <c r="C115" t="s">
        <v>135</v>
      </c>
      <c r="D115">
        <v>442200</v>
      </c>
      <c r="E115">
        <v>469252</v>
      </c>
      <c r="F115">
        <v>411872</v>
      </c>
      <c r="G115">
        <v>446698</v>
      </c>
      <c r="H115">
        <v>458381</v>
      </c>
      <c r="I115">
        <v>461173</v>
      </c>
      <c r="J115">
        <v>458676</v>
      </c>
      <c r="K115">
        <v>458675</v>
      </c>
      <c r="L115">
        <v>499688</v>
      </c>
      <c r="M115">
        <v>434689</v>
      </c>
      <c r="N115">
        <v>447124</v>
      </c>
      <c r="O115">
        <v>442954</v>
      </c>
    </row>
    <row r="116" spans="1:15">
      <c r="A116" t="str">
        <f t="shared" si="0"/>
        <v>CILC1DGCP DATE</v>
      </c>
      <c r="B116" t="s">
        <v>122</v>
      </c>
      <c r="C116" t="s">
        <v>136</v>
      </c>
      <c r="D116" t="s">
        <v>755</v>
      </c>
      <c r="E116" t="s">
        <v>756</v>
      </c>
      <c r="F116" t="s">
        <v>757</v>
      </c>
      <c r="G116" t="s">
        <v>758</v>
      </c>
      <c r="H116" t="s">
        <v>759</v>
      </c>
      <c r="I116" t="s">
        <v>760</v>
      </c>
      <c r="J116" t="s">
        <v>761</v>
      </c>
      <c r="K116" t="s">
        <v>762</v>
      </c>
      <c r="L116" t="s">
        <v>763</v>
      </c>
      <c r="M116" t="s">
        <v>764</v>
      </c>
      <c r="N116" t="s">
        <v>765</v>
      </c>
      <c r="O116" t="s">
        <v>766</v>
      </c>
    </row>
    <row r="117" spans="1:15">
      <c r="A117" t="str">
        <f t="shared" ref="A117:A180" si="1">B117&amp;C117</f>
        <v>CILC1DGCP TIME</v>
      </c>
      <c r="B117" t="s">
        <v>122</v>
      </c>
      <c r="C117" t="s">
        <v>142</v>
      </c>
      <c r="D117" t="s">
        <v>145</v>
      </c>
      <c r="E117" t="s">
        <v>143</v>
      </c>
      <c r="F117" t="s">
        <v>146</v>
      </c>
      <c r="G117" t="s">
        <v>189</v>
      </c>
      <c r="H117" t="s">
        <v>189</v>
      </c>
      <c r="I117" t="s">
        <v>146</v>
      </c>
      <c r="J117" t="s">
        <v>146</v>
      </c>
      <c r="K117" t="s">
        <v>189</v>
      </c>
      <c r="L117" t="s">
        <v>189</v>
      </c>
      <c r="M117" t="s">
        <v>146</v>
      </c>
      <c r="N117" t="s">
        <v>143</v>
      </c>
      <c r="O117" t="s">
        <v>144</v>
      </c>
    </row>
    <row r="118" spans="1:15">
      <c r="A118" t="str">
        <f t="shared" si="1"/>
        <v>CILC1DGCP</v>
      </c>
      <c r="B118" t="s">
        <v>122</v>
      </c>
      <c r="C118" t="s">
        <v>147</v>
      </c>
      <c r="D118">
        <v>374886</v>
      </c>
      <c r="E118">
        <v>398989</v>
      </c>
      <c r="F118">
        <v>342129</v>
      </c>
      <c r="G118">
        <v>373383</v>
      </c>
      <c r="H118">
        <v>379168</v>
      </c>
      <c r="I118">
        <v>386503</v>
      </c>
      <c r="J118">
        <v>381032</v>
      </c>
      <c r="K118">
        <v>392308</v>
      </c>
      <c r="L118">
        <v>416826</v>
      </c>
      <c r="M118">
        <v>368642</v>
      </c>
      <c r="N118">
        <v>373453</v>
      </c>
      <c r="O118">
        <v>374946</v>
      </c>
    </row>
    <row r="119" spans="1:15">
      <c r="A119" t="str">
        <f t="shared" si="1"/>
        <v>CILC1DGCP ONPK</v>
      </c>
      <c r="B119" t="s">
        <v>122</v>
      </c>
      <c r="C119" t="s">
        <v>63</v>
      </c>
      <c r="D119">
        <v>359453</v>
      </c>
      <c r="E119">
        <v>383696</v>
      </c>
      <c r="F119">
        <v>331332</v>
      </c>
      <c r="G119">
        <v>367813</v>
      </c>
      <c r="H119">
        <v>373523</v>
      </c>
      <c r="I119">
        <v>385777</v>
      </c>
      <c r="J119">
        <v>376309</v>
      </c>
      <c r="K119">
        <v>385702</v>
      </c>
      <c r="L119">
        <v>411530</v>
      </c>
      <c r="M119">
        <v>366828</v>
      </c>
      <c r="N119">
        <v>362810</v>
      </c>
      <c r="O119">
        <v>360149</v>
      </c>
    </row>
    <row r="120" spans="1:15">
      <c r="A120" t="str">
        <f t="shared" si="1"/>
        <v>CILC1DGCP OFFPK</v>
      </c>
      <c r="B120" t="s">
        <v>122</v>
      </c>
      <c r="C120" t="s">
        <v>64</v>
      </c>
      <c r="D120">
        <v>374886</v>
      </c>
      <c r="E120">
        <v>398989</v>
      </c>
      <c r="F120">
        <v>342129</v>
      </c>
      <c r="G120">
        <v>373383</v>
      </c>
      <c r="H120">
        <v>379168</v>
      </c>
      <c r="I120">
        <v>386503</v>
      </c>
      <c r="J120">
        <v>381032</v>
      </c>
      <c r="K120">
        <v>392308</v>
      </c>
      <c r="L120">
        <v>416826</v>
      </c>
      <c r="M120">
        <v>368642</v>
      </c>
      <c r="N120">
        <v>373453</v>
      </c>
      <c r="O120">
        <v>374946</v>
      </c>
    </row>
    <row r="121" spans="1:15">
      <c r="A121" t="str">
        <f t="shared" si="1"/>
        <v>CILC1DCP</v>
      </c>
      <c r="B121" t="s">
        <v>122</v>
      </c>
      <c r="C121" t="s">
        <v>148</v>
      </c>
      <c r="D121">
        <v>352593</v>
      </c>
      <c r="E121">
        <v>392112</v>
      </c>
      <c r="F121">
        <v>288381</v>
      </c>
      <c r="G121">
        <v>349139</v>
      </c>
      <c r="H121">
        <v>352811</v>
      </c>
      <c r="I121">
        <v>378979</v>
      </c>
      <c r="J121">
        <v>352513</v>
      </c>
      <c r="K121">
        <v>369960</v>
      </c>
      <c r="L121">
        <v>402957</v>
      </c>
      <c r="M121">
        <v>356598</v>
      </c>
      <c r="N121">
        <v>360840</v>
      </c>
      <c r="O121">
        <v>346680</v>
      </c>
    </row>
    <row r="122" spans="1:15">
      <c r="A122" t="str">
        <f t="shared" si="1"/>
        <v>CILC1DPERIOD START</v>
      </c>
      <c r="B122" t="s">
        <v>122</v>
      </c>
      <c r="C122" t="s">
        <v>149</v>
      </c>
      <c r="D122" s="1">
        <v>41275</v>
      </c>
      <c r="E122" s="1">
        <v>41306</v>
      </c>
      <c r="F122" s="1">
        <v>41334</v>
      </c>
      <c r="G122" s="1">
        <v>41365</v>
      </c>
      <c r="H122" s="1">
        <v>41395</v>
      </c>
      <c r="I122" s="1">
        <v>41426</v>
      </c>
      <c r="J122" s="1">
        <v>41456</v>
      </c>
      <c r="K122" s="1">
        <v>41487</v>
      </c>
      <c r="L122" s="1">
        <v>41518</v>
      </c>
      <c r="M122" s="1">
        <v>41548</v>
      </c>
      <c r="N122" s="1">
        <v>41579</v>
      </c>
      <c r="O122" s="1">
        <v>41609</v>
      </c>
    </row>
    <row r="123" spans="1:15">
      <c r="A123" t="str">
        <f t="shared" si="1"/>
        <v>CILC1DNCP LF</v>
      </c>
      <c r="B123" t="s">
        <v>122</v>
      </c>
      <c r="C123" t="s">
        <v>150</v>
      </c>
      <c r="D123" s="5">
        <v>0.71760000000000002</v>
      </c>
      <c r="E123" s="5">
        <v>0.7077</v>
      </c>
      <c r="F123" s="5">
        <v>0.70009999999999994</v>
      </c>
      <c r="G123" s="5">
        <v>0.71050000000000002</v>
      </c>
      <c r="H123" s="5">
        <v>0.70650000000000002</v>
      </c>
      <c r="I123" s="5">
        <v>0.72019999999999995</v>
      </c>
      <c r="J123" s="5">
        <v>0.70879999999999999</v>
      </c>
      <c r="K123" s="5">
        <v>0.73</v>
      </c>
      <c r="L123" s="5">
        <v>0.71550000000000002</v>
      </c>
      <c r="M123" s="5">
        <v>0.71679999999999999</v>
      </c>
      <c r="N123" s="5">
        <v>0.70669999999999999</v>
      </c>
      <c r="O123" s="5">
        <v>0.70720000000000005</v>
      </c>
    </row>
    <row r="124" spans="1:15">
      <c r="A124" t="str">
        <f t="shared" si="1"/>
        <v>CILC1DNCP LF ONPK</v>
      </c>
      <c r="B124" t="s">
        <v>122</v>
      </c>
      <c r="C124" t="s">
        <v>151</v>
      </c>
      <c r="D124" s="5">
        <v>0.77749999999999997</v>
      </c>
      <c r="E124" s="5">
        <v>0.76780000000000004</v>
      </c>
      <c r="F124" s="5">
        <v>0.76300000000000001</v>
      </c>
      <c r="G124" s="5">
        <v>0.78669999999999995</v>
      </c>
      <c r="H124" s="5">
        <v>0.78639999999999999</v>
      </c>
      <c r="I124" s="5">
        <v>0.8054</v>
      </c>
      <c r="J124" s="5">
        <v>0.78249999999999997</v>
      </c>
      <c r="K124" s="5">
        <v>0.8054</v>
      </c>
      <c r="L124" s="5">
        <v>0.80500000000000005</v>
      </c>
      <c r="M124" s="5">
        <v>0.79200000000000004</v>
      </c>
      <c r="N124" s="5">
        <v>0.76500000000000001</v>
      </c>
      <c r="O124" s="5">
        <v>0.76149999999999995</v>
      </c>
    </row>
    <row r="125" spans="1:15">
      <c r="A125" t="str">
        <f t="shared" si="1"/>
        <v>CILC1DNCP LF OFFPK</v>
      </c>
      <c r="B125" t="s">
        <v>122</v>
      </c>
      <c r="C125" t="s">
        <v>152</v>
      </c>
      <c r="D125" s="5">
        <v>0.71330000000000005</v>
      </c>
      <c r="E125" s="5">
        <v>0.70299999999999996</v>
      </c>
      <c r="F125" s="5">
        <v>0.69599999999999995</v>
      </c>
      <c r="G125" s="5">
        <v>0.70169999999999999</v>
      </c>
      <c r="H125" s="5">
        <v>0.69620000000000004</v>
      </c>
      <c r="I125" s="5">
        <v>0.71140000000000003</v>
      </c>
      <c r="J125" s="5">
        <v>0.70150000000000001</v>
      </c>
      <c r="K125" s="5">
        <v>0.7208</v>
      </c>
      <c r="L125" s="5">
        <v>0.70520000000000005</v>
      </c>
      <c r="M125" s="5">
        <v>0.70940000000000003</v>
      </c>
      <c r="N125" s="5">
        <v>0.7026</v>
      </c>
      <c r="O125" s="5">
        <v>0.70479999999999998</v>
      </c>
    </row>
    <row r="126" spans="1:15">
      <c r="A126" t="str">
        <f t="shared" si="1"/>
        <v>CILC1DGCP CF</v>
      </c>
      <c r="B126" t="s">
        <v>122</v>
      </c>
      <c r="C126" t="s">
        <v>153</v>
      </c>
      <c r="D126" s="5">
        <v>0.84289999999999998</v>
      </c>
      <c r="E126" s="5">
        <v>0.84489999999999998</v>
      </c>
      <c r="F126" s="5">
        <v>0.82620000000000005</v>
      </c>
      <c r="G126" s="5">
        <v>0.82509999999999994</v>
      </c>
      <c r="H126" s="5">
        <v>0.81969999999999998</v>
      </c>
      <c r="I126" s="5">
        <v>0.82840000000000003</v>
      </c>
      <c r="J126" s="5">
        <v>0.81940000000000002</v>
      </c>
      <c r="K126" s="5">
        <v>0.84599999999999997</v>
      </c>
      <c r="L126" s="5">
        <v>0.82579999999999998</v>
      </c>
      <c r="M126" s="5">
        <v>0.83450000000000002</v>
      </c>
      <c r="N126" s="5">
        <v>0.83179999999999998</v>
      </c>
      <c r="O126" s="5">
        <v>0.84209999999999996</v>
      </c>
    </row>
    <row r="127" spans="1:15">
      <c r="A127" t="str">
        <f t="shared" si="1"/>
        <v>CILC1DCP CF</v>
      </c>
      <c r="B127" t="s">
        <v>122</v>
      </c>
      <c r="C127" t="s">
        <v>154</v>
      </c>
      <c r="D127" s="5">
        <v>0.79269999999999996</v>
      </c>
      <c r="E127" s="5">
        <v>0.83040000000000003</v>
      </c>
      <c r="F127" s="5">
        <v>0.69640000000000002</v>
      </c>
      <c r="G127" s="5">
        <v>0.77149999999999996</v>
      </c>
      <c r="H127" s="5">
        <v>0.76270000000000004</v>
      </c>
      <c r="I127" s="5">
        <v>0.81220000000000003</v>
      </c>
      <c r="J127" s="5">
        <v>0.7581</v>
      </c>
      <c r="K127" s="5">
        <v>0.79790000000000005</v>
      </c>
      <c r="L127" s="5">
        <v>0.7984</v>
      </c>
      <c r="M127" s="5">
        <v>0.80730000000000002</v>
      </c>
      <c r="N127" s="5">
        <v>0.80369999999999997</v>
      </c>
      <c r="O127" s="5">
        <v>0.77859999999999996</v>
      </c>
    </row>
    <row r="128" spans="1:15">
      <c r="A128" t="str">
        <f t="shared" si="1"/>
        <v>CILC1DGCP LF</v>
      </c>
      <c r="B128" t="s">
        <v>122</v>
      </c>
      <c r="C128" t="s">
        <v>155</v>
      </c>
      <c r="D128" s="5">
        <v>0.85140000000000005</v>
      </c>
      <c r="E128" s="5">
        <v>0.83760000000000001</v>
      </c>
      <c r="F128" s="5">
        <v>0.84740000000000004</v>
      </c>
      <c r="G128" s="5">
        <v>0.86119999999999997</v>
      </c>
      <c r="H128" s="5">
        <v>0.8619</v>
      </c>
      <c r="I128" s="5">
        <v>0.86939999999999995</v>
      </c>
      <c r="J128" s="5">
        <v>0.86499999999999999</v>
      </c>
      <c r="K128" s="5">
        <v>0.86280000000000001</v>
      </c>
      <c r="L128" s="5">
        <v>0.86639999999999995</v>
      </c>
      <c r="M128" s="5">
        <v>0.8589</v>
      </c>
      <c r="N128" s="5">
        <v>0.84950000000000003</v>
      </c>
      <c r="O128" s="5">
        <v>0.83989999999999998</v>
      </c>
    </row>
    <row r="129" spans="1:15">
      <c r="A129" t="str">
        <f t="shared" si="1"/>
        <v>CILC1DGCP LF ONPK</v>
      </c>
      <c r="B129" t="s">
        <v>122</v>
      </c>
      <c r="C129" t="s">
        <v>156</v>
      </c>
      <c r="D129" s="5">
        <v>0.92149999999999999</v>
      </c>
      <c r="E129" s="5">
        <v>0.9073</v>
      </c>
      <c r="F129" s="5">
        <v>0.90869999999999995</v>
      </c>
      <c r="G129" s="5">
        <v>0.93230000000000002</v>
      </c>
      <c r="H129" s="5">
        <v>0.93149999999999999</v>
      </c>
      <c r="I129" s="5">
        <v>0.93300000000000005</v>
      </c>
      <c r="J129" s="5">
        <v>0.93310000000000004</v>
      </c>
      <c r="K129" s="5">
        <v>0.93389999999999995</v>
      </c>
      <c r="L129" s="5">
        <v>0.94140000000000001</v>
      </c>
      <c r="M129" s="5">
        <v>0.92159999999999997</v>
      </c>
      <c r="N129" s="5">
        <v>0.90439999999999998</v>
      </c>
      <c r="O129" s="5">
        <v>0.90010000000000001</v>
      </c>
    </row>
    <row r="130" spans="1:15">
      <c r="A130" t="str">
        <f t="shared" si="1"/>
        <v>CILC1DGCP LF OFFPK</v>
      </c>
      <c r="B130" t="s">
        <v>122</v>
      </c>
      <c r="C130" t="s">
        <v>157</v>
      </c>
      <c r="D130" s="5">
        <v>0.84140000000000004</v>
      </c>
      <c r="E130" s="5">
        <v>0.82669999999999999</v>
      </c>
      <c r="F130" s="5">
        <v>0.83779999999999999</v>
      </c>
      <c r="G130" s="5">
        <v>0.83950000000000002</v>
      </c>
      <c r="H130" s="5">
        <v>0.84160000000000001</v>
      </c>
      <c r="I130" s="5">
        <v>0.8488</v>
      </c>
      <c r="J130" s="5">
        <v>0.84450000000000003</v>
      </c>
      <c r="K130" s="5">
        <v>0.8427</v>
      </c>
      <c r="L130" s="5">
        <v>0.84540000000000004</v>
      </c>
      <c r="M130" s="5">
        <v>0.83650000000000002</v>
      </c>
      <c r="N130" s="5">
        <v>0.84119999999999995</v>
      </c>
      <c r="O130" s="5">
        <v>0.8327</v>
      </c>
    </row>
    <row r="131" spans="1:15">
      <c r="A131" t="str">
        <f t="shared" si="1"/>
        <v>CILC1DCP LF</v>
      </c>
      <c r="B131" t="s">
        <v>122</v>
      </c>
      <c r="C131" t="s">
        <v>158</v>
      </c>
      <c r="D131" s="5">
        <v>0.9052</v>
      </c>
      <c r="E131" s="5">
        <v>0.85229999999999995</v>
      </c>
      <c r="F131" s="5">
        <v>1.0053000000000001</v>
      </c>
      <c r="G131" s="5">
        <v>0.92100000000000004</v>
      </c>
      <c r="H131" s="5">
        <v>0.92630000000000001</v>
      </c>
      <c r="I131" s="5">
        <v>0.88670000000000004</v>
      </c>
      <c r="J131" s="5">
        <v>0.93500000000000005</v>
      </c>
      <c r="K131" s="5">
        <v>0.91490000000000005</v>
      </c>
      <c r="L131" s="5">
        <v>0.8962</v>
      </c>
      <c r="M131" s="5">
        <v>0.88790000000000002</v>
      </c>
      <c r="N131" s="5">
        <v>0.87919999999999998</v>
      </c>
      <c r="O131" s="5">
        <v>0.90839999999999999</v>
      </c>
    </row>
    <row r="132" spans="1:15">
      <c r="A132" t="str">
        <f t="shared" si="1"/>
        <v>CILC1DREL PREC:</v>
      </c>
      <c r="B132" t="s">
        <v>122</v>
      </c>
      <c r="C132" t="s">
        <v>65</v>
      </c>
    </row>
    <row r="133" spans="1:15">
      <c r="A133" t="str">
        <f t="shared" si="1"/>
        <v>CILC1DNCP RP</v>
      </c>
      <c r="B133" t="s">
        <v>122</v>
      </c>
      <c r="C133" t="s">
        <v>159</v>
      </c>
      <c r="D133" s="5">
        <v>1.9E-3</v>
      </c>
      <c r="E133" s="5">
        <v>1.8E-3</v>
      </c>
      <c r="F133" s="5">
        <v>2.0999999999999999E-3</v>
      </c>
      <c r="G133" s="5">
        <v>1.9E-3</v>
      </c>
      <c r="H133" s="5">
        <v>5.1999999999999998E-3</v>
      </c>
      <c r="I133" s="5">
        <v>4.0000000000000001E-3</v>
      </c>
      <c r="J133" s="5">
        <v>3.8E-3</v>
      </c>
      <c r="K133" s="5">
        <v>2E-3</v>
      </c>
      <c r="L133" s="5">
        <v>1.9E-3</v>
      </c>
      <c r="M133" s="5">
        <v>3.0000000000000001E-3</v>
      </c>
      <c r="N133" s="5">
        <v>2.8999999999999998E-3</v>
      </c>
      <c r="O133" s="5">
        <v>2.0999999999999999E-3</v>
      </c>
    </row>
    <row r="134" spans="1:15">
      <c r="A134" t="str">
        <f t="shared" si="1"/>
        <v>CILC1DNCP RP ONPK</v>
      </c>
      <c r="B134" t="s">
        <v>122</v>
      </c>
      <c r="C134" t="s">
        <v>160</v>
      </c>
      <c r="D134" s="5">
        <v>1.8E-3</v>
      </c>
      <c r="E134" s="5">
        <v>1.6999999999999999E-3</v>
      </c>
      <c r="F134" s="5">
        <v>2E-3</v>
      </c>
      <c r="G134" s="5">
        <v>1.8E-3</v>
      </c>
      <c r="H134" s="5">
        <v>4.8999999999999998E-3</v>
      </c>
      <c r="I134" s="5">
        <v>3.8999999999999998E-3</v>
      </c>
      <c r="J134" s="5">
        <v>3.7000000000000002E-3</v>
      </c>
      <c r="K134" s="5">
        <v>2E-3</v>
      </c>
      <c r="L134" s="5">
        <v>1.8E-3</v>
      </c>
      <c r="M134" s="5">
        <v>2.8999999999999998E-3</v>
      </c>
      <c r="N134" s="5">
        <v>2.8E-3</v>
      </c>
      <c r="O134" s="5">
        <v>2E-3</v>
      </c>
    </row>
    <row r="135" spans="1:15">
      <c r="A135" t="str">
        <f t="shared" si="1"/>
        <v>CILC1DNCP RP OFFPK</v>
      </c>
      <c r="B135" t="s">
        <v>122</v>
      </c>
      <c r="C135" t="s">
        <v>161</v>
      </c>
      <c r="D135" s="5">
        <v>1.9E-3</v>
      </c>
      <c r="E135" s="5">
        <v>1.8E-3</v>
      </c>
      <c r="F135" s="5">
        <v>2.0999999999999999E-3</v>
      </c>
      <c r="G135" s="5">
        <v>1.9E-3</v>
      </c>
      <c r="H135" s="5">
        <v>5.1000000000000004E-3</v>
      </c>
      <c r="I135" s="5">
        <v>4.0000000000000001E-3</v>
      </c>
      <c r="J135" s="5">
        <v>3.7000000000000002E-3</v>
      </c>
      <c r="K135" s="5">
        <v>2E-3</v>
      </c>
      <c r="L135" s="5">
        <v>1.9E-3</v>
      </c>
      <c r="M135" s="5">
        <v>2.8999999999999998E-3</v>
      </c>
      <c r="N135" s="5">
        <v>2.8999999999999998E-3</v>
      </c>
      <c r="O135" s="5">
        <v>2.0999999999999999E-3</v>
      </c>
    </row>
    <row r="136" spans="1:15">
      <c r="A136" t="str">
        <f t="shared" si="1"/>
        <v>CILC1DGCP RP</v>
      </c>
      <c r="B136" t="s">
        <v>122</v>
      </c>
      <c r="C136" t="s">
        <v>162</v>
      </c>
      <c r="D136" s="5">
        <v>1.8E-3</v>
      </c>
      <c r="E136" s="5">
        <v>1.5E-3</v>
      </c>
      <c r="F136" s="5">
        <v>2E-3</v>
      </c>
      <c r="G136" s="5">
        <v>1.8E-3</v>
      </c>
      <c r="H136" s="5">
        <v>3.7000000000000002E-3</v>
      </c>
      <c r="I136" s="5">
        <v>3.5000000000000001E-3</v>
      </c>
      <c r="J136" s="5">
        <v>3.0000000000000001E-3</v>
      </c>
      <c r="K136" s="5">
        <v>1.4E-3</v>
      </c>
      <c r="L136" s="5">
        <v>1.4E-3</v>
      </c>
      <c r="M136" s="5">
        <v>2.5999999999999999E-3</v>
      </c>
      <c r="N136" s="5">
        <v>3.3E-3</v>
      </c>
      <c r="O136" s="5">
        <v>2E-3</v>
      </c>
    </row>
    <row r="137" spans="1:15">
      <c r="A137" t="str">
        <f t="shared" si="1"/>
        <v>CILC1DGCP RP ONPK</v>
      </c>
      <c r="B137" t="s">
        <v>122</v>
      </c>
      <c r="C137" t="s">
        <v>163</v>
      </c>
      <c r="D137" s="5">
        <v>1.6000000000000001E-3</v>
      </c>
      <c r="E137" s="5">
        <v>1.5E-3</v>
      </c>
      <c r="F137" s="5">
        <v>1.9E-3</v>
      </c>
      <c r="G137" s="5">
        <v>1.6999999999999999E-3</v>
      </c>
      <c r="H137" s="5">
        <v>3.8999999999999998E-3</v>
      </c>
      <c r="I137" s="5">
        <v>3.5999999999999999E-3</v>
      </c>
      <c r="J137" s="5">
        <v>3.3E-3</v>
      </c>
      <c r="K137" s="5">
        <v>1.4E-3</v>
      </c>
      <c r="L137" s="5">
        <v>1.6000000000000001E-3</v>
      </c>
      <c r="M137" s="5">
        <v>2.5999999999999999E-3</v>
      </c>
      <c r="N137" s="5">
        <v>2.2000000000000001E-3</v>
      </c>
      <c r="O137" s="5">
        <v>2E-3</v>
      </c>
    </row>
    <row r="138" spans="1:15">
      <c r="A138" t="str">
        <f t="shared" si="1"/>
        <v>CILC1DGCP RP OFFPK</v>
      </c>
      <c r="B138" t="s">
        <v>122</v>
      </c>
      <c r="C138" t="s">
        <v>164</v>
      </c>
      <c r="D138" s="5">
        <v>1.8E-3</v>
      </c>
      <c r="E138" s="5">
        <v>1.5E-3</v>
      </c>
      <c r="F138" s="5">
        <v>2E-3</v>
      </c>
      <c r="G138" s="5">
        <v>1.8E-3</v>
      </c>
      <c r="H138" s="5">
        <v>3.7000000000000002E-3</v>
      </c>
      <c r="I138" s="5">
        <v>3.5000000000000001E-3</v>
      </c>
      <c r="J138" s="5">
        <v>3.0000000000000001E-3</v>
      </c>
      <c r="K138" s="5">
        <v>1.4E-3</v>
      </c>
      <c r="L138" s="5">
        <v>1.4E-3</v>
      </c>
      <c r="M138" s="5">
        <v>2.5999999999999999E-3</v>
      </c>
      <c r="N138" s="5">
        <v>3.3E-3</v>
      </c>
      <c r="O138" s="5">
        <v>2E-3</v>
      </c>
    </row>
    <row r="139" spans="1:15">
      <c r="A139" t="str">
        <f t="shared" si="1"/>
        <v>CILC1DCP RP</v>
      </c>
      <c r="B139" t="s">
        <v>122</v>
      </c>
      <c r="C139" t="s">
        <v>165</v>
      </c>
      <c r="D139" s="5">
        <v>1.2999999999999999E-3</v>
      </c>
      <c r="E139" s="5">
        <v>1.6999999999999999E-3</v>
      </c>
      <c r="F139" s="5">
        <v>1.6999999999999999E-3</v>
      </c>
      <c r="G139" s="5">
        <v>1E-3</v>
      </c>
      <c r="H139" s="5">
        <v>3.8999999999999998E-3</v>
      </c>
      <c r="I139" s="5">
        <v>2.8E-3</v>
      </c>
      <c r="J139" s="5">
        <v>2.0999999999999999E-3</v>
      </c>
      <c r="K139" s="5">
        <v>1.4E-3</v>
      </c>
      <c r="L139" s="5">
        <v>1.6999999999999999E-3</v>
      </c>
      <c r="M139" s="5">
        <v>2.2000000000000001E-3</v>
      </c>
      <c r="N139" s="5">
        <v>2.3999999999999998E-3</v>
      </c>
      <c r="O139" s="5">
        <v>1.1000000000000001E-3</v>
      </c>
    </row>
    <row r="140" spans="1:15">
      <c r="A140" t="str">
        <f t="shared" si="1"/>
        <v>CILC1DSAMPLE SIZE:</v>
      </c>
      <c r="B140" t="s">
        <v>122</v>
      </c>
      <c r="C140" t="s">
        <v>66</v>
      </c>
    </row>
    <row r="141" spans="1:15">
      <c r="A141" t="str">
        <f t="shared" si="1"/>
        <v>CILC1DGCPSZ</v>
      </c>
      <c r="B141" t="s">
        <v>122</v>
      </c>
      <c r="C141" t="s">
        <v>166</v>
      </c>
      <c r="D141">
        <v>320</v>
      </c>
      <c r="E141">
        <v>319</v>
      </c>
      <c r="F141">
        <v>317</v>
      </c>
      <c r="G141">
        <v>317</v>
      </c>
      <c r="H141">
        <v>312</v>
      </c>
      <c r="I141">
        <v>312</v>
      </c>
      <c r="J141">
        <v>312</v>
      </c>
      <c r="K141">
        <v>314</v>
      </c>
      <c r="L141">
        <v>314</v>
      </c>
      <c r="M141">
        <v>312</v>
      </c>
      <c r="N141">
        <v>311</v>
      </c>
      <c r="O141">
        <v>312</v>
      </c>
    </row>
    <row r="142" spans="1:15">
      <c r="A142" t="str">
        <f t="shared" si="1"/>
        <v>CILC1DGCPSZ ONPK</v>
      </c>
      <c r="B142" t="s">
        <v>122</v>
      </c>
      <c r="C142" t="s">
        <v>167</v>
      </c>
      <c r="D142">
        <v>320</v>
      </c>
      <c r="E142">
        <v>319</v>
      </c>
      <c r="F142">
        <v>317</v>
      </c>
      <c r="G142">
        <v>317</v>
      </c>
      <c r="H142">
        <v>312</v>
      </c>
      <c r="I142">
        <v>312</v>
      </c>
      <c r="J142">
        <v>312</v>
      </c>
      <c r="K142">
        <v>314</v>
      </c>
      <c r="L142">
        <v>314</v>
      </c>
      <c r="M142">
        <v>312</v>
      </c>
      <c r="N142">
        <v>312</v>
      </c>
      <c r="O142">
        <v>312</v>
      </c>
    </row>
    <row r="143" spans="1:15">
      <c r="A143" t="str">
        <f t="shared" si="1"/>
        <v>CILC1DGCPSZ OFFPK</v>
      </c>
      <c r="B143" t="s">
        <v>122</v>
      </c>
      <c r="C143" t="s">
        <v>168</v>
      </c>
      <c r="D143">
        <v>320</v>
      </c>
      <c r="E143">
        <v>319</v>
      </c>
      <c r="F143">
        <v>317</v>
      </c>
      <c r="G143">
        <v>317</v>
      </c>
      <c r="H143">
        <v>312</v>
      </c>
      <c r="I143">
        <v>312</v>
      </c>
      <c r="J143">
        <v>312</v>
      </c>
      <c r="K143">
        <v>314</v>
      </c>
      <c r="L143">
        <v>314</v>
      </c>
      <c r="M143">
        <v>312</v>
      </c>
      <c r="N143">
        <v>311</v>
      </c>
      <c r="O143">
        <v>312</v>
      </c>
    </row>
    <row r="144" spans="1:15">
      <c r="A144" t="str">
        <f t="shared" si="1"/>
        <v>CILC1DCPSZ</v>
      </c>
      <c r="B144" t="s">
        <v>122</v>
      </c>
      <c r="C144" t="s">
        <v>169</v>
      </c>
      <c r="D144">
        <v>320</v>
      </c>
      <c r="E144">
        <v>319</v>
      </c>
      <c r="F144">
        <v>317</v>
      </c>
      <c r="G144">
        <v>317</v>
      </c>
      <c r="H144">
        <v>312</v>
      </c>
      <c r="I144">
        <v>312</v>
      </c>
      <c r="J144">
        <v>312</v>
      </c>
      <c r="K144">
        <v>314</v>
      </c>
      <c r="L144">
        <v>314</v>
      </c>
      <c r="M144">
        <v>312</v>
      </c>
      <c r="N144">
        <v>312</v>
      </c>
      <c r="O144">
        <v>312</v>
      </c>
    </row>
    <row r="145" spans="1:15">
      <c r="A145" t="str">
        <f t="shared" si="1"/>
        <v>CILC1DSTD DEV OF R</v>
      </c>
      <c r="B145" t="s">
        <v>122</v>
      </c>
      <c r="C145" t="s">
        <v>170</v>
      </c>
    </row>
    <row r="146" spans="1:15">
      <c r="A146" t="str">
        <f t="shared" si="1"/>
        <v>CILC1DSDR GCP</v>
      </c>
      <c r="B146" t="s">
        <v>122</v>
      </c>
      <c r="C146" t="s">
        <v>171</v>
      </c>
      <c r="D146">
        <v>416.17700000000002</v>
      </c>
      <c r="E146">
        <v>369.911</v>
      </c>
      <c r="F146">
        <v>415.29399999999998</v>
      </c>
      <c r="G146">
        <v>416.55700000000002</v>
      </c>
      <c r="H146">
        <v>346.74700000000001</v>
      </c>
      <c r="I146">
        <v>408.51299999999998</v>
      </c>
      <c r="J146">
        <v>394.67599999999999</v>
      </c>
      <c r="K146">
        <v>341.113</v>
      </c>
      <c r="L146">
        <v>366.334</v>
      </c>
      <c r="M146">
        <v>410.30399999999997</v>
      </c>
      <c r="N146">
        <v>436.15</v>
      </c>
      <c r="O146">
        <v>448.59300000000002</v>
      </c>
    </row>
    <row r="147" spans="1:15">
      <c r="A147" t="str">
        <f t="shared" si="1"/>
        <v>CILC1DSDR GCP ONPK</v>
      </c>
      <c r="B147" t="s">
        <v>122</v>
      </c>
      <c r="C147" t="s">
        <v>172</v>
      </c>
      <c r="D147">
        <v>343.60899999999998</v>
      </c>
      <c r="E147">
        <v>338.27699999999999</v>
      </c>
      <c r="F147">
        <v>384.05799999999999</v>
      </c>
      <c r="G147">
        <v>375.28300000000002</v>
      </c>
      <c r="H147">
        <v>356.10300000000001</v>
      </c>
      <c r="I147">
        <v>416.47300000000001</v>
      </c>
      <c r="J147">
        <v>428.81200000000001</v>
      </c>
      <c r="K147">
        <v>316.76</v>
      </c>
      <c r="L147">
        <v>392.62099999999998</v>
      </c>
      <c r="M147">
        <v>414.10899999999998</v>
      </c>
      <c r="N147">
        <v>344.363</v>
      </c>
      <c r="O147">
        <v>437.44900000000001</v>
      </c>
    </row>
    <row r="148" spans="1:15">
      <c r="A148" t="str">
        <f t="shared" si="1"/>
        <v>CILC1DSDR GCP OFFPK</v>
      </c>
      <c r="B148" t="s">
        <v>122</v>
      </c>
      <c r="C148" t="s">
        <v>173</v>
      </c>
      <c r="D148">
        <v>416.17700000000002</v>
      </c>
      <c r="E148">
        <v>369.911</v>
      </c>
      <c r="F148">
        <v>415.29399999999998</v>
      </c>
      <c r="G148">
        <v>416.55700000000002</v>
      </c>
      <c r="H148">
        <v>346.74700000000001</v>
      </c>
      <c r="I148">
        <v>408.51299999999998</v>
      </c>
      <c r="J148">
        <v>394.67599999999999</v>
      </c>
      <c r="K148">
        <v>341.113</v>
      </c>
      <c r="L148">
        <v>366.334</v>
      </c>
      <c r="M148">
        <v>410.30399999999997</v>
      </c>
      <c r="N148">
        <v>436.15</v>
      </c>
      <c r="O148">
        <v>448.59300000000002</v>
      </c>
    </row>
    <row r="149" spans="1:15">
      <c r="A149" t="str">
        <f t="shared" si="1"/>
        <v>CILC1DSDR CP</v>
      </c>
      <c r="B149" t="s">
        <v>122</v>
      </c>
      <c r="C149" t="s">
        <v>174</v>
      </c>
      <c r="D149">
        <v>276.78800000000001</v>
      </c>
      <c r="E149">
        <v>399.07</v>
      </c>
      <c r="F149">
        <v>299.125</v>
      </c>
      <c r="G149">
        <v>216.97300000000001</v>
      </c>
      <c r="H149">
        <v>337.16699999999997</v>
      </c>
      <c r="I149">
        <v>321.03399999999999</v>
      </c>
      <c r="J149">
        <v>252.86699999999999</v>
      </c>
      <c r="K149">
        <v>305.08</v>
      </c>
      <c r="L149">
        <v>423.60899999999998</v>
      </c>
      <c r="M149">
        <v>332.97300000000001</v>
      </c>
      <c r="N149">
        <v>377.37799999999999</v>
      </c>
      <c r="O149">
        <v>223.90100000000001</v>
      </c>
    </row>
    <row r="150" spans="1:15">
      <c r="A150" t="str">
        <f t="shared" si="1"/>
        <v/>
      </c>
    </row>
    <row r="151" spans="1:15">
      <c r="A151" t="str">
        <f t="shared" si="1"/>
        <v/>
      </c>
    </row>
    <row r="152" spans="1:15">
      <c r="A152" t="str">
        <f t="shared" si="1"/>
        <v xml:space="preserve">CILC1G Commercial/Industrial Load Control - General (56) </v>
      </c>
      <c r="B152" t="s">
        <v>175</v>
      </c>
      <c r="C152" t="s">
        <v>176</v>
      </c>
    </row>
    <row r="153" spans="1:15">
      <c r="A153" t="str">
        <f t="shared" si="1"/>
        <v xml:space="preserve">CILC1GMONTH </v>
      </c>
      <c r="B153" t="s">
        <v>177</v>
      </c>
      <c r="C153" t="s">
        <v>123</v>
      </c>
      <c r="D153" s="4">
        <v>41275</v>
      </c>
      <c r="E153" s="4">
        <v>41306</v>
      </c>
      <c r="F153" s="4">
        <v>41334</v>
      </c>
      <c r="G153" s="4">
        <v>41365</v>
      </c>
      <c r="H153" s="4">
        <v>41395</v>
      </c>
      <c r="I153" s="4">
        <v>41426</v>
      </c>
      <c r="J153" s="4">
        <v>41456</v>
      </c>
      <c r="K153" s="4">
        <v>41487</v>
      </c>
      <c r="L153" s="4">
        <v>41518</v>
      </c>
      <c r="M153" s="4">
        <v>41548</v>
      </c>
      <c r="N153" s="4">
        <v>41579</v>
      </c>
      <c r="O153" s="4">
        <v>41609</v>
      </c>
    </row>
    <row r="154" spans="1:15">
      <c r="A154" t="str">
        <f t="shared" si="1"/>
        <v xml:space="preserve">CILC1GCUSTOMERS </v>
      </c>
      <c r="B154" t="s">
        <v>177</v>
      </c>
      <c r="C154" t="s">
        <v>124</v>
      </c>
      <c r="D154">
        <v>106</v>
      </c>
      <c r="E154">
        <v>106</v>
      </c>
      <c r="F154">
        <v>108</v>
      </c>
      <c r="G154">
        <v>108</v>
      </c>
      <c r="H154">
        <v>108</v>
      </c>
      <c r="I154">
        <v>109</v>
      </c>
      <c r="J154">
        <v>109</v>
      </c>
      <c r="K154">
        <v>108</v>
      </c>
      <c r="L154">
        <v>106</v>
      </c>
      <c r="M154">
        <v>108</v>
      </c>
      <c r="N154">
        <v>106</v>
      </c>
      <c r="O154">
        <v>105</v>
      </c>
    </row>
    <row r="155" spans="1:15">
      <c r="A155" t="str">
        <f t="shared" si="1"/>
        <v xml:space="preserve">CILC1GSALES </v>
      </c>
      <c r="B155" t="s">
        <v>177</v>
      </c>
      <c r="C155" t="s">
        <v>125</v>
      </c>
      <c r="D155">
        <v>15511416</v>
      </c>
      <c r="E155">
        <v>14520344</v>
      </c>
      <c r="F155">
        <v>14215040</v>
      </c>
      <c r="G155">
        <v>15539260</v>
      </c>
      <c r="H155">
        <v>16081190</v>
      </c>
      <c r="I155">
        <v>16177519</v>
      </c>
      <c r="J155">
        <v>16368920</v>
      </c>
      <c r="K155">
        <v>16565740</v>
      </c>
      <c r="L155">
        <v>17412680</v>
      </c>
      <c r="M155">
        <v>16008620</v>
      </c>
      <c r="N155">
        <v>15577140</v>
      </c>
      <c r="O155">
        <v>16394280</v>
      </c>
    </row>
    <row r="156" spans="1:15">
      <c r="A156" t="str">
        <f t="shared" si="1"/>
        <v>CILC1GKW</v>
      </c>
      <c r="B156" t="s">
        <v>177</v>
      </c>
      <c r="C156" t="s">
        <v>126</v>
      </c>
    </row>
    <row r="157" spans="1:15">
      <c r="A157" t="str">
        <f t="shared" si="1"/>
        <v>CILC1GN</v>
      </c>
      <c r="B157" t="s">
        <v>177</v>
      </c>
      <c r="C157" t="s">
        <v>127</v>
      </c>
      <c r="D157">
        <v>106</v>
      </c>
      <c r="E157">
        <v>106</v>
      </c>
      <c r="F157">
        <v>108</v>
      </c>
      <c r="G157">
        <v>109</v>
      </c>
      <c r="H157">
        <v>108</v>
      </c>
      <c r="I157">
        <v>109</v>
      </c>
      <c r="J157">
        <v>109</v>
      </c>
      <c r="K157">
        <v>109</v>
      </c>
      <c r="L157">
        <v>106</v>
      </c>
      <c r="M157">
        <v>107</v>
      </c>
      <c r="N157">
        <v>107</v>
      </c>
      <c r="O157">
        <v>105</v>
      </c>
    </row>
    <row r="158" spans="1:15">
      <c r="A158" t="str">
        <f t="shared" si="1"/>
        <v>CILC1GRLR ENERGY:</v>
      </c>
      <c r="B158" t="s">
        <v>177</v>
      </c>
      <c r="C158" t="s">
        <v>61</v>
      </c>
    </row>
    <row r="159" spans="1:15">
      <c r="A159" t="str">
        <f t="shared" si="1"/>
        <v>CILC1GKWH</v>
      </c>
      <c r="B159" t="s">
        <v>177</v>
      </c>
      <c r="C159" t="s">
        <v>128</v>
      </c>
      <c r="D159">
        <v>15530104</v>
      </c>
      <c r="E159">
        <v>14503304</v>
      </c>
      <c r="F159">
        <v>14204414</v>
      </c>
      <c r="G159">
        <v>15396162</v>
      </c>
      <c r="H159">
        <v>16085247</v>
      </c>
      <c r="I159">
        <v>16179938</v>
      </c>
      <c r="J159">
        <v>16373128</v>
      </c>
      <c r="K159">
        <v>16724332</v>
      </c>
      <c r="L159">
        <v>17336820</v>
      </c>
      <c r="M159">
        <v>16007820</v>
      </c>
      <c r="N159">
        <v>15580456</v>
      </c>
      <c r="O159">
        <v>16397980</v>
      </c>
    </row>
    <row r="160" spans="1:15">
      <c r="A160" t="str">
        <f t="shared" si="1"/>
        <v>CILC1GKWH ONPK</v>
      </c>
      <c r="B160" t="s">
        <v>177</v>
      </c>
      <c r="C160" t="s">
        <v>129</v>
      </c>
      <c r="D160">
        <v>3815504</v>
      </c>
      <c r="E160">
        <v>3601352</v>
      </c>
      <c r="F160">
        <v>3350401</v>
      </c>
      <c r="G160">
        <v>4569795</v>
      </c>
      <c r="H160">
        <v>4583107</v>
      </c>
      <c r="I160">
        <v>4367483</v>
      </c>
      <c r="J160">
        <v>4701011</v>
      </c>
      <c r="K160">
        <v>4783994</v>
      </c>
      <c r="L160">
        <v>4667053</v>
      </c>
      <c r="M160">
        <v>4793382</v>
      </c>
      <c r="N160">
        <v>3586683</v>
      </c>
      <c r="O160">
        <v>3811271</v>
      </c>
    </row>
    <row r="161" spans="1:15">
      <c r="A161" t="str">
        <f t="shared" si="1"/>
        <v>CILC1GKWH OFFPK</v>
      </c>
      <c r="B161" t="s">
        <v>177</v>
      </c>
      <c r="C161" t="s">
        <v>130</v>
      </c>
      <c r="D161">
        <v>11714600</v>
      </c>
      <c r="E161">
        <v>10901951</v>
      </c>
      <c r="F161">
        <v>10854013</v>
      </c>
      <c r="G161">
        <v>10826367</v>
      </c>
      <c r="H161">
        <v>11502140</v>
      </c>
      <c r="I161">
        <v>11812455</v>
      </c>
      <c r="J161">
        <v>11672117</v>
      </c>
      <c r="K161">
        <v>11940338</v>
      </c>
      <c r="L161">
        <v>12669768</v>
      </c>
      <c r="M161">
        <v>11214438</v>
      </c>
      <c r="N161">
        <v>11993773</v>
      </c>
      <c r="O161">
        <v>12586709</v>
      </c>
    </row>
    <row r="162" spans="1:15">
      <c r="A162" t="str">
        <f t="shared" si="1"/>
        <v>CILC1GKWH ONPK%</v>
      </c>
      <c r="B162" t="s">
        <v>177</v>
      </c>
      <c r="C162" t="s">
        <v>131</v>
      </c>
      <c r="D162" s="5">
        <v>0.24568000000000001</v>
      </c>
      <c r="E162" s="5">
        <v>0.24831</v>
      </c>
      <c r="F162" s="5">
        <v>0.23587</v>
      </c>
      <c r="G162" s="5">
        <v>0.29681000000000002</v>
      </c>
      <c r="H162" s="5">
        <v>0.28493000000000002</v>
      </c>
      <c r="I162" s="5">
        <v>0.26993</v>
      </c>
      <c r="J162" s="5">
        <v>0.28711999999999999</v>
      </c>
      <c r="K162" s="5">
        <v>0.28605000000000003</v>
      </c>
      <c r="L162" s="5">
        <v>0.26919999999999999</v>
      </c>
      <c r="M162" s="5">
        <v>0.29943999999999998</v>
      </c>
      <c r="N162" s="5">
        <v>0.23019999999999999</v>
      </c>
      <c r="O162" s="5">
        <v>0.23241999999999999</v>
      </c>
    </row>
    <row r="163" spans="1:15">
      <c r="A163" t="str">
        <f t="shared" si="1"/>
        <v>CILC1GKWH OFFPK%</v>
      </c>
      <c r="B163" t="s">
        <v>177</v>
      </c>
      <c r="C163" t="s">
        <v>132</v>
      </c>
      <c r="D163" s="5">
        <v>0.75431999999999999</v>
      </c>
      <c r="E163" s="5">
        <v>0.75168999999999997</v>
      </c>
      <c r="F163" s="5">
        <v>0.76412999999999998</v>
      </c>
      <c r="G163" s="5">
        <v>0.70318999999999998</v>
      </c>
      <c r="H163" s="5">
        <v>0.71506999999999998</v>
      </c>
      <c r="I163" s="5">
        <v>0.73007</v>
      </c>
      <c r="J163" s="5">
        <v>0.71287999999999996</v>
      </c>
      <c r="K163" s="5">
        <v>0.71394999999999997</v>
      </c>
      <c r="L163" s="5">
        <v>0.73080000000000001</v>
      </c>
      <c r="M163" s="5">
        <v>0.70055999999999996</v>
      </c>
      <c r="N163" s="5">
        <v>0.76980000000000004</v>
      </c>
      <c r="O163" s="5">
        <v>0.76758000000000004</v>
      </c>
    </row>
    <row r="164" spans="1:15">
      <c r="A164" t="str">
        <f t="shared" si="1"/>
        <v>CILC1GDEMAND (KW):</v>
      </c>
      <c r="B164" t="s">
        <v>177</v>
      </c>
      <c r="C164" t="s">
        <v>62</v>
      </c>
    </row>
    <row r="165" spans="1:15">
      <c r="A165" t="str">
        <f t="shared" si="1"/>
        <v>CILC1GNCP</v>
      </c>
      <c r="B165" t="s">
        <v>177</v>
      </c>
      <c r="C165" t="s">
        <v>133</v>
      </c>
      <c r="D165">
        <v>30381</v>
      </c>
      <c r="E165">
        <v>32149</v>
      </c>
      <c r="F165">
        <v>28622</v>
      </c>
      <c r="G165">
        <v>30971</v>
      </c>
      <c r="H165">
        <v>31447</v>
      </c>
      <c r="I165">
        <v>32356</v>
      </c>
      <c r="J165">
        <v>31449</v>
      </c>
      <c r="K165">
        <v>32503</v>
      </c>
      <c r="L165">
        <v>33959</v>
      </c>
      <c r="M165">
        <v>30459</v>
      </c>
      <c r="N165">
        <v>31019</v>
      </c>
      <c r="O165">
        <v>31289</v>
      </c>
    </row>
    <row r="166" spans="1:15">
      <c r="A166" t="str">
        <f t="shared" si="1"/>
        <v>CILC1GNCP ONPK</v>
      </c>
      <c r="B166" t="s">
        <v>177</v>
      </c>
      <c r="C166" t="s">
        <v>134</v>
      </c>
      <c r="D166">
        <v>28882</v>
      </c>
      <c r="E166">
        <v>30509</v>
      </c>
      <c r="F166">
        <v>27239</v>
      </c>
      <c r="G166">
        <v>29653</v>
      </c>
      <c r="H166">
        <v>29675</v>
      </c>
      <c r="I166">
        <v>30672</v>
      </c>
      <c r="J166">
        <v>29925</v>
      </c>
      <c r="K166">
        <v>31039</v>
      </c>
      <c r="L166">
        <v>32436</v>
      </c>
      <c r="M166">
        <v>29129</v>
      </c>
      <c r="N166">
        <v>29359</v>
      </c>
      <c r="O166">
        <v>29575</v>
      </c>
    </row>
    <row r="167" spans="1:15">
      <c r="A167" t="str">
        <f t="shared" si="1"/>
        <v>CILC1GNCP OFFPK</v>
      </c>
      <c r="B167" t="s">
        <v>177</v>
      </c>
      <c r="C167" t="s">
        <v>135</v>
      </c>
      <c r="D167">
        <v>30128</v>
      </c>
      <c r="E167">
        <v>31656</v>
      </c>
      <c r="F167">
        <v>28313</v>
      </c>
      <c r="G167">
        <v>30358</v>
      </c>
      <c r="H167">
        <v>31046</v>
      </c>
      <c r="I167">
        <v>31869</v>
      </c>
      <c r="J167">
        <v>30879</v>
      </c>
      <c r="K167">
        <v>31878</v>
      </c>
      <c r="L167">
        <v>33462</v>
      </c>
      <c r="M167">
        <v>29785</v>
      </c>
      <c r="N167">
        <v>30726</v>
      </c>
      <c r="O167">
        <v>31081</v>
      </c>
    </row>
    <row r="168" spans="1:15">
      <c r="A168" t="str">
        <f t="shared" si="1"/>
        <v>CILC1GGCP DATE</v>
      </c>
      <c r="B168" t="s">
        <v>177</v>
      </c>
      <c r="C168" t="s">
        <v>136</v>
      </c>
      <c r="D168" t="s">
        <v>307</v>
      </c>
      <c r="E168" t="s">
        <v>298</v>
      </c>
      <c r="F168" t="s">
        <v>767</v>
      </c>
      <c r="G168" t="s">
        <v>768</v>
      </c>
      <c r="H168" t="s">
        <v>769</v>
      </c>
      <c r="I168" t="s">
        <v>770</v>
      </c>
      <c r="J168" t="s">
        <v>771</v>
      </c>
      <c r="K168" t="s">
        <v>772</v>
      </c>
      <c r="L168" t="s">
        <v>750</v>
      </c>
      <c r="M168" t="s">
        <v>764</v>
      </c>
      <c r="N168" t="s">
        <v>773</v>
      </c>
      <c r="O168" t="s">
        <v>766</v>
      </c>
    </row>
    <row r="169" spans="1:15">
      <c r="A169" t="str">
        <f t="shared" si="1"/>
        <v>CILC1GGCP TIME</v>
      </c>
      <c r="B169" t="s">
        <v>177</v>
      </c>
      <c r="C169" t="s">
        <v>142</v>
      </c>
      <c r="D169" t="s">
        <v>189</v>
      </c>
      <c r="E169" t="s">
        <v>189</v>
      </c>
      <c r="F169" t="s">
        <v>189</v>
      </c>
      <c r="G169" t="s">
        <v>143</v>
      </c>
      <c r="H169" t="s">
        <v>189</v>
      </c>
      <c r="I169" t="s">
        <v>146</v>
      </c>
      <c r="J169" t="s">
        <v>189</v>
      </c>
      <c r="K169" t="s">
        <v>146</v>
      </c>
      <c r="L169" t="s">
        <v>146</v>
      </c>
      <c r="M169" t="s">
        <v>144</v>
      </c>
      <c r="N169" t="s">
        <v>182</v>
      </c>
      <c r="O169" t="s">
        <v>146</v>
      </c>
    </row>
    <row r="170" spans="1:15">
      <c r="A170" t="str">
        <f t="shared" si="1"/>
        <v>CILC1GGCP</v>
      </c>
      <c r="B170" t="s">
        <v>177</v>
      </c>
      <c r="C170" t="s">
        <v>147</v>
      </c>
      <c r="D170">
        <v>24910</v>
      </c>
      <c r="E170">
        <v>26264</v>
      </c>
      <c r="F170">
        <v>22751</v>
      </c>
      <c r="G170">
        <v>25352</v>
      </c>
      <c r="H170">
        <v>25091</v>
      </c>
      <c r="I170">
        <v>26367</v>
      </c>
      <c r="J170">
        <v>25681</v>
      </c>
      <c r="K170">
        <v>26051</v>
      </c>
      <c r="L170">
        <v>28011</v>
      </c>
      <c r="M170">
        <v>25175</v>
      </c>
      <c r="N170">
        <v>25271</v>
      </c>
      <c r="O170">
        <v>25532</v>
      </c>
    </row>
    <row r="171" spans="1:15">
      <c r="A171" t="str">
        <f t="shared" si="1"/>
        <v>CILC1GGCP ONPK</v>
      </c>
      <c r="B171" t="s">
        <v>177</v>
      </c>
      <c r="C171" t="s">
        <v>63</v>
      </c>
      <c r="D171">
        <v>24183</v>
      </c>
      <c r="E171">
        <v>25857</v>
      </c>
      <c r="F171">
        <v>21777</v>
      </c>
      <c r="G171">
        <v>25352</v>
      </c>
      <c r="H171">
        <v>24944</v>
      </c>
      <c r="I171">
        <v>26306</v>
      </c>
      <c r="J171">
        <v>25620</v>
      </c>
      <c r="K171">
        <v>25972</v>
      </c>
      <c r="L171">
        <v>27908</v>
      </c>
      <c r="M171">
        <v>25175</v>
      </c>
      <c r="N171">
        <v>24598</v>
      </c>
      <c r="O171">
        <v>24998</v>
      </c>
    </row>
    <row r="172" spans="1:15">
      <c r="A172" t="str">
        <f t="shared" si="1"/>
        <v>CILC1GGCP OFFPK</v>
      </c>
      <c r="B172" t="s">
        <v>177</v>
      </c>
      <c r="C172" t="s">
        <v>64</v>
      </c>
      <c r="D172">
        <v>24910</v>
      </c>
      <c r="E172">
        <v>26264</v>
      </c>
      <c r="F172">
        <v>22751</v>
      </c>
      <c r="G172">
        <v>25238</v>
      </c>
      <c r="H172">
        <v>25091</v>
      </c>
      <c r="I172">
        <v>26367</v>
      </c>
      <c r="J172">
        <v>25681</v>
      </c>
      <c r="K172">
        <v>26051</v>
      </c>
      <c r="L172">
        <v>28011</v>
      </c>
      <c r="M172">
        <v>24812</v>
      </c>
      <c r="N172">
        <v>25271</v>
      </c>
      <c r="O172">
        <v>25532</v>
      </c>
    </row>
    <row r="173" spans="1:15">
      <c r="A173" t="str">
        <f t="shared" si="1"/>
        <v>CILC1GCP</v>
      </c>
      <c r="B173" t="s">
        <v>177</v>
      </c>
      <c r="C173" t="s">
        <v>148</v>
      </c>
      <c r="D173">
        <v>22904</v>
      </c>
      <c r="E173">
        <v>25415</v>
      </c>
      <c r="F173">
        <v>19855</v>
      </c>
      <c r="G173">
        <v>24128</v>
      </c>
      <c r="H173">
        <v>24322</v>
      </c>
      <c r="I173">
        <v>25542</v>
      </c>
      <c r="J173">
        <v>24618</v>
      </c>
      <c r="K173">
        <v>24725</v>
      </c>
      <c r="L173">
        <v>27282</v>
      </c>
      <c r="M173">
        <v>24342</v>
      </c>
      <c r="N173">
        <v>24343</v>
      </c>
      <c r="O173">
        <v>23790</v>
      </c>
    </row>
    <row r="174" spans="1:15">
      <c r="A174" t="str">
        <f t="shared" si="1"/>
        <v>CILC1GPERIOD START</v>
      </c>
      <c r="B174" t="s">
        <v>177</v>
      </c>
      <c r="C174" t="s">
        <v>149</v>
      </c>
      <c r="D174" s="1">
        <v>41275</v>
      </c>
      <c r="E174" s="1">
        <v>41306</v>
      </c>
      <c r="F174" s="1">
        <v>41334</v>
      </c>
      <c r="G174" s="1">
        <v>41365</v>
      </c>
      <c r="H174" s="1">
        <v>41395</v>
      </c>
      <c r="I174" s="1">
        <v>41426</v>
      </c>
      <c r="J174" s="1">
        <v>41456</v>
      </c>
      <c r="K174" s="1">
        <v>41487</v>
      </c>
      <c r="L174" s="1">
        <v>41518</v>
      </c>
      <c r="M174" s="1">
        <v>41548</v>
      </c>
      <c r="N174" s="1">
        <v>41579</v>
      </c>
      <c r="O174" s="1">
        <v>41609</v>
      </c>
    </row>
    <row r="175" spans="1:15">
      <c r="A175" t="str">
        <f t="shared" si="1"/>
        <v>CILC1GNCP LF</v>
      </c>
      <c r="B175" t="s">
        <v>177</v>
      </c>
      <c r="C175" t="s">
        <v>150</v>
      </c>
      <c r="D175" s="5">
        <v>0.68710000000000004</v>
      </c>
      <c r="E175" s="5">
        <v>0.67130000000000001</v>
      </c>
      <c r="F175" s="5">
        <v>0.66700000000000004</v>
      </c>
      <c r="G175" s="5">
        <v>0.69040000000000001</v>
      </c>
      <c r="H175" s="5">
        <v>0.6875</v>
      </c>
      <c r="I175" s="5">
        <v>0.69450000000000001</v>
      </c>
      <c r="J175" s="5">
        <v>0.69979999999999998</v>
      </c>
      <c r="K175" s="5">
        <v>0.69159999999999999</v>
      </c>
      <c r="L175" s="5">
        <v>0.70909999999999995</v>
      </c>
      <c r="M175" s="5">
        <v>0.70640000000000003</v>
      </c>
      <c r="N175" s="5">
        <v>0.6976</v>
      </c>
      <c r="O175" s="5">
        <v>0.70440000000000003</v>
      </c>
    </row>
    <row r="176" spans="1:15">
      <c r="A176" t="str">
        <f t="shared" si="1"/>
        <v>CILC1GNCP LF ONPK</v>
      </c>
      <c r="B176" t="s">
        <v>177</v>
      </c>
      <c r="C176" t="s">
        <v>151</v>
      </c>
      <c r="D176" s="5">
        <v>0.75060000000000004</v>
      </c>
      <c r="E176" s="5">
        <v>0.73780000000000001</v>
      </c>
      <c r="F176" s="5">
        <v>0.73209999999999997</v>
      </c>
      <c r="G176" s="5">
        <v>0.77829999999999999</v>
      </c>
      <c r="H176" s="5">
        <v>0.78</v>
      </c>
      <c r="I176" s="5">
        <v>0.79110000000000003</v>
      </c>
      <c r="J176" s="5">
        <v>0.79339999999999999</v>
      </c>
      <c r="K176" s="5">
        <v>0.77839999999999998</v>
      </c>
      <c r="L176" s="5">
        <v>0.7994</v>
      </c>
      <c r="M176" s="5">
        <v>0.79500000000000004</v>
      </c>
      <c r="N176" s="5">
        <v>0.76349999999999996</v>
      </c>
      <c r="O176" s="5">
        <v>0.7671</v>
      </c>
    </row>
    <row r="177" spans="1:15">
      <c r="A177" t="str">
        <f t="shared" si="1"/>
        <v>CILC1GNCP LF OFFPK</v>
      </c>
      <c r="B177" t="s">
        <v>177</v>
      </c>
      <c r="C177" t="s">
        <v>152</v>
      </c>
      <c r="D177" s="5">
        <v>0.6845</v>
      </c>
      <c r="E177" s="5">
        <v>0.67259999999999998</v>
      </c>
      <c r="F177" s="5">
        <v>0.66559999999999997</v>
      </c>
      <c r="G177" s="5">
        <v>0.68320000000000003</v>
      </c>
      <c r="H177" s="5">
        <v>0.67849999999999999</v>
      </c>
      <c r="I177" s="5">
        <v>0.68640000000000001</v>
      </c>
      <c r="J177" s="5">
        <v>0.69230000000000003</v>
      </c>
      <c r="K177" s="5">
        <v>0.68600000000000005</v>
      </c>
      <c r="L177" s="5">
        <v>0.70120000000000005</v>
      </c>
      <c r="M177" s="5">
        <v>0.70120000000000005</v>
      </c>
      <c r="N177" s="5">
        <v>0.69710000000000005</v>
      </c>
      <c r="O177" s="5">
        <v>0.70309999999999995</v>
      </c>
    </row>
    <row r="178" spans="1:15">
      <c r="A178" t="str">
        <f t="shared" si="1"/>
        <v>CILC1GGCP CF</v>
      </c>
      <c r="B178" t="s">
        <v>177</v>
      </c>
      <c r="C178" t="s">
        <v>153</v>
      </c>
      <c r="D178" s="5">
        <v>0.81989999999999996</v>
      </c>
      <c r="E178" s="5">
        <v>0.81699999999999995</v>
      </c>
      <c r="F178" s="5">
        <v>0.79490000000000005</v>
      </c>
      <c r="G178" s="5">
        <v>0.81859999999999999</v>
      </c>
      <c r="H178" s="5">
        <v>0.79790000000000005</v>
      </c>
      <c r="I178" s="5">
        <v>0.81489999999999996</v>
      </c>
      <c r="J178" s="5">
        <v>0.81659999999999999</v>
      </c>
      <c r="K178" s="5">
        <v>0.80149999999999999</v>
      </c>
      <c r="L178" s="5">
        <v>0.82479999999999998</v>
      </c>
      <c r="M178" s="5">
        <v>0.82650000000000001</v>
      </c>
      <c r="N178" s="5">
        <v>0.81469999999999998</v>
      </c>
      <c r="O178" s="5">
        <v>0.81599999999999995</v>
      </c>
    </row>
    <row r="179" spans="1:15">
      <c r="A179" t="str">
        <f t="shared" si="1"/>
        <v>CILC1GCP CF</v>
      </c>
      <c r="B179" t="s">
        <v>177</v>
      </c>
      <c r="C179" t="s">
        <v>154</v>
      </c>
      <c r="D179" s="5">
        <v>0.75390000000000001</v>
      </c>
      <c r="E179" s="5">
        <v>0.79049999999999998</v>
      </c>
      <c r="F179" s="5">
        <v>0.69369999999999998</v>
      </c>
      <c r="G179" s="5">
        <v>0.77910000000000001</v>
      </c>
      <c r="H179" s="5">
        <v>0.77339999999999998</v>
      </c>
      <c r="I179" s="5">
        <v>0.78939999999999999</v>
      </c>
      <c r="J179" s="5">
        <v>0.78280000000000005</v>
      </c>
      <c r="K179" s="5">
        <v>0.76070000000000004</v>
      </c>
      <c r="L179" s="5">
        <v>0.8034</v>
      </c>
      <c r="M179" s="5">
        <v>0.79920000000000002</v>
      </c>
      <c r="N179" s="5">
        <v>0.78480000000000005</v>
      </c>
      <c r="O179" s="5">
        <v>0.76029999999999998</v>
      </c>
    </row>
    <row r="180" spans="1:15">
      <c r="A180" t="str">
        <f t="shared" si="1"/>
        <v>CILC1GGCP LF</v>
      </c>
      <c r="B180" t="s">
        <v>177</v>
      </c>
      <c r="C180" t="s">
        <v>155</v>
      </c>
      <c r="D180" s="5">
        <v>0.83799999999999997</v>
      </c>
      <c r="E180" s="5">
        <v>0.82169999999999999</v>
      </c>
      <c r="F180" s="5">
        <v>0.83919999999999995</v>
      </c>
      <c r="G180" s="5">
        <v>0.84350000000000003</v>
      </c>
      <c r="H180" s="5">
        <v>0.86170000000000002</v>
      </c>
      <c r="I180" s="5">
        <v>0.85229999999999995</v>
      </c>
      <c r="J180" s="5">
        <v>0.8569</v>
      </c>
      <c r="K180" s="5">
        <v>0.8629</v>
      </c>
      <c r="L180" s="5">
        <v>0.85960000000000003</v>
      </c>
      <c r="M180" s="5">
        <v>0.85470000000000002</v>
      </c>
      <c r="N180" s="5">
        <v>0.85629999999999995</v>
      </c>
      <c r="O180" s="5">
        <v>0.86319999999999997</v>
      </c>
    </row>
    <row r="181" spans="1:15">
      <c r="A181" t="str">
        <f t="shared" ref="A181:A244" si="2">B181&amp;C181</f>
        <v>CILC1GGCP LF ONPK</v>
      </c>
      <c r="B181" t="s">
        <v>177</v>
      </c>
      <c r="C181" t="s">
        <v>156</v>
      </c>
      <c r="D181" s="5">
        <v>0.89649999999999996</v>
      </c>
      <c r="E181" s="5">
        <v>0.87050000000000005</v>
      </c>
      <c r="F181" s="5">
        <v>0.91579999999999995</v>
      </c>
      <c r="G181" s="5">
        <v>0.91039999999999999</v>
      </c>
      <c r="H181" s="5">
        <v>0.92800000000000005</v>
      </c>
      <c r="I181" s="5">
        <v>0.9224</v>
      </c>
      <c r="J181" s="5">
        <v>0.92669999999999997</v>
      </c>
      <c r="K181" s="5">
        <v>0.93030000000000002</v>
      </c>
      <c r="L181" s="5">
        <v>0.92910000000000004</v>
      </c>
      <c r="M181" s="5">
        <v>0.91979999999999995</v>
      </c>
      <c r="N181" s="5">
        <v>0.9113</v>
      </c>
      <c r="O181" s="5">
        <v>0.90749999999999997</v>
      </c>
    </row>
    <row r="182" spans="1:15">
      <c r="A182" t="str">
        <f t="shared" si="2"/>
        <v>CILC1GGCP LF OFFPK</v>
      </c>
      <c r="B182" t="s">
        <v>177</v>
      </c>
      <c r="C182" t="s">
        <v>157</v>
      </c>
      <c r="D182" s="5">
        <v>0.82789999999999997</v>
      </c>
      <c r="E182" s="5">
        <v>0.81069999999999998</v>
      </c>
      <c r="F182" s="5">
        <v>0.82820000000000005</v>
      </c>
      <c r="G182" s="5">
        <v>0.82179999999999997</v>
      </c>
      <c r="H182" s="5">
        <v>0.83960000000000001</v>
      </c>
      <c r="I182" s="5">
        <v>0.8296</v>
      </c>
      <c r="J182" s="5">
        <v>0.83240000000000003</v>
      </c>
      <c r="K182" s="5">
        <v>0.83950000000000002</v>
      </c>
      <c r="L182" s="5">
        <v>0.83760000000000001</v>
      </c>
      <c r="M182" s="5">
        <v>0.8417</v>
      </c>
      <c r="N182" s="5">
        <v>0.84750000000000003</v>
      </c>
      <c r="O182" s="5">
        <v>0.85580000000000001</v>
      </c>
    </row>
    <row r="183" spans="1:15">
      <c r="A183" t="str">
        <f t="shared" si="2"/>
        <v>CILC1GCP LF</v>
      </c>
      <c r="B183" t="s">
        <v>177</v>
      </c>
      <c r="C183" t="s">
        <v>158</v>
      </c>
      <c r="D183" s="5">
        <v>0.91139999999999999</v>
      </c>
      <c r="E183" s="5">
        <v>0.84919999999999995</v>
      </c>
      <c r="F183" s="5">
        <v>0.96150000000000002</v>
      </c>
      <c r="G183" s="5">
        <v>0.88629999999999998</v>
      </c>
      <c r="H183" s="5">
        <v>0.88890000000000002</v>
      </c>
      <c r="I183" s="5">
        <v>0.87980000000000003</v>
      </c>
      <c r="J183" s="5">
        <v>0.89390000000000003</v>
      </c>
      <c r="K183" s="5">
        <v>0.90920000000000001</v>
      </c>
      <c r="L183" s="5">
        <v>0.88260000000000005</v>
      </c>
      <c r="M183" s="5">
        <v>0.88390000000000002</v>
      </c>
      <c r="N183" s="5">
        <v>0.88890000000000002</v>
      </c>
      <c r="O183" s="5">
        <v>0.9264</v>
      </c>
    </row>
    <row r="184" spans="1:15">
      <c r="A184" t="str">
        <f t="shared" si="2"/>
        <v>CILC1GREL PREC:</v>
      </c>
      <c r="B184" t="s">
        <v>177</v>
      </c>
      <c r="C184" t="s">
        <v>65</v>
      </c>
    </row>
    <row r="185" spans="1:15">
      <c r="A185" t="str">
        <f t="shared" si="2"/>
        <v>CILC1GNCP RP</v>
      </c>
      <c r="B185" t="s">
        <v>177</v>
      </c>
      <c r="C185" t="s">
        <v>159</v>
      </c>
      <c r="D185" s="5">
        <v>3.8E-3</v>
      </c>
      <c r="E185" s="5">
        <v>0</v>
      </c>
      <c r="F185" s="5">
        <v>5.1000000000000004E-3</v>
      </c>
      <c r="G185" s="5">
        <v>6.0000000000000001E-3</v>
      </c>
      <c r="H185" s="5">
        <v>0</v>
      </c>
      <c r="I185" s="5">
        <v>0</v>
      </c>
      <c r="J185" s="5">
        <v>0</v>
      </c>
      <c r="K185" s="5">
        <v>4.4999999999999997E-3</v>
      </c>
      <c r="L185" s="5">
        <v>0</v>
      </c>
      <c r="M185" s="5">
        <v>4.1000000000000003E-3</v>
      </c>
      <c r="N185" s="5">
        <v>4.1000000000000003E-3</v>
      </c>
      <c r="O185" s="5">
        <v>0</v>
      </c>
    </row>
    <row r="186" spans="1:15">
      <c r="A186" t="str">
        <f t="shared" si="2"/>
        <v>CILC1GNCP RP ONPK</v>
      </c>
      <c r="B186" t="s">
        <v>177</v>
      </c>
      <c r="C186" t="s">
        <v>160</v>
      </c>
      <c r="D186" s="5">
        <v>3.7000000000000002E-3</v>
      </c>
      <c r="E186" s="5">
        <v>0</v>
      </c>
      <c r="F186" s="5">
        <v>4.7999999999999996E-3</v>
      </c>
      <c r="G186" s="5">
        <v>5.4000000000000003E-3</v>
      </c>
      <c r="H186" s="5">
        <v>0</v>
      </c>
      <c r="I186" s="5">
        <v>0</v>
      </c>
      <c r="J186" s="5">
        <v>0</v>
      </c>
      <c r="K186" s="5">
        <v>3.8999999999999998E-3</v>
      </c>
      <c r="L186" s="5">
        <v>0</v>
      </c>
      <c r="M186" s="5">
        <v>3.5000000000000001E-3</v>
      </c>
      <c r="N186" s="5">
        <v>3.8999999999999998E-3</v>
      </c>
      <c r="O186" s="5">
        <v>0</v>
      </c>
    </row>
    <row r="187" spans="1:15">
      <c r="A187" t="str">
        <f t="shared" si="2"/>
        <v>CILC1GNCP RP OFFPK</v>
      </c>
      <c r="B187" t="s">
        <v>177</v>
      </c>
      <c r="C187" t="s">
        <v>161</v>
      </c>
      <c r="D187" s="5">
        <v>3.8E-3</v>
      </c>
      <c r="E187" s="5">
        <v>0</v>
      </c>
      <c r="F187" s="5">
        <v>5.1000000000000004E-3</v>
      </c>
      <c r="G187" s="5">
        <v>6.0000000000000001E-3</v>
      </c>
      <c r="H187" s="5">
        <v>0</v>
      </c>
      <c r="I187" s="5">
        <v>0</v>
      </c>
      <c r="J187" s="5">
        <v>0</v>
      </c>
      <c r="K187" s="5">
        <v>4.5999999999999999E-3</v>
      </c>
      <c r="L187" s="5">
        <v>0</v>
      </c>
      <c r="M187" s="5">
        <v>4.1000000000000003E-3</v>
      </c>
      <c r="N187" s="5">
        <v>4.0000000000000001E-3</v>
      </c>
      <c r="O187" s="5">
        <v>0</v>
      </c>
    </row>
    <row r="188" spans="1:15">
      <c r="A188" t="str">
        <f t="shared" si="2"/>
        <v>CILC1GGCP RP</v>
      </c>
      <c r="B188" t="s">
        <v>177</v>
      </c>
      <c r="C188" t="s">
        <v>162</v>
      </c>
      <c r="D188" s="5">
        <v>3.5999999999999999E-3</v>
      </c>
      <c r="E188" s="5">
        <v>0</v>
      </c>
      <c r="F188" s="5">
        <v>3.5999999999999999E-3</v>
      </c>
      <c r="G188" s="5">
        <v>4.7000000000000002E-3</v>
      </c>
      <c r="H188" s="5">
        <v>0</v>
      </c>
      <c r="I188" s="5">
        <v>0</v>
      </c>
      <c r="J188" s="5">
        <v>0</v>
      </c>
      <c r="K188" s="5">
        <v>3.0000000000000001E-3</v>
      </c>
      <c r="L188" s="5">
        <v>0</v>
      </c>
      <c r="M188" s="5">
        <v>3.2000000000000002E-3</v>
      </c>
      <c r="N188" s="5">
        <v>3.3E-3</v>
      </c>
      <c r="O188" s="5">
        <v>0</v>
      </c>
    </row>
    <row r="189" spans="1:15">
      <c r="A189" t="str">
        <f t="shared" si="2"/>
        <v>CILC1GGCP RP ONPK</v>
      </c>
      <c r="B189" t="s">
        <v>177</v>
      </c>
      <c r="C189" t="s">
        <v>163</v>
      </c>
      <c r="D189" s="5">
        <v>3.5999999999999999E-3</v>
      </c>
      <c r="E189" s="5">
        <v>0</v>
      </c>
      <c r="F189" s="5">
        <v>4.3E-3</v>
      </c>
      <c r="G189" s="5">
        <v>4.7000000000000002E-3</v>
      </c>
      <c r="H189" s="5">
        <v>0</v>
      </c>
      <c r="I189" s="5">
        <v>0</v>
      </c>
      <c r="J189" s="5">
        <v>0</v>
      </c>
      <c r="K189" s="5">
        <v>2.7000000000000001E-3</v>
      </c>
      <c r="L189" s="5">
        <v>0</v>
      </c>
      <c r="M189" s="5">
        <v>3.2000000000000002E-3</v>
      </c>
      <c r="N189" s="5">
        <v>3.0999999999999999E-3</v>
      </c>
      <c r="O189" s="5">
        <v>0</v>
      </c>
    </row>
    <row r="190" spans="1:15">
      <c r="A190" t="str">
        <f t="shared" si="2"/>
        <v>CILC1GGCP RP OFFPK</v>
      </c>
      <c r="B190" t="s">
        <v>177</v>
      </c>
      <c r="C190" t="s">
        <v>164</v>
      </c>
      <c r="D190" s="5">
        <v>3.5999999999999999E-3</v>
      </c>
      <c r="E190" s="5">
        <v>0</v>
      </c>
      <c r="F190" s="5">
        <v>3.5999999999999999E-3</v>
      </c>
      <c r="G190" s="5">
        <v>4.3E-3</v>
      </c>
      <c r="H190" s="5">
        <v>0</v>
      </c>
      <c r="I190" s="5">
        <v>0</v>
      </c>
      <c r="J190" s="5">
        <v>0</v>
      </c>
      <c r="K190" s="5">
        <v>3.0000000000000001E-3</v>
      </c>
      <c r="L190" s="5">
        <v>0</v>
      </c>
      <c r="M190" s="5">
        <v>3.7000000000000002E-3</v>
      </c>
      <c r="N190" s="5">
        <v>3.3E-3</v>
      </c>
      <c r="O190" s="5">
        <v>0</v>
      </c>
    </row>
    <row r="191" spans="1:15">
      <c r="A191" t="str">
        <f t="shared" si="2"/>
        <v>CILC1GCP RP</v>
      </c>
      <c r="B191" t="s">
        <v>177</v>
      </c>
      <c r="C191" t="s">
        <v>165</v>
      </c>
      <c r="D191" s="5">
        <v>2.7000000000000001E-3</v>
      </c>
      <c r="E191" s="5">
        <v>0</v>
      </c>
      <c r="F191" s="5">
        <v>5.0000000000000001E-3</v>
      </c>
      <c r="G191" s="5">
        <v>3.8999999999999998E-3</v>
      </c>
      <c r="H191" s="5">
        <v>0</v>
      </c>
      <c r="I191" s="5">
        <v>0</v>
      </c>
      <c r="J191" s="5">
        <v>0</v>
      </c>
      <c r="K191" s="5">
        <v>2.5000000000000001E-3</v>
      </c>
      <c r="L191" s="5">
        <v>0</v>
      </c>
      <c r="M191" s="5">
        <v>2.5000000000000001E-3</v>
      </c>
      <c r="N191" s="5">
        <v>2.7000000000000001E-3</v>
      </c>
      <c r="O191" s="5">
        <v>0</v>
      </c>
    </row>
    <row r="192" spans="1:15">
      <c r="A192" t="str">
        <f t="shared" si="2"/>
        <v>CILC1GSAMPLE SIZE:</v>
      </c>
      <c r="B192" t="s">
        <v>177</v>
      </c>
      <c r="C192" t="s">
        <v>66</v>
      </c>
    </row>
    <row r="193" spans="1:15">
      <c r="A193" t="str">
        <f t="shared" si="2"/>
        <v>CILC1GGCPSZ</v>
      </c>
      <c r="B193" t="s">
        <v>177</v>
      </c>
      <c r="C193" t="s">
        <v>166</v>
      </c>
      <c r="D193">
        <v>105</v>
      </c>
      <c r="E193">
        <v>106</v>
      </c>
      <c r="F193">
        <v>107</v>
      </c>
      <c r="G193">
        <v>107</v>
      </c>
      <c r="H193">
        <v>108</v>
      </c>
      <c r="I193">
        <v>109</v>
      </c>
      <c r="J193">
        <v>109</v>
      </c>
      <c r="K193">
        <v>108</v>
      </c>
      <c r="L193">
        <v>106</v>
      </c>
      <c r="M193">
        <v>106</v>
      </c>
      <c r="N193">
        <v>106</v>
      </c>
      <c r="O193">
        <v>105</v>
      </c>
    </row>
    <row r="194" spans="1:15">
      <c r="A194" t="str">
        <f t="shared" si="2"/>
        <v>CILC1GGCPSZ ONPK</v>
      </c>
      <c r="B194" t="s">
        <v>177</v>
      </c>
      <c r="C194" t="s">
        <v>167</v>
      </c>
      <c r="D194">
        <v>105</v>
      </c>
      <c r="E194">
        <v>106</v>
      </c>
      <c r="F194">
        <v>107</v>
      </c>
      <c r="G194">
        <v>107</v>
      </c>
      <c r="H194">
        <v>108</v>
      </c>
      <c r="I194">
        <v>109</v>
      </c>
      <c r="J194">
        <v>109</v>
      </c>
      <c r="K194">
        <v>108</v>
      </c>
      <c r="L194">
        <v>106</v>
      </c>
      <c r="M194">
        <v>106</v>
      </c>
      <c r="N194">
        <v>106</v>
      </c>
      <c r="O194">
        <v>105</v>
      </c>
    </row>
    <row r="195" spans="1:15">
      <c r="A195" t="str">
        <f t="shared" si="2"/>
        <v>CILC1GGCPSZ OFFPK</v>
      </c>
      <c r="B195" t="s">
        <v>177</v>
      </c>
      <c r="C195" t="s">
        <v>168</v>
      </c>
      <c r="D195">
        <v>105</v>
      </c>
      <c r="E195">
        <v>106</v>
      </c>
      <c r="F195">
        <v>107</v>
      </c>
      <c r="G195">
        <v>107</v>
      </c>
      <c r="H195">
        <v>108</v>
      </c>
      <c r="I195">
        <v>109</v>
      </c>
      <c r="J195">
        <v>109</v>
      </c>
      <c r="K195">
        <v>108</v>
      </c>
      <c r="L195">
        <v>106</v>
      </c>
      <c r="M195">
        <v>106</v>
      </c>
      <c r="N195">
        <v>106</v>
      </c>
      <c r="O195">
        <v>105</v>
      </c>
    </row>
    <row r="196" spans="1:15">
      <c r="A196" t="str">
        <f t="shared" si="2"/>
        <v>CILC1GCPSZ</v>
      </c>
      <c r="B196" t="s">
        <v>177</v>
      </c>
      <c r="C196" t="s">
        <v>169</v>
      </c>
      <c r="D196">
        <v>105</v>
      </c>
      <c r="E196">
        <v>106</v>
      </c>
      <c r="F196">
        <v>107</v>
      </c>
      <c r="G196">
        <v>107</v>
      </c>
      <c r="H196">
        <v>108</v>
      </c>
      <c r="I196">
        <v>109</v>
      </c>
      <c r="J196">
        <v>109</v>
      </c>
      <c r="K196">
        <v>108</v>
      </c>
      <c r="L196">
        <v>106</v>
      </c>
      <c r="M196">
        <v>106</v>
      </c>
      <c r="N196">
        <v>106</v>
      </c>
      <c r="O196">
        <v>105</v>
      </c>
    </row>
    <row r="197" spans="1:15">
      <c r="A197" t="str">
        <f t="shared" si="2"/>
        <v>CILC1GSTD DEV OF R</v>
      </c>
      <c r="B197" t="s">
        <v>177</v>
      </c>
      <c r="C197" t="s">
        <v>170</v>
      </c>
    </row>
    <row r="198" spans="1:15">
      <c r="A198" t="str">
        <f t="shared" si="2"/>
        <v>CILC1GSDR GCP</v>
      </c>
      <c r="B198" t="s">
        <v>177</v>
      </c>
      <c r="C198" t="s">
        <v>171</v>
      </c>
      <c r="D198">
        <v>54.314999999999998</v>
      </c>
      <c r="E198">
        <v>48.106999999999999</v>
      </c>
      <c r="F198">
        <v>49.656999999999996</v>
      </c>
      <c r="G198">
        <v>50.557000000000002</v>
      </c>
      <c r="H198">
        <v>40.159999999999997</v>
      </c>
      <c r="I198">
        <v>60.15</v>
      </c>
      <c r="J198">
        <v>47.951999999999998</v>
      </c>
      <c r="K198">
        <v>46.981999999999999</v>
      </c>
      <c r="L198">
        <v>43.598999999999997</v>
      </c>
      <c r="M198">
        <v>48.045999999999999</v>
      </c>
      <c r="N198">
        <v>50.429000000000002</v>
      </c>
      <c r="O198">
        <v>43.625999999999998</v>
      </c>
    </row>
    <row r="199" spans="1:15">
      <c r="A199" t="str">
        <f t="shared" si="2"/>
        <v>CILC1GSDR GCP ONPK</v>
      </c>
      <c r="B199" t="s">
        <v>177</v>
      </c>
      <c r="C199" t="s">
        <v>172</v>
      </c>
      <c r="D199">
        <v>52.933999999999997</v>
      </c>
      <c r="E199">
        <v>57.273000000000003</v>
      </c>
      <c r="F199">
        <v>56.15</v>
      </c>
      <c r="G199">
        <v>50.557000000000002</v>
      </c>
      <c r="H199">
        <v>44.954000000000001</v>
      </c>
      <c r="I199">
        <v>50.271000000000001</v>
      </c>
      <c r="J199">
        <v>52.616999999999997</v>
      </c>
      <c r="K199">
        <v>42.920999999999999</v>
      </c>
      <c r="L199">
        <v>46.655999999999999</v>
      </c>
      <c r="M199">
        <v>48.045999999999999</v>
      </c>
      <c r="N199">
        <v>46.24</v>
      </c>
      <c r="O199">
        <v>41.805</v>
      </c>
    </row>
    <row r="200" spans="1:15">
      <c r="A200" t="str">
        <f t="shared" si="2"/>
        <v>CILC1GSDR GCP OFFPK</v>
      </c>
      <c r="B200" t="s">
        <v>177</v>
      </c>
      <c r="C200" t="s">
        <v>173</v>
      </c>
      <c r="D200">
        <v>54.314999999999998</v>
      </c>
      <c r="E200">
        <v>48.106999999999999</v>
      </c>
      <c r="F200">
        <v>49.656999999999996</v>
      </c>
      <c r="G200">
        <v>46.728999999999999</v>
      </c>
      <c r="H200">
        <v>40.159999999999997</v>
      </c>
      <c r="I200">
        <v>60.15</v>
      </c>
      <c r="J200">
        <v>47.951999999999998</v>
      </c>
      <c r="K200">
        <v>46.981999999999999</v>
      </c>
      <c r="L200">
        <v>43.598999999999997</v>
      </c>
      <c r="M200">
        <v>55.042999999999999</v>
      </c>
      <c r="N200">
        <v>50.429000000000002</v>
      </c>
      <c r="O200">
        <v>43.625999999999998</v>
      </c>
    </row>
    <row r="201" spans="1:15">
      <c r="A201" t="str">
        <f t="shared" si="2"/>
        <v>CILC1GSDR CP</v>
      </c>
      <c r="B201" t="s">
        <v>177</v>
      </c>
      <c r="C201" t="s">
        <v>174</v>
      </c>
      <c r="D201">
        <v>37.332999999999998</v>
      </c>
      <c r="E201">
        <v>46.768000000000001</v>
      </c>
      <c r="F201">
        <v>60.015000000000001</v>
      </c>
      <c r="G201">
        <v>39.854999999999997</v>
      </c>
      <c r="H201">
        <v>42.591000000000001</v>
      </c>
      <c r="I201">
        <v>41.838999999999999</v>
      </c>
      <c r="J201">
        <v>38.773000000000003</v>
      </c>
      <c r="K201">
        <v>37.573999999999998</v>
      </c>
      <c r="L201">
        <v>43.615000000000002</v>
      </c>
      <c r="M201">
        <v>36.177</v>
      </c>
      <c r="N201">
        <v>39.704999999999998</v>
      </c>
      <c r="O201">
        <v>50.252000000000002</v>
      </c>
    </row>
    <row r="202" spans="1:15">
      <c r="A202" t="str">
        <f t="shared" si="2"/>
        <v/>
      </c>
    </row>
    <row r="203" spans="1:15">
      <c r="A203" t="str">
        <f t="shared" si="2"/>
        <v/>
      </c>
    </row>
    <row r="204" spans="1:15">
      <c r="A204" t="str">
        <f t="shared" si="2"/>
        <v xml:space="preserve">CILC1T Commercial/Industrial Load Control - Transmission (55) </v>
      </c>
      <c r="B204" t="s">
        <v>183</v>
      </c>
      <c r="C204" t="s">
        <v>184</v>
      </c>
    </row>
    <row r="205" spans="1:15">
      <c r="A205" t="str">
        <f t="shared" si="2"/>
        <v xml:space="preserve">CILC1TMONTH </v>
      </c>
      <c r="B205" t="s">
        <v>185</v>
      </c>
      <c r="C205" t="s">
        <v>123</v>
      </c>
      <c r="D205" s="4">
        <v>41275</v>
      </c>
      <c r="E205" s="4">
        <v>41306</v>
      </c>
      <c r="F205" s="4">
        <v>41334</v>
      </c>
      <c r="G205" s="4">
        <v>41365</v>
      </c>
      <c r="H205" s="4">
        <v>41395</v>
      </c>
      <c r="I205" s="4">
        <v>41426</v>
      </c>
      <c r="J205" s="4">
        <v>41456</v>
      </c>
      <c r="K205" s="4">
        <v>41487</v>
      </c>
      <c r="L205" s="4">
        <v>41518</v>
      </c>
      <c r="M205" s="4">
        <v>41548</v>
      </c>
      <c r="N205" s="4">
        <v>41579</v>
      </c>
      <c r="O205" s="4">
        <v>41609</v>
      </c>
    </row>
    <row r="206" spans="1:15">
      <c r="A206" t="str">
        <f t="shared" si="2"/>
        <v xml:space="preserve">CILC1TCUSTOMERS </v>
      </c>
      <c r="B206" t="s">
        <v>185</v>
      </c>
      <c r="C206" t="s">
        <v>124</v>
      </c>
      <c r="D206">
        <v>17</v>
      </c>
      <c r="E206">
        <v>17</v>
      </c>
      <c r="F206">
        <v>17</v>
      </c>
      <c r="G206">
        <v>17</v>
      </c>
      <c r="H206">
        <v>17</v>
      </c>
      <c r="I206">
        <v>17</v>
      </c>
      <c r="J206">
        <v>17</v>
      </c>
      <c r="K206">
        <v>17</v>
      </c>
      <c r="L206">
        <v>17</v>
      </c>
      <c r="M206">
        <v>17</v>
      </c>
      <c r="N206">
        <v>17</v>
      </c>
      <c r="O206">
        <v>17</v>
      </c>
    </row>
    <row r="207" spans="1:15">
      <c r="A207" t="str">
        <f t="shared" si="2"/>
        <v xml:space="preserve">CILC1TSALES </v>
      </c>
      <c r="B207" t="s">
        <v>185</v>
      </c>
      <c r="C207" t="s">
        <v>125</v>
      </c>
      <c r="D207">
        <v>109591163</v>
      </c>
      <c r="E207">
        <v>101027811</v>
      </c>
      <c r="F207">
        <v>101598000</v>
      </c>
      <c r="G207">
        <v>108525976</v>
      </c>
      <c r="H207">
        <v>113690407</v>
      </c>
      <c r="I207">
        <v>111818375</v>
      </c>
      <c r="J207">
        <v>114237992</v>
      </c>
      <c r="K207">
        <v>118016995</v>
      </c>
      <c r="L207">
        <v>117038526</v>
      </c>
      <c r="M207">
        <v>100437207</v>
      </c>
      <c r="N207">
        <v>108065200</v>
      </c>
      <c r="O207">
        <v>113489932</v>
      </c>
    </row>
    <row r="208" spans="1:15">
      <c r="A208" t="str">
        <f t="shared" si="2"/>
        <v>CILC1TKW</v>
      </c>
      <c r="B208" t="s">
        <v>185</v>
      </c>
      <c r="C208" t="s">
        <v>126</v>
      </c>
    </row>
    <row r="209" spans="1:15">
      <c r="A209" t="str">
        <f t="shared" si="2"/>
        <v>CILC1TN</v>
      </c>
      <c r="B209" t="s">
        <v>185</v>
      </c>
      <c r="C209" t="s">
        <v>127</v>
      </c>
      <c r="D209">
        <v>17</v>
      </c>
      <c r="E209">
        <v>17</v>
      </c>
      <c r="F209">
        <v>17</v>
      </c>
      <c r="G209">
        <v>17</v>
      </c>
      <c r="H209">
        <v>17</v>
      </c>
      <c r="I209">
        <v>17</v>
      </c>
      <c r="J209">
        <v>17</v>
      </c>
      <c r="K209">
        <v>17</v>
      </c>
      <c r="L209">
        <v>17</v>
      </c>
      <c r="M209">
        <v>17</v>
      </c>
      <c r="N209">
        <v>17</v>
      </c>
      <c r="O209">
        <v>17</v>
      </c>
    </row>
    <row r="210" spans="1:15">
      <c r="A210" t="str">
        <f t="shared" si="2"/>
        <v>CILC1TRLR ENERGY:</v>
      </c>
      <c r="B210" t="s">
        <v>185</v>
      </c>
      <c r="C210" t="s">
        <v>61</v>
      </c>
    </row>
    <row r="211" spans="1:15">
      <c r="A211" t="str">
        <f t="shared" si="2"/>
        <v>CILC1TKWH</v>
      </c>
      <c r="B211" t="s">
        <v>185</v>
      </c>
      <c r="C211" t="s">
        <v>128</v>
      </c>
      <c r="D211">
        <v>106752907</v>
      </c>
      <c r="E211">
        <v>98699726</v>
      </c>
      <c r="F211">
        <v>106642522</v>
      </c>
      <c r="G211">
        <v>108419860</v>
      </c>
      <c r="H211">
        <v>112476573</v>
      </c>
      <c r="I211">
        <v>111099584</v>
      </c>
      <c r="J211">
        <v>114278417</v>
      </c>
      <c r="K211">
        <v>122284200</v>
      </c>
      <c r="L211">
        <v>107645379</v>
      </c>
      <c r="M211">
        <v>109628994</v>
      </c>
      <c r="N211">
        <v>110249892</v>
      </c>
      <c r="O211">
        <v>106184186</v>
      </c>
    </row>
    <row r="212" spans="1:15">
      <c r="A212" t="str">
        <f t="shared" si="2"/>
        <v>CILC1TKWH ONPK</v>
      </c>
      <c r="B212" t="s">
        <v>185</v>
      </c>
      <c r="C212" t="s">
        <v>129</v>
      </c>
      <c r="D212">
        <v>25834956</v>
      </c>
      <c r="E212">
        <v>23711916</v>
      </c>
      <c r="F212">
        <v>24402872</v>
      </c>
      <c r="G212">
        <v>29775180</v>
      </c>
      <c r="H212">
        <v>30204865</v>
      </c>
      <c r="I212">
        <v>28005639</v>
      </c>
      <c r="J212">
        <v>30898601</v>
      </c>
      <c r="K212">
        <v>33044904</v>
      </c>
      <c r="L212">
        <v>27235275</v>
      </c>
      <c r="M212">
        <v>30620011</v>
      </c>
      <c r="N212">
        <v>24801655</v>
      </c>
      <c r="O212">
        <v>24289767</v>
      </c>
    </row>
    <row r="213" spans="1:15">
      <c r="A213" t="str">
        <f t="shared" si="2"/>
        <v>CILC1TKWH OFFPK</v>
      </c>
      <c r="B213" t="s">
        <v>185</v>
      </c>
      <c r="C213" t="s">
        <v>130</v>
      </c>
      <c r="D213">
        <v>80917951</v>
      </c>
      <c r="E213">
        <v>74987809</v>
      </c>
      <c r="F213">
        <v>82239651</v>
      </c>
      <c r="G213">
        <v>78644679</v>
      </c>
      <c r="H213">
        <v>82271707</v>
      </c>
      <c r="I213">
        <v>83093945</v>
      </c>
      <c r="J213">
        <v>83379816</v>
      </c>
      <c r="K213">
        <v>89239296</v>
      </c>
      <c r="L213">
        <v>80410105</v>
      </c>
      <c r="M213">
        <v>79008983</v>
      </c>
      <c r="N213">
        <v>85448236</v>
      </c>
      <c r="O213">
        <v>81894419</v>
      </c>
    </row>
    <row r="214" spans="1:15">
      <c r="A214" t="str">
        <f t="shared" si="2"/>
        <v>CILC1TKWH ONPK%</v>
      </c>
      <c r="B214" t="s">
        <v>185</v>
      </c>
      <c r="C214" t="s">
        <v>131</v>
      </c>
      <c r="D214" s="5">
        <v>0.24201</v>
      </c>
      <c r="E214" s="5">
        <v>0.24024000000000001</v>
      </c>
      <c r="F214" s="5">
        <v>0.22883000000000001</v>
      </c>
      <c r="G214" s="5">
        <v>0.27462999999999999</v>
      </c>
      <c r="H214" s="5">
        <v>0.26854</v>
      </c>
      <c r="I214" s="5">
        <v>0.25208000000000003</v>
      </c>
      <c r="J214" s="5">
        <v>0.27038000000000001</v>
      </c>
      <c r="K214" s="5">
        <v>0.27023000000000003</v>
      </c>
      <c r="L214" s="5">
        <v>0.25301000000000001</v>
      </c>
      <c r="M214" s="5">
        <v>0.27931</v>
      </c>
      <c r="N214" s="5">
        <v>0.22495999999999999</v>
      </c>
      <c r="O214" s="5">
        <v>0.22875000000000001</v>
      </c>
    </row>
    <row r="215" spans="1:15">
      <c r="A215" t="str">
        <f t="shared" si="2"/>
        <v>CILC1TKWH OFFPK%</v>
      </c>
      <c r="B215" t="s">
        <v>185</v>
      </c>
      <c r="C215" t="s">
        <v>132</v>
      </c>
      <c r="D215" s="5">
        <v>0.75799000000000005</v>
      </c>
      <c r="E215" s="5">
        <v>0.75975999999999999</v>
      </c>
      <c r="F215" s="5">
        <v>0.77117000000000002</v>
      </c>
      <c r="G215" s="5">
        <v>0.72536999999999996</v>
      </c>
      <c r="H215" s="5">
        <v>0.73146</v>
      </c>
      <c r="I215" s="5">
        <v>0.74792000000000003</v>
      </c>
      <c r="J215" s="5">
        <v>0.72962000000000005</v>
      </c>
      <c r="K215" s="5">
        <v>0.72977000000000003</v>
      </c>
      <c r="L215" s="5">
        <v>0.74699000000000004</v>
      </c>
      <c r="M215" s="5">
        <v>0.72069000000000005</v>
      </c>
      <c r="N215" s="5">
        <v>0.77503999999999995</v>
      </c>
      <c r="O215" s="5">
        <v>0.77124999999999999</v>
      </c>
    </row>
    <row r="216" spans="1:15">
      <c r="A216" t="str">
        <f t="shared" si="2"/>
        <v>CILC1TDEMAND (KW):</v>
      </c>
      <c r="B216" t="s">
        <v>185</v>
      </c>
      <c r="C216" t="s">
        <v>62</v>
      </c>
    </row>
    <row r="217" spans="1:15">
      <c r="A217" t="str">
        <f t="shared" si="2"/>
        <v>CILC1TNCP</v>
      </c>
      <c r="B217" t="s">
        <v>185</v>
      </c>
      <c r="C217" t="s">
        <v>133</v>
      </c>
      <c r="D217">
        <v>198261</v>
      </c>
      <c r="E217">
        <v>200653</v>
      </c>
      <c r="F217">
        <v>197636</v>
      </c>
      <c r="G217">
        <v>199707</v>
      </c>
      <c r="H217">
        <v>202956</v>
      </c>
      <c r="I217">
        <v>207432</v>
      </c>
      <c r="J217">
        <v>206131</v>
      </c>
      <c r="K217">
        <v>212712</v>
      </c>
      <c r="L217">
        <v>212144</v>
      </c>
      <c r="M217">
        <v>201003</v>
      </c>
      <c r="N217">
        <v>200121</v>
      </c>
      <c r="O217">
        <v>197069</v>
      </c>
    </row>
    <row r="218" spans="1:15">
      <c r="A218" t="str">
        <f t="shared" si="2"/>
        <v>CILC1TNCP ONPK</v>
      </c>
      <c r="B218" t="s">
        <v>185</v>
      </c>
      <c r="C218" t="s">
        <v>134</v>
      </c>
      <c r="D218">
        <v>189878</v>
      </c>
      <c r="E218">
        <v>194806</v>
      </c>
      <c r="F218">
        <v>189614</v>
      </c>
      <c r="G218">
        <v>189687</v>
      </c>
      <c r="H218">
        <v>195021</v>
      </c>
      <c r="I218">
        <v>202409</v>
      </c>
      <c r="J218">
        <v>202569</v>
      </c>
      <c r="K218">
        <v>207295</v>
      </c>
      <c r="L218">
        <v>203769</v>
      </c>
      <c r="M218">
        <v>195558</v>
      </c>
      <c r="N218">
        <v>194565</v>
      </c>
      <c r="O218">
        <v>189967</v>
      </c>
    </row>
    <row r="219" spans="1:15">
      <c r="A219" t="str">
        <f t="shared" si="2"/>
        <v>CILC1TNCP OFFPK</v>
      </c>
      <c r="B219" t="s">
        <v>185</v>
      </c>
      <c r="C219" t="s">
        <v>135</v>
      </c>
      <c r="D219">
        <v>197737</v>
      </c>
      <c r="E219">
        <v>199092</v>
      </c>
      <c r="F219">
        <v>197264</v>
      </c>
      <c r="G219">
        <v>197925</v>
      </c>
      <c r="H219">
        <v>201536</v>
      </c>
      <c r="I219">
        <v>203916</v>
      </c>
      <c r="J219">
        <v>205383</v>
      </c>
      <c r="K219">
        <v>210517</v>
      </c>
      <c r="L219">
        <v>209697</v>
      </c>
      <c r="M219">
        <v>198203</v>
      </c>
      <c r="N219">
        <v>199910</v>
      </c>
      <c r="O219">
        <v>196971</v>
      </c>
    </row>
    <row r="220" spans="1:15">
      <c r="A220" t="str">
        <f t="shared" si="2"/>
        <v>CILC1TGCP DATE</v>
      </c>
      <c r="B220" t="s">
        <v>185</v>
      </c>
      <c r="C220" t="s">
        <v>136</v>
      </c>
      <c r="D220" t="s">
        <v>265</v>
      </c>
      <c r="E220" t="s">
        <v>287</v>
      </c>
      <c r="F220" t="s">
        <v>774</v>
      </c>
      <c r="G220" t="s">
        <v>775</v>
      </c>
      <c r="H220" t="s">
        <v>776</v>
      </c>
      <c r="I220" t="s">
        <v>777</v>
      </c>
      <c r="J220" t="s">
        <v>748</v>
      </c>
      <c r="K220" t="s">
        <v>778</v>
      </c>
      <c r="L220" t="s">
        <v>779</v>
      </c>
      <c r="M220" t="s">
        <v>780</v>
      </c>
      <c r="N220" t="s">
        <v>781</v>
      </c>
      <c r="O220" t="s">
        <v>782</v>
      </c>
    </row>
    <row r="221" spans="1:15">
      <c r="A221" t="str">
        <f t="shared" si="2"/>
        <v>CILC1TGCP TIME</v>
      </c>
      <c r="B221" t="s">
        <v>185</v>
      </c>
      <c r="C221" t="s">
        <v>142</v>
      </c>
      <c r="D221" t="s">
        <v>146</v>
      </c>
      <c r="E221" t="s">
        <v>200</v>
      </c>
      <c r="F221" t="s">
        <v>200</v>
      </c>
      <c r="G221" t="s">
        <v>189</v>
      </c>
      <c r="H221" t="s">
        <v>202</v>
      </c>
      <c r="I221" t="s">
        <v>146</v>
      </c>
      <c r="J221" t="s">
        <v>182</v>
      </c>
      <c r="K221" t="s">
        <v>146</v>
      </c>
      <c r="L221" t="s">
        <v>146</v>
      </c>
      <c r="M221" t="s">
        <v>144</v>
      </c>
      <c r="N221" t="s">
        <v>202</v>
      </c>
      <c r="O221" t="s">
        <v>189</v>
      </c>
    </row>
    <row r="222" spans="1:15">
      <c r="A222" t="str">
        <f t="shared" si="2"/>
        <v>CILC1TGCP</v>
      </c>
      <c r="B222" t="s">
        <v>185</v>
      </c>
      <c r="C222" t="s">
        <v>147</v>
      </c>
      <c r="D222">
        <v>172733</v>
      </c>
      <c r="E222">
        <v>171789</v>
      </c>
      <c r="F222">
        <v>166606</v>
      </c>
      <c r="G222">
        <v>166730</v>
      </c>
      <c r="H222">
        <v>175094</v>
      </c>
      <c r="I222">
        <v>181842</v>
      </c>
      <c r="J222">
        <v>180847</v>
      </c>
      <c r="K222">
        <v>190332</v>
      </c>
      <c r="L222">
        <v>184543</v>
      </c>
      <c r="M222">
        <v>167631</v>
      </c>
      <c r="N222">
        <v>177380</v>
      </c>
      <c r="O222">
        <v>168654</v>
      </c>
    </row>
    <row r="223" spans="1:15">
      <c r="A223" t="str">
        <f t="shared" si="2"/>
        <v>CILC1TGCP ONPK</v>
      </c>
      <c r="B223" t="s">
        <v>185</v>
      </c>
      <c r="C223" t="s">
        <v>63</v>
      </c>
      <c r="D223">
        <v>168693</v>
      </c>
      <c r="E223">
        <v>171789</v>
      </c>
      <c r="F223">
        <v>166606</v>
      </c>
      <c r="G223">
        <v>166595</v>
      </c>
      <c r="H223">
        <v>172554</v>
      </c>
      <c r="I223">
        <v>179407</v>
      </c>
      <c r="J223">
        <v>180847</v>
      </c>
      <c r="K223">
        <v>186106</v>
      </c>
      <c r="L223">
        <v>178865</v>
      </c>
      <c r="M223">
        <v>167631</v>
      </c>
      <c r="N223">
        <v>177380</v>
      </c>
      <c r="O223">
        <v>163977</v>
      </c>
    </row>
    <row r="224" spans="1:15">
      <c r="A224" t="str">
        <f t="shared" si="2"/>
        <v>CILC1TGCP OFFPK</v>
      </c>
      <c r="B224" t="s">
        <v>185</v>
      </c>
      <c r="C224" t="s">
        <v>64</v>
      </c>
      <c r="D224">
        <v>172733</v>
      </c>
      <c r="E224">
        <v>168633</v>
      </c>
      <c r="F224">
        <v>164702</v>
      </c>
      <c r="G224">
        <v>166730</v>
      </c>
      <c r="H224">
        <v>175094</v>
      </c>
      <c r="I224">
        <v>181842</v>
      </c>
      <c r="J224">
        <v>179435</v>
      </c>
      <c r="K224">
        <v>190332</v>
      </c>
      <c r="L224">
        <v>184543</v>
      </c>
      <c r="M224">
        <v>167479</v>
      </c>
      <c r="N224">
        <v>176410</v>
      </c>
      <c r="O224">
        <v>168654</v>
      </c>
    </row>
    <row r="225" spans="1:15">
      <c r="A225" t="str">
        <f t="shared" si="2"/>
        <v>CILC1TCP</v>
      </c>
      <c r="B225" t="s">
        <v>185</v>
      </c>
      <c r="C225" t="s">
        <v>148</v>
      </c>
      <c r="D225">
        <v>138470</v>
      </c>
      <c r="E225">
        <v>159868</v>
      </c>
      <c r="F225">
        <v>159962</v>
      </c>
      <c r="G225">
        <v>159791</v>
      </c>
      <c r="H225">
        <v>151128</v>
      </c>
      <c r="I225">
        <v>154061</v>
      </c>
      <c r="J225">
        <v>144778</v>
      </c>
      <c r="K225">
        <v>183374</v>
      </c>
      <c r="L225">
        <v>157680</v>
      </c>
      <c r="M225">
        <v>147298</v>
      </c>
      <c r="N225">
        <v>172686</v>
      </c>
      <c r="O225">
        <v>162618</v>
      </c>
    </row>
    <row r="226" spans="1:15">
      <c r="A226" t="str">
        <f t="shared" si="2"/>
        <v>CILC1TPERIOD START</v>
      </c>
      <c r="B226" t="s">
        <v>185</v>
      </c>
      <c r="C226" t="s">
        <v>149</v>
      </c>
      <c r="D226" s="1">
        <v>41275</v>
      </c>
      <c r="E226" s="1">
        <v>41306</v>
      </c>
      <c r="F226" s="1">
        <v>41334</v>
      </c>
      <c r="G226" s="1">
        <v>41365</v>
      </c>
      <c r="H226" s="1">
        <v>41395</v>
      </c>
      <c r="I226" s="1">
        <v>41426</v>
      </c>
      <c r="J226" s="1">
        <v>41456</v>
      </c>
      <c r="K226" s="1">
        <v>41487</v>
      </c>
      <c r="L226" s="1">
        <v>41518</v>
      </c>
      <c r="M226" s="1">
        <v>41548</v>
      </c>
      <c r="N226" s="1">
        <v>41579</v>
      </c>
      <c r="O226" s="1">
        <v>41609</v>
      </c>
    </row>
    <row r="227" spans="1:15">
      <c r="A227" t="str">
        <f t="shared" si="2"/>
        <v>CILC1TNCP LF</v>
      </c>
      <c r="B227" t="s">
        <v>185</v>
      </c>
      <c r="C227" t="s">
        <v>150</v>
      </c>
      <c r="D227" s="5">
        <v>0.72370000000000001</v>
      </c>
      <c r="E227" s="5">
        <v>0.73199999999999998</v>
      </c>
      <c r="F227" s="5">
        <v>0.72619999999999996</v>
      </c>
      <c r="G227" s="5">
        <v>0.754</v>
      </c>
      <c r="H227" s="5">
        <v>0.74490000000000001</v>
      </c>
      <c r="I227" s="5">
        <v>0.74390000000000001</v>
      </c>
      <c r="J227" s="5">
        <v>0.74519999999999997</v>
      </c>
      <c r="K227" s="5">
        <v>0.77270000000000005</v>
      </c>
      <c r="L227" s="5">
        <v>0.70469999999999999</v>
      </c>
      <c r="M227" s="5">
        <v>0.73309999999999997</v>
      </c>
      <c r="N227" s="5">
        <v>0.76519999999999999</v>
      </c>
      <c r="O227" s="5">
        <v>0.72419999999999995</v>
      </c>
    </row>
    <row r="228" spans="1:15">
      <c r="A228" t="str">
        <f t="shared" si="2"/>
        <v>CILC1TNCP LF ONPK</v>
      </c>
      <c r="B228" t="s">
        <v>185</v>
      </c>
      <c r="C228" t="s">
        <v>151</v>
      </c>
      <c r="D228" s="5">
        <v>0.77310000000000001</v>
      </c>
      <c r="E228" s="5">
        <v>0.76080000000000003</v>
      </c>
      <c r="F228" s="5">
        <v>0.7661</v>
      </c>
      <c r="G228" s="5">
        <v>0.79279999999999995</v>
      </c>
      <c r="H228" s="5">
        <v>0.78220000000000001</v>
      </c>
      <c r="I228" s="5">
        <v>0.76870000000000005</v>
      </c>
      <c r="J228" s="5">
        <v>0.77039999999999997</v>
      </c>
      <c r="K228" s="5">
        <v>0.80510000000000004</v>
      </c>
      <c r="L228" s="5">
        <v>0.74250000000000005</v>
      </c>
      <c r="M228" s="5">
        <v>0.75639999999999996</v>
      </c>
      <c r="N228" s="5">
        <v>0.79669999999999996</v>
      </c>
      <c r="O228" s="5">
        <v>0.7611</v>
      </c>
    </row>
    <row r="229" spans="1:15">
      <c r="A229" t="str">
        <f t="shared" si="2"/>
        <v>CILC1TNCP LF OFFPK</v>
      </c>
      <c r="B229" t="s">
        <v>185</v>
      </c>
      <c r="C229" t="s">
        <v>152</v>
      </c>
      <c r="D229" s="5">
        <v>0.72050000000000003</v>
      </c>
      <c r="E229" s="5">
        <v>0.73560000000000003</v>
      </c>
      <c r="F229" s="5">
        <v>0.72499999999999998</v>
      </c>
      <c r="G229" s="5">
        <v>0.76119999999999999</v>
      </c>
      <c r="H229" s="5">
        <v>0.74770000000000003</v>
      </c>
      <c r="I229" s="5">
        <v>0.75460000000000005</v>
      </c>
      <c r="J229" s="5">
        <v>0.74350000000000005</v>
      </c>
      <c r="K229" s="5">
        <v>0.77639999999999998</v>
      </c>
      <c r="L229" s="5">
        <v>0.71009999999999995</v>
      </c>
      <c r="M229" s="5">
        <v>0.74229999999999996</v>
      </c>
      <c r="N229" s="5">
        <v>0.76329999999999998</v>
      </c>
      <c r="O229" s="5">
        <v>0.7218</v>
      </c>
    </row>
    <row r="230" spans="1:15">
      <c r="A230" t="str">
        <f t="shared" si="2"/>
        <v>CILC1TGCP CF</v>
      </c>
      <c r="B230" t="s">
        <v>185</v>
      </c>
      <c r="C230" t="s">
        <v>153</v>
      </c>
      <c r="D230" s="5">
        <v>0.87119999999999997</v>
      </c>
      <c r="E230" s="5">
        <v>0.85609999999999997</v>
      </c>
      <c r="F230" s="5">
        <v>0.84299999999999997</v>
      </c>
      <c r="G230" s="5">
        <v>0.83489999999999998</v>
      </c>
      <c r="H230" s="5">
        <v>0.86270000000000002</v>
      </c>
      <c r="I230" s="5">
        <v>0.87660000000000005</v>
      </c>
      <c r="J230" s="5">
        <v>0.87729999999999997</v>
      </c>
      <c r="K230" s="5">
        <v>0.89480000000000004</v>
      </c>
      <c r="L230" s="5">
        <v>0.86990000000000001</v>
      </c>
      <c r="M230" s="5">
        <v>0.83399999999999996</v>
      </c>
      <c r="N230" s="5">
        <v>0.88639999999999997</v>
      </c>
      <c r="O230" s="5">
        <v>0.85580000000000001</v>
      </c>
    </row>
    <row r="231" spans="1:15">
      <c r="A231" t="str">
        <f t="shared" si="2"/>
        <v>CILC1TCP CF</v>
      </c>
      <c r="B231" t="s">
        <v>185</v>
      </c>
      <c r="C231" t="s">
        <v>154</v>
      </c>
      <c r="D231" s="5">
        <v>0.69840000000000002</v>
      </c>
      <c r="E231" s="5">
        <v>0.79669999999999996</v>
      </c>
      <c r="F231" s="5">
        <v>0.80940000000000001</v>
      </c>
      <c r="G231" s="5">
        <v>0.80010000000000003</v>
      </c>
      <c r="H231" s="5">
        <v>0.74460000000000004</v>
      </c>
      <c r="I231" s="5">
        <v>0.74270000000000003</v>
      </c>
      <c r="J231" s="5">
        <v>0.70240000000000002</v>
      </c>
      <c r="K231" s="5">
        <v>0.86209999999999998</v>
      </c>
      <c r="L231" s="5">
        <v>0.74329999999999996</v>
      </c>
      <c r="M231" s="5">
        <v>0.73280000000000001</v>
      </c>
      <c r="N231" s="5">
        <v>0.8629</v>
      </c>
      <c r="O231" s="5">
        <v>0.82520000000000004</v>
      </c>
    </row>
    <row r="232" spans="1:15">
      <c r="A232" t="str">
        <f t="shared" si="2"/>
        <v>CILC1TGCP LF</v>
      </c>
      <c r="B232" t="s">
        <v>185</v>
      </c>
      <c r="C232" t="s">
        <v>155</v>
      </c>
      <c r="D232" s="5">
        <v>0.83069999999999999</v>
      </c>
      <c r="E232" s="5">
        <v>0.85499999999999998</v>
      </c>
      <c r="F232" s="5">
        <v>0.86150000000000004</v>
      </c>
      <c r="G232" s="5">
        <v>0.9032</v>
      </c>
      <c r="H232" s="5">
        <v>0.86339999999999995</v>
      </c>
      <c r="I232" s="5">
        <v>0.84860000000000002</v>
      </c>
      <c r="J232" s="5">
        <v>0.84930000000000005</v>
      </c>
      <c r="K232" s="5">
        <v>0.86350000000000005</v>
      </c>
      <c r="L232" s="5">
        <v>0.81010000000000004</v>
      </c>
      <c r="M232" s="5">
        <v>0.879</v>
      </c>
      <c r="N232" s="5">
        <v>0.86329999999999996</v>
      </c>
      <c r="O232" s="5">
        <v>0.84619999999999995</v>
      </c>
    </row>
    <row r="233" spans="1:15">
      <c r="A233" t="str">
        <f t="shared" si="2"/>
        <v>CILC1TGCP LF ONPK</v>
      </c>
      <c r="B233" t="s">
        <v>185</v>
      </c>
      <c r="C233" t="s">
        <v>156</v>
      </c>
      <c r="D233" s="5">
        <v>0.87019999999999997</v>
      </c>
      <c r="E233" s="5">
        <v>0.86270000000000002</v>
      </c>
      <c r="F233" s="5">
        <v>0.87180000000000002</v>
      </c>
      <c r="G233" s="5">
        <v>0.90269999999999995</v>
      </c>
      <c r="H233" s="5">
        <v>0.8841</v>
      </c>
      <c r="I233" s="5">
        <v>0.86719999999999997</v>
      </c>
      <c r="J233" s="5">
        <v>0.8629</v>
      </c>
      <c r="K233" s="5">
        <v>0.89680000000000004</v>
      </c>
      <c r="L233" s="5">
        <v>0.84589999999999999</v>
      </c>
      <c r="M233" s="5">
        <v>0.88239999999999996</v>
      </c>
      <c r="N233" s="5">
        <v>0.87390000000000001</v>
      </c>
      <c r="O233" s="5">
        <v>0.88170000000000004</v>
      </c>
    </row>
    <row r="234" spans="1:15">
      <c r="A234" t="str">
        <f t="shared" si="2"/>
        <v>CILC1TGCP LF OFFPK</v>
      </c>
      <c r="B234" t="s">
        <v>185</v>
      </c>
      <c r="C234" t="s">
        <v>157</v>
      </c>
      <c r="D234" s="5">
        <v>0.82469999999999999</v>
      </c>
      <c r="E234" s="5">
        <v>0.86850000000000005</v>
      </c>
      <c r="F234" s="5">
        <v>0.86839999999999995</v>
      </c>
      <c r="G234" s="5">
        <v>0.90359999999999996</v>
      </c>
      <c r="H234" s="5">
        <v>0.86060000000000003</v>
      </c>
      <c r="I234" s="5">
        <v>0.84619999999999995</v>
      </c>
      <c r="J234" s="5">
        <v>0.85109999999999997</v>
      </c>
      <c r="K234" s="5">
        <v>0.85870000000000002</v>
      </c>
      <c r="L234" s="5">
        <v>0.80689999999999995</v>
      </c>
      <c r="M234" s="5">
        <v>0.87849999999999995</v>
      </c>
      <c r="N234" s="5">
        <v>0.86499999999999999</v>
      </c>
      <c r="O234" s="5">
        <v>0.84299999999999997</v>
      </c>
    </row>
    <row r="235" spans="1:15">
      <c r="A235" t="str">
        <f t="shared" si="2"/>
        <v>CILC1TCP LF</v>
      </c>
      <c r="B235" t="s">
        <v>185</v>
      </c>
      <c r="C235" t="s">
        <v>158</v>
      </c>
      <c r="D235" s="5">
        <v>1.0362</v>
      </c>
      <c r="E235" s="5">
        <v>0.91869999999999996</v>
      </c>
      <c r="F235" s="5">
        <v>0.89729999999999999</v>
      </c>
      <c r="G235" s="5">
        <v>0.94240000000000002</v>
      </c>
      <c r="H235" s="5">
        <v>1.0003</v>
      </c>
      <c r="I235" s="5">
        <v>1.0016</v>
      </c>
      <c r="J235" s="5">
        <v>1.0609</v>
      </c>
      <c r="K235" s="5">
        <v>0.89629999999999999</v>
      </c>
      <c r="L235" s="5">
        <v>0.94820000000000004</v>
      </c>
      <c r="M235" s="5">
        <v>1.0004</v>
      </c>
      <c r="N235" s="5">
        <v>0.88670000000000004</v>
      </c>
      <c r="O235" s="5">
        <v>0.87760000000000005</v>
      </c>
    </row>
    <row r="236" spans="1:15">
      <c r="A236" t="str">
        <f t="shared" si="2"/>
        <v>CILC1TREL PREC:</v>
      </c>
      <c r="B236" t="s">
        <v>185</v>
      </c>
      <c r="C236" t="s">
        <v>65</v>
      </c>
    </row>
    <row r="237" spans="1:15">
      <c r="A237" t="str">
        <f t="shared" si="2"/>
        <v>CILC1TNCP RP</v>
      </c>
      <c r="B237" t="s">
        <v>185</v>
      </c>
      <c r="C237" t="s">
        <v>159</v>
      </c>
      <c r="D237" s="5">
        <v>6.5799999999999997E-2</v>
      </c>
      <c r="E237" s="5">
        <v>0</v>
      </c>
      <c r="F237" s="5">
        <v>6.93E-2</v>
      </c>
      <c r="G237" s="5">
        <v>0.1052</v>
      </c>
      <c r="H237" s="5">
        <v>0</v>
      </c>
      <c r="I237" s="5">
        <v>0</v>
      </c>
      <c r="J237" s="5">
        <v>0</v>
      </c>
      <c r="K237" s="5">
        <v>0</v>
      </c>
      <c r="L237" s="5">
        <v>0</v>
      </c>
      <c r="M237" s="5">
        <v>0</v>
      </c>
      <c r="N237" s="5">
        <v>0</v>
      </c>
      <c r="O237" s="5">
        <v>0</v>
      </c>
    </row>
    <row r="238" spans="1:15">
      <c r="A238" t="str">
        <f t="shared" si="2"/>
        <v>CILC1TNCP RP ONPK</v>
      </c>
      <c r="B238" t="s">
        <v>185</v>
      </c>
      <c r="C238" t="s">
        <v>160</v>
      </c>
      <c r="D238" s="5">
        <v>6.4100000000000004E-2</v>
      </c>
      <c r="E238" s="5">
        <v>0</v>
      </c>
      <c r="F238" s="5">
        <v>6.6699999999999995E-2</v>
      </c>
      <c r="G238" s="5">
        <v>9.4500000000000001E-2</v>
      </c>
      <c r="H238" s="5">
        <v>0</v>
      </c>
      <c r="I238" s="5">
        <v>0</v>
      </c>
      <c r="J238" s="5">
        <v>0</v>
      </c>
      <c r="K238" s="5">
        <v>0</v>
      </c>
      <c r="L238" s="5">
        <v>0</v>
      </c>
      <c r="M238" s="5">
        <v>0</v>
      </c>
      <c r="N238" s="5">
        <v>0</v>
      </c>
      <c r="O238" s="5">
        <v>0</v>
      </c>
    </row>
    <row r="239" spans="1:15">
      <c r="A239" t="str">
        <f t="shared" si="2"/>
        <v>CILC1TNCP RP OFFPK</v>
      </c>
      <c r="B239" t="s">
        <v>185</v>
      </c>
      <c r="C239" t="s">
        <v>161</v>
      </c>
      <c r="D239" s="5">
        <v>6.59E-2</v>
      </c>
      <c r="E239" s="5">
        <v>0</v>
      </c>
      <c r="F239" s="5">
        <v>6.93E-2</v>
      </c>
      <c r="G239" s="5">
        <v>0.107</v>
      </c>
      <c r="H239" s="5">
        <v>0</v>
      </c>
      <c r="I239" s="5">
        <v>0</v>
      </c>
      <c r="J239" s="5">
        <v>0</v>
      </c>
      <c r="K239" s="5">
        <v>0</v>
      </c>
      <c r="L239" s="5">
        <v>0</v>
      </c>
      <c r="M239" s="5">
        <v>0</v>
      </c>
      <c r="N239" s="5">
        <v>0</v>
      </c>
      <c r="O239" s="5">
        <v>0</v>
      </c>
    </row>
    <row r="240" spans="1:15">
      <c r="A240" t="str">
        <f t="shared" si="2"/>
        <v>CILC1TGCP RP</v>
      </c>
      <c r="B240" t="s">
        <v>185</v>
      </c>
      <c r="C240" t="s">
        <v>162</v>
      </c>
      <c r="D240" s="5">
        <v>6.4399999999999999E-2</v>
      </c>
      <c r="E240" s="5">
        <v>0</v>
      </c>
      <c r="F240" s="5">
        <v>7.5899999999999995E-2</v>
      </c>
      <c r="G240" s="5">
        <v>0.10970000000000001</v>
      </c>
      <c r="H240" s="5">
        <v>0</v>
      </c>
      <c r="I240" s="5">
        <v>0</v>
      </c>
      <c r="J240" s="5">
        <v>0</v>
      </c>
      <c r="K240" s="5">
        <v>6.3500000000000001E-2</v>
      </c>
      <c r="L240" s="5">
        <v>0</v>
      </c>
      <c r="M240" s="5">
        <v>0</v>
      </c>
      <c r="N240" s="5">
        <v>6.4500000000000002E-2</v>
      </c>
      <c r="O240" s="5">
        <v>0</v>
      </c>
    </row>
    <row r="241" spans="1:15">
      <c r="A241" t="str">
        <f t="shared" si="2"/>
        <v>CILC1TGCP RP ONPK</v>
      </c>
      <c r="B241" t="s">
        <v>185</v>
      </c>
      <c r="C241" t="s">
        <v>163</v>
      </c>
      <c r="D241" s="5">
        <v>6.7000000000000004E-2</v>
      </c>
      <c r="E241" s="5">
        <v>0</v>
      </c>
      <c r="F241" s="5">
        <v>7.5899999999999995E-2</v>
      </c>
      <c r="G241" s="5">
        <v>9.1300000000000006E-2</v>
      </c>
      <c r="H241" s="5">
        <v>0</v>
      </c>
      <c r="I241" s="5">
        <v>0</v>
      </c>
      <c r="J241" s="5">
        <v>0</v>
      </c>
      <c r="K241" s="5">
        <v>0</v>
      </c>
      <c r="L241" s="5">
        <v>0</v>
      </c>
      <c r="M241" s="5">
        <v>0</v>
      </c>
      <c r="N241" s="5">
        <v>6.4500000000000002E-2</v>
      </c>
      <c r="O241" s="5">
        <v>0</v>
      </c>
    </row>
    <row r="242" spans="1:15">
      <c r="A242" t="str">
        <f t="shared" si="2"/>
        <v>CILC1TGCP RP OFFPK</v>
      </c>
      <c r="B242" t="s">
        <v>185</v>
      </c>
      <c r="C242" t="s">
        <v>164</v>
      </c>
      <c r="D242" s="5">
        <v>6.4399999999999999E-2</v>
      </c>
      <c r="E242" s="5">
        <v>0</v>
      </c>
      <c r="F242" s="5">
        <v>8.2299999999999998E-2</v>
      </c>
      <c r="G242" s="5">
        <v>0.10970000000000001</v>
      </c>
      <c r="H242" s="5">
        <v>0</v>
      </c>
      <c r="I242" s="5">
        <v>0</v>
      </c>
      <c r="J242" s="5">
        <v>0</v>
      </c>
      <c r="K242" s="5">
        <v>6.3500000000000001E-2</v>
      </c>
      <c r="L242" s="5">
        <v>0</v>
      </c>
      <c r="M242" s="5">
        <v>0</v>
      </c>
      <c r="N242" s="5">
        <v>0</v>
      </c>
      <c r="O242" s="5">
        <v>0</v>
      </c>
    </row>
    <row r="243" spans="1:15">
      <c r="A243" t="str">
        <f t="shared" si="2"/>
        <v>CILC1TCP RP</v>
      </c>
      <c r="B243" t="s">
        <v>185</v>
      </c>
      <c r="C243" t="s">
        <v>165</v>
      </c>
      <c r="D243" s="5">
        <v>6.59E-2</v>
      </c>
      <c r="E243" s="5">
        <v>0</v>
      </c>
      <c r="F243" s="5">
        <v>6.6500000000000004E-2</v>
      </c>
      <c r="G243" s="5">
        <v>9.6000000000000002E-2</v>
      </c>
      <c r="H243" s="5">
        <v>0</v>
      </c>
      <c r="I243" s="5">
        <v>0</v>
      </c>
      <c r="J243" s="5">
        <v>0</v>
      </c>
      <c r="K243" s="5">
        <v>0</v>
      </c>
      <c r="L243" s="5">
        <v>0</v>
      </c>
      <c r="M243" s="5">
        <v>0</v>
      </c>
      <c r="N243" s="5">
        <v>0</v>
      </c>
      <c r="O243" s="5">
        <v>0</v>
      </c>
    </row>
    <row r="244" spans="1:15">
      <c r="A244" t="str">
        <f t="shared" si="2"/>
        <v>CILC1TSAMPLE SIZE:</v>
      </c>
      <c r="B244" t="s">
        <v>185</v>
      </c>
      <c r="C244" t="s">
        <v>66</v>
      </c>
    </row>
    <row r="245" spans="1:15">
      <c r="A245" t="str">
        <f t="shared" ref="A245:A308" si="3">B245&amp;C245</f>
        <v>CILC1TGCPSZ</v>
      </c>
      <c r="B245" t="s">
        <v>185</v>
      </c>
      <c r="C245" t="s">
        <v>166</v>
      </c>
      <c r="D245">
        <v>16</v>
      </c>
      <c r="E245">
        <v>17</v>
      </c>
      <c r="F245">
        <v>16</v>
      </c>
      <c r="G245">
        <v>15</v>
      </c>
      <c r="H245">
        <v>17</v>
      </c>
      <c r="I245">
        <v>17</v>
      </c>
      <c r="J245">
        <v>17</v>
      </c>
      <c r="K245">
        <v>16</v>
      </c>
      <c r="L245">
        <v>17</v>
      </c>
      <c r="M245">
        <v>17</v>
      </c>
      <c r="N245">
        <v>16</v>
      </c>
      <c r="O245">
        <v>17</v>
      </c>
    </row>
    <row r="246" spans="1:15">
      <c r="A246" t="str">
        <f t="shared" si="3"/>
        <v>CILC1TGCPSZ ONPK</v>
      </c>
      <c r="B246" t="s">
        <v>185</v>
      </c>
      <c r="C246" t="s">
        <v>167</v>
      </c>
      <c r="D246">
        <v>16</v>
      </c>
      <c r="E246">
        <v>17</v>
      </c>
      <c r="F246">
        <v>16</v>
      </c>
      <c r="G246">
        <v>15</v>
      </c>
      <c r="H246">
        <v>17</v>
      </c>
      <c r="I246">
        <v>17</v>
      </c>
      <c r="J246">
        <v>17</v>
      </c>
      <c r="K246">
        <v>17</v>
      </c>
      <c r="L246">
        <v>17</v>
      </c>
      <c r="M246">
        <v>17</v>
      </c>
      <c r="N246">
        <v>16</v>
      </c>
      <c r="O246">
        <v>17</v>
      </c>
    </row>
    <row r="247" spans="1:15">
      <c r="A247" t="str">
        <f t="shared" si="3"/>
        <v>CILC1TGCPSZ OFFPK</v>
      </c>
      <c r="B247" t="s">
        <v>185</v>
      </c>
      <c r="C247" t="s">
        <v>168</v>
      </c>
      <c r="D247">
        <v>16</v>
      </c>
      <c r="E247">
        <v>17</v>
      </c>
      <c r="F247">
        <v>16</v>
      </c>
      <c r="G247">
        <v>15</v>
      </c>
      <c r="H247">
        <v>17</v>
      </c>
      <c r="I247">
        <v>17</v>
      </c>
      <c r="J247">
        <v>17</v>
      </c>
      <c r="K247">
        <v>16</v>
      </c>
      <c r="L247">
        <v>17</v>
      </c>
      <c r="M247">
        <v>17</v>
      </c>
      <c r="N247">
        <v>17</v>
      </c>
      <c r="O247">
        <v>17</v>
      </c>
    </row>
    <row r="248" spans="1:15">
      <c r="A248" t="str">
        <f t="shared" si="3"/>
        <v>CILC1TCPSZ</v>
      </c>
      <c r="B248" t="s">
        <v>185</v>
      </c>
      <c r="C248" t="s">
        <v>169</v>
      </c>
      <c r="D248">
        <v>16</v>
      </c>
      <c r="E248">
        <v>17</v>
      </c>
      <c r="F248">
        <v>16</v>
      </c>
      <c r="G248">
        <v>15</v>
      </c>
      <c r="H248">
        <v>17</v>
      </c>
      <c r="I248">
        <v>17</v>
      </c>
      <c r="J248">
        <v>17</v>
      </c>
      <c r="K248">
        <v>17</v>
      </c>
      <c r="L248">
        <v>17</v>
      </c>
      <c r="M248">
        <v>17</v>
      </c>
      <c r="N248">
        <v>17</v>
      </c>
      <c r="O248">
        <v>17</v>
      </c>
    </row>
    <row r="249" spans="1:15">
      <c r="A249" t="str">
        <f t="shared" si="3"/>
        <v/>
      </c>
    </row>
    <row r="250" spans="1:15">
      <c r="A250" t="str">
        <f t="shared" si="3"/>
        <v/>
      </c>
    </row>
    <row r="251" spans="1:15">
      <c r="A251" t="str">
        <f t="shared" si="3"/>
        <v xml:space="preserve">CNTRFK Wholesale - Contract Rate (FKEC) </v>
      </c>
      <c r="B251" t="s">
        <v>247</v>
      </c>
      <c r="C251" t="s">
        <v>246</v>
      </c>
    </row>
    <row r="252" spans="1:15">
      <c r="A252" t="str">
        <f t="shared" si="3"/>
        <v xml:space="preserve">CNTRFKMONTH </v>
      </c>
      <c r="B252" t="s">
        <v>245</v>
      </c>
      <c r="C252" t="s">
        <v>123</v>
      </c>
      <c r="D252" s="4">
        <v>41275</v>
      </c>
      <c r="E252" s="4">
        <v>41306</v>
      </c>
      <c r="F252" s="4">
        <v>41334</v>
      </c>
      <c r="G252" s="4">
        <v>41365</v>
      </c>
      <c r="H252" s="4">
        <v>41395</v>
      </c>
      <c r="I252" s="4">
        <v>41426</v>
      </c>
      <c r="J252" s="4">
        <v>41456</v>
      </c>
      <c r="K252" s="4">
        <v>41487</v>
      </c>
      <c r="L252" s="4">
        <v>41518</v>
      </c>
      <c r="M252" s="4">
        <v>41548</v>
      </c>
      <c r="N252" s="4">
        <v>41579</v>
      </c>
      <c r="O252" s="4">
        <v>41609</v>
      </c>
    </row>
    <row r="253" spans="1:15">
      <c r="A253" t="str">
        <f t="shared" si="3"/>
        <v xml:space="preserve">CNTRFKCUSTOMERS </v>
      </c>
      <c r="B253" t="s">
        <v>245</v>
      </c>
      <c r="C253" t="s">
        <v>124</v>
      </c>
      <c r="D253">
        <v>1</v>
      </c>
      <c r="E253">
        <v>1</v>
      </c>
      <c r="F253">
        <v>1</v>
      </c>
      <c r="G253">
        <v>1</v>
      </c>
      <c r="H253">
        <v>1</v>
      </c>
      <c r="I253">
        <v>1</v>
      </c>
      <c r="J253">
        <v>1</v>
      </c>
      <c r="K253">
        <v>1</v>
      </c>
      <c r="L253">
        <v>1</v>
      </c>
      <c r="M253">
        <v>1</v>
      </c>
      <c r="N253">
        <v>1</v>
      </c>
      <c r="O253">
        <v>1</v>
      </c>
    </row>
    <row r="254" spans="1:15">
      <c r="A254" t="str">
        <f t="shared" si="3"/>
        <v xml:space="preserve">CNTRFKSALES </v>
      </c>
      <c r="B254" t="s">
        <v>245</v>
      </c>
      <c r="C254" t="s">
        <v>125</v>
      </c>
      <c r="D254">
        <v>16110000</v>
      </c>
      <c r="E254">
        <v>16110000</v>
      </c>
      <c r="F254">
        <v>15615000</v>
      </c>
      <c r="G254">
        <v>17100000</v>
      </c>
      <c r="H254">
        <v>17235000</v>
      </c>
      <c r="I254">
        <v>20115000</v>
      </c>
      <c r="J254">
        <v>0</v>
      </c>
      <c r="K254">
        <v>0</v>
      </c>
      <c r="L254">
        <v>0</v>
      </c>
      <c r="M254">
        <v>0</v>
      </c>
      <c r="N254">
        <v>0</v>
      </c>
      <c r="O254">
        <v>0</v>
      </c>
    </row>
    <row r="255" spans="1:15">
      <c r="A255" t="str">
        <f t="shared" si="3"/>
        <v>CNTRFKKW</v>
      </c>
      <c r="B255" t="s">
        <v>245</v>
      </c>
      <c r="C255" t="s">
        <v>126</v>
      </c>
    </row>
    <row r="256" spans="1:15">
      <c r="A256" t="str">
        <f t="shared" si="3"/>
        <v>CNTRFKN</v>
      </c>
      <c r="B256" t="s">
        <v>245</v>
      </c>
      <c r="C256" t="s">
        <v>127</v>
      </c>
      <c r="D256">
        <v>1</v>
      </c>
      <c r="E256">
        <v>1</v>
      </c>
      <c r="F256">
        <v>1</v>
      </c>
      <c r="G256">
        <v>1</v>
      </c>
      <c r="H256">
        <v>1</v>
      </c>
      <c r="I256">
        <v>1</v>
      </c>
      <c r="J256">
        <v>1</v>
      </c>
      <c r="K256">
        <v>1</v>
      </c>
      <c r="L256">
        <v>1</v>
      </c>
      <c r="M256">
        <v>1</v>
      </c>
      <c r="N256">
        <v>1</v>
      </c>
      <c r="O256">
        <v>1</v>
      </c>
    </row>
    <row r="257" spans="1:15">
      <c r="A257" t="str">
        <f t="shared" si="3"/>
        <v>CNTRFKRLR ENERGY:</v>
      </c>
      <c r="B257" t="s">
        <v>245</v>
      </c>
      <c r="C257" t="s">
        <v>61</v>
      </c>
    </row>
    <row r="258" spans="1:15">
      <c r="A258" t="str">
        <f t="shared" si="3"/>
        <v>CNTRFKKWH</v>
      </c>
      <c r="B258" t="s">
        <v>245</v>
      </c>
      <c r="C258" t="s">
        <v>128</v>
      </c>
      <c r="D258">
        <v>55277672</v>
      </c>
      <c r="E258">
        <v>50969284</v>
      </c>
      <c r="F258">
        <v>53073832</v>
      </c>
      <c r="G258">
        <v>61920103</v>
      </c>
      <c r="H258">
        <v>64215223</v>
      </c>
      <c r="I258">
        <v>71684757</v>
      </c>
      <c r="J258">
        <v>75399325</v>
      </c>
      <c r="K258">
        <v>77640402</v>
      </c>
      <c r="L258">
        <v>68405081</v>
      </c>
      <c r="M258">
        <v>66036123</v>
      </c>
      <c r="N258">
        <v>55849706</v>
      </c>
      <c r="O258">
        <v>58139677</v>
      </c>
    </row>
    <row r="259" spans="1:15">
      <c r="A259" t="str">
        <f t="shared" si="3"/>
        <v>CNTRFKKWH ONPK</v>
      </c>
      <c r="B259" t="s">
        <v>245</v>
      </c>
      <c r="C259" t="s">
        <v>129</v>
      </c>
      <c r="D259">
        <v>13812310</v>
      </c>
      <c r="E259">
        <v>12968268</v>
      </c>
      <c r="F259">
        <v>12720866</v>
      </c>
      <c r="G259">
        <v>20689729</v>
      </c>
      <c r="H259">
        <v>19971351</v>
      </c>
      <c r="I259">
        <v>21231166</v>
      </c>
      <c r="J259">
        <v>23489575</v>
      </c>
      <c r="K259">
        <v>24007003</v>
      </c>
      <c r="L259">
        <v>20340650</v>
      </c>
      <c r="M259">
        <v>22358383</v>
      </c>
      <c r="N259">
        <v>12785143</v>
      </c>
      <c r="O259">
        <v>13413219</v>
      </c>
    </row>
    <row r="260" spans="1:15">
      <c r="A260" t="str">
        <f t="shared" si="3"/>
        <v>CNTRFKKWH OFFPK</v>
      </c>
      <c r="B260" t="s">
        <v>245</v>
      </c>
      <c r="C260" t="s">
        <v>130</v>
      </c>
      <c r="D260">
        <v>41465362</v>
      </c>
      <c r="E260">
        <v>38001015</v>
      </c>
      <c r="F260">
        <v>40352967</v>
      </c>
      <c r="G260">
        <v>41230374</v>
      </c>
      <c r="H260">
        <v>44243871</v>
      </c>
      <c r="I260">
        <v>50453590</v>
      </c>
      <c r="J260">
        <v>51909750</v>
      </c>
      <c r="K260">
        <v>53633398</v>
      </c>
      <c r="L260">
        <v>48064431</v>
      </c>
      <c r="M260">
        <v>43677740</v>
      </c>
      <c r="N260">
        <v>43064562</v>
      </c>
      <c r="O260">
        <v>44726458</v>
      </c>
    </row>
    <row r="261" spans="1:15">
      <c r="A261" t="str">
        <f t="shared" si="3"/>
        <v>CNTRFKKWH ONPK%</v>
      </c>
      <c r="B261" t="s">
        <v>245</v>
      </c>
      <c r="C261" t="s">
        <v>131</v>
      </c>
      <c r="D261" s="5">
        <v>0.24987000000000001</v>
      </c>
      <c r="E261" s="5">
        <v>0.25442999999999999</v>
      </c>
      <c r="F261" s="5">
        <v>0.23968</v>
      </c>
      <c r="G261" s="5">
        <v>0.33413999999999999</v>
      </c>
      <c r="H261" s="5">
        <v>0.31101000000000001</v>
      </c>
      <c r="I261" s="5">
        <v>0.29616999999999999</v>
      </c>
      <c r="J261" s="5">
        <v>0.31153999999999998</v>
      </c>
      <c r="K261" s="5">
        <v>0.30920999999999998</v>
      </c>
      <c r="L261" s="5">
        <v>0.29736000000000001</v>
      </c>
      <c r="M261" s="5">
        <v>0.33857999999999999</v>
      </c>
      <c r="N261" s="5">
        <v>0.22892000000000001</v>
      </c>
      <c r="O261" s="5">
        <v>0.23071</v>
      </c>
    </row>
    <row r="262" spans="1:15">
      <c r="A262" t="str">
        <f t="shared" si="3"/>
        <v>CNTRFKKWH OFFPK%</v>
      </c>
      <c r="B262" t="s">
        <v>245</v>
      </c>
      <c r="C262" t="s">
        <v>132</v>
      </c>
      <c r="D262" s="5">
        <v>0.75012999999999996</v>
      </c>
      <c r="E262" s="5">
        <v>0.74556999999999995</v>
      </c>
      <c r="F262" s="5">
        <v>0.76032</v>
      </c>
      <c r="G262" s="5">
        <v>0.66586000000000001</v>
      </c>
      <c r="H262" s="5">
        <v>0.68898999999999999</v>
      </c>
      <c r="I262" s="5">
        <v>0.70382999999999996</v>
      </c>
      <c r="J262" s="5">
        <v>0.68845999999999996</v>
      </c>
      <c r="K262" s="5">
        <v>0.69079000000000002</v>
      </c>
      <c r="L262" s="5">
        <v>0.70264000000000004</v>
      </c>
      <c r="M262" s="5">
        <v>0.66142000000000001</v>
      </c>
      <c r="N262" s="5">
        <v>0.77107999999999999</v>
      </c>
      <c r="O262" s="5">
        <v>0.76929000000000003</v>
      </c>
    </row>
    <row r="263" spans="1:15">
      <c r="A263" t="str">
        <f t="shared" si="3"/>
        <v>CNTRFKDEMAND (KW):</v>
      </c>
      <c r="B263" t="s">
        <v>245</v>
      </c>
      <c r="C263" t="s">
        <v>62</v>
      </c>
    </row>
    <row r="264" spans="1:15">
      <c r="A264" t="str">
        <f t="shared" si="3"/>
        <v>CNTRFKNCP</v>
      </c>
      <c r="B264" t="s">
        <v>245</v>
      </c>
      <c r="C264" t="s">
        <v>133</v>
      </c>
      <c r="D264">
        <v>104213</v>
      </c>
      <c r="E264">
        <v>114437</v>
      </c>
      <c r="F264">
        <v>126051</v>
      </c>
      <c r="G264">
        <v>126807</v>
      </c>
      <c r="H264">
        <v>139147</v>
      </c>
      <c r="I264">
        <v>141451</v>
      </c>
      <c r="J264">
        <v>147695</v>
      </c>
      <c r="K264">
        <v>143002</v>
      </c>
      <c r="L264">
        <v>140826</v>
      </c>
      <c r="M264">
        <v>129638</v>
      </c>
      <c r="N264">
        <v>114961</v>
      </c>
      <c r="O264">
        <v>115885</v>
      </c>
    </row>
    <row r="265" spans="1:15">
      <c r="A265" t="str">
        <f t="shared" si="3"/>
        <v>CNTRFKNCP ONPK</v>
      </c>
      <c r="B265" t="s">
        <v>245</v>
      </c>
      <c r="C265" t="s">
        <v>134</v>
      </c>
      <c r="D265">
        <v>104213</v>
      </c>
      <c r="E265">
        <v>108678</v>
      </c>
      <c r="F265">
        <v>98374</v>
      </c>
      <c r="G265">
        <v>126807</v>
      </c>
      <c r="H265">
        <v>139147</v>
      </c>
      <c r="I265">
        <v>139433</v>
      </c>
      <c r="J265">
        <v>147695</v>
      </c>
      <c r="K265">
        <v>140477</v>
      </c>
      <c r="L265">
        <v>133456</v>
      </c>
      <c r="M265">
        <v>129638</v>
      </c>
      <c r="N265">
        <v>105406</v>
      </c>
      <c r="O265">
        <v>115885</v>
      </c>
    </row>
    <row r="266" spans="1:15">
      <c r="A266" t="str">
        <f t="shared" si="3"/>
        <v>CNTRFKNCP OFFPK</v>
      </c>
      <c r="B266" t="s">
        <v>245</v>
      </c>
      <c r="C266" t="s">
        <v>135</v>
      </c>
      <c r="D266">
        <v>101297</v>
      </c>
      <c r="E266">
        <v>114437</v>
      </c>
      <c r="F266">
        <v>126051</v>
      </c>
      <c r="G266">
        <v>122427</v>
      </c>
      <c r="H266">
        <v>132986</v>
      </c>
      <c r="I266">
        <v>141451</v>
      </c>
      <c r="J266">
        <v>142529</v>
      </c>
      <c r="K266">
        <v>143002</v>
      </c>
      <c r="L266">
        <v>140826</v>
      </c>
      <c r="M266">
        <v>126141</v>
      </c>
      <c r="N266">
        <v>114961</v>
      </c>
      <c r="O266">
        <v>112686</v>
      </c>
    </row>
    <row r="267" spans="1:15">
      <c r="A267" t="str">
        <f t="shared" si="3"/>
        <v>CNTRFKGCP DATE</v>
      </c>
      <c r="B267" t="s">
        <v>245</v>
      </c>
      <c r="C267" t="s">
        <v>136</v>
      </c>
      <c r="D267" t="s">
        <v>277</v>
      </c>
      <c r="E267" t="s">
        <v>276</v>
      </c>
      <c r="F267" t="s">
        <v>783</v>
      </c>
      <c r="G267" t="s">
        <v>784</v>
      </c>
      <c r="H267" t="s">
        <v>769</v>
      </c>
      <c r="I267" t="s">
        <v>785</v>
      </c>
      <c r="J267" t="s">
        <v>786</v>
      </c>
      <c r="K267" t="s">
        <v>787</v>
      </c>
      <c r="L267" t="s">
        <v>788</v>
      </c>
      <c r="M267" t="s">
        <v>764</v>
      </c>
      <c r="N267" t="s">
        <v>789</v>
      </c>
      <c r="O267" t="s">
        <v>790</v>
      </c>
    </row>
    <row r="268" spans="1:15">
      <c r="A268" t="str">
        <f t="shared" si="3"/>
        <v>CNTRFKGCP TIME</v>
      </c>
      <c r="B268" t="s">
        <v>245</v>
      </c>
      <c r="C268" t="s">
        <v>142</v>
      </c>
      <c r="D268" t="s">
        <v>193</v>
      </c>
      <c r="E268" t="s">
        <v>195</v>
      </c>
      <c r="F268" t="s">
        <v>196</v>
      </c>
      <c r="G268" t="s">
        <v>195</v>
      </c>
      <c r="H268" t="s">
        <v>195</v>
      </c>
      <c r="I268" t="s">
        <v>196</v>
      </c>
      <c r="J268" t="s">
        <v>196</v>
      </c>
      <c r="K268" t="s">
        <v>196</v>
      </c>
      <c r="L268" t="s">
        <v>196</v>
      </c>
      <c r="M268" t="s">
        <v>145</v>
      </c>
      <c r="N268" t="s">
        <v>195</v>
      </c>
      <c r="O268" t="s">
        <v>193</v>
      </c>
    </row>
    <row r="269" spans="1:15">
      <c r="A269" t="str">
        <f t="shared" si="3"/>
        <v>CNTRFKGCP</v>
      </c>
      <c r="B269" t="s">
        <v>245</v>
      </c>
      <c r="C269" t="s">
        <v>147</v>
      </c>
      <c r="D269">
        <v>104213</v>
      </c>
      <c r="E269">
        <v>114437</v>
      </c>
      <c r="F269">
        <v>126051</v>
      </c>
      <c r="G269">
        <v>126807</v>
      </c>
      <c r="H269">
        <v>139147</v>
      </c>
      <c r="I269">
        <v>141451</v>
      </c>
      <c r="J269">
        <v>147695</v>
      </c>
      <c r="K269">
        <v>143002</v>
      </c>
      <c r="L269">
        <v>140826</v>
      </c>
      <c r="M269">
        <v>129638</v>
      </c>
      <c r="N269">
        <v>114961</v>
      </c>
      <c r="O269">
        <v>115885</v>
      </c>
    </row>
    <row r="270" spans="1:15">
      <c r="A270" t="str">
        <f t="shared" si="3"/>
        <v>CNTRFKGCP ONPK</v>
      </c>
      <c r="B270" t="s">
        <v>245</v>
      </c>
      <c r="C270" t="s">
        <v>63</v>
      </c>
      <c r="D270">
        <v>104213</v>
      </c>
      <c r="E270">
        <v>108678</v>
      </c>
      <c r="F270">
        <v>98374</v>
      </c>
      <c r="G270">
        <v>126807</v>
      </c>
      <c r="H270">
        <v>139147</v>
      </c>
      <c r="I270">
        <v>139433</v>
      </c>
      <c r="J270">
        <v>147695</v>
      </c>
      <c r="K270">
        <v>140477</v>
      </c>
      <c r="L270">
        <v>133456</v>
      </c>
      <c r="M270">
        <v>129638</v>
      </c>
      <c r="N270">
        <v>105406</v>
      </c>
      <c r="O270">
        <v>115885</v>
      </c>
    </row>
    <row r="271" spans="1:15">
      <c r="A271" t="str">
        <f t="shared" si="3"/>
        <v>CNTRFKGCP OFFPK</v>
      </c>
      <c r="B271" t="s">
        <v>245</v>
      </c>
      <c r="C271" t="s">
        <v>64</v>
      </c>
      <c r="D271">
        <v>101297</v>
      </c>
      <c r="E271">
        <v>114437</v>
      </c>
      <c r="F271">
        <v>126051</v>
      </c>
      <c r="G271">
        <v>122427</v>
      </c>
      <c r="H271">
        <v>132986</v>
      </c>
      <c r="I271">
        <v>141451</v>
      </c>
      <c r="J271">
        <v>142529</v>
      </c>
      <c r="K271">
        <v>143002</v>
      </c>
      <c r="L271">
        <v>140826</v>
      </c>
      <c r="M271">
        <v>126141</v>
      </c>
      <c r="N271">
        <v>114961</v>
      </c>
      <c r="O271">
        <v>112686</v>
      </c>
    </row>
    <row r="272" spans="1:15">
      <c r="A272" t="str">
        <f t="shared" si="3"/>
        <v>CNTRFKCP</v>
      </c>
      <c r="B272" t="s">
        <v>245</v>
      </c>
      <c r="C272" t="s">
        <v>148</v>
      </c>
      <c r="D272">
        <v>101889</v>
      </c>
      <c r="E272">
        <v>111566</v>
      </c>
      <c r="F272">
        <v>88285</v>
      </c>
      <c r="G272">
        <v>119855</v>
      </c>
      <c r="H272">
        <v>139147</v>
      </c>
      <c r="I272">
        <v>136713</v>
      </c>
      <c r="J272">
        <v>145669</v>
      </c>
      <c r="K272">
        <v>139253</v>
      </c>
      <c r="L272">
        <v>132932</v>
      </c>
      <c r="M272">
        <v>129236</v>
      </c>
      <c r="N272">
        <v>113619</v>
      </c>
      <c r="O272">
        <v>110488</v>
      </c>
    </row>
    <row r="273" spans="1:15">
      <c r="A273" t="str">
        <f t="shared" si="3"/>
        <v>CNTRFKPERIOD START</v>
      </c>
      <c r="B273" t="s">
        <v>245</v>
      </c>
      <c r="C273" t="s">
        <v>149</v>
      </c>
      <c r="D273" s="1">
        <v>41275</v>
      </c>
      <c r="E273" s="1">
        <v>41306</v>
      </c>
      <c r="F273" s="1">
        <v>41334</v>
      </c>
      <c r="G273" s="1">
        <v>41365</v>
      </c>
      <c r="H273" s="1">
        <v>41395</v>
      </c>
      <c r="I273" s="1">
        <v>41426</v>
      </c>
      <c r="J273" s="1">
        <v>41456</v>
      </c>
      <c r="K273" s="1">
        <v>41487</v>
      </c>
      <c r="L273" s="1">
        <v>41518</v>
      </c>
      <c r="M273" s="1">
        <v>41548</v>
      </c>
      <c r="N273" s="1">
        <v>41579</v>
      </c>
      <c r="O273" s="1">
        <v>41609</v>
      </c>
    </row>
    <row r="274" spans="1:15">
      <c r="A274" t="str">
        <f t="shared" si="3"/>
        <v>CNTRFKNCP LF</v>
      </c>
      <c r="B274" t="s">
        <v>245</v>
      </c>
      <c r="C274" t="s">
        <v>150</v>
      </c>
      <c r="D274" s="5">
        <v>0.71289999999999998</v>
      </c>
      <c r="E274" s="5">
        <v>0.66279999999999994</v>
      </c>
      <c r="F274" s="5">
        <v>0.56669999999999998</v>
      </c>
      <c r="G274" s="5">
        <v>0.67820000000000003</v>
      </c>
      <c r="H274" s="5">
        <v>0.62029999999999996</v>
      </c>
      <c r="I274" s="5">
        <v>0.70389999999999997</v>
      </c>
      <c r="J274" s="5">
        <v>0.68620000000000003</v>
      </c>
      <c r="K274" s="5">
        <v>0.7298</v>
      </c>
      <c r="L274" s="5">
        <v>0.67459999999999998</v>
      </c>
      <c r="M274" s="5">
        <v>0.68469999999999998</v>
      </c>
      <c r="N274" s="5">
        <v>0.67469999999999997</v>
      </c>
      <c r="O274" s="5">
        <v>0.67430000000000001</v>
      </c>
    </row>
    <row r="275" spans="1:15">
      <c r="A275" t="str">
        <f t="shared" si="3"/>
        <v>CNTRFKNCP LF ONPK</v>
      </c>
      <c r="B275" t="s">
        <v>245</v>
      </c>
      <c r="C275" t="s">
        <v>151</v>
      </c>
      <c r="D275" s="5">
        <v>0.75309999999999999</v>
      </c>
      <c r="E275" s="5">
        <v>0.74580000000000002</v>
      </c>
      <c r="F275" s="5">
        <v>0.76970000000000005</v>
      </c>
      <c r="G275" s="5">
        <v>0.82399999999999995</v>
      </c>
      <c r="H275" s="5">
        <v>0.72489999999999999</v>
      </c>
      <c r="I275" s="5">
        <v>0.84589999999999999</v>
      </c>
      <c r="J275" s="5">
        <v>0.80320000000000003</v>
      </c>
      <c r="K275" s="5">
        <v>0.86309999999999998</v>
      </c>
      <c r="L275" s="5">
        <v>0.84670000000000001</v>
      </c>
      <c r="M275" s="5">
        <v>0.83320000000000005</v>
      </c>
      <c r="N275" s="5">
        <v>0.7581</v>
      </c>
      <c r="O275" s="5">
        <v>0.68899999999999995</v>
      </c>
    </row>
    <row r="276" spans="1:15">
      <c r="A276" t="str">
        <f t="shared" si="3"/>
        <v>CNTRFKNCP LF OFFPK</v>
      </c>
      <c r="B276" t="s">
        <v>245</v>
      </c>
      <c r="C276" t="s">
        <v>152</v>
      </c>
      <c r="D276" s="5">
        <v>0.72070000000000001</v>
      </c>
      <c r="E276" s="5">
        <v>0.64859999999999995</v>
      </c>
      <c r="F276" s="5">
        <v>0.55679999999999996</v>
      </c>
      <c r="G276" s="5">
        <v>0.6452</v>
      </c>
      <c r="H276" s="5">
        <v>0.60929999999999995</v>
      </c>
      <c r="I276" s="5">
        <v>0.66049999999999998</v>
      </c>
      <c r="J276" s="5">
        <v>0.66700000000000004</v>
      </c>
      <c r="K276" s="5">
        <v>0.68689999999999996</v>
      </c>
      <c r="L276" s="5">
        <v>0.63200000000000001</v>
      </c>
      <c r="M276" s="5">
        <v>0.64480000000000004</v>
      </c>
      <c r="N276" s="5">
        <v>0.66890000000000005</v>
      </c>
      <c r="O276" s="5">
        <v>0.68910000000000005</v>
      </c>
    </row>
    <row r="277" spans="1:15">
      <c r="A277" t="str">
        <f t="shared" si="3"/>
        <v>CNTRFKGCP CF</v>
      </c>
      <c r="B277" t="s">
        <v>245</v>
      </c>
      <c r="C277" t="s">
        <v>153</v>
      </c>
      <c r="D277" s="5">
        <v>1</v>
      </c>
      <c r="E277" s="5">
        <v>1</v>
      </c>
      <c r="F277" s="5">
        <v>1</v>
      </c>
      <c r="G277" s="5">
        <v>1</v>
      </c>
      <c r="H277" s="5">
        <v>1</v>
      </c>
      <c r="I277" s="5">
        <v>1</v>
      </c>
      <c r="J277" s="5">
        <v>1</v>
      </c>
      <c r="K277" s="5">
        <v>1</v>
      </c>
      <c r="L277" s="5">
        <v>1</v>
      </c>
      <c r="M277" s="5">
        <v>1</v>
      </c>
      <c r="N277" s="5">
        <v>1</v>
      </c>
      <c r="O277" s="5">
        <v>1</v>
      </c>
    </row>
    <row r="278" spans="1:15">
      <c r="A278" t="str">
        <f t="shared" si="3"/>
        <v>CNTRFKCP CF</v>
      </c>
      <c r="B278" t="s">
        <v>245</v>
      </c>
      <c r="C278" t="s">
        <v>154</v>
      </c>
      <c r="D278" s="5">
        <v>0.97770000000000001</v>
      </c>
      <c r="E278" s="5">
        <v>0.97489999999999999</v>
      </c>
      <c r="F278" s="5">
        <v>0.70040000000000002</v>
      </c>
      <c r="G278" s="5">
        <v>0.94520000000000004</v>
      </c>
      <c r="H278" s="5">
        <v>1</v>
      </c>
      <c r="I278" s="5">
        <v>0.96650000000000003</v>
      </c>
      <c r="J278" s="5">
        <v>0.98629999999999995</v>
      </c>
      <c r="K278" s="5">
        <v>0.9738</v>
      </c>
      <c r="L278" s="5">
        <v>0.94389999999999996</v>
      </c>
      <c r="M278" s="5">
        <v>0.99690000000000001</v>
      </c>
      <c r="N278" s="5">
        <v>0.98829999999999996</v>
      </c>
      <c r="O278" s="5">
        <v>0.95340000000000003</v>
      </c>
    </row>
    <row r="279" spans="1:15">
      <c r="A279" t="str">
        <f t="shared" si="3"/>
        <v>CNTRFKGCP LF</v>
      </c>
      <c r="B279" t="s">
        <v>245</v>
      </c>
      <c r="C279" t="s">
        <v>155</v>
      </c>
      <c r="D279" s="5">
        <v>0.71289999999999998</v>
      </c>
      <c r="E279" s="5">
        <v>0.66279999999999994</v>
      </c>
      <c r="F279" s="5">
        <v>0.56669999999999998</v>
      </c>
      <c r="G279" s="5">
        <v>0.67820000000000003</v>
      </c>
      <c r="H279" s="5">
        <v>0.62029999999999996</v>
      </c>
      <c r="I279" s="5">
        <v>0.70389999999999997</v>
      </c>
      <c r="J279" s="5">
        <v>0.68620000000000003</v>
      </c>
      <c r="K279" s="5">
        <v>0.7298</v>
      </c>
      <c r="L279" s="5">
        <v>0.67459999999999998</v>
      </c>
      <c r="M279" s="5">
        <v>0.68469999999999998</v>
      </c>
      <c r="N279" s="5">
        <v>0.67469999999999997</v>
      </c>
      <c r="O279" s="5">
        <v>0.67430000000000001</v>
      </c>
    </row>
    <row r="280" spans="1:15">
      <c r="A280" t="str">
        <f t="shared" si="3"/>
        <v>CNTRFKGCP LF ONPK</v>
      </c>
      <c r="B280" t="s">
        <v>245</v>
      </c>
      <c r="C280" t="s">
        <v>156</v>
      </c>
      <c r="D280" s="5">
        <v>0.75309999999999999</v>
      </c>
      <c r="E280" s="5">
        <v>0.74580000000000002</v>
      </c>
      <c r="F280" s="5">
        <v>0.76970000000000005</v>
      </c>
      <c r="G280" s="5">
        <v>0.82399999999999995</v>
      </c>
      <c r="H280" s="5">
        <v>0.72489999999999999</v>
      </c>
      <c r="I280" s="5">
        <v>0.84589999999999999</v>
      </c>
      <c r="J280" s="5">
        <v>0.80320000000000003</v>
      </c>
      <c r="K280" s="5">
        <v>0.86309999999999998</v>
      </c>
      <c r="L280" s="5">
        <v>0.84670000000000001</v>
      </c>
      <c r="M280" s="5">
        <v>0.83320000000000005</v>
      </c>
      <c r="N280" s="5">
        <v>0.7581</v>
      </c>
      <c r="O280" s="5">
        <v>0.68899999999999995</v>
      </c>
    </row>
    <row r="281" spans="1:15">
      <c r="A281" t="str">
        <f t="shared" si="3"/>
        <v>CNTRFKGCP LF OFFPK</v>
      </c>
      <c r="B281" t="s">
        <v>245</v>
      </c>
      <c r="C281" t="s">
        <v>157</v>
      </c>
      <c r="D281" s="5">
        <v>0.72070000000000001</v>
      </c>
      <c r="E281" s="5">
        <v>0.64859999999999995</v>
      </c>
      <c r="F281" s="5">
        <v>0.55679999999999996</v>
      </c>
      <c r="G281" s="5">
        <v>0.6452</v>
      </c>
      <c r="H281" s="5">
        <v>0.60929999999999995</v>
      </c>
      <c r="I281" s="5">
        <v>0.66049999999999998</v>
      </c>
      <c r="J281" s="5">
        <v>0.66700000000000004</v>
      </c>
      <c r="K281" s="5">
        <v>0.68689999999999996</v>
      </c>
      <c r="L281" s="5">
        <v>0.63200000000000001</v>
      </c>
      <c r="M281" s="5">
        <v>0.64480000000000004</v>
      </c>
      <c r="N281" s="5">
        <v>0.66890000000000005</v>
      </c>
      <c r="O281" s="5">
        <v>0.68910000000000005</v>
      </c>
    </row>
    <row r="282" spans="1:15">
      <c r="A282" t="str">
        <f t="shared" si="3"/>
        <v>CNTRFKCP LF</v>
      </c>
      <c r="B282" t="s">
        <v>245</v>
      </c>
      <c r="C282" t="s">
        <v>158</v>
      </c>
      <c r="D282" s="5">
        <v>0.72919999999999996</v>
      </c>
      <c r="E282" s="5">
        <v>0.67979999999999996</v>
      </c>
      <c r="F282" s="5">
        <v>0.80910000000000004</v>
      </c>
      <c r="G282" s="5">
        <v>0.71750000000000003</v>
      </c>
      <c r="H282" s="5">
        <v>0.62029999999999996</v>
      </c>
      <c r="I282" s="5">
        <v>0.72829999999999995</v>
      </c>
      <c r="J282" s="5">
        <v>0.69569999999999999</v>
      </c>
      <c r="K282" s="5">
        <v>0.74939999999999996</v>
      </c>
      <c r="L282" s="5">
        <v>0.7147</v>
      </c>
      <c r="M282" s="5">
        <v>0.68679999999999997</v>
      </c>
      <c r="N282" s="5">
        <v>0.68269999999999997</v>
      </c>
      <c r="O282" s="5">
        <v>0.70730000000000004</v>
      </c>
    </row>
    <row r="283" spans="1:15">
      <c r="A283" t="str">
        <f t="shared" si="3"/>
        <v>CNTRFKREL PREC:</v>
      </c>
      <c r="B283" t="s">
        <v>245</v>
      </c>
      <c r="C283" t="s">
        <v>65</v>
      </c>
    </row>
    <row r="284" spans="1:15">
      <c r="A284" t="str">
        <f t="shared" si="3"/>
        <v>CNTRFKNCP RP</v>
      </c>
      <c r="B284" t="s">
        <v>245</v>
      </c>
      <c r="C284" t="s">
        <v>159</v>
      </c>
      <c r="D284" s="5">
        <v>0</v>
      </c>
      <c r="E284" s="5">
        <v>0</v>
      </c>
      <c r="F284" s="5">
        <v>0</v>
      </c>
      <c r="G284" s="5">
        <v>0</v>
      </c>
      <c r="H284" s="5">
        <v>0</v>
      </c>
      <c r="I284" s="5">
        <v>0</v>
      </c>
      <c r="J284" s="5">
        <v>0</v>
      </c>
      <c r="K284" s="5">
        <v>0</v>
      </c>
      <c r="L284" s="5">
        <v>0</v>
      </c>
      <c r="M284" s="5">
        <v>0</v>
      </c>
      <c r="N284" s="5">
        <v>0</v>
      </c>
      <c r="O284" s="5">
        <v>0</v>
      </c>
    </row>
    <row r="285" spans="1:15">
      <c r="A285" t="str">
        <f t="shared" si="3"/>
        <v>CNTRFKNCP RP ONPK</v>
      </c>
      <c r="B285" t="s">
        <v>245</v>
      </c>
      <c r="C285" t="s">
        <v>160</v>
      </c>
      <c r="D285" s="5">
        <v>0</v>
      </c>
      <c r="E285" s="5">
        <v>0</v>
      </c>
      <c r="F285" s="5">
        <v>0</v>
      </c>
      <c r="G285" s="5">
        <v>0</v>
      </c>
      <c r="H285" s="5">
        <v>0</v>
      </c>
      <c r="I285" s="5">
        <v>0</v>
      </c>
      <c r="J285" s="5">
        <v>0</v>
      </c>
      <c r="K285" s="5">
        <v>0</v>
      </c>
      <c r="L285" s="5">
        <v>0</v>
      </c>
      <c r="M285" s="5">
        <v>0</v>
      </c>
      <c r="N285" s="5">
        <v>0</v>
      </c>
      <c r="O285" s="5">
        <v>0</v>
      </c>
    </row>
    <row r="286" spans="1:15">
      <c r="A286" t="str">
        <f t="shared" si="3"/>
        <v>CNTRFKNCP RP OFFPK</v>
      </c>
      <c r="B286" t="s">
        <v>245</v>
      </c>
      <c r="C286" t="s">
        <v>161</v>
      </c>
      <c r="D286" s="5">
        <v>0</v>
      </c>
      <c r="E286" s="5">
        <v>0</v>
      </c>
      <c r="F286" s="5">
        <v>0</v>
      </c>
      <c r="G286" s="5">
        <v>0</v>
      </c>
      <c r="H286" s="5">
        <v>0</v>
      </c>
      <c r="I286" s="5">
        <v>0</v>
      </c>
      <c r="J286" s="5">
        <v>0</v>
      </c>
      <c r="K286" s="5">
        <v>0</v>
      </c>
      <c r="L286" s="5">
        <v>0</v>
      </c>
      <c r="M286" s="5">
        <v>0</v>
      </c>
      <c r="N286" s="5">
        <v>0</v>
      </c>
      <c r="O286" s="5">
        <v>0</v>
      </c>
    </row>
    <row r="287" spans="1:15">
      <c r="A287" t="str">
        <f t="shared" si="3"/>
        <v>CNTRFKGCP RP</v>
      </c>
      <c r="B287" t="s">
        <v>245</v>
      </c>
      <c r="C287" t="s">
        <v>162</v>
      </c>
      <c r="D287" s="5">
        <v>0</v>
      </c>
      <c r="E287" s="5">
        <v>0</v>
      </c>
      <c r="F287" s="5">
        <v>0</v>
      </c>
      <c r="G287" s="5">
        <v>0</v>
      </c>
      <c r="H287" s="5">
        <v>0</v>
      </c>
      <c r="I287" s="5">
        <v>0</v>
      </c>
      <c r="J287" s="5">
        <v>0</v>
      </c>
      <c r="K287" s="5">
        <v>0</v>
      </c>
      <c r="L287" s="5">
        <v>0</v>
      </c>
      <c r="M287" s="5">
        <v>0</v>
      </c>
      <c r="N287" s="5">
        <v>0</v>
      </c>
      <c r="O287" s="5">
        <v>0</v>
      </c>
    </row>
    <row r="288" spans="1:15">
      <c r="A288" t="str">
        <f t="shared" si="3"/>
        <v>CNTRFKGCP RP ONPK</v>
      </c>
      <c r="B288" t="s">
        <v>245</v>
      </c>
      <c r="C288" t="s">
        <v>163</v>
      </c>
      <c r="D288" s="5">
        <v>0</v>
      </c>
      <c r="E288" s="5">
        <v>0</v>
      </c>
      <c r="F288" s="5">
        <v>0</v>
      </c>
      <c r="G288" s="5">
        <v>0</v>
      </c>
      <c r="H288" s="5">
        <v>0</v>
      </c>
      <c r="I288" s="5">
        <v>0</v>
      </c>
      <c r="J288" s="5">
        <v>0</v>
      </c>
      <c r="K288" s="5">
        <v>0</v>
      </c>
      <c r="L288" s="5">
        <v>0</v>
      </c>
      <c r="M288" s="5">
        <v>0</v>
      </c>
      <c r="N288" s="5">
        <v>0</v>
      </c>
      <c r="O288" s="5">
        <v>0</v>
      </c>
    </row>
    <row r="289" spans="1:15">
      <c r="A289" t="str">
        <f t="shared" si="3"/>
        <v>CNTRFKGCP RP OFFPK</v>
      </c>
      <c r="B289" t="s">
        <v>245</v>
      </c>
      <c r="C289" t="s">
        <v>164</v>
      </c>
      <c r="D289" s="5">
        <v>0</v>
      </c>
      <c r="E289" s="5">
        <v>0</v>
      </c>
      <c r="F289" s="5">
        <v>0</v>
      </c>
      <c r="G289" s="5">
        <v>0</v>
      </c>
      <c r="H289" s="5">
        <v>0</v>
      </c>
      <c r="I289" s="5">
        <v>0</v>
      </c>
      <c r="J289" s="5">
        <v>0</v>
      </c>
      <c r="K289" s="5">
        <v>0</v>
      </c>
      <c r="L289" s="5">
        <v>0</v>
      </c>
      <c r="M289" s="5">
        <v>0</v>
      </c>
      <c r="N289" s="5">
        <v>0</v>
      </c>
      <c r="O289" s="5">
        <v>0</v>
      </c>
    </row>
    <row r="290" spans="1:15">
      <c r="A290" t="str">
        <f t="shared" si="3"/>
        <v>CNTRFKCP RP</v>
      </c>
      <c r="B290" t="s">
        <v>245</v>
      </c>
      <c r="C290" t="s">
        <v>165</v>
      </c>
      <c r="D290" s="5">
        <v>0</v>
      </c>
      <c r="E290" s="5">
        <v>0</v>
      </c>
      <c r="F290" s="5">
        <v>0</v>
      </c>
      <c r="G290" s="5">
        <v>0</v>
      </c>
      <c r="H290" s="5">
        <v>0</v>
      </c>
      <c r="I290" s="5">
        <v>0</v>
      </c>
      <c r="J290" s="5">
        <v>0</v>
      </c>
      <c r="K290" s="5">
        <v>0</v>
      </c>
      <c r="L290" s="5">
        <v>0</v>
      </c>
      <c r="M290" s="5">
        <v>0</v>
      </c>
      <c r="N290" s="5">
        <v>0</v>
      </c>
      <c r="O290" s="5">
        <v>0</v>
      </c>
    </row>
    <row r="291" spans="1:15">
      <c r="A291" t="str">
        <f t="shared" si="3"/>
        <v>CNTRFKSAMPLE SIZE:</v>
      </c>
      <c r="B291" t="s">
        <v>245</v>
      </c>
      <c r="C291" t="s">
        <v>66</v>
      </c>
    </row>
    <row r="292" spans="1:15">
      <c r="A292" t="str">
        <f t="shared" si="3"/>
        <v>CNTRFKGCPSZ</v>
      </c>
      <c r="B292" t="s">
        <v>245</v>
      </c>
      <c r="C292" t="s">
        <v>166</v>
      </c>
      <c r="D292">
        <v>1</v>
      </c>
      <c r="E292">
        <v>1</v>
      </c>
      <c r="F292">
        <v>1</v>
      </c>
      <c r="G292">
        <v>1</v>
      </c>
      <c r="H292">
        <v>1</v>
      </c>
      <c r="I292">
        <v>1</v>
      </c>
      <c r="J292">
        <v>1</v>
      </c>
      <c r="K292">
        <v>1</v>
      </c>
      <c r="L292">
        <v>1</v>
      </c>
      <c r="M292">
        <v>1</v>
      </c>
      <c r="N292">
        <v>1</v>
      </c>
      <c r="O292">
        <v>1</v>
      </c>
    </row>
    <row r="293" spans="1:15">
      <c r="A293" t="str">
        <f t="shared" si="3"/>
        <v>CNTRFKGCPSZ ONPK</v>
      </c>
      <c r="B293" t="s">
        <v>245</v>
      </c>
      <c r="C293" t="s">
        <v>167</v>
      </c>
      <c r="D293">
        <v>1</v>
      </c>
      <c r="E293">
        <v>1</v>
      </c>
      <c r="F293">
        <v>1</v>
      </c>
      <c r="G293">
        <v>1</v>
      </c>
      <c r="H293">
        <v>1</v>
      </c>
      <c r="I293">
        <v>1</v>
      </c>
      <c r="J293">
        <v>1</v>
      </c>
      <c r="K293">
        <v>1</v>
      </c>
      <c r="L293">
        <v>1</v>
      </c>
      <c r="M293">
        <v>1</v>
      </c>
      <c r="N293">
        <v>1</v>
      </c>
      <c r="O293">
        <v>1</v>
      </c>
    </row>
    <row r="294" spans="1:15">
      <c r="A294" t="str">
        <f t="shared" si="3"/>
        <v>CNTRFKGCPSZ OFFPK</v>
      </c>
      <c r="B294" t="s">
        <v>245</v>
      </c>
      <c r="C294" t="s">
        <v>168</v>
      </c>
      <c r="D294">
        <v>1</v>
      </c>
      <c r="E294">
        <v>1</v>
      </c>
      <c r="F294">
        <v>1</v>
      </c>
      <c r="G294">
        <v>1</v>
      </c>
      <c r="H294">
        <v>1</v>
      </c>
      <c r="I294">
        <v>1</v>
      </c>
      <c r="J294">
        <v>1</v>
      </c>
      <c r="K294">
        <v>1</v>
      </c>
      <c r="L294">
        <v>1</v>
      </c>
      <c r="M294">
        <v>1</v>
      </c>
      <c r="N294">
        <v>1</v>
      </c>
      <c r="O294">
        <v>1</v>
      </c>
    </row>
    <row r="295" spans="1:15">
      <c r="A295" t="str">
        <f t="shared" si="3"/>
        <v>CNTRFKCPSZ</v>
      </c>
      <c r="B295" t="s">
        <v>245</v>
      </c>
      <c r="C295" t="s">
        <v>169</v>
      </c>
      <c r="D295">
        <v>1</v>
      </c>
      <c r="E295">
        <v>1</v>
      </c>
      <c r="F295">
        <v>1</v>
      </c>
      <c r="G295">
        <v>1</v>
      </c>
      <c r="H295">
        <v>1</v>
      </c>
      <c r="I295">
        <v>1</v>
      </c>
      <c r="J295">
        <v>1</v>
      </c>
      <c r="K295">
        <v>1</v>
      </c>
      <c r="L295">
        <v>1</v>
      </c>
      <c r="M295">
        <v>1</v>
      </c>
      <c r="N295">
        <v>1</v>
      </c>
      <c r="O295">
        <v>1</v>
      </c>
    </row>
    <row r="296" spans="1:15">
      <c r="A296" t="str">
        <f t="shared" si="3"/>
        <v/>
      </c>
    </row>
    <row r="297" spans="1:15" ht="14.4">
      <c r="A297" t="str">
        <f t="shared" si="3"/>
        <v>NOTE:     Sales line does not match sales in the Rate and Revenue Report due to billing lag.</v>
      </c>
      <c r="B297" s="301" t="s">
        <v>608</v>
      </c>
    </row>
    <row r="298" spans="1:15">
      <c r="A298" t="str">
        <f t="shared" si="3"/>
        <v xml:space="preserve">CNTRKE Wholesale - Contract Rate (Key West) </v>
      </c>
      <c r="B298" t="s">
        <v>244</v>
      </c>
      <c r="C298" t="s">
        <v>243</v>
      </c>
    </row>
    <row r="299" spans="1:15">
      <c r="A299" t="str">
        <f t="shared" si="3"/>
        <v xml:space="preserve">CNTRKEMONTH </v>
      </c>
      <c r="B299" t="s">
        <v>242</v>
      </c>
      <c r="C299" t="s">
        <v>123</v>
      </c>
      <c r="D299" s="4">
        <v>41275</v>
      </c>
      <c r="E299" s="4">
        <v>41306</v>
      </c>
      <c r="F299" s="4">
        <v>41334</v>
      </c>
      <c r="G299" s="4">
        <v>41365</v>
      </c>
      <c r="H299" s="4">
        <v>41395</v>
      </c>
      <c r="I299" s="4">
        <v>41426</v>
      </c>
      <c r="J299" s="4">
        <v>41456</v>
      </c>
      <c r="K299" s="4">
        <v>41487</v>
      </c>
      <c r="L299" s="4">
        <v>41518</v>
      </c>
      <c r="M299" s="4">
        <v>41548</v>
      </c>
      <c r="N299" s="4">
        <v>41579</v>
      </c>
      <c r="O299" s="4">
        <v>41609</v>
      </c>
    </row>
    <row r="300" spans="1:15">
      <c r="A300" t="str">
        <f t="shared" si="3"/>
        <v xml:space="preserve">CNTRKECUSTOMERS </v>
      </c>
      <c r="B300" t="s">
        <v>242</v>
      </c>
      <c r="C300" t="s">
        <v>124</v>
      </c>
      <c r="D300">
        <v>1</v>
      </c>
      <c r="E300">
        <v>1</v>
      </c>
      <c r="F300">
        <v>1</v>
      </c>
      <c r="G300">
        <v>1</v>
      </c>
      <c r="H300">
        <v>1</v>
      </c>
      <c r="I300">
        <v>1</v>
      </c>
    </row>
    <row r="301" spans="1:15">
      <c r="A301" t="str">
        <f t="shared" si="3"/>
        <v xml:space="preserve">CNTRKESALES </v>
      </c>
      <c r="B301" t="s">
        <v>242</v>
      </c>
      <c r="C301" t="s">
        <v>125</v>
      </c>
      <c r="D301">
        <v>16110000</v>
      </c>
      <c r="E301">
        <v>16110000</v>
      </c>
      <c r="F301">
        <v>15615000</v>
      </c>
      <c r="G301">
        <v>17100000</v>
      </c>
      <c r="H301">
        <v>17235000</v>
      </c>
      <c r="I301">
        <v>20115000</v>
      </c>
    </row>
    <row r="302" spans="1:15">
      <c r="A302" t="str">
        <f t="shared" si="3"/>
        <v>CNTRKEKW</v>
      </c>
      <c r="B302" t="s">
        <v>242</v>
      </c>
      <c r="C302" t="s">
        <v>126</v>
      </c>
    </row>
    <row r="303" spans="1:15">
      <c r="A303" t="str">
        <f t="shared" si="3"/>
        <v>CNTRKEN</v>
      </c>
      <c r="B303" t="s">
        <v>242</v>
      </c>
      <c r="C303" t="s">
        <v>127</v>
      </c>
      <c r="D303">
        <v>1</v>
      </c>
      <c r="E303">
        <v>1</v>
      </c>
      <c r="F303">
        <v>1</v>
      </c>
      <c r="G303">
        <v>1</v>
      </c>
      <c r="H303">
        <v>1</v>
      </c>
      <c r="I303" t="s">
        <v>539</v>
      </c>
      <c r="J303" t="s">
        <v>539</v>
      </c>
      <c r="K303" t="s">
        <v>539</v>
      </c>
      <c r="L303" t="s">
        <v>539</v>
      </c>
      <c r="M303" t="s">
        <v>539</v>
      </c>
      <c r="N303" t="s">
        <v>539</v>
      </c>
      <c r="O303" t="s">
        <v>539</v>
      </c>
    </row>
    <row r="304" spans="1:15">
      <c r="A304" t="str">
        <f t="shared" si="3"/>
        <v>CNTRKERLR ENERGY:</v>
      </c>
      <c r="B304" t="s">
        <v>242</v>
      </c>
      <c r="C304" t="s">
        <v>61</v>
      </c>
    </row>
    <row r="305" spans="1:15">
      <c r="A305" t="str">
        <f t="shared" si="3"/>
        <v>CNTRKEKWH</v>
      </c>
      <c r="B305" t="s">
        <v>242</v>
      </c>
      <c r="C305" t="s">
        <v>128</v>
      </c>
      <c r="D305">
        <v>16110000</v>
      </c>
      <c r="E305">
        <v>15615000</v>
      </c>
      <c r="F305">
        <v>17100000</v>
      </c>
      <c r="G305">
        <v>17235000</v>
      </c>
      <c r="H305">
        <v>20115000</v>
      </c>
    </row>
    <row r="306" spans="1:15">
      <c r="A306" t="str">
        <f t="shared" si="3"/>
        <v>CNTRKEKWH ONPK</v>
      </c>
      <c r="B306" t="s">
        <v>242</v>
      </c>
      <c r="C306" t="s">
        <v>129</v>
      </c>
      <c r="D306">
        <v>4455000</v>
      </c>
      <c r="E306">
        <v>4995000</v>
      </c>
      <c r="F306">
        <v>6030000</v>
      </c>
      <c r="G306">
        <v>8910000</v>
      </c>
      <c r="H306">
        <v>8910000</v>
      </c>
    </row>
    <row r="307" spans="1:15">
      <c r="A307" t="str">
        <f t="shared" si="3"/>
        <v>CNTRKEKWH OFFPK</v>
      </c>
      <c r="B307" t="s">
        <v>242</v>
      </c>
      <c r="C307" t="s">
        <v>130</v>
      </c>
      <c r="D307">
        <v>11655000</v>
      </c>
      <c r="E307">
        <v>10620000</v>
      </c>
      <c r="F307">
        <v>11070000</v>
      </c>
      <c r="G307">
        <v>8325000</v>
      </c>
      <c r="H307">
        <v>11205000</v>
      </c>
    </row>
    <row r="308" spans="1:15">
      <c r="A308" t="str">
        <f t="shared" si="3"/>
        <v>CNTRKEKWH ONPK%</v>
      </c>
      <c r="B308" t="s">
        <v>242</v>
      </c>
      <c r="C308" t="s">
        <v>131</v>
      </c>
      <c r="D308" s="5">
        <v>0.27654000000000001</v>
      </c>
      <c r="E308" s="5">
        <v>0.31988</v>
      </c>
      <c r="F308" s="5">
        <v>0.35263</v>
      </c>
      <c r="G308" s="5">
        <v>0.51697000000000004</v>
      </c>
      <c r="H308" s="5">
        <v>0.44295000000000001</v>
      </c>
      <c r="I308" s="5"/>
      <c r="J308" s="5"/>
      <c r="K308" s="5"/>
      <c r="L308" s="5"/>
      <c r="M308" s="5"/>
      <c r="N308" s="5"/>
      <c r="O308" s="5"/>
    </row>
    <row r="309" spans="1:15">
      <c r="A309" t="str">
        <f t="shared" ref="A309:A372" si="4">B309&amp;C309</f>
        <v>CNTRKEKWH OFFPK%</v>
      </c>
      <c r="B309" t="s">
        <v>242</v>
      </c>
      <c r="C309" t="s">
        <v>132</v>
      </c>
      <c r="D309" s="5">
        <v>0.72345999999999999</v>
      </c>
      <c r="E309" s="5">
        <v>0.68011999999999995</v>
      </c>
      <c r="F309" s="5">
        <v>0.64737</v>
      </c>
      <c r="G309" s="5">
        <v>0.48303000000000001</v>
      </c>
      <c r="H309" s="5">
        <v>0.55705000000000005</v>
      </c>
      <c r="I309" s="5"/>
      <c r="J309" s="5"/>
      <c r="K309" s="5"/>
      <c r="L309" s="5"/>
      <c r="M309" s="5"/>
      <c r="N309" s="5"/>
      <c r="O309" s="5"/>
    </row>
    <row r="310" spans="1:15">
      <c r="A310" t="str">
        <f t="shared" si="4"/>
        <v>CNTRKEDEMAND (KW):</v>
      </c>
      <c r="B310" t="s">
        <v>242</v>
      </c>
      <c r="C310" t="s">
        <v>62</v>
      </c>
    </row>
    <row r="311" spans="1:15">
      <c r="A311" t="str">
        <f t="shared" si="4"/>
        <v>CNTRKENCP</v>
      </c>
      <c r="B311" t="s">
        <v>242</v>
      </c>
      <c r="C311" t="s">
        <v>133</v>
      </c>
      <c r="D311">
        <v>45000</v>
      </c>
      <c r="E311">
        <v>45000</v>
      </c>
      <c r="F311">
        <v>45000</v>
      </c>
      <c r="G311">
        <v>45000</v>
      </c>
      <c r="H311">
        <v>45000</v>
      </c>
    </row>
    <row r="312" spans="1:15">
      <c r="A312" t="str">
        <f t="shared" si="4"/>
        <v>CNTRKENCP ONPK</v>
      </c>
      <c r="B312" t="s">
        <v>242</v>
      </c>
      <c r="C312" t="s">
        <v>134</v>
      </c>
      <c r="D312">
        <v>45000</v>
      </c>
      <c r="E312">
        <v>45000</v>
      </c>
      <c r="F312">
        <v>45000</v>
      </c>
      <c r="G312">
        <v>45000</v>
      </c>
      <c r="H312">
        <v>45000</v>
      </c>
    </row>
    <row r="313" spans="1:15">
      <c r="A313" t="str">
        <f t="shared" si="4"/>
        <v>CNTRKENCP OFFPK</v>
      </c>
      <c r="B313" t="s">
        <v>242</v>
      </c>
      <c r="C313" t="s">
        <v>135</v>
      </c>
      <c r="D313">
        <v>45000</v>
      </c>
      <c r="E313">
        <v>45000</v>
      </c>
      <c r="F313">
        <v>45000</v>
      </c>
      <c r="G313">
        <v>45000</v>
      </c>
      <c r="H313">
        <v>45000</v>
      </c>
    </row>
    <row r="314" spans="1:15">
      <c r="A314" t="str">
        <f t="shared" si="4"/>
        <v>CNTRKEGCP DATE</v>
      </c>
      <c r="B314" t="s">
        <v>242</v>
      </c>
      <c r="C314" t="s">
        <v>136</v>
      </c>
      <c r="D314" t="s">
        <v>256</v>
      </c>
      <c r="E314" t="s">
        <v>287</v>
      </c>
      <c r="F314" t="s">
        <v>774</v>
      </c>
      <c r="G314" t="s">
        <v>791</v>
      </c>
      <c r="H314" t="s">
        <v>792</v>
      </c>
    </row>
    <row r="315" spans="1:15">
      <c r="A315" t="str">
        <f t="shared" si="4"/>
        <v>CNTRKEGCP TIME</v>
      </c>
      <c r="B315" t="s">
        <v>242</v>
      </c>
      <c r="C315" t="s">
        <v>142</v>
      </c>
      <c r="D315" t="s">
        <v>189</v>
      </c>
      <c r="E315" t="s">
        <v>199</v>
      </c>
      <c r="F315" t="s">
        <v>200</v>
      </c>
      <c r="G315" t="s">
        <v>202</v>
      </c>
      <c r="H315" t="s">
        <v>194</v>
      </c>
    </row>
    <row r="316" spans="1:15">
      <c r="A316" t="str">
        <f t="shared" si="4"/>
        <v>CNTRKEGCP</v>
      </c>
      <c r="B316" t="s">
        <v>242</v>
      </c>
      <c r="C316" t="s">
        <v>147</v>
      </c>
      <c r="D316">
        <v>45000</v>
      </c>
      <c r="E316">
        <v>45000</v>
      </c>
      <c r="F316">
        <v>45000</v>
      </c>
      <c r="G316">
        <v>45000</v>
      </c>
      <c r="H316">
        <v>45000</v>
      </c>
    </row>
    <row r="317" spans="1:15">
      <c r="A317" t="str">
        <f t="shared" si="4"/>
        <v>CNTRKEGCP ONPK</v>
      </c>
      <c r="B317" t="s">
        <v>242</v>
      </c>
      <c r="C317" t="s">
        <v>63</v>
      </c>
      <c r="D317">
        <v>45000</v>
      </c>
      <c r="E317">
        <v>45000</v>
      </c>
      <c r="F317">
        <v>45000</v>
      </c>
      <c r="G317">
        <v>45000</v>
      </c>
      <c r="H317">
        <v>45000</v>
      </c>
    </row>
    <row r="318" spans="1:15">
      <c r="A318" t="str">
        <f t="shared" si="4"/>
        <v>CNTRKEGCP OFFPK</v>
      </c>
      <c r="B318" t="s">
        <v>242</v>
      </c>
      <c r="C318" t="s">
        <v>64</v>
      </c>
      <c r="D318">
        <v>45000</v>
      </c>
      <c r="E318">
        <v>45000</v>
      </c>
      <c r="F318">
        <v>45000</v>
      </c>
      <c r="G318">
        <v>45000</v>
      </c>
      <c r="H318">
        <v>45000</v>
      </c>
    </row>
    <row r="319" spans="1:15">
      <c r="A319" t="str">
        <f t="shared" si="4"/>
        <v>CNTRKECP</v>
      </c>
      <c r="B319" t="s">
        <v>242</v>
      </c>
      <c r="C319" t="s">
        <v>148</v>
      </c>
      <c r="D319">
        <v>45000</v>
      </c>
      <c r="E319">
        <v>45000</v>
      </c>
      <c r="F319">
        <v>45000</v>
      </c>
      <c r="G319">
        <v>45000</v>
      </c>
      <c r="H319">
        <v>45000</v>
      </c>
    </row>
    <row r="320" spans="1:15">
      <c r="A320" t="str">
        <f t="shared" si="4"/>
        <v>CNTRKEPERIOD START</v>
      </c>
      <c r="B320" t="s">
        <v>242</v>
      </c>
      <c r="C320" t="s">
        <v>149</v>
      </c>
      <c r="D320" s="1">
        <v>41275</v>
      </c>
      <c r="E320" s="1">
        <v>41306</v>
      </c>
      <c r="F320" s="1">
        <v>41334</v>
      </c>
      <c r="G320" s="1">
        <v>41365</v>
      </c>
      <c r="H320" s="1">
        <v>41395</v>
      </c>
      <c r="I320" s="1"/>
      <c r="J320" s="1"/>
      <c r="K320" s="1"/>
      <c r="L320" s="1"/>
      <c r="M320" s="1"/>
      <c r="N320" s="1"/>
      <c r="O320" s="1"/>
    </row>
    <row r="321" spans="1:15">
      <c r="A321" t="str">
        <f t="shared" si="4"/>
        <v>CNTRKENCP LF</v>
      </c>
      <c r="B321" t="s">
        <v>242</v>
      </c>
      <c r="C321" t="s">
        <v>150</v>
      </c>
      <c r="D321" s="5">
        <v>0.48120000000000002</v>
      </c>
      <c r="E321" s="5">
        <v>0.51639999999999997</v>
      </c>
      <c r="F321" s="5">
        <v>0.51139999999999997</v>
      </c>
      <c r="G321" s="5">
        <v>0.53190000000000004</v>
      </c>
      <c r="H321" s="5">
        <v>0.6008</v>
      </c>
    </row>
    <row r="322" spans="1:15">
      <c r="A322" t="str">
        <f t="shared" si="4"/>
        <v>CNTRKENCP LF ONPK</v>
      </c>
      <c r="B322" t="s">
        <v>242</v>
      </c>
      <c r="C322" t="s">
        <v>151</v>
      </c>
      <c r="D322" s="5">
        <v>0.5625</v>
      </c>
      <c r="E322" s="5">
        <v>0.69379999999999997</v>
      </c>
      <c r="F322" s="5">
        <v>0.79759999999999998</v>
      </c>
      <c r="G322" s="5">
        <v>1</v>
      </c>
      <c r="H322" s="5">
        <v>1</v>
      </c>
      <c r="I322" t="s">
        <v>539</v>
      </c>
      <c r="J322" t="s">
        <v>539</v>
      </c>
      <c r="K322" t="s">
        <v>539</v>
      </c>
      <c r="L322" t="s">
        <v>539</v>
      </c>
      <c r="M322" t="s">
        <v>539</v>
      </c>
      <c r="N322" t="s">
        <v>539</v>
      </c>
      <c r="O322" t="s">
        <v>539</v>
      </c>
    </row>
    <row r="323" spans="1:15">
      <c r="A323" t="str">
        <f t="shared" si="4"/>
        <v>CNTRKENCP LF OFFPK</v>
      </c>
      <c r="B323" t="s">
        <v>242</v>
      </c>
      <c r="C323" t="s">
        <v>152</v>
      </c>
      <c r="D323" s="5">
        <v>0.45600000000000002</v>
      </c>
      <c r="E323" s="5">
        <v>0.46089999999999998</v>
      </c>
      <c r="F323" s="5">
        <v>0.42780000000000001</v>
      </c>
      <c r="G323" s="5">
        <v>0.35439999999999999</v>
      </c>
      <c r="H323" s="5">
        <v>0.45600000000000002</v>
      </c>
      <c r="I323" t="s">
        <v>539</v>
      </c>
      <c r="J323" t="s">
        <v>539</v>
      </c>
      <c r="K323" t="s">
        <v>539</v>
      </c>
      <c r="L323" t="s">
        <v>539</v>
      </c>
      <c r="M323" t="s">
        <v>539</v>
      </c>
      <c r="N323" t="s">
        <v>539</v>
      </c>
      <c r="O323" t="s">
        <v>539</v>
      </c>
    </row>
    <row r="324" spans="1:15">
      <c r="A324" t="str">
        <f t="shared" si="4"/>
        <v>CNTRKEGCP CF</v>
      </c>
      <c r="B324" t="s">
        <v>242</v>
      </c>
      <c r="C324" t="s">
        <v>153</v>
      </c>
      <c r="D324" s="5">
        <v>1</v>
      </c>
      <c r="E324" s="5">
        <v>1</v>
      </c>
      <c r="F324" s="5">
        <v>1</v>
      </c>
      <c r="G324" s="5">
        <v>1</v>
      </c>
      <c r="H324" s="5">
        <v>1</v>
      </c>
      <c r="I324" t="s">
        <v>539</v>
      </c>
      <c r="J324" t="s">
        <v>539</v>
      </c>
      <c r="K324" t="s">
        <v>539</v>
      </c>
      <c r="L324" t="s">
        <v>539</v>
      </c>
      <c r="M324" t="s">
        <v>539</v>
      </c>
      <c r="N324" t="s">
        <v>539</v>
      </c>
      <c r="O324" t="s">
        <v>539</v>
      </c>
    </row>
    <row r="325" spans="1:15">
      <c r="A325" t="str">
        <f t="shared" si="4"/>
        <v>CNTRKECP CF</v>
      </c>
      <c r="B325" t="s">
        <v>242</v>
      </c>
      <c r="C325" t="s">
        <v>154</v>
      </c>
      <c r="D325" s="5">
        <v>1</v>
      </c>
      <c r="E325" s="5">
        <v>1</v>
      </c>
      <c r="F325" s="5">
        <v>1</v>
      </c>
      <c r="G325" s="5">
        <v>1</v>
      </c>
      <c r="H325" s="5">
        <v>1</v>
      </c>
      <c r="I325" t="s">
        <v>539</v>
      </c>
      <c r="J325" t="s">
        <v>539</v>
      </c>
      <c r="K325" t="s">
        <v>539</v>
      </c>
      <c r="L325" t="s">
        <v>539</v>
      </c>
      <c r="M325" t="s">
        <v>539</v>
      </c>
      <c r="N325" t="s">
        <v>539</v>
      </c>
      <c r="O325" t="s">
        <v>539</v>
      </c>
    </row>
    <row r="326" spans="1:15">
      <c r="A326" t="str">
        <f t="shared" si="4"/>
        <v>CNTRKEGCP LF</v>
      </c>
      <c r="B326" t="s">
        <v>242</v>
      </c>
      <c r="C326" t="s">
        <v>155</v>
      </c>
      <c r="D326" s="5">
        <v>0.48120000000000002</v>
      </c>
      <c r="E326" s="5">
        <v>0.51639999999999997</v>
      </c>
      <c r="F326" s="5">
        <v>0.51139999999999997</v>
      </c>
      <c r="G326" s="5">
        <v>0.53190000000000004</v>
      </c>
      <c r="H326" s="5">
        <v>0.6008</v>
      </c>
      <c r="I326" t="s">
        <v>539</v>
      </c>
      <c r="J326" t="s">
        <v>539</v>
      </c>
      <c r="K326" t="s">
        <v>539</v>
      </c>
      <c r="L326" t="s">
        <v>539</v>
      </c>
      <c r="M326" t="s">
        <v>539</v>
      </c>
      <c r="N326" t="s">
        <v>539</v>
      </c>
      <c r="O326" t="s">
        <v>539</v>
      </c>
    </row>
    <row r="327" spans="1:15">
      <c r="A327" t="str">
        <f t="shared" si="4"/>
        <v>CNTRKEGCP LF ONPK</v>
      </c>
      <c r="B327" t="s">
        <v>242</v>
      </c>
      <c r="C327" t="s">
        <v>156</v>
      </c>
      <c r="D327" s="5">
        <v>0.5625</v>
      </c>
      <c r="E327" s="5">
        <v>0.69379999999999997</v>
      </c>
      <c r="F327" s="5">
        <v>0.79759999999999998</v>
      </c>
      <c r="G327" s="5">
        <v>1</v>
      </c>
      <c r="H327" s="5">
        <v>1</v>
      </c>
      <c r="I327" t="s">
        <v>539</v>
      </c>
      <c r="J327" t="s">
        <v>539</v>
      </c>
      <c r="K327" t="s">
        <v>539</v>
      </c>
      <c r="L327" t="s">
        <v>539</v>
      </c>
      <c r="M327" t="s">
        <v>539</v>
      </c>
      <c r="N327" t="s">
        <v>539</v>
      </c>
      <c r="O327" t="s">
        <v>539</v>
      </c>
    </row>
    <row r="328" spans="1:15">
      <c r="A328" t="str">
        <f t="shared" si="4"/>
        <v>CNTRKEGCP LF OFFPK</v>
      </c>
      <c r="B328" t="s">
        <v>242</v>
      </c>
      <c r="C328" t="s">
        <v>157</v>
      </c>
      <c r="D328" s="5">
        <v>0.45600000000000002</v>
      </c>
      <c r="E328" s="5">
        <v>0.46089999999999998</v>
      </c>
      <c r="F328" s="5">
        <v>0.42780000000000001</v>
      </c>
      <c r="G328" s="5">
        <v>0.35439999999999999</v>
      </c>
      <c r="H328" s="5">
        <v>0.45600000000000002</v>
      </c>
      <c r="I328" t="s">
        <v>539</v>
      </c>
      <c r="J328" t="s">
        <v>539</v>
      </c>
      <c r="K328" t="s">
        <v>539</v>
      </c>
      <c r="L328" t="s">
        <v>539</v>
      </c>
      <c r="M328" t="s">
        <v>539</v>
      </c>
      <c r="N328" t="s">
        <v>539</v>
      </c>
      <c r="O328" t="s">
        <v>539</v>
      </c>
    </row>
    <row r="329" spans="1:15">
      <c r="A329" t="str">
        <f t="shared" si="4"/>
        <v>CNTRKECP LF</v>
      </c>
      <c r="B329" t="s">
        <v>242</v>
      </c>
      <c r="C329" t="s">
        <v>158</v>
      </c>
      <c r="D329" s="5">
        <v>0.48120000000000002</v>
      </c>
      <c r="E329" s="5">
        <v>0.51639999999999997</v>
      </c>
      <c r="F329" s="5">
        <v>0.51139999999999997</v>
      </c>
      <c r="G329" s="5">
        <v>0.53190000000000004</v>
      </c>
      <c r="H329" s="5">
        <v>0.6008</v>
      </c>
      <c r="I329" t="s">
        <v>539</v>
      </c>
      <c r="J329" t="s">
        <v>539</v>
      </c>
      <c r="K329" t="s">
        <v>539</v>
      </c>
      <c r="L329" t="s">
        <v>539</v>
      </c>
      <c r="M329" t="s">
        <v>539</v>
      </c>
      <c r="N329" t="s">
        <v>539</v>
      </c>
      <c r="O329" t="s">
        <v>539</v>
      </c>
    </row>
    <row r="330" spans="1:15">
      <c r="A330" t="str">
        <f t="shared" si="4"/>
        <v>CNTRKEREL PREC:</v>
      </c>
      <c r="B330" t="s">
        <v>242</v>
      </c>
      <c r="C330" t="s">
        <v>65</v>
      </c>
    </row>
    <row r="331" spans="1:15">
      <c r="A331" t="str">
        <f t="shared" si="4"/>
        <v>CNTRKENCP RP</v>
      </c>
      <c r="B331" t="s">
        <v>242</v>
      </c>
      <c r="C331" t="s">
        <v>159</v>
      </c>
      <c r="D331" s="5">
        <v>0</v>
      </c>
      <c r="E331" s="5">
        <v>0</v>
      </c>
      <c r="F331" s="5">
        <v>0</v>
      </c>
      <c r="G331" s="5">
        <v>0</v>
      </c>
      <c r="H331" s="5">
        <v>0</v>
      </c>
      <c r="I331" t="s">
        <v>539</v>
      </c>
      <c r="J331" t="s">
        <v>539</v>
      </c>
      <c r="K331" t="s">
        <v>539</v>
      </c>
      <c r="L331" t="s">
        <v>539</v>
      </c>
      <c r="M331" t="s">
        <v>539</v>
      </c>
      <c r="N331" t="s">
        <v>539</v>
      </c>
      <c r="O331" t="s">
        <v>539</v>
      </c>
    </row>
    <row r="332" spans="1:15">
      <c r="A332" t="str">
        <f t="shared" si="4"/>
        <v>CNTRKENCP RP ONPK</v>
      </c>
      <c r="B332" t="s">
        <v>242</v>
      </c>
      <c r="C332" t="s">
        <v>160</v>
      </c>
      <c r="D332" s="5">
        <v>0</v>
      </c>
      <c r="E332" s="5">
        <v>0</v>
      </c>
      <c r="F332" s="5">
        <v>0</v>
      </c>
      <c r="G332" s="5">
        <v>0</v>
      </c>
      <c r="H332" s="5">
        <v>0</v>
      </c>
      <c r="I332" t="s">
        <v>539</v>
      </c>
      <c r="J332" t="s">
        <v>539</v>
      </c>
      <c r="K332" t="s">
        <v>539</v>
      </c>
      <c r="L332" t="s">
        <v>539</v>
      </c>
      <c r="M332" t="s">
        <v>539</v>
      </c>
      <c r="N332" t="s">
        <v>539</v>
      </c>
      <c r="O332" t="s">
        <v>539</v>
      </c>
    </row>
    <row r="333" spans="1:15">
      <c r="A333" t="str">
        <f t="shared" si="4"/>
        <v>CNTRKENCP RP OFFPK</v>
      </c>
      <c r="B333" t="s">
        <v>242</v>
      </c>
      <c r="C333" t="s">
        <v>161</v>
      </c>
      <c r="D333" s="5">
        <v>0</v>
      </c>
      <c r="E333" s="5">
        <v>0</v>
      </c>
      <c r="F333" s="5">
        <v>0</v>
      </c>
      <c r="G333" s="5">
        <v>0</v>
      </c>
      <c r="H333" s="5">
        <v>0</v>
      </c>
      <c r="I333" t="s">
        <v>539</v>
      </c>
      <c r="J333" t="s">
        <v>539</v>
      </c>
      <c r="K333" t="s">
        <v>539</v>
      </c>
      <c r="L333" t="s">
        <v>539</v>
      </c>
      <c r="M333" t="s">
        <v>539</v>
      </c>
      <c r="N333" t="s">
        <v>539</v>
      </c>
      <c r="O333" t="s">
        <v>539</v>
      </c>
    </row>
    <row r="334" spans="1:15">
      <c r="A334" t="str">
        <f t="shared" si="4"/>
        <v>CNTRKEGCP RP</v>
      </c>
      <c r="B334" t="s">
        <v>242</v>
      </c>
      <c r="C334" t="s">
        <v>162</v>
      </c>
      <c r="D334" s="5">
        <v>0</v>
      </c>
      <c r="E334" s="5">
        <v>0</v>
      </c>
      <c r="F334" s="5">
        <v>0</v>
      </c>
      <c r="G334" s="5">
        <v>0</v>
      </c>
      <c r="H334" s="5">
        <v>0</v>
      </c>
      <c r="I334" t="s">
        <v>539</v>
      </c>
      <c r="J334" t="s">
        <v>539</v>
      </c>
      <c r="K334" t="s">
        <v>539</v>
      </c>
      <c r="L334" t="s">
        <v>539</v>
      </c>
      <c r="M334" t="s">
        <v>539</v>
      </c>
      <c r="N334" t="s">
        <v>539</v>
      </c>
      <c r="O334" t="s">
        <v>539</v>
      </c>
    </row>
    <row r="335" spans="1:15">
      <c r="A335" t="str">
        <f t="shared" si="4"/>
        <v>CNTRKEGCP RP ONPK</v>
      </c>
      <c r="B335" t="s">
        <v>242</v>
      </c>
      <c r="C335" t="s">
        <v>163</v>
      </c>
      <c r="D335" s="5">
        <v>0</v>
      </c>
      <c r="E335" s="5">
        <v>0</v>
      </c>
      <c r="F335" s="5">
        <v>0</v>
      </c>
      <c r="G335" s="5">
        <v>0</v>
      </c>
      <c r="H335" s="5">
        <v>0</v>
      </c>
      <c r="I335" t="s">
        <v>539</v>
      </c>
      <c r="J335" t="s">
        <v>539</v>
      </c>
      <c r="K335" t="s">
        <v>539</v>
      </c>
      <c r="L335" t="s">
        <v>539</v>
      </c>
      <c r="M335" t="s">
        <v>539</v>
      </c>
      <c r="N335" t="s">
        <v>539</v>
      </c>
      <c r="O335" t="s">
        <v>539</v>
      </c>
    </row>
    <row r="336" spans="1:15">
      <c r="A336" t="str">
        <f t="shared" si="4"/>
        <v>CNTRKEGCP RP OFFPK</v>
      </c>
      <c r="B336" t="s">
        <v>242</v>
      </c>
      <c r="C336" t="s">
        <v>164</v>
      </c>
      <c r="D336" s="5">
        <v>0</v>
      </c>
      <c r="E336" s="5">
        <v>0</v>
      </c>
      <c r="F336" s="5">
        <v>0</v>
      </c>
      <c r="G336" s="5">
        <v>0</v>
      </c>
      <c r="H336" s="5">
        <v>0</v>
      </c>
      <c r="I336" t="s">
        <v>539</v>
      </c>
      <c r="J336" t="s">
        <v>539</v>
      </c>
      <c r="K336" t="s">
        <v>539</v>
      </c>
      <c r="L336" t="s">
        <v>539</v>
      </c>
      <c r="M336" t="s">
        <v>539</v>
      </c>
      <c r="N336" t="s">
        <v>539</v>
      </c>
      <c r="O336" t="s">
        <v>539</v>
      </c>
    </row>
    <row r="337" spans="1:15">
      <c r="A337" t="str">
        <f t="shared" si="4"/>
        <v>CNTRKECP RP</v>
      </c>
      <c r="B337" t="s">
        <v>242</v>
      </c>
      <c r="C337" t="s">
        <v>165</v>
      </c>
      <c r="D337" s="5">
        <v>0</v>
      </c>
      <c r="E337" s="5">
        <v>0</v>
      </c>
      <c r="F337" s="5">
        <v>0</v>
      </c>
      <c r="G337" s="5">
        <v>0</v>
      </c>
      <c r="H337" s="5">
        <v>0</v>
      </c>
      <c r="I337" t="s">
        <v>539</v>
      </c>
      <c r="J337" t="s">
        <v>539</v>
      </c>
      <c r="K337" t="s">
        <v>539</v>
      </c>
      <c r="L337" t="s">
        <v>539</v>
      </c>
      <c r="M337" t="s">
        <v>539</v>
      </c>
      <c r="N337" t="s">
        <v>539</v>
      </c>
      <c r="O337" t="s">
        <v>539</v>
      </c>
    </row>
    <row r="338" spans="1:15">
      <c r="A338" t="str">
        <f t="shared" si="4"/>
        <v>CNTRKESAMPLE SIZE:</v>
      </c>
      <c r="B338" t="s">
        <v>242</v>
      </c>
      <c r="C338" t="s">
        <v>66</v>
      </c>
    </row>
    <row r="339" spans="1:15">
      <c r="A339" t="str">
        <f t="shared" si="4"/>
        <v>CNTRKEGCPSZ</v>
      </c>
      <c r="B339" t="s">
        <v>242</v>
      </c>
      <c r="C339" t="s">
        <v>166</v>
      </c>
      <c r="D339">
        <v>1</v>
      </c>
      <c r="E339">
        <v>1</v>
      </c>
      <c r="F339">
        <v>1</v>
      </c>
      <c r="G339">
        <v>1</v>
      </c>
      <c r="H339">
        <v>1</v>
      </c>
      <c r="I339" t="s">
        <v>539</v>
      </c>
      <c r="J339" t="s">
        <v>539</v>
      </c>
      <c r="K339" t="s">
        <v>539</v>
      </c>
      <c r="L339" t="s">
        <v>539</v>
      </c>
      <c r="M339" t="s">
        <v>539</v>
      </c>
      <c r="N339" t="s">
        <v>539</v>
      </c>
      <c r="O339" t="s">
        <v>539</v>
      </c>
    </row>
    <row r="340" spans="1:15">
      <c r="A340" t="str">
        <f t="shared" si="4"/>
        <v>CNTRKEGCPSZ ONPK</v>
      </c>
      <c r="B340" t="s">
        <v>242</v>
      </c>
      <c r="C340" t="s">
        <v>167</v>
      </c>
      <c r="D340">
        <v>1</v>
      </c>
      <c r="E340">
        <v>1</v>
      </c>
      <c r="F340">
        <v>1</v>
      </c>
      <c r="G340">
        <v>1</v>
      </c>
      <c r="H340">
        <v>1</v>
      </c>
      <c r="I340" t="s">
        <v>539</v>
      </c>
      <c r="J340" t="s">
        <v>539</v>
      </c>
      <c r="K340" t="s">
        <v>539</v>
      </c>
      <c r="L340" t="s">
        <v>539</v>
      </c>
      <c r="M340" t="s">
        <v>539</v>
      </c>
      <c r="N340" t="s">
        <v>539</v>
      </c>
      <c r="O340" t="s">
        <v>539</v>
      </c>
    </row>
    <row r="341" spans="1:15">
      <c r="A341" t="str">
        <f t="shared" si="4"/>
        <v>CNTRKEGCPSZ OFFPK</v>
      </c>
      <c r="B341" t="s">
        <v>242</v>
      </c>
      <c r="C341" t="s">
        <v>168</v>
      </c>
      <c r="D341">
        <v>1</v>
      </c>
      <c r="E341">
        <v>1</v>
      </c>
      <c r="F341">
        <v>1</v>
      </c>
      <c r="G341">
        <v>1</v>
      </c>
      <c r="H341">
        <v>1</v>
      </c>
      <c r="I341" t="s">
        <v>539</v>
      </c>
      <c r="J341" t="s">
        <v>539</v>
      </c>
      <c r="K341" t="s">
        <v>539</v>
      </c>
      <c r="L341" t="s">
        <v>539</v>
      </c>
      <c r="M341" t="s">
        <v>539</v>
      </c>
      <c r="N341" t="s">
        <v>539</v>
      </c>
      <c r="O341" t="s">
        <v>539</v>
      </c>
    </row>
    <row r="342" spans="1:15">
      <c r="A342" t="str">
        <f t="shared" si="4"/>
        <v>CNTRKECPSZ</v>
      </c>
      <c r="B342" t="s">
        <v>242</v>
      </c>
      <c r="C342" t="s">
        <v>169</v>
      </c>
      <c r="D342">
        <v>1</v>
      </c>
      <c r="E342">
        <v>1</v>
      </c>
      <c r="F342">
        <v>1</v>
      </c>
      <c r="G342">
        <v>1</v>
      </c>
      <c r="H342">
        <v>1</v>
      </c>
      <c r="I342" t="s">
        <v>539</v>
      </c>
      <c r="J342" t="s">
        <v>539</v>
      </c>
      <c r="K342" t="s">
        <v>539</v>
      </c>
      <c r="L342" t="s">
        <v>539</v>
      </c>
      <c r="M342" t="s">
        <v>539</v>
      </c>
      <c r="N342" t="s">
        <v>539</v>
      </c>
      <c r="O342" t="s">
        <v>539</v>
      </c>
    </row>
    <row r="343" spans="1:15">
      <c r="A343" t="str">
        <f t="shared" si="4"/>
        <v/>
      </c>
    </row>
    <row r="344" spans="1:15" ht="14.4">
      <c r="A344" t="str">
        <f t="shared" si="4"/>
        <v>NOTE:     Sales line does not match sales in the Rate and Revenue Report due to billing lag.  City of Key West's contract ended on 6/1/2014.</v>
      </c>
      <c r="B344" s="301" t="s">
        <v>793</v>
      </c>
    </row>
    <row r="345" spans="1:15">
      <c r="A345" t="str">
        <f t="shared" si="4"/>
        <v xml:space="preserve">GS12 GS(T)-1 General Service Non Demand including TOU (0-20 kW)  (Sampled) </v>
      </c>
      <c r="B345" t="s">
        <v>630</v>
      </c>
      <c r="C345" t="s">
        <v>631</v>
      </c>
    </row>
    <row r="346" spans="1:15">
      <c r="A346" t="str">
        <f t="shared" si="4"/>
        <v xml:space="preserve">GS12MONTH </v>
      </c>
      <c r="B346" t="s">
        <v>632</v>
      </c>
      <c r="C346" t="s">
        <v>123</v>
      </c>
      <c r="D346" s="4">
        <v>41275</v>
      </c>
      <c r="E346" s="4">
        <v>41306</v>
      </c>
      <c r="F346" s="4">
        <v>41334</v>
      </c>
      <c r="G346" s="4">
        <v>41365</v>
      </c>
      <c r="H346" s="4">
        <v>41395</v>
      </c>
      <c r="I346" s="4">
        <v>41426</v>
      </c>
      <c r="J346" s="4">
        <v>41456</v>
      </c>
      <c r="K346" s="4">
        <v>41487</v>
      </c>
      <c r="L346" s="4">
        <v>41518</v>
      </c>
      <c r="M346" s="4">
        <v>41548</v>
      </c>
      <c r="N346" s="4">
        <v>41579</v>
      </c>
      <c r="O346" s="4">
        <v>41609</v>
      </c>
    </row>
    <row r="347" spans="1:15">
      <c r="A347" t="str">
        <f t="shared" si="4"/>
        <v xml:space="preserve">GS12CUSTOMERS </v>
      </c>
      <c r="B347" t="s">
        <v>632</v>
      </c>
      <c r="C347" t="s">
        <v>124</v>
      </c>
      <c r="D347">
        <v>407346</v>
      </c>
      <c r="E347">
        <v>407781</v>
      </c>
      <c r="F347">
        <v>408004</v>
      </c>
      <c r="G347">
        <v>408372</v>
      </c>
      <c r="H347">
        <v>409164</v>
      </c>
      <c r="I347">
        <v>403265</v>
      </c>
      <c r="J347">
        <v>404036</v>
      </c>
      <c r="K347">
        <v>404773</v>
      </c>
      <c r="L347">
        <v>406460</v>
      </c>
      <c r="M347">
        <v>413617</v>
      </c>
      <c r="N347">
        <v>417740</v>
      </c>
      <c r="O347">
        <v>418390</v>
      </c>
    </row>
    <row r="348" spans="1:15">
      <c r="A348" t="str">
        <f t="shared" si="4"/>
        <v xml:space="preserve">GS12SALES </v>
      </c>
      <c r="B348" t="s">
        <v>632</v>
      </c>
      <c r="C348" t="s">
        <v>125</v>
      </c>
      <c r="D348">
        <v>438632494</v>
      </c>
      <c r="E348">
        <v>419130492</v>
      </c>
      <c r="F348">
        <v>400775049</v>
      </c>
      <c r="G348">
        <v>441897864</v>
      </c>
      <c r="H348">
        <v>494309552</v>
      </c>
      <c r="I348">
        <v>509065026</v>
      </c>
      <c r="J348">
        <v>533744277</v>
      </c>
      <c r="K348">
        <v>563427425</v>
      </c>
      <c r="L348">
        <v>572508849</v>
      </c>
      <c r="M348">
        <v>515766795</v>
      </c>
      <c r="N348">
        <v>483043870</v>
      </c>
      <c r="O348">
        <v>465451717</v>
      </c>
    </row>
    <row r="349" spans="1:15">
      <c r="A349" t="str">
        <f t="shared" si="4"/>
        <v>GS12KW</v>
      </c>
      <c r="B349" t="s">
        <v>632</v>
      </c>
      <c r="C349" t="s">
        <v>126</v>
      </c>
    </row>
    <row r="350" spans="1:15">
      <c r="A350" t="str">
        <f t="shared" si="4"/>
        <v>GS12N</v>
      </c>
      <c r="B350" t="s">
        <v>632</v>
      </c>
      <c r="C350" t="s">
        <v>127</v>
      </c>
      <c r="D350">
        <v>407347</v>
      </c>
      <c r="E350">
        <v>407781</v>
      </c>
      <c r="F350">
        <v>408004</v>
      </c>
      <c r="G350">
        <v>408372</v>
      </c>
      <c r="H350">
        <v>409164</v>
      </c>
      <c r="I350">
        <v>403266</v>
      </c>
      <c r="J350">
        <v>404036</v>
      </c>
      <c r="K350">
        <v>404774</v>
      </c>
      <c r="L350">
        <v>406460</v>
      </c>
      <c r="M350">
        <v>413617</v>
      </c>
      <c r="N350">
        <v>417740</v>
      </c>
      <c r="O350">
        <v>418390</v>
      </c>
    </row>
    <row r="351" spans="1:15">
      <c r="A351" t="str">
        <f t="shared" si="4"/>
        <v>GS12RLR ENERGY:</v>
      </c>
      <c r="B351" t="s">
        <v>632</v>
      </c>
      <c r="C351" t="s">
        <v>61</v>
      </c>
    </row>
    <row r="352" spans="1:15">
      <c r="A352" t="str">
        <f t="shared" si="4"/>
        <v>GS12KWH</v>
      </c>
      <c r="B352" t="s">
        <v>632</v>
      </c>
      <c r="C352" t="s">
        <v>128</v>
      </c>
      <c r="D352">
        <v>438632493</v>
      </c>
      <c r="E352">
        <v>419130492</v>
      </c>
      <c r="F352">
        <v>400800672</v>
      </c>
      <c r="G352">
        <v>441897864</v>
      </c>
      <c r="H352">
        <v>494310513</v>
      </c>
      <c r="I352">
        <v>509159880</v>
      </c>
      <c r="J352">
        <v>533744277</v>
      </c>
      <c r="K352">
        <v>563437135</v>
      </c>
      <c r="L352">
        <v>572532020</v>
      </c>
      <c r="M352">
        <v>515827482</v>
      </c>
      <c r="N352">
        <v>483284703</v>
      </c>
      <c r="O352">
        <v>465453640</v>
      </c>
    </row>
    <row r="353" spans="1:15">
      <c r="A353" t="str">
        <f t="shared" si="4"/>
        <v>GS12KWH ONPK</v>
      </c>
      <c r="B353" t="s">
        <v>632</v>
      </c>
      <c r="C353" t="s">
        <v>129</v>
      </c>
      <c r="D353">
        <v>102731265</v>
      </c>
      <c r="E353">
        <v>98453547</v>
      </c>
      <c r="F353">
        <v>90173911</v>
      </c>
      <c r="G353">
        <v>160791379</v>
      </c>
      <c r="H353">
        <v>172674591</v>
      </c>
      <c r="I353">
        <v>169710210</v>
      </c>
      <c r="J353">
        <v>188152222</v>
      </c>
      <c r="K353">
        <v>197740066</v>
      </c>
      <c r="L353">
        <v>190395751</v>
      </c>
      <c r="M353">
        <v>189349099</v>
      </c>
      <c r="N353">
        <v>107596608</v>
      </c>
      <c r="O353">
        <v>104376582</v>
      </c>
    </row>
    <row r="354" spans="1:15">
      <c r="A354" t="str">
        <f t="shared" si="4"/>
        <v>GS12KWH OFFPK</v>
      </c>
      <c r="B354" t="s">
        <v>632</v>
      </c>
      <c r="C354" t="s">
        <v>130</v>
      </c>
      <c r="D354">
        <v>335901228</v>
      </c>
      <c r="E354">
        <v>320676945</v>
      </c>
      <c r="F354">
        <v>310626761</v>
      </c>
      <c r="G354">
        <v>281106485</v>
      </c>
      <c r="H354">
        <v>321635922</v>
      </c>
      <c r="I354">
        <v>339449670</v>
      </c>
      <c r="J354">
        <v>345592055</v>
      </c>
      <c r="K354">
        <v>365697069</v>
      </c>
      <c r="L354">
        <v>382136268</v>
      </c>
      <c r="M354">
        <v>326478383</v>
      </c>
      <c r="N354">
        <v>375688095</v>
      </c>
      <c r="O354">
        <v>361077058</v>
      </c>
    </row>
    <row r="355" spans="1:15">
      <c r="A355" t="str">
        <f t="shared" si="4"/>
        <v>GS12KWH ONPK%</v>
      </c>
      <c r="B355" t="s">
        <v>632</v>
      </c>
      <c r="C355" t="s">
        <v>131</v>
      </c>
      <c r="D355" s="5">
        <v>0.23421</v>
      </c>
      <c r="E355" s="5">
        <v>0.2349</v>
      </c>
      <c r="F355" s="5">
        <v>0.22498000000000001</v>
      </c>
      <c r="G355" s="5">
        <v>0.36387000000000003</v>
      </c>
      <c r="H355" s="5">
        <v>0.34932000000000002</v>
      </c>
      <c r="I355" s="5">
        <v>0.33331</v>
      </c>
      <c r="J355" s="5">
        <v>0.35250999999999999</v>
      </c>
      <c r="K355" s="5">
        <v>0.35094999999999998</v>
      </c>
      <c r="L355" s="5">
        <v>0.33255000000000001</v>
      </c>
      <c r="M355" s="5">
        <v>0.36708000000000002</v>
      </c>
      <c r="N355" s="5">
        <v>0.22264</v>
      </c>
      <c r="O355" s="5">
        <v>0.22425</v>
      </c>
    </row>
    <row r="356" spans="1:15">
      <c r="A356" t="str">
        <f t="shared" si="4"/>
        <v>GS12KWH OFFPK%</v>
      </c>
      <c r="B356" t="s">
        <v>632</v>
      </c>
      <c r="C356" t="s">
        <v>132</v>
      </c>
      <c r="D356" s="5">
        <v>0.76578999999999997</v>
      </c>
      <c r="E356" s="5">
        <v>0.7651</v>
      </c>
      <c r="F356" s="5">
        <v>0.77502000000000004</v>
      </c>
      <c r="G356" s="5">
        <v>0.63612999999999997</v>
      </c>
      <c r="H356" s="5">
        <v>0.65068000000000004</v>
      </c>
      <c r="I356" s="5">
        <v>0.66669</v>
      </c>
      <c r="J356" s="5">
        <v>0.64749000000000001</v>
      </c>
      <c r="K356" s="5">
        <v>0.64905000000000002</v>
      </c>
      <c r="L356" s="5">
        <v>0.66744999999999999</v>
      </c>
      <c r="M356" s="5">
        <v>0.63292000000000004</v>
      </c>
      <c r="N356" s="5">
        <v>0.77736000000000005</v>
      </c>
      <c r="O356" s="5">
        <v>0.77575000000000005</v>
      </c>
    </row>
    <row r="357" spans="1:15">
      <c r="A357" t="str">
        <f t="shared" si="4"/>
        <v>GS12DEMAND (KW):</v>
      </c>
      <c r="B357" t="s">
        <v>632</v>
      </c>
      <c r="C357" t="s">
        <v>62</v>
      </c>
    </row>
    <row r="358" spans="1:15">
      <c r="A358" t="str">
        <f t="shared" si="4"/>
        <v>GS12NCP</v>
      </c>
      <c r="B358" t="s">
        <v>632</v>
      </c>
      <c r="C358" t="s">
        <v>133</v>
      </c>
      <c r="D358">
        <v>1822066</v>
      </c>
      <c r="E358">
        <v>2032594</v>
      </c>
      <c r="F358">
        <v>1819436</v>
      </c>
      <c r="G358">
        <v>1772656</v>
      </c>
      <c r="H358">
        <v>1928147</v>
      </c>
      <c r="I358">
        <v>1949022</v>
      </c>
      <c r="J358">
        <v>1984997</v>
      </c>
      <c r="K358">
        <v>1984318</v>
      </c>
      <c r="L358">
        <v>2199307</v>
      </c>
      <c r="M358">
        <v>1947806</v>
      </c>
      <c r="N358">
        <v>2049212</v>
      </c>
      <c r="O358">
        <v>1933033</v>
      </c>
    </row>
    <row r="359" spans="1:15">
      <c r="A359" t="str">
        <f t="shared" si="4"/>
        <v>GS12NCP ONPK</v>
      </c>
      <c r="B359" t="s">
        <v>632</v>
      </c>
      <c r="C359" t="s">
        <v>134</v>
      </c>
      <c r="D359">
        <v>1583300</v>
      </c>
      <c r="E359">
        <v>1692110</v>
      </c>
      <c r="F359">
        <v>1551288</v>
      </c>
      <c r="G359">
        <v>1681507</v>
      </c>
      <c r="H359">
        <v>1837444</v>
      </c>
      <c r="I359">
        <v>1858609</v>
      </c>
      <c r="J359">
        <v>1912487</v>
      </c>
      <c r="K359">
        <v>1898890</v>
      </c>
      <c r="L359">
        <v>2087064</v>
      </c>
      <c r="M359">
        <v>1851217</v>
      </c>
      <c r="N359">
        <v>1743531</v>
      </c>
      <c r="O359">
        <v>1645851</v>
      </c>
    </row>
    <row r="360" spans="1:15">
      <c r="A360" t="str">
        <f t="shared" si="4"/>
        <v>GS12NCP OFFPK</v>
      </c>
      <c r="B360" t="s">
        <v>632</v>
      </c>
      <c r="C360" t="s">
        <v>135</v>
      </c>
      <c r="D360">
        <v>1770814</v>
      </c>
      <c r="E360">
        <v>1983507</v>
      </c>
      <c r="F360">
        <v>1780731</v>
      </c>
      <c r="G360">
        <v>1666656</v>
      </c>
      <c r="H360">
        <v>1814542</v>
      </c>
      <c r="I360">
        <v>1860580</v>
      </c>
      <c r="J360">
        <v>1865721</v>
      </c>
      <c r="K360">
        <v>1884558</v>
      </c>
      <c r="L360">
        <v>2106780</v>
      </c>
      <c r="M360">
        <v>1857692</v>
      </c>
      <c r="N360">
        <v>2011450</v>
      </c>
      <c r="O360">
        <v>1891841</v>
      </c>
    </row>
    <row r="361" spans="1:15">
      <c r="A361" t="str">
        <f t="shared" si="4"/>
        <v>GS12GCP DATE</v>
      </c>
      <c r="B361" t="s">
        <v>632</v>
      </c>
      <c r="C361" t="s">
        <v>136</v>
      </c>
      <c r="D361" t="s">
        <v>803</v>
      </c>
      <c r="E361" t="s">
        <v>298</v>
      </c>
      <c r="F361" t="s">
        <v>804</v>
      </c>
      <c r="G361" t="s">
        <v>784</v>
      </c>
      <c r="H361" t="s">
        <v>769</v>
      </c>
      <c r="I361" t="s">
        <v>795</v>
      </c>
      <c r="J361" t="s">
        <v>796</v>
      </c>
      <c r="K361" t="s">
        <v>805</v>
      </c>
      <c r="L361" t="s">
        <v>750</v>
      </c>
      <c r="M361" t="s">
        <v>806</v>
      </c>
      <c r="N361" t="s">
        <v>807</v>
      </c>
      <c r="O361" t="s">
        <v>808</v>
      </c>
    </row>
    <row r="362" spans="1:15">
      <c r="A362" t="str">
        <f t="shared" si="4"/>
        <v>GS12GCP TIME</v>
      </c>
      <c r="B362" t="s">
        <v>632</v>
      </c>
      <c r="C362" t="s">
        <v>142</v>
      </c>
      <c r="D362" t="s">
        <v>144</v>
      </c>
      <c r="E362" t="s">
        <v>143</v>
      </c>
      <c r="F362" t="s">
        <v>144</v>
      </c>
      <c r="G362" t="s">
        <v>145</v>
      </c>
      <c r="H362" t="s">
        <v>144</v>
      </c>
      <c r="I362" t="s">
        <v>144</v>
      </c>
      <c r="J362" t="s">
        <v>145</v>
      </c>
      <c r="K362" t="s">
        <v>145</v>
      </c>
      <c r="L362" t="s">
        <v>144</v>
      </c>
      <c r="M362" t="s">
        <v>144</v>
      </c>
      <c r="N362" t="s">
        <v>145</v>
      </c>
      <c r="O362" t="s">
        <v>144</v>
      </c>
    </row>
    <row r="363" spans="1:15">
      <c r="A363" t="str">
        <f t="shared" si="4"/>
        <v>GS12GCP</v>
      </c>
      <c r="B363" t="s">
        <v>632</v>
      </c>
      <c r="C363" t="s">
        <v>147</v>
      </c>
      <c r="D363">
        <v>979569</v>
      </c>
      <c r="E363">
        <v>1054849</v>
      </c>
      <c r="F363">
        <v>886639</v>
      </c>
      <c r="G363">
        <v>1081166</v>
      </c>
      <c r="H363">
        <v>1135987</v>
      </c>
      <c r="I363">
        <v>1188137</v>
      </c>
      <c r="J363">
        <v>1215462</v>
      </c>
      <c r="K363">
        <v>1234954</v>
      </c>
      <c r="L363">
        <v>1363722</v>
      </c>
      <c r="M363">
        <v>1173059</v>
      </c>
      <c r="N363">
        <v>1141850</v>
      </c>
      <c r="O363">
        <v>1106222</v>
      </c>
    </row>
    <row r="364" spans="1:15">
      <c r="A364" t="str">
        <f t="shared" si="4"/>
        <v>GS12GCP ONPK</v>
      </c>
      <c r="B364" t="s">
        <v>632</v>
      </c>
      <c r="C364" t="s">
        <v>63</v>
      </c>
      <c r="D364">
        <v>788217</v>
      </c>
      <c r="E364">
        <v>857835</v>
      </c>
      <c r="F364">
        <v>724178</v>
      </c>
      <c r="G364">
        <v>1081166</v>
      </c>
      <c r="H364">
        <v>1135987</v>
      </c>
      <c r="I364">
        <v>1188137</v>
      </c>
      <c r="J364">
        <v>1215462</v>
      </c>
      <c r="K364">
        <v>1234954</v>
      </c>
      <c r="L364">
        <v>1363722</v>
      </c>
      <c r="M364">
        <v>1173059</v>
      </c>
      <c r="N364">
        <v>943927</v>
      </c>
      <c r="O364">
        <v>891534</v>
      </c>
    </row>
    <row r="365" spans="1:15">
      <c r="A365" t="str">
        <f t="shared" si="4"/>
        <v>GS12GCP OFFPK</v>
      </c>
      <c r="B365" t="s">
        <v>632</v>
      </c>
      <c r="C365" t="s">
        <v>64</v>
      </c>
      <c r="D365">
        <v>979569</v>
      </c>
      <c r="E365">
        <v>1054849</v>
      </c>
      <c r="F365">
        <v>886639</v>
      </c>
      <c r="G365">
        <v>981965</v>
      </c>
      <c r="H365">
        <v>1086117</v>
      </c>
      <c r="I365">
        <v>1147799</v>
      </c>
      <c r="J365">
        <v>1131000</v>
      </c>
      <c r="K365">
        <v>1169104</v>
      </c>
      <c r="L365">
        <v>1315921</v>
      </c>
      <c r="M365">
        <v>1119410</v>
      </c>
      <c r="N365">
        <v>1141850</v>
      </c>
      <c r="O365">
        <v>1106222</v>
      </c>
    </row>
    <row r="366" spans="1:15">
      <c r="A366" t="str">
        <f t="shared" si="4"/>
        <v>GS12CP</v>
      </c>
      <c r="B366" t="s">
        <v>632</v>
      </c>
      <c r="C366" t="s">
        <v>148</v>
      </c>
      <c r="D366">
        <v>754646</v>
      </c>
      <c r="E366">
        <v>1050096</v>
      </c>
      <c r="F366">
        <v>398652</v>
      </c>
      <c r="G366">
        <v>978298</v>
      </c>
      <c r="H366">
        <v>1041044</v>
      </c>
      <c r="I366">
        <v>1138091</v>
      </c>
      <c r="J366">
        <v>1153225</v>
      </c>
      <c r="K366">
        <v>1181251</v>
      </c>
      <c r="L366">
        <v>1343042</v>
      </c>
      <c r="M366">
        <v>1049601</v>
      </c>
      <c r="N366">
        <v>1086417</v>
      </c>
      <c r="O366">
        <v>1023217</v>
      </c>
    </row>
    <row r="367" spans="1:15">
      <c r="A367" t="str">
        <f t="shared" si="4"/>
        <v>GS12PERIOD START</v>
      </c>
      <c r="B367" t="s">
        <v>632</v>
      </c>
      <c r="C367" t="s">
        <v>149</v>
      </c>
      <c r="D367" s="1">
        <v>41275</v>
      </c>
      <c r="E367" s="1">
        <v>41306</v>
      </c>
      <c r="F367" s="1">
        <v>41334</v>
      </c>
      <c r="G367" s="1">
        <v>41365</v>
      </c>
      <c r="H367" s="1">
        <v>41395</v>
      </c>
      <c r="I367" s="1">
        <v>41426</v>
      </c>
      <c r="J367" s="1">
        <v>41456</v>
      </c>
      <c r="K367" s="1">
        <v>41487</v>
      </c>
      <c r="L367" s="1">
        <v>41518</v>
      </c>
      <c r="M367" s="1">
        <v>41548</v>
      </c>
      <c r="N367" s="1">
        <v>41579</v>
      </c>
      <c r="O367" s="1">
        <v>41609</v>
      </c>
    </row>
    <row r="368" spans="1:15">
      <c r="A368" t="str">
        <f t="shared" si="4"/>
        <v>GS12NCP LF</v>
      </c>
      <c r="B368" t="s">
        <v>632</v>
      </c>
      <c r="C368" t="s">
        <v>150</v>
      </c>
      <c r="D368" s="5">
        <v>0.3236</v>
      </c>
      <c r="E368" s="5">
        <v>0.30690000000000001</v>
      </c>
      <c r="F368" s="5">
        <v>0.29609999999999997</v>
      </c>
      <c r="G368" s="5">
        <v>0.34620000000000001</v>
      </c>
      <c r="H368" s="5">
        <v>0.34460000000000002</v>
      </c>
      <c r="I368" s="5">
        <v>0.36280000000000001</v>
      </c>
      <c r="J368" s="5">
        <v>0.3614</v>
      </c>
      <c r="K368" s="5">
        <v>0.38159999999999999</v>
      </c>
      <c r="L368" s="5">
        <v>0.36159999999999998</v>
      </c>
      <c r="M368" s="5">
        <v>0.35589999999999999</v>
      </c>
      <c r="N368" s="5">
        <v>0.3276</v>
      </c>
      <c r="O368" s="5">
        <v>0.3236</v>
      </c>
    </row>
    <row r="369" spans="1:15">
      <c r="A369" t="str">
        <f t="shared" si="4"/>
        <v>GS12NCP LF ONPK</v>
      </c>
      <c r="B369" t="s">
        <v>632</v>
      </c>
      <c r="C369" t="s">
        <v>151</v>
      </c>
      <c r="D369" s="5">
        <v>0.36870000000000003</v>
      </c>
      <c r="E369" s="5">
        <v>0.36359999999999998</v>
      </c>
      <c r="F369" s="5">
        <v>0.34599999999999997</v>
      </c>
      <c r="G369" s="5">
        <v>0.4829</v>
      </c>
      <c r="H369" s="5">
        <v>0.47460000000000002</v>
      </c>
      <c r="I369" s="5">
        <v>0.50729999999999997</v>
      </c>
      <c r="J369" s="5">
        <v>0.49690000000000001</v>
      </c>
      <c r="K369" s="5">
        <v>0.52590000000000003</v>
      </c>
      <c r="L369" s="5">
        <v>0.50680000000000003</v>
      </c>
      <c r="M369" s="5">
        <v>0.49409999999999998</v>
      </c>
      <c r="N369" s="5">
        <v>0.38569999999999999</v>
      </c>
      <c r="O369" s="5">
        <v>0.3775</v>
      </c>
    </row>
    <row r="370" spans="1:15">
      <c r="A370" t="str">
        <f t="shared" si="4"/>
        <v>GS12NCP LF OFFPK</v>
      </c>
      <c r="B370" t="s">
        <v>632</v>
      </c>
      <c r="C370" t="s">
        <v>152</v>
      </c>
      <c r="D370" s="5">
        <v>0.33400000000000002</v>
      </c>
      <c r="E370" s="5">
        <v>0.31580000000000003</v>
      </c>
      <c r="F370" s="5">
        <v>0.30280000000000001</v>
      </c>
      <c r="G370" s="5">
        <v>0.3231</v>
      </c>
      <c r="H370" s="5">
        <v>0.3246</v>
      </c>
      <c r="I370" s="5">
        <v>0.33789999999999998</v>
      </c>
      <c r="J370" s="5">
        <v>0.33929999999999999</v>
      </c>
      <c r="K370" s="5">
        <v>0.35539999999999999</v>
      </c>
      <c r="L370" s="5">
        <v>0.33589999999999998</v>
      </c>
      <c r="M370" s="5">
        <v>0.32729999999999998</v>
      </c>
      <c r="N370" s="5">
        <v>0.33350000000000002</v>
      </c>
      <c r="O370" s="5">
        <v>0.33139999999999997</v>
      </c>
    </row>
    <row r="371" spans="1:15">
      <c r="A371" t="str">
        <f t="shared" si="4"/>
        <v>GS12GCP CF</v>
      </c>
      <c r="B371" t="s">
        <v>632</v>
      </c>
      <c r="C371" t="s">
        <v>153</v>
      </c>
      <c r="D371" s="5">
        <v>0.53759999999999997</v>
      </c>
      <c r="E371" s="5">
        <v>0.51900000000000002</v>
      </c>
      <c r="F371" s="5">
        <v>0.48730000000000001</v>
      </c>
      <c r="G371" s="5">
        <v>0.6099</v>
      </c>
      <c r="H371" s="5">
        <v>0.58919999999999995</v>
      </c>
      <c r="I371" s="5">
        <v>0.60960000000000003</v>
      </c>
      <c r="J371" s="5">
        <v>0.61229999999999996</v>
      </c>
      <c r="K371" s="5">
        <v>0.62239999999999995</v>
      </c>
      <c r="L371" s="5">
        <v>0.62009999999999998</v>
      </c>
      <c r="M371" s="5">
        <v>0.60219999999999996</v>
      </c>
      <c r="N371" s="5">
        <v>0.55720000000000003</v>
      </c>
      <c r="O371" s="5">
        <v>0.57230000000000003</v>
      </c>
    </row>
    <row r="372" spans="1:15">
      <c r="A372" t="str">
        <f t="shared" si="4"/>
        <v>GS12CP CF</v>
      </c>
      <c r="B372" t="s">
        <v>632</v>
      </c>
      <c r="C372" t="s">
        <v>154</v>
      </c>
      <c r="D372" s="5">
        <v>0.41420000000000001</v>
      </c>
      <c r="E372" s="5">
        <v>0.51659999999999995</v>
      </c>
      <c r="F372" s="5">
        <v>0.21909999999999999</v>
      </c>
      <c r="G372" s="5">
        <v>0.55189999999999995</v>
      </c>
      <c r="H372" s="5">
        <v>0.53990000000000005</v>
      </c>
      <c r="I372" s="5">
        <v>0.58389999999999997</v>
      </c>
      <c r="J372" s="5">
        <v>0.58099999999999996</v>
      </c>
      <c r="K372" s="5">
        <v>0.59530000000000005</v>
      </c>
      <c r="L372" s="5">
        <v>0.61070000000000002</v>
      </c>
      <c r="M372" s="5">
        <v>0.53890000000000005</v>
      </c>
      <c r="N372" s="5">
        <v>0.5302</v>
      </c>
      <c r="O372" s="5">
        <v>0.52929999999999999</v>
      </c>
    </row>
    <row r="373" spans="1:15">
      <c r="A373" t="str">
        <f t="shared" ref="A373:A436" si="5">B373&amp;C373</f>
        <v>GS12GCP LF</v>
      </c>
      <c r="B373" t="s">
        <v>632</v>
      </c>
      <c r="C373" t="s">
        <v>155</v>
      </c>
      <c r="D373" s="5">
        <v>0.60189999999999999</v>
      </c>
      <c r="E373" s="5">
        <v>0.59130000000000005</v>
      </c>
      <c r="F373" s="5">
        <v>0.60760000000000003</v>
      </c>
      <c r="G373" s="5">
        <v>0.56769999999999998</v>
      </c>
      <c r="H373" s="5">
        <v>0.58489999999999998</v>
      </c>
      <c r="I373" s="5">
        <v>0.59519999999999995</v>
      </c>
      <c r="J373" s="5">
        <v>0.59019999999999995</v>
      </c>
      <c r="K373" s="5">
        <v>0.61319999999999997</v>
      </c>
      <c r="L373" s="5">
        <v>0.58309999999999995</v>
      </c>
      <c r="M373" s="5">
        <v>0.59099999999999997</v>
      </c>
      <c r="N373" s="5">
        <v>0.58779999999999999</v>
      </c>
      <c r="O373" s="5">
        <v>0.5655</v>
      </c>
    </row>
    <row r="374" spans="1:15">
      <c r="A374" t="str">
        <f t="shared" si="5"/>
        <v>GS12GCP LF ONPK</v>
      </c>
      <c r="B374" t="s">
        <v>632</v>
      </c>
      <c r="C374" t="s">
        <v>156</v>
      </c>
      <c r="D374" s="5">
        <v>0.74050000000000005</v>
      </c>
      <c r="E374" s="5">
        <v>0.71730000000000005</v>
      </c>
      <c r="F374" s="5">
        <v>0.74119999999999997</v>
      </c>
      <c r="G374" s="5">
        <v>0.75109999999999999</v>
      </c>
      <c r="H374" s="5">
        <v>0.76770000000000005</v>
      </c>
      <c r="I374" s="5">
        <v>0.79349999999999998</v>
      </c>
      <c r="J374" s="5">
        <v>0.78180000000000005</v>
      </c>
      <c r="K374" s="5">
        <v>0.80869999999999997</v>
      </c>
      <c r="L374" s="5">
        <v>0.77559999999999996</v>
      </c>
      <c r="M374" s="5">
        <v>0.77980000000000005</v>
      </c>
      <c r="N374" s="5">
        <v>0.71240000000000003</v>
      </c>
      <c r="O374" s="5">
        <v>0.69689999999999996</v>
      </c>
    </row>
    <row r="375" spans="1:15">
      <c r="A375" t="str">
        <f t="shared" si="5"/>
        <v>GS12GCP LF OFFPK</v>
      </c>
      <c r="B375" t="s">
        <v>632</v>
      </c>
      <c r="C375" t="s">
        <v>157</v>
      </c>
      <c r="D375" s="5">
        <v>0.60370000000000001</v>
      </c>
      <c r="E375" s="5">
        <v>0.59379999999999999</v>
      </c>
      <c r="F375" s="5">
        <v>0.60819999999999996</v>
      </c>
      <c r="G375" s="5">
        <v>0.5484</v>
      </c>
      <c r="H375" s="5">
        <v>0.54239999999999999</v>
      </c>
      <c r="I375" s="5">
        <v>0.54769999999999996</v>
      </c>
      <c r="J375" s="5">
        <v>0.55959999999999999</v>
      </c>
      <c r="K375" s="5">
        <v>0.57289999999999996</v>
      </c>
      <c r="L375" s="5">
        <v>0.53779999999999994</v>
      </c>
      <c r="M375" s="5">
        <v>0.54310000000000003</v>
      </c>
      <c r="N375" s="5">
        <v>0.58750000000000002</v>
      </c>
      <c r="O375" s="5">
        <v>0.56669999999999998</v>
      </c>
    </row>
    <row r="376" spans="1:15">
      <c r="A376" t="str">
        <f t="shared" si="5"/>
        <v>GS12CP LF</v>
      </c>
      <c r="B376" t="s">
        <v>632</v>
      </c>
      <c r="C376" t="s">
        <v>158</v>
      </c>
      <c r="D376" s="5">
        <v>0.78120000000000001</v>
      </c>
      <c r="E376" s="5">
        <v>0.59399999999999997</v>
      </c>
      <c r="F376" s="5">
        <v>1.3512999999999999</v>
      </c>
      <c r="G376" s="5">
        <v>0.62739999999999996</v>
      </c>
      <c r="H376" s="5">
        <v>0.63819999999999999</v>
      </c>
      <c r="I376" s="5">
        <v>0.62139999999999995</v>
      </c>
      <c r="J376" s="5">
        <v>0.62209999999999999</v>
      </c>
      <c r="K376" s="5">
        <v>0.6411</v>
      </c>
      <c r="L376" s="5">
        <v>0.59209999999999996</v>
      </c>
      <c r="M376" s="5">
        <v>0.66059999999999997</v>
      </c>
      <c r="N376" s="5">
        <v>0.61780000000000002</v>
      </c>
      <c r="O376" s="5">
        <v>0.61140000000000005</v>
      </c>
    </row>
    <row r="377" spans="1:15">
      <c r="A377" t="str">
        <f t="shared" si="5"/>
        <v>GS12REL PREC:</v>
      </c>
      <c r="B377" t="s">
        <v>632</v>
      </c>
      <c r="C377" t="s">
        <v>65</v>
      </c>
    </row>
    <row r="378" spans="1:15">
      <c r="A378" t="str">
        <f t="shared" si="5"/>
        <v>GS12NCP RP</v>
      </c>
      <c r="B378" t="s">
        <v>632</v>
      </c>
      <c r="C378" t="s">
        <v>159</v>
      </c>
      <c r="D378" s="5">
        <v>4.9099999999999998E-2</v>
      </c>
      <c r="E378" s="5">
        <v>5.1499999999999997E-2</v>
      </c>
      <c r="F378" s="5">
        <v>6.59E-2</v>
      </c>
      <c r="G378" s="5">
        <v>4.6600000000000003E-2</v>
      </c>
      <c r="H378" s="5">
        <v>4.6899999999999997E-2</v>
      </c>
      <c r="I378" s="5">
        <v>4.7100000000000003E-2</v>
      </c>
      <c r="J378" s="5">
        <v>4.2200000000000001E-2</v>
      </c>
      <c r="K378" s="5">
        <v>3.9699999999999999E-2</v>
      </c>
      <c r="L378" s="5">
        <v>3.9100000000000003E-2</v>
      </c>
      <c r="M378" s="5">
        <v>4.2099999999999999E-2</v>
      </c>
      <c r="N378" s="5">
        <v>4.4900000000000002E-2</v>
      </c>
      <c r="O378" s="5">
        <v>4.8399999999999999E-2</v>
      </c>
    </row>
    <row r="379" spans="1:15">
      <c r="A379" t="str">
        <f t="shared" si="5"/>
        <v>GS12NCP RP ONPK</v>
      </c>
      <c r="B379" t="s">
        <v>632</v>
      </c>
      <c r="C379" t="s">
        <v>160</v>
      </c>
      <c r="D379" s="5">
        <v>4.8899999999999999E-2</v>
      </c>
      <c r="E379" s="5">
        <v>4.5699999999999998E-2</v>
      </c>
      <c r="F379" s="5">
        <v>6.0699999999999997E-2</v>
      </c>
      <c r="G379" s="5">
        <v>4.5100000000000001E-2</v>
      </c>
      <c r="H379" s="5">
        <v>4.6800000000000001E-2</v>
      </c>
      <c r="I379" s="5">
        <v>4.6699999999999998E-2</v>
      </c>
      <c r="J379" s="5">
        <v>4.19E-2</v>
      </c>
      <c r="K379" s="5">
        <v>3.8899999999999997E-2</v>
      </c>
      <c r="L379" s="5">
        <v>3.7900000000000003E-2</v>
      </c>
      <c r="M379" s="5">
        <v>4.1599999999999998E-2</v>
      </c>
      <c r="N379" s="5">
        <v>4.2299999999999997E-2</v>
      </c>
      <c r="O379" s="5">
        <v>4.58E-2</v>
      </c>
    </row>
    <row r="380" spans="1:15">
      <c r="A380" t="str">
        <f t="shared" si="5"/>
        <v>GS12NCP RP OFFPK</v>
      </c>
      <c r="B380" t="s">
        <v>632</v>
      </c>
      <c r="C380" t="s">
        <v>161</v>
      </c>
      <c r="D380" s="5">
        <v>4.9200000000000001E-2</v>
      </c>
      <c r="E380" s="5">
        <v>5.16E-2</v>
      </c>
      <c r="F380" s="5">
        <v>6.5699999999999995E-2</v>
      </c>
      <c r="G380" s="5">
        <v>4.65E-2</v>
      </c>
      <c r="H380" s="5">
        <v>4.48E-2</v>
      </c>
      <c r="I380" s="5">
        <v>4.4600000000000001E-2</v>
      </c>
      <c r="J380" s="5">
        <v>4.1500000000000002E-2</v>
      </c>
      <c r="K380" s="5">
        <v>3.9100000000000003E-2</v>
      </c>
      <c r="L380" s="5">
        <v>3.9100000000000003E-2</v>
      </c>
      <c r="M380" s="5">
        <v>4.1700000000000001E-2</v>
      </c>
      <c r="N380" s="5">
        <v>4.4699999999999997E-2</v>
      </c>
      <c r="O380" s="5">
        <v>4.7899999999999998E-2</v>
      </c>
    </row>
    <row r="381" spans="1:15">
      <c r="A381" t="str">
        <f t="shared" si="5"/>
        <v>GS12GCP RP</v>
      </c>
      <c r="B381" t="s">
        <v>632</v>
      </c>
      <c r="C381" t="s">
        <v>162</v>
      </c>
      <c r="D381" s="5">
        <v>7.4399999999999994E-2</v>
      </c>
      <c r="E381" s="5">
        <v>6.7100000000000007E-2</v>
      </c>
      <c r="F381" s="5">
        <v>8.2100000000000006E-2</v>
      </c>
      <c r="G381" s="5">
        <v>7.0099999999999996E-2</v>
      </c>
      <c r="H381" s="5">
        <v>5.96E-2</v>
      </c>
      <c r="I381" s="5">
        <v>5.5500000000000001E-2</v>
      </c>
      <c r="J381" s="5">
        <v>5.5899999999999998E-2</v>
      </c>
      <c r="K381" s="5">
        <v>5.21E-2</v>
      </c>
      <c r="L381" s="5">
        <v>5.0500000000000003E-2</v>
      </c>
      <c r="M381" s="5">
        <v>5.8500000000000003E-2</v>
      </c>
      <c r="N381" s="5">
        <v>6.2899999999999998E-2</v>
      </c>
      <c r="O381" s="5">
        <v>6.8699999999999997E-2</v>
      </c>
    </row>
    <row r="382" spans="1:15">
      <c r="A382" t="str">
        <f t="shared" si="5"/>
        <v>GS12GCP RP ONPK</v>
      </c>
      <c r="B382" t="s">
        <v>632</v>
      </c>
      <c r="C382" t="s">
        <v>163</v>
      </c>
      <c r="D382" s="5">
        <v>7.3200000000000001E-2</v>
      </c>
      <c r="E382" s="5">
        <v>6.9800000000000001E-2</v>
      </c>
      <c r="F382" s="5">
        <v>7.9899999999999999E-2</v>
      </c>
      <c r="G382" s="5">
        <v>7.0099999999999996E-2</v>
      </c>
      <c r="H382" s="5">
        <v>5.96E-2</v>
      </c>
      <c r="I382" s="5">
        <v>5.5500000000000001E-2</v>
      </c>
      <c r="J382" s="5">
        <v>5.5899999999999998E-2</v>
      </c>
      <c r="K382" s="5">
        <v>5.21E-2</v>
      </c>
      <c r="L382" s="5">
        <v>5.0500000000000003E-2</v>
      </c>
      <c r="M382" s="5">
        <v>5.8500000000000003E-2</v>
      </c>
      <c r="N382" s="5">
        <v>6.7100000000000007E-2</v>
      </c>
      <c r="O382" s="5">
        <v>7.2999999999999995E-2</v>
      </c>
    </row>
    <row r="383" spans="1:15">
      <c r="A383" t="str">
        <f t="shared" si="5"/>
        <v>GS12GCP RP OFFPK</v>
      </c>
      <c r="B383" t="s">
        <v>632</v>
      </c>
      <c r="C383" t="s">
        <v>164</v>
      </c>
      <c r="D383" s="5">
        <v>7.4399999999999994E-2</v>
      </c>
      <c r="E383" s="5">
        <v>6.7100000000000007E-2</v>
      </c>
      <c r="F383" s="5">
        <v>8.2100000000000006E-2</v>
      </c>
      <c r="G383" s="5">
        <v>6.7199999999999996E-2</v>
      </c>
      <c r="H383" s="5">
        <v>6.0600000000000001E-2</v>
      </c>
      <c r="I383" s="5">
        <v>5.8400000000000001E-2</v>
      </c>
      <c r="J383" s="5">
        <v>5.7299999999999997E-2</v>
      </c>
      <c r="K383" s="5">
        <v>5.6399999999999999E-2</v>
      </c>
      <c r="L383" s="5">
        <v>0.05</v>
      </c>
      <c r="M383" s="5">
        <v>5.96E-2</v>
      </c>
      <c r="N383" s="5">
        <v>6.2899999999999998E-2</v>
      </c>
      <c r="O383" s="5">
        <v>6.8699999999999997E-2</v>
      </c>
    </row>
    <row r="384" spans="1:15">
      <c r="A384" t="str">
        <f t="shared" si="5"/>
        <v>GS12CP RP</v>
      </c>
      <c r="B384" t="s">
        <v>632</v>
      </c>
      <c r="C384" t="s">
        <v>165</v>
      </c>
      <c r="D384" s="5">
        <v>5.8599999999999999E-2</v>
      </c>
      <c r="E384" s="5">
        <v>6.5500000000000003E-2</v>
      </c>
      <c r="F384" s="5">
        <v>0.1003</v>
      </c>
      <c r="G384" s="5">
        <v>6.6299999999999998E-2</v>
      </c>
      <c r="H384" s="5">
        <v>6.0499999999999998E-2</v>
      </c>
      <c r="I384" s="5">
        <v>5.7200000000000001E-2</v>
      </c>
      <c r="J384" s="5">
        <v>5.7599999999999998E-2</v>
      </c>
      <c r="K384" s="5">
        <v>5.1799999999999999E-2</v>
      </c>
      <c r="L384" s="5">
        <v>5.0900000000000001E-2</v>
      </c>
      <c r="M384" s="5">
        <v>6.2E-2</v>
      </c>
      <c r="N384" s="5">
        <v>6.6299999999999998E-2</v>
      </c>
      <c r="O384" s="5">
        <v>7.2400000000000006E-2</v>
      </c>
    </row>
    <row r="385" spans="1:15">
      <c r="A385" t="str">
        <f t="shared" si="5"/>
        <v>GS12SAMPLE SIZE:</v>
      </c>
      <c r="B385" t="s">
        <v>632</v>
      </c>
      <c r="C385" t="s">
        <v>66</v>
      </c>
    </row>
    <row r="386" spans="1:15">
      <c r="A386" t="str">
        <f t="shared" si="5"/>
        <v>GS12GCPSZ</v>
      </c>
      <c r="B386" t="s">
        <v>632</v>
      </c>
      <c r="C386" t="s">
        <v>166</v>
      </c>
      <c r="D386">
        <v>351</v>
      </c>
      <c r="E386">
        <v>352</v>
      </c>
      <c r="F386">
        <v>354</v>
      </c>
      <c r="G386">
        <v>349</v>
      </c>
      <c r="H386">
        <v>353</v>
      </c>
      <c r="I386">
        <v>354</v>
      </c>
      <c r="J386">
        <v>350</v>
      </c>
      <c r="K386">
        <v>353</v>
      </c>
      <c r="L386">
        <v>354</v>
      </c>
      <c r="M386">
        <v>354</v>
      </c>
      <c r="N386">
        <v>352</v>
      </c>
      <c r="O386">
        <v>356</v>
      </c>
    </row>
    <row r="387" spans="1:15">
      <c r="A387" t="str">
        <f t="shared" si="5"/>
        <v>GS12GCPSZ ONPK</v>
      </c>
      <c r="B387" t="s">
        <v>632</v>
      </c>
      <c r="C387" t="s">
        <v>167</v>
      </c>
      <c r="D387">
        <v>351</v>
      </c>
      <c r="E387">
        <v>352</v>
      </c>
      <c r="F387">
        <v>354</v>
      </c>
      <c r="G387">
        <v>349</v>
      </c>
      <c r="H387">
        <v>353</v>
      </c>
      <c r="I387">
        <v>354</v>
      </c>
      <c r="J387">
        <v>350</v>
      </c>
      <c r="K387">
        <v>353</v>
      </c>
      <c r="L387">
        <v>354</v>
      </c>
      <c r="M387">
        <v>354</v>
      </c>
      <c r="N387">
        <v>352</v>
      </c>
      <c r="O387">
        <v>356</v>
      </c>
    </row>
    <row r="388" spans="1:15">
      <c r="A388" t="str">
        <f t="shared" si="5"/>
        <v>GS12GCPSZ OFFPK</v>
      </c>
      <c r="B388" t="s">
        <v>632</v>
      </c>
      <c r="C388" t="s">
        <v>168</v>
      </c>
      <c r="D388">
        <v>351</v>
      </c>
      <c r="E388">
        <v>352</v>
      </c>
      <c r="F388">
        <v>354</v>
      </c>
      <c r="G388">
        <v>349</v>
      </c>
      <c r="H388">
        <v>353</v>
      </c>
      <c r="I388">
        <v>354</v>
      </c>
      <c r="J388">
        <v>350</v>
      </c>
      <c r="K388">
        <v>353</v>
      </c>
      <c r="L388">
        <v>354</v>
      </c>
      <c r="M388">
        <v>354</v>
      </c>
      <c r="N388">
        <v>352</v>
      </c>
      <c r="O388">
        <v>356</v>
      </c>
    </row>
    <row r="389" spans="1:15">
      <c r="A389" t="str">
        <f t="shared" si="5"/>
        <v>GS12CPSZ</v>
      </c>
      <c r="B389" t="s">
        <v>632</v>
      </c>
      <c r="C389" t="s">
        <v>169</v>
      </c>
      <c r="D389">
        <v>351</v>
      </c>
      <c r="E389">
        <v>352</v>
      </c>
      <c r="F389">
        <v>354</v>
      </c>
      <c r="G389">
        <v>349</v>
      </c>
      <c r="H389">
        <v>353</v>
      </c>
      <c r="I389">
        <v>354</v>
      </c>
      <c r="J389">
        <v>350</v>
      </c>
      <c r="K389">
        <v>353</v>
      </c>
      <c r="L389">
        <v>354</v>
      </c>
      <c r="M389">
        <v>354</v>
      </c>
      <c r="N389">
        <v>352</v>
      </c>
      <c r="O389">
        <v>356</v>
      </c>
    </row>
    <row r="390" spans="1:15">
      <c r="A390" t="str">
        <f t="shared" si="5"/>
        <v/>
      </c>
    </row>
    <row r="391" spans="1:15">
      <c r="A391" t="str">
        <f t="shared" si="5"/>
        <v>NOTE:  Revenue and Rate Report's number of customers was revised for September and October.</v>
      </c>
      <c r="B391" t="s">
        <v>809</v>
      </c>
    </row>
    <row r="392" spans="1:15">
      <c r="A392" t="str">
        <f t="shared" si="5"/>
        <v xml:space="preserve">GS12 GS(T)-1 General Service Non Demand including TOU (0-20 kW)  (Sampled) </v>
      </c>
      <c r="B392" t="s">
        <v>630</v>
      </c>
      <c r="C392" t="s">
        <v>631</v>
      </c>
    </row>
    <row r="393" spans="1:15">
      <c r="A393" t="str">
        <f t="shared" si="5"/>
        <v xml:space="preserve">GS12MONTH </v>
      </c>
      <c r="B393" t="s">
        <v>632</v>
      </c>
      <c r="C393" t="s">
        <v>123</v>
      </c>
      <c r="D393" s="4">
        <v>41275</v>
      </c>
      <c r="E393" s="4">
        <v>41306</v>
      </c>
      <c r="F393" s="4">
        <v>41334</v>
      </c>
      <c r="G393" s="4">
        <v>41365</v>
      </c>
      <c r="H393" s="4">
        <v>41395</v>
      </c>
      <c r="I393" s="4">
        <v>41426</v>
      </c>
      <c r="J393" s="4">
        <v>41456</v>
      </c>
      <c r="K393" s="4">
        <v>41487</v>
      </c>
      <c r="L393" s="4">
        <v>41518</v>
      </c>
      <c r="M393" s="4">
        <v>41548</v>
      </c>
      <c r="N393" s="4">
        <v>41579</v>
      </c>
      <c r="O393" s="4">
        <v>41609</v>
      </c>
    </row>
    <row r="394" spans="1:15">
      <c r="A394" t="str">
        <f t="shared" si="5"/>
        <v/>
      </c>
    </row>
    <row r="395" spans="1:15">
      <c r="A395" t="str">
        <f t="shared" si="5"/>
        <v>GS12SDR GCP</v>
      </c>
      <c r="B395" t="s">
        <v>632</v>
      </c>
      <c r="C395" t="s">
        <v>171</v>
      </c>
      <c r="D395">
        <v>0.99199999999999999</v>
      </c>
      <c r="E395">
        <v>0.96099999999999997</v>
      </c>
      <c r="F395">
        <v>1.0229999999999999</v>
      </c>
      <c r="G395">
        <v>1.0489999999999999</v>
      </c>
      <c r="H395">
        <v>0.95399999999999996</v>
      </c>
      <c r="I395">
        <v>0.93</v>
      </c>
      <c r="J395">
        <v>0.97599999999999998</v>
      </c>
      <c r="K395">
        <v>0.90500000000000003</v>
      </c>
      <c r="L395">
        <v>1.002</v>
      </c>
      <c r="M395">
        <v>0.94399999999999995</v>
      </c>
      <c r="N395">
        <v>0.95699999999999996</v>
      </c>
      <c r="O395">
        <v>1.0169999999999999</v>
      </c>
    </row>
    <row r="396" spans="1:15">
      <c r="A396" t="str">
        <f t="shared" si="5"/>
        <v>GS12SDR GCP ONPK</v>
      </c>
      <c r="B396" t="s">
        <v>632</v>
      </c>
      <c r="C396" t="s">
        <v>172</v>
      </c>
      <c r="D396">
        <v>0.78400000000000003</v>
      </c>
      <c r="E396">
        <v>0.79800000000000004</v>
      </c>
      <c r="F396">
        <v>0.81</v>
      </c>
      <c r="G396">
        <v>1.0489999999999999</v>
      </c>
      <c r="H396">
        <v>0.95399999999999996</v>
      </c>
      <c r="I396">
        <v>0.93</v>
      </c>
      <c r="J396">
        <v>0.97599999999999998</v>
      </c>
      <c r="K396">
        <v>0.90500000000000003</v>
      </c>
      <c r="L396">
        <v>1.002</v>
      </c>
      <c r="M396">
        <v>0.94399999999999995</v>
      </c>
      <c r="N396">
        <v>0.83199999999999996</v>
      </c>
      <c r="O396">
        <v>0.83599999999999997</v>
      </c>
    </row>
    <row r="397" spans="1:15">
      <c r="A397" t="str">
        <f t="shared" si="5"/>
        <v>GS12SDR GCP OFFP</v>
      </c>
      <c r="B397" t="s">
        <v>632</v>
      </c>
      <c r="C397" t="s">
        <v>219</v>
      </c>
      <c r="D397">
        <v>0.99199999999999999</v>
      </c>
      <c r="E397">
        <v>0.96099999999999997</v>
      </c>
      <c r="F397">
        <v>1.0229999999999999</v>
      </c>
      <c r="G397">
        <v>0.89700000000000002</v>
      </c>
      <c r="H397">
        <v>0.90400000000000003</v>
      </c>
      <c r="I397">
        <v>0.96099999999999997</v>
      </c>
      <c r="J397">
        <v>0.91800000000000004</v>
      </c>
      <c r="K397">
        <v>0.94599999999999995</v>
      </c>
      <c r="L397">
        <v>0.92400000000000004</v>
      </c>
      <c r="M397">
        <v>0.92600000000000005</v>
      </c>
      <c r="N397">
        <v>0.95699999999999996</v>
      </c>
      <c r="O397">
        <v>1.0169999999999999</v>
      </c>
    </row>
    <row r="398" spans="1:15">
      <c r="A398" t="str">
        <f t="shared" si="5"/>
        <v>GS12SDR CP</v>
      </c>
      <c r="B398" t="s">
        <v>632</v>
      </c>
      <c r="C398" t="s">
        <v>174</v>
      </c>
      <c r="D398">
        <v>0.59299999999999997</v>
      </c>
      <c r="E398">
        <v>0.93700000000000006</v>
      </c>
      <c r="F398">
        <v>0.61</v>
      </c>
      <c r="G398">
        <v>0.88200000000000001</v>
      </c>
      <c r="H398">
        <v>0.878</v>
      </c>
      <c r="I398">
        <v>0.91800000000000004</v>
      </c>
      <c r="J398">
        <v>0.91900000000000004</v>
      </c>
      <c r="K398">
        <v>0.85899999999999999</v>
      </c>
      <c r="L398">
        <v>0.97199999999999998</v>
      </c>
      <c r="M398">
        <v>0.875</v>
      </c>
      <c r="N398">
        <v>0.97699999999999998</v>
      </c>
      <c r="O398">
        <v>0.97299999999999998</v>
      </c>
    </row>
    <row r="399" spans="1:15">
      <c r="A399" t="str">
        <f t="shared" si="5"/>
        <v/>
      </c>
    </row>
    <row r="400" spans="1:15">
      <c r="A400" t="str">
        <f t="shared" si="5"/>
        <v>GS12I   SDR GCP</v>
      </c>
      <c r="B400" t="s">
        <v>632</v>
      </c>
      <c r="C400" t="s">
        <v>220</v>
      </c>
      <c r="D400">
        <v>0.90500000000000003</v>
      </c>
      <c r="E400">
        <v>0.88300000000000001</v>
      </c>
      <c r="F400">
        <v>1.0449999999999999</v>
      </c>
      <c r="G400">
        <v>1.1639999999999999</v>
      </c>
      <c r="H400">
        <v>0.93799999999999994</v>
      </c>
      <c r="I400">
        <v>0.80700000000000005</v>
      </c>
      <c r="J400">
        <v>1.0109999999999999</v>
      </c>
      <c r="K400">
        <v>0.90900000000000003</v>
      </c>
      <c r="L400">
        <v>1.0449999999999999</v>
      </c>
      <c r="M400">
        <v>1.0429999999999999</v>
      </c>
      <c r="N400">
        <v>0.82299999999999995</v>
      </c>
      <c r="O400">
        <v>0.92200000000000004</v>
      </c>
    </row>
    <row r="401" spans="1:15">
      <c r="A401" t="str">
        <f t="shared" si="5"/>
        <v>GS12I   SDR GCP ONPK</v>
      </c>
      <c r="B401" t="s">
        <v>632</v>
      </c>
      <c r="C401" t="s">
        <v>221</v>
      </c>
      <c r="D401">
        <v>0.68100000000000005</v>
      </c>
      <c r="E401">
        <v>0.64600000000000002</v>
      </c>
      <c r="F401">
        <v>0.71199999999999997</v>
      </c>
      <c r="G401">
        <v>1.1639999999999999</v>
      </c>
      <c r="H401">
        <v>0.93799999999999994</v>
      </c>
      <c r="I401">
        <v>0.80700000000000005</v>
      </c>
      <c r="J401">
        <v>1.0109999999999999</v>
      </c>
      <c r="K401">
        <v>0.90900000000000003</v>
      </c>
      <c r="L401">
        <v>1.0449999999999999</v>
      </c>
      <c r="M401">
        <v>1.0429999999999999</v>
      </c>
      <c r="N401">
        <v>0.67200000000000004</v>
      </c>
      <c r="O401">
        <v>0.69199999999999995</v>
      </c>
    </row>
    <row r="402" spans="1:15">
      <c r="A402" t="str">
        <f t="shared" si="5"/>
        <v>GS12I   SDR GCP OFFPK</v>
      </c>
      <c r="B402" t="s">
        <v>632</v>
      </c>
      <c r="C402" t="s">
        <v>222</v>
      </c>
      <c r="D402">
        <v>0.90500000000000003</v>
      </c>
      <c r="E402">
        <v>0.88300000000000001</v>
      </c>
      <c r="F402">
        <v>1.0449999999999999</v>
      </c>
      <c r="G402">
        <v>0.89200000000000002</v>
      </c>
      <c r="H402">
        <v>0.97</v>
      </c>
      <c r="I402">
        <v>0.999</v>
      </c>
      <c r="J402">
        <v>1.0369999999999999</v>
      </c>
      <c r="K402">
        <v>1.048</v>
      </c>
      <c r="L402">
        <v>1.0289999999999999</v>
      </c>
      <c r="M402">
        <v>1.052</v>
      </c>
      <c r="N402">
        <v>0.82299999999999995</v>
      </c>
      <c r="O402">
        <v>0.92200000000000004</v>
      </c>
    </row>
    <row r="403" spans="1:15">
      <c r="A403" t="str">
        <f t="shared" si="5"/>
        <v>GS12I   SDR CP</v>
      </c>
      <c r="B403" t="s">
        <v>632</v>
      </c>
      <c r="C403" t="s">
        <v>638</v>
      </c>
      <c r="D403">
        <v>0.58499999999999996</v>
      </c>
      <c r="E403">
        <v>0.73899999999999999</v>
      </c>
      <c r="F403">
        <v>0.48799999999999999</v>
      </c>
      <c r="G403">
        <v>0.94099999999999995</v>
      </c>
      <c r="H403">
        <v>0.79800000000000004</v>
      </c>
      <c r="I403">
        <v>0.83199999999999996</v>
      </c>
      <c r="J403">
        <v>0.88500000000000001</v>
      </c>
      <c r="K403">
        <v>0.86</v>
      </c>
      <c r="L403">
        <v>1.101</v>
      </c>
      <c r="M403">
        <v>0.94199999999999995</v>
      </c>
      <c r="N403">
        <v>0.91700000000000004</v>
      </c>
      <c r="O403">
        <v>0.98199999999999998</v>
      </c>
    </row>
    <row r="404" spans="1:15">
      <c r="A404" t="str">
        <f t="shared" si="5"/>
        <v/>
      </c>
    </row>
    <row r="405" spans="1:15">
      <c r="A405" t="str">
        <f t="shared" si="5"/>
        <v>GS12II  SDR GCP</v>
      </c>
      <c r="B405" t="s">
        <v>632</v>
      </c>
      <c r="C405" t="s">
        <v>223</v>
      </c>
      <c r="D405">
        <v>1.885</v>
      </c>
      <c r="E405">
        <v>1.8049999999999999</v>
      </c>
      <c r="F405">
        <v>2.0190000000000001</v>
      </c>
      <c r="G405">
        <v>2.109</v>
      </c>
      <c r="H405">
        <v>1.95</v>
      </c>
      <c r="I405">
        <v>1.9530000000000001</v>
      </c>
      <c r="J405">
        <v>1.96</v>
      </c>
      <c r="K405">
        <v>1.8839999999999999</v>
      </c>
      <c r="L405">
        <v>2.14</v>
      </c>
      <c r="M405">
        <v>1.728</v>
      </c>
      <c r="N405">
        <v>2.0289999999999999</v>
      </c>
      <c r="O405">
        <v>2.09</v>
      </c>
    </row>
    <row r="406" spans="1:15">
      <c r="A406" t="str">
        <f t="shared" si="5"/>
        <v>GS12II  SDR GCP ONPK</v>
      </c>
      <c r="B406" t="s">
        <v>632</v>
      </c>
      <c r="C406" t="s">
        <v>224</v>
      </c>
      <c r="D406">
        <v>1.605</v>
      </c>
      <c r="E406">
        <v>1.579</v>
      </c>
      <c r="F406">
        <v>1.7350000000000001</v>
      </c>
      <c r="G406">
        <v>2.109</v>
      </c>
      <c r="H406">
        <v>1.95</v>
      </c>
      <c r="I406">
        <v>1.9530000000000001</v>
      </c>
      <c r="J406">
        <v>1.96</v>
      </c>
      <c r="K406">
        <v>1.8839999999999999</v>
      </c>
      <c r="L406">
        <v>2.14</v>
      </c>
      <c r="M406">
        <v>1.728</v>
      </c>
      <c r="N406">
        <v>1.774</v>
      </c>
      <c r="O406">
        <v>1.7290000000000001</v>
      </c>
    </row>
    <row r="407" spans="1:15">
      <c r="A407" t="str">
        <f t="shared" si="5"/>
        <v>GS12II  SDR GCP OFFPK</v>
      </c>
      <c r="B407" t="s">
        <v>632</v>
      </c>
      <c r="C407" t="s">
        <v>225</v>
      </c>
      <c r="D407">
        <v>1.885</v>
      </c>
      <c r="E407">
        <v>1.8049999999999999</v>
      </c>
      <c r="F407">
        <v>2.0190000000000001</v>
      </c>
      <c r="G407">
        <v>1.8640000000000001</v>
      </c>
      <c r="H407">
        <v>1.796</v>
      </c>
      <c r="I407">
        <v>2.0430000000000001</v>
      </c>
      <c r="J407">
        <v>1.766</v>
      </c>
      <c r="K407">
        <v>2.0150000000000001</v>
      </c>
      <c r="L407">
        <v>1.7549999999999999</v>
      </c>
      <c r="M407">
        <v>1.831</v>
      </c>
      <c r="N407">
        <v>2.0289999999999999</v>
      </c>
      <c r="O407">
        <v>2.09</v>
      </c>
    </row>
    <row r="408" spans="1:15">
      <c r="A408" t="str">
        <f t="shared" si="5"/>
        <v>GS12II  SDR CP</v>
      </c>
      <c r="B408" t="s">
        <v>632</v>
      </c>
      <c r="C408" t="s">
        <v>226</v>
      </c>
      <c r="D408">
        <v>1.079</v>
      </c>
      <c r="E408">
        <v>1.788</v>
      </c>
      <c r="F408">
        <v>1.6180000000000001</v>
      </c>
      <c r="G408">
        <v>1.7190000000000001</v>
      </c>
      <c r="H408">
        <v>1.8939999999999999</v>
      </c>
      <c r="I408">
        <v>1.869</v>
      </c>
      <c r="J408">
        <v>1.7210000000000001</v>
      </c>
      <c r="K408">
        <v>1.792</v>
      </c>
      <c r="L408">
        <v>1.8460000000000001</v>
      </c>
      <c r="M408">
        <v>1.7310000000000001</v>
      </c>
      <c r="N408">
        <v>2.0579999999999998</v>
      </c>
      <c r="O408">
        <v>1.7689999999999999</v>
      </c>
    </row>
    <row r="409" spans="1:15">
      <c r="A409" t="str">
        <f t="shared" si="5"/>
        <v/>
      </c>
    </row>
    <row r="410" spans="1:15">
      <c r="A410" t="str">
        <f t="shared" si="5"/>
        <v>GS12III SDR GCP</v>
      </c>
      <c r="B410" t="s">
        <v>632</v>
      </c>
      <c r="C410" t="s">
        <v>227</v>
      </c>
      <c r="D410">
        <v>3.4980000000000002</v>
      </c>
      <c r="E410">
        <v>3.3759999999999999</v>
      </c>
      <c r="F410">
        <v>3.4289999999999998</v>
      </c>
      <c r="G410">
        <v>3.1520000000000001</v>
      </c>
      <c r="H410">
        <v>3.1920000000000002</v>
      </c>
      <c r="I410">
        <v>3.1819999999999999</v>
      </c>
      <c r="J410">
        <v>3.2040000000000002</v>
      </c>
      <c r="K410">
        <v>2.8250000000000002</v>
      </c>
      <c r="L410">
        <v>3.0310000000000001</v>
      </c>
      <c r="M410">
        <v>3.1429999999999998</v>
      </c>
      <c r="N410">
        <v>3.141</v>
      </c>
      <c r="O410">
        <v>3.3279999999999998</v>
      </c>
    </row>
    <row r="411" spans="1:15">
      <c r="A411" t="str">
        <f t="shared" si="5"/>
        <v>GS12III SDR GCP ONPK</v>
      </c>
      <c r="B411" t="s">
        <v>632</v>
      </c>
      <c r="C411" t="s">
        <v>228</v>
      </c>
      <c r="D411">
        <v>2.6739999999999999</v>
      </c>
      <c r="E411">
        <v>2.86</v>
      </c>
      <c r="F411">
        <v>2.6989999999999998</v>
      </c>
      <c r="G411">
        <v>3.1520000000000001</v>
      </c>
      <c r="H411">
        <v>3.1920000000000002</v>
      </c>
      <c r="I411">
        <v>3.1819999999999999</v>
      </c>
      <c r="J411">
        <v>3.2040000000000002</v>
      </c>
      <c r="K411">
        <v>2.8250000000000002</v>
      </c>
      <c r="L411">
        <v>3.0310000000000001</v>
      </c>
      <c r="M411">
        <v>3.1429999999999998</v>
      </c>
      <c r="N411">
        <v>2.669</v>
      </c>
      <c r="O411">
        <v>2.7429999999999999</v>
      </c>
    </row>
    <row r="412" spans="1:15">
      <c r="A412" t="str">
        <f t="shared" si="5"/>
        <v>GS12III SDR GCP OFFPK</v>
      </c>
      <c r="B412" t="s">
        <v>632</v>
      </c>
      <c r="C412" t="s">
        <v>229</v>
      </c>
      <c r="D412">
        <v>3.4980000000000002</v>
      </c>
      <c r="E412">
        <v>3.3759999999999999</v>
      </c>
      <c r="F412">
        <v>3.4289999999999998</v>
      </c>
      <c r="G412">
        <v>2.7549999999999999</v>
      </c>
      <c r="H412">
        <v>2.8559999999999999</v>
      </c>
      <c r="I412">
        <v>2.956</v>
      </c>
      <c r="J412">
        <v>2.9049999999999998</v>
      </c>
      <c r="K412">
        <v>2.738</v>
      </c>
      <c r="L412">
        <v>2.9430000000000001</v>
      </c>
      <c r="M412">
        <v>2.78</v>
      </c>
      <c r="N412">
        <v>3.141</v>
      </c>
      <c r="O412">
        <v>3.3279999999999998</v>
      </c>
    </row>
    <row r="413" spans="1:15">
      <c r="A413" t="str">
        <f t="shared" si="5"/>
        <v>GS12III SDR CP</v>
      </c>
      <c r="B413" t="s">
        <v>632</v>
      </c>
      <c r="C413" t="s">
        <v>230</v>
      </c>
      <c r="D413">
        <v>2.1160000000000001</v>
      </c>
      <c r="E413">
        <v>3.5129999999999999</v>
      </c>
      <c r="F413">
        <v>1.6319999999999999</v>
      </c>
      <c r="G413">
        <v>2.8140000000000001</v>
      </c>
      <c r="H413">
        <v>2.89</v>
      </c>
      <c r="I413">
        <v>3.2109999999999999</v>
      </c>
      <c r="J413">
        <v>3.3290000000000002</v>
      </c>
      <c r="K413">
        <v>2.7469999999999999</v>
      </c>
      <c r="L413">
        <v>3.14</v>
      </c>
      <c r="M413">
        <v>2.7570000000000001</v>
      </c>
      <c r="N413">
        <v>3.157</v>
      </c>
      <c r="O413">
        <v>3.3490000000000002</v>
      </c>
    </row>
    <row r="414" spans="1:15">
      <c r="A414" t="str">
        <f t="shared" si="5"/>
        <v/>
      </c>
    </row>
    <row r="415" spans="1:15">
      <c r="A415" t="str">
        <f t="shared" si="5"/>
        <v>GS12IV  SDR GCP</v>
      </c>
      <c r="B415" t="s">
        <v>632</v>
      </c>
      <c r="C415" t="s">
        <v>231</v>
      </c>
      <c r="D415">
        <v>5.6040000000000001</v>
      </c>
      <c r="E415">
        <v>5.5759999999999996</v>
      </c>
      <c r="F415">
        <v>4.99</v>
      </c>
      <c r="G415">
        <v>5.4450000000000003</v>
      </c>
      <c r="H415">
        <v>4.5069999999999997</v>
      </c>
      <c r="I415">
        <v>4.6849999999999996</v>
      </c>
      <c r="J415">
        <v>4.6520000000000001</v>
      </c>
      <c r="K415">
        <v>4.7380000000000004</v>
      </c>
      <c r="L415">
        <v>4.7850000000000001</v>
      </c>
      <c r="M415">
        <v>4.8499999999999996</v>
      </c>
      <c r="N415">
        <v>5.3319999999999999</v>
      </c>
      <c r="O415">
        <v>5.8040000000000003</v>
      </c>
    </row>
    <row r="416" spans="1:15">
      <c r="A416" t="str">
        <f t="shared" si="5"/>
        <v>GS12IV  SDR GCP ONPK</v>
      </c>
      <c r="B416" t="s">
        <v>632</v>
      </c>
      <c r="C416" t="s">
        <v>232</v>
      </c>
      <c r="D416">
        <v>4.3070000000000004</v>
      </c>
      <c r="E416">
        <v>4.5279999999999996</v>
      </c>
      <c r="F416">
        <v>4.0389999999999997</v>
      </c>
      <c r="G416">
        <v>5.4450000000000003</v>
      </c>
      <c r="H416">
        <v>4.5069999999999997</v>
      </c>
      <c r="I416">
        <v>4.6849999999999996</v>
      </c>
      <c r="J416">
        <v>4.6520000000000001</v>
      </c>
      <c r="K416">
        <v>4.7380000000000004</v>
      </c>
      <c r="L416">
        <v>4.7850000000000001</v>
      </c>
      <c r="M416">
        <v>4.8499999999999996</v>
      </c>
      <c r="N416">
        <v>5.1159999999999997</v>
      </c>
      <c r="O416">
        <v>5.16</v>
      </c>
    </row>
    <row r="417" spans="1:15">
      <c r="A417" t="str">
        <f t="shared" si="5"/>
        <v>GS12IV  SDR GCP OFFPK</v>
      </c>
      <c r="B417" t="s">
        <v>632</v>
      </c>
      <c r="C417" t="s">
        <v>233</v>
      </c>
      <c r="D417">
        <v>5.6040000000000001</v>
      </c>
      <c r="E417">
        <v>5.5759999999999996</v>
      </c>
      <c r="F417">
        <v>4.99</v>
      </c>
      <c r="G417">
        <v>4.9829999999999997</v>
      </c>
      <c r="H417">
        <v>4.5960000000000001</v>
      </c>
      <c r="I417">
        <v>4.5090000000000003</v>
      </c>
      <c r="J417">
        <v>4.5069999999999997</v>
      </c>
      <c r="K417">
        <v>4.4130000000000003</v>
      </c>
      <c r="L417">
        <v>4.8150000000000004</v>
      </c>
      <c r="M417">
        <v>4.7690000000000001</v>
      </c>
      <c r="N417">
        <v>5.3319999999999999</v>
      </c>
      <c r="O417">
        <v>5.8040000000000003</v>
      </c>
    </row>
    <row r="418" spans="1:15">
      <c r="A418" t="str">
        <f t="shared" si="5"/>
        <v>GS12IV  SDR CP</v>
      </c>
      <c r="B418" t="s">
        <v>632</v>
      </c>
      <c r="C418" t="s">
        <v>234</v>
      </c>
      <c r="D418">
        <v>3.165</v>
      </c>
      <c r="E418">
        <v>5.1980000000000004</v>
      </c>
      <c r="F418">
        <v>1.9870000000000001</v>
      </c>
      <c r="G418">
        <v>4.681</v>
      </c>
      <c r="H418">
        <v>4.2030000000000003</v>
      </c>
      <c r="I418">
        <v>4.4359999999999999</v>
      </c>
      <c r="J418">
        <v>4.5170000000000003</v>
      </c>
      <c r="K418">
        <v>4.2240000000000002</v>
      </c>
      <c r="L418">
        <v>4.6239999999999997</v>
      </c>
      <c r="M418">
        <v>4.51</v>
      </c>
      <c r="N418">
        <v>5.0970000000000004</v>
      </c>
      <c r="O418">
        <v>5.5609999999999999</v>
      </c>
    </row>
    <row r="419" spans="1:15">
      <c r="A419" t="str">
        <f t="shared" si="5"/>
        <v/>
      </c>
    </row>
    <row r="420" spans="1:15">
      <c r="A420" t="str">
        <f t="shared" si="5"/>
        <v/>
      </c>
    </row>
    <row r="421" spans="1:15">
      <c r="A421" t="str">
        <f t="shared" si="5"/>
        <v xml:space="preserve">GSCU12 GSCU-1 General Service Constant Usage (0-20 kW) (Sampled) </v>
      </c>
      <c r="B421" t="s">
        <v>639</v>
      </c>
      <c r="C421" t="s">
        <v>297</v>
      </c>
    </row>
    <row r="422" spans="1:15">
      <c r="A422" t="str">
        <f t="shared" si="5"/>
        <v xml:space="preserve">GSCU12MONTH </v>
      </c>
      <c r="B422" t="s">
        <v>640</v>
      </c>
      <c r="C422" t="s">
        <v>123</v>
      </c>
      <c r="D422" s="4">
        <v>41275</v>
      </c>
      <c r="E422" s="4">
        <v>41306</v>
      </c>
      <c r="F422" s="4">
        <v>41334</v>
      </c>
      <c r="G422" s="4">
        <v>41365</v>
      </c>
      <c r="H422" s="4">
        <v>41395</v>
      </c>
      <c r="I422" s="4">
        <v>41426</v>
      </c>
      <c r="J422" s="4">
        <v>41456</v>
      </c>
      <c r="K422" s="4">
        <v>41487</v>
      </c>
      <c r="L422" s="4">
        <v>41518</v>
      </c>
      <c r="M422" s="4">
        <v>41548</v>
      </c>
      <c r="N422" s="4">
        <v>41579</v>
      </c>
      <c r="O422" s="4">
        <v>41609</v>
      </c>
    </row>
    <row r="423" spans="1:15">
      <c r="A423" t="str">
        <f t="shared" si="5"/>
        <v xml:space="preserve">GSCU12CUSTOMERS </v>
      </c>
      <c r="B423" t="s">
        <v>640</v>
      </c>
      <c r="C423" t="s">
        <v>124</v>
      </c>
      <c r="D423">
        <v>3172</v>
      </c>
      <c r="E423">
        <v>3139</v>
      </c>
      <c r="F423">
        <v>3108</v>
      </c>
      <c r="G423">
        <v>3036</v>
      </c>
      <c r="H423">
        <v>2849</v>
      </c>
      <c r="I423">
        <v>9307</v>
      </c>
      <c r="J423">
        <v>9137</v>
      </c>
      <c r="K423">
        <v>9010</v>
      </c>
      <c r="L423">
        <v>8817</v>
      </c>
      <c r="M423">
        <v>1151</v>
      </c>
      <c r="N423">
        <v>678</v>
      </c>
      <c r="O423">
        <v>668</v>
      </c>
    </row>
    <row r="424" spans="1:15">
      <c r="A424" t="str">
        <f t="shared" si="5"/>
        <v xml:space="preserve">GSCU12SALES </v>
      </c>
      <c r="B424" t="s">
        <v>640</v>
      </c>
      <c r="C424" t="s">
        <v>125</v>
      </c>
      <c r="D424">
        <v>2199758</v>
      </c>
      <c r="E424">
        <v>2028689</v>
      </c>
      <c r="F424">
        <v>1922578</v>
      </c>
      <c r="G424">
        <v>2019508</v>
      </c>
      <c r="H424">
        <v>1998791</v>
      </c>
      <c r="I424">
        <v>4171965</v>
      </c>
      <c r="J424">
        <v>4818228</v>
      </c>
      <c r="K424">
        <v>4840420</v>
      </c>
      <c r="L424">
        <v>4849563</v>
      </c>
      <c r="M424">
        <v>894610</v>
      </c>
      <c r="N424">
        <v>851715</v>
      </c>
      <c r="O424">
        <v>894875</v>
      </c>
    </row>
    <row r="425" spans="1:15">
      <c r="A425" t="str">
        <f t="shared" si="5"/>
        <v>GSCU12KW</v>
      </c>
      <c r="B425" t="s">
        <v>640</v>
      </c>
      <c r="C425" t="s">
        <v>126</v>
      </c>
    </row>
    <row r="426" spans="1:15">
      <c r="A426" t="str">
        <f t="shared" si="5"/>
        <v>GSCU12N</v>
      </c>
      <c r="B426" t="s">
        <v>640</v>
      </c>
      <c r="C426" t="s">
        <v>127</v>
      </c>
      <c r="D426">
        <v>3172</v>
      </c>
      <c r="E426">
        <v>3139</v>
      </c>
      <c r="F426">
        <v>3108</v>
      </c>
      <c r="G426">
        <v>3036</v>
      </c>
      <c r="H426">
        <v>2849</v>
      </c>
      <c r="I426">
        <v>9307</v>
      </c>
      <c r="J426">
        <v>9137</v>
      </c>
      <c r="K426">
        <v>9010</v>
      </c>
      <c r="L426">
        <v>8817</v>
      </c>
      <c r="M426">
        <v>1151</v>
      </c>
      <c r="N426">
        <v>678</v>
      </c>
      <c r="O426">
        <v>668</v>
      </c>
    </row>
    <row r="427" spans="1:15">
      <c r="A427" t="str">
        <f t="shared" si="5"/>
        <v>GSCU12RLR ENERGY:</v>
      </c>
      <c r="B427" t="s">
        <v>640</v>
      </c>
      <c r="C427" t="s">
        <v>61</v>
      </c>
    </row>
    <row r="428" spans="1:15">
      <c r="A428" t="str">
        <f t="shared" si="5"/>
        <v>GSCU12KWH</v>
      </c>
      <c r="B428" t="s">
        <v>640</v>
      </c>
      <c r="C428" t="s">
        <v>128</v>
      </c>
      <c r="D428">
        <v>2199758</v>
      </c>
      <c r="E428">
        <v>2028689</v>
      </c>
      <c r="F428">
        <v>1922866</v>
      </c>
      <c r="G428">
        <v>2019508</v>
      </c>
      <c r="H428">
        <v>1998791</v>
      </c>
      <c r="I428">
        <v>4173966</v>
      </c>
      <c r="J428">
        <v>4819399</v>
      </c>
      <c r="K428">
        <v>4840420</v>
      </c>
      <c r="L428">
        <v>4850906</v>
      </c>
      <c r="M428">
        <v>895007</v>
      </c>
      <c r="N428">
        <v>852730</v>
      </c>
      <c r="O428">
        <v>894920</v>
      </c>
    </row>
    <row r="429" spans="1:15">
      <c r="A429" t="str">
        <f t="shared" si="5"/>
        <v>GSCU12KWH ONPK</v>
      </c>
      <c r="B429" t="s">
        <v>640</v>
      </c>
      <c r="C429" t="s">
        <v>129</v>
      </c>
      <c r="D429">
        <v>519985</v>
      </c>
      <c r="E429">
        <v>482646</v>
      </c>
      <c r="F429">
        <v>433689</v>
      </c>
      <c r="G429">
        <v>556908</v>
      </c>
      <c r="H429">
        <v>532938</v>
      </c>
      <c r="I429">
        <v>1045392</v>
      </c>
      <c r="J429">
        <v>1286711</v>
      </c>
      <c r="K429">
        <v>1292155</v>
      </c>
      <c r="L429">
        <v>1214860</v>
      </c>
      <c r="M429">
        <v>249648</v>
      </c>
      <c r="N429">
        <v>190592</v>
      </c>
      <c r="O429">
        <v>201848</v>
      </c>
    </row>
    <row r="430" spans="1:15">
      <c r="A430" t="str">
        <f t="shared" si="5"/>
        <v>GSCU12KWH OFFPK</v>
      </c>
      <c r="B430" t="s">
        <v>640</v>
      </c>
      <c r="C430" t="s">
        <v>130</v>
      </c>
      <c r="D430">
        <v>1679773</v>
      </c>
      <c r="E430">
        <v>1546043</v>
      </c>
      <c r="F430">
        <v>1489178</v>
      </c>
      <c r="G430">
        <v>1462600</v>
      </c>
      <c r="H430">
        <v>1465853</v>
      </c>
      <c r="I430">
        <v>3128575</v>
      </c>
      <c r="J430">
        <v>3532688</v>
      </c>
      <c r="K430">
        <v>3548265</v>
      </c>
      <c r="L430">
        <v>3636045</v>
      </c>
      <c r="M430">
        <v>645359</v>
      </c>
      <c r="N430">
        <v>662138</v>
      </c>
      <c r="O430">
        <v>693072</v>
      </c>
    </row>
    <row r="431" spans="1:15">
      <c r="A431" t="str">
        <f t="shared" si="5"/>
        <v>GSCU12KWH ONPK%</v>
      </c>
      <c r="B431" t="s">
        <v>640</v>
      </c>
      <c r="C431" t="s">
        <v>131</v>
      </c>
      <c r="D431" s="5">
        <v>0.23638000000000001</v>
      </c>
      <c r="E431" s="5">
        <v>0.23791000000000001</v>
      </c>
      <c r="F431" s="5">
        <v>0.22553999999999999</v>
      </c>
      <c r="G431" s="5">
        <v>0.27576000000000001</v>
      </c>
      <c r="H431" s="5">
        <v>0.26662999999999998</v>
      </c>
      <c r="I431" s="5">
        <v>0.25046000000000002</v>
      </c>
      <c r="J431" s="5">
        <v>0.26699000000000001</v>
      </c>
      <c r="K431" s="5">
        <v>0.26695000000000002</v>
      </c>
      <c r="L431" s="5">
        <v>0.25044</v>
      </c>
      <c r="M431" s="5">
        <v>0.27893000000000001</v>
      </c>
      <c r="N431" s="5">
        <v>0.22350999999999999</v>
      </c>
      <c r="O431" s="5">
        <v>0.22555</v>
      </c>
    </row>
    <row r="432" spans="1:15">
      <c r="A432" t="str">
        <f t="shared" si="5"/>
        <v>GSCU12KWH OFFPK%</v>
      </c>
      <c r="B432" t="s">
        <v>640</v>
      </c>
      <c r="C432" t="s">
        <v>132</v>
      </c>
      <c r="D432" s="5">
        <v>0.76361999999999997</v>
      </c>
      <c r="E432" s="5">
        <v>0.76209000000000005</v>
      </c>
      <c r="F432" s="5">
        <v>0.77446000000000004</v>
      </c>
      <c r="G432" s="5">
        <v>0.72423999999999999</v>
      </c>
      <c r="H432" s="5">
        <v>0.73336999999999997</v>
      </c>
      <c r="I432" s="5">
        <v>0.74953999999999998</v>
      </c>
      <c r="J432" s="5">
        <v>0.73301000000000005</v>
      </c>
      <c r="K432" s="5">
        <v>0.73304999999999998</v>
      </c>
      <c r="L432" s="5">
        <v>0.74956</v>
      </c>
      <c r="M432" s="5">
        <v>0.72106999999999999</v>
      </c>
      <c r="N432" s="5">
        <v>0.77649000000000001</v>
      </c>
      <c r="O432" s="5">
        <v>0.77444999999999997</v>
      </c>
    </row>
    <row r="433" spans="1:15">
      <c r="A433" t="str">
        <f t="shared" si="5"/>
        <v>GSCU12DEMAND (KW):</v>
      </c>
      <c r="B433" t="s">
        <v>640</v>
      </c>
      <c r="C433" t="s">
        <v>62</v>
      </c>
    </row>
    <row r="434" spans="1:15">
      <c r="A434" t="str">
        <f t="shared" si="5"/>
        <v>GSCU12NCP</v>
      </c>
      <c r="B434" t="s">
        <v>640</v>
      </c>
      <c r="C434" t="s">
        <v>133</v>
      </c>
      <c r="D434">
        <v>3135</v>
      </c>
      <c r="E434">
        <v>3248</v>
      </c>
      <c r="F434">
        <v>2845</v>
      </c>
      <c r="G434">
        <v>3051</v>
      </c>
      <c r="H434">
        <v>2966</v>
      </c>
      <c r="I434">
        <v>6359</v>
      </c>
      <c r="J434">
        <v>7002</v>
      </c>
      <c r="K434">
        <v>7135</v>
      </c>
      <c r="L434">
        <v>7163</v>
      </c>
      <c r="M434">
        <v>1277</v>
      </c>
      <c r="N434">
        <v>1257</v>
      </c>
      <c r="O434">
        <v>1285</v>
      </c>
    </row>
    <row r="435" spans="1:15">
      <c r="A435" t="str">
        <f t="shared" si="5"/>
        <v>GSCU12NCP ONPK</v>
      </c>
      <c r="B435" t="s">
        <v>640</v>
      </c>
      <c r="C435" t="s">
        <v>134</v>
      </c>
      <c r="D435">
        <v>3052</v>
      </c>
      <c r="E435">
        <v>3116</v>
      </c>
      <c r="F435">
        <v>2709</v>
      </c>
      <c r="G435">
        <v>2937</v>
      </c>
      <c r="H435">
        <v>2867</v>
      </c>
      <c r="I435">
        <v>6186</v>
      </c>
      <c r="J435">
        <v>6802</v>
      </c>
      <c r="K435">
        <v>6848</v>
      </c>
      <c r="L435">
        <v>6996</v>
      </c>
      <c r="M435">
        <v>1262</v>
      </c>
      <c r="N435">
        <v>1232</v>
      </c>
      <c r="O435">
        <v>1234</v>
      </c>
    </row>
    <row r="436" spans="1:15">
      <c r="A436" t="str">
        <f t="shared" si="5"/>
        <v>GSCU12NCP OFFPK</v>
      </c>
      <c r="B436" t="s">
        <v>640</v>
      </c>
      <c r="C436" t="s">
        <v>135</v>
      </c>
      <c r="D436">
        <v>3107</v>
      </c>
      <c r="E436">
        <v>3232</v>
      </c>
      <c r="F436">
        <v>2820</v>
      </c>
      <c r="G436">
        <v>3007</v>
      </c>
      <c r="H436">
        <v>2944</v>
      </c>
      <c r="I436">
        <v>6210</v>
      </c>
      <c r="J436">
        <v>6913</v>
      </c>
      <c r="K436">
        <v>7027</v>
      </c>
      <c r="L436">
        <v>7089</v>
      </c>
      <c r="M436">
        <v>1249</v>
      </c>
      <c r="N436">
        <v>1251</v>
      </c>
      <c r="O436">
        <v>1275</v>
      </c>
    </row>
    <row r="437" spans="1:15">
      <c r="A437" t="str">
        <f t="shared" ref="A437:A500" si="6">B437&amp;C437</f>
        <v>GSCU12GCP DATE</v>
      </c>
      <c r="B437" t="s">
        <v>640</v>
      </c>
      <c r="C437" t="s">
        <v>136</v>
      </c>
      <c r="D437" t="s">
        <v>803</v>
      </c>
      <c r="E437" t="s">
        <v>810</v>
      </c>
      <c r="F437" t="s">
        <v>811</v>
      </c>
      <c r="G437" t="s">
        <v>812</v>
      </c>
      <c r="H437" t="s">
        <v>792</v>
      </c>
      <c r="I437" t="s">
        <v>813</v>
      </c>
      <c r="J437" t="s">
        <v>814</v>
      </c>
      <c r="K437" t="s">
        <v>815</v>
      </c>
      <c r="L437" t="s">
        <v>800</v>
      </c>
      <c r="M437" t="s">
        <v>816</v>
      </c>
      <c r="N437" t="s">
        <v>817</v>
      </c>
      <c r="O437" t="s">
        <v>818</v>
      </c>
    </row>
    <row r="438" spans="1:15">
      <c r="A438" t="str">
        <f t="shared" si="6"/>
        <v>GSCU12GCP TIME</v>
      </c>
      <c r="B438" t="s">
        <v>640</v>
      </c>
      <c r="C438" t="s">
        <v>142</v>
      </c>
      <c r="D438" t="s">
        <v>193</v>
      </c>
      <c r="E438" t="s">
        <v>214</v>
      </c>
      <c r="F438" t="s">
        <v>201</v>
      </c>
      <c r="G438" t="s">
        <v>194</v>
      </c>
      <c r="H438" t="s">
        <v>215</v>
      </c>
      <c r="I438" t="s">
        <v>182</v>
      </c>
      <c r="J438" t="s">
        <v>195</v>
      </c>
      <c r="K438" t="s">
        <v>27</v>
      </c>
      <c r="L438" t="s">
        <v>143</v>
      </c>
      <c r="M438" t="s">
        <v>145</v>
      </c>
      <c r="N438" t="s">
        <v>196</v>
      </c>
      <c r="O438" t="s">
        <v>143</v>
      </c>
    </row>
    <row r="439" spans="1:15">
      <c r="A439" t="str">
        <f t="shared" si="6"/>
        <v>GSCU12GCP</v>
      </c>
      <c r="B439" t="s">
        <v>640</v>
      </c>
      <c r="C439" t="s">
        <v>147</v>
      </c>
      <c r="D439">
        <v>2993</v>
      </c>
      <c r="E439">
        <v>3078</v>
      </c>
      <c r="F439">
        <v>2685</v>
      </c>
      <c r="G439">
        <v>2865</v>
      </c>
      <c r="H439">
        <v>2759</v>
      </c>
      <c r="I439">
        <v>5888</v>
      </c>
      <c r="J439">
        <v>6576</v>
      </c>
      <c r="K439">
        <v>6672</v>
      </c>
      <c r="L439">
        <v>6841</v>
      </c>
      <c r="M439">
        <v>1215</v>
      </c>
      <c r="N439">
        <v>1204</v>
      </c>
      <c r="O439">
        <v>1222</v>
      </c>
    </row>
    <row r="440" spans="1:15">
      <c r="A440" t="str">
        <f t="shared" si="6"/>
        <v>GSCU12GCP ONPK</v>
      </c>
      <c r="B440" t="s">
        <v>640</v>
      </c>
      <c r="C440" t="s">
        <v>63</v>
      </c>
      <c r="D440">
        <v>2993</v>
      </c>
      <c r="E440">
        <v>3049</v>
      </c>
      <c r="F440">
        <v>2628</v>
      </c>
      <c r="G440">
        <v>2834</v>
      </c>
      <c r="H440">
        <v>2759</v>
      </c>
      <c r="I440">
        <v>5888</v>
      </c>
      <c r="J440">
        <v>6576</v>
      </c>
      <c r="K440">
        <v>6582</v>
      </c>
      <c r="L440">
        <v>6824</v>
      </c>
      <c r="M440">
        <v>1215</v>
      </c>
      <c r="N440">
        <v>1200</v>
      </c>
      <c r="O440">
        <v>1208</v>
      </c>
    </row>
    <row r="441" spans="1:15">
      <c r="A441" t="str">
        <f t="shared" si="6"/>
        <v>GSCU12GCP OFFPK</v>
      </c>
      <c r="B441" t="s">
        <v>640</v>
      </c>
      <c r="C441" t="s">
        <v>64</v>
      </c>
      <c r="D441">
        <v>2992</v>
      </c>
      <c r="E441">
        <v>3078</v>
      </c>
      <c r="F441">
        <v>2685</v>
      </c>
      <c r="G441">
        <v>2865</v>
      </c>
      <c r="H441">
        <v>2758</v>
      </c>
      <c r="I441">
        <v>5882</v>
      </c>
      <c r="J441">
        <v>6538</v>
      </c>
      <c r="K441">
        <v>6672</v>
      </c>
      <c r="L441">
        <v>6841</v>
      </c>
      <c r="M441">
        <v>1215</v>
      </c>
      <c r="N441">
        <v>1204</v>
      </c>
      <c r="O441">
        <v>1222</v>
      </c>
    </row>
    <row r="442" spans="1:15">
      <c r="A442" t="str">
        <f t="shared" si="6"/>
        <v>GSCU12CP</v>
      </c>
      <c r="B442" t="s">
        <v>640</v>
      </c>
      <c r="C442" t="s">
        <v>148</v>
      </c>
      <c r="D442">
        <v>2970</v>
      </c>
      <c r="E442">
        <v>3057</v>
      </c>
      <c r="F442">
        <v>2503</v>
      </c>
      <c r="G442">
        <v>2820</v>
      </c>
      <c r="H442">
        <v>2701</v>
      </c>
      <c r="I442">
        <v>5818</v>
      </c>
      <c r="J442">
        <v>6519</v>
      </c>
      <c r="K442">
        <v>6547</v>
      </c>
      <c r="L442">
        <v>6797</v>
      </c>
      <c r="M442">
        <v>1211</v>
      </c>
      <c r="N442">
        <v>1199</v>
      </c>
      <c r="O442">
        <v>1209</v>
      </c>
    </row>
    <row r="443" spans="1:15">
      <c r="A443" t="str">
        <f t="shared" si="6"/>
        <v>GSCU12PERIOD START</v>
      </c>
      <c r="B443" t="s">
        <v>640</v>
      </c>
      <c r="C443" t="s">
        <v>149</v>
      </c>
      <c r="D443" s="1">
        <v>41275</v>
      </c>
      <c r="E443" s="1">
        <v>41306</v>
      </c>
      <c r="F443" s="1">
        <v>41334</v>
      </c>
      <c r="G443" s="1">
        <v>41365</v>
      </c>
      <c r="H443" s="1">
        <v>41395</v>
      </c>
      <c r="I443" s="1">
        <v>41426</v>
      </c>
      <c r="J443" s="1">
        <v>41456</v>
      </c>
      <c r="K443" s="1">
        <v>41487</v>
      </c>
      <c r="L443" s="1">
        <v>41518</v>
      </c>
      <c r="M443" s="1">
        <v>41548</v>
      </c>
      <c r="N443" s="1">
        <v>41579</v>
      </c>
      <c r="O443" s="1">
        <v>41609</v>
      </c>
    </row>
    <row r="444" spans="1:15">
      <c r="A444" t="str">
        <f t="shared" si="6"/>
        <v>GSCU12NCP LF</v>
      </c>
      <c r="B444" t="s">
        <v>640</v>
      </c>
      <c r="C444" t="s">
        <v>150</v>
      </c>
      <c r="D444" s="5">
        <v>0.94310000000000005</v>
      </c>
      <c r="E444" s="5">
        <v>0.92959999999999998</v>
      </c>
      <c r="F444" s="5">
        <v>0.90849999999999997</v>
      </c>
      <c r="G444" s="5">
        <v>0.9194</v>
      </c>
      <c r="H444" s="5">
        <v>0.90590000000000004</v>
      </c>
      <c r="I444" s="5">
        <v>0.91159999999999997</v>
      </c>
      <c r="J444" s="5">
        <v>0.92510000000000003</v>
      </c>
      <c r="K444" s="5">
        <v>0.91190000000000004</v>
      </c>
      <c r="L444" s="5">
        <v>0.9405</v>
      </c>
      <c r="M444" s="5">
        <v>0.94210000000000005</v>
      </c>
      <c r="N444" s="5">
        <v>0.94240000000000002</v>
      </c>
      <c r="O444" s="5">
        <v>0.93640000000000001</v>
      </c>
    </row>
    <row r="445" spans="1:15">
      <c r="A445" t="str">
        <f t="shared" si="6"/>
        <v>GSCU12NCP LF ONPK</v>
      </c>
      <c r="B445" t="s">
        <v>640</v>
      </c>
      <c r="C445" t="s">
        <v>151</v>
      </c>
      <c r="D445" s="5">
        <v>0.96799999999999997</v>
      </c>
      <c r="E445" s="5">
        <v>0.96809999999999996</v>
      </c>
      <c r="F445" s="5">
        <v>0.95289999999999997</v>
      </c>
      <c r="G445" s="5">
        <v>0.9577</v>
      </c>
      <c r="H445" s="5">
        <v>0.93879999999999997</v>
      </c>
      <c r="I445" s="5">
        <v>0.93879999999999997</v>
      </c>
      <c r="J445" s="5">
        <v>0.95540000000000003</v>
      </c>
      <c r="K445" s="5">
        <v>0.95299999999999996</v>
      </c>
      <c r="L445" s="5">
        <v>0.9647</v>
      </c>
      <c r="M445" s="5">
        <v>0.95530000000000004</v>
      </c>
      <c r="N445" s="5">
        <v>0.9667</v>
      </c>
      <c r="O445" s="5">
        <v>0.97389999999999999</v>
      </c>
    </row>
    <row r="446" spans="1:15">
      <c r="A446" t="str">
        <f t="shared" si="6"/>
        <v>GSCU12NCP LF OFFPK</v>
      </c>
      <c r="B446" t="s">
        <v>640</v>
      </c>
      <c r="C446" t="s">
        <v>152</v>
      </c>
      <c r="D446" s="5">
        <v>0.95169999999999999</v>
      </c>
      <c r="E446" s="5">
        <v>0.93420000000000003</v>
      </c>
      <c r="F446" s="5">
        <v>0.91690000000000005</v>
      </c>
      <c r="G446" s="5">
        <v>0.93179999999999996</v>
      </c>
      <c r="H446" s="5">
        <v>0.91200000000000003</v>
      </c>
      <c r="I446" s="5">
        <v>0.93289999999999995</v>
      </c>
      <c r="J446" s="5">
        <v>0.93600000000000005</v>
      </c>
      <c r="K446" s="5">
        <v>0.92490000000000006</v>
      </c>
      <c r="L446" s="5">
        <v>0.94989999999999997</v>
      </c>
      <c r="M446" s="5">
        <v>0.96250000000000002</v>
      </c>
      <c r="N446" s="5">
        <v>0.94520000000000004</v>
      </c>
      <c r="O446" s="5">
        <v>0.94369999999999998</v>
      </c>
    </row>
    <row r="447" spans="1:15">
      <c r="A447" t="str">
        <f t="shared" si="6"/>
        <v>GSCU12GCP CF</v>
      </c>
      <c r="B447" t="s">
        <v>640</v>
      </c>
      <c r="C447" t="s">
        <v>153</v>
      </c>
      <c r="D447" s="5">
        <v>0.9546</v>
      </c>
      <c r="E447" s="5">
        <v>0.94779999999999998</v>
      </c>
      <c r="F447" s="5">
        <v>0.94389999999999996</v>
      </c>
      <c r="G447" s="5">
        <v>0.93899999999999995</v>
      </c>
      <c r="H447" s="5">
        <v>0.93030000000000002</v>
      </c>
      <c r="I447" s="5">
        <v>0.92589999999999995</v>
      </c>
      <c r="J447" s="5">
        <v>0.93920000000000003</v>
      </c>
      <c r="K447" s="5">
        <v>0.93520000000000003</v>
      </c>
      <c r="L447" s="5">
        <v>0.95499999999999996</v>
      </c>
      <c r="M447" s="5">
        <v>0.95179999999999998</v>
      </c>
      <c r="N447" s="5">
        <v>0.95779999999999998</v>
      </c>
      <c r="O447" s="5">
        <v>0.9516</v>
      </c>
    </row>
    <row r="448" spans="1:15">
      <c r="A448" t="str">
        <f t="shared" si="6"/>
        <v>GSCU12CP CF</v>
      </c>
      <c r="B448" t="s">
        <v>640</v>
      </c>
      <c r="C448" t="s">
        <v>154</v>
      </c>
      <c r="D448" s="5">
        <v>0.94730000000000003</v>
      </c>
      <c r="E448" s="5">
        <v>0.94120000000000004</v>
      </c>
      <c r="F448" s="5">
        <v>0.87980000000000003</v>
      </c>
      <c r="G448" s="5">
        <v>0.92430000000000001</v>
      </c>
      <c r="H448" s="5">
        <v>0.91069999999999995</v>
      </c>
      <c r="I448" s="5">
        <v>0.91479999999999995</v>
      </c>
      <c r="J448" s="5">
        <v>0.93100000000000005</v>
      </c>
      <c r="K448" s="5">
        <v>0.91759999999999997</v>
      </c>
      <c r="L448" s="5">
        <v>0.94889999999999997</v>
      </c>
      <c r="M448" s="5">
        <v>0.94810000000000005</v>
      </c>
      <c r="N448" s="5">
        <v>0.95430000000000004</v>
      </c>
      <c r="O448" s="5">
        <v>0.94140000000000001</v>
      </c>
    </row>
    <row r="449" spans="1:15">
      <c r="A449" t="str">
        <f t="shared" si="6"/>
        <v>GSCU12GCP LF</v>
      </c>
      <c r="B449" t="s">
        <v>640</v>
      </c>
      <c r="C449" t="s">
        <v>155</v>
      </c>
      <c r="D449" s="5">
        <v>0.9879</v>
      </c>
      <c r="E449" s="5">
        <v>0.98080000000000001</v>
      </c>
      <c r="F449" s="5">
        <v>0.96250000000000002</v>
      </c>
      <c r="G449" s="5">
        <v>0.97919999999999996</v>
      </c>
      <c r="H449" s="5">
        <v>0.97370000000000001</v>
      </c>
      <c r="I449" s="5">
        <v>0.98450000000000004</v>
      </c>
      <c r="J449" s="5">
        <v>0.98499999999999999</v>
      </c>
      <c r="K449" s="5">
        <v>0.97509999999999997</v>
      </c>
      <c r="L449" s="5">
        <v>0.9849</v>
      </c>
      <c r="M449" s="5">
        <v>0.98980000000000001</v>
      </c>
      <c r="N449" s="5">
        <v>0.9839</v>
      </c>
      <c r="O449" s="5">
        <v>0.98399999999999999</v>
      </c>
    </row>
    <row r="450" spans="1:15">
      <c r="A450" t="str">
        <f t="shared" si="6"/>
        <v>GSCU12GCP LF ONPK</v>
      </c>
      <c r="B450" t="s">
        <v>640</v>
      </c>
      <c r="C450" t="s">
        <v>156</v>
      </c>
      <c r="D450" s="5">
        <v>0.98719999999999997</v>
      </c>
      <c r="E450" s="5">
        <v>0.98939999999999995</v>
      </c>
      <c r="F450" s="5">
        <v>0.98229999999999995</v>
      </c>
      <c r="G450" s="5">
        <v>0.99239999999999995</v>
      </c>
      <c r="H450" s="5">
        <v>0.97550000000000003</v>
      </c>
      <c r="I450" s="5">
        <v>0.98629999999999995</v>
      </c>
      <c r="J450" s="5">
        <v>0.98819999999999997</v>
      </c>
      <c r="K450" s="5">
        <v>0.99150000000000005</v>
      </c>
      <c r="L450" s="5">
        <v>0.98899999999999999</v>
      </c>
      <c r="M450" s="5">
        <v>0.99229999999999996</v>
      </c>
      <c r="N450" s="5">
        <v>0.99229999999999996</v>
      </c>
      <c r="O450" s="5">
        <v>0.99490000000000001</v>
      </c>
    </row>
    <row r="451" spans="1:15">
      <c r="A451" t="str">
        <f t="shared" si="6"/>
        <v>GSCU12GCP LF OFFPK</v>
      </c>
      <c r="B451" t="s">
        <v>640</v>
      </c>
      <c r="C451" t="s">
        <v>157</v>
      </c>
      <c r="D451" s="5">
        <v>0.98839999999999995</v>
      </c>
      <c r="E451" s="5">
        <v>0.98099999999999998</v>
      </c>
      <c r="F451" s="5">
        <v>0.96289999999999998</v>
      </c>
      <c r="G451" s="5">
        <v>0.97809999999999997</v>
      </c>
      <c r="H451" s="5">
        <v>0.97330000000000005</v>
      </c>
      <c r="I451" s="5">
        <v>0.98509999999999998</v>
      </c>
      <c r="J451" s="5">
        <v>0.98960000000000004</v>
      </c>
      <c r="K451" s="5">
        <v>0.97399999999999998</v>
      </c>
      <c r="L451" s="5">
        <v>0.98429999999999995</v>
      </c>
      <c r="M451" s="5">
        <v>0.98909999999999998</v>
      </c>
      <c r="N451" s="5">
        <v>0.98229999999999995</v>
      </c>
      <c r="O451" s="5">
        <v>0.98440000000000005</v>
      </c>
    </row>
    <row r="452" spans="1:15">
      <c r="A452" t="str">
        <f t="shared" si="6"/>
        <v>GSCU12CP LF</v>
      </c>
      <c r="B452" t="s">
        <v>640</v>
      </c>
      <c r="C452" t="s">
        <v>158</v>
      </c>
      <c r="D452" s="5">
        <v>0.99560000000000004</v>
      </c>
      <c r="E452" s="5">
        <v>0.98760000000000003</v>
      </c>
      <c r="F452" s="5">
        <v>1.0327</v>
      </c>
      <c r="G452" s="5">
        <v>0.99480000000000002</v>
      </c>
      <c r="H452" s="5">
        <v>0.99470000000000003</v>
      </c>
      <c r="I452" s="5">
        <v>0.99650000000000005</v>
      </c>
      <c r="J452" s="5">
        <v>0.99370000000000003</v>
      </c>
      <c r="K452" s="5">
        <v>0.99380000000000002</v>
      </c>
      <c r="L452" s="5">
        <v>0.99119999999999997</v>
      </c>
      <c r="M452" s="5">
        <v>0.99360000000000004</v>
      </c>
      <c r="N452" s="5">
        <v>0.98760000000000003</v>
      </c>
      <c r="O452" s="5">
        <v>0.99470000000000003</v>
      </c>
    </row>
    <row r="453" spans="1:15">
      <c r="A453" t="str">
        <f t="shared" si="6"/>
        <v>GSCU12REL PREC:</v>
      </c>
      <c r="B453" t="s">
        <v>640</v>
      </c>
      <c r="C453" t="s">
        <v>65</v>
      </c>
    </row>
    <row r="454" spans="1:15">
      <c r="A454" t="str">
        <f t="shared" si="6"/>
        <v>GSCU12NCP RP</v>
      </c>
      <c r="B454" t="s">
        <v>640</v>
      </c>
      <c r="C454" t="s">
        <v>159</v>
      </c>
      <c r="D454" s="5">
        <v>1.6500000000000001E-2</v>
      </c>
      <c r="E454" s="5">
        <v>2.52E-2</v>
      </c>
      <c r="F454" s="5">
        <v>4.9599999999999998E-2</v>
      </c>
      <c r="G454" s="5">
        <v>4.4699999999999997E-2</v>
      </c>
      <c r="H454" s="5">
        <v>5.0099999999999999E-2</v>
      </c>
      <c r="I454" s="5">
        <v>4.8599999999999997E-2</v>
      </c>
      <c r="J454" s="5">
        <v>3.3599999999999998E-2</v>
      </c>
      <c r="K454" s="5">
        <v>5.62E-2</v>
      </c>
      <c r="L454" s="5">
        <v>2.7400000000000001E-2</v>
      </c>
      <c r="M454" s="5">
        <v>2.8000000000000001E-2</v>
      </c>
      <c r="N454" s="5">
        <v>9.4000000000000004E-3</v>
      </c>
      <c r="O454" s="5">
        <v>1.21E-2</v>
      </c>
    </row>
    <row r="455" spans="1:15">
      <c r="A455" t="str">
        <f t="shared" si="6"/>
        <v>GSCU12NCP RP ONPK</v>
      </c>
      <c r="B455" t="s">
        <v>640</v>
      </c>
      <c r="C455" t="s">
        <v>160</v>
      </c>
      <c r="D455" s="5">
        <v>1.35E-2</v>
      </c>
      <c r="E455" s="5">
        <v>8.5000000000000006E-3</v>
      </c>
      <c r="F455" s="5">
        <v>1.34E-2</v>
      </c>
      <c r="G455" s="5">
        <v>1.5800000000000002E-2</v>
      </c>
      <c r="H455" s="5">
        <v>4.7300000000000002E-2</v>
      </c>
      <c r="I455" s="5">
        <v>4.4600000000000001E-2</v>
      </c>
      <c r="J455" s="5">
        <v>2.4199999999999999E-2</v>
      </c>
      <c r="K455" s="5">
        <v>2.3699999999999999E-2</v>
      </c>
      <c r="L455" s="5">
        <v>2.06E-2</v>
      </c>
      <c r="M455" s="5">
        <v>2.4799999999999999E-2</v>
      </c>
      <c r="N455" s="5">
        <v>6.7000000000000002E-3</v>
      </c>
      <c r="O455" s="5">
        <v>3.7000000000000002E-3</v>
      </c>
    </row>
    <row r="456" spans="1:15">
      <c r="A456" t="str">
        <f t="shared" si="6"/>
        <v>GSCU12NCP RP OFFPK</v>
      </c>
      <c r="B456" t="s">
        <v>640</v>
      </c>
      <c r="C456" t="s">
        <v>161</v>
      </c>
      <c r="D456" s="5">
        <v>1.38E-2</v>
      </c>
      <c r="E456" s="5">
        <v>2.52E-2</v>
      </c>
      <c r="F456" s="5">
        <v>4.9700000000000001E-2</v>
      </c>
      <c r="G456" s="5">
        <v>4.4400000000000002E-2</v>
      </c>
      <c r="H456" s="5">
        <v>5.0599999999999999E-2</v>
      </c>
      <c r="I456" s="5">
        <v>3.85E-2</v>
      </c>
      <c r="J456" s="5">
        <v>3.2399999999999998E-2</v>
      </c>
      <c r="K456" s="5">
        <v>5.4899999999999997E-2</v>
      </c>
      <c r="L456" s="5">
        <v>2.24E-2</v>
      </c>
      <c r="M456" s="5">
        <v>1.6500000000000001E-2</v>
      </c>
      <c r="N456" s="5">
        <v>9.2999999999999992E-3</v>
      </c>
      <c r="O456" s="5">
        <v>1.2E-2</v>
      </c>
    </row>
    <row r="457" spans="1:15">
      <c r="A457" t="str">
        <f t="shared" si="6"/>
        <v>GSCU12GCP RP</v>
      </c>
      <c r="B457" t="s">
        <v>640</v>
      </c>
      <c r="C457" t="s">
        <v>162</v>
      </c>
      <c r="D457" s="5">
        <v>1.0800000000000001E-2</v>
      </c>
      <c r="E457" s="5">
        <v>2.4400000000000002E-2</v>
      </c>
      <c r="F457" s="5">
        <v>4.9799999999999997E-2</v>
      </c>
      <c r="G457" s="5">
        <v>4.3999999999999997E-2</v>
      </c>
      <c r="H457" s="5">
        <v>4.87E-2</v>
      </c>
      <c r="I457" s="5">
        <v>3.0300000000000001E-2</v>
      </c>
      <c r="J457" s="5">
        <v>1.9199999999999998E-2</v>
      </c>
      <c r="K457" s="5">
        <v>5.3400000000000003E-2</v>
      </c>
      <c r="L457" s="5">
        <v>1.5900000000000001E-2</v>
      </c>
      <c r="M457" s="5">
        <v>6.8999999999999999E-3</v>
      </c>
      <c r="N457" s="5">
        <v>7.3000000000000001E-3</v>
      </c>
      <c r="O457" s="5">
        <v>1.01E-2</v>
      </c>
    </row>
    <row r="458" spans="1:15">
      <c r="A458" t="str">
        <f t="shared" si="6"/>
        <v>GSCU12GCP RP ONPK</v>
      </c>
      <c r="B458" t="s">
        <v>640</v>
      </c>
      <c r="C458" t="s">
        <v>163</v>
      </c>
      <c r="D458" s="5">
        <v>1.0800000000000001E-2</v>
      </c>
      <c r="E458" s="5">
        <v>3.0000000000000001E-3</v>
      </c>
      <c r="F458" s="5">
        <v>8.8999999999999999E-3</v>
      </c>
      <c r="G458" s="5">
        <v>8.3999999999999995E-3</v>
      </c>
      <c r="H458" s="5">
        <v>4.87E-2</v>
      </c>
      <c r="I458" s="5">
        <v>3.0300000000000001E-2</v>
      </c>
      <c r="J458" s="5">
        <v>1.9199999999999998E-2</v>
      </c>
      <c r="K458" s="5">
        <v>1.72E-2</v>
      </c>
      <c r="L458" s="5">
        <v>1.7899999999999999E-2</v>
      </c>
      <c r="M458" s="5">
        <v>6.8999999999999999E-3</v>
      </c>
      <c r="N458" s="5">
        <v>6.1000000000000004E-3</v>
      </c>
      <c r="O458" s="5">
        <v>1E-3</v>
      </c>
    </row>
    <row r="459" spans="1:15">
      <c r="A459" t="str">
        <f t="shared" si="6"/>
        <v>GSCU12GCP RP OFFPK</v>
      </c>
      <c r="B459" t="s">
        <v>640</v>
      </c>
      <c r="C459" t="s">
        <v>164</v>
      </c>
      <c r="D459" s="5">
        <v>9.7999999999999997E-3</v>
      </c>
      <c r="E459" s="5">
        <v>2.4400000000000002E-2</v>
      </c>
      <c r="F459" s="5">
        <v>4.9799999999999997E-2</v>
      </c>
      <c r="G459" s="5">
        <v>4.3999999999999997E-2</v>
      </c>
      <c r="H459" s="5">
        <v>4.8399999999999999E-2</v>
      </c>
      <c r="I459" s="5">
        <v>2.4799999999999999E-2</v>
      </c>
      <c r="J459" s="5">
        <v>9.9000000000000008E-3</v>
      </c>
      <c r="K459" s="5">
        <v>5.3400000000000003E-2</v>
      </c>
      <c r="L459" s="5">
        <v>1.5900000000000001E-2</v>
      </c>
      <c r="M459" s="5">
        <v>1.5800000000000002E-2</v>
      </c>
      <c r="N459" s="5">
        <v>7.3000000000000001E-3</v>
      </c>
      <c r="O459" s="5">
        <v>1.01E-2</v>
      </c>
    </row>
    <row r="460" spans="1:15">
      <c r="A460" t="str">
        <f t="shared" si="6"/>
        <v>GSCU12CP RP</v>
      </c>
      <c r="B460" t="s">
        <v>640</v>
      </c>
      <c r="C460" t="s">
        <v>165</v>
      </c>
      <c r="D460" s="5">
        <v>2.2000000000000001E-3</v>
      </c>
      <c r="E460" s="5">
        <v>4.1000000000000003E-3</v>
      </c>
      <c r="F460" s="5">
        <v>9.7999999999999997E-3</v>
      </c>
      <c r="G460" s="5">
        <v>2.5000000000000001E-3</v>
      </c>
      <c r="H460" s="5">
        <v>2.5000000000000001E-3</v>
      </c>
      <c r="I460" s="5">
        <v>2.3999999999999998E-3</v>
      </c>
      <c r="J460" s="5">
        <v>4.3E-3</v>
      </c>
      <c r="K460" s="5">
        <v>5.7000000000000002E-3</v>
      </c>
      <c r="L460" s="5">
        <v>6.4000000000000003E-3</v>
      </c>
      <c r="M460" s="5">
        <v>5.1999999999999998E-3</v>
      </c>
      <c r="N460" s="5">
        <v>2.3999999999999998E-3</v>
      </c>
      <c r="O460" s="5">
        <v>1.2999999999999999E-3</v>
      </c>
    </row>
    <row r="461" spans="1:15">
      <c r="A461" t="str">
        <f t="shared" si="6"/>
        <v>GSCU12SAMPLE SIZE:</v>
      </c>
      <c r="B461" t="s">
        <v>640</v>
      </c>
      <c r="C461" t="s">
        <v>66</v>
      </c>
    </row>
    <row r="462" spans="1:15">
      <c r="A462" t="str">
        <f t="shared" si="6"/>
        <v>GSCU12GCPSZ</v>
      </c>
      <c r="B462" t="s">
        <v>640</v>
      </c>
      <c r="C462" t="s">
        <v>166</v>
      </c>
      <c r="D462">
        <v>57</v>
      </c>
      <c r="E462">
        <v>57</v>
      </c>
      <c r="F462">
        <v>58</v>
      </c>
      <c r="G462">
        <v>56</v>
      </c>
      <c r="H462">
        <v>57</v>
      </c>
      <c r="I462">
        <v>57</v>
      </c>
      <c r="J462">
        <v>59</v>
      </c>
      <c r="K462">
        <v>59</v>
      </c>
      <c r="L462">
        <v>54</v>
      </c>
      <c r="M462">
        <v>53</v>
      </c>
      <c r="N462">
        <v>55</v>
      </c>
      <c r="O462">
        <v>60</v>
      </c>
    </row>
    <row r="463" spans="1:15">
      <c r="A463" t="str">
        <f t="shared" si="6"/>
        <v>GSCU12GCPSZ ONPK</v>
      </c>
      <c r="B463" t="s">
        <v>640</v>
      </c>
      <c r="C463" t="s">
        <v>167</v>
      </c>
      <c r="D463">
        <v>57</v>
      </c>
      <c r="E463">
        <v>57</v>
      </c>
      <c r="F463">
        <v>58</v>
      </c>
      <c r="G463">
        <v>56</v>
      </c>
      <c r="H463">
        <v>57</v>
      </c>
      <c r="I463">
        <v>57</v>
      </c>
      <c r="J463">
        <v>59</v>
      </c>
      <c r="K463">
        <v>59</v>
      </c>
      <c r="L463">
        <v>54</v>
      </c>
      <c r="M463">
        <v>53</v>
      </c>
      <c r="N463">
        <v>55</v>
      </c>
      <c r="O463">
        <v>60</v>
      </c>
    </row>
    <row r="464" spans="1:15">
      <c r="A464" t="str">
        <f t="shared" si="6"/>
        <v>GSCU12GCPSZ OFFPK</v>
      </c>
      <c r="B464" t="s">
        <v>640</v>
      </c>
      <c r="C464" t="s">
        <v>168</v>
      </c>
      <c r="D464">
        <v>57</v>
      </c>
      <c r="E464">
        <v>57</v>
      </c>
      <c r="F464">
        <v>58</v>
      </c>
      <c r="G464">
        <v>56</v>
      </c>
      <c r="H464">
        <v>57</v>
      </c>
      <c r="I464">
        <v>57</v>
      </c>
      <c r="J464">
        <v>59</v>
      </c>
      <c r="K464">
        <v>59</v>
      </c>
      <c r="L464">
        <v>54</v>
      </c>
      <c r="M464">
        <v>53</v>
      </c>
      <c r="N464">
        <v>55</v>
      </c>
      <c r="O464">
        <v>60</v>
      </c>
    </row>
    <row r="465" spans="1:16">
      <c r="A465" t="str">
        <f t="shared" si="6"/>
        <v>GSCU12CPSZ</v>
      </c>
      <c r="B465" t="s">
        <v>640</v>
      </c>
      <c r="C465" t="s">
        <v>169</v>
      </c>
      <c r="D465">
        <v>57</v>
      </c>
      <c r="E465">
        <v>57</v>
      </c>
      <c r="F465">
        <v>58</v>
      </c>
      <c r="G465">
        <v>56</v>
      </c>
      <c r="H465">
        <v>57</v>
      </c>
      <c r="I465">
        <v>57</v>
      </c>
      <c r="J465">
        <v>59</v>
      </c>
      <c r="K465">
        <v>59</v>
      </c>
      <c r="L465">
        <v>54</v>
      </c>
      <c r="M465">
        <v>53</v>
      </c>
      <c r="N465">
        <v>55</v>
      </c>
      <c r="O465">
        <v>60</v>
      </c>
    </row>
    <row r="466" spans="1:16">
      <c r="A466" t="str">
        <f t="shared" si="6"/>
        <v/>
      </c>
    </row>
    <row r="467" spans="1:16">
      <c r="A467" t="str">
        <f t="shared" si="6"/>
        <v>NOTE:  In June 2013, approximately 6,000 customers were added to GSCU.  In September 2013, customers were removed from rate 168 as Comcast had a name change and they have not been put back in.  In July 2014 a cancel/replace was issued for 12,876 accounts to change their rate code back to rate 168 from December 2013 forward.</v>
      </c>
      <c r="B467" s="616" t="s">
        <v>819</v>
      </c>
      <c r="C467" s="616"/>
      <c r="D467" s="616"/>
      <c r="E467" s="616"/>
      <c r="F467" s="616"/>
      <c r="G467" s="616"/>
      <c r="H467" s="616"/>
      <c r="I467" s="616"/>
      <c r="J467" s="616"/>
      <c r="K467" s="616"/>
      <c r="L467" s="616"/>
      <c r="M467" s="616"/>
      <c r="N467" s="616"/>
      <c r="O467" s="616"/>
      <c r="P467" s="616"/>
    </row>
    <row r="468" spans="1:16">
      <c r="A468" t="str">
        <f t="shared" si="6"/>
        <v xml:space="preserve">GSCU12 GSCU-1 General Service Constant Usage (0-20 kW) (Sampled) </v>
      </c>
      <c r="B468" t="s">
        <v>639</v>
      </c>
      <c r="C468" t="s">
        <v>297</v>
      </c>
    </row>
    <row r="469" spans="1:16">
      <c r="A469" t="str">
        <f t="shared" si="6"/>
        <v xml:space="preserve">GSCU12MONTH </v>
      </c>
      <c r="B469" t="s">
        <v>640</v>
      </c>
      <c r="C469" t="s">
        <v>123</v>
      </c>
      <c r="D469" s="4">
        <v>41275</v>
      </c>
      <c r="E469" s="4">
        <v>41306</v>
      </c>
      <c r="F469" s="4">
        <v>41334</v>
      </c>
      <c r="G469" s="4">
        <v>41365</v>
      </c>
      <c r="H469" s="4">
        <v>41395</v>
      </c>
      <c r="I469" s="4">
        <v>41426</v>
      </c>
      <c r="J469" s="4">
        <v>41456</v>
      </c>
      <c r="K469" s="4">
        <v>41487</v>
      </c>
      <c r="L469" s="4">
        <v>41518</v>
      </c>
      <c r="M469" s="4">
        <v>41548</v>
      </c>
      <c r="N469" s="4">
        <v>41579</v>
      </c>
      <c r="O469" s="4">
        <v>41609</v>
      </c>
    </row>
    <row r="470" spans="1:16">
      <c r="A470" t="str">
        <f t="shared" si="6"/>
        <v/>
      </c>
    </row>
    <row r="471" spans="1:16">
      <c r="A471" t="str">
        <f t="shared" si="6"/>
        <v>GSCU12SDR GCP</v>
      </c>
      <c r="B471" t="s">
        <v>640</v>
      </c>
      <c r="C471" t="s">
        <v>171</v>
      </c>
      <c r="D471">
        <v>3.4000000000000002E-2</v>
      </c>
      <c r="E471">
        <v>0.08</v>
      </c>
      <c r="F471">
        <v>0.14599999999999999</v>
      </c>
      <c r="G471">
        <v>0.13800000000000001</v>
      </c>
      <c r="H471">
        <v>0.157</v>
      </c>
      <c r="I471">
        <v>6.4000000000000001E-2</v>
      </c>
      <c r="J471">
        <v>4.5999999999999999E-2</v>
      </c>
      <c r="K471">
        <v>0.13200000000000001</v>
      </c>
      <c r="L471">
        <v>0.04</v>
      </c>
      <c r="M471">
        <v>2.4E-2</v>
      </c>
      <c r="N471">
        <v>4.8000000000000001E-2</v>
      </c>
      <c r="O471">
        <v>7.0000000000000007E-2</v>
      </c>
    </row>
    <row r="472" spans="1:16">
      <c r="A472" t="str">
        <f t="shared" si="6"/>
        <v>GSCU12SDR GCP ONPK</v>
      </c>
      <c r="B472" t="s">
        <v>640</v>
      </c>
      <c r="C472" t="s">
        <v>172</v>
      </c>
      <c r="D472">
        <v>3.4000000000000002E-2</v>
      </c>
      <c r="E472">
        <v>0.01</v>
      </c>
      <c r="F472">
        <v>2.7E-2</v>
      </c>
      <c r="G472">
        <v>2.5999999999999999E-2</v>
      </c>
      <c r="H472">
        <v>0.157</v>
      </c>
      <c r="I472">
        <v>6.4000000000000001E-2</v>
      </c>
      <c r="J472">
        <v>4.5999999999999999E-2</v>
      </c>
      <c r="K472">
        <v>4.2000000000000003E-2</v>
      </c>
      <c r="L472">
        <v>4.3999999999999997E-2</v>
      </c>
      <c r="M472">
        <v>2.4E-2</v>
      </c>
      <c r="N472">
        <v>0.04</v>
      </c>
      <c r="O472">
        <v>6.0000000000000001E-3</v>
      </c>
    </row>
    <row r="473" spans="1:16">
      <c r="A473" t="str">
        <f t="shared" si="6"/>
        <v>GSCU12SDR GCP OFFP</v>
      </c>
      <c r="B473" t="s">
        <v>640</v>
      </c>
      <c r="C473" t="s">
        <v>219</v>
      </c>
      <c r="D473">
        <v>3.1E-2</v>
      </c>
      <c r="E473">
        <v>0.08</v>
      </c>
      <c r="F473">
        <v>0.14599999999999999</v>
      </c>
      <c r="G473">
        <v>0.13800000000000001</v>
      </c>
      <c r="H473">
        <v>0.156</v>
      </c>
      <c r="I473">
        <v>5.1999999999999998E-2</v>
      </c>
      <c r="J473">
        <v>2.4E-2</v>
      </c>
      <c r="K473">
        <v>0.13200000000000001</v>
      </c>
      <c r="L473">
        <v>0.04</v>
      </c>
      <c r="M473">
        <v>6.0999999999999999E-2</v>
      </c>
      <c r="N473">
        <v>4.8000000000000001E-2</v>
      </c>
      <c r="O473">
        <v>7.0000000000000007E-2</v>
      </c>
    </row>
    <row r="474" spans="1:16">
      <c r="A474" t="str">
        <f t="shared" si="6"/>
        <v>GSCU12SDR CP</v>
      </c>
      <c r="B474" t="s">
        <v>640</v>
      </c>
      <c r="C474" t="s">
        <v>174</v>
      </c>
      <c r="D474">
        <v>7.0000000000000001E-3</v>
      </c>
      <c r="E474">
        <v>1.4E-2</v>
      </c>
      <c r="F474">
        <v>0.03</v>
      </c>
      <c r="G474">
        <v>8.0000000000000002E-3</v>
      </c>
      <c r="H474">
        <v>8.0000000000000002E-3</v>
      </c>
      <c r="I474">
        <v>5.0000000000000001E-3</v>
      </c>
      <c r="J474">
        <v>0.01</v>
      </c>
      <c r="K474">
        <v>1.4E-2</v>
      </c>
      <c r="L474">
        <v>1.6E-2</v>
      </c>
      <c r="M474">
        <v>1.9E-2</v>
      </c>
      <c r="N474">
        <v>1.4999999999999999E-2</v>
      </c>
      <c r="O474">
        <v>8.0000000000000002E-3</v>
      </c>
    </row>
    <row r="475" spans="1:16">
      <c r="A475" t="str">
        <f t="shared" si="6"/>
        <v/>
      </c>
    </row>
    <row r="476" spans="1:16">
      <c r="A476" t="str">
        <f t="shared" si="6"/>
        <v>GSCU12I   SDR GCP</v>
      </c>
      <c r="B476" t="s">
        <v>640</v>
      </c>
      <c r="C476" t="s">
        <v>220</v>
      </c>
      <c r="D476">
        <v>7.0000000000000001E-3</v>
      </c>
      <c r="E476">
        <v>1.2999999999999999E-2</v>
      </c>
      <c r="F476">
        <v>2.3E-2</v>
      </c>
      <c r="G476">
        <v>1.7999999999999999E-2</v>
      </c>
      <c r="H476">
        <v>0.193</v>
      </c>
      <c r="I476">
        <v>8.9999999999999993E-3</v>
      </c>
      <c r="J476">
        <v>5.6000000000000001E-2</v>
      </c>
      <c r="K476">
        <v>1.7999999999999999E-2</v>
      </c>
      <c r="L476">
        <v>4.5999999999999999E-2</v>
      </c>
      <c r="M476">
        <v>1.7999999999999999E-2</v>
      </c>
      <c r="N476">
        <v>1.0999999999999999E-2</v>
      </c>
      <c r="O476">
        <v>0.01</v>
      </c>
    </row>
    <row r="477" spans="1:16">
      <c r="A477" t="str">
        <f t="shared" si="6"/>
        <v>GSCU12I   SDR GCP ONPK</v>
      </c>
      <c r="B477" t="s">
        <v>640</v>
      </c>
      <c r="C477" t="s">
        <v>221</v>
      </c>
      <c r="D477">
        <v>7.0000000000000001E-3</v>
      </c>
      <c r="E477">
        <v>7.0000000000000001E-3</v>
      </c>
      <c r="F477">
        <v>0.01</v>
      </c>
      <c r="G477">
        <v>6.0000000000000001E-3</v>
      </c>
      <c r="H477">
        <v>0.193</v>
      </c>
      <c r="I477">
        <v>8.9999999999999993E-3</v>
      </c>
      <c r="J477">
        <v>5.6000000000000001E-2</v>
      </c>
      <c r="K477">
        <v>7.0000000000000001E-3</v>
      </c>
      <c r="L477">
        <v>1.0999999999999999E-2</v>
      </c>
      <c r="M477">
        <v>1.7999999999999999E-2</v>
      </c>
      <c r="N477">
        <v>1.0999999999999999E-2</v>
      </c>
      <c r="O477">
        <v>6.0000000000000001E-3</v>
      </c>
    </row>
    <row r="478" spans="1:16">
      <c r="A478" t="str">
        <f t="shared" si="6"/>
        <v>GSCU12I   SDR GCP OFFPK</v>
      </c>
      <c r="B478" t="s">
        <v>640</v>
      </c>
      <c r="C478" t="s">
        <v>222</v>
      </c>
      <c r="D478">
        <v>8.0000000000000002E-3</v>
      </c>
      <c r="E478">
        <v>1.2999999999999999E-2</v>
      </c>
      <c r="F478">
        <v>2.3E-2</v>
      </c>
      <c r="G478">
        <v>1.7999999999999999E-2</v>
      </c>
      <c r="H478">
        <v>0.192</v>
      </c>
      <c r="I478">
        <v>1.0999999999999999E-2</v>
      </c>
      <c r="J478">
        <v>2.8000000000000001E-2</v>
      </c>
      <c r="K478">
        <v>1.7999999999999999E-2</v>
      </c>
      <c r="L478">
        <v>4.5999999999999999E-2</v>
      </c>
      <c r="M478">
        <v>1.2999999999999999E-2</v>
      </c>
      <c r="N478">
        <v>1.0999999999999999E-2</v>
      </c>
      <c r="O478">
        <v>0.01</v>
      </c>
    </row>
    <row r="479" spans="1:16">
      <c r="A479" t="str">
        <f t="shared" si="6"/>
        <v>GSCU12I   SDR CP</v>
      </c>
      <c r="B479" t="s">
        <v>640</v>
      </c>
      <c r="C479" t="s">
        <v>638</v>
      </c>
      <c r="D479">
        <v>3.0000000000000001E-3</v>
      </c>
      <c r="E479">
        <v>7.0000000000000001E-3</v>
      </c>
      <c r="F479">
        <v>1.9E-2</v>
      </c>
      <c r="G479">
        <v>7.0000000000000001E-3</v>
      </c>
      <c r="H479">
        <v>7.0000000000000001E-3</v>
      </c>
      <c r="I479">
        <v>5.0000000000000001E-3</v>
      </c>
      <c r="J479">
        <v>1.0999999999999999E-2</v>
      </c>
      <c r="K479">
        <v>5.0000000000000001E-3</v>
      </c>
      <c r="L479">
        <v>8.0000000000000002E-3</v>
      </c>
      <c r="M479">
        <v>6.0000000000000001E-3</v>
      </c>
      <c r="N479">
        <v>8.9999999999999993E-3</v>
      </c>
      <c r="O479">
        <v>7.0000000000000001E-3</v>
      </c>
    </row>
    <row r="480" spans="1:16">
      <c r="A480" t="str">
        <f t="shared" si="6"/>
        <v/>
      </c>
    </row>
    <row r="481" spans="1:15">
      <c r="A481" t="str">
        <f t="shared" si="6"/>
        <v>GSCU12II  SDR GCP</v>
      </c>
      <c r="B481" t="s">
        <v>640</v>
      </c>
      <c r="C481" t="s">
        <v>223</v>
      </c>
      <c r="D481">
        <v>0.17399999999999999</v>
      </c>
      <c r="E481">
        <v>0.40799999999999997</v>
      </c>
      <c r="F481">
        <v>0.747</v>
      </c>
      <c r="G481">
        <v>0.70599999999999996</v>
      </c>
      <c r="H481">
        <v>8.2000000000000003E-2</v>
      </c>
      <c r="I481">
        <v>0.32600000000000001</v>
      </c>
      <c r="J481">
        <v>4.2000000000000003E-2</v>
      </c>
      <c r="K481">
        <v>0.67400000000000004</v>
      </c>
      <c r="L481">
        <v>7.1999999999999995E-2</v>
      </c>
      <c r="M481">
        <v>9.9000000000000005E-2</v>
      </c>
      <c r="N481">
        <v>0.24399999999999999</v>
      </c>
      <c r="O481">
        <v>0.35899999999999999</v>
      </c>
    </row>
    <row r="482" spans="1:15">
      <c r="A482" t="str">
        <f t="shared" si="6"/>
        <v>GSCU12II  SDR GCP ONPK</v>
      </c>
      <c r="B482" t="s">
        <v>640</v>
      </c>
      <c r="C482" t="s">
        <v>224</v>
      </c>
      <c r="D482">
        <v>0.17399999999999999</v>
      </c>
      <c r="E482">
        <v>4.2999999999999997E-2</v>
      </c>
      <c r="F482">
        <v>0.13300000000000001</v>
      </c>
      <c r="G482">
        <v>0.13200000000000001</v>
      </c>
      <c r="H482">
        <v>8.2000000000000003E-2</v>
      </c>
      <c r="I482">
        <v>0.32600000000000001</v>
      </c>
      <c r="J482">
        <v>4.2000000000000003E-2</v>
      </c>
      <c r="K482">
        <v>0.21299999999999999</v>
      </c>
      <c r="L482">
        <v>0.219</v>
      </c>
      <c r="M482">
        <v>9.9000000000000005E-2</v>
      </c>
      <c r="N482">
        <v>0.20300000000000001</v>
      </c>
      <c r="O482">
        <v>2.1000000000000001E-2</v>
      </c>
    </row>
    <row r="483" spans="1:15">
      <c r="A483" t="str">
        <f t="shared" si="6"/>
        <v>GSCU12II  SDR GCP OFFPK</v>
      </c>
      <c r="B483" t="s">
        <v>640</v>
      </c>
      <c r="C483" t="s">
        <v>225</v>
      </c>
      <c r="D483">
        <v>0.155</v>
      </c>
      <c r="E483">
        <v>0.40799999999999997</v>
      </c>
      <c r="F483">
        <v>0.747</v>
      </c>
      <c r="G483">
        <v>0.70599999999999996</v>
      </c>
      <c r="H483">
        <v>8.5000000000000006E-2</v>
      </c>
      <c r="I483">
        <v>0.26400000000000001</v>
      </c>
      <c r="J483">
        <v>4.1000000000000002E-2</v>
      </c>
      <c r="K483">
        <v>0.67400000000000004</v>
      </c>
      <c r="L483">
        <v>7.1999999999999995E-2</v>
      </c>
      <c r="M483">
        <v>0.308</v>
      </c>
      <c r="N483">
        <v>0.24399999999999999</v>
      </c>
      <c r="O483">
        <v>0.35899999999999999</v>
      </c>
    </row>
    <row r="484" spans="1:15">
      <c r="A484" t="str">
        <f t="shared" si="6"/>
        <v>GSCU12II  SDR CP</v>
      </c>
      <c r="B484" t="s">
        <v>640</v>
      </c>
      <c r="C484" t="s">
        <v>226</v>
      </c>
      <c r="D484">
        <v>3.2000000000000001E-2</v>
      </c>
      <c r="E484">
        <v>6.7000000000000004E-2</v>
      </c>
      <c r="F484">
        <v>0.13300000000000001</v>
      </c>
      <c r="G484">
        <v>2.7E-2</v>
      </c>
      <c r="H484">
        <v>2.9000000000000001E-2</v>
      </c>
      <c r="I484">
        <v>1.6E-2</v>
      </c>
      <c r="J484">
        <v>2.7E-2</v>
      </c>
      <c r="K484">
        <v>6.9000000000000006E-2</v>
      </c>
      <c r="L484">
        <v>7.2999999999999995E-2</v>
      </c>
      <c r="M484">
        <v>9.7000000000000003E-2</v>
      </c>
      <c r="N484">
        <v>6.7000000000000004E-2</v>
      </c>
      <c r="O484">
        <v>3.4000000000000002E-2</v>
      </c>
    </row>
    <row r="485" spans="1:15">
      <c r="A485" t="str">
        <f t="shared" si="6"/>
        <v/>
      </c>
    </row>
    <row r="486" spans="1:15">
      <c r="A486" t="str">
        <f t="shared" si="6"/>
        <v/>
      </c>
    </row>
    <row r="487" spans="1:15">
      <c r="A487" t="str">
        <f t="shared" si="6"/>
        <v xml:space="preserve">TGSD1 Total GSD(T)-1 General Service Demand including TOU (21-499 kW) </v>
      </c>
      <c r="B487" t="s">
        <v>992</v>
      </c>
      <c r="C487" t="s">
        <v>993</v>
      </c>
    </row>
    <row r="488" spans="1:15">
      <c r="A488" t="str">
        <f t="shared" si="6"/>
        <v xml:space="preserve">TGSD1MONTH </v>
      </c>
      <c r="B488" t="s">
        <v>994</v>
      </c>
      <c r="C488" t="s">
        <v>123</v>
      </c>
      <c r="D488" s="4">
        <v>41275</v>
      </c>
      <c r="E488" s="4">
        <v>41306</v>
      </c>
      <c r="F488" s="4">
        <v>41334</v>
      </c>
      <c r="G488" s="4">
        <v>41365</v>
      </c>
      <c r="H488" s="4">
        <v>41395</v>
      </c>
      <c r="I488" s="4">
        <v>41426</v>
      </c>
      <c r="J488" s="4">
        <v>41456</v>
      </c>
      <c r="K488" s="4">
        <v>41487</v>
      </c>
      <c r="L488" s="4">
        <v>41518</v>
      </c>
      <c r="M488" s="4">
        <v>41548</v>
      </c>
      <c r="N488" s="4">
        <v>41579</v>
      </c>
      <c r="O488" s="4">
        <v>41609</v>
      </c>
    </row>
    <row r="489" spans="1:15">
      <c r="A489" t="str">
        <f t="shared" si="6"/>
        <v xml:space="preserve">TGSD1CUSTOMERS </v>
      </c>
      <c r="B489" t="s">
        <v>994</v>
      </c>
      <c r="C489" t="s">
        <v>124</v>
      </c>
      <c r="D489">
        <v>100362</v>
      </c>
      <c r="E489">
        <v>100058</v>
      </c>
      <c r="F489">
        <v>100305</v>
      </c>
      <c r="G489">
        <v>100439</v>
      </c>
      <c r="H489">
        <v>100598</v>
      </c>
      <c r="I489">
        <v>100683</v>
      </c>
      <c r="J489">
        <v>100787</v>
      </c>
      <c r="K489">
        <v>100850</v>
      </c>
      <c r="L489">
        <v>100688</v>
      </c>
      <c r="M489">
        <v>100535</v>
      </c>
      <c r="N489">
        <v>100424</v>
      </c>
      <c r="O489">
        <v>100425</v>
      </c>
    </row>
    <row r="490" spans="1:15">
      <c r="A490" t="str">
        <f t="shared" si="6"/>
        <v xml:space="preserve">TGSD1SALES </v>
      </c>
      <c r="B490" t="s">
        <v>994</v>
      </c>
      <c r="C490" t="s">
        <v>125</v>
      </c>
      <c r="D490">
        <v>1921493018</v>
      </c>
      <c r="E490">
        <v>1818007568</v>
      </c>
      <c r="F490">
        <v>1732121566</v>
      </c>
      <c r="G490">
        <v>1909082469</v>
      </c>
      <c r="H490">
        <v>2108462743</v>
      </c>
      <c r="I490">
        <v>2152883104</v>
      </c>
      <c r="J490">
        <v>2223672874</v>
      </c>
      <c r="K490">
        <v>2332092198</v>
      </c>
      <c r="L490">
        <v>2394203663</v>
      </c>
      <c r="M490">
        <v>2153228329</v>
      </c>
      <c r="N490">
        <v>2041832009</v>
      </c>
      <c r="O490">
        <v>2028669838</v>
      </c>
    </row>
    <row r="491" spans="1:15">
      <c r="A491" t="str">
        <f t="shared" si="6"/>
        <v>TGSD1KW</v>
      </c>
      <c r="B491" t="s">
        <v>994</v>
      </c>
      <c r="C491" t="s">
        <v>126</v>
      </c>
    </row>
    <row r="492" spans="1:15">
      <c r="A492" t="str">
        <f t="shared" si="6"/>
        <v>TGSD1N</v>
      </c>
      <c r="B492" t="s">
        <v>994</v>
      </c>
      <c r="C492" t="s">
        <v>127</v>
      </c>
      <c r="D492">
        <v>100362</v>
      </c>
      <c r="E492">
        <v>100058</v>
      </c>
      <c r="F492">
        <v>100305</v>
      </c>
      <c r="G492">
        <v>100440</v>
      </c>
      <c r="H492">
        <v>100598</v>
      </c>
      <c r="I492">
        <v>100682</v>
      </c>
      <c r="J492">
        <v>100786</v>
      </c>
      <c r="K492">
        <v>100850</v>
      </c>
      <c r="L492">
        <v>100687</v>
      </c>
      <c r="M492">
        <v>100536</v>
      </c>
      <c r="N492">
        <v>100423</v>
      </c>
      <c r="O492">
        <v>100425</v>
      </c>
    </row>
    <row r="493" spans="1:15">
      <c r="A493" t="str">
        <f t="shared" si="6"/>
        <v>TGSD1RLR ENERGY:</v>
      </c>
      <c r="B493" t="s">
        <v>994</v>
      </c>
      <c r="C493" t="s">
        <v>61</v>
      </c>
    </row>
    <row r="494" spans="1:15">
      <c r="A494" t="str">
        <f t="shared" si="6"/>
        <v>TGSD1KWH</v>
      </c>
      <c r="B494" t="s">
        <v>994</v>
      </c>
      <c r="C494" t="s">
        <v>128</v>
      </c>
      <c r="D494">
        <v>1954254475</v>
      </c>
      <c r="E494">
        <v>1850363668</v>
      </c>
      <c r="F494">
        <v>1747565407</v>
      </c>
      <c r="G494">
        <v>1930271326</v>
      </c>
      <c r="H494">
        <v>2131021662</v>
      </c>
      <c r="I494">
        <v>2174700544</v>
      </c>
      <c r="J494">
        <v>2247125544</v>
      </c>
      <c r="K494">
        <v>2356627770</v>
      </c>
      <c r="L494">
        <v>2394215780</v>
      </c>
      <c r="M494">
        <v>2153472963</v>
      </c>
      <c r="N494">
        <v>2042148688</v>
      </c>
      <c r="O494">
        <v>2028688093</v>
      </c>
    </row>
    <row r="495" spans="1:15">
      <c r="A495" t="str">
        <f t="shared" si="6"/>
        <v>TGSD1KWH ONPK</v>
      </c>
      <c r="B495" t="s">
        <v>994</v>
      </c>
      <c r="C495" t="s">
        <v>129</v>
      </c>
      <c r="D495">
        <v>679518385</v>
      </c>
      <c r="E495">
        <v>651418876</v>
      </c>
      <c r="F495">
        <v>524568440</v>
      </c>
      <c r="G495">
        <v>749307967</v>
      </c>
      <c r="H495">
        <v>805044190</v>
      </c>
      <c r="I495">
        <v>783725314</v>
      </c>
      <c r="J495">
        <v>844657624</v>
      </c>
      <c r="K495">
        <v>882501840</v>
      </c>
      <c r="L495">
        <v>740571327</v>
      </c>
      <c r="M495">
        <v>736997967</v>
      </c>
      <c r="N495">
        <v>493698236</v>
      </c>
      <c r="O495">
        <v>488867904</v>
      </c>
    </row>
    <row r="496" spans="1:15">
      <c r="A496" t="str">
        <f t="shared" si="6"/>
        <v>TGSD1KWH OFFPK</v>
      </c>
      <c r="B496" t="s">
        <v>994</v>
      </c>
      <c r="C496" t="s">
        <v>130</v>
      </c>
      <c r="D496">
        <v>1336583096</v>
      </c>
      <c r="E496">
        <v>1288334864</v>
      </c>
      <c r="F496">
        <v>1259266770</v>
      </c>
      <c r="G496">
        <v>1219673239</v>
      </c>
      <c r="H496">
        <v>1360871092</v>
      </c>
      <c r="I496">
        <v>1439825789</v>
      </c>
      <c r="J496">
        <v>1438632528</v>
      </c>
      <c r="K496">
        <v>1511948351</v>
      </c>
      <c r="L496">
        <v>1653644453</v>
      </c>
      <c r="M496">
        <v>1416474996</v>
      </c>
      <c r="N496">
        <v>1548450452</v>
      </c>
      <c r="O496">
        <v>1539820189</v>
      </c>
    </row>
    <row r="497" spans="1:15">
      <c r="A497" t="str">
        <f t="shared" si="6"/>
        <v>TGSD1KWH ONPK%</v>
      </c>
      <c r="B497" t="s">
        <v>994</v>
      </c>
      <c r="C497" t="s">
        <v>131</v>
      </c>
      <c r="D497" s="5">
        <v>0.34771000000000002</v>
      </c>
      <c r="E497" s="5">
        <v>0.35204999999999997</v>
      </c>
      <c r="F497" s="5">
        <v>0.30016999999999999</v>
      </c>
      <c r="G497" s="5">
        <v>0.38818999999999998</v>
      </c>
      <c r="H497" s="5">
        <v>0.37776999999999999</v>
      </c>
      <c r="I497" s="5">
        <v>0.36037999999999998</v>
      </c>
      <c r="J497" s="5">
        <v>0.37587999999999999</v>
      </c>
      <c r="K497" s="5">
        <v>0.37447999999999998</v>
      </c>
      <c r="L497" s="5">
        <v>0.30931999999999998</v>
      </c>
      <c r="M497" s="5">
        <v>0.34223999999999999</v>
      </c>
      <c r="N497" s="5">
        <v>0.24174999999999999</v>
      </c>
      <c r="O497" s="5">
        <v>0.24098</v>
      </c>
    </row>
    <row r="498" spans="1:15">
      <c r="A498" t="str">
        <f t="shared" si="6"/>
        <v>TGSD1KWH OFFPK%</v>
      </c>
      <c r="B498" t="s">
        <v>994</v>
      </c>
      <c r="C498" t="s">
        <v>132</v>
      </c>
      <c r="D498" s="5">
        <v>0.68393999999999999</v>
      </c>
      <c r="E498" s="5">
        <v>0.69625999999999999</v>
      </c>
      <c r="F498" s="5">
        <v>0.72058</v>
      </c>
      <c r="G498" s="5">
        <v>0.63187000000000004</v>
      </c>
      <c r="H498" s="5">
        <v>0.63859999999999995</v>
      </c>
      <c r="I498" s="5">
        <v>0.66208</v>
      </c>
      <c r="J498" s="5">
        <v>0.64020999999999995</v>
      </c>
      <c r="K498" s="5">
        <v>0.64156999999999997</v>
      </c>
      <c r="L498" s="5">
        <v>0.69067999999999996</v>
      </c>
      <c r="M498" s="5">
        <v>0.65776000000000001</v>
      </c>
      <c r="N498" s="5">
        <v>0.75824999999999998</v>
      </c>
      <c r="O498" s="5">
        <v>0.75902000000000003</v>
      </c>
    </row>
    <row r="499" spans="1:15">
      <c r="A499" t="str">
        <f t="shared" si="6"/>
        <v>TGSD1DEMAND (KW):</v>
      </c>
      <c r="B499" t="s">
        <v>994</v>
      </c>
      <c r="C499" t="s">
        <v>62</v>
      </c>
    </row>
    <row r="500" spans="1:15">
      <c r="A500" t="str">
        <f t="shared" si="6"/>
        <v>TGSD1NCP</v>
      </c>
      <c r="B500" t="s">
        <v>994</v>
      </c>
      <c r="C500" t="s">
        <v>133</v>
      </c>
      <c r="D500">
        <v>5075959</v>
      </c>
      <c r="E500">
        <v>5560669</v>
      </c>
      <c r="F500">
        <v>5040997</v>
      </c>
      <c r="G500">
        <v>5227747</v>
      </c>
      <c r="H500">
        <v>5571337</v>
      </c>
      <c r="I500">
        <v>5616268</v>
      </c>
      <c r="J500">
        <v>5486164</v>
      </c>
      <c r="K500">
        <v>5769811</v>
      </c>
      <c r="L500">
        <v>6302910</v>
      </c>
      <c r="M500">
        <v>5523735</v>
      </c>
      <c r="N500">
        <v>5582497</v>
      </c>
      <c r="O500">
        <v>5424970</v>
      </c>
    </row>
    <row r="501" spans="1:15">
      <c r="A501" t="str">
        <f t="shared" ref="A501:A564" si="7">B501&amp;C501</f>
        <v>TGSD1NCP ONPK</v>
      </c>
      <c r="B501" t="s">
        <v>994</v>
      </c>
      <c r="C501" t="s">
        <v>134</v>
      </c>
      <c r="D501">
        <v>4769510</v>
      </c>
      <c r="E501">
        <v>5182799</v>
      </c>
      <c r="F501">
        <v>4493076</v>
      </c>
      <c r="G501">
        <v>4978790</v>
      </c>
      <c r="H501">
        <v>5262781</v>
      </c>
      <c r="I501">
        <v>5403223</v>
      </c>
      <c r="J501">
        <v>5317378</v>
      </c>
      <c r="K501">
        <v>5527849</v>
      </c>
      <c r="L501">
        <v>5988471</v>
      </c>
      <c r="M501">
        <v>5349545</v>
      </c>
      <c r="N501">
        <v>5251355</v>
      </c>
      <c r="O501">
        <v>5043766</v>
      </c>
    </row>
    <row r="502" spans="1:15">
      <c r="A502" t="str">
        <f t="shared" si="7"/>
        <v>TGSD1NCP OFFPK</v>
      </c>
      <c r="B502" t="s">
        <v>994</v>
      </c>
      <c r="C502" t="s">
        <v>135</v>
      </c>
      <c r="D502">
        <v>4694903</v>
      </c>
      <c r="E502">
        <v>5273494</v>
      </c>
      <c r="F502">
        <v>4840321</v>
      </c>
      <c r="G502">
        <v>4990698</v>
      </c>
      <c r="H502">
        <v>5318403</v>
      </c>
      <c r="I502">
        <v>5404618</v>
      </c>
      <c r="J502">
        <v>5226833</v>
      </c>
      <c r="K502">
        <v>5515652</v>
      </c>
      <c r="L502">
        <v>6178851</v>
      </c>
      <c r="M502">
        <v>5373525</v>
      </c>
      <c r="N502">
        <v>5510963</v>
      </c>
      <c r="O502">
        <v>5374549</v>
      </c>
    </row>
    <row r="503" spans="1:15">
      <c r="A503" t="str">
        <f t="shared" si="7"/>
        <v>TGSD1GCP DATE</v>
      </c>
      <c r="B503" t="s">
        <v>994</v>
      </c>
      <c r="C503" t="s">
        <v>136</v>
      </c>
      <c r="D503" t="s">
        <v>755</v>
      </c>
      <c r="E503" t="s">
        <v>274</v>
      </c>
      <c r="F503" t="s">
        <v>757</v>
      </c>
      <c r="G503" t="s">
        <v>825</v>
      </c>
      <c r="H503" t="s">
        <v>820</v>
      </c>
      <c r="I503" t="s">
        <v>770</v>
      </c>
      <c r="J503" t="s">
        <v>821</v>
      </c>
      <c r="K503" t="s">
        <v>822</v>
      </c>
      <c r="L503" t="s">
        <v>823</v>
      </c>
      <c r="M503" t="s">
        <v>806</v>
      </c>
      <c r="N503" t="s">
        <v>824</v>
      </c>
      <c r="O503" t="s">
        <v>766</v>
      </c>
    </row>
    <row r="504" spans="1:15">
      <c r="A504" t="str">
        <f t="shared" si="7"/>
        <v>TGSD1GCP TIME</v>
      </c>
      <c r="B504" t="s">
        <v>994</v>
      </c>
      <c r="C504" t="s">
        <v>142</v>
      </c>
      <c r="D504" t="s">
        <v>143</v>
      </c>
      <c r="E504" t="s">
        <v>182</v>
      </c>
      <c r="F504" t="s">
        <v>144</v>
      </c>
      <c r="G504" t="s">
        <v>143</v>
      </c>
      <c r="H504" t="s">
        <v>144</v>
      </c>
      <c r="I504" t="s">
        <v>143</v>
      </c>
      <c r="J504" t="s">
        <v>144</v>
      </c>
      <c r="K504" t="s">
        <v>144</v>
      </c>
      <c r="L504" t="s">
        <v>143</v>
      </c>
      <c r="M504" t="s">
        <v>144</v>
      </c>
      <c r="N504" t="s">
        <v>182</v>
      </c>
      <c r="O504" t="s">
        <v>143</v>
      </c>
    </row>
    <row r="505" spans="1:15">
      <c r="A505" t="str">
        <f t="shared" si="7"/>
        <v>TGSD1GCP</v>
      </c>
      <c r="B505" t="s">
        <v>994</v>
      </c>
      <c r="C505" t="s">
        <v>147</v>
      </c>
      <c r="D505">
        <v>3718687</v>
      </c>
      <c r="E505">
        <v>4029480</v>
      </c>
      <c r="F505">
        <v>3443746</v>
      </c>
      <c r="G505">
        <v>3834841</v>
      </c>
      <c r="H505">
        <v>4056388</v>
      </c>
      <c r="I505">
        <v>4252129</v>
      </c>
      <c r="J505">
        <v>4222956</v>
      </c>
      <c r="K505">
        <v>4408520</v>
      </c>
      <c r="L505">
        <v>4754302</v>
      </c>
      <c r="M505">
        <v>4139363</v>
      </c>
      <c r="N505">
        <v>4138085</v>
      </c>
      <c r="O505">
        <v>3954194</v>
      </c>
    </row>
    <row r="506" spans="1:15">
      <c r="A506" t="str">
        <f t="shared" si="7"/>
        <v>TGSD1GCP ONPK</v>
      </c>
      <c r="B506" t="s">
        <v>994</v>
      </c>
      <c r="C506" t="s">
        <v>63</v>
      </c>
      <c r="D506">
        <v>3423828</v>
      </c>
      <c r="E506">
        <v>3774244</v>
      </c>
      <c r="F506">
        <v>3052541</v>
      </c>
      <c r="G506">
        <v>3834841</v>
      </c>
      <c r="H506">
        <v>4056388</v>
      </c>
      <c r="I506">
        <v>4252129</v>
      </c>
      <c r="J506">
        <v>4222956</v>
      </c>
      <c r="K506">
        <v>4408520</v>
      </c>
      <c r="L506">
        <v>4754302</v>
      </c>
      <c r="M506">
        <v>4139363</v>
      </c>
      <c r="N506">
        <v>3721819</v>
      </c>
      <c r="O506">
        <v>3656233</v>
      </c>
    </row>
    <row r="507" spans="1:15">
      <c r="A507" t="str">
        <f t="shared" si="7"/>
        <v>TGSD1GCP OFFPK</v>
      </c>
      <c r="B507" t="s">
        <v>994</v>
      </c>
      <c r="C507" t="s">
        <v>64</v>
      </c>
      <c r="D507">
        <v>3718687</v>
      </c>
      <c r="E507">
        <v>4029480</v>
      </c>
      <c r="F507">
        <v>3443746</v>
      </c>
      <c r="G507">
        <v>3804006</v>
      </c>
      <c r="H507">
        <v>3942592</v>
      </c>
      <c r="I507">
        <v>4168416</v>
      </c>
      <c r="J507">
        <v>4161646</v>
      </c>
      <c r="K507">
        <v>4282968</v>
      </c>
      <c r="L507">
        <v>4647948</v>
      </c>
      <c r="M507">
        <v>4073921</v>
      </c>
      <c r="N507">
        <v>4138085</v>
      </c>
      <c r="O507">
        <v>3954194</v>
      </c>
    </row>
    <row r="508" spans="1:15">
      <c r="A508" t="str">
        <f t="shared" si="7"/>
        <v>TGSD1CP</v>
      </c>
      <c r="B508" t="s">
        <v>994</v>
      </c>
      <c r="C508" t="s">
        <v>148</v>
      </c>
      <c r="D508">
        <v>3400470</v>
      </c>
      <c r="E508">
        <v>3835690</v>
      </c>
      <c r="F508">
        <v>2036681</v>
      </c>
      <c r="G508">
        <v>3585846</v>
      </c>
      <c r="H508">
        <v>3821051</v>
      </c>
      <c r="I508">
        <v>3997871</v>
      </c>
      <c r="J508">
        <v>4076255</v>
      </c>
      <c r="K508">
        <v>4126683</v>
      </c>
      <c r="L508">
        <v>4609471</v>
      </c>
      <c r="M508">
        <v>3784508</v>
      </c>
      <c r="N508">
        <v>3887127</v>
      </c>
      <c r="O508">
        <v>3608376</v>
      </c>
    </row>
    <row r="509" spans="1:15">
      <c r="A509" t="str">
        <f t="shared" si="7"/>
        <v>TGSD1PERIOD START</v>
      </c>
      <c r="B509" t="s">
        <v>994</v>
      </c>
      <c r="C509" t="s">
        <v>149</v>
      </c>
      <c r="D509" s="1">
        <v>41275</v>
      </c>
      <c r="E509" s="1">
        <v>41306</v>
      </c>
      <c r="F509" s="1">
        <v>41334</v>
      </c>
      <c r="G509" s="1">
        <v>41365</v>
      </c>
      <c r="H509" s="1">
        <v>41395</v>
      </c>
      <c r="I509" s="1">
        <v>41426</v>
      </c>
      <c r="J509" s="1">
        <v>41456</v>
      </c>
      <c r="K509" s="1">
        <v>41487</v>
      </c>
      <c r="L509" s="1">
        <v>41518</v>
      </c>
      <c r="M509" s="1">
        <v>41548</v>
      </c>
      <c r="N509" s="1">
        <v>41579</v>
      </c>
      <c r="O509" s="1">
        <v>41609</v>
      </c>
    </row>
    <row r="510" spans="1:15">
      <c r="A510" t="str">
        <f t="shared" si="7"/>
        <v>TGSD1NCP LF</v>
      </c>
      <c r="B510" t="s">
        <v>994</v>
      </c>
      <c r="C510" t="s">
        <v>150</v>
      </c>
      <c r="D510" s="5">
        <v>0.51749999999999996</v>
      </c>
      <c r="E510" s="5">
        <v>0.49519999999999997</v>
      </c>
      <c r="F510" s="5">
        <v>0.46600000000000003</v>
      </c>
      <c r="G510" s="5">
        <v>0.51280000000000003</v>
      </c>
      <c r="H510" s="5">
        <v>0.5141</v>
      </c>
      <c r="I510" s="5">
        <v>0.53779999999999994</v>
      </c>
      <c r="J510" s="5">
        <v>0.55049999999999999</v>
      </c>
      <c r="K510" s="5">
        <v>0.54900000000000004</v>
      </c>
      <c r="L510" s="5">
        <v>0.52759999999999996</v>
      </c>
      <c r="M510" s="5">
        <v>0.52400000000000002</v>
      </c>
      <c r="N510" s="5">
        <v>0.5081</v>
      </c>
      <c r="O510" s="5">
        <v>0.50260000000000005</v>
      </c>
    </row>
    <row r="511" spans="1:15">
      <c r="A511" t="str">
        <f t="shared" si="7"/>
        <v>TGSD1NCP LF ONPK</v>
      </c>
      <c r="B511" t="s">
        <v>994</v>
      </c>
      <c r="C511" t="s">
        <v>151</v>
      </c>
      <c r="D511" s="5">
        <v>0</v>
      </c>
      <c r="E511" s="5">
        <v>0</v>
      </c>
      <c r="F511" s="5">
        <v>0</v>
      </c>
      <c r="G511" s="5">
        <v>0</v>
      </c>
      <c r="H511" s="5">
        <v>0</v>
      </c>
      <c r="I511" s="5">
        <v>0</v>
      </c>
      <c r="J511" s="5">
        <v>0</v>
      </c>
      <c r="K511" s="5">
        <v>0</v>
      </c>
      <c r="L511" s="5">
        <v>0</v>
      </c>
      <c r="M511" s="5">
        <v>0</v>
      </c>
      <c r="N511" s="5">
        <v>0</v>
      </c>
      <c r="O511" s="5">
        <v>0</v>
      </c>
    </row>
    <row r="512" spans="1:15">
      <c r="A512" t="str">
        <f t="shared" si="7"/>
        <v>TGSD1NCP LF OFFPK</v>
      </c>
      <c r="B512" t="s">
        <v>994</v>
      </c>
      <c r="C512" t="s">
        <v>152</v>
      </c>
      <c r="D512" s="5">
        <v>0</v>
      </c>
      <c r="E512" s="5">
        <v>0</v>
      </c>
      <c r="F512" s="5">
        <v>0</v>
      </c>
      <c r="G512" s="5">
        <v>0</v>
      </c>
      <c r="H512" s="5">
        <v>0</v>
      </c>
      <c r="I512" s="5">
        <v>0</v>
      </c>
      <c r="J512" s="5">
        <v>0</v>
      </c>
      <c r="K512" s="5">
        <v>0</v>
      </c>
      <c r="L512" s="5">
        <v>0</v>
      </c>
      <c r="M512" s="5">
        <v>0</v>
      </c>
      <c r="N512" s="5">
        <v>0</v>
      </c>
      <c r="O512" s="5">
        <v>0</v>
      </c>
    </row>
    <row r="513" spans="1:15">
      <c r="A513" t="str">
        <f t="shared" si="7"/>
        <v>TGSD1GCP CF</v>
      </c>
      <c r="B513" t="s">
        <v>994</v>
      </c>
      <c r="C513" t="s">
        <v>153</v>
      </c>
      <c r="D513" s="5">
        <v>0.73260000000000003</v>
      </c>
      <c r="E513" s="5">
        <v>0.72460000000000002</v>
      </c>
      <c r="F513" s="5">
        <v>0.68310000000000004</v>
      </c>
      <c r="G513" s="5">
        <v>0.73360000000000003</v>
      </c>
      <c r="H513" s="5">
        <v>0.72809999999999997</v>
      </c>
      <c r="I513" s="5">
        <v>0.7571</v>
      </c>
      <c r="J513" s="5">
        <v>0.76970000000000005</v>
      </c>
      <c r="K513" s="5">
        <v>0.7641</v>
      </c>
      <c r="L513" s="5">
        <v>0.75429999999999997</v>
      </c>
      <c r="M513" s="5">
        <v>0.74939999999999996</v>
      </c>
      <c r="N513" s="5">
        <v>0.74129999999999996</v>
      </c>
      <c r="O513" s="5">
        <v>0.72889999999999999</v>
      </c>
    </row>
    <row r="514" spans="1:15">
      <c r="A514" t="str">
        <f t="shared" si="7"/>
        <v>TGSD1CP CF</v>
      </c>
      <c r="B514" t="s">
        <v>994</v>
      </c>
      <c r="C514" t="s">
        <v>154</v>
      </c>
      <c r="D514" s="5">
        <v>0.66990000000000005</v>
      </c>
      <c r="E514" s="5">
        <v>0.68979999999999997</v>
      </c>
      <c r="F514" s="5">
        <v>0.40400000000000003</v>
      </c>
      <c r="G514" s="5">
        <v>0.68589999999999995</v>
      </c>
      <c r="H514" s="5">
        <v>0.68579999999999997</v>
      </c>
      <c r="I514" s="5">
        <v>0.71179999999999999</v>
      </c>
      <c r="J514" s="5">
        <v>0.74299999999999999</v>
      </c>
      <c r="K514" s="5">
        <v>0.71519999999999995</v>
      </c>
      <c r="L514" s="5">
        <v>0.73129999999999995</v>
      </c>
      <c r="M514" s="5">
        <v>0.68510000000000004</v>
      </c>
      <c r="N514" s="5">
        <v>0.69630000000000003</v>
      </c>
      <c r="O514" s="5">
        <v>0.66510000000000002</v>
      </c>
    </row>
    <row r="515" spans="1:15">
      <c r="A515" t="str">
        <f t="shared" si="7"/>
        <v>TGSD1GCP LF</v>
      </c>
      <c r="B515" t="s">
        <v>994</v>
      </c>
      <c r="C515" t="s">
        <v>155</v>
      </c>
      <c r="D515" s="5">
        <v>0.70630000000000004</v>
      </c>
      <c r="E515" s="5">
        <v>0.68330000000000002</v>
      </c>
      <c r="F515" s="5">
        <v>0.68210000000000004</v>
      </c>
      <c r="G515" s="5">
        <v>0.69910000000000005</v>
      </c>
      <c r="H515" s="5">
        <v>0.70609999999999995</v>
      </c>
      <c r="I515" s="5">
        <v>0.71030000000000004</v>
      </c>
      <c r="J515" s="5">
        <v>0.71519999999999995</v>
      </c>
      <c r="K515" s="5">
        <v>0.71850000000000003</v>
      </c>
      <c r="L515" s="5">
        <v>0.69940000000000002</v>
      </c>
      <c r="M515" s="5">
        <v>0.69930000000000003</v>
      </c>
      <c r="N515" s="5">
        <v>0.68540000000000001</v>
      </c>
      <c r="O515" s="5">
        <v>0.68959999999999999</v>
      </c>
    </row>
    <row r="516" spans="1:15">
      <c r="A516" t="str">
        <f t="shared" si="7"/>
        <v>TGSD1GCP LF ONPK</v>
      </c>
      <c r="B516" t="s">
        <v>994</v>
      </c>
      <c r="C516" t="s">
        <v>156</v>
      </c>
      <c r="D516" s="5">
        <v>0</v>
      </c>
      <c r="E516" s="5">
        <v>0</v>
      </c>
      <c r="F516" s="5">
        <v>0</v>
      </c>
      <c r="G516" s="5">
        <v>0</v>
      </c>
      <c r="H516" s="5">
        <v>0</v>
      </c>
      <c r="I516" s="5">
        <v>0</v>
      </c>
      <c r="J516" s="5">
        <v>0</v>
      </c>
      <c r="K516" s="5">
        <v>0</v>
      </c>
      <c r="L516" s="5">
        <v>0</v>
      </c>
      <c r="M516" s="5">
        <v>0</v>
      </c>
      <c r="N516" s="5">
        <v>0</v>
      </c>
      <c r="O516" s="5">
        <v>0</v>
      </c>
    </row>
    <row r="517" spans="1:15">
      <c r="A517" t="str">
        <f t="shared" si="7"/>
        <v>TGSD1GCP LF OFFPK</v>
      </c>
      <c r="B517" t="s">
        <v>994</v>
      </c>
      <c r="C517" t="s">
        <v>157</v>
      </c>
      <c r="D517" s="5">
        <v>0</v>
      </c>
      <c r="E517" s="5">
        <v>0</v>
      </c>
      <c r="F517" s="5">
        <v>0</v>
      </c>
      <c r="G517" s="5">
        <v>0</v>
      </c>
      <c r="H517" s="5">
        <v>0</v>
      </c>
      <c r="I517" s="5">
        <v>0</v>
      </c>
      <c r="J517" s="5">
        <v>0</v>
      </c>
      <c r="K517" s="5">
        <v>0</v>
      </c>
      <c r="L517" s="5">
        <v>0</v>
      </c>
      <c r="M517" s="5">
        <v>0</v>
      </c>
      <c r="N517" s="5">
        <v>0</v>
      </c>
      <c r="O517" s="5">
        <v>0</v>
      </c>
    </row>
    <row r="518" spans="1:15">
      <c r="A518" t="str">
        <f t="shared" si="7"/>
        <v>TGSD1CP LF</v>
      </c>
      <c r="B518" t="s">
        <v>994</v>
      </c>
      <c r="C518" t="s">
        <v>158</v>
      </c>
      <c r="D518" s="5">
        <v>0.77239999999999998</v>
      </c>
      <c r="E518" s="5">
        <v>0.71789999999999998</v>
      </c>
      <c r="F518" s="5">
        <v>1.1533</v>
      </c>
      <c r="G518" s="5">
        <v>0.74760000000000004</v>
      </c>
      <c r="H518" s="5">
        <v>0.74960000000000004</v>
      </c>
      <c r="I518" s="5">
        <v>0.75549999999999995</v>
      </c>
      <c r="J518" s="5">
        <v>0.74099999999999999</v>
      </c>
      <c r="K518" s="5">
        <v>0.76759999999999995</v>
      </c>
      <c r="L518" s="5">
        <v>0.72140000000000004</v>
      </c>
      <c r="M518" s="5">
        <v>0.76480000000000004</v>
      </c>
      <c r="N518" s="5">
        <v>0.72970000000000002</v>
      </c>
      <c r="O518" s="5">
        <v>0.75570000000000004</v>
      </c>
    </row>
    <row r="519" spans="1:15">
      <c r="A519" t="str">
        <f t="shared" si="7"/>
        <v>TGSD1REL PREC:</v>
      </c>
      <c r="B519" t="s">
        <v>994</v>
      </c>
      <c r="C519" t="s">
        <v>65</v>
      </c>
    </row>
    <row r="520" spans="1:15">
      <c r="A520" t="str">
        <f t="shared" si="7"/>
        <v>TGSD1NCP RP</v>
      </c>
      <c r="B520" t="s">
        <v>994</v>
      </c>
      <c r="C520" t="s">
        <v>159</v>
      </c>
      <c r="D520" s="5">
        <v>4.9500000000000002E-2</v>
      </c>
      <c r="E520" s="5">
        <v>4.8399999999999999E-2</v>
      </c>
      <c r="F520" s="5">
        <v>5.0500000000000003E-2</v>
      </c>
      <c r="G520" s="5">
        <v>5.1400000000000001E-2</v>
      </c>
      <c r="H520" s="5">
        <v>4.7699999999999999E-2</v>
      </c>
      <c r="I520" s="5">
        <v>4.7199999999999999E-2</v>
      </c>
      <c r="J520" s="5">
        <v>4.2200000000000001E-2</v>
      </c>
      <c r="K520" s="5">
        <v>5.04E-2</v>
      </c>
      <c r="L520" s="5">
        <v>4.4999999999999998E-2</v>
      </c>
      <c r="M520" s="5">
        <v>4.8399999999999999E-2</v>
      </c>
      <c r="N520" s="5">
        <v>4.6399999999999997E-2</v>
      </c>
      <c r="O520" s="5">
        <v>5.04E-2</v>
      </c>
    </row>
    <row r="521" spans="1:15">
      <c r="A521" t="str">
        <f t="shared" si="7"/>
        <v>TGSD1NCP RP ONPK</v>
      </c>
      <c r="B521" t="s">
        <v>994</v>
      </c>
      <c r="C521" t="s">
        <v>160</v>
      </c>
      <c r="D521" s="5">
        <v>4.8899999999999999E-2</v>
      </c>
      <c r="E521" s="5">
        <v>4.3400000000000001E-2</v>
      </c>
      <c r="F521" s="5">
        <v>4.3499999999999997E-2</v>
      </c>
      <c r="G521" s="5">
        <v>4.2900000000000001E-2</v>
      </c>
      <c r="H521" s="5">
        <v>3.7900000000000003E-2</v>
      </c>
      <c r="I521" s="5">
        <v>4.3799999999999999E-2</v>
      </c>
      <c r="J521" s="5">
        <v>3.8800000000000001E-2</v>
      </c>
      <c r="K521" s="5">
        <v>4.0599999999999997E-2</v>
      </c>
      <c r="L521" s="5">
        <v>3.8800000000000001E-2</v>
      </c>
      <c r="M521" s="5">
        <v>4.6100000000000002E-2</v>
      </c>
      <c r="N521" s="5">
        <v>4.6600000000000003E-2</v>
      </c>
      <c r="O521" s="5">
        <v>4.8800000000000003E-2</v>
      </c>
    </row>
    <row r="522" spans="1:15">
      <c r="A522" t="str">
        <f t="shared" si="7"/>
        <v>TGSD1NCP RP OFFPK</v>
      </c>
      <c r="B522" t="s">
        <v>994</v>
      </c>
      <c r="C522" t="s">
        <v>161</v>
      </c>
      <c r="D522" s="5">
        <v>0</v>
      </c>
      <c r="E522" s="5">
        <v>5.0500000000000003E-2</v>
      </c>
      <c r="F522" s="5">
        <v>0</v>
      </c>
      <c r="G522" s="5">
        <v>5.3199999999999997E-2</v>
      </c>
      <c r="H522" s="5">
        <v>0</v>
      </c>
      <c r="I522" s="5">
        <v>4.87E-2</v>
      </c>
      <c r="J522" s="5">
        <v>0</v>
      </c>
      <c r="K522" s="5">
        <v>0</v>
      </c>
      <c r="L522" s="5">
        <v>4.5699999999999998E-2</v>
      </c>
      <c r="M522" s="5">
        <v>4.9200000000000001E-2</v>
      </c>
      <c r="N522" s="5">
        <v>4.5199999999999997E-2</v>
      </c>
      <c r="O522" s="5">
        <v>5.0599999999999999E-2</v>
      </c>
    </row>
    <row r="523" spans="1:15">
      <c r="A523" t="str">
        <f t="shared" si="7"/>
        <v>TGSD1GCP RP</v>
      </c>
      <c r="B523" t="s">
        <v>994</v>
      </c>
      <c r="C523" t="s">
        <v>162</v>
      </c>
      <c r="D523" s="5">
        <v>5.4199999999999998E-2</v>
      </c>
      <c r="E523" s="5">
        <v>0.05</v>
      </c>
      <c r="F523" s="5">
        <v>5.8999999999999997E-2</v>
      </c>
      <c r="G523" s="5">
        <v>4.7300000000000002E-2</v>
      </c>
      <c r="H523" s="5">
        <v>4.4400000000000002E-2</v>
      </c>
      <c r="I523" s="5">
        <v>4.3700000000000003E-2</v>
      </c>
      <c r="J523" s="5">
        <v>4.6300000000000001E-2</v>
      </c>
      <c r="K523" s="5">
        <v>4.4900000000000002E-2</v>
      </c>
      <c r="L523" s="5">
        <v>4.0300000000000002E-2</v>
      </c>
      <c r="M523" s="5">
        <v>4.36E-2</v>
      </c>
      <c r="N523" s="5">
        <v>4.6100000000000002E-2</v>
      </c>
      <c r="O523" s="5">
        <v>5.1900000000000002E-2</v>
      </c>
    </row>
    <row r="524" spans="1:15">
      <c r="A524" t="str">
        <f t="shared" si="7"/>
        <v>TGSD1GCP RP ONPK</v>
      </c>
      <c r="B524" t="s">
        <v>994</v>
      </c>
      <c r="C524" t="s">
        <v>163</v>
      </c>
      <c r="D524" s="5">
        <v>5.3600000000000002E-2</v>
      </c>
      <c r="E524" s="5">
        <v>4.7100000000000003E-2</v>
      </c>
      <c r="F524" s="5">
        <v>5.3999999999999999E-2</v>
      </c>
      <c r="G524" s="5">
        <v>4.7300000000000002E-2</v>
      </c>
      <c r="H524" s="5">
        <v>4.4400000000000002E-2</v>
      </c>
      <c r="I524" s="5">
        <v>4.3700000000000003E-2</v>
      </c>
      <c r="J524" s="5">
        <v>4.6300000000000001E-2</v>
      </c>
      <c r="K524" s="5">
        <v>4.4900000000000002E-2</v>
      </c>
      <c r="L524" s="5">
        <v>4.0300000000000002E-2</v>
      </c>
      <c r="M524" s="5">
        <v>4.36E-2</v>
      </c>
      <c r="N524" s="5">
        <v>4.8500000000000001E-2</v>
      </c>
      <c r="O524" s="5">
        <v>4.8599999999999997E-2</v>
      </c>
    </row>
    <row r="525" spans="1:15">
      <c r="A525" t="str">
        <f t="shared" si="7"/>
        <v>TGSD1GCP RP OFFPK</v>
      </c>
      <c r="B525" t="s">
        <v>994</v>
      </c>
      <c r="C525" t="s">
        <v>164</v>
      </c>
      <c r="D525" s="5">
        <v>5.4199999999999998E-2</v>
      </c>
      <c r="E525" s="5">
        <v>0.05</v>
      </c>
      <c r="F525" s="5">
        <v>5.8999999999999997E-2</v>
      </c>
      <c r="G525" s="5">
        <v>4.8500000000000001E-2</v>
      </c>
      <c r="H525" s="5">
        <v>4.4999999999999998E-2</v>
      </c>
      <c r="I525" s="5">
        <v>5.0700000000000002E-2</v>
      </c>
      <c r="J525" s="5">
        <v>4.5600000000000002E-2</v>
      </c>
      <c r="K525" s="5">
        <v>4.6899999999999997E-2</v>
      </c>
      <c r="L525" s="5">
        <v>3.9199999999999999E-2</v>
      </c>
      <c r="M525" s="5">
        <v>4.7699999999999999E-2</v>
      </c>
      <c r="N525" s="5">
        <v>4.6100000000000002E-2</v>
      </c>
      <c r="O525" s="5">
        <v>5.1900000000000002E-2</v>
      </c>
    </row>
    <row r="526" spans="1:15">
      <c r="A526" t="str">
        <f t="shared" si="7"/>
        <v>TGSD1CP RP</v>
      </c>
      <c r="B526" t="s">
        <v>994</v>
      </c>
      <c r="C526" t="s">
        <v>165</v>
      </c>
      <c r="D526" s="5">
        <v>4.1200000000000001E-2</v>
      </c>
      <c r="E526" s="5">
        <v>5.1200000000000002E-2</v>
      </c>
      <c r="F526" s="5">
        <v>7.6700000000000004E-2</v>
      </c>
      <c r="G526" s="5">
        <v>4.6600000000000003E-2</v>
      </c>
      <c r="H526" s="5">
        <v>4.3999999999999997E-2</v>
      </c>
      <c r="I526" s="5">
        <v>4.8599999999999997E-2</v>
      </c>
      <c r="J526" s="5">
        <v>4.3099999999999999E-2</v>
      </c>
      <c r="K526" s="5">
        <v>4.1399999999999999E-2</v>
      </c>
      <c r="L526" s="5">
        <v>4.1799999999999997E-2</v>
      </c>
      <c r="M526" s="5">
        <v>4.2200000000000001E-2</v>
      </c>
      <c r="N526" s="5">
        <v>4.3299999999999998E-2</v>
      </c>
      <c r="O526" s="5">
        <v>5.0799999999999998E-2</v>
      </c>
    </row>
    <row r="527" spans="1:15">
      <c r="A527" t="str">
        <f t="shared" si="7"/>
        <v>TGSD1SAMPLE SIZE:</v>
      </c>
      <c r="B527" t="s">
        <v>994</v>
      </c>
      <c r="C527" t="s">
        <v>66</v>
      </c>
    </row>
    <row r="528" spans="1:15">
      <c r="A528" t="str">
        <f t="shared" si="7"/>
        <v>TGSD1GCPSZ</v>
      </c>
      <c r="B528" t="s">
        <v>994</v>
      </c>
      <c r="C528" t="s">
        <v>166</v>
      </c>
      <c r="D528">
        <v>497</v>
      </c>
      <c r="E528">
        <v>493</v>
      </c>
      <c r="F528">
        <v>494</v>
      </c>
      <c r="G528">
        <v>496</v>
      </c>
      <c r="H528">
        <v>498</v>
      </c>
      <c r="I528">
        <v>496</v>
      </c>
      <c r="J528">
        <v>495</v>
      </c>
      <c r="K528">
        <v>496</v>
      </c>
      <c r="L528">
        <v>498</v>
      </c>
      <c r="M528">
        <v>498</v>
      </c>
      <c r="N528">
        <v>498</v>
      </c>
      <c r="O528">
        <v>496</v>
      </c>
    </row>
    <row r="529" spans="1:15">
      <c r="A529" t="str">
        <f t="shared" si="7"/>
        <v>TGSD1GCPSZ ONPK</v>
      </c>
      <c r="B529" t="s">
        <v>994</v>
      </c>
      <c r="C529" t="s">
        <v>167</v>
      </c>
      <c r="D529">
        <v>497</v>
      </c>
      <c r="E529">
        <v>493</v>
      </c>
      <c r="F529">
        <v>494</v>
      </c>
      <c r="G529">
        <v>496</v>
      </c>
      <c r="H529">
        <v>498</v>
      </c>
      <c r="I529">
        <v>496</v>
      </c>
      <c r="J529">
        <v>495</v>
      </c>
      <c r="K529">
        <v>496</v>
      </c>
      <c r="L529">
        <v>498</v>
      </c>
      <c r="M529">
        <v>498</v>
      </c>
      <c r="N529">
        <v>498</v>
      </c>
      <c r="O529">
        <v>496</v>
      </c>
    </row>
    <row r="530" spans="1:15">
      <c r="A530" t="str">
        <f t="shared" si="7"/>
        <v>TGSD1GCPSZ OFFPK</v>
      </c>
      <c r="B530" t="s">
        <v>994</v>
      </c>
      <c r="C530" t="s">
        <v>168</v>
      </c>
      <c r="D530">
        <v>497</v>
      </c>
      <c r="E530">
        <v>493</v>
      </c>
      <c r="F530">
        <v>494</v>
      </c>
      <c r="G530">
        <v>496</v>
      </c>
      <c r="H530">
        <v>498</v>
      </c>
      <c r="I530">
        <v>496</v>
      </c>
      <c r="J530">
        <v>495</v>
      </c>
      <c r="K530">
        <v>496</v>
      </c>
      <c r="L530">
        <v>498</v>
      </c>
      <c r="M530">
        <v>498</v>
      </c>
      <c r="N530">
        <v>498</v>
      </c>
      <c r="O530">
        <v>496</v>
      </c>
    </row>
    <row r="531" spans="1:15">
      <c r="A531" t="str">
        <f t="shared" si="7"/>
        <v>TGSD1CPSZ</v>
      </c>
      <c r="B531" t="s">
        <v>994</v>
      </c>
      <c r="C531" t="s">
        <v>169</v>
      </c>
      <c r="D531">
        <v>497</v>
      </c>
      <c r="E531">
        <v>493</v>
      </c>
      <c r="F531">
        <v>494</v>
      </c>
      <c r="G531">
        <v>496</v>
      </c>
      <c r="H531">
        <v>498</v>
      </c>
      <c r="I531">
        <v>496</v>
      </c>
      <c r="J531">
        <v>495</v>
      </c>
      <c r="K531">
        <v>496</v>
      </c>
      <c r="L531">
        <v>498</v>
      </c>
      <c r="M531">
        <v>498</v>
      </c>
      <c r="N531">
        <v>498</v>
      </c>
      <c r="O531">
        <v>496</v>
      </c>
    </row>
    <row r="532" spans="1:15">
      <c r="A532" t="str">
        <f t="shared" si="7"/>
        <v/>
      </c>
    </row>
    <row r="533" spans="1:15">
      <c r="A533" t="str">
        <f t="shared" si="7"/>
        <v/>
      </c>
      <c r="B533" s="3"/>
    </row>
    <row r="534" spans="1:15">
      <c r="A534" t="str">
        <f t="shared" si="7"/>
        <v xml:space="preserve">TGSLD1 Total GSLD(T)-1 General Service Large Demand including TOU (500-1999 kW) </v>
      </c>
      <c r="B534" t="s">
        <v>995</v>
      </c>
      <c r="C534" t="s">
        <v>996</v>
      </c>
    </row>
    <row r="535" spans="1:15">
      <c r="A535" t="str">
        <f t="shared" si="7"/>
        <v xml:space="preserve">TGSLD1MONTH </v>
      </c>
      <c r="B535" t="s">
        <v>997</v>
      </c>
      <c r="C535" t="s">
        <v>123</v>
      </c>
      <c r="D535" s="4">
        <v>41275</v>
      </c>
      <c r="E535" s="4">
        <v>41306</v>
      </c>
      <c r="F535" s="4">
        <v>41334</v>
      </c>
      <c r="G535" s="4">
        <v>41365</v>
      </c>
      <c r="H535" s="4">
        <v>41395</v>
      </c>
      <c r="I535" s="4">
        <v>41426</v>
      </c>
      <c r="J535" s="4">
        <v>41456</v>
      </c>
      <c r="K535" s="4">
        <v>41487</v>
      </c>
      <c r="L535" s="4">
        <v>41518</v>
      </c>
      <c r="M535" s="4">
        <v>41548</v>
      </c>
      <c r="N535" s="4">
        <v>41579</v>
      </c>
      <c r="O535" s="4">
        <v>41609</v>
      </c>
    </row>
    <row r="536" spans="1:15">
      <c r="A536" t="str">
        <f t="shared" si="7"/>
        <v xml:space="preserve">TGSLD1CUSTOMERS </v>
      </c>
      <c r="B536" t="s">
        <v>997</v>
      </c>
      <c r="C536" t="s">
        <v>124</v>
      </c>
      <c r="D536">
        <v>3019</v>
      </c>
      <c r="E536">
        <v>3012</v>
      </c>
      <c r="F536">
        <v>3016</v>
      </c>
      <c r="G536">
        <v>3015</v>
      </c>
      <c r="H536">
        <v>3011</v>
      </c>
      <c r="I536">
        <v>3004</v>
      </c>
      <c r="J536">
        <v>2989</v>
      </c>
      <c r="K536">
        <v>2981</v>
      </c>
      <c r="L536">
        <v>2985</v>
      </c>
      <c r="M536">
        <v>2963</v>
      </c>
      <c r="N536">
        <v>2948</v>
      </c>
      <c r="O536">
        <v>2943</v>
      </c>
    </row>
    <row r="537" spans="1:15">
      <c r="A537" t="str">
        <f t="shared" si="7"/>
        <v xml:space="preserve">TGSLD1SALES </v>
      </c>
      <c r="B537" t="s">
        <v>997</v>
      </c>
      <c r="C537" t="s">
        <v>125</v>
      </c>
      <c r="D537">
        <v>825283266</v>
      </c>
      <c r="E537">
        <v>783702281</v>
      </c>
      <c r="F537">
        <v>746420323</v>
      </c>
      <c r="G537">
        <v>813536348</v>
      </c>
      <c r="H537">
        <v>895671132</v>
      </c>
      <c r="I537">
        <v>888563463</v>
      </c>
      <c r="J537">
        <v>893473594</v>
      </c>
      <c r="K537">
        <v>946303896</v>
      </c>
      <c r="L537">
        <v>990334684</v>
      </c>
      <c r="M537">
        <v>890922703</v>
      </c>
      <c r="N537">
        <v>841886211</v>
      </c>
      <c r="O537">
        <v>851158888</v>
      </c>
    </row>
    <row r="538" spans="1:15">
      <c r="A538" t="str">
        <f t="shared" si="7"/>
        <v>TGSLD1KW</v>
      </c>
      <c r="B538" t="s">
        <v>997</v>
      </c>
      <c r="C538" t="s">
        <v>126</v>
      </c>
    </row>
    <row r="539" spans="1:15">
      <c r="A539" t="str">
        <f t="shared" si="7"/>
        <v>TGSLD1N</v>
      </c>
      <c r="B539" t="s">
        <v>997</v>
      </c>
      <c r="C539" t="s">
        <v>127</v>
      </c>
      <c r="D539">
        <v>3020</v>
      </c>
      <c r="E539">
        <v>3012</v>
      </c>
      <c r="F539">
        <v>3017</v>
      </c>
      <c r="G539">
        <v>3015</v>
      </c>
      <c r="H539">
        <v>3011</v>
      </c>
      <c r="I539">
        <v>3001</v>
      </c>
      <c r="J539">
        <v>2990</v>
      </c>
      <c r="K539">
        <v>2979</v>
      </c>
      <c r="L539">
        <v>2985</v>
      </c>
      <c r="M539">
        <v>2962</v>
      </c>
      <c r="N539">
        <v>2946</v>
      </c>
      <c r="O539">
        <v>2944</v>
      </c>
    </row>
    <row r="540" spans="1:15">
      <c r="A540" t="str">
        <f t="shared" si="7"/>
        <v>TGSLD1RLR ENERGY:</v>
      </c>
      <c r="B540" t="s">
        <v>997</v>
      </c>
      <c r="C540" t="s">
        <v>61</v>
      </c>
    </row>
    <row r="541" spans="1:15">
      <c r="A541" t="str">
        <f t="shared" si="7"/>
        <v>TGSLD1KWH</v>
      </c>
      <c r="B541" t="s">
        <v>997</v>
      </c>
      <c r="C541" t="s">
        <v>128</v>
      </c>
      <c r="D541">
        <v>823546198</v>
      </c>
      <c r="E541">
        <v>782911300</v>
      </c>
      <c r="F541">
        <v>751409328</v>
      </c>
      <c r="G541">
        <v>812397329</v>
      </c>
      <c r="H541">
        <v>893530992</v>
      </c>
      <c r="I541">
        <v>888691482</v>
      </c>
      <c r="J541">
        <v>931437729</v>
      </c>
      <c r="K541">
        <v>949277384</v>
      </c>
      <c r="L541">
        <v>991427871</v>
      </c>
      <c r="M541">
        <v>890444090</v>
      </c>
      <c r="N541">
        <v>842094027</v>
      </c>
      <c r="O541">
        <v>851172159</v>
      </c>
    </row>
    <row r="542" spans="1:15">
      <c r="A542" t="str">
        <f t="shared" si="7"/>
        <v>TGSLD1KWH ONPK</v>
      </c>
      <c r="B542" t="s">
        <v>997</v>
      </c>
      <c r="C542" t="s">
        <v>129</v>
      </c>
      <c r="D542">
        <v>216586849</v>
      </c>
      <c r="E542">
        <v>209143631</v>
      </c>
      <c r="F542">
        <v>191372650</v>
      </c>
      <c r="G542">
        <v>281937121</v>
      </c>
      <c r="H542">
        <v>300813670</v>
      </c>
      <c r="I542">
        <v>278391617</v>
      </c>
      <c r="J542">
        <v>479779012</v>
      </c>
      <c r="K542">
        <v>329863078</v>
      </c>
      <c r="L542">
        <v>313668143</v>
      </c>
      <c r="M542">
        <v>310589010</v>
      </c>
      <c r="N542">
        <v>212315426</v>
      </c>
      <c r="O542">
        <v>213445108</v>
      </c>
    </row>
    <row r="543" spans="1:15">
      <c r="A543" t="str">
        <f t="shared" si="7"/>
        <v>TGSLD1KWH OFFPK</v>
      </c>
      <c r="B543" t="s">
        <v>997</v>
      </c>
      <c r="C543" t="s">
        <v>130</v>
      </c>
      <c r="D543">
        <v>606959349</v>
      </c>
      <c r="E543">
        <v>573767669</v>
      </c>
      <c r="F543">
        <v>560036679</v>
      </c>
      <c r="G543">
        <v>530460207</v>
      </c>
      <c r="H543">
        <v>592717322</v>
      </c>
      <c r="I543">
        <v>610299865</v>
      </c>
      <c r="J543">
        <v>506854845</v>
      </c>
      <c r="K543">
        <v>624795149</v>
      </c>
      <c r="L543">
        <v>677759728</v>
      </c>
      <c r="M543">
        <v>579855080</v>
      </c>
      <c r="N543">
        <v>629778601</v>
      </c>
      <c r="O543">
        <v>637727051</v>
      </c>
    </row>
    <row r="544" spans="1:15">
      <c r="A544" t="str">
        <f t="shared" si="7"/>
        <v>TGSLD1KWH ONPK%</v>
      </c>
      <c r="B544" t="s">
        <v>997</v>
      </c>
      <c r="C544" t="s">
        <v>131</v>
      </c>
      <c r="D544" s="5">
        <v>0.26299</v>
      </c>
      <c r="E544" s="5">
        <v>0.26713999999999999</v>
      </c>
      <c r="F544" s="5">
        <v>0.25468000000000002</v>
      </c>
      <c r="G544" s="5">
        <v>0.34704000000000002</v>
      </c>
      <c r="H544" s="5">
        <v>0.33666000000000001</v>
      </c>
      <c r="I544" s="5">
        <v>0.31325999999999998</v>
      </c>
      <c r="J544" s="5">
        <v>0.5151</v>
      </c>
      <c r="K544" s="5">
        <v>0.34749000000000002</v>
      </c>
      <c r="L544" s="5">
        <v>0.31637999999999999</v>
      </c>
      <c r="M544" s="5">
        <v>0.3488</v>
      </c>
      <c r="N544" s="5">
        <v>0.25213000000000002</v>
      </c>
      <c r="O544" s="5">
        <v>0.25076999999999999</v>
      </c>
    </row>
    <row r="545" spans="1:15">
      <c r="A545" t="str">
        <f t="shared" si="7"/>
        <v>TGSLD1KWH OFFPK%</v>
      </c>
      <c r="B545" t="s">
        <v>997</v>
      </c>
      <c r="C545" t="s">
        <v>132</v>
      </c>
      <c r="D545" s="5">
        <v>0.73701000000000005</v>
      </c>
      <c r="E545" s="5">
        <v>0.73285999999999996</v>
      </c>
      <c r="F545" s="5">
        <v>0.74531999999999998</v>
      </c>
      <c r="G545" s="5">
        <v>0.65295999999999998</v>
      </c>
      <c r="H545" s="5">
        <v>0.66334000000000004</v>
      </c>
      <c r="I545" s="5">
        <v>0.68674000000000002</v>
      </c>
      <c r="J545" s="5">
        <v>0.54415999999999998</v>
      </c>
      <c r="K545" s="5">
        <v>0.65817999999999999</v>
      </c>
      <c r="L545" s="5">
        <v>0.68362000000000001</v>
      </c>
      <c r="M545" s="5">
        <v>0.6512</v>
      </c>
      <c r="N545" s="5">
        <v>0.74787000000000003</v>
      </c>
      <c r="O545" s="5">
        <v>0.74922999999999995</v>
      </c>
    </row>
    <row r="546" spans="1:15">
      <c r="A546" t="str">
        <f t="shared" si="7"/>
        <v>TGSLD1DEMAND (KW):</v>
      </c>
      <c r="B546" t="s">
        <v>997</v>
      </c>
      <c r="C546" t="s">
        <v>62</v>
      </c>
    </row>
    <row r="547" spans="1:15">
      <c r="A547" t="str">
        <f t="shared" si="7"/>
        <v>TGSLD1NCP</v>
      </c>
      <c r="B547" t="s">
        <v>997</v>
      </c>
      <c r="C547" t="s">
        <v>133</v>
      </c>
      <c r="D547">
        <v>2006979</v>
      </c>
      <c r="E547">
        <v>2174824</v>
      </c>
      <c r="F547">
        <v>1977752</v>
      </c>
      <c r="G547">
        <v>2017806</v>
      </c>
      <c r="H547">
        <v>2188417</v>
      </c>
      <c r="I547">
        <v>2227775</v>
      </c>
      <c r="J547">
        <v>2105714</v>
      </c>
      <c r="K547">
        <v>2207396</v>
      </c>
      <c r="L547">
        <v>2436863</v>
      </c>
      <c r="M547">
        <v>2134464</v>
      </c>
      <c r="N547">
        <v>2162349</v>
      </c>
      <c r="O547">
        <v>2159376</v>
      </c>
    </row>
    <row r="548" spans="1:15">
      <c r="A548" t="str">
        <f t="shared" si="7"/>
        <v>TGSLD1NCP ONPK</v>
      </c>
      <c r="B548" t="s">
        <v>997</v>
      </c>
      <c r="C548" t="s">
        <v>134</v>
      </c>
      <c r="D548">
        <v>1840673</v>
      </c>
      <c r="E548">
        <v>2001866</v>
      </c>
      <c r="F548">
        <v>1795822</v>
      </c>
      <c r="G548">
        <v>1903101</v>
      </c>
      <c r="H548">
        <v>2046765</v>
      </c>
      <c r="I548">
        <v>2085874</v>
      </c>
      <c r="J548">
        <v>2003043</v>
      </c>
      <c r="K548">
        <v>2080677</v>
      </c>
      <c r="L548">
        <v>2285255</v>
      </c>
      <c r="M548">
        <v>2003571</v>
      </c>
      <c r="N548">
        <v>1988751</v>
      </c>
      <c r="O548">
        <v>1980803</v>
      </c>
    </row>
    <row r="549" spans="1:15">
      <c r="A549" t="str">
        <f t="shared" si="7"/>
        <v>TGSLD1NCP OFFPK</v>
      </c>
      <c r="B549" t="s">
        <v>997</v>
      </c>
      <c r="C549" t="s">
        <v>135</v>
      </c>
      <c r="D549">
        <v>1991588</v>
      </c>
      <c r="E549">
        <v>2157057</v>
      </c>
      <c r="F549">
        <v>1956425</v>
      </c>
      <c r="G549">
        <v>1977849</v>
      </c>
      <c r="H549">
        <v>2147038</v>
      </c>
      <c r="I549">
        <v>2189101</v>
      </c>
      <c r="J549">
        <v>1838979</v>
      </c>
      <c r="K549">
        <v>2145239</v>
      </c>
      <c r="L549">
        <v>2400061</v>
      </c>
      <c r="M549">
        <v>2091728</v>
      </c>
      <c r="N549">
        <v>2150881</v>
      </c>
      <c r="O549">
        <v>2147740</v>
      </c>
    </row>
    <row r="550" spans="1:15">
      <c r="A550" t="str">
        <f t="shared" si="7"/>
        <v>TGSLD1GCP DATE</v>
      </c>
      <c r="B550" t="s">
        <v>997</v>
      </c>
      <c r="C550" t="s">
        <v>136</v>
      </c>
      <c r="D550" t="s">
        <v>755</v>
      </c>
      <c r="E550" t="s">
        <v>298</v>
      </c>
      <c r="F550" t="s">
        <v>767</v>
      </c>
      <c r="G550" t="s">
        <v>825</v>
      </c>
      <c r="H550" t="s">
        <v>826</v>
      </c>
      <c r="I550" t="s">
        <v>770</v>
      </c>
      <c r="J550" t="s">
        <v>796</v>
      </c>
      <c r="K550" t="s">
        <v>762</v>
      </c>
      <c r="L550" t="s">
        <v>827</v>
      </c>
      <c r="M550" t="s">
        <v>828</v>
      </c>
      <c r="N550" t="s">
        <v>824</v>
      </c>
      <c r="O550" t="s">
        <v>808</v>
      </c>
    </row>
    <row r="551" spans="1:15">
      <c r="A551" t="str">
        <f t="shared" si="7"/>
        <v>TGSLD1GCP TIME</v>
      </c>
      <c r="B551" t="s">
        <v>997</v>
      </c>
      <c r="C551" t="s">
        <v>142</v>
      </c>
      <c r="D551" t="s">
        <v>146</v>
      </c>
      <c r="E551" t="s">
        <v>143</v>
      </c>
      <c r="F551" t="s">
        <v>143</v>
      </c>
      <c r="G551" t="s">
        <v>146</v>
      </c>
      <c r="H551" t="s">
        <v>189</v>
      </c>
      <c r="I551" t="s">
        <v>146</v>
      </c>
      <c r="J551" t="s">
        <v>146</v>
      </c>
      <c r="K551" t="s">
        <v>189</v>
      </c>
      <c r="L551" t="s">
        <v>146</v>
      </c>
      <c r="M551" t="s">
        <v>146</v>
      </c>
      <c r="N551" t="s">
        <v>182</v>
      </c>
      <c r="O551" t="s">
        <v>146</v>
      </c>
    </row>
    <row r="552" spans="1:15">
      <c r="A552" t="str">
        <f t="shared" si="7"/>
        <v>TGSLD1GCP</v>
      </c>
      <c r="B552" t="s">
        <v>997</v>
      </c>
      <c r="C552" t="s">
        <v>147</v>
      </c>
      <c r="D552">
        <v>1717389</v>
      </c>
      <c r="E552">
        <v>1854537</v>
      </c>
      <c r="F552">
        <v>1620765</v>
      </c>
      <c r="G552">
        <v>1681831</v>
      </c>
      <c r="H552">
        <v>1788105</v>
      </c>
      <c r="I552">
        <v>1786484</v>
      </c>
      <c r="J552">
        <v>1741315</v>
      </c>
      <c r="K552">
        <v>1872146</v>
      </c>
      <c r="L552">
        <v>2065260</v>
      </c>
      <c r="M552">
        <v>1793082</v>
      </c>
      <c r="N552">
        <v>1841255</v>
      </c>
      <c r="O552">
        <v>1841312</v>
      </c>
    </row>
    <row r="553" spans="1:15">
      <c r="A553" t="str">
        <f t="shared" si="7"/>
        <v>TGSLD1GCP ONPK</v>
      </c>
      <c r="B553" t="s">
        <v>997</v>
      </c>
      <c r="C553" t="s">
        <v>63</v>
      </c>
      <c r="D553">
        <v>1580231</v>
      </c>
      <c r="E553">
        <v>1710509</v>
      </c>
      <c r="F553">
        <v>1459480</v>
      </c>
      <c r="G553">
        <v>1670448</v>
      </c>
      <c r="H553">
        <v>1757510</v>
      </c>
      <c r="I553">
        <v>1771212</v>
      </c>
      <c r="J553">
        <v>1727792</v>
      </c>
      <c r="K553">
        <v>1846503</v>
      </c>
      <c r="L553">
        <v>2018220</v>
      </c>
      <c r="M553">
        <v>1757296</v>
      </c>
      <c r="N553">
        <v>1676274</v>
      </c>
      <c r="O553">
        <v>1713381</v>
      </c>
    </row>
    <row r="554" spans="1:15">
      <c r="A554" t="str">
        <f t="shared" si="7"/>
        <v>TGSLD1GCP OFFPK</v>
      </c>
      <c r="B554" t="s">
        <v>997</v>
      </c>
      <c r="C554" t="s">
        <v>64</v>
      </c>
      <c r="D554">
        <v>1717389</v>
      </c>
      <c r="E554">
        <v>1854537</v>
      </c>
      <c r="F554">
        <v>1620765</v>
      </c>
      <c r="G554">
        <v>1681831</v>
      </c>
      <c r="H554">
        <v>1788105</v>
      </c>
      <c r="I554">
        <v>1786484</v>
      </c>
      <c r="J554">
        <v>1741315</v>
      </c>
      <c r="K554">
        <v>1872146</v>
      </c>
      <c r="L554">
        <v>2065260</v>
      </c>
      <c r="M554">
        <v>1793082</v>
      </c>
      <c r="N554">
        <v>1841255</v>
      </c>
      <c r="O554">
        <v>1841312</v>
      </c>
    </row>
    <row r="555" spans="1:15">
      <c r="A555" t="str">
        <f t="shared" si="7"/>
        <v>TGSLD1CP</v>
      </c>
      <c r="B555" t="s">
        <v>997</v>
      </c>
      <c r="C555" t="s">
        <v>148</v>
      </c>
      <c r="D555">
        <v>1424053</v>
      </c>
      <c r="E555">
        <v>1767164</v>
      </c>
      <c r="F555">
        <v>1111330</v>
      </c>
      <c r="G555">
        <v>1521966</v>
      </c>
      <c r="H555">
        <v>1590541</v>
      </c>
      <c r="I555">
        <v>1685665</v>
      </c>
      <c r="J555">
        <v>1579438</v>
      </c>
      <c r="K555">
        <v>1652843</v>
      </c>
      <c r="L555">
        <v>1914669</v>
      </c>
      <c r="M555">
        <v>1634090</v>
      </c>
      <c r="N555">
        <v>1665404</v>
      </c>
      <c r="O555">
        <v>1431741</v>
      </c>
    </row>
    <row r="556" spans="1:15">
      <c r="A556" t="str">
        <f t="shared" si="7"/>
        <v>TGSLD1PERIOD START</v>
      </c>
      <c r="B556" t="s">
        <v>997</v>
      </c>
      <c r="C556" t="s">
        <v>149</v>
      </c>
      <c r="D556" s="1">
        <v>41275</v>
      </c>
      <c r="E556" s="1">
        <v>41306</v>
      </c>
      <c r="F556" s="1">
        <v>41334</v>
      </c>
      <c r="G556" s="1">
        <v>41365</v>
      </c>
      <c r="H556" s="1">
        <v>41395</v>
      </c>
      <c r="I556" s="1">
        <v>41426</v>
      </c>
      <c r="J556" s="1">
        <v>41456</v>
      </c>
      <c r="K556" s="1">
        <v>41487</v>
      </c>
      <c r="L556" s="1">
        <v>41518</v>
      </c>
      <c r="M556" s="1">
        <v>41548</v>
      </c>
      <c r="N556" s="1">
        <v>41579</v>
      </c>
      <c r="O556" s="1">
        <v>41609</v>
      </c>
    </row>
    <row r="557" spans="1:15">
      <c r="A557" t="str">
        <f t="shared" si="7"/>
        <v>TGSLD1NCP LF</v>
      </c>
      <c r="B557" t="s">
        <v>997</v>
      </c>
      <c r="C557" t="s">
        <v>150</v>
      </c>
      <c r="D557" s="5">
        <v>0.55149999999999999</v>
      </c>
      <c r="E557" s="5">
        <v>0.53569999999999995</v>
      </c>
      <c r="F557" s="5">
        <v>0.51070000000000004</v>
      </c>
      <c r="G557" s="5">
        <v>0.55920000000000003</v>
      </c>
      <c r="H557" s="5">
        <v>0.54879999999999995</v>
      </c>
      <c r="I557" s="5">
        <v>0.55400000000000005</v>
      </c>
      <c r="J557" s="5">
        <v>0.59450000000000003</v>
      </c>
      <c r="K557" s="5">
        <v>0.57799999999999996</v>
      </c>
      <c r="L557" s="5">
        <v>0.56510000000000005</v>
      </c>
      <c r="M557" s="5">
        <v>0.56069999999999998</v>
      </c>
      <c r="N557" s="5">
        <v>0.54090000000000005</v>
      </c>
      <c r="O557" s="5">
        <v>0.52980000000000005</v>
      </c>
    </row>
    <row r="558" spans="1:15">
      <c r="A558" t="str">
        <f t="shared" si="7"/>
        <v>TGSLD1NCP LF ONPK</v>
      </c>
      <c r="B558" t="s">
        <v>997</v>
      </c>
      <c r="C558" t="s">
        <v>151</v>
      </c>
      <c r="D558" s="5">
        <v>0</v>
      </c>
      <c r="E558" s="5">
        <v>0</v>
      </c>
      <c r="F558" s="5">
        <v>0</v>
      </c>
      <c r="G558" s="5">
        <v>0</v>
      </c>
      <c r="H558" s="5">
        <v>0</v>
      </c>
      <c r="I558" s="5">
        <v>0</v>
      </c>
      <c r="J558" s="5">
        <v>0</v>
      </c>
      <c r="K558" s="5">
        <v>0</v>
      </c>
      <c r="L558" s="5">
        <v>0</v>
      </c>
      <c r="M558" s="5">
        <v>0</v>
      </c>
      <c r="N558" s="5">
        <v>0</v>
      </c>
      <c r="O558" s="5">
        <v>0</v>
      </c>
    </row>
    <row r="559" spans="1:15">
      <c r="A559" t="str">
        <f t="shared" si="7"/>
        <v>TGSLD1NCP LF OFFPK</v>
      </c>
      <c r="B559" t="s">
        <v>997</v>
      </c>
      <c r="C559" t="s">
        <v>152</v>
      </c>
      <c r="D559" s="5">
        <v>0</v>
      </c>
      <c r="E559" s="5">
        <v>0</v>
      </c>
      <c r="F559" s="5">
        <v>0</v>
      </c>
      <c r="G559" s="5">
        <v>0</v>
      </c>
      <c r="H559" s="5">
        <v>0</v>
      </c>
      <c r="I559" s="5">
        <v>0</v>
      </c>
      <c r="J559" s="5">
        <v>0</v>
      </c>
      <c r="K559" s="5">
        <v>0</v>
      </c>
      <c r="L559" s="5">
        <v>0</v>
      </c>
      <c r="M559" s="5">
        <v>0</v>
      </c>
      <c r="N559" s="5">
        <v>0</v>
      </c>
      <c r="O559" s="5">
        <v>0</v>
      </c>
    </row>
    <row r="560" spans="1:15">
      <c r="A560" t="str">
        <f t="shared" si="7"/>
        <v>TGSLD1GCP CF</v>
      </c>
      <c r="B560" t="s">
        <v>997</v>
      </c>
      <c r="C560" t="s">
        <v>153</v>
      </c>
      <c r="D560" s="5">
        <v>0.85570000000000002</v>
      </c>
      <c r="E560" s="5">
        <v>0.85270000000000001</v>
      </c>
      <c r="F560" s="5">
        <v>0.81950000000000001</v>
      </c>
      <c r="G560" s="5">
        <v>0.83350000000000002</v>
      </c>
      <c r="H560" s="5">
        <v>0.81710000000000005</v>
      </c>
      <c r="I560" s="5">
        <v>0.80189999999999995</v>
      </c>
      <c r="J560" s="5">
        <v>0.82689999999999997</v>
      </c>
      <c r="K560" s="5">
        <v>0.84809999999999997</v>
      </c>
      <c r="L560" s="5">
        <v>0.84750000000000003</v>
      </c>
      <c r="M560" s="5">
        <v>0.84009999999999996</v>
      </c>
      <c r="N560" s="5">
        <v>0.85150000000000003</v>
      </c>
      <c r="O560" s="5">
        <v>0.85270000000000001</v>
      </c>
    </row>
    <row r="561" spans="1:15">
      <c r="A561" t="str">
        <f t="shared" si="7"/>
        <v>TGSLD1CP CF</v>
      </c>
      <c r="B561" t="s">
        <v>997</v>
      </c>
      <c r="C561" t="s">
        <v>154</v>
      </c>
      <c r="D561" s="5">
        <v>0.70960000000000001</v>
      </c>
      <c r="E561" s="5">
        <v>0.81259999999999999</v>
      </c>
      <c r="F561" s="5">
        <v>0.56189999999999996</v>
      </c>
      <c r="G561" s="5">
        <v>0.75429999999999997</v>
      </c>
      <c r="H561" s="5">
        <v>0.7268</v>
      </c>
      <c r="I561" s="5">
        <v>0.75670000000000004</v>
      </c>
      <c r="J561" s="5">
        <v>0.75009999999999999</v>
      </c>
      <c r="K561" s="5">
        <v>0.74880000000000002</v>
      </c>
      <c r="L561" s="5">
        <v>0.78569999999999995</v>
      </c>
      <c r="M561" s="5">
        <v>0.76559999999999995</v>
      </c>
      <c r="N561" s="5">
        <v>0.7702</v>
      </c>
      <c r="O561" s="5">
        <v>0.66300000000000003</v>
      </c>
    </row>
    <row r="562" spans="1:15">
      <c r="A562" t="str">
        <f t="shared" si="7"/>
        <v>TGSLD1GCP LF</v>
      </c>
      <c r="B562" t="s">
        <v>997</v>
      </c>
      <c r="C562" t="s">
        <v>155</v>
      </c>
      <c r="D562" s="5">
        <v>0.64449999999999996</v>
      </c>
      <c r="E562" s="5">
        <v>0.62819999999999998</v>
      </c>
      <c r="F562" s="5">
        <v>0.62309999999999999</v>
      </c>
      <c r="G562" s="5">
        <v>0.67090000000000005</v>
      </c>
      <c r="H562" s="5">
        <v>0.67169999999999996</v>
      </c>
      <c r="I562" s="5">
        <v>0.69089999999999996</v>
      </c>
      <c r="J562" s="5">
        <v>0.71899999999999997</v>
      </c>
      <c r="K562" s="5">
        <v>0.68149999999999999</v>
      </c>
      <c r="L562" s="5">
        <v>0.66669999999999996</v>
      </c>
      <c r="M562" s="5">
        <v>0.66749999999999998</v>
      </c>
      <c r="N562" s="5">
        <v>0.63519999999999999</v>
      </c>
      <c r="O562" s="5">
        <v>0.62129999999999996</v>
      </c>
    </row>
    <row r="563" spans="1:15">
      <c r="A563" t="str">
        <f t="shared" si="7"/>
        <v>TGSLD1GCP LF ONPK</v>
      </c>
      <c r="B563" t="s">
        <v>997</v>
      </c>
      <c r="C563" t="s">
        <v>156</v>
      </c>
      <c r="D563" s="5">
        <v>0</v>
      </c>
      <c r="E563" s="5">
        <v>0</v>
      </c>
      <c r="F563" s="5">
        <v>0</v>
      </c>
      <c r="G563" s="5">
        <v>0</v>
      </c>
      <c r="H563" s="5">
        <v>0</v>
      </c>
      <c r="I563" s="5">
        <v>0</v>
      </c>
      <c r="J563" s="5">
        <v>0</v>
      </c>
      <c r="K563" s="5">
        <v>0</v>
      </c>
      <c r="L563" s="5">
        <v>0</v>
      </c>
      <c r="M563" s="5">
        <v>0</v>
      </c>
      <c r="N563" s="5">
        <v>0</v>
      </c>
      <c r="O563" s="5">
        <v>0</v>
      </c>
    </row>
    <row r="564" spans="1:15">
      <c r="A564" t="str">
        <f t="shared" si="7"/>
        <v>TGSLD1GCP LF OFFPK</v>
      </c>
      <c r="B564" t="s">
        <v>997</v>
      </c>
      <c r="C564" t="s">
        <v>157</v>
      </c>
      <c r="D564" s="5">
        <v>0</v>
      </c>
      <c r="E564" s="5">
        <v>0</v>
      </c>
      <c r="F564" s="5">
        <v>0</v>
      </c>
      <c r="G564" s="5">
        <v>0</v>
      </c>
      <c r="H564" s="5">
        <v>0</v>
      </c>
      <c r="I564" s="5">
        <v>0</v>
      </c>
      <c r="J564" s="5">
        <v>0</v>
      </c>
      <c r="K564" s="5">
        <v>0</v>
      </c>
      <c r="L564" s="5">
        <v>0</v>
      </c>
      <c r="M564" s="5">
        <v>0</v>
      </c>
      <c r="N564" s="5">
        <v>0</v>
      </c>
      <c r="O564" s="5">
        <v>0</v>
      </c>
    </row>
    <row r="565" spans="1:15">
      <c r="A565" t="str">
        <f t="shared" ref="A565:A628" si="8">B565&amp;C565</f>
        <v>TGSLD1CP LF</v>
      </c>
      <c r="B565" t="s">
        <v>997</v>
      </c>
      <c r="C565" t="s">
        <v>158</v>
      </c>
      <c r="D565" s="5">
        <v>0.77729999999999999</v>
      </c>
      <c r="E565" s="5">
        <v>0.6593</v>
      </c>
      <c r="F565" s="5">
        <v>0.90880000000000005</v>
      </c>
      <c r="G565" s="5">
        <v>0.74139999999999995</v>
      </c>
      <c r="H565" s="5">
        <v>0.75509999999999999</v>
      </c>
      <c r="I565" s="5">
        <v>0.73219999999999996</v>
      </c>
      <c r="J565" s="5">
        <v>0.79259999999999997</v>
      </c>
      <c r="K565" s="5">
        <v>0.77190000000000003</v>
      </c>
      <c r="L565" s="5">
        <v>0.71919999999999995</v>
      </c>
      <c r="M565" s="5">
        <v>0.73240000000000005</v>
      </c>
      <c r="N565" s="5">
        <v>0.70230000000000004</v>
      </c>
      <c r="O565" s="5">
        <v>0.79910000000000003</v>
      </c>
    </row>
    <row r="566" spans="1:15">
      <c r="A566" t="str">
        <f t="shared" si="8"/>
        <v>TGSLD1REL PREC:</v>
      </c>
      <c r="B566" t="s">
        <v>997</v>
      </c>
      <c r="C566" t="s">
        <v>65</v>
      </c>
    </row>
    <row r="567" spans="1:15">
      <c r="A567" t="str">
        <f t="shared" si="8"/>
        <v>TGSLD1NCP RP</v>
      </c>
      <c r="B567" t="s">
        <v>997</v>
      </c>
      <c r="C567" t="s">
        <v>159</v>
      </c>
      <c r="D567" s="5">
        <v>2.3E-2</v>
      </c>
      <c r="E567" s="5">
        <v>2.4E-2</v>
      </c>
      <c r="F567" s="5">
        <v>2.6599999999999999E-2</v>
      </c>
      <c r="G567" s="5">
        <v>2.5499999999999998E-2</v>
      </c>
      <c r="H567" s="5">
        <v>2.41E-2</v>
      </c>
      <c r="I567" s="5">
        <v>2.6599999999999999E-2</v>
      </c>
      <c r="J567" s="5">
        <v>2.53E-2</v>
      </c>
      <c r="K567" s="5">
        <v>2.4500000000000001E-2</v>
      </c>
      <c r="L567" s="5">
        <v>2.1999999999999999E-2</v>
      </c>
      <c r="M567" s="5">
        <v>2.46E-2</v>
      </c>
      <c r="N567" s="5">
        <v>2.4400000000000002E-2</v>
      </c>
      <c r="O567" s="5">
        <v>2.5600000000000001E-2</v>
      </c>
    </row>
    <row r="568" spans="1:15">
      <c r="A568" t="str">
        <f t="shared" si="8"/>
        <v>TGSLD1NCP RP ONPK</v>
      </c>
      <c r="B568" t="s">
        <v>997</v>
      </c>
      <c r="C568" t="s">
        <v>160</v>
      </c>
      <c r="D568" s="5">
        <v>2.12E-2</v>
      </c>
      <c r="E568" s="5">
        <v>2.0500000000000001E-2</v>
      </c>
      <c r="F568" s="5">
        <v>2.3300000000000001E-2</v>
      </c>
      <c r="G568" s="5">
        <v>2.1399999999999999E-2</v>
      </c>
      <c r="H568" s="5">
        <v>2.1399999999999999E-2</v>
      </c>
      <c r="I568" s="5">
        <v>2.3599999999999999E-2</v>
      </c>
      <c r="J568" s="5">
        <v>2.2800000000000001E-2</v>
      </c>
      <c r="K568" s="5">
        <v>2.1600000000000001E-2</v>
      </c>
      <c r="L568" s="5">
        <v>2.0299999999999999E-2</v>
      </c>
      <c r="M568" s="5">
        <v>2.35E-2</v>
      </c>
      <c r="N568" s="5">
        <v>2.2499999999999999E-2</v>
      </c>
      <c r="O568" s="5">
        <v>2.1700000000000001E-2</v>
      </c>
    </row>
    <row r="569" spans="1:15">
      <c r="A569" t="str">
        <f t="shared" si="8"/>
        <v>TGSLD1NCP RP OFFPK</v>
      </c>
      <c r="B569" t="s">
        <v>997</v>
      </c>
      <c r="C569" t="s">
        <v>161</v>
      </c>
      <c r="D569" s="5">
        <v>2.2700000000000001E-2</v>
      </c>
      <c r="E569" s="5">
        <v>2.3699999999999999E-2</v>
      </c>
      <c r="F569" s="5">
        <v>2.6200000000000001E-2</v>
      </c>
      <c r="G569" s="5">
        <v>2.5700000000000001E-2</v>
      </c>
      <c r="H569" s="5">
        <v>2.47E-2</v>
      </c>
      <c r="I569" s="5">
        <v>2.7099999999999999E-2</v>
      </c>
      <c r="J569" s="5">
        <v>0</v>
      </c>
      <c r="K569" s="5">
        <v>0</v>
      </c>
      <c r="L569" s="5">
        <v>2.2200000000000001E-2</v>
      </c>
      <c r="M569" s="5">
        <v>2.5000000000000001E-2</v>
      </c>
      <c r="N569" s="5">
        <v>2.4199999999999999E-2</v>
      </c>
      <c r="O569" s="5">
        <v>2.5600000000000001E-2</v>
      </c>
    </row>
    <row r="570" spans="1:15">
      <c r="A570" t="str">
        <f t="shared" si="8"/>
        <v>TGSLD1GCP RP</v>
      </c>
      <c r="B570" t="s">
        <v>997</v>
      </c>
      <c r="C570" t="s">
        <v>162</v>
      </c>
      <c r="D570" s="5">
        <v>2.58E-2</v>
      </c>
      <c r="E570" s="5">
        <v>2.81E-2</v>
      </c>
      <c r="F570" s="5">
        <v>2.8199999999999999E-2</v>
      </c>
      <c r="G570" s="5">
        <v>2.3400000000000001E-2</v>
      </c>
      <c r="H570" s="5">
        <v>2.5899999999999999E-2</v>
      </c>
      <c r="I570" s="5">
        <v>2.2800000000000001E-2</v>
      </c>
      <c r="J570" s="5">
        <v>2.7E-2</v>
      </c>
      <c r="K570" s="5">
        <v>2.8899999999999999E-2</v>
      </c>
      <c r="L570" s="5">
        <v>2.2100000000000002E-2</v>
      </c>
      <c r="M570" s="5">
        <v>2.63E-2</v>
      </c>
      <c r="N570" s="5">
        <v>2.8199999999999999E-2</v>
      </c>
      <c r="O570" s="5">
        <v>2.6100000000000002E-2</v>
      </c>
    </row>
    <row r="571" spans="1:15">
      <c r="A571" t="str">
        <f t="shared" si="8"/>
        <v>TGSLD1GCP RP ONPK</v>
      </c>
      <c r="B571" t="s">
        <v>997</v>
      </c>
      <c r="C571" t="s">
        <v>163</v>
      </c>
      <c r="D571" s="5">
        <v>2.5399999999999999E-2</v>
      </c>
      <c r="E571" s="5">
        <v>2.5399999999999999E-2</v>
      </c>
      <c r="F571" s="5">
        <v>2.7E-2</v>
      </c>
      <c r="G571" s="5">
        <v>2.3199999999999998E-2</v>
      </c>
      <c r="H571" s="5">
        <v>2.3300000000000001E-2</v>
      </c>
      <c r="I571" s="5">
        <v>2.6100000000000002E-2</v>
      </c>
      <c r="J571" s="5">
        <v>2.6499999999999999E-2</v>
      </c>
      <c r="K571" s="5">
        <v>2.5700000000000001E-2</v>
      </c>
      <c r="L571" s="5">
        <v>2.18E-2</v>
      </c>
      <c r="M571" s="5">
        <v>2.4899999999999999E-2</v>
      </c>
      <c r="N571" s="5">
        <v>2.4799999999999999E-2</v>
      </c>
      <c r="O571" s="5">
        <v>2.52E-2</v>
      </c>
    </row>
    <row r="572" spans="1:15">
      <c r="A572" t="str">
        <f t="shared" si="8"/>
        <v>TGSLD1GCP RP OFFPK</v>
      </c>
      <c r="B572" t="s">
        <v>997</v>
      </c>
      <c r="C572" t="s">
        <v>164</v>
      </c>
      <c r="D572" s="5">
        <v>2.58E-2</v>
      </c>
      <c r="E572" s="5">
        <v>2.81E-2</v>
      </c>
      <c r="F572" s="5">
        <v>2.8199999999999999E-2</v>
      </c>
      <c r="G572" s="5">
        <v>2.3400000000000001E-2</v>
      </c>
      <c r="H572" s="5">
        <v>2.5899999999999999E-2</v>
      </c>
      <c r="I572" s="5">
        <v>2.2800000000000001E-2</v>
      </c>
      <c r="J572" s="5">
        <v>2.7E-2</v>
      </c>
      <c r="K572" s="5">
        <v>2.8899999999999999E-2</v>
      </c>
      <c r="L572" s="5">
        <v>2.2100000000000002E-2</v>
      </c>
      <c r="M572" s="5">
        <v>2.63E-2</v>
      </c>
      <c r="N572" s="5">
        <v>2.8199999999999999E-2</v>
      </c>
      <c r="O572" s="5">
        <v>2.6100000000000002E-2</v>
      </c>
    </row>
    <row r="573" spans="1:15">
      <c r="A573" t="str">
        <f t="shared" si="8"/>
        <v>TGSLD1CP RP</v>
      </c>
      <c r="B573" t="s">
        <v>997</v>
      </c>
      <c r="C573" t="s">
        <v>165</v>
      </c>
      <c r="D573" s="5">
        <v>2.5100000000000001E-2</v>
      </c>
      <c r="E573" s="5">
        <v>2.8899999999999999E-2</v>
      </c>
      <c r="F573" s="5">
        <v>3.5200000000000002E-2</v>
      </c>
      <c r="G573" s="5">
        <v>2.06E-2</v>
      </c>
      <c r="H573" s="5">
        <v>2.3099999999999999E-2</v>
      </c>
      <c r="I573" s="5">
        <v>2.3400000000000001E-2</v>
      </c>
      <c r="J573" s="5">
        <v>2.6800000000000001E-2</v>
      </c>
      <c r="K573" s="5">
        <v>2.4299999999999999E-2</v>
      </c>
      <c r="L573" s="5">
        <v>2.23E-2</v>
      </c>
      <c r="M573" s="5">
        <v>2.3599999999999999E-2</v>
      </c>
      <c r="N573" s="5">
        <v>2.58E-2</v>
      </c>
      <c r="O573" s="5">
        <v>3.1199999999999999E-2</v>
      </c>
    </row>
    <row r="574" spans="1:15">
      <c r="A574" t="str">
        <f t="shared" si="8"/>
        <v>TGSLD1SAMPLE SIZE:</v>
      </c>
      <c r="B574" t="s">
        <v>997</v>
      </c>
      <c r="C574" t="s">
        <v>66</v>
      </c>
    </row>
    <row r="575" spans="1:15">
      <c r="A575" t="str">
        <f t="shared" si="8"/>
        <v>TGSLD1GCPSZ</v>
      </c>
      <c r="B575" t="s">
        <v>997</v>
      </c>
      <c r="C575" t="s">
        <v>166</v>
      </c>
      <c r="D575">
        <v>629</v>
      </c>
      <c r="E575">
        <v>626</v>
      </c>
      <c r="F575">
        <v>628</v>
      </c>
      <c r="G575">
        <v>630</v>
      </c>
      <c r="H575">
        <v>629</v>
      </c>
      <c r="I575">
        <v>621</v>
      </c>
      <c r="J575">
        <v>618</v>
      </c>
      <c r="K575">
        <v>619</v>
      </c>
      <c r="L575">
        <v>621</v>
      </c>
      <c r="M575">
        <v>615</v>
      </c>
      <c r="N575">
        <v>615</v>
      </c>
      <c r="O575">
        <v>615</v>
      </c>
    </row>
    <row r="576" spans="1:15">
      <c r="A576" t="str">
        <f t="shared" si="8"/>
        <v>TGSLD1GCPSZ ONPK</v>
      </c>
      <c r="B576" t="s">
        <v>997</v>
      </c>
      <c r="C576" t="s">
        <v>167</v>
      </c>
      <c r="D576">
        <v>629</v>
      </c>
      <c r="E576">
        <v>625</v>
      </c>
      <c r="F576">
        <v>629</v>
      </c>
      <c r="G576">
        <v>630</v>
      </c>
      <c r="H576">
        <v>629</v>
      </c>
      <c r="I576">
        <v>621</v>
      </c>
      <c r="J576">
        <v>618</v>
      </c>
      <c r="K576">
        <v>619</v>
      </c>
      <c r="L576">
        <v>621</v>
      </c>
      <c r="M576">
        <v>615</v>
      </c>
      <c r="N576">
        <v>615</v>
      </c>
      <c r="O576">
        <v>615</v>
      </c>
    </row>
    <row r="577" spans="1:15">
      <c r="A577" t="str">
        <f t="shared" si="8"/>
        <v>TGSLD1GCPSZ OFFPK</v>
      </c>
      <c r="B577" t="s">
        <v>997</v>
      </c>
      <c r="C577" t="s">
        <v>168</v>
      </c>
      <c r="D577">
        <v>629</v>
      </c>
      <c r="E577">
        <v>626</v>
      </c>
      <c r="F577">
        <v>628</v>
      </c>
      <c r="G577">
        <v>630</v>
      </c>
      <c r="H577">
        <v>629</v>
      </c>
      <c r="I577">
        <v>621</v>
      </c>
      <c r="J577">
        <v>618</v>
      </c>
      <c r="K577">
        <v>619</v>
      </c>
      <c r="L577">
        <v>621</v>
      </c>
      <c r="M577">
        <v>615</v>
      </c>
      <c r="N577">
        <v>615</v>
      </c>
      <c r="O577">
        <v>615</v>
      </c>
    </row>
    <row r="578" spans="1:15">
      <c r="A578" t="str">
        <f t="shared" si="8"/>
        <v>TGSLD1CPSZ</v>
      </c>
      <c r="B578" t="s">
        <v>997</v>
      </c>
      <c r="C578" t="s">
        <v>169</v>
      </c>
      <c r="D578">
        <v>629</v>
      </c>
      <c r="E578">
        <v>626</v>
      </c>
      <c r="F578">
        <v>629</v>
      </c>
      <c r="G578">
        <v>630</v>
      </c>
      <c r="H578">
        <v>629</v>
      </c>
      <c r="I578">
        <v>621</v>
      </c>
      <c r="J578">
        <v>617</v>
      </c>
      <c r="K578">
        <v>619</v>
      </c>
      <c r="L578">
        <v>621</v>
      </c>
      <c r="M578">
        <v>615</v>
      </c>
      <c r="N578">
        <v>615</v>
      </c>
      <c r="O578">
        <v>615</v>
      </c>
    </row>
    <row r="579" spans="1:15">
      <c r="A579" t="str">
        <f t="shared" si="8"/>
        <v/>
      </c>
    </row>
    <row r="580" spans="1:15">
      <c r="A580" t="str">
        <f t="shared" si="8"/>
        <v/>
      </c>
      <c r="B580" s="3"/>
    </row>
    <row r="581" spans="1:15">
      <c r="A581" t="str">
        <f t="shared" si="8"/>
        <v xml:space="preserve">TGSLD2 Total GSLD(T)-2 General Service Large Demand 2 including TOU (2000+ KW) </v>
      </c>
      <c r="B581" t="s">
        <v>711</v>
      </c>
      <c r="C581" t="s">
        <v>712</v>
      </c>
    </row>
    <row r="582" spans="1:15">
      <c r="A582" t="str">
        <f t="shared" si="8"/>
        <v xml:space="preserve">TGSLD2MONTH </v>
      </c>
      <c r="B582" t="s">
        <v>713</v>
      </c>
      <c r="C582" t="s">
        <v>123</v>
      </c>
      <c r="D582" s="4">
        <v>41275</v>
      </c>
      <c r="E582" s="4">
        <v>41306</v>
      </c>
      <c r="F582" s="4">
        <v>41334</v>
      </c>
      <c r="G582" s="4">
        <v>41365</v>
      </c>
      <c r="H582" s="4">
        <v>41395</v>
      </c>
      <c r="I582" s="4">
        <v>41426</v>
      </c>
      <c r="J582" s="4">
        <v>41456</v>
      </c>
      <c r="K582" s="4">
        <v>41487</v>
      </c>
      <c r="L582" s="4">
        <v>41518</v>
      </c>
      <c r="M582" s="4">
        <v>41548</v>
      </c>
      <c r="N582" s="4">
        <v>41579</v>
      </c>
      <c r="O582" s="4">
        <v>41609</v>
      </c>
    </row>
    <row r="583" spans="1:15">
      <c r="A583" t="str">
        <f t="shared" si="8"/>
        <v xml:space="preserve">TGSLD2CUSTOMERS </v>
      </c>
      <c r="B583" t="s">
        <v>713</v>
      </c>
      <c r="C583" t="s">
        <v>124</v>
      </c>
      <c r="D583">
        <v>151</v>
      </c>
      <c r="E583">
        <v>151</v>
      </c>
      <c r="F583">
        <v>151</v>
      </c>
      <c r="G583">
        <v>152</v>
      </c>
      <c r="H583">
        <v>151</v>
      </c>
      <c r="I583">
        <v>155</v>
      </c>
      <c r="J583">
        <v>156</v>
      </c>
      <c r="K583">
        <v>154</v>
      </c>
      <c r="L583">
        <v>151</v>
      </c>
      <c r="M583">
        <v>151</v>
      </c>
      <c r="N583">
        <v>151</v>
      </c>
      <c r="O583">
        <v>152</v>
      </c>
    </row>
    <row r="584" spans="1:15">
      <c r="A584" t="str">
        <f t="shared" si="8"/>
        <v xml:space="preserve">TGSLD2SALES </v>
      </c>
      <c r="B584" t="s">
        <v>713</v>
      </c>
      <c r="C584" t="s">
        <v>125</v>
      </c>
      <c r="D584">
        <v>199142273</v>
      </c>
      <c r="E584">
        <v>186337764</v>
      </c>
      <c r="F584">
        <v>180767379</v>
      </c>
      <c r="G584">
        <v>189215358</v>
      </c>
      <c r="H584">
        <v>213550229</v>
      </c>
      <c r="I584">
        <v>215675207</v>
      </c>
      <c r="J584">
        <v>216526066</v>
      </c>
      <c r="K584">
        <v>226927569</v>
      </c>
      <c r="L584">
        <v>225596689</v>
      </c>
      <c r="M584">
        <v>214250783</v>
      </c>
      <c r="N584">
        <v>201860320</v>
      </c>
      <c r="O584">
        <v>205940818</v>
      </c>
    </row>
    <row r="585" spans="1:15">
      <c r="A585" t="str">
        <f t="shared" si="8"/>
        <v>TGSLD2KW</v>
      </c>
      <c r="B585" t="s">
        <v>713</v>
      </c>
      <c r="C585" t="s">
        <v>126</v>
      </c>
    </row>
    <row r="586" spans="1:15">
      <c r="A586" t="str">
        <f t="shared" si="8"/>
        <v>TGSLD2N</v>
      </c>
      <c r="B586" t="s">
        <v>713</v>
      </c>
      <c r="C586" t="s">
        <v>127</v>
      </c>
      <c r="D586">
        <v>151</v>
      </c>
      <c r="E586">
        <v>151</v>
      </c>
      <c r="F586">
        <v>151</v>
      </c>
      <c r="G586">
        <v>152</v>
      </c>
      <c r="H586">
        <v>151</v>
      </c>
      <c r="I586">
        <v>154</v>
      </c>
      <c r="J586">
        <v>154</v>
      </c>
      <c r="K586">
        <v>154</v>
      </c>
      <c r="L586">
        <v>150</v>
      </c>
      <c r="M586">
        <v>150</v>
      </c>
      <c r="N586">
        <v>150</v>
      </c>
      <c r="O586">
        <v>151</v>
      </c>
    </row>
    <row r="587" spans="1:15">
      <c r="A587" t="str">
        <f t="shared" si="8"/>
        <v>TGSLD2RLR ENERGY:</v>
      </c>
      <c r="B587" t="s">
        <v>713</v>
      </c>
      <c r="C587" t="s">
        <v>61</v>
      </c>
    </row>
    <row r="588" spans="1:15">
      <c r="A588" t="str">
        <f t="shared" si="8"/>
        <v>TGSLD2KWH</v>
      </c>
      <c r="B588" t="s">
        <v>713</v>
      </c>
      <c r="C588" t="s">
        <v>128</v>
      </c>
      <c r="D588">
        <v>199633330</v>
      </c>
      <c r="E588">
        <v>187328272</v>
      </c>
      <c r="F588">
        <v>179501716</v>
      </c>
      <c r="G588">
        <v>195046693</v>
      </c>
      <c r="H588">
        <v>207164109</v>
      </c>
      <c r="I588">
        <v>236154680</v>
      </c>
      <c r="J588">
        <v>225013194</v>
      </c>
      <c r="K588">
        <v>248169698</v>
      </c>
      <c r="L588">
        <v>226955503</v>
      </c>
      <c r="M588">
        <v>207626624</v>
      </c>
      <c r="N588">
        <v>201222971</v>
      </c>
      <c r="O588">
        <v>202532997</v>
      </c>
    </row>
    <row r="589" spans="1:15">
      <c r="A589" t="str">
        <f t="shared" si="8"/>
        <v>TGSLD2KWH ONPK</v>
      </c>
      <c r="B589" t="s">
        <v>713</v>
      </c>
      <c r="C589" t="s">
        <v>129</v>
      </c>
      <c r="D589">
        <v>46952488</v>
      </c>
      <c r="E589">
        <v>44360766</v>
      </c>
      <c r="F589">
        <v>40126706</v>
      </c>
      <c r="G589">
        <v>55419255</v>
      </c>
      <c r="H589">
        <v>57037067</v>
      </c>
      <c r="I589">
        <v>174848936</v>
      </c>
      <c r="J589">
        <v>87108890</v>
      </c>
      <c r="K589">
        <v>166922992</v>
      </c>
      <c r="L589">
        <v>59441025</v>
      </c>
      <c r="M589">
        <v>59381398</v>
      </c>
      <c r="N589">
        <v>44045299</v>
      </c>
      <c r="O589">
        <v>44859547</v>
      </c>
    </row>
    <row r="590" spans="1:15">
      <c r="A590" t="str">
        <f t="shared" si="8"/>
        <v>TGSLD2KWH OFFPK</v>
      </c>
      <c r="B590" t="s">
        <v>713</v>
      </c>
      <c r="C590" t="s">
        <v>130</v>
      </c>
      <c r="D590">
        <v>152680842</v>
      </c>
      <c r="E590">
        <v>142967505</v>
      </c>
      <c r="F590">
        <v>139375010</v>
      </c>
      <c r="G590">
        <v>139627438</v>
      </c>
      <c r="H590">
        <v>150127041</v>
      </c>
      <c r="I590">
        <v>116211036</v>
      </c>
      <c r="J590">
        <v>164306573</v>
      </c>
      <c r="K590">
        <v>120737464</v>
      </c>
      <c r="L590">
        <v>167514478</v>
      </c>
      <c r="M590">
        <v>148245226</v>
      </c>
      <c r="N590">
        <v>157177672</v>
      </c>
      <c r="O590">
        <v>157673449</v>
      </c>
    </row>
    <row r="591" spans="1:15">
      <c r="A591" t="str">
        <f t="shared" si="8"/>
        <v>TGSLD2KWH ONPK%</v>
      </c>
      <c r="B591" t="s">
        <v>713</v>
      </c>
      <c r="C591" t="s">
        <v>131</v>
      </c>
      <c r="D591" s="5">
        <v>0.23519000000000001</v>
      </c>
      <c r="E591" s="5">
        <v>0.23680999999999999</v>
      </c>
      <c r="F591" s="5">
        <v>0.22353999999999999</v>
      </c>
      <c r="G591" s="5">
        <v>0.28412999999999999</v>
      </c>
      <c r="H591" s="5">
        <v>0.27532000000000001</v>
      </c>
      <c r="I591" s="5">
        <v>0.74039999999999995</v>
      </c>
      <c r="J591" s="5">
        <v>0.38712999999999997</v>
      </c>
      <c r="K591" s="5">
        <v>0.67262</v>
      </c>
      <c r="L591" s="5">
        <v>0.26190999999999998</v>
      </c>
      <c r="M591" s="5">
        <v>0.28599999999999998</v>
      </c>
      <c r="N591" s="5">
        <v>0.21889</v>
      </c>
      <c r="O591" s="5">
        <v>0.22148999999999999</v>
      </c>
    </row>
    <row r="592" spans="1:15">
      <c r="A592" t="str">
        <f t="shared" si="8"/>
        <v>TGSLD2KWH OFFPK%</v>
      </c>
      <c r="B592" t="s">
        <v>713</v>
      </c>
      <c r="C592" t="s">
        <v>132</v>
      </c>
      <c r="D592" s="5">
        <v>0.76480999999999999</v>
      </c>
      <c r="E592" s="5">
        <v>0.76319000000000004</v>
      </c>
      <c r="F592" s="5">
        <v>0.77646000000000004</v>
      </c>
      <c r="G592" s="5">
        <v>0.71587000000000001</v>
      </c>
      <c r="H592" s="5">
        <v>0.72467999999999999</v>
      </c>
      <c r="I592" s="5">
        <v>0.49209999999999998</v>
      </c>
      <c r="J592" s="5">
        <v>0.73021000000000003</v>
      </c>
      <c r="K592" s="5">
        <v>0.48651</v>
      </c>
      <c r="L592" s="5">
        <v>0.73809000000000002</v>
      </c>
      <c r="M592" s="5">
        <v>0.71399999999999997</v>
      </c>
      <c r="N592" s="5">
        <v>0.78110999999999997</v>
      </c>
      <c r="O592" s="5">
        <v>0.77851000000000004</v>
      </c>
    </row>
    <row r="593" spans="1:15">
      <c r="A593" t="str">
        <f t="shared" si="8"/>
        <v>TGSLD2DEMAND (KW):</v>
      </c>
      <c r="B593" t="s">
        <v>713</v>
      </c>
      <c r="C593" t="s">
        <v>62</v>
      </c>
    </row>
    <row r="594" spans="1:15">
      <c r="A594" t="str">
        <f t="shared" si="8"/>
        <v>TGSLD2NCP</v>
      </c>
      <c r="B594" t="s">
        <v>713</v>
      </c>
      <c r="C594" t="s">
        <v>133</v>
      </c>
      <c r="D594">
        <v>413634</v>
      </c>
      <c r="E594">
        <v>442732</v>
      </c>
      <c r="F594">
        <v>391085</v>
      </c>
      <c r="G594">
        <v>413501</v>
      </c>
      <c r="H594">
        <v>421937</v>
      </c>
      <c r="I594">
        <v>434381</v>
      </c>
      <c r="J594">
        <v>438336</v>
      </c>
      <c r="K594">
        <v>444070</v>
      </c>
      <c r="L594">
        <v>467940</v>
      </c>
      <c r="M594">
        <v>421938</v>
      </c>
      <c r="N594">
        <v>434236</v>
      </c>
      <c r="O594">
        <v>420649</v>
      </c>
    </row>
    <row r="595" spans="1:15">
      <c r="A595" t="str">
        <f t="shared" si="8"/>
        <v>TGSLD2NCP ONPK</v>
      </c>
      <c r="B595" t="s">
        <v>713</v>
      </c>
      <c r="C595" t="s">
        <v>134</v>
      </c>
      <c r="D595">
        <v>354768</v>
      </c>
      <c r="E595">
        <v>375553</v>
      </c>
      <c r="F595">
        <v>323104</v>
      </c>
      <c r="G595">
        <v>350715</v>
      </c>
      <c r="H595">
        <v>361246</v>
      </c>
      <c r="I595">
        <v>384711</v>
      </c>
      <c r="J595">
        <v>389252</v>
      </c>
      <c r="K595">
        <v>395665</v>
      </c>
      <c r="L595">
        <v>410407</v>
      </c>
      <c r="M595">
        <v>367005</v>
      </c>
      <c r="N595">
        <v>362172</v>
      </c>
      <c r="O595">
        <v>352522</v>
      </c>
    </row>
    <row r="596" spans="1:15">
      <c r="A596" t="str">
        <f t="shared" si="8"/>
        <v>TGSLD2NCP OFFPK</v>
      </c>
      <c r="B596" t="s">
        <v>713</v>
      </c>
      <c r="C596" t="s">
        <v>135</v>
      </c>
      <c r="D596">
        <v>411900</v>
      </c>
      <c r="E596">
        <v>440627</v>
      </c>
      <c r="F596">
        <v>389281</v>
      </c>
      <c r="G596">
        <v>408377</v>
      </c>
      <c r="H596">
        <v>416796</v>
      </c>
      <c r="I596">
        <v>330101</v>
      </c>
      <c r="J596">
        <v>435623</v>
      </c>
      <c r="K596">
        <v>342155</v>
      </c>
      <c r="L596">
        <v>463242</v>
      </c>
      <c r="M596">
        <v>417882</v>
      </c>
      <c r="N596">
        <v>431203</v>
      </c>
      <c r="O596">
        <v>420121</v>
      </c>
    </row>
    <row r="597" spans="1:15">
      <c r="A597" t="str">
        <f t="shared" si="8"/>
        <v>TGSLD2GCP DATE</v>
      </c>
      <c r="B597" t="s">
        <v>713</v>
      </c>
      <c r="C597" t="s">
        <v>136</v>
      </c>
      <c r="D597" t="s">
        <v>307</v>
      </c>
      <c r="E597" t="s">
        <v>274</v>
      </c>
      <c r="F597" t="s">
        <v>829</v>
      </c>
      <c r="G597" t="s">
        <v>745</v>
      </c>
      <c r="H597" t="s">
        <v>820</v>
      </c>
      <c r="I597" t="s">
        <v>830</v>
      </c>
      <c r="J597" t="s">
        <v>831</v>
      </c>
      <c r="K597" t="s">
        <v>832</v>
      </c>
      <c r="L597" t="s">
        <v>833</v>
      </c>
      <c r="M597" t="s">
        <v>836</v>
      </c>
      <c r="N597" t="s">
        <v>824</v>
      </c>
      <c r="O597" t="s">
        <v>808</v>
      </c>
    </row>
    <row r="598" spans="1:15">
      <c r="A598" t="str">
        <f t="shared" si="8"/>
        <v>TGSLD2GCP TIME</v>
      </c>
      <c r="B598" t="s">
        <v>713</v>
      </c>
      <c r="C598" t="s">
        <v>142</v>
      </c>
      <c r="D598" t="s">
        <v>182</v>
      </c>
      <c r="E598" t="s">
        <v>143</v>
      </c>
      <c r="F598" t="s">
        <v>143</v>
      </c>
      <c r="G598" t="s">
        <v>189</v>
      </c>
      <c r="H598" t="s">
        <v>189</v>
      </c>
      <c r="I598" t="s">
        <v>189</v>
      </c>
      <c r="J598" t="s">
        <v>202</v>
      </c>
      <c r="K598" t="s">
        <v>189</v>
      </c>
      <c r="L598" t="s">
        <v>202</v>
      </c>
      <c r="M598" t="s">
        <v>202</v>
      </c>
      <c r="N598" t="s">
        <v>146</v>
      </c>
      <c r="O598" t="s">
        <v>143</v>
      </c>
    </row>
    <row r="599" spans="1:15">
      <c r="A599" t="str">
        <f t="shared" si="8"/>
        <v>TGSLD2GCP</v>
      </c>
      <c r="B599" t="s">
        <v>713</v>
      </c>
      <c r="C599" t="s">
        <v>147</v>
      </c>
      <c r="D599">
        <v>335977</v>
      </c>
      <c r="E599">
        <v>357286</v>
      </c>
      <c r="F599">
        <v>307137</v>
      </c>
      <c r="G599">
        <v>331800</v>
      </c>
      <c r="H599">
        <v>336676</v>
      </c>
      <c r="I599">
        <v>358396</v>
      </c>
      <c r="J599">
        <v>350386</v>
      </c>
      <c r="K599">
        <v>364018</v>
      </c>
      <c r="L599">
        <v>377895</v>
      </c>
      <c r="M599">
        <v>334595</v>
      </c>
      <c r="N599">
        <v>345990</v>
      </c>
      <c r="O599">
        <v>344823</v>
      </c>
    </row>
    <row r="600" spans="1:15">
      <c r="A600" t="str">
        <f t="shared" si="8"/>
        <v>TGSLD2GCP ONPK</v>
      </c>
      <c r="B600" t="s">
        <v>713</v>
      </c>
      <c r="C600" t="s">
        <v>63</v>
      </c>
      <c r="D600">
        <v>300247</v>
      </c>
      <c r="E600">
        <v>316082</v>
      </c>
      <c r="F600">
        <v>269276</v>
      </c>
      <c r="G600">
        <v>310089</v>
      </c>
      <c r="H600">
        <v>309289</v>
      </c>
      <c r="I600">
        <v>335830</v>
      </c>
      <c r="J600">
        <v>325750</v>
      </c>
      <c r="K600">
        <v>345018</v>
      </c>
      <c r="L600">
        <v>357607</v>
      </c>
      <c r="M600">
        <v>314951</v>
      </c>
      <c r="N600">
        <v>302117</v>
      </c>
      <c r="O600">
        <v>307011</v>
      </c>
    </row>
    <row r="601" spans="1:15">
      <c r="A601" t="str">
        <f t="shared" si="8"/>
        <v>TGSLD2GCP OFFPK</v>
      </c>
      <c r="B601" t="s">
        <v>713</v>
      </c>
      <c r="C601" t="s">
        <v>64</v>
      </c>
      <c r="D601">
        <v>335977</v>
      </c>
      <c r="E601">
        <v>357286</v>
      </c>
      <c r="F601">
        <v>307137</v>
      </c>
      <c r="G601">
        <v>331800</v>
      </c>
      <c r="H601">
        <v>336676</v>
      </c>
      <c r="I601">
        <v>358396</v>
      </c>
      <c r="J601">
        <v>350386</v>
      </c>
      <c r="K601">
        <v>364018</v>
      </c>
      <c r="L601">
        <v>377895</v>
      </c>
      <c r="M601">
        <v>334595</v>
      </c>
      <c r="N601">
        <v>345990</v>
      </c>
      <c r="O601">
        <v>344823</v>
      </c>
    </row>
    <row r="602" spans="1:15">
      <c r="A602" t="str">
        <f t="shared" si="8"/>
        <v>TGSLD2CP</v>
      </c>
      <c r="B602" t="s">
        <v>713</v>
      </c>
      <c r="C602" t="s">
        <v>148</v>
      </c>
      <c r="D602">
        <v>300247</v>
      </c>
      <c r="E602">
        <v>348274</v>
      </c>
      <c r="F602">
        <v>220574</v>
      </c>
      <c r="G602">
        <v>295288</v>
      </c>
      <c r="H602">
        <v>305594</v>
      </c>
      <c r="I602">
        <v>325176</v>
      </c>
      <c r="J602">
        <v>318165</v>
      </c>
      <c r="K602">
        <v>326115</v>
      </c>
      <c r="L602">
        <v>339631</v>
      </c>
      <c r="M602">
        <v>310951</v>
      </c>
      <c r="N602">
        <v>339263</v>
      </c>
      <c r="O602">
        <v>317599</v>
      </c>
    </row>
    <row r="603" spans="1:15">
      <c r="A603" t="str">
        <f t="shared" si="8"/>
        <v>TGSLD2PERIOD START</v>
      </c>
      <c r="B603" t="s">
        <v>713</v>
      </c>
      <c r="C603" t="s">
        <v>149</v>
      </c>
      <c r="D603" s="1">
        <v>41275</v>
      </c>
      <c r="E603" s="1">
        <v>41306</v>
      </c>
      <c r="F603" s="1">
        <v>41334</v>
      </c>
      <c r="G603" s="1">
        <v>41365</v>
      </c>
      <c r="H603" s="1">
        <v>41395</v>
      </c>
      <c r="I603" s="1">
        <v>41426</v>
      </c>
      <c r="J603" s="1">
        <v>41456</v>
      </c>
      <c r="K603" s="1">
        <v>41487</v>
      </c>
      <c r="L603" s="1">
        <v>41518</v>
      </c>
      <c r="M603" s="1">
        <v>41548</v>
      </c>
      <c r="N603" s="1">
        <v>41579</v>
      </c>
      <c r="O603" s="1">
        <v>41609</v>
      </c>
    </row>
    <row r="604" spans="1:15">
      <c r="A604" t="str">
        <f t="shared" si="8"/>
        <v>TGSLD2NCP LF</v>
      </c>
      <c r="B604" t="s">
        <v>713</v>
      </c>
      <c r="C604" t="s">
        <v>150</v>
      </c>
      <c r="D604" s="5">
        <v>0.64870000000000005</v>
      </c>
      <c r="E604" s="5">
        <v>0.62960000000000005</v>
      </c>
      <c r="F604" s="5">
        <v>0.6169</v>
      </c>
      <c r="G604" s="5">
        <v>0.65510000000000002</v>
      </c>
      <c r="H604" s="5">
        <v>0.65990000000000004</v>
      </c>
      <c r="I604" s="5">
        <v>0.75509999999999999</v>
      </c>
      <c r="J604" s="5">
        <v>0.69</v>
      </c>
      <c r="K604" s="5">
        <v>0.75109999999999999</v>
      </c>
      <c r="L604" s="5">
        <v>0.67359999999999998</v>
      </c>
      <c r="M604" s="5">
        <v>0.66139999999999999</v>
      </c>
      <c r="N604" s="5">
        <v>0.64359999999999995</v>
      </c>
      <c r="O604" s="5">
        <v>0.64710000000000001</v>
      </c>
    </row>
    <row r="605" spans="1:15">
      <c r="A605" t="str">
        <f t="shared" si="8"/>
        <v>TGSLD2NCP LF ONPK</v>
      </c>
      <c r="B605" t="s">
        <v>713</v>
      </c>
      <c r="C605" t="s">
        <v>151</v>
      </c>
      <c r="D605" s="5">
        <v>0</v>
      </c>
      <c r="E605" s="5">
        <v>0</v>
      </c>
      <c r="F605" s="5">
        <v>0</v>
      </c>
      <c r="G605" s="5">
        <v>0</v>
      </c>
      <c r="H605" s="5">
        <v>0</v>
      </c>
      <c r="I605" s="5">
        <v>0</v>
      </c>
      <c r="J605" s="5">
        <v>0</v>
      </c>
      <c r="K605" s="5">
        <v>0</v>
      </c>
      <c r="L605" s="5">
        <v>0</v>
      </c>
      <c r="M605" s="5">
        <v>0</v>
      </c>
      <c r="N605" s="5">
        <v>0</v>
      </c>
      <c r="O605" s="5">
        <v>0</v>
      </c>
    </row>
    <row r="606" spans="1:15">
      <c r="A606" t="str">
        <f t="shared" si="8"/>
        <v>TGSLD2NCP LF OFFPK</v>
      </c>
      <c r="B606" t="s">
        <v>713</v>
      </c>
      <c r="C606" t="s">
        <v>152</v>
      </c>
      <c r="D606" s="5">
        <v>0</v>
      </c>
      <c r="E606" s="5">
        <v>0</v>
      </c>
      <c r="F606" s="5">
        <v>0</v>
      </c>
      <c r="G606" s="5">
        <v>0</v>
      </c>
      <c r="H606" s="5">
        <v>0</v>
      </c>
      <c r="I606" s="5">
        <v>0</v>
      </c>
      <c r="J606" s="5">
        <v>0</v>
      </c>
      <c r="K606" s="5">
        <v>0</v>
      </c>
      <c r="L606" s="5">
        <v>0</v>
      </c>
      <c r="M606" s="5">
        <v>0</v>
      </c>
      <c r="N606" s="5">
        <v>0</v>
      </c>
      <c r="O606" s="5">
        <v>0</v>
      </c>
    </row>
    <row r="607" spans="1:15">
      <c r="A607" t="str">
        <f t="shared" si="8"/>
        <v>TGSLD2GCP CF</v>
      </c>
      <c r="B607" t="s">
        <v>713</v>
      </c>
      <c r="C607" t="s">
        <v>153</v>
      </c>
      <c r="D607" s="5">
        <v>0.81230000000000002</v>
      </c>
      <c r="E607" s="5">
        <v>0.80700000000000005</v>
      </c>
      <c r="F607" s="5">
        <v>0.7853</v>
      </c>
      <c r="G607" s="5">
        <v>0.8024</v>
      </c>
      <c r="H607" s="5">
        <v>0.79790000000000005</v>
      </c>
      <c r="I607" s="5">
        <v>0.82509999999999994</v>
      </c>
      <c r="J607" s="5">
        <v>0.7994</v>
      </c>
      <c r="K607" s="5">
        <v>0.81969999999999998</v>
      </c>
      <c r="L607" s="5">
        <v>0.80759999999999998</v>
      </c>
      <c r="M607" s="5">
        <v>0.79300000000000004</v>
      </c>
      <c r="N607" s="5">
        <v>0.79679999999999995</v>
      </c>
      <c r="O607" s="5">
        <v>0.81969999999999998</v>
      </c>
    </row>
    <row r="608" spans="1:15">
      <c r="A608" t="str">
        <f t="shared" si="8"/>
        <v>TGSLD2CP CF</v>
      </c>
      <c r="B608" t="s">
        <v>713</v>
      </c>
      <c r="C608" t="s">
        <v>154</v>
      </c>
      <c r="D608" s="5">
        <v>0.72589999999999999</v>
      </c>
      <c r="E608" s="5">
        <v>0.78659999999999997</v>
      </c>
      <c r="F608" s="5">
        <v>0.56399999999999995</v>
      </c>
      <c r="G608" s="5">
        <v>0.71409999999999996</v>
      </c>
      <c r="H608" s="5">
        <v>0.72430000000000005</v>
      </c>
      <c r="I608" s="5">
        <v>0.74860000000000004</v>
      </c>
      <c r="J608" s="5">
        <v>0.7258</v>
      </c>
      <c r="K608" s="5">
        <v>0.73440000000000005</v>
      </c>
      <c r="L608" s="5">
        <v>0.7258</v>
      </c>
      <c r="M608" s="5">
        <v>0.73699999999999999</v>
      </c>
      <c r="N608" s="5">
        <v>0.78129999999999999</v>
      </c>
      <c r="O608" s="5">
        <v>0.755</v>
      </c>
    </row>
    <row r="609" spans="1:15">
      <c r="A609" t="str">
        <f t="shared" si="8"/>
        <v>TGSLD2GCP LF</v>
      </c>
      <c r="B609" t="s">
        <v>713</v>
      </c>
      <c r="C609" t="s">
        <v>155</v>
      </c>
      <c r="D609" s="5">
        <v>0.79859999999999998</v>
      </c>
      <c r="E609" s="5">
        <v>0.7802</v>
      </c>
      <c r="F609" s="5">
        <v>0.78549999999999998</v>
      </c>
      <c r="G609" s="5">
        <v>0.81640000000000001</v>
      </c>
      <c r="H609" s="5">
        <v>0.82699999999999996</v>
      </c>
      <c r="I609" s="5">
        <v>0.91520000000000001</v>
      </c>
      <c r="J609" s="5">
        <v>0.86319999999999997</v>
      </c>
      <c r="K609" s="5">
        <v>0.9163</v>
      </c>
      <c r="L609" s="5">
        <v>0.83409999999999995</v>
      </c>
      <c r="M609" s="5">
        <v>0.83399999999999996</v>
      </c>
      <c r="N609" s="5">
        <v>0.80779999999999996</v>
      </c>
      <c r="O609" s="5">
        <v>0.78949999999999998</v>
      </c>
    </row>
    <row r="610" spans="1:15">
      <c r="A610" t="str">
        <f t="shared" si="8"/>
        <v>TGSLD2GCP LF ONPK</v>
      </c>
      <c r="B610" t="s">
        <v>713</v>
      </c>
      <c r="C610" t="s">
        <v>156</v>
      </c>
      <c r="D610" s="5">
        <v>0</v>
      </c>
      <c r="E610" s="5">
        <v>0</v>
      </c>
      <c r="F610" s="5">
        <v>0</v>
      </c>
      <c r="G610" s="5">
        <v>0</v>
      </c>
      <c r="H610" s="5">
        <v>0</v>
      </c>
      <c r="I610" s="5">
        <v>0</v>
      </c>
      <c r="J610" s="5">
        <v>0</v>
      </c>
      <c r="K610" s="5">
        <v>0</v>
      </c>
      <c r="L610" s="5">
        <v>0</v>
      </c>
      <c r="M610" s="5">
        <v>0</v>
      </c>
      <c r="N610" s="5">
        <v>0</v>
      </c>
      <c r="O610" s="5">
        <v>0</v>
      </c>
    </row>
    <row r="611" spans="1:15">
      <c r="A611" t="str">
        <f t="shared" si="8"/>
        <v>TGSLD2GCP LF OFFPK</v>
      </c>
      <c r="B611" t="s">
        <v>713</v>
      </c>
      <c r="C611" t="s">
        <v>157</v>
      </c>
      <c r="D611" s="5">
        <v>0</v>
      </c>
      <c r="E611" s="5">
        <v>0</v>
      </c>
      <c r="F611" s="5">
        <v>0</v>
      </c>
      <c r="G611" s="5">
        <v>0</v>
      </c>
      <c r="H611" s="5">
        <v>0</v>
      </c>
      <c r="I611" s="5">
        <v>0</v>
      </c>
      <c r="J611" s="5">
        <v>0</v>
      </c>
      <c r="K611" s="5">
        <v>0</v>
      </c>
      <c r="L611" s="5">
        <v>0</v>
      </c>
      <c r="M611" s="5">
        <v>0</v>
      </c>
      <c r="N611" s="5">
        <v>0</v>
      </c>
      <c r="O611" s="5">
        <v>0</v>
      </c>
    </row>
    <row r="612" spans="1:15">
      <c r="A612" t="str">
        <f t="shared" si="8"/>
        <v>TGSLD2CP LF</v>
      </c>
      <c r="B612" t="s">
        <v>713</v>
      </c>
      <c r="C612" t="s">
        <v>158</v>
      </c>
      <c r="D612" s="5">
        <v>0.89370000000000005</v>
      </c>
      <c r="E612" s="5">
        <v>0.8004</v>
      </c>
      <c r="F612" s="5">
        <v>1.0938000000000001</v>
      </c>
      <c r="G612" s="5">
        <v>0.91739999999999999</v>
      </c>
      <c r="H612" s="5">
        <v>0.91120000000000001</v>
      </c>
      <c r="I612" s="5">
        <v>1.0086999999999999</v>
      </c>
      <c r="J612" s="5">
        <v>0.9506</v>
      </c>
      <c r="K612" s="5">
        <v>1.0227999999999999</v>
      </c>
      <c r="L612" s="5">
        <v>0.92810000000000004</v>
      </c>
      <c r="M612" s="5">
        <v>0.89749999999999996</v>
      </c>
      <c r="N612" s="5">
        <v>0.82379999999999998</v>
      </c>
      <c r="O612" s="5">
        <v>0.85709999999999997</v>
      </c>
    </row>
    <row r="613" spans="1:15">
      <c r="A613" t="str">
        <f t="shared" si="8"/>
        <v>TGSLD2REL PREC:</v>
      </c>
      <c r="B613" t="s">
        <v>713</v>
      </c>
      <c r="C613" t="s">
        <v>65</v>
      </c>
    </row>
    <row r="614" spans="1:15">
      <c r="A614" t="str">
        <f t="shared" si="8"/>
        <v>TGSLD2NCP RP</v>
      </c>
      <c r="B614" t="s">
        <v>713</v>
      </c>
      <c r="C614" t="s">
        <v>159</v>
      </c>
      <c r="D614" s="5">
        <v>8.3000000000000001E-3</v>
      </c>
      <c r="E614" s="5">
        <v>6.7999999999999996E-3</v>
      </c>
      <c r="F614" s="5">
        <v>2.2000000000000001E-3</v>
      </c>
      <c r="G614" s="5">
        <v>1E-3</v>
      </c>
      <c r="H614" s="5">
        <v>4.8999999999999998E-3</v>
      </c>
      <c r="I614" s="5">
        <v>6.7999999999999996E-3</v>
      </c>
      <c r="J614" s="5">
        <v>6.8999999999999999E-3</v>
      </c>
      <c r="K614" s="5">
        <v>1.83E-2</v>
      </c>
      <c r="L614" s="5">
        <v>1.49E-2</v>
      </c>
      <c r="M614" s="5">
        <v>4.7999999999999996E-3</v>
      </c>
      <c r="N614" s="5">
        <v>0</v>
      </c>
      <c r="O614" s="5">
        <v>1.0200000000000001E-2</v>
      </c>
    </row>
    <row r="615" spans="1:15">
      <c r="A615" t="str">
        <f t="shared" si="8"/>
        <v>TGSLD2NCP RP ONPK</v>
      </c>
      <c r="B615" t="s">
        <v>713</v>
      </c>
      <c r="C615" t="s">
        <v>160</v>
      </c>
      <c r="D615" s="5">
        <v>8.5000000000000006E-3</v>
      </c>
      <c r="E615" s="5">
        <v>7.6E-3</v>
      </c>
      <c r="F615" s="5">
        <v>1.8E-3</v>
      </c>
      <c r="G615" s="5">
        <v>8.9999999999999998E-4</v>
      </c>
      <c r="H615" s="5">
        <v>4.4999999999999997E-3</v>
      </c>
      <c r="I615" s="5">
        <v>6.3E-3</v>
      </c>
      <c r="J615" s="5">
        <v>6.4000000000000003E-3</v>
      </c>
      <c r="K615" s="5">
        <v>2.01E-2</v>
      </c>
      <c r="L615" s="5">
        <v>1.7100000000000001E-2</v>
      </c>
      <c r="M615" s="5">
        <v>4.7000000000000002E-3</v>
      </c>
      <c r="N615" s="5">
        <v>0</v>
      </c>
      <c r="O615" s="5">
        <v>6.7999999999999996E-3</v>
      </c>
    </row>
    <row r="616" spans="1:15">
      <c r="A616" t="str">
        <f t="shared" si="8"/>
        <v>TGSLD2NCP RP OFFPK</v>
      </c>
      <c r="B616" t="s">
        <v>713</v>
      </c>
      <c r="C616" t="s">
        <v>161</v>
      </c>
      <c r="D616" s="5">
        <v>8.3000000000000001E-3</v>
      </c>
      <c r="E616" s="5">
        <v>6.4999999999999997E-3</v>
      </c>
      <c r="F616" s="5">
        <v>2.3E-3</v>
      </c>
      <c r="G616" s="5">
        <v>1E-3</v>
      </c>
      <c r="H616" s="5">
        <v>4.8999999999999998E-3</v>
      </c>
      <c r="I616" s="5">
        <v>0</v>
      </c>
      <c r="J616" s="5">
        <v>6.1000000000000004E-3</v>
      </c>
      <c r="K616" s="5">
        <v>0</v>
      </c>
      <c r="L616" s="5">
        <v>1.38E-2</v>
      </c>
      <c r="M616" s="5">
        <v>4.7999999999999996E-3</v>
      </c>
      <c r="N616" s="5">
        <v>0</v>
      </c>
      <c r="O616" s="5">
        <v>1.0200000000000001E-2</v>
      </c>
    </row>
    <row r="617" spans="1:15">
      <c r="A617" t="str">
        <f t="shared" si="8"/>
        <v>TGSLD2GCP RP</v>
      </c>
      <c r="B617" t="s">
        <v>713</v>
      </c>
      <c r="C617" t="s">
        <v>162</v>
      </c>
      <c r="D617" s="5">
        <v>7.6E-3</v>
      </c>
      <c r="E617" s="5">
        <v>8.6E-3</v>
      </c>
      <c r="F617" s="5">
        <v>1.4E-3</v>
      </c>
      <c r="G617" s="5">
        <v>8.9999999999999998E-4</v>
      </c>
      <c r="H617" s="5">
        <v>3.5999999999999999E-3</v>
      </c>
      <c r="I617" s="5">
        <v>8.3999999999999995E-3</v>
      </c>
      <c r="J617" s="5">
        <v>5.3E-3</v>
      </c>
      <c r="K617" s="5">
        <v>1.2E-2</v>
      </c>
      <c r="L617" s="5">
        <v>8.2000000000000007E-3</v>
      </c>
      <c r="M617" s="5">
        <v>3.5999999999999999E-3</v>
      </c>
      <c r="N617" s="5">
        <v>3.3E-3</v>
      </c>
      <c r="O617" s="5">
        <v>9.4000000000000004E-3</v>
      </c>
    </row>
    <row r="618" spans="1:15">
      <c r="A618" t="str">
        <f t="shared" si="8"/>
        <v>TGSLD2GCP RP ONPK</v>
      </c>
      <c r="B618" t="s">
        <v>713</v>
      </c>
      <c r="C618" t="s">
        <v>163</v>
      </c>
      <c r="D618" s="5">
        <v>9.1000000000000004E-3</v>
      </c>
      <c r="E618" s="5">
        <v>1.18E-2</v>
      </c>
      <c r="F618" s="5">
        <v>6.9999999999999999E-4</v>
      </c>
      <c r="G618" s="5">
        <v>1.2999999999999999E-3</v>
      </c>
      <c r="H618" s="5">
        <v>4.1000000000000003E-3</v>
      </c>
      <c r="I618" s="5">
        <v>8.8999999999999999E-3</v>
      </c>
      <c r="J618" s="5">
        <v>8.5000000000000006E-3</v>
      </c>
      <c r="K618" s="5">
        <v>1.26E-2</v>
      </c>
      <c r="L618" s="5">
        <v>9.4000000000000004E-3</v>
      </c>
      <c r="M618" s="5">
        <v>4.5999999999999999E-3</v>
      </c>
      <c r="N618" s="5">
        <v>0</v>
      </c>
      <c r="O618" s="5">
        <v>5.8999999999999999E-3</v>
      </c>
    </row>
    <row r="619" spans="1:15">
      <c r="A619" t="str">
        <f t="shared" si="8"/>
        <v>TGSLD2GCP RP OFFPK</v>
      </c>
      <c r="B619" t="s">
        <v>713</v>
      </c>
      <c r="C619" t="s">
        <v>164</v>
      </c>
      <c r="D619" s="5">
        <v>7.6E-3</v>
      </c>
      <c r="E619" s="5">
        <v>8.6E-3</v>
      </c>
      <c r="F619" s="5">
        <v>1.4E-3</v>
      </c>
      <c r="G619" s="5">
        <v>8.9999999999999998E-4</v>
      </c>
      <c r="H619" s="5">
        <v>3.5999999999999999E-3</v>
      </c>
      <c r="I619" s="5">
        <v>8.3999999999999995E-3</v>
      </c>
      <c r="J619" s="5">
        <v>5.3E-3</v>
      </c>
      <c r="K619" s="5">
        <v>1.2E-2</v>
      </c>
      <c r="L619" s="5">
        <v>8.2000000000000007E-3</v>
      </c>
      <c r="M619" s="5">
        <v>3.5999999999999999E-3</v>
      </c>
      <c r="N619" s="5">
        <v>3.3E-3</v>
      </c>
      <c r="O619" s="5">
        <v>9.4000000000000004E-3</v>
      </c>
    </row>
    <row r="620" spans="1:15">
      <c r="A620" t="str">
        <f t="shared" si="8"/>
        <v>TGSLD2CP RP</v>
      </c>
      <c r="B620" t="s">
        <v>713</v>
      </c>
      <c r="C620" t="s">
        <v>165</v>
      </c>
      <c r="D620" s="5">
        <v>9.1000000000000004E-3</v>
      </c>
      <c r="E620" s="5">
        <v>7.9000000000000008E-3</v>
      </c>
      <c r="F620" s="5">
        <v>2.7000000000000001E-3</v>
      </c>
      <c r="G620" s="5">
        <v>1E-3</v>
      </c>
      <c r="H620" s="5">
        <v>4.0000000000000001E-3</v>
      </c>
      <c r="I620" s="5">
        <v>8.9999999999999993E-3</v>
      </c>
      <c r="J620" s="5">
        <v>8.5000000000000006E-3</v>
      </c>
      <c r="K620" s="5">
        <v>9.7000000000000003E-3</v>
      </c>
      <c r="L620" s="5">
        <v>7.6E-3</v>
      </c>
      <c r="M620" s="5">
        <v>4.1999999999999997E-3</v>
      </c>
      <c r="N620" s="5">
        <v>0</v>
      </c>
      <c r="O620" s="5">
        <v>1.0699999999999999E-2</v>
      </c>
    </row>
    <row r="621" spans="1:15">
      <c r="A621" t="str">
        <f t="shared" si="8"/>
        <v>TGSLD2SAMPLE SIZE:</v>
      </c>
      <c r="B621" t="s">
        <v>713</v>
      </c>
      <c r="C621" t="s">
        <v>66</v>
      </c>
    </row>
    <row r="622" spans="1:15">
      <c r="A622" t="str">
        <f t="shared" si="8"/>
        <v>TGSLD2GCPSZ</v>
      </c>
      <c r="B622" t="s">
        <v>713</v>
      </c>
      <c r="C622" t="s">
        <v>166</v>
      </c>
      <c r="D622">
        <v>149</v>
      </c>
      <c r="E622">
        <v>148</v>
      </c>
      <c r="F622">
        <v>150</v>
      </c>
      <c r="G622">
        <v>151</v>
      </c>
      <c r="H622">
        <v>150</v>
      </c>
      <c r="I622">
        <v>152</v>
      </c>
      <c r="J622">
        <v>152</v>
      </c>
      <c r="K622">
        <v>149</v>
      </c>
      <c r="L622">
        <v>146</v>
      </c>
      <c r="M622">
        <v>148</v>
      </c>
      <c r="N622">
        <v>149</v>
      </c>
      <c r="O622">
        <v>150</v>
      </c>
    </row>
    <row r="623" spans="1:15">
      <c r="A623" t="str">
        <f t="shared" si="8"/>
        <v>TGSLD2GCPSZ ONPK</v>
      </c>
      <c r="B623" t="s">
        <v>713</v>
      </c>
      <c r="C623" t="s">
        <v>167</v>
      </c>
      <c r="D623">
        <v>149</v>
      </c>
      <c r="E623">
        <v>148</v>
      </c>
      <c r="F623">
        <v>150</v>
      </c>
      <c r="G623">
        <v>151</v>
      </c>
      <c r="H623">
        <v>150</v>
      </c>
      <c r="I623">
        <v>152</v>
      </c>
      <c r="J623">
        <v>152</v>
      </c>
      <c r="K623">
        <v>149</v>
      </c>
      <c r="L623">
        <v>146</v>
      </c>
      <c r="M623">
        <v>148</v>
      </c>
      <c r="N623">
        <v>150</v>
      </c>
      <c r="O623">
        <v>150</v>
      </c>
    </row>
    <row r="624" spans="1:15">
      <c r="A624" t="str">
        <f t="shared" si="8"/>
        <v>TGSLD2GCPSZ OFFPK</v>
      </c>
      <c r="B624" t="s">
        <v>713</v>
      </c>
      <c r="C624" t="s">
        <v>168</v>
      </c>
      <c r="D624">
        <v>149</v>
      </c>
      <c r="E624">
        <v>148</v>
      </c>
      <c r="F624">
        <v>150</v>
      </c>
      <c r="G624">
        <v>151</v>
      </c>
      <c r="H624">
        <v>150</v>
      </c>
      <c r="I624">
        <v>152</v>
      </c>
      <c r="J624">
        <v>152</v>
      </c>
      <c r="K624">
        <v>149</v>
      </c>
      <c r="L624">
        <v>146</v>
      </c>
      <c r="M624">
        <v>148</v>
      </c>
      <c r="N624">
        <v>149</v>
      </c>
      <c r="O624">
        <v>150</v>
      </c>
    </row>
    <row r="625" spans="1:15">
      <c r="A625" t="str">
        <f t="shared" si="8"/>
        <v>TGSLD2CPSZ</v>
      </c>
      <c r="B625" t="s">
        <v>713</v>
      </c>
      <c r="C625" t="s">
        <v>169</v>
      </c>
      <c r="D625">
        <v>149</v>
      </c>
      <c r="E625">
        <v>148</v>
      </c>
      <c r="F625">
        <v>150</v>
      </c>
      <c r="G625">
        <v>151</v>
      </c>
      <c r="H625">
        <v>150</v>
      </c>
      <c r="I625">
        <v>152</v>
      </c>
      <c r="J625">
        <v>152</v>
      </c>
      <c r="K625">
        <v>149</v>
      </c>
      <c r="L625">
        <v>146</v>
      </c>
      <c r="M625">
        <v>148</v>
      </c>
      <c r="N625">
        <v>150</v>
      </c>
      <c r="O625">
        <v>150</v>
      </c>
    </row>
    <row r="626" spans="1:15">
      <c r="A626" t="str">
        <f t="shared" si="8"/>
        <v/>
      </c>
    </row>
    <row r="627" spans="1:15">
      <c r="A627" t="str">
        <f t="shared" si="8"/>
        <v/>
      </c>
      <c r="B627" s="3"/>
    </row>
    <row r="628" spans="1:15">
      <c r="A628" t="str">
        <f t="shared" si="8"/>
        <v xml:space="preserve">TGSLD3 Total GSLD(T)-3 General Service Large Demand 3 including TOU (2000+ KW) </v>
      </c>
      <c r="B628" t="s">
        <v>715</v>
      </c>
      <c r="C628" t="s">
        <v>716</v>
      </c>
    </row>
    <row r="629" spans="1:15">
      <c r="A629" t="str">
        <f t="shared" ref="A629:A692" si="9">B629&amp;C629</f>
        <v xml:space="preserve">TGSLD3MONTH </v>
      </c>
      <c r="B629" t="s">
        <v>717</v>
      </c>
      <c r="C629" t="s">
        <v>123</v>
      </c>
      <c r="D629" s="4">
        <v>41275</v>
      </c>
      <c r="E629" s="4">
        <v>41306</v>
      </c>
      <c r="F629" s="4">
        <v>41334</v>
      </c>
      <c r="G629" s="4">
        <v>41365</v>
      </c>
      <c r="H629" s="4">
        <v>41395</v>
      </c>
      <c r="I629" s="4">
        <v>41426</v>
      </c>
      <c r="J629" s="4">
        <v>41456</v>
      </c>
      <c r="K629" s="4">
        <v>41487</v>
      </c>
      <c r="L629" s="4">
        <v>41518</v>
      </c>
      <c r="M629" s="4">
        <v>41548</v>
      </c>
      <c r="N629" s="4">
        <v>41579</v>
      </c>
      <c r="O629" s="4">
        <v>41609</v>
      </c>
    </row>
    <row r="630" spans="1:15">
      <c r="A630" t="str">
        <f t="shared" si="9"/>
        <v xml:space="preserve">TGSLD3CUSTOMERS </v>
      </c>
      <c r="B630" t="s">
        <v>717</v>
      </c>
      <c r="C630" t="s">
        <v>124</v>
      </c>
      <c r="D630">
        <v>7</v>
      </c>
      <c r="E630">
        <v>7</v>
      </c>
      <c r="F630">
        <v>7</v>
      </c>
      <c r="G630">
        <v>7</v>
      </c>
      <c r="H630">
        <v>7</v>
      </c>
      <c r="I630">
        <v>7</v>
      </c>
      <c r="J630">
        <v>7</v>
      </c>
      <c r="K630">
        <v>7</v>
      </c>
      <c r="L630">
        <v>7</v>
      </c>
      <c r="M630">
        <v>7</v>
      </c>
      <c r="N630">
        <v>7</v>
      </c>
      <c r="O630">
        <v>7</v>
      </c>
    </row>
    <row r="631" spans="1:15">
      <c r="A631" t="str">
        <f t="shared" si="9"/>
        <v xml:space="preserve">TGSLD3SALES </v>
      </c>
      <c r="B631" t="s">
        <v>717</v>
      </c>
      <c r="C631" t="s">
        <v>125</v>
      </c>
      <c r="D631">
        <v>15563600</v>
      </c>
      <c r="E631">
        <v>15858000</v>
      </c>
      <c r="F631">
        <v>12375600</v>
      </c>
      <c r="G631">
        <v>14274400</v>
      </c>
      <c r="H631">
        <v>14140308</v>
      </c>
      <c r="I631">
        <v>14965600</v>
      </c>
      <c r="J631">
        <v>12026030</v>
      </c>
      <c r="K631">
        <v>12746421</v>
      </c>
      <c r="L631">
        <v>13416800</v>
      </c>
      <c r="M631">
        <v>9748710</v>
      </c>
      <c r="N631">
        <v>12751290</v>
      </c>
      <c r="O631">
        <v>10785976</v>
      </c>
    </row>
    <row r="632" spans="1:15">
      <c r="A632" t="str">
        <f t="shared" si="9"/>
        <v>TGSLD3KW</v>
      </c>
      <c r="B632" t="s">
        <v>717</v>
      </c>
      <c r="C632" t="s">
        <v>126</v>
      </c>
    </row>
    <row r="633" spans="1:15">
      <c r="A633" t="str">
        <f t="shared" si="9"/>
        <v>TGSLD3N</v>
      </c>
      <c r="B633" t="s">
        <v>717</v>
      </c>
      <c r="C633" t="s">
        <v>127</v>
      </c>
      <c r="D633">
        <v>8</v>
      </c>
      <c r="E633">
        <v>8</v>
      </c>
      <c r="F633">
        <v>8</v>
      </c>
      <c r="G633">
        <v>8</v>
      </c>
      <c r="H633">
        <v>8</v>
      </c>
      <c r="I633">
        <v>8</v>
      </c>
      <c r="J633">
        <v>8</v>
      </c>
      <c r="K633">
        <v>8</v>
      </c>
      <c r="L633">
        <v>8</v>
      </c>
      <c r="M633">
        <v>8</v>
      </c>
      <c r="N633">
        <v>8</v>
      </c>
      <c r="O633">
        <v>8</v>
      </c>
    </row>
    <row r="634" spans="1:15">
      <c r="A634" t="str">
        <f t="shared" si="9"/>
        <v>TGSLD3RLR ENERGY:</v>
      </c>
      <c r="B634" t="s">
        <v>717</v>
      </c>
      <c r="C634" t="s">
        <v>61</v>
      </c>
    </row>
    <row r="635" spans="1:15">
      <c r="A635" t="str">
        <f t="shared" si="9"/>
        <v>TGSLD3KWH</v>
      </c>
      <c r="B635" t="s">
        <v>717</v>
      </c>
      <c r="C635" t="s">
        <v>128</v>
      </c>
      <c r="D635">
        <v>16805416</v>
      </c>
      <c r="E635">
        <v>12488943</v>
      </c>
      <c r="F635">
        <v>14315233</v>
      </c>
      <c r="G635">
        <v>14608459</v>
      </c>
      <c r="H635">
        <v>14566871</v>
      </c>
      <c r="I635">
        <v>11576923</v>
      </c>
      <c r="J635">
        <v>12074340</v>
      </c>
      <c r="K635">
        <v>12864442</v>
      </c>
      <c r="L635">
        <v>11008116</v>
      </c>
      <c r="M635">
        <v>11884295</v>
      </c>
      <c r="N635">
        <v>10443460</v>
      </c>
      <c r="O635">
        <v>13199876</v>
      </c>
    </row>
    <row r="636" spans="1:15">
      <c r="A636" t="str">
        <f t="shared" si="9"/>
        <v>TGSLD3KWH ONPK</v>
      </c>
      <c r="B636" t="s">
        <v>717</v>
      </c>
      <c r="C636" t="s">
        <v>129</v>
      </c>
      <c r="D636">
        <v>3877277</v>
      </c>
      <c r="E636">
        <v>3159238</v>
      </c>
      <c r="F636">
        <v>3518675</v>
      </c>
      <c r="G636">
        <v>4552530</v>
      </c>
      <c r="H636">
        <v>4092189</v>
      </c>
      <c r="I636">
        <v>3107927</v>
      </c>
      <c r="J636">
        <v>4245662</v>
      </c>
      <c r="K636">
        <v>4330496</v>
      </c>
      <c r="L636">
        <v>2809120</v>
      </c>
      <c r="M636">
        <v>3504460</v>
      </c>
      <c r="N636">
        <v>2306847</v>
      </c>
      <c r="O636">
        <v>2886345</v>
      </c>
    </row>
    <row r="637" spans="1:15">
      <c r="A637" t="str">
        <f t="shared" si="9"/>
        <v>TGSLD3KWH OFFPK</v>
      </c>
      <c r="B637" t="s">
        <v>717</v>
      </c>
      <c r="C637" t="s">
        <v>130</v>
      </c>
      <c r="D637">
        <v>12928140</v>
      </c>
      <c r="E637">
        <v>9329705</v>
      </c>
      <c r="F637">
        <v>10796558</v>
      </c>
      <c r="G637">
        <v>10055930</v>
      </c>
      <c r="H637">
        <v>10474681</v>
      </c>
      <c r="I637">
        <v>8468996</v>
      </c>
      <c r="J637">
        <v>8577294</v>
      </c>
      <c r="K637">
        <v>9082407</v>
      </c>
      <c r="L637">
        <v>8198996</v>
      </c>
      <c r="M637">
        <v>8379835</v>
      </c>
      <c r="N637">
        <v>8136613</v>
      </c>
      <c r="O637">
        <v>10313532</v>
      </c>
    </row>
    <row r="638" spans="1:15">
      <c r="A638" t="str">
        <f t="shared" si="9"/>
        <v>TGSLD3KWH ONPK%</v>
      </c>
      <c r="B638" t="s">
        <v>717</v>
      </c>
      <c r="C638" t="s">
        <v>131</v>
      </c>
      <c r="D638" s="5">
        <v>0.23072000000000001</v>
      </c>
      <c r="E638" s="5">
        <v>0.25296000000000002</v>
      </c>
      <c r="F638" s="5">
        <v>0.24579999999999999</v>
      </c>
      <c r="G638" s="5">
        <v>0.31163999999999997</v>
      </c>
      <c r="H638" s="5">
        <v>0.28092</v>
      </c>
      <c r="I638" s="5">
        <v>0.26845999999999998</v>
      </c>
      <c r="J638" s="5">
        <v>0.35163</v>
      </c>
      <c r="K638" s="5">
        <v>0.33662999999999998</v>
      </c>
      <c r="L638" s="5">
        <v>0.25518999999999997</v>
      </c>
      <c r="M638" s="5">
        <v>0.29487999999999998</v>
      </c>
      <c r="N638" s="5">
        <v>0.22089</v>
      </c>
      <c r="O638" s="5">
        <v>0.21865999999999999</v>
      </c>
    </row>
    <row r="639" spans="1:15">
      <c r="A639" t="str">
        <f t="shared" si="9"/>
        <v>TGSLD3KWH OFFPK%</v>
      </c>
      <c r="B639" t="s">
        <v>717</v>
      </c>
      <c r="C639" t="s">
        <v>132</v>
      </c>
      <c r="D639" s="5">
        <v>0.76927999999999996</v>
      </c>
      <c r="E639" s="5">
        <v>0.74704000000000004</v>
      </c>
      <c r="F639" s="5">
        <v>0.75419999999999998</v>
      </c>
      <c r="G639" s="5">
        <v>0.68835999999999997</v>
      </c>
      <c r="H639" s="5">
        <v>0.71908000000000005</v>
      </c>
      <c r="I639" s="5">
        <v>0.73153999999999997</v>
      </c>
      <c r="J639" s="5">
        <v>0.71036999999999995</v>
      </c>
      <c r="K639" s="5">
        <v>0.70601000000000003</v>
      </c>
      <c r="L639" s="5">
        <v>0.74480999999999997</v>
      </c>
      <c r="M639" s="5">
        <v>0.70511999999999997</v>
      </c>
      <c r="N639" s="5">
        <v>0.77910999999999997</v>
      </c>
      <c r="O639" s="5">
        <v>0.78134000000000003</v>
      </c>
    </row>
    <row r="640" spans="1:15">
      <c r="A640" t="str">
        <f t="shared" si="9"/>
        <v>TGSLD3DEMAND (KW):</v>
      </c>
      <c r="B640" t="s">
        <v>717</v>
      </c>
      <c r="C640" t="s">
        <v>62</v>
      </c>
    </row>
    <row r="641" spans="1:15">
      <c r="A641" t="str">
        <f t="shared" si="9"/>
        <v>TGSLD3NCP</v>
      </c>
      <c r="B641" t="s">
        <v>717</v>
      </c>
      <c r="C641" t="s">
        <v>133</v>
      </c>
      <c r="D641">
        <v>38641</v>
      </c>
      <c r="E641">
        <v>32524</v>
      </c>
      <c r="F641">
        <v>36469</v>
      </c>
      <c r="G641">
        <v>38875</v>
      </c>
      <c r="H641">
        <v>33109</v>
      </c>
      <c r="I641">
        <v>33596</v>
      </c>
      <c r="J641">
        <v>30181</v>
      </c>
      <c r="K641">
        <v>30019</v>
      </c>
      <c r="L641">
        <v>27830</v>
      </c>
      <c r="M641">
        <v>30532</v>
      </c>
      <c r="N641">
        <v>27424</v>
      </c>
      <c r="O641">
        <v>35760</v>
      </c>
    </row>
    <row r="642" spans="1:15">
      <c r="A642" t="str">
        <f t="shared" si="9"/>
        <v>TGSLD3NCP ONPK</v>
      </c>
      <c r="B642" t="s">
        <v>717</v>
      </c>
      <c r="C642" t="s">
        <v>134</v>
      </c>
      <c r="D642">
        <v>33409</v>
      </c>
      <c r="E642">
        <v>30703</v>
      </c>
      <c r="F642">
        <v>32828</v>
      </c>
      <c r="G642">
        <v>36999</v>
      </c>
      <c r="H642">
        <v>26134</v>
      </c>
      <c r="I642">
        <v>24607</v>
      </c>
      <c r="J642">
        <v>32799</v>
      </c>
      <c r="K642">
        <v>32189</v>
      </c>
      <c r="L642">
        <v>19488</v>
      </c>
      <c r="M642">
        <v>23042</v>
      </c>
      <c r="N642">
        <v>19258</v>
      </c>
      <c r="O642">
        <v>27413</v>
      </c>
    </row>
    <row r="643" spans="1:15">
      <c r="A643" t="str">
        <f t="shared" si="9"/>
        <v>TGSLD3NCP OFFPK</v>
      </c>
      <c r="B643" t="s">
        <v>717</v>
      </c>
      <c r="C643" t="s">
        <v>135</v>
      </c>
      <c r="D643">
        <v>37424</v>
      </c>
      <c r="E643">
        <v>32501</v>
      </c>
      <c r="F643">
        <v>36444</v>
      </c>
      <c r="G643">
        <v>33441</v>
      </c>
      <c r="H643">
        <v>32132</v>
      </c>
      <c r="I643">
        <v>33365</v>
      </c>
      <c r="J643">
        <v>33030</v>
      </c>
      <c r="K643">
        <v>32304</v>
      </c>
      <c r="L643">
        <v>27241</v>
      </c>
      <c r="M643">
        <v>29381</v>
      </c>
      <c r="N643">
        <v>27351</v>
      </c>
      <c r="O643">
        <v>35518</v>
      </c>
    </row>
    <row r="644" spans="1:15">
      <c r="A644" t="str">
        <f t="shared" si="9"/>
        <v>TGSLD3GCP DATE</v>
      </c>
      <c r="B644" t="s">
        <v>717</v>
      </c>
      <c r="C644" t="s">
        <v>136</v>
      </c>
      <c r="D644" t="s">
        <v>835</v>
      </c>
      <c r="E644" t="s">
        <v>274</v>
      </c>
      <c r="F644" t="s">
        <v>794</v>
      </c>
      <c r="G644" t="s">
        <v>998</v>
      </c>
      <c r="H644" t="s">
        <v>798</v>
      </c>
      <c r="I644" t="s">
        <v>855</v>
      </c>
      <c r="J644" t="s">
        <v>748</v>
      </c>
      <c r="K644" t="s">
        <v>862</v>
      </c>
      <c r="L644" t="s">
        <v>999</v>
      </c>
      <c r="M644" t="s">
        <v>1000</v>
      </c>
      <c r="N644" t="s">
        <v>789</v>
      </c>
      <c r="O644" t="s">
        <v>802</v>
      </c>
    </row>
    <row r="645" spans="1:15">
      <c r="A645" t="str">
        <f t="shared" si="9"/>
        <v>TGSLD3GCP TIME</v>
      </c>
      <c r="B645" t="s">
        <v>717</v>
      </c>
      <c r="C645" t="s">
        <v>142</v>
      </c>
      <c r="D645" t="s">
        <v>143</v>
      </c>
      <c r="E645" t="s">
        <v>143</v>
      </c>
      <c r="F645" t="s">
        <v>143</v>
      </c>
      <c r="G645" t="s">
        <v>144</v>
      </c>
      <c r="H645" t="s">
        <v>189</v>
      </c>
      <c r="I645" t="s">
        <v>189</v>
      </c>
      <c r="J645" t="s">
        <v>145</v>
      </c>
      <c r="K645" t="s">
        <v>194</v>
      </c>
      <c r="L645" t="s">
        <v>189</v>
      </c>
      <c r="M645" t="s">
        <v>200</v>
      </c>
      <c r="N645" t="s">
        <v>146</v>
      </c>
      <c r="O645" t="s">
        <v>189</v>
      </c>
    </row>
    <row r="646" spans="1:15">
      <c r="A646" t="str">
        <f t="shared" si="9"/>
        <v>TGSLD3GCP</v>
      </c>
      <c r="B646" t="s">
        <v>717</v>
      </c>
      <c r="C646" t="s">
        <v>147</v>
      </c>
      <c r="D646">
        <v>31544</v>
      </c>
      <c r="E646">
        <v>29139</v>
      </c>
      <c r="F646">
        <v>29955</v>
      </c>
      <c r="G646">
        <v>31101</v>
      </c>
      <c r="H646">
        <v>26108</v>
      </c>
      <c r="I646">
        <v>28619</v>
      </c>
      <c r="J646">
        <v>23434</v>
      </c>
      <c r="K646">
        <v>26355</v>
      </c>
      <c r="L646">
        <v>23617</v>
      </c>
      <c r="M646">
        <v>22934</v>
      </c>
      <c r="N646">
        <v>21354</v>
      </c>
      <c r="O646">
        <v>25855</v>
      </c>
    </row>
    <row r="647" spans="1:15">
      <c r="A647" t="str">
        <f t="shared" si="9"/>
        <v>TGSLD3GCP ONPK</v>
      </c>
      <c r="B647" t="s">
        <v>717</v>
      </c>
      <c r="C647" t="s">
        <v>63</v>
      </c>
      <c r="D647">
        <v>29672</v>
      </c>
      <c r="E647">
        <v>28525</v>
      </c>
      <c r="F647">
        <v>28515</v>
      </c>
      <c r="G647">
        <v>31101</v>
      </c>
      <c r="H647">
        <v>24011</v>
      </c>
      <c r="I647">
        <v>23309</v>
      </c>
      <c r="J647">
        <v>23434</v>
      </c>
      <c r="K647">
        <v>22505</v>
      </c>
      <c r="L647">
        <v>17997</v>
      </c>
      <c r="M647">
        <v>20691</v>
      </c>
      <c r="N647">
        <v>17635</v>
      </c>
      <c r="O647">
        <v>23034</v>
      </c>
    </row>
    <row r="648" spans="1:15">
      <c r="A648" t="str">
        <f t="shared" si="9"/>
        <v>TGSLD3GCP OFFPK</v>
      </c>
      <c r="B648" t="s">
        <v>717</v>
      </c>
      <c r="C648" t="s">
        <v>64</v>
      </c>
      <c r="D648">
        <v>31544</v>
      </c>
      <c r="E648">
        <v>29139</v>
      </c>
      <c r="F648">
        <v>29955</v>
      </c>
      <c r="G648">
        <v>30466</v>
      </c>
      <c r="H648">
        <v>26108</v>
      </c>
      <c r="I648">
        <v>28619</v>
      </c>
      <c r="J648">
        <v>23030</v>
      </c>
      <c r="K648">
        <v>26355</v>
      </c>
      <c r="L648">
        <v>23617</v>
      </c>
      <c r="M648">
        <v>22934</v>
      </c>
      <c r="N648">
        <v>21354</v>
      </c>
      <c r="O648">
        <v>25855</v>
      </c>
    </row>
    <row r="649" spans="1:15">
      <c r="A649" t="str">
        <f t="shared" si="9"/>
        <v>TGSLD3CP</v>
      </c>
      <c r="B649" t="s">
        <v>717</v>
      </c>
      <c r="C649" t="s">
        <v>148</v>
      </c>
      <c r="D649">
        <v>21218</v>
      </c>
      <c r="E649">
        <v>22443</v>
      </c>
      <c r="F649">
        <v>17560</v>
      </c>
      <c r="G649">
        <v>20825</v>
      </c>
      <c r="H649">
        <v>20842</v>
      </c>
      <c r="I649">
        <v>17412</v>
      </c>
      <c r="J649">
        <v>18672</v>
      </c>
      <c r="K649">
        <v>19979</v>
      </c>
      <c r="L649">
        <v>15656</v>
      </c>
      <c r="M649">
        <v>19224</v>
      </c>
      <c r="N649">
        <v>15892</v>
      </c>
      <c r="O649">
        <v>16874</v>
      </c>
    </row>
    <row r="650" spans="1:15">
      <c r="A650" t="str">
        <f t="shared" si="9"/>
        <v>TGSLD3PERIOD START</v>
      </c>
      <c r="B650" t="s">
        <v>717</v>
      </c>
      <c r="C650" t="s">
        <v>149</v>
      </c>
      <c r="D650" s="1">
        <v>41275</v>
      </c>
      <c r="E650" s="1">
        <v>41306</v>
      </c>
      <c r="F650" s="1">
        <v>41334</v>
      </c>
      <c r="G650" s="1">
        <v>41365</v>
      </c>
      <c r="H650" s="1">
        <v>41395</v>
      </c>
      <c r="I650" s="1">
        <v>41426</v>
      </c>
      <c r="J650" s="1">
        <v>41456</v>
      </c>
      <c r="K650" s="1">
        <v>41487</v>
      </c>
      <c r="L650" s="1">
        <v>41518</v>
      </c>
      <c r="M650" s="1">
        <v>41548</v>
      </c>
      <c r="N650" s="1">
        <v>41579</v>
      </c>
      <c r="O650" s="1">
        <v>41609</v>
      </c>
    </row>
    <row r="651" spans="1:15">
      <c r="A651" t="str">
        <f t="shared" si="9"/>
        <v>TGSLD3NCP LF</v>
      </c>
      <c r="B651" t="s">
        <v>717</v>
      </c>
      <c r="C651" t="s">
        <v>150</v>
      </c>
      <c r="D651" s="5">
        <v>0.58460000000000001</v>
      </c>
      <c r="E651" s="5">
        <v>0.57140000000000002</v>
      </c>
      <c r="F651" s="5">
        <v>0.52759999999999996</v>
      </c>
      <c r="G651" s="5">
        <v>0.52190000000000003</v>
      </c>
      <c r="H651" s="5">
        <v>0.59140000000000004</v>
      </c>
      <c r="I651" s="5">
        <v>0.47860000000000003</v>
      </c>
      <c r="J651" s="5">
        <v>0.53769999999999996</v>
      </c>
      <c r="K651" s="5">
        <v>0.57599999999999996</v>
      </c>
      <c r="L651" s="5">
        <v>0.5494</v>
      </c>
      <c r="M651" s="5">
        <v>0.5232</v>
      </c>
      <c r="N651" s="5">
        <v>0.52890000000000004</v>
      </c>
      <c r="O651" s="5">
        <v>0.49609999999999999</v>
      </c>
    </row>
    <row r="652" spans="1:15">
      <c r="A652" t="str">
        <f t="shared" si="9"/>
        <v>TGSLD3NCP LF ONPK</v>
      </c>
      <c r="B652" t="s">
        <v>717</v>
      </c>
      <c r="C652" t="s">
        <v>151</v>
      </c>
      <c r="D652" s="5">
        <v>0</v>
      </c>
      <c r="E652" s="5">
        <v>0</v>
      </c>
      <c r="F652" s="5">
        <v>0</v>
      </c>
      <c r="G652" s="5">
        <v>0</v>
      </c>
      <c r="H652" s="5">
        <v>0</v>
      </c>
      <c r="I652" s="5">
        <v>0</v>
      </c>
      <c r="J652" s="5">
        <v>0</v>
      </c>
      <c r="K652" s="5">
        <v>0</v>
      </c>
      <c r="L652" s="5">
        <v>0</v>
      </c>
      <c r="M652" s="5">
        <v>0</v>
      </c>
      <c r="N652" s="5">
        <v>0</v>
      </c>
      <c r="O652" s="5">
        <v>0</v>
      </c>
    </row>
    <row r="653" spans="1:15">
      <c r="A653" t="str">
        <f t="shared" si="9"/>
        <v>TGSLD3NCP LF OFFPK</v>
      </c>
      <c r="B653" t="s">
        <v>717</v>
      </c>
      <c r="C653" t="s">
        <v>152</v>
      </c>
      <c r="D653" s="5">
        <v>0</v>
      </c>
      <c r="E653" s="5">
        <v>0</v>
      </c>
      <c r="F653" s="5">
        <v>0</v>
      </c>
      <c r="G653" s="5">
        <v>0</v>
      </c>
      <c r="H653" s="5">
        <v>0</v>
      </c>
      <c r="I653" s="5">
        <v>0</v>
      </c>
      <c r="J653" s="5">
        <v>0</v>
      </c>
      <c r="K653" s="5">
        <v>0</v>
      </c>
      <c r="L653" s="5">
        <v>0</v>
      </c>
      <c r="M653" s="5">
        <v>0</v>
      </c>
      <c r="N653" s="5">
        <v>0</v>
      </c>
      <c r="O653" s="5">
        <v>0</v>
      </c>
    </row>
    <row r="654" spans="1:15">
      <c r="A654" t="str">
        <f t="shared" si="9"/>
        <v>TGSLD3GCP CF</v>
      </c>
      <c r="B654" t="s">
        <v>717</v>
      </c>
      <c r="C654" t="s">
        <v>153</v>
      </c>
      <c r="D654" s="5">
        <v>0.81630000000000003</v>
      </c>
      <c r="E654" s="5">
        <v>0.89590000000000003</v>
      </c>
      <c r="F654" s="5">
        <v>0.82140000000000002</v>
      </c>
      <c r="G654" s="5">
        <v>0.8</v>
      </c>
      <c r="H654" s="5">
        <v>0.78849999999999998</v>
      </c>
      <c r="I654" s="5">
        <v>0.85189999999999999</v>
      </c>
      <c r="J654" s="5">
        <v>0.77639999999999998</v>
      </c>
      <c r="K654" s="5">
        <v>0.878</v>
      </c>
      <c r="L654" s="5">
        <v>0.84860000000000002</v>
      </c>
      <c r="M654" s="5">
        <v>0.75109999999999999</v>
      </c>
      <c r="N654" s="5">
        <v>0.77869999999999995</v>
      </c>
      <c r="O654" s="5">
        <v>0.72299999999999998</v>
      </c>
    </row>
    <row r="655" spans="1:15">
      <c r="A655" t="str">
        <f t="shared" si="9"/>
        <v>TGSLD3CP CF</v>
      </c>
      <c r="B655" t="s">
        <v>717</v>
      </c>
      <c r="C655" t="s">
        <v>154</v>
      </c>
      <c r="D655" s="5">
        <v>0.54910000000000003</v>
      </c>
      <c r="E655" s="5">
        <v>0.69010000000000005</v>
      </c>
      <c r="F655" s="5">
        <v>0.48149999999999998</v>
      </c>
      <c r="G655" s="5">
        <v>0.53569999999999995</v>
      </c>
      <c r="H655" s="5">
        <v>0.62949999999999995</v>
      </c>
      <c r="I655" s="5">
        <v>0.51829999999999998</v>
      </c>
      <c r="J655" s="5">
        <v>0.61870000000000003</v>
      </c>
      <c r="K655" s="5">
        <v>0.66549999999999998</v>
      </c>
      <c r="L655" s="5">
        <v>0.56259999999999999</v>
      </c>
      <c r="M655" s="5">
        <v>0.62960000000000005</v>
      </c>
      <c r="N655" s="5">
        <v>0.57950000000000002</v>
      </c>
      <c r="O655" s="5">
        <v>0.47189999999999999</v>
      </c>
    </row>
    <row r="656" spans="1:15">
      <c r="A656" t="str">
        <f t="shared" si="9"/>
        <v>TGSLD3GCP LF</v>
      </c>
      <c r="B656" t="s">
        <v>717</v>
      </c>
      <c r="C656" t="s">
        <v>155</v>
      </c>
      <c r="D656" s="5">
        <v>0.71609999999999996</v>
      </c>
      <c r="E656" s="5">
        <v>0.63780000000000003</v>
      </c>
      <c r="F656" s="5">
        <v>0.64229999999999998</v>
      </c>
      <c r="G656" s="5">
        <v>0.65239999999999998</v>
      </c>
      <c r="H656" s="5">
        <v>0.74990000000000001</v>
      </c>
      <c r="I656" s="5">
        <v>0.56179999999999997</v>
      </c>
      <c r="J656" s="5">
        <v>0.6925</v>
      </c>
      <c r="K656" s="5">
        <v>0.65610000000000002</v>
      </c>
      <c r="L656" s="5">
        <v>0.64739999999999998</v>
      </c>
      <c r="M656" s="5">
        <v>0.69650000000000001</v>
      </c>
      <c r="N656" s="5">
        <v>0.67930000000000001</v>
      </c>
      <c r="O656" s="5">
        <v>0.68620000000000003</v>
      </c>
    </row>
    <row r="657" spans="1:15">
      <c r="A657" t="str">
        <f t="shared" si="9"/>
        <v>TGSLD3GCP LF ONPK</v>
      </c>
      <c r="B657" t="s">
        <v>717</v>
      </c>
      <c r="C657" t="s">
        <v>156</v>
      </c>
      <c r="D657" s="5">
        <v>0</v>
      </c>
      <c r="E657" s="5">
        <v>0</v>
      </c>
      <c r="F657" s="5">
        <v>0</v>
      </c>
      <c r="G657" s="5">
        <v>0</v>
      </c>
      <c r="H657" s="5">
        <v>0</v>
      </c>
      <c r="I657" s="5">
        <v>0</v>
      </c>
      <c r="J657" s="5">
        <v>0</v>
      </c>
      <c r="K657" s="5">
        <v>0</v>
      </c>
      <c r="L657" s="5">
        <v>0</v>
      </c>
      <c r="M657" s="5">
        <v>0</v>
      </c>
      <c r="N657" s="5">
        <v>0</v>
      </c>
      <c r="O657" s="5">
        <v>0</v>
      </c>
    </row>
    <row r="658" spans="1:15">
      <c r="A658" t="str">
        <f t="shared" si="9"/>
        <v>TGSLD3GCP LF OFFPK</v>
      </c>
      <c r="B658" t="s">
        <v>717</v>
      </c>
      <c r="C658" t="s">
        <v>157</v>
      </c>
      <c r="D658" s="5">
        <v>0</v>
      </c>
      <c r="E658" s="5">
        <v>0</v>
      </c>
      <c r="F658" s="5">
        <v>0</v>
      </c>
      <c r="G658" s="5">
        <v>0</v>
      </c>
      <c r="H658" s="5">
        <v>0</v>
      </c>
      <c r="I658" s="5">
        <v>0</v>
      </c>
      <c r="J658" s="5">
        <v>0</v>
      </c>
      <c r="K658" s="5">
        <v>0</v>
      </c>
      <c r="L658" s="5">
        <v>0</v>
      </c>
      <c r="M658" s="5">
        <v>0</v>
      </c>
      <c r="N658" s="5">
        <v>0</v>
      </c>
      <c r="O658" s="5">
        <v>0</v>
      </c>
    </row>
    <row r="659" spans="1:15">
      <c r="A659" t="str">
        <f t="shared" si="9"/>
        <v>TGSLD3CP LF</v>
      </c>
      <c r="B659" t="s">
        <v>717</v>
      </c>
      <c r="C659" t="s">
        <v>158</v>
      </c>
      <c r="D659" s="5">
        <v>1.0645</v>
      </c>
      <c r="E659" s="5">
        <v>0.82809999999999995</v>
      </c>
      <c r="F659" s="5">
        <v>1.0956999999999999</v>
      </c>
      <c r="G659" s="5">
        <v>0.97430000000000005</v>
      </c>
      <c r="H659" s="5">
        <v>0.93940000000000001</v>
      </c>
      <c r="I659" s="5">
        <v>0.92349999999999999</v>
      </c>
      <c r="J659" s="5">
        <v>0.86909999999999998</v>
      </c>
      <c r="K659" s="5">
        <v>0.86550000000000005</v>
      </c>
      <c r="L659" s="5">
        <v>0.97650000000000003</v>
      </c>
      <c r="M659" s="5">
        <v>0.83089999999999997</v>
      </c>
      <c r="N659" s="5">
        <v>0.91269999999999996</v>
      </c>
      <c r="O659" s="5">
        <v>1.0513999999999999</v>
      </c>
    </row>
    <row r="660" spans="1:15">
      <c r="A660" t="str">
        <f t="shared" si="9"/>
        <v>TGSLD3REL PREC:</v>
      </c>
      <c r="B660" t="s">
        <v>717</v>
      </c>
      <c r="C660" t="s">
        <v>65</v>
      </c>
    </row>
    <row r="661" spans="1:15">
      <c r="A661" t="str">
        <f t="shared" si="9"/>
        <v>TGSLD3NCP RP</v>
      </c>
      <c r="B661" t="s">
        <v>717</v>
      </c>
      <c r="C661" t="s">
        <v>159</v>
      </c>
      <c r="D661" s="5">
        <v>0</v>
      </c>
      <c r="E661" s="5">
        <v>0</v>
      </c>
      <c r="F661" s="5">
        <v>0</v>
      </c>
      <c r="G661" s="5">
        <v>0</v>
      </c>
      <c r="H661" s="5">
        <v>0</v>
      </c>
      <c r="I661" s="5">
        <v>0</v>
      </c>
      <c r="J661" s="5">
        <v>0</v>
      </c>
      <c r="K661" s="5">
        <v>0</v>
      </c>
      <c r="L661" s="5">
        <v>0</v>
      </c>
      <c r="M661" s="5">
        <v>0</v>
      </c>
      <c r="N661" s="5">
        <v>0</v>
      </c>
      <c r="O661" s="5">
        <v>0</v>
      </c>
    </row>
    <row r="662" spans="1:15">
      <c r="A662" t="str">
        <f t="shared" si="9"/>
        <v>TGSLD3NCP RP ONPK</v>
      </c>
      <c r="B662" t="s">
        <v>717</v>
      </c>
      <c r="C662" t="s">
        <v>160</v>
      </c>
      <c r="D662" s="5">
        <v>0</v>
      </c>
      <c r="E662" s="5">
        <v>0</v>
      </c>
      <c r="F662" s="5">
        <v>0</v>
      </c>
      <c r="G662" s="5">
        <v>0</v>
      </c>
      <c r="H662" s="5">
        <v>0</v>
      </c>
      <c r="I662" s="5">
        <v>0</v>
      </c>
      <c r="J662" s="5">
        <v>0</v>
      </c>
      <c r="K662" s="5">
        <v>0</v>
      </c>
      <c r="L662" s="5">
        <v>0</v>
      </c>
      <c r="M662" s="5">
        <v>0</v>
      </c>
      <c r="N662" s="5">
        <v>0</v>
      </c>
      <c r="O662" s="5">
        <v>0</v>
      </c>
    </row>
    <row r="663" spans="1:15">
      <c r="A663" t="str">
        <f t="shared" si="9"/>
        <v>TGSLD3NCP RP OFFPK</v>
      </c>
      <c r="B663" t="s">
        <v>717</v>
      </c>
      <c r="C663" t="s">
        <v>161</v>
      </c>
      <c r="D663" s="5">
        <v>0</v>
      </c>
      <c r="E663" s="5">
        <v>0</v>
      </c>
      <c r="F663" s="5">
        <v>0</v>
      </c>
      <c r="G663" s="5">
        <v>0</v>
      </c>
      <c r="H663" s="5">
        <v>0</v>
      </c>
      <c r="I663" s="5">
        <v>0</v>
      </c>
      <c r="J663" s="5">
        <v>0</v>
      </c>
      <c r="K663" s="5">
        <v>0</v>
      </c>
      <c r="L663" s="5">
        <v>0</v>
      </c>
      <c r="M663" s="5">
        <v>0</v>
      </c>
      <c r="N663" s="5">
        <v>0</v>
      </c>
      <c r="O663" s="5">
        <v>0</v>
      </c>
    </row>
    <row r="664" spans="1:15">
      <c r="A664" t="str">
        <f t="shared" si="9"/>
        <v>TGSLD3GCP RP</v>
      </c>
      <c r="B664" t="s">
        <v>717</v>
      </c>
      <c r="C664" t="s">
        <v>162</v>
      </c>
      <c r="D664" s="5">
        <v>0</v>
      </c>
      <c r="E664" s="5">
        <v>0</v>
      </c>
      <c r="F664" s="5">
        <v>0</v>
      </c>
      <c r="G664" s="5">
        <v>0</v>
      </c>
      <c r="H664" s="5">
        <v>0</v>
      </c>
      <c r="I664" s="5">
        <v>0</v>
      </c>
      <c r="J664" s="5">
        <v>0</v>
      </c>
      <c r="K664" s="5">
        <v>0</v>
      </c>
      <c r="L664" s="5">
        <v>0</v>
      </c>
      <c r="M664" s="5">
        <v>0</v>
      </c>
      <c r="N664" s="5">
        <v>0</v>
      </c>
      <c r="O664" s="5">
        <v>0</v>
      </c>
    </row>
    <row r="665" spans="1:15">
      <c r="A665" t="str">
        <f t="shared" si="9"/>
        <v>TGSLD3GCP RP ONPK</v>
      </c>
      <c r="B665" t="s">
        <v>717</v>
      </c>
      <c r="C665" t="s">
        <v>163</v>
      </c>
      <c r="D665" s="5">
        <v>0</v>
      </c>
      <c r="E665" s="5">
        <v>0</v>
      </c>
      <c r="F665" s="5">
        <v>0</v>
      </c>
      <c r="G665" s="5">
        <v>0</v>
      </c>
      <c r="H665" s="5">
        <v>0</v>
      </c>
      <c r="I665" s="5">
        <v>0</v>
      </c>
      <c r="J665" s="5">
        <v>0</v>
      </c>
      <c r="K665" s="5">
        <v>0</v>
      </c>
      <c r="L665" s="5">
        <v>0</v>
      </c>
      <c r="M665" s="5">
        <v>0</v>
      </c>
      <c r="N665" s="5">
        <v>0</v>
      </c>
      <c r="O665" s="5">
        <v>0</v>
      </c>
    </row>
    <row r="666" spans="1:15">
      <c r="A666" t="str">
        <f t="shared" si="9"/>
        <v>TGSLD3GCP RP OFFPK</v>
      </c>
      <c r="B666" t="s">
        <v>717</v>
      </c>
      <c r="C666" t="s">
        <v>164</v>
      </c>
      <c r="D666" s="5">
        <v>0</v>
      </c>
      <c r="E666" s="5">
        <v>0</v>
      </c>
      <c r="F666" s="5">
        <v>0</v>
      </c>
      <c r="G666" s="5">
        <v>0</v>
      </c>
      <c r="H666" s="5">
        <v>0</v>
      </c>
      <c r="I666" s="5">
        <v>0</v>
      </c>
      <c r="J666" s="5">
        <v>0</v>
      </c>
      <c r="K666" s="5">
        <v>0</v>
      </c>
      <c r="L666" s="5">
        <v>0</v>
      </c>
      <c r="M666" s="5">
        <v>0</v>
      </c>
      <c r="N666" s="5">
        <v>0</v>
      </c>
      <c r="O666" s="5">
        <v>0</v>
      </c>
    </row>
    <row r="667" spans="1:15">
      <c r="A667" t="str">
        <f t="shared" si="9"/>
        <v>TGSLD3CP RP</v>
      </c>
      <c r="B667" t="s">
        <v>717</v>
      </c>
      <c r="C667" t="s">
        <v>165</v>
      </c>
      <c r="D667" s="5">
        <v>0</v>
      </c>
      <c r="E667" s="5">
        <v>0</v>
      </c>
      <c r="F667" s="5">
        <v>0</v>
      </c>
      <c r="G667" s="5">
        <v>0</v>
      </c>
      <c r="H667" s="5">
        <v>0</v>
      </c>
      <c r="I667" s="5">
        <v>0</v>
      </c>
      <c r="J667" s="5">
        <v>0</v>
      </c>
      <c r="K667" s="5">
        <v>0</v>
      </c>
      <c r="L667" s="5">
        <v>0</v>
      </c>
      <c r="M667" s="5">
        <v>0</v>
      </c>
      <c r="N667" s="5">
        <v>0</v>
      </c>
      <c r="O667" s="5">
        <v>0</v>
      </c>
    </row>
    <row r="668" spans="1:15">
      <c r="A668" t="str">
        <f t="shared" si="9"/>
        <v>TGSLD3SAMPLE SIZE:</v>
      </c>
      <c r="B668" t="s">
        <v>717</v>
      </c>
      <c r="C668" t="s">
        <v>66</v>
      </c>
    </row>
    <row r="669" spans="1:15">
      <c r="A669" t="str">
        <f t="shared" si="9"/>
        <v>TGSLD3GCPSZ</v>
      </c>
      <c r="B669" t="s">
        <v>717</v>
      </c>
      <c r="C669" t="s">
        <v>166</v>
      </c>
      <c r="D669">
        <v>8</v>
      </c>
      <c r="E669">
        <v>8</v>
      </c>
      <c r="F669">
        <v>8</v>
      </c>
      <c r="G669">
        <v>8</v>
      </c>
      <c r="H669">
        <v>8</v>
      </c>
      <c r="I669">
        <v>8</v>
      </c>
      <c r="J669">
        <v>8</v>
      </c>
      <c r="K669">
        <v>8</v>
      </c>
      <c r="L669">
        <v>6</v>
      </c>
      <c r="M669">
        <v>7</v>
      </c>
      <c r="N669">
        <v>8</v>
      </c>
      <c r="O669">
        <v>8</v>
      </c>
    </row>
    <row r="670" spans="1:15">
      <c r="A670" t="str">
        <f t="shared" si="9"/>
        <v>TGSLD3GCPSZ ONPK</v>
      </c>
      <c r="B670" t="s">
        <v>717</v>
      </c>
      <c r="C670" t="s">
        <v>167</v>
      </c>
      <c r="D670">
        <v>8</v>
      </c>
      <c r="E670">
        <v>8</v>
      </c>
      <c r="F670">
        <v>8</v>
      </c>
      <c r="G670">
        <v>8</v>
      </c>
      <c r="H670">
        <v>8</v>
      </c>
      <c r="I670">
        <v>8</v>
      </c>
      <c r="J670">
        <v>8</v>
      </c>
      <c r="K670">
        <v>8</v>
      </c>
      <c r="L670">
        <v>6</v>
      </c>
      <c r="M670">
        <v>7</v>
      </c>
      <c r="N670">
        <v>8</v>
      </c>
      <c r="O670">
        <v>8</v>
      </c>
    </row>
    <row r="671" spans="1:15">
      <c r="A671" t="str">
        <f t="shared" si="9"/>
        <v>TGSLD3GCPSZ OFFPK</v>
      </c>
      <c r="B671" t="s">
        <v>717</v>
      </c>
      <c r="C671" t="s">
        <v>168</v>
      </c>
      <c r="D671">
        <v>8</v>
      </c>
      <c r="E671">
        <v>8</v>
      </c>
      <c r="F671">
        <v>8</v>
      </c>
      <c r="G671">
        <v>8</v>
      </c>
      <c r="H671">
        <v>8</v>
      </c>
      <c r="I671">
        <v>8</v>
      </c>
      <c r="J671">
        <v>8</v>
      </c>
      <c r="K671">
        <v>8</v>
      </c>
      <c r="L671">
        <v>6</v>
      </c>
      <c r="M671">
        <v>7</v>
      </c>
      <c r="N671">
        <v>8</v>
      </c>
      <c r="O671">
        <v>8</v>
      </c>
    </row>
    <row r="672" spans="1:15">
      <c r="A672" t="str">
        <f t="shared" si="9"/>
        <v>TGSLD3CPSZ</v>
      </c>
      <c r="B672" t="s">
        <v>717</v>
      </c>
      <c r="C672" t="s">
        <v>169</v>
      </c>
      <c r="D672">
        <v>8</v>
      </c>
      <c r="E672">
        <v>8</v>
      </c>
      <c r="F672">
        <v>8</v>
      </c>
      <c r="G672">
        <v>8</v>
      </c>
      <c r="H672">
        <v>8</v>
      </c>
      <c r="I672">
        <v>8</v>
      </c>
      <c r="J672">
        <v>8</v>
      </c>
      <c r="K672">
        <v>8</v>
      </c>
      <c r="L672">
        <v>6</v>
      </c>
      <c r="M672">
        <v>7</v>
      </c>
      <c r="N672">
        <v>8</v>
      </c>
      <c r="O672">
        <v>8</v>
      </c>
    </row>
    <row r="673" spans="1:15">
      <c r="A673" t="str">
        <f t="shared" si="9"/>
        <v/>
      </c>
    </row>
    <row r="674" spans="1:15">
      <c r="A674" t="str">
        <f t="shared" si="9"/>
        <v/>
      </c>
    </row>
    <row r="675" spans="1:15">
      <c r="A675" t="str">
        <f t="shared" si="9"/>
        <v xml:space="preserve">LEE Lee County Wholesale </v>
      </c>
      <c r="B675" t="s">
        <v>659</v>
      </c>
      <c r="C675" t="s">
        <v>838</v>
      </c>
    </row>
    <row r="676" spans="1:15">
      <c r="A676" t="str">
        <f t="shared" si="9"/>
        <v xml:space="preserve">LEEMONTH </v>
      </c>
      <c r="B676" t="s">
        <v>661</v>
      </c>
      <c r="C676" t="s">
        <v>123</v>
      </c>
      <c r="D676" s="4">
        <v>41275</v>
      </c>
      <c r="E676" s="4">
        <v>41306</v>
      </c>
      <c r="F676" s="4">
        <v>41334</v>
      </c>
      <c r="G676" s="4">
        <v>41365</v>
      </c>
      <c r="H676" s="4">
        <v>41395</v>
      </c>
      <c r="I676" s="4">
        <v>41426</v>
      </c>
      <c r="J676" s="4">
        <v>41456</v>
      </c>
      <c r="K676" s="4">
        <v>41487</v>
      </c>
      <c r="L676" s="4">
        <v>41518</v>
      </c>
      <c r="M676" s="4">
        <v>41548</v>
      </c>
      <c r="N676" s="4">
        <v>41579</v>
      </c>
      <c r="O676" s="4">
        <v>41609</v>
      </c>
    </row>
    <row r="677" spans="1:15">
      <c r="A677" t="str">
        <f t="shared" si="9"/>
        <v xml:space="preserve">LEECUSTOMERS </v>
      </c>
      <c r="B677" t="s">
        <v>661</v>
      </c>
      <c r="C677" t="s">
        <v>124</v>
      </c>
      <c r="D677">
        <v>2</v>
      </c>
      <c r="E677">
        <v>2</v>
      </c>
      <c r="F677">
        <v>2</v>
      </c>
      <c r="G677">
        <v>2</v>
      </c>
      <c r="H677">
        <v>2</v>
      </c>
      <c r="I677">
        <v>2</v>
      </c>
      <c r="J677">
        <v>2</v>
      </c>
      <c r="K677">
        <v>2</v>
      </c>
      <c r="L677">
        <v>2</v>
      </c>
      <c r="M677">
        <v>2</v>
      </c>
      <c r="N677">
        <v>2</v>
      </c>
      <c r="O677">
        <v>2</v>
      </c>
    </row>
    <row r="678" spans="1:15">
      <c r="A678" t="str">
        <f t="shared" si="9"/>
        <v xml:space="preserve">LEESALES </v>
      </c>
      <c r="B678" t="s">
        <v>661</v>
      </c>
      <c r="C678" t="s">
        <v>125</v>
      </c>
      <c r="D678">
        <v>87506642</v>
      </c>
      <c r="E678">
        <v>89786426</v>
      </c>
      <c r="F678">
        <v>84958675</v>
      </c>
      <c r="G678">
        <v>92662204</v>
      </c>
      <c r="H678">
        <v>101520484</v>
      </c>
      <c r="I678">
        <v>102931974</v>
      </c>
      <c r="J678">
        <v>107378415</v>
      </c>
      <c r="K678">
        <v>108944627</v>
      </c>
      <c r="L678">
        <v>116066398</v>
      </c>
      <c r="M678">
        <v>104907725</v>
      </c>
      <c r="N678">
        <v>106317407</v>
      </c>
      <c r="O678">
        <v>93649225</v>
      </c>
    </row>
    <row r="679" spans="1:15">
      <c r="A679" t="str">
        <f t="shared" si="9"/>
        <v>LEEKW</v>
      </c>
      <c r="B679" t="s">
        <v>661</v>
      </c>
      <c r="C679" t="s">
        <v>126</v>
      </c>
    </row>
    <row r="680" spans="1:15">
      <c r="A680" t="str">
        <f t="shared" si="9"/>
        <v>LEEN</v>
      </c>
      <c r="B680" t="s">
        <v>661</v>
      </c>
      <c r="C680" t="s">
        <v>127</v>
      </c>
      <c r="D680">
        <v>1</v>
      </c>
      <c r="E680">
        <v>1</v>
      </c>
      <c r="F680">
        <v>1</v>
      </c>
      <c r="G680">
        <v>1</v>
      </c>
      <c r="H680">
        <v>1</v>
      </c>
      <c r="I680">
        <v>1</v>
      </c>
      <c r="J680">
        <v>1</v>
      </c>
      <c r="K680">
        <v>1</v>
      </c>
      <c r="L680">
        <v>1</v>
      </c>
      <c r="M680">
        <v>1</v>
      </c>
      <c r="N680">
        <v>1</v>
      </c>
      <c r="O680">
        <v>1</v>
      </c>
    </row>
    <row r="681" spans="1:15">
      <c r="A681" t="str">
        <f t="shared" si="9"/>
        <v>LEERLR ENERGY:</v>
      </c>
      <c r="B681" t="s">
        <v>661</v>
      </c>
      <c r="C681" t="s">
        <v>61</v>
      </c>
    </row>
    <row r="682" spans="1:15">
      <c r="A682" t="str">
        <f t="shared" si="9"/>
        <v>LEEKWH</v>
      </c>
      <c r="B682" t="s">
        <v>661</v>
      </c>
      <c r="C682" t="s">
        <v>128</v>
      </c>
      <c r="D682">
        <v>89785672</v>
      </c>
      <c r="E682">
        <v>84957961</v>
      </c>
      <c r="F682">
        <v>92661425</v>
      </c>
      <c r="G682">
        <v>101519631</v>
      </c>
      <c r="H682">
        <v>102931109</v>
      </c>
      <c r="I682">
        <v>107377484</v>
      </c>
      <c r="J682">
        <v>108943682</v>
      </c>
      <c r="K682">
        <v>116065392</v>
      </c>
      <c r="L682">
        <v>104906815</v>
      </c>
      <c r="M682">
        <v>106316485</v>
      </c>
      <c r="N682">
        <v>93554288</v>
      </c>
      <c r="O682">
        <v>93355584</v>
      </c>
    </row>
    <row r="683" spans="1:15">
      <c r="A683" t="str">
        <f t="shared" si="9"/>
        <v>LEEKWH ONPK</v>
      </c>
      <c r="B683" t="s">
        <v>661</v>
      </c>
      <c r="C683" t="s">
        <v>129</v>
      </c>
      <c r="D683">
        <v>23031866</v>
      </c>
      <c r="E683">
        <v>22039682</v>
      </c>
      <c r="F683">
        <v>22952574</v>
      </c>
      <c r="G683">
        <v>35248317</v>
      </c>
      <c r="H683">
        <v>33983774</v>
      </c>
      <c r="I683">
        <v>32887592</v>
      </c>
      <c r="J683">
        <v>35858435</v>
      </c>
      <c r="K683">
        <v>38655811</v>
      </c>
      <c r="L683">
        <v>32463097</v>
      </c>
      <c r="M683">
        <v>37482874</v>
      </c>
      <c r="N683">
        <v>21872762</v>
      </c>
      <c r="O683">
        <v>22111037</v>
      </c>
    </row>
    <row r="684" spans="1:15">
      <c r="A684" t="str">
        <f t="shared" si="9"/>
        <v>LEEKWH OFFPK</v>
      </c>
      <c r="B684" t="s">
        <v>661</v>
      </c>
      <c r="C684" t="s">
        <v>130</v>
      </c>
      <c r="D684">
        <v>66753806</v>
      </c>
      <c r="E684">
        <v>62918280</v>
      </c>
      <c r="F684">
        <v>69708851</v>
      </c>
      <c r="G684">
        <v>66271314</v>
      </c>
      <c r="H684">
        <v>68947334</v>
      </c>
      <c r="I684">
        <v>74489892</v>
      </c>
      <c r="J684">
        <v>73085248</v>
      </c>
      <c r="K684">
        <v>77409581</v>
      </c>
      <c r="L684">
        <v>72443718</v>
      </c>
      <c r="M684">
        <v>68833611</v>
      </c>
      <c r="N684">
        <v>71681526</v>
      </c>
      <c r="O684">
        <v>71244547</v>
      </c>
    </row>
    <row r="685" spans="1:15">
      <c r="A685" t="str">
        <f t="shared" si="9"/>
        <v>LEEKWH ONPK%</v>
      </c>
      <c r="B685" t="s">
        <v>661</v>
      </c>
      <c r="C685" t="s">
        <v>131</v>
      </c>
      <c r="D685" s="5">
        <v>0.25652000000000003</v>
      </c>
      <c r="E685" s="5">
        <v>0.25941999999999998</v>
      </c>
      <c r="F685" s="5">
        <v>0.2477</v>
      </c>
      <c r="G685" s="5">
        <v>0.34721000000000002</v>
      </c>
      <c r="H685" s="5">
        <v>0.33016000000000001</v>
      </c>
      <c r="I685" s="5">
        <v>0.30628</v>
      </c>
      <c r="J685" s="5">
        <v>0.32915</v>
      </c>
      <c r="K685" s="5">
        <v>0.33305000000000001</v>
      </c>
      <c r="L685" s="5">
        <v>0.30945</v>
      </c>
      <c r="M685" s="5">
        <v>0.35255999999999998</v>
      </c>
      <c r="N685" s="5">
        <v>0.23380000000000001</v>
      </c>
      <c r="O685" s="5">
        <v>0.23685</v>
      </c>
    </row>
    <row r="686" spans="1:15">
      <c r="A686" t="str">
        <f t="shared" si="9"/>
        <v>LEEKWH OFFPK%</v>
      </c>
      <c r="B686" t="s">
        <v>661</v>
      </c>
      <c r="C686" t="s">
        <v>132</v>
      </c>
      <c r="D686" s="5">
        <v>0.74348000000000003</v>
      </c>
      <c r="E686" s="5">
        <v>0.74058000000000002</v>
      </c>
      <c r="F686" s="5">
        <v>0.75229999999999997</v>
      </c>
      <c r="G686" s="5">
        <v>0.65278999999999998</v>
      </c>
      <c r="H686" s="5">
        <v>0.66983999999999999</v>
      </c>
      <c r="I686" s="5">
        <v>0.69372</v>
      </c>
      <c r="J686" s="5">
        <v>0.67084999999999995</v>
      </c>
      <c r="K686" s="5">
        <v>0.66695000000000004</v>
      </c>
      <c r="L686" s="5">
        <v>0.69055</v>
      </c>
      <c r="M686" s="5">
        <v>0.64744000000000002</v>
      </c>
      <c r="N686" s="5">
        <v>0.76619999999999999</v>
      </c>
      <c r="O686" s="5">
        <v>0.76315</v>
      </c>
    </row>
    <row r="687" spans="1:15">
      <c r="A687" t="str">
        <f t="shared" si="9"/>
        <v>LEEDEMAND (KW):</v>
      </c>
      <c r="B687" t="s">
        <v>661</v>
      </c>
      <c r="C687" t="s">
        <v>62</v>
      </c>
    </row>
    <row r="688" spans="1:15">
      <c r="A688" t="str">
        <f t="shared" si="9"/>
        <v>LEENCP</v>
      </c>
      <c r="B688" t="s">
        <v>661</v>
      </c>
      <c r="C688" t="s">
        <v>133</v>
      </c>
      <c r="D688">
        <v>172867</v>
      </c>
      <c r="E688">
        <v>194639</v>
      </c>
      <c r="F688">
        <v>196069</v>
      </c>
      <c r="G688">
        <v>223880</v>
      </c>
      <c r="H688">
        <v>224198</v>
      </c>
      <c r="I688">
        <v>231785</v>
      </c>
      <c r="J688">
        <v>226251</v>
      </c>
      <c r="K688">
        <v>236361</v>
      </c>
      <c r="L688">
        <v>227263</v>
      </c>
      <c r="M688">
        <v>220995</v>
      </c>
      <c r="N688">
        <v>200240</v>
      </c>
      <c r="O688">
        <v>186591</v>
      </c>
    </row>
    <row r="689" spans="1:15">
      <c r="A689" t="str">
        <f t="shared" si="9"/>
        <v>LEENCP ONPK</v>
      </c>
      <c r="B689" t="s">
        <v>661</v>
      </c>
      <c r="C689" t="s">
        <v>134</v>
      </c>
      <c r="D689">
        <v>172867</v>
      </c>
      <c r="E689">
        <v>194639</v>
      </c>
      <c r="F689">
        <v>196069</v>
      </c>
      <c r="G689">
        <v>223880</v>
      </c>
      <c r="H689">
        <v>224198</v>
      </c>
      <c r="I689">
        <v>231785</v>
      </c>
      <c r="J689">
        <v>226251</v>
      </c>
      <c r="K689">
        <v>236361</v>
      </c>
      <c r="L689">
        <v>227263</v>
      </c>
      <c r="M689">
        <v>220995</v>
      </c>
      <c r="N689">
        <v>187306</v>
      </c>
      <c r="O689">
        <v>183623</v>
      </c>
    </row>
    <row r="690" spans="1:15">
      <c r="A690" t="str">
        <f t="shared" si="9"/>
        <v>LEENCP OFFPK</v>
      </c>
      <c r="B690" t="s">
        <v>661</v>
      </c>
      <c r="C690" t="s">
        <v>135</v>
      </c>
      <c r="D690">
        <v>170168</v>
      </c>
      <c r="E690">
        <v>185425</v>
      </c>
      <c r="F690">
        <v>178811</v>
      </c>
      <c r="G690">
        <v>206997</v>
      </c>
      <c r="H690">
        <v>210254</v>
      </c>
      <c r="I690">
        <v>222978</v>
      </c>
      <c r="J690">
        <v>218861</v>
      </c>
      <c r="K690">
        <v>233219</v>
      </c>
      <c r="L690">
        <v>223763</v>
      </c>
      <c r="M690">
        <v>217926</v>
      </c>
      <c r="N690">
        <v>200240</v>
      </c>
      <c r="O690">
        <v>186591</v>
      </c>
    </row>
    <row r="691" spans="1:15">
      <c r="A691" t="str">
        <f t="shared" si="9"/>
        <v>LEEGCP DATE</v>
      </c>
      <c r="B691" t="s">
        <v>661</v>
      </c>
      <c r="C691" t="s">
        <v>136</v>
      </c>
      <c r="D691" t="s">
        <v>755</v>
      </c>
      <c r="E691" t="s">
        <v>743</v>
      </c>
      <c r="F691" t="s">
        <v>744</v>
      </c>
      <c r="G691" t="s">
        <v>784</v>
      </c>
      <c r="H691" t="s">
        <v>769</v>
      </c>
      <c r="I691" t="s">
        <v>839</v>
      </c>
      <c r="J691" t="s">
        <v>831</v>
      </c>
      <c r="K691" t="s">
        <v>805</v>
      </c>
      <c r="L691" t="s">
        <v>827</v>
      </c>
      <c r="M691" t="s">
        <v>764</v>
      </c>
      <c r="N691" t="s">
        <v>824</v>
      </c>
      <c r="O691" t="s">
        <v>840</v>
      </c>
    </row>
    <row r="692" spans="1:15">
      <c r="A692" t="str">
        <f t="shared" si="9"/>
        <v>LEEGCP TIME</v>
      </c>
      <c r="B692" t="s">
        <v>661</v>
      </c>
      <c r="C692" t="s">
        <v>142</v>
      </c>
      <c r="D692" t="s">
        <v>193</v>
      </c>
      <c r="E692" t="s">
        <v>203</v>
      </c>
      <c r="F692" t="s">
        <v>203</v>
      </c>
      <c r="G692" t="s">
        <v>196</v>
      </c>
      <c r="H692" t="s">
        <v>195</v>
      </c>
      <c r="I692" t="s">
        <v>195</v>
      </c>
      <c r="J692" t="s">
        <v>195</v>
      </c>
      <c r="K692" t="s">
        <v>195</v>
      </c>
      <c r="L692" t="s">
        <v>195</v>
      </c>
      <c r="M692" t="s">
        <v>195</v>
      </c>
      <c r="N692" t="s">
        <v>195</v>
      </c>
      <c r="O692" t="s">
        <v>145</v>
      </c>
    </row>
    <row r="693" spans="1:15">
      <c r="A693" t="str">
        <f t="shared" ref="A693:A756" si="10">B693&amp;C693</f>
        <v>LEEGCP</v>
      </c>
      <c r="B693" t="s">
        <v>661</v>
      </c>
      <c r="C693" t="s">
        <v>147</v>
      </c>
      <c r="D693">
        <v>172867</v>
      </c>
      <c r="E693">
        <v>194639</v>
      </c>
      <c r="F693">
        <v>196069</v>
      </c>
      <c r="G693">
        <v>223880</v>
      </c>
      <c r="H693">
        <v>224198</v>
      </c>
      <c r="I693">
        <v>231785</v>
      </c>
      <c r="J693">
        <v>226251</v>
      </c>
      <c r="K693">
        <v>236361</v>
      </c>
      <c r="L693">
        <v>227263</v>
      </c>
      <c r="M693">
        <v>220995</v>
      </c>
      <c r="N693">
        <v>200240</v>
      </c>
      <c r="O693">
        <v>186591</v>
      </c>
    </row>
    <row r="694" spans="1:15">
      <c r="A694" t="str">
        <f t="shared" si="10"/>
        <v>LEEGCP ONPK</v>
      </c>
      <c r="B694" t="s">
        <v>661</v>
      </c>
      <c r="C694" t="s">
        <v>63</v>
      </c>
      <c r="D694">
        <v>172867</v>
      </c>
      <c r="E694">
        <v>194639</v>
      </c>
      <c r="F694">
        <v>196069</v>
      </c>
      <c r="G694">
        <v>223880</v>
      </c>
      <c r="H694">
        <v>224198</v>
      </c>
      <c r="I694">
        <v>231785</v>
      </c>
      <c r="J694">
        <v>226251</v>
      </c>
      <c r="K694">
        <v>236361</v>
      </c>
      <c r="L694">
        <v>227263</v>
      </c>
      <c r="M694">
        <v>220995</v>
      </c>
      <c r="N694">
        <v>187306</v>
      </c>
      <c r="O694">
        <v>183623</v>
      </c>
    </row>
    <row r="695" spans="1:15">
      <c r="A695" t="str">
        <f t="shared" si="10"/>
        <v>LEEGCP OFFPK</v>
      </c>
      <c r="B695" t="s">
        <v>661</v>
      </c>
      <c r="C695" t="s">
        <v>64</v>
      </c>
      <c r="D695">
        <v>170168</v>
      </c>
      <c r="E695">
        <v>185425</v>
      </c>
      <c r="F695">
        <v>178811</v>
      </c>
      <c r="G695">
        <v>206997</v>
      </c>
      <c r="H695">
        <v>210254</v>
      </c>
      <c r="I695">
        <v>222978</v>
      </c>
      <c r="J695">
        <v>218861</v>
      </c>
      <c r="K695">
        <v>233219</v>
      </c>
      <c r="L695">
        <v>223763</v>
      </c>
      <c r="M695">
        <v>217926</v>
      </c>
      <c r="N695">
        <v>200240</v>
      </c>
      <c r="O695">
        <v>186591</v>
      </c>
    </row>
    <row r="696" spans="1:15">
      <c r="A696" t="str">
        <f t="shared" si="10"/>
        <v>LEECP</v>
      </c>
      <c r="B696" t="s">
        <v>661</v>
      </c>
      <c r="C696" t="s">
        <v>148</v>
      </c>
      <c r="D696">
        <v>172867</v>
      </c>
      <c r="E696">
        <v>180391</v>
      </c>
      <c r="F696">
        <v>196069</v>
      </c>
      <c r="G696">
        <v>206991</v>
      </c>
      <c r="H696">
        <v>224198</v>
      </c>
      <c r="I696">
        <v>220994</v>
      </c>
      <c r="J696">
        <v>216226</v>
      </c>
      <c r="K696">
        <v>236361</v>
      </c>
      <c r="L696">
        <v>223470</v>
      </c>
      <c r="M696">
        <v>220995</v>
      </c>
      <c r="N696">
        <v>200240</v>
      </c>
      <c r="O696">
        <v>185242</v>
      </c>
    </row>
    <row r="697" spans="1:15">
      <c r="A697" t="str">
        <f t="shared" si="10"/>
        <v>LEEPERIOD START</v>
      </c>
      <c r="B697" t="s">
        <v>661</v>
      </c>
      <c r="C697" t="s">
        <v>149</v>
      </c>
      <c r="D697" s="1">
        <v>41275</v>
      </c>
      <c r="E697" s="1">
        <v>41306</v>
      </c>
      <c r="F697" s="1">
        <v>41334</v>
      </c>
      <c r="G697" s="1">
        <v>41365</v>
      </c>
      <c r="H697" s="1">
        <v>41395</v>
      </c>
      <c r="I697" s="1">
        <v>41426</v>
      </c>
      <c r="J697" s="1">
        <v>41456</v>
      </c>
      <c r="K697" s="1">
        <v>41487</v>
      </c>
      <c r="L697" s="1">
        <v>41518</v>
      </c>
      <c r="M697" s="1">
        <v>41548</v>
      </c>
      <c r="N697" s="1">
        <v>41579</v>
      </c>
      <c r="O697" s="1">
        <v>41609</v>
      </c>
    </row>
    <row r="698" spans="1:15">
      <c r="A698" t="str">
        <f t="shared" si="10"/>
        <v>LEENCP LF</v>
      </c>
      <c r="B698" t="s">
        <v>661</v>
      </c>
      <c r="C698" t="s">
        <v>150</v>
      </c>
      <c r="D698" s="5">
        <v>0.69810000000000005</v>
      </c>
      <c r="E698" s="5">
        <v>0.64949999999999997</v>
      </c>
      <c r="F698" s="5">
        <v>0.6361</v>
      </c>
      <c r="G698" s="5">
        <v>0.62980000000000003</v>
      </c>
      <c r="H698" s="5">
        <v>0.61709999999999998</v>
      </c>
      <c r="I698" s="5">
        <v>0.64339999999999997</v>
      </c>
      <c r="J698" s="5">
        <v>0.6472</v>
      </c>
      <c r="K698" s="5">
        <v>0.66</v>
      </c>
      <c r="L698" s="5">
        <v>0.6411</v>
      </c>
      <c r="M698" s="5">
        <v>0.64659999999999995</v>
      </c>
      <c r="N698" s="5">
        <v>0.64890000000000003</v>
      </c>
      <c r="O698" s="5">
        <v>0.67249999999999999</v>
      </c>
    </row>
    <row r="699" spans="1:15">
      <c r="A699" t="str">
        <f t="shared" si="10"/>
        <v>LEENCP LF ONPK</v>
      </c>
      <c r="B699" t="s">
        <v>661</v>
      </c>
      <c r="C699" t="s">
        <v>151</v>
      </c>
      <c r="D699" s="5">
        <v>0.75700000000000001</v>
      </c>
      <c r="E699" s="5">
        <v>0.7077</v>
      </c>
      <c r="F699" s="5">
        <v>0.69679999999999997</v>
      </c>
      <c r="G699" s="5">
        <v>0.79520000000000002</v>
      </c>
      <c r="H699" s="5">
        <v>0.76559999999999995</v>
      </c>
      <c r="I699" s="5">
        <v>0.7883</v>
      </c>
      <c r="J699" s="5">
        <v>0.80049999999999999</v>
      </c>
      <c r="K699" s="5">
        <v>0.82599999999999996</v>
      </c>
      <c r="L699" s="5">
        <v>0.79359999999999997</v>
      </c>
      <c r="M699" s="5">
        <v>0.81940000000000002</v>
      </c>
      <c r="N699" s="5">
        <v>0.7298</v>
      </c>
      <c r="O699" s="5">
        <v>0.71679999999999999</v>
      </c>
    </row>
    <row r="700" spans="1:15">
      <c r="A700" t="str">
        <f t="shared" si="10"/>
        <v>LEENCP LF OFFPK</v>
      </c>
      <c r="B700" t="s">
        <v>661</v>
      </c>
      <c r="C700" t="s">
        <v>152</v>
      </c>
      <c r="D700" s="5">
        <v>0.69059999999999999</v>
      </c>
      <c r="E700" s="5">
        <v>0.66269999999999996</v>
      </c>
      <c r="F700" s="5">
        <v>0.67800000000000005</v>
      </c>
      <c r="G700" s="5">
        <v>0.61329999999999996</v>
      </c>
      <c r="H700" s="5">
        <v>0.60060000000000002</v>
      </c>
      <c r="I700" s="5">
        <v>0.61860000000000004</v>
      </c>
      <c r="J700" s="5">
        <v>0.61160000000000003</v>
      </c>
      <c r="K700" s="5">
        <v>0.6079</v>
      </c>
      <c r="L700" s="5">
        <v>0.59950000000000003</v>
      </c>
      <c r="M700" s="5">
        <v>0.58819999999999995</v>
      </c>
      <c r="N700" s="5">
        <v>0.63919999999999999</v>
      </c>
      <c r="O700" s="5">
        <v>0.66290000000000004</v>
      </c>
    </row>
    <row r="701" spans="1:15">
      <c r="A701" t="str">
        <f t="shared" si="10"/>
        <v>LEEGCP CF</v>
      </c>
      <c r="B701" t="s">
        <v>661</v>
      </c>
      <c r="C701" t="s">
        <v>153</v>
      </c>
      <c r="D701" s="5">
        <v>1</v>
      </c>
      <c r="E701" s="5">
        <v>1</v>
      </c>
      <c r="F701" s="5">
        <v>1</v>
      </c>
      <c r="G701" s="5">
        <v>1</v>
      </c>
      <c r="H701" s="5">
        <v>1</v>
      </c>
      <c r="I701" s="5">
        <v>1</v>
      </c>
      <c r="J701" s="5">
        <v>1</v>
      </c>
      <c r="K701" s="5">
        <v>1</v>
      </c>
      <c r="L701" s="5">
        <v>1</v>
      </c>
      <c r="M701" s="5">
        <v>1</v>
      </c>
      <c r="N701" s="5">
        <v>1</v>
      </c>
      <c r="O701" s="5">
        <v>1</v>
      </c>
    </row>
    <row r="702" spans="1:15">
      <c r="A702" t="str">
        <f t="shared" si="10"/>
        <v>LEECP CF</v>
      </c>
      <c r="B702" t="s">
        <v>661</v>
      </c>
      <c r="C702" t="s">
        <v>154</v>
      </c>
      <c r="D702" s="5">
        <v>1</v>
      </c>
      <c r="E702" s="5">
        <v>0.92679999999999996</v>
      </c>
      <c r="F702" s="5">
        <v>1</v>
      </c>
      <c r="G702" s="5">
        <v>0.92459999999999998</v>
      </c>
      <c r="H702" s="5">
        <v>1</v>
      </c>
      <c r="I702" s="5">
        <v>0.95340000000000003</v>
      </c>
      <c r="J702" s="5">
        <v>0.95569999999999999</v>
      </c>
      <c r="K702" s="5">
        <v>1</v>
      </c>
      <c r="L702" s="5">
        <v>0.98329999999999995</v>
      </c>
      <c r="M702" s="5">
        <v>1</v>
      </c>
      <c r="N702" s="5">
        <v>1</v>
      </c>
      <c r="O702" s="5">
        <v>0.99280000000000002</v>
      </c>
    </row>
    <row r="703" spans="1:15">
      <c r="A703" t="str">
        <f t="shared" si="10"/>
        <v>LEEGCP LF</v>
      </c>
      <c r="B703" t="s">
        <v>661</v>
      </c>
      <c r="C703" t="s">
        <v>155</v>
      </c>
      <c r="D703" s="5">
        <v>0.69810000000000005</v>
      </c>
      <c r="E703" s="5">
        <v>0.64949999999999997</v>
      </c>
      <c r="F703" s="5">
        <v>0.6361</v>
      </c>
      <c r="G703" s="5">
        <v>0.62980000000000003</v>
      </c>
      <c r="H703" s="5">
        <v>0.61709999999999998</v>
      </c>
      <c r="I703" s="5">
        <v>0.64339999999999997</v>
      </c>
      <c r="J703" s="5">
        <v>0.6472</v>
      </c>
      <c r="K703" s="5">
        <v>0.66</v>
      </c>
      <c r="L703" s="5">
        <v>0.6411</v>
      </c>
      <c r="M703" s="5">
        <v>0.64659999999999995</v>
      </c>
      <c r="N703" s="5">
        <v>0.64890000000000003</v>
      </c>
      <c r="O703" s="5">
        <v>0.67249999999999999</v>
      </c>
    </row>
    <row r="704" spans="1:15">
      <c r="A704" t="str">
        <f t="shared" si="10"/>
        <v>LEEGCP LF ONPK</v>
      </c>
      <c r="B704" t="s">
        <v>661</v>
      </c>
      <c r="C704" t="s">
        <v>156</v>
      </c>
      <c r="D704" s="5">
        <v>0.75700000000000001</v>
      </c>
      <c r="E704" s="5">
        <v>0.7077</v>
      </c>
      <c r="F704" s="5">
        <v>0.69679999999999997</v>
      </c>
      <c r="G704" s="5">
        <v>0.79520000000000002</v>
      </c>
      <c r="H704" s="5">
        <v>0.76559999999999995</v>
      </c>
      <c r="I704" s="5">
        <v>0.7883</v>
      </c>
      <c r="J704" s="5">
        <v>0.80049999999999999</v>
      </c>
      <c r="K704" s="5">
        <v>0.82599999999999996</v>
      </c>
      <c r="L704" s="5">
        <v>0.79359999999999997</v>
      </c>
      <c r="M704" s="5">
        <v>0.81940000000000002</v>
      </c>
      <c r="N704" s="5">
        <v>0.7298</v>
      </c>
      <c r="O704" s="5">
        <v>0.71679999999999999</v>
      </c>
    </row>
    <row r="705" spans="1:15">
      <c r="A705" t="str">
        <f t="shared" si="10"/>
        <v>LEEGCP LF OFFPK</v>
      </c>
      <c r="B705" t="s">
        <v>661</v>
      </c>
      <c r="C705" t="s">
        <v>157</v>
      </c>
      <c r="D705" s="5">
        <v>0.69059999999999999</v>
      </c>
      <c r="E705" s="5">
        <v>0.66269999999999996</v>
      </c>
      <c r="F705" s="5">
        <v>0.67800000000000005</v>
      </c>
      <c r="G705" s="5">
        <v>0.61329999999999996</v>
      </c>
      <c r="H705" s="5">
        <v>0.60060000000000002</v>
      </c>
      <c r="I705" s="5">
        <v>0.61860000000000004</v>
      </c>
      <c r="J705" s="5">
        <v>0.61160000000000003</v>
      </c>
      <c r="K705" s="5">
        <v>0.6079</v>
      </c>
      <c r="L705" s="5">
        <v>0.59950000000000003</v>
      </c>
      <c r="M705" s="5">
        <v>0.58819999999999995</v>
      </c>
      <c r="N705" s="5">
        <v>0.63919999999999999</v>
      </c>
      <c r="O705" s="5">
        <v>0.66290000000000004</v>
      </c>
    </row>
    <row r="706" spans="1:15">
      <c r="A706" t="str">
        <f t="shared" si="10"/>
        <v>LEECP LF</v>
      </c>
      <c r="B706" t="s">
        <v>661</v>
      </c>
      <c r="C706" t="s">
        <v>158</v>
      </c>
      <c r="D706" s="5">
        <v>0.69810000000000005</v>
      </c>
      <c r="E706" s="5">
        <v>0.70079999999999998</v>
      </c>
      <c r="F706" s="5">
        <v>0.6361</v>
      </c>
      <c r="G706" s="5">
        <v>0.68120000000000003</v>
      </c>
      <c r="H706" s="5">
        <v>0.61709999999999998</v>
      </c>
      <c r="I706" s="5">
        <v>0.67479999999999996</v>
      </c>
      <c r="J706" s="5">
        <v>0.67720000000000002</v>
      </c>
      <c r="K706" s="5">
        <v>0.66</v>
      </c>
      <c r="L706" s="5">
        <v>0.65200000000000002</v>
      </c>
      <c r="M706" s="5">
        <v>0.64659999999999995</v>
      </c>
      <c r="N706" s="5">
        <v>0.64890000000000003</v>
      </c>
      <c r="O706" s="5">
        <v>0.6774</v>
      </c>
    </row>
    <row r="707" spans="1:15">
      <c r="A707" t="str">
        <f t="shared" si="10"/>
        <v>LEEREL PREC:</v>
      </c>
      <c r="B707" t="s">
        <v>661</v>
      </c>
      <c r="C707" t="s">
        <v>65</v>
      </c>
    </row>
    <row r="708" spans="1:15">
      <c r="A708" t="str">
        <f t="shared" si="10"/>
        <v>LEENCP RP</v>
      </c>
      <c r="B708" t="s">
        <v>661</v>
      </c>
      <c r="C708" t="s">
        <v>159</v>
      </c>
      <c r="D708" s="5">
        <v>0</v>
      </c>
      <c r="E708" s="5">
        <v>0</v>
      </c>
      <c r="F708" s="5">
        <v>0</v>
      </c>
      <c r="G708" s="5">
        <v>0</v>
      </c>
      <c r="H708" s="5">
        <v>0</v>
      </c>
      <c r="I708" s="5">
        <v>0</v>
      </c>
      <c r="J708" s="5">
        <v>0</v>
      </c>
      <c r="K708" s="5">
        <v>0</v>
      </c>
      <c r="L708" s="5">
        <v>0</v>
      </c>
      <c r="M708" s="5">
        <v>0</v>
      </c>
      <c r="N708" s="5">
        <v>0</v>
      </c>
      <c r="O708" s="5">
        <v>0</v>
      </c>
    </row>
    <row r="709" spans="1:15">
      <c r="A709" t="str">
        <f t="shared" si="10"/>
        <v>LEENCP RP ONPK</v>
      </c>
      <c r="B709" t="s">
        <v>661</v>
      </c>
      <c r="C709" t="s">
        <v>160</v>
      </c>
      <c r="D709" s="5">
        <v>0</v>
      </c>
      <c r="E709" s="5">
        <v>0</v>
      </c>
      <c r="F709" s="5">
        <v>0</v>
      </c>
      <c r="G709" s="5">
        <v>0</v>
      </c>
      <c r="H709" s="5">
        <v>0</v>
      </c>
      <c r="I709" s="5">
        <v>0</v>
      </c>
      <c r="J709" s="5">
        <v>0</v>
      </c>
      <c r="K709" s="5">
        <v>0</v>
      </c>
      <c r="L709" s="5">
        <v>0</v>
      </c>
      <c r="M709" s="5">
        <v>0</v>
      </c>
      <c r="N709" s="5">
        <v>0</v>
      </c>
      <c r="O709" s="5">
        <v>0</v>
      </c>
    </row>
    <row r="710" spans="1:15">
      <c r="A710" t="str">
        <f t="shared" si="10"/>
        <v>LEENCP RP OFFPK</v>
      </c>
      <c r="B710" t="s">
        <v>661</v>
      </c>
      <c r="C710" t="s">
        <v>161</v>
      </c>
      <c r="D710" s="5">
        <v>0</v>
      </c>
      <c r="E710" s="5">
        <v>0</v>
      </c>
      <c r="F710" s="5">
        <v>0</v>
      </c>
      <c r="G710" s="5">
        <v>0</v>
      </c>
      <c r="H710" s="5">
        <v>0</v>
      </c>
      <c r="I710" s="5">
        <v>0</v>
      </c>
      <c r="J710" s="5">
        <v>0</v>
      </c>
      <c r="K710" s="5">
        <v>0</v>
      </c>
      <c r="L710" s="5">
        <v>0</v>
      </c>
      <c r="M710" s="5">
        <v>0</v>
      </c>
      <c r="N710" s="5">
        <v>0</v>
      </c>
      <c r="O710" s="5">
        <v>0</v>
      </c>
    </row>
    <row r="711" spans="1:15">
      <c r="A711" t="str">
        <f t="shared" si="10"/>
        <v>LEEGCP RP</v>
      </c>
      <c r="B711" t="s">
        <v>661</v>
      </c>
      <c r="C711" t="s">
        <v>162</v>
      </c>
      <c r="D711" s="5">
        <v>0</v>
      </c>
      <c r="E711" s="5">
        <v>0</v>
      </c>
      <c r="F711" s="5">
        <v>0</v>
      </c>
      <c r="G711" s="5">
        <v>0</v>
      </c>
      <c r="H711" s="5">
        <v>0</v>
      </c>
      <c r="I711" s="5">
        <v>0</v>
      </c>
      <c r="J711" s="5">
        <v>0</v>
      </c>
      <c r="K711" s="5">
        <v>0</v>
      </c>
      <c r="L711" s="5">
        <v>0</v>
      </c>
      <c r="M711" s="5">
        <v>0</v>
      </c>
      <c r="N711" s="5">
        <v>0</v>
      </c>
      <c r="O711" s="5">
        <v>0</v>
      </c>
    </row>
    <row r="712" spans="1:15">
      <c r="A712" t="str">
        <f t="shared" si="10"/>
        <v>LEEGCP RP ONPK</v>
      </c>
      <c r="B712" t="s">
        <v>661</v>
      </c>
      <c r="C712" t="s">
        <v>163</v>
      </c>
      <c r="D712" s="5">
        <v>0</v>
      </c>
      <c r="E712" s="5">
        <v>0</v>
      </c>
      <c r="F712" s="5">
        <v>0</v>
      </c>
      <c r="G712" s="5">
        <v>0</v>
      </c>
      <c r="H712" s="5">
        <v>0</v>
      </c>
      <c r="I712" s="5">
        <v>0</v>
      </c>
      <c r="J712" s="5">
        <v>0</v>
      </c>
      <c r="K712" s="5">
        <v>0</v>
      </c>
      <c r="L712" s="5">
        <v>0</v>
      </c>
      <c r="M712" s="5">
        <v>0</v>
      </c>
      <c r="N712" s="5">
        <v>0</v>
      </c>
      <c r="O712" s="5">
        <v>0</v>
      </c>
    </row>
    <row r="713" spans="1:15">
      <c r="A713" t="str">
        <f t="shared" si="10"/>
        <v>LEEGCP RP OFFPK</v>
      </c>
      <c r="B713" t="s">
        <v>661</v>
      </c>
      <c r="C713" t="s">
        <v>164</v>
      </c>
      <c r="D713" s="5">
        <v>0</v>
      </c>
      <c r="E713" s="5">
        <v>0</v>
      </c>
      <c r="F713" s="5">
        <v>0</v>
      </c>
      <c r="G713" s="5">
        <v>0</v>
      </c>
      <c r="H713" s="5">
        <v>0</v>
      </c>
      <c r="I713" s="5">
        <v>0</v>
      </c>
      <c r="J713" s="5">
        <v>0</v>
      </c>
      <c r="K713" s="5">
        <v>0</v>
      </c>
      <c r="L713" s="5">
        <v>0</v>
      </c>
      <c r="M713" s="5">
        <v>0</v>
      </c>
      <c r="N713" s="5">
        <v>0</v>
      </c>
      <c r="O713" s="5">
        <v>0</v>
      </c>
    </row>
    <row r="714" spans="1:15">
      <c r="A714" t="str">
        <f t="shared" si="10"/>
        <v>LEECP RP</v>
      </c>
      <c r="B714" t="s">
        <v>661</v>
      </c>
      <c r="C714" t="s">
        <v>165</v>
      </c>
      <c r="D714" s="5">
        <v>0</v>
      </c>
      <c r="E714" s="5">
        <v>0</v>
      </c>
      <c r="F714" s="5">
        <v>0</v>
      </c>
      <c r="G714" s="5">
        <v>0</v>
      </c>
      <c r="H714" s="5">
        <v>0</v>
      </c>
      <c r="I714" s="5">
        <v>0</v>
      </c>
      <c r="J714" s="5">
        <v>0</v>
      </c>
      <c r="K714" s="5">
        <v>0</v>
      </c>
      <c r="L714" s="5">
        <v>0</v>
      </c>
      <c r="M714" s="5">
        <v>0</v>
      </c>
      <c r="N714" s="5">
        <v>0</v>
      </c>
      <c r="O714" s="5">
        <v>0</v>
      </c>
    </row>
    <row r="715" spans="1:15">
      <c r="A715" t="str">
        <f t="shared" si="10"/>
        <v>LEESAMPLE SIZE:</v>
      </c>
      <c r="B715" t="s">
        <v>661</v>
      </c>
      <c r="C715" t="s">
        <v>66</v>
      </c>
    </row>
    <row r="716" spans="1:15">
      <c r="A716" t="str">
        <f t="shared" si="10"/>
        <v>LEEGCPSZ</v>
      </c>
      <c r="B716" t="s">
        <v>661</v>
      </c>
      <c r="C716" t="s">
        <v>166</v>
      </c>
      <c r="D716">
        <v>1</v>
      </c>
      <c r="E716">
        <v>1</v>
      </c>
      <c r="F716">
        <v>1</v>
      </c>
      <c r="G716">
        <v>1</v>
      </c>
      <c r="H716">
        <v>1</v>
      </c>
      <c r="I716">
        <v>1</v>
      </c>
      <c r="J716">
        <v>1</v>
      </c>
      <c r="K716">
        <v>1</v>
      </c>
      <c r="L716">
        <v>1</v>
      </c>
      <c r="M716">
        <v>1</v>
      </c>
      <c r="N716">
        <v>1</v>
      </c>
      <c r="O716">
        <v>1</v>
      </c>
    </row>
    <row r="717" spans="1:15">
      <c r="A717" t="str">
        <f t="shared" si="10"/>
        <v>LEEGCPSZ ONPK</v>
      </c>
      <c r="B717" t="s">
        <v>661</v>
      </c>
      <c r="C717" t="s">
        <v>167</v>
      </c>
      <c r="D717">
        <v>1</v>
      </c>
      <c r="E717">
        <v>1</v>
      </c>
      <c r="F717">
        <v>1</v>
      </c>
      <c r="G717">
        <v>1</v>
      </c>
      <c r="H717">
        <v>1</v>
      </c>
      <c r="I717">
        <v>1</v>
      </c>
      <c r="J717">
        <v>1</v>
      </c>
      <c r="K717">
        <v>1</v>
      </c>
      <c r="L717">
        <v>1</v>
      </c>
      <c r="M717">
        <v>1</v>
      </c>
      <c r="N717">
        <v>1</v>
      </c>
      <c r="O717">
        <v>1</v>
      </c>
    </row>
    <row r="718" spans="1:15">
      <c r="A718" t="str">
        <f t="shared" si="10"/>
        <v>LEEGCPSZ OFFPK</v>
      </c>
      <c r="B718" t="s">
        <v>661</v>
      </c>
      <c r="C718" t="s">
        <v>168</v>
      </c>
      <c r="D718">
        <v>1</v>
      </c>
      <c r="E718">
        <v>1</v>
      </c>
      <c r="F718">
        <v>1</v>
      </c>
      <c r="G718">
        <v>1</v>
      </c>
      <c r="H718">
        <v>1</v>
      </c>
      <c r="I718">
        <v>1</v>
      </c>
      <c r="J718">
        <v>1</v>
      </c>
      <c r="K718">
        <v>1</v>
      </c>
      <c r="L718">
        <v>1</v>
      </c>
      <c r="M718">
        <v>1</v>
      </c>
      <c r="N718">
        <v>1</v>
      </c>
      <c r="O718">
        <v>1</v>
      </c>
    </row>
    <row r="719" spans="1:15">
      <c r="A719" t="str">
        <f t="shared" si="10"/>
        <v>LEECPSZ</v>
      </c>
      <c r="B719" t="s">
        <v>661</v>
      </c>
      <c r="C719" t="s">
        <v>169</v>
      </c>
      <c r="D719">
        <v>1</v>
      </c>
      <c r="E719">
        <v>1</v>
      </c>
      <c r="F719">
        <v>1</v>
      </c>
      <c r="G719">
        <v>1</v>
      </c>
      <c r="H719">
        <v>1</v>
      </c>
      <c r="I719">
        <v>1</v>
      </c>
      <c r="J719">
        <v>1</v>
      </c>
      <c r="K719">
        <v>1</v>
      </c>
      <c r="L719">
        <v>1</v>
      </c>
      <c r="M719">
        <v>1</v>
      </c>
      <c r="N719">
        <v>1</v>
      </c>
      <c r="O719">
        <v>1</v>
      </c>
    </row>
    <row r="720" spans="1:15">
      <c r="A720" t="str">
        <f t="shared" si="10"/>
        <v/>
      </c>
    </row>
    <row r="721" spans="1:15" ht="14.4">
      <c r="A721" t="str">
        <f t="shared" si="10"/>
        <v>NOTE:     Sales line does not match sales in the Rate and Revenue Report due to billing lag.  Effective 2014, Lee County changed from Partial Requirement to Full Requirement.</v>
      </c>
      <c r="B721" s="301" t="s">
        <v>841</v>
      </c>
    </row>
    <row r="722" spans="1:15">
      <c r="A722" t="str">
        <f t="shared" si="10"/>
        <v xml:space="preserve">MDWS Wholesale - Metro Dade County Solid Waste Management </v>
      </c>
      <c r="B722" t="s">
        <v>5</v>
      </c>
      <c r="C722" t="s">
        <v>6</v>
      </c>
    </row>
    <row r="723" spans="1:15">
      <c r="A723" t="str">
        <f t="shared" si="10"/>
        <v xml:space="preserve">MDWSMONTH </v>
      </c>
      <c r="B723" t="s">
        <v>7</v>
      </c>
      <c r="C723" t="s">
        <v>123</v>
      </c>
      <c r="D723" s="4">
        <v>41275</v>
      </c>
      <c r="E723" s="4">
        <v>41306</v>
      </c>
      <c r="F723" s="4">
        <v>41334</v>
      </c>
      <c r="G723" s="4">
        <v>41365</v>
      </c>
      <c r="H723" s="4">
        <v>41395</v>
      </c>
      <c r="I723" s="4">
        <v>41426</v>
      </c>
      <c r="J723" s="4">
        <v>41456</v>
      </c>
      <c r="K723" s="4">
        <v>41487</v>
      </c>
      <c r="L723" s="4">
        <v>41518</v>
      </c>
      <c r="M723" s="4">
        <v>41548</v>
      </c>
      <c r="N723" s="4">
        <v>41579</v>
      </c>
      <c r="O723" s="4">
        <v>41609</v>
      </c>
    </row>
    <row r="724" spans="1:15">
      <c r="A724" t="str">
        <f t="shared" si="10"/>
        <v xml:space="preserve">MDWSCUSTOMERS </v>
      </c>
      <c r="B724" t="s">
        <v>7</v>
      </c>
      <c r="C724" t="s">
        <v>124</v>
      </c>
      <c r="D724">
        <v>4</v>
      </c>
      <c r="E724">
        <v>4</v>
      </c>
      <c r="F724">
        <v>4</v>
      </c>
      <c r="G724">
        <v>4</v>
      </c>
      <c r="H724">
        <v>4</v>
      </c>
      <c r="I724">
        <v>4</v>
      </c>
      <c r="J724">
        <v>4</v>
      </c>
      <c r="K724">
        <v>4</v>
      </c>
      <c r="L724">
        <v>4</v>
      </c>
      <c r="M724">
        <v>4</v>
      </c>
      <c r="N724">
        <v>4</v>
      </c>
      <c r="O724">
        <v>4</v>
      </c>
    </row>
    <row r="725" spans="1:15">
      <c r="A725" t="str">
        <f t="shared" si="10"/>
        <v xml:space="preserve">MDWSSALES </v>
      </c>
      <c r="B725" t="s">
        <v>7</v>
      </c>
      <c r="C725" t="s">
        <v>125</v>
      </c>
      <c r="D725">
        <v>61189908</v>
      </c>
      <c r="E725">
        <v>63149555</v>
      </c>
      <c r="F725">
        <v>58105670</v>
      </c>
      <c r="G725">
        <v>60933431</v>
      </c>
      <c r="H725">
        <v>70271983</v>
      </c>
      <c r="I725">
        <v>73381393</v>
      </c>
      <c r="J725">
        <v>81686209</v>
      </c>
      <c r="K725">
        <v>85307849</v>
      </c>
      <c r="L725">
        <v>88503862</v>
      </c>
      <c r="M725">
        <v>78273789</v>
      </c>
      <c r="N725">
        <v>74983627</v>
      </c>
      <c r="O725">
        <v>63486551</v>
      </c>
    </row>
    <row r="726" spans="1:15">
      <c r="A726" t="str">
        <f t="shared" si="10"/>
        <v>MDWSKW</v>
      </c>
      <c r="B726" t="s">
        <v>7</v>
      </c>
      <c r="C726" t="s">
        <v>126</v>
      </c>
    </row>
    <row r="727" spans="1:15">
      <c r="A727" t="str">
        <f t="shared" si="10"/>
        <v>MDWSN</v>
      </c>
      <c r="B727" t="s">
        <v>7</v>
      </c>
      <c r="C727" t="s">
        <v>127</v>
      </c>
      <c r="D727">
        <v>1</v>
      </c>
      <c r="E727">
        <v>1</v>
      </c>
      <c r="F727">
        <v>1</v>
      </c>
      <c r="G727">
        <v>1</v>
      </c>
      <c r="H727">
        <v>1</v>
      </c>
      <c r="I727">
        <v>1</v>
      </c>
      <c r="J727">
        <v>1</v>
      </c>
      <c r="K727">
        <v>1</v>
      </c>
      <c r="L727">
        <v>1</v>
      </c>
      <c r="M727">
        <v>1</v>
      </c>
      <c r="N727">
        <v>1</v>
      </c>
      <c r="O727" t="s">
        <v>539</v>
      </c>
    </row>
    <row r="728" spans="1:15">
      <c r="A728" t="str">
        <f t="shared" si="10"/>
        <v>MDWSRLR ENERGY:</v>
      </c>
      <c r="B728" t="s">
        <v>7</v>
      </c>
      <c r="C728" t="s">
        <v>61</v>
      </c>
    </row>
    <row r="729" spans="1:15">
      <c r="A729" t="str">
        <f t="shared" si="10"/>
        <v>MDWSKWH</v>
      </c>
      <c r="B729" t="s">
        <v>7</v>
      </c>
      <c r="C729" t="s">
        <v>128</v>
      </c>
      <c r="D729">
        <v>495657</v>
      </c>
      <c r="E729">
        <v>262108</v>
      </c>
      <c r="F729">
        <v>399068</v>
      </c>
      <c r="G729">
        <v>563317</v>
      </c>
      <c r="H729">
        <v>547913</v>
      </c>
      <c r="I729">
        <v>531087</v>
      </c>
      <c r="J729">
        <v>487205</v>
      </c>
      <c r="K729">
        <v>523511</v>
      </c>
      <c r="L729">
        <v>513303</v>
      </c>
      <c r="M729">
        <v>483480</v>
      </c>
      <c r="N729">
        <v>414089</v>
      </c>
    </row>
    <row r="730" spans="1:15">
      <c r="A730" t="str">
        <f t="shared" si="10"/>
        <v>MDWSKWH ONPK</v>
      </c>
      <c r="B730" t="s">
        <v>7</v>
      </c>
      <c r="C730" t="s">
        <v>129</v>
      </c>
      <c r="D730">
        <v>115633</v>
      </c>
      <c r="E730">
        <v>60629</v>
      </c>
      <c r="F730">
        <v>87168</v>
      </c>
      <c r="G730">
        <v>148467</v>
      </c>
      <c r="H730">
        <v>140239</v>
      </c>
      <c r="I730">
        <v>127095</v>
      </c>
      <c r="J730">
        <v>123498</v>
      </c>
      <c r="K730">
        <v>132728</v>
      </c>
      <c r="L730">
        <v>126546</v>
      </c>
      <c r="M730">
        <v>127714</v>
      </c>
      <c r="N730">
        <v>96214</v>
      </c>
    </row>
    <row r="731" spans="1:15">
      <c r="A731" t="str">
        <f t="shared" si="10"/>
        <v>MDWSKWH OFFPK</v>
      </c>
      <c r="B731" t="s">
        <v>7</v>
      </c>
      <c r="C731" t="s">
        <v>130</v>
      </c>
      <c r="D731">
        <v>380025</v>
      </c>
      <c r="E731">
        <v>201479</v>
      </c>
      <c r="F731">
        <v>311900</v>
      </c>
      <c r="G731">
        <v>414850</v>
      </c>
      <c r="H731">
        <v>407674</v>
      </c>
      <c r="I731">
        <v>403992</v>
      </c>
      <c r="J731">
        <v>363708</v>
      </c>
      <c r="K731">
        <v>390783</v>
      </c>
      <c r="L731">
        <v>386756</v>
      </c>
      <c r="M731">
        <v>355766</v>
      </c>
      <c r="N731">
        <v>317875</v>
      </c>
    </row>
    <row r="732" spans="1:15">
      <c r="A732" t="str">
        <f t="shared" si="10"/>
        <v>MDWSKWH ONPK%</v>
      </c>
      <c r="B732" t="s">
        <v>7</v>
      </c>
      <c r="C732" t="s">
        <v>131</v>
      </c>
      <c r="D732" s="5">
        <v>0.23329</v>
      </c>
      <c r="E732" s="5">
        <v>0.23130999999999999</v>
      </c>
      <c r="F732" s="5">
        <v>0.21843000000000001</v>
      </c>
      <c r="G732" s="5">
        <v>0.26356000000000002</v>
      </c>
      <c r="H732" s="5">
        <v>0.25595000000000001</v>
      </c>
      <c r="I732" s="5">
        <v>0.23930999999999999</v>
      </c>
      <c r="J732" s="5">
        <v>0.25347999999999998</v>
      </c>
      <c r="K732" s="5">
        <v>0.25352999999999998</v>
      </c>
      <c r="L732" s="5">
        <v>0.24653</v>
      </c>
      <c r="M732" s="5">
        <v>0.26416000000000001</v>
      </c>
      <c r="N732" s="5">
        <v>0.23235</v>
      </c>
      <c r="O732" s="5"/>
    </row>
    <row r="733" spans="1:15">
      <c r="A733" t="str">
        <f t="shared" si="10"/>
        <v>MDWSKWH OFFPK%</v>
      </c>
      <c r="B733" t="s">
        <v>7</v>
      </c>
      <c r="C733" t="s">
        <v>132</v>
      </c>
      <c r="D733" s="5">
        <v>0.76671</v>
      </c>
      <c r="E733" s="5">
        <v>0.76868999999999998</v>
      </c>
      <c r="F733" s="5">
        <v>0.78156999999999999</v>
      </c>
      <c r="G733" s="5">
        <v>0.73643999999999998</v>
      </c>
      <c r="H733" s="5">
        <v>0.74404999999999999</v>
      </c>
      <c r="I733" s="5">
        <v>0.76068999999999998</v>
      </c>
      <c r="J733" s="5">
        <v>0.74651999999999996</v>
      </c>
      <c r="K733" s="5">
        <v>0.74646999999999997</v>
      </c>
      <c r="L733" s="5">
        <v>0.75346999999999997</v>
      </c>
      <c r="M733" s="5">
        <v>0.73584000000000005</v>
      </c>
      <c r="N733" s="5">
        <v>0.76765000000000005</v>
      </c>
      <c r="O733" s="5"/>
    </row>
    <row r="734" spans="1:15">
      <c r="A734" t="str">
        <f t="shared" si="10"/>
        <v>MDWSDEMAND (KW):</v>
      </c>
      <c r="B734" t="s">
        <v>7</v>
      </c>
      <c r="C734" t="s">
        <v>62</v>
      </c>
    </row>
    <row r="735" spans="1:15">
      <c r="A735" t="str">
        <f t="shared" si="10"/>
        <v>MDWSNCP</v>
      </c>
      <c r="B735" t="s">
        <v>7</v>
      </c>
      <c r="C735" t="s">
        <v>133</v>
      </c>
      <c r="D735">
        <v>986</v>
      </c>
      <c r="E735">
        <v>602</v>
      </c>
      <c r="F735">
        <v>980</v>
      </c>
      <c r="G735">
        <v>978</v>
      </c>
      <c r="H735">
        <v>1001</v>
      </c>
      <c r="I735">
        <v>972</v>
      </c>
      <c r="J735">
        <v>951</v>
      </c>
      <c r="K735">
        <v>949</v>
      </c>
      <c r="L735">
        <v>919</v>
      </c>
      <c r="M735">
        <v>960</v>
      </c>
      <c r="N735">
        <v>947</v>
      </c>
    </row>
    <row r="736" spans="1:15">
      <c r="A736" t="str">
        <f t="shared" si="10"/>
        <v>MDWSNCP ONPK</v>
      </c>
      <c r="B736" t="s">
        <v>7</v>
      </c>
      <c r="C736" t="s">
        <v>134</v>
      </c>
      <c r="D736">
        <v>986</v>
      </c>
      <c r="E736">
        <v>587</v>
      </c>
      <c r="F736">
        <v>974</v>
      </c>
      <c r="G736">
        <v>978</v>
      </c>
      <c r="H736">
        <v>1001</v>
      </c>
      <c r="I736">
        <v>939</v>
      </c>
      <c r="J736">
        <v>900</v>
      </c>
      <c r="K736">
        <v>890</v>
      </c>
      <c r="L736">
        <v>919</v>
      </c>
      <c r="M736">
        <v>944</v>
      </c>
      <c r="N736">
        <v>923</v>
      </c>
    </row>
    <row r="737" spans="1:15">
      <c r="A737" t="str">
        <f t="shared" si="10"/>
        <v>MDWSNCP OFFPK</v>
      </c>
      <c r="B737" t="s">
        <v>7</v>
      </c>
      <c r="C737" t="s">
        <v>135</v>
      </c>
      <c r="D737">
        <v>982</v>
      </c>
      <c r="E737">
        <v>602</v>
      </c>
      <c r="F737">
        <v>980</v>
      </c>
      <c r="G737">
        <v>973</v>
      </c>
      <c r="H737">
        <v>974</v>
      </c>
      <c r="I737">
        <v>972</v>
      </c>
      <c r="J737">
        <v>951</v>
      </c>
      <c r="K737">
        <v>949</v>
      </c>
      <c r="L737">
        <v>918</v>
      </c>
      <c r="M737">
        <v>960</v>
      </c>
      <c r="N737">
        <v>947</v>
      </c>
    </row>
    <row r="738" spans="1:15">
      <c r="A738" t="str">
        <f t="shared" si="10"/>
        <v>MDWSGCP DATE</v>
      </c>
      <c r="B738" t="s">
        <v>7</v>
      </c>
      <c r="C738" t="s">
        <v>136</v>
      </c>
      <c r="D738" t="s">
        <v>307</v>
      </c>
      <c r="E738" t="s">
        <v>269</v>
      </c>
      <c r="F738" t="s">
        <v>842</v>
      </c>
      <c r="G738" t="s">
        <v>843</v>
      </c>
      <c r="H738" t="s">
        <v>844</v>
      </c>
      <c r="I738" t="s">
        <v>747</v>
      </c>
      <c r="J738" t="s">
        <v>845</v>
      </c>
      <c r="K738" t="s">
        <v>846</v>
      </c>
      <c r="L738" t="s">
        <v>763</v>
      </c>
      <c r="M738" t="s">
        <v>847</v>
      </c>
      <c r="N738" t="s">
        <v>848</v>
      </c>
    </row>
    <row r="739" spans="1:15">
      <c r="A739" t="str">
        <f t="shared" si="10"/>
        <v>MDWSGCP TIME</v>
      </c>
      <c r="B739" t="s">
        <v>7</v>
      </c>
      <c r="C739" t="s">
        <v>142</v>
      </c>
      <c r="D739" t="s">
        <v>194</v>
      </c>
      <c r="E739" t="s">
        <v>145</v>
      </c>
      <c r="F739" t="s">
        <v>182</v>
      </c>
      <c r="G739" t="s">
        <v>182</v>
      </c>
      <c r="H739" t="s">
        <v>182</v>
      </c>
      <c r="I739" t="s">
        <v>201</v>
      </c>
      <c r="J739" t="s">
        <v>189</v>
      </c>
      <c r="K739" t="s">
        <v>193</v>
      </c>
      <c r="L739" t="s">
        <v>144</v>
      </c>
      <c r="M739" t="s">
        <v>27</v>
      </c>
      <c r="N739" t="s">
        <v>202</v>
      </c>
    </row>
    <row r="740" spans="1:15">
      <c r="A740" t="str">
        <f t="shared" si="10"/>
        <v>MDWSGCP</v>
      </c>
      <c r="B740" t="s">
        <v>7</v>
      </c>
      <c r="C740" t="s">
        <v>147</v>
      </c>
      <c r="D740">
        <v>986</v>
      </c>
      <c r="E740">
        <v>602</v>
      </c>
      <c r="F740">
        <v>980</v>
      </c>
      <c r="G740">
        <v>978</v>
      </c>
      <c r="H740">
        <v>1001</v>
      </c>
      <c r="I740">
        <v>972</v>
      </c>
      <c r="J740">
        <v>951</v>
      </c>
      <c r="K740">
        <v>949</v>
      </c>
      <c r="L740">
        <v>919</v>
      </c>
      <c r="M740">
        <v>960</v>
      </c>
      <c r="N740">
        <v>947</v>
      </c>
    </row>
    <row r="741" spans="1:15">
      <c r="A741" t="str">
        <f t="shared" si="10"/>
        <v>MDWSGCP ONPK</v>
      </c>
      <c r="B741" t="s">
        <v>7</v>
      </c>
      <c r="C741" t="s">
        <v>63</v>
      </c>
      <c r="D741">
        <v>986</v>
      </c>
      <c r="E741">
        <v>587</v>
      </c>
      <c r="F741">
        <v>974</v>
      </c>
      <c r="G741">
        <v>978</v>
      </c>
      <c r="H741">
        <v>1001</v>
      </c>
      <c r="I741">
        <v>939</v>
      </c>
      <c r="J741">
        <v>900</v>
      </c>
      <c r="K741">
        <v>890</v>
      </c>
      <c r="L741">
        <v>919</v>
      </c>
      <c r="M741">
        <v>944</v>
      </c>
      <c r="N741">
        <v>923</v>
      </c>
    </row>
    <row r="742" spans="1:15">
      <c r="A742" t="str">
        <f t="shared" si="10"/>
        <v>MDWSGCP OFFPK</v>
      </c>
      <c r="B742" t="s">
        <v>7</v>
      </c>
      <c r="C742" t="s">
        <v>64</v>
      </c>
      <c r="D742">
        <v>982</v>
      </c>
      <c r="E742">
        <v>602</v>
      </c>
      <c r="F742">
        <v>980</v>
      </c>
      <c r="G742">
        <v>973</v>
      </c>
      <c r="H742">
        <v>974</v>
      </c>
      <c r="I742">
        <v>972</v>
      </c>
      <c r="J742">
        <v>951</v>
      </c>
      <c r="K742">
        <v>949</v>
      </c>
      <c r="L742">
        <v>918</v>
      </c>
      <c r="M742">
        <v>960</v>
      </c>
      <c r="N742">
        <v>947</v>
      </c>
    </row>
    <row r="743" spans="1:15">
      <c r="A743" t="str">
        <f t="shared" si="10"/>
        <v>MDWSCP</v>
      </c>
      <c r="B743" t="s">
        <v>7</v>
      </c>
      <c r="C743" t="s">
        <v>148</v>
      </c>
      <c r="D743">
        <v>625</v>
      </c>
      <c r="E743">
        <v>538</v>
      </c>
      <c r="F743">
        <v>550</v>
      </c>
      <c r="G743">
        <v>801</v>
      </c>
      <c r="H743">
        <v>506</v>
      </c>
      <c r="I743">
        <v>718</v>
      </c>
      <c r="J743">
        <v>714</v>
      </c>
      <c r="K743">
        <v>818</v>
      </c>
      <c r="L743">
        <v>543</v>
      </c>
      <c r="M743">
        <v>325</v>
      </c>
      <c r="N743">
        <v>133</v>
      </c>
    </row>
    <row r="744" spans="1:15">
      <c r="A744" t="str">
        <f t="shared" si="10"/>
        <v>MDWSPERIOD START</v>
      </c>
      <c r="B744" t="s">
        <v>7</v>
      </c>
      <c r="C744" t="s">
        <v>149</v>
      </c>
      <c r="D744" s="1">
        <v>41275</v>
      </c>
      <c r="E744" s="1">
        <v>41306</v>
      </c>
      <c r="F744" s="1">
        <v>41334</v>
      </c>
      <c r="G744" s="1">
        <v>41365</v>
      </c>
      <c r="H744" s="1">
        <v>41395</v>
      </c>
      <c r="I744" s="1">
        <v>41426</v>
      </c>
      <c r="J744" s="1">
        <v>41456</v>
      </c>
      <c r="K744" s="1">
        <v>41487</v>
      </c>
      <c r="L744" s="1">
        <v>41518</v>
      </c>
      <c r="M744" s="1">
        <v>41548</v>
      </c>
      <c r="N744" s="1">
        <v>41579</v>
      </c>
      <c r="O744" s="1"/>
    </row>
    <row r="745" spans="1:15">
      <c r="A745" t="str">
        <f t="shared" si="10"/>
        <v>MDWSNCP LF</v>
      </c>
      <c r="B745" t="s">
        <v>7</v>
      </c>
      <c r="C745" t="s">
        <v>150</v>
      </c>
      <c r="D745" s="5">
        <v>0.67549999999999999</v>
      </c>
      <c r="E745" s="5">
        <v>0.64790000000000003</v>
      </c>
      <c r="F745" s="5">
        <v>0.54790000000000005</v>
      </c>
      <c r="G745" s="5">
        <v>0.80030000000000001</v>
      </c>
      <c r="H745" s="5">
        <v>0.73540000000000005</v>
      </c>
      <c r="I745" s="5">
        <v>0.75849999999999995</v>
      </c>
      <c r="J745" s="5">
        <v>0.68859999999999999</v>
      </c>
      <c r="K745" s="5">
        <v>0.74180000000000001</v>
      </c>
      <c r="L745" s="5">
        <v>0.77590000000000003</v>
      </c>
      <c r="M745" s="5">
        <v>0.67720000000000002</v>
      </c>
      <c r="N745" s="5">
        <v>0.60740000000000005</v>
      </c>
    </row>
    <row r="746" spans="1:15">
      <c r="A746" t="str">
        <f t="shared" si="10"/>
        <v>MDWSNCP LF ONPK</v>
      </c>
      <c r="B746" t="s">
        <v>7</v>
      </c>
      <c r="C746" t="s">
        <v>151</v>
      </c>
      <c r="D746" s="5">
        <v>0.66620000000000001</v>
      </c>
      <c r="E746" s="5">
        <v>0.64590000000000003</v>
      </c>
      <c r="F746" s="5">
        <v>0.53290000000000004</v>
      </c>
      <c r="G746" s="5">
        <v>0.76700000000000002</v>
      </c>
      <c r="H746" s="5">
        <v>0.70730000000000004</v>
      </c>
      <c r="I746" s="5">
        <v>0.75170000000000003</v>
      </c>
      <c r="J746" s="5">
        <v>0.69289999999999996</v>
      </c>
      <c r="K746" s="5">
        <v>0.75309999999999999</v>
      </c>
      <c r="L746" s="5">
        <v>0.7651</v>
      </c>
      <c r="M746" s="5">
        <v>0.65349999999999997</v>
      </c>
      <c r="N746" s="5">
        <v>0.6512</v>
      </c>
    </row>
    <row r="747" spans="1:15">
      <c r="A747" t="str">
        <f t="shared" si="10"/>
        <v>MDWSNCP LF OFFPK</v>
      </c>
      <c r="B747" t="s">
        <v>7</v>
      </c>
      <c r="C747" t="s">
        <v>152</v>
      </c>
      <c r="D747" s="5">
        <v>0.68149999999999999</v>
      </c>
      <c r="E747" s="5">
        <v>0.65369999999999995</v>
      </c>
      <c r="F747" s="5">
        <v>0.5534</v>
      </c>
      <c r="G747" s="5">
        <v>0.81659999999999999</v>
      </c>
      <c r="H747" s="5">
        <v>0.76659999999999995</v>
      </c>
      <c r="I747" s="5">
        <v>0.76929999999999998</v>
      </c>
      <c r="J747" s="5">
        <v>0.70040000000000002</v>
      </c>
      <c r="K747" s="5">
        <v>0.75449999999999995</v>
      </c>
      <c r="L747" s="5">
        <v>0.78049999999999997</v>
      </c>
      <c r="M747" s="5">
        <v>0.69040000000000001</v>
      </c>
      <c r="N747" s="5">
        <v>0.59950000000000003</v>
      </c>
    </row>
    <row r="748" spans="1:15">
      <c r="A748" t="str">
        <f t="shared" si="10"/>
        <v>MDWSGCP CF</v>
      </c>
      <c r="B748" t="s">
        <v>7</v>
      </c>
      <c r="C748" t="s">
        <v>153</v>
      </c>
      <c r="D748" s="5">
        <v>1</v>
      </c>
      <c r="E748" s="5">
        <v>1</v>
      </c>
      <c r="F748" s="5">
        <v>1</v>
      </c>
      <c r="G748" s="5">
        <v>1</v>
      </c>
      <c r="H748" s="5">
        <v>1</v>
      </c>
      <c r="I748" s="5">
        <v>1</v>
      </c>
      <c r="J748" s="5">
        <v>1</v>
      </c>
      <c r="K748" s="5">
        <v>1</v>
      </c>
      <c r="L748" s="5">
        <v>1</v>
      </c>
      <c r="M748" s="5">
        <v>1</v>
      </c>
      <c r="N748" s="5">
        <v>1</v>
      </c>
    </row>
    <row r="749" spans="1:15">
      <c r="A749" t="str">
        <f t="shared" si="10"/>
        <v>MDWSCP CF</v>
      </c>
      <c r="B749" t="s">
        <v>7</v>
      </c>
      <c r="C749" t="s">
        <v>154</v>
      </c>
      <c r="D749" s="5">
        <v>0.63349999999999995</v>
      </c>
      <c r="E749" s="5">
        <v>0.89349999999999996</v>
      </c>
      <c r="F749" s="5">
        <v>0.56110000000000004</v>
      </c>
      <c r="G749" s="5">
        <v>0.81950000000000001</v>
      </c>
      <c r="H749" s="5">
        <v>0.505</v>
      </c>
      <c r="I749" s="5">
        <v>0.73799999999999999</v>
      </c>
      <c r="J749" s="5">
        <v>0.75060000000000004</v>
      </c>
      <c r="K749" s="5">
        <v>0.86209999999999998</v>
      </c>
      <c r="L749" s="5">
        <v>0.59050000000000002</v>
      </c>
      <c r="M749" s="5">
        <v>0.33889999999999998</v>
      </c>
      <c r="N749" s="5">
        <v>0.14050000000000001</v>
      </c>
    </row>
    <row r="750" spans="1:15">
      <c r="A750" t="str">
        <f t="shared" si="10"/>
        <v>MDWSGCP LF</v>
      </c>
      <c r="B750" t="s">
        <v>7</v>
      </c>
      <c r="C750" t="s">
        <v>155</v>
      </c>
      <c r="D750" s="5">
        <v>0.67549999999999999</v>
      </c>
      <c r="E750" s="5">
        <v>0.64790000000000003</v>
      </c>
      <c r="F750" s="5">
        <v>0.54790000000000005</v>
      </c>
      <c r="G750" s="5">
        <v>0.80030000000000001</v>
      </c>
      <c r="H750" s="5">
        <v>0.73540000000000005</v>
      </c>
      <c r="I750" s="5">
        <v>0.75849999999999995</v>
      </c>
      <c r="J750" s="5">
        <v>0.68859999999999999</v>
      </c>
      <c r="K750" s="5">
        <v>0.74180000000000001</v>
      </c>
      <c r="L750" s="5">
        <v>0.77590000000000003</v>
      </c>
      <c r="M750" s="5">
        <v>0.67720000000000002</v>
      </c>
      <c r="N750" s="5">
        <v>0.60740000000000005</v>
      </c>
      <c r="O750" t="s">
        <v>539</v>
      </c>
    </row>
    <row r="751" spans="1:15">
      <c r="A751" t="str">
        <f t="shared" si="10"/>
        <v>MDWSGCP LF ONPK</v>
      </c>
      <c r="B751" t="s">
        <v>7</v>
      </c>
      <c r="C751" t="s">
        <v>156</v>
      </c>
      <c r="D751" s="5">
        <v>0.66620000000000001</v>
      </c>
      <c r="E751" s="5">
        <v>0.64590000000000003</v>
      </c>
      <c r="F751" s="5">
        <v>0.53290000000000004</v>
      </c>
      <c r="G751" s="5">
        <v>0.76700000000000002</v>
      </c>
      <c r="H751" s="5">
        <v>0.70730000000000004</v>
      </c>
      <c r="I751" s="5">
        <v>0.75170000000000003</v>
      </c>
      <c r="J751" s="5">
        <v>0.69289999999999996</v>
      </c>
      <c r="K751" s="5">
        <v>0.75309999999999999</v>
      </c>
      <c r="L751" s="5">
        <v>0.7651</v>
      </c>
      <c r="M751" s="5">
        <v>0.65349999999999997</v>
      </c>
      <c r="N751" s="5">
        <v>0.6512</v>
      </c>
      <c r="O751" t="s">
        <v>539</v>
      </c>
    </row>
    <row r="752" spans="1:15">
      <c r="A752" t="str">
        <f t="shared" si="10"/>
        <v>MDWSGCP LF OFFPK</v>
      </c>
      <c r="B752" t="s">
        <v>7</v>
      </c>
      <c r="C752" t="s">
        <v>157</v>
      </c>
      <c r="D752" s="5">
        <v>0.68149999999999999</v>
      </c>
      <c r="E752" s="5">
        <v>0.65369999999999995</v>
      </c>
      <c r="F752" s="5">
        <v>0.5534</v>
      </c>
      <c r="G752" s="5">
        <v>0.81659999999999999</v>
      </c>
      <c r="H752" s="5">
        <v>0.76659999999999995</v>
      </c>
      <c r="I752" s="5">
        <v>0.76929999999999998</v>
      </c>
      <c r="J752" s="5">
        <v>0.70040000000000002</v>
      </c>
      <c r="K752" s="5">
        <v>0.75449999999999995</v>
      </c>
      <c r="L752" s="5">
        <v>0.78049999999999997</v>
      </c>
      <c r="M752" s="5">
        <v>0.69040000000000001</v>
      </c>
      <c r="N752" s="5">
        <v>0.59950000000000003</v>
      </c>
      <c r="O752" t="s">
        <v>539</v>
      </c>
    </row>
    <row r="753" spans="1:15">
      <c r="A753" t="str">
        <f t="shared" si="10"/>
        <v>MDWSCP LF</v>
      </c>
      <c r="B753" t="s">
        <v>7</v>
      </c>
      <c r="C753" t="s">
        <v>158</v>
      </c>
      <c r="D753" s="5">
        <v>1.0663</v>
      </c>
      <c r="E753" s="5">
        <v>0.72519999999999996</v>
      </c>
      <c r="F753" s="5">
        <v>0.97650000000000003</v>
      </c>
      <c r="G753" s="5">
        <v>0.97650000000000003</v>
      </c>
      <c r="H753" s="5">
        <v>1.4562999999999999</v>
      </c>
      <c r="I753" s="5">
        <v>1.0278</v>
      </c>
      <c r="J753" s="5">
        <v>0.9173</v>
      </c>
      <c r="K753" s="5">
        <v>0.86040000000000005</v>
      </c>
      <c r="L753" s="5">
        <v>1.3138000000000001</v>
      </c>
      <c r="M753" s="5">
        <v>1.9979</v>
      </c>
      <c r="N753" s="5">
        <v>4.3224999999999998</v>
      </c>
      <c r="O753" t="s">
        <v>539</v>
      </c>
    </row>
    <row r="754" spans="1:15">
      <c r="A754" t="str">
        <f t="shared" si="10"/>
        <v>MDWSREL PREC:</v>
      </c>
      <c r="B754" t="s">
        <v>7</v>
      </c>
      <c r="C754" t="s">
        <v>65</v>
      </c>
    </row>
    <row r="755" spans="1:15">
      <c r="A755" t="str">
        <f t="shared" si="10"/>
        <v>MDWSNCP RP</v>
      </c>
      <c r="B755" t="s">
        <v>7</v>
      </c>
      <c r="C755" t="s">
        <v>159</v>
      </c>
      <c r="D755" s="5">
        <v>0</v>
      </c>
      <c r="E755" s="5">
        <v>0</v>
      </c>
      <c r="F755" s="5">
        <v>0</v>
      </c>
      <c r="G755" s="5">
        <v>0</v>
      </c>
      <c r="H755" s="5">
        <v>0</v>
      </c>
      <c r="I755" s="5">
        <v>0</v>
      </c>
      <c r="J755" s="5">
        <v>0</v>
      </c>
      <c r="K755" s="5">
        <v>0</v>
      </c>
      <c r="L755" s="5">
        <v>0</v>
      </c>
      <c r="M755" s="5">
        <v>0</v>
      </c>
      <c r="N755" s="5">
        <v>0</v>
      </c>
      <c r="O755" t="s">
        <v>539</v>
      </c>
    </row>
    <row r="756" spans="1:15">
      <c r="A756" t="str">
        <f t="shared" si="10"/>
        <v>MDWSNCP RP ONPK</v>
      </c>
      <c r="B756" t="s">
        <v>7</v>
      </c>
      <c r="C756" t="s">
        <v>160</v>
      </c>
      <c r="D756" s="5">
        <v>0</v>
      </c>
      <c r="E756" s="5">
        <v>0</v>
      </c>
      <c r="F756" s="5">
        <v>0</v>
      </c>
      <c r="G756" s="5">
        <v>0</v>
      </c>
      <c r="H756" s="5">
        <v>0</v>
      </c>
      <c r="I756" s="5">
        <v>0</v>
      </c>
      <c r="J756" s="5">
        <v>0</v>
      </c>
      <c r="K756" s="5">
        <v>0</v>
      </c>
      <c r="L756" s="5">
        <v>0</v>
      </c>
      <c r="M756" s="5">
        <v>0</v>
      </c>
      <c r="N756" s="5">
        <v>0</v>
      </c>
      <c r="O756" t="s">
        <v>539</v>
      </c>
    </row>
    <row r="757" spans="1:15">
      <c r="A757" t="str">
        <f t="shared" ref="A757:A820" si="11">B757&amp;C757</f>
        <v>MDWSNCP RP OFFPK</v>
      </c>
      <c r="B757" t="s">
        <v>7</v>
      </c>
      <c r="C757" t="s">
        <v>161</v>
      </c>
      <c r="D757" s="5">
        <v>0</v>
      </c>
      <c r="E757" s="5">
        <v>0</v>
      </c>
      <c r="F757" s="5">
        <v>0</v>
      </c>
      <c r="G757" s="5">
        <v>0</v>
      </c>
      <c r="H757" s="5">
        <v>0</v>
      </c>
      <c r="I757" s="5">
        <v>0</v>
      </c>
      <c r="J757" s="5">
        <v>0</v>
      </c>
      <c r="K757" s="5">
        <v>0</v>
      </c>
      <c r="L757" s="5">
        <v>0</v>
      </c>
      <c r="M757" s="5">
        <v>0</v>
      </c>
      <c r="N757" s="5">
        <v>0</v>
      </c>
      <c r="O757" t="s">
        <v>539</v>
      </c>
    </row>
    <row r="758" spans="1:15">
      <c r="A758" t="str">
        <f t="shared" si="11"/>
        <v>MDWSGCP RP</v>
      </c>
      <c r="B758" t="s">
        <v>7</v>
      </c>
      <c r="C758" t="s">
        <v>162</v>
      </c>
      <c r="D758" s="5">
        <v>0</v>
      </c>
      <c r="E758" s="5">
        <v>0</v>
      </c>
      <c r="F758" s="5">
        <v>0</v>
      </c>
      <c r="G758" s="5">
        <v>0</v>
      </c>
      <c r="H758" s="5">
        <v>0</v>
      </c>
      <c r="I758" s="5">
        <v>0</v>
      </c>
      <c r="J758" s="5">
        <v>0</v>
      </c>
      <c r="K758" s="5">
        <v>0</v>
      </c>
      <c r="L758" s="5">
        <v>0</v>
      </c>
      <c r="M758" s="5">
        <v>0</v>
      </c>
      <c r="N758" s="5">
        <v>0</v>
      </c>
      <c r="O758" t="s">
        <v>539</v>
      </c>
    </row>
    <row r="759" spans="1:15">
      <c r="A759" t="str">
        <f t="shared" si="11"/>
        <v>MDWSGCP RP ONPK</v>
      </c>
      <c r="B759" t="s">
        <v>7</v>
      </c>
      <c r="C759" t="s">
        <v>163</v>
      </c>
      <c r="D759" s="5">
        <v>0</v>
      </c>
      <c r="E759" s="5">
        <v>0</v>
      </c>
      <c r="F759" s="5">
        <v>0</v>
      </c>
      <c r="G759" s="5">
        <v>0</v>
      </c>
      <c r="H759" s="5">
        <v>0</v>
      </c>
      <c r="I759" s="5">
        <v>0</v>
      </c>
      <c r="J759" s="5">
        <v>0</v>
      </c>
      <c r="K759" s="5">
        <v>0</v>
      </c>
      <c r="L759" s="5">
        <v>0</v>
      </c>
      <c r="M759" s="5">
        <v>0</v>
      </c>
      <c r="N759" s="5">
        <v>0</v>
      </c>
      <c r="O759" t="s">
        <v>539</v>
      </c>
    </row>
    <row r="760" spans="1:15">
      <c r="A760" t="str">
        <f t="shared" si="11"/>
        <v>MDWSGCP RP OFFPK</v>
      </c>
      <c r="B760" t="s">
        <v>7</v>
      </c>
      <c r="C760" t="s">
        <v>164</v>
      </c>
      <c r="D760" s="5">
        <v>0</v>
      </c>
      <c r="E760" s="5">
        <v>0</v>
      </c>
      <c r="F760" s="5">
        <v>0</v>
      </c>
      <c r="G760" s="5">
        <v>0</v>
      </c>
      <c r="H760" s="5">
        <v>0</v>
      </c>
      <c r="I760" s="5">
        <v>0</v>
      </c>
      <c r="J760" s="5">
        <v>0</v>
      </c>
      <c r="K760" s="5">
        <v>0</v>
      </c>
      <c r="L760" s="5">
        <v>0</v>
      </c>
      <c r="M760" s="5">
        <v>0</v>
      </c>
      <c r="N760" s="5">
        <v>0</v>
      </c>
      <c r="O760" t="s">
        <v>539</v>
      </c>
    </row>
    <row r="761" spans="1:15">
      <c r="A761" t="str">
        <f t="shared" si="11"/>
        <v>MDWSCP RP</v>
      </c>
      <c r="B761" t="s">
        <v>7</v>
      </c>
      <c r="C761" t="s">
        <v>165</v>
      </c>
      <c r="D761" s="5">
        <v>0</v>
      </c>
      <c r="E761" s="5">
        <v>0</v>
      </c>
      <c r="F761" s="5">
        <v>0</v>
      </c>
      <c r="G761" s="5">
        <v>0</v>
      </c>
      <c r="H761" s="5">
        <v>0</v>
      </c>
      <c r="I761" s="5">
        <v>0</v>
      </c>
      <c r="J761" s="5">
        <v>0</v>
      </c>
      <c r="K761" s="5">
        <v>0</v>
      </c>
      <c r="L761" s="5">
        <v>0</v>
      </c>
      <c r="M761" s="5">
        <v>0</v>
      </c>
      <c r="N761" s="5">
        <v>0</v>
      </c>
      <c r="O761" t="s">
        <v>539</v>
      </c>
    </row>
    <row r="762" spans="1:15">
      <c r="A762" t="str">
        <f t="shared" si="11"/>
        <v>MDWSSAMPLE SIZE:</v>
      </c>
      <c r="B762" t="s">
        <v>7</v>
      </c>
      <c r="C762" t="s">
        <v>66</v>
      </c>
    </row>
    <row r="763" spans="1:15">
      <c r="A763" t="str">
        <f t="shared" si="11"/>
        <v>MDWSGCPSZ</v>
      </c>
      <c r="B763" t="s">
        <v>7</v>
      </c>
      <c r="C763" t="s">
        <v>166</v>
      </c>
      <c r="D763">
        <v>1</v>
      </c>
      <c r="E763">
        <v>1</v>
      </c>
      <c r="F763">
        <v>1</v>
      </c>
      <c r="G763">
        <v>1</v>
      </c>
      <c r="H763">
        <v>1</v>
      </c>
      <c r="I763">
        <v>1</v>
      </c>
      <c r="J763">
        <v>1</v>
      </c>
      <c r="K763">
        <v>1</v>
      </c>
      <c r="L763">
        <v>1</v>
      </c>
      <c r="M763">
        <v>1</v>
      </c>
      <c r="N763">
        <v>1</v>
      </c>
      <c r="O763" t="s">
        <v>539</v>
      </c>
    </row>
    <row r="764" spans="1:15">
      <c r="A764" t="str">
        <f t="shared" si="11"/>
        <v>MDWSGCPSZ ONPK</v>
      </c>
      <c r="B764" t="s">
        <v>7</v>
      </c>
      <c r="C764" t="s">
        <v>167</v>
      </c>
      <c r="D764">
        <v>1</v>
      </c>
      <c r="E764">
        <v>1</v>
      </c>
      <c r="F764">
        <v>1</v>
      </c>
      <c r="G764">
        <v>1</v>
      </c>
      <c r="H764">
        <v>1</v>
      </c>
      <c r="I764">
        <v>1</v>
      </c>
      <c r="J764">
        <v>1</v>
      </c>
      <c r="K764">
        <v>1</v>
      </c>
      <c r="L764">
        <v>1</v>
      </c>
      <c r="M764">
        <v>1</v>
      </c>
      <c r="N764">
        <v>1</v>
      </c>
      <c r="O764" t="s">
        <v>539</v>
      </c>
    </row>
    <row r="765" spans="1:15">
      <c r="A765" t="str">
        <f t="shared" si="11"/>
        <v>MDWSGCPSZ OFFPK</v>
      </c>
      <c r="B765" t="s">
        <v>7</v>
      </c>
      <c r="C765" t="s">
        <v>168</v>
      </c>
      <c r="D765">
        <v>1</v>
      </c>
      <c r="E765">
        <v>1</v>
      </c>
      <c r="F765">
        <v>1</v>
      </c>
      <c r="G765">
        <v>1</v>
      </c>
      <c r="H765">
        <v>1</v>
      </c>
      <c r="I765">
        <v>1</v>
      </c>
      <c r="J765">
        <v>1</v>
      </c>
      <c r="K765">
        <v>1</v>
      </c>
      <c r="L765">
        <v>1</v>
      </c>
      <c r="M765">
        <v>1</v>
      </c>
      <c r="N765">
        <v>1</v>
      </c>
      <c r="O765" t="s">
        <v>539</v>
      </c>
    </row>
    <row r="766" spans="1:15">
      <c r="A766" t="str">
        <f t="shared" si="11"/>
        <v>MDWSCPSZ</v>
      </c>
      <c r="B766" t="s">
        <v>7</v>
      </c>
      <c r="C766" t="s">
        <v>169</v>
      </c>
      <c r="D766">
        <v>1</v>
      </c>
      <c r="E766">
        <v>1</v>
      </c>
      <c r="F766">
        <v>1</v>
      </c>
      <c r="G766">
        <v>1</v>
      </c>
      <c r="H766">
        <v>1</v>
      </c>
      <c r="I766">
        <v>1</v>
      </c>
      <c r="J766">
        <v>1</v>
      </c>
      <c r="K766">
        <v>1</v>
      </c>
      <c r="L766">
        <v>1</v>
      </c>
      <c r="M766">
        <v>1</v>
      </c>
      <c r="N766">
        <v>1</v>
      </c>
      <c r="O766" t="s">
        <v>539</v>
      </c>
    </row>
    <row r="767" spans="1:15">
      <c r="A767" t="str">
        <f t="shared" si="11"/>
        <v/>
      </c>
    </row>
    <row r="768" spans="1:15" ht="14.4">
      <c r="A768" t="str">
        <f t="shared" si="11"/>
        <v>NOTE:     Sales line does not match sales in the Rate and Revenue Report due to billing lag.  Metro Dade Solid Waste Management's contract ended 12/1/2013.</v>
      </c>
      <c r="B768" s="301" t="s">
        <v>849</v>
      </c>
    </row>
    <row r="769" spans="1:15" ht="14.4">
      <c r="A769" t="str">
        <f t="shared" si="11"/>
        <v xml:space="preserve">                 In addition, the City of Blountstown, FKEC, Metro Dade and City of Wauchula are classified as Rate Code 940. The sales for the contracts are reported combined in the Rate &amp; Revenue Report.</v>
      </c>
      <c r="B769" s="301" t="s">
        <v>754</v>
      </c>
    </row>
    <row r="770" spans="1:15">
      <c r="A770" t="str">
        <f t="shared" si="11"/>
        <v xml:space="preserve">METRO MET Metropolitan Transit Service (Metrorail) </v>
      </c>
      <c r="B770" t="s">
        <v>13</v>
      </c>
      <c r="C770" t="s">
        <v>14</v>
      </c>
    </row>
    <row r="771" spans="1:15">
      <c r="A771" t="str">
        <f t="shared" si="11"/>
        <v xml:space="preserve">METROMONTH </v>
      </c>
      <c r="B771" t="s">
        <v>15</v>
      </c>
      <c r="C771" t="s">
        <v>123</v>
      </c>
      <c r="D771" s="4">
        <v>41275</v>
      </c>
      <c r="E771" s="4">
        <v>41306</v>
      </c>
      <c r="F771" s="4">
        <v>41334</v>
      </c>
      <c r="G771" s="4">
        <v>41365</v>
      </c>
      <c r="H771" s="4">
        <v>41395</v>
      </c>
      <c r="I771" s="4">
        <v>41426</v>
      </c>
      <c r="J771" s="4">
        <v>41456</v>
      </c>
      <c r="K771" s="4">
        <v>41487</v>
      </c>
      <c r="L771" s="4">
        <v>41518</v>
      </c>
      <c r="M771" s="4">
        <v>41548</v>
      </c>
      <c r="N771" s="4">
        <v>41579</v>
      </c>
      <c r="O771" s="4">
        <v>41609</v>
      </c>
    </row>
    <row r="772" spans="1:15">
      <c r="A772" t="str">
        <f t="shared" si="11"/>
        <v xml:space="preserve">METROCUSTOMERS </v>
      </c>
      <c r="B772" t="s">
        <v>15</v>
      </c>
      <c r="C772" t="s">
        <v>124</v>
      </c>
      <c r="D772">
        <v>26</v>
      </c>
      <c r="E772">
        <v>26</v>
      </c>
      <c r="F772">
        <v>26</v>
      </c>
      <c r="G772">
        <v>26</v>
      </c>
      <c r="H772">
        <v>26</v>
      </c>
      <c r="I772">
        <v>26</v>
      </c>
      <c r="J772">
        <v>26</v>
      </c>
      <c r="K772">
        <v>26</v>
      </c>
      <c r="L772">
        <v>26</v>
      </c>
      <c r="M772">
        <v>26</v>
      </c>
      <c r="N772">
        <v>27</v>
      </c>
      <c r="O772">
        <v>27</v>
      </c>
    </row>
    <row r="773" spans="1:15">
      <c r="A773" t="str">
        <f t="shared" si="11"/>
        <v xml:space="preserve">METROSALES </v>
      </c>
      <c r="B773" t="s">
        <v>15</v>
      </c>
      <c r="C773" t="s">
        <v>125</v>
      </c>
      <c r="D773">
        <v>7170100</v>
      </c>
      <c r="E773">
        <v>6622350</v>
      </c>
      <c r="F773">
        <v>6370000</v>
      </c>
      <c r="G773">
        <v>6767600</v>
      </c>
      <c r="H773">
        <v>8004500</v>
      </c>
      <c r="I773">
        <v>7429450</v>
      </c>
      <c r="J773">
        <v>7465500</v>
      </c>
      <c r="K773">
        <v>8147650</v>
      </c>
      <c r="L773">
        <v>7973350</v>
      </c>
      <c r="M773">
        <v>7749006</v>
      </c>
      <c r="N773">
        <v>7145998</v>
      </c>
      <c r="O773">
        <v>7001050</v>
      </c>
    </row>
    <row r="774" spans="1:15">
      <c r="A774" t="str">
        <f t="shared" si="11"/>
        <v>METROKW</v>
      </c>
      <c r="B774" t="s">
        <v>15</v>
      </c>
      <c r="C774" t="s">
        <v>126</v>
      </c>
    </row>
    <row r="775" spans="1:15">
      <c r="A775" t="str">
        <f t="shared" si="11"/>
        <v>METRON</v>
      </c>
      <c r="B775" t="s">
        <v>15</v>
      </c>
      <c r="C775" t="s">
        <v>127</v>
      </c>
      <c r="D775">
        <v>26</v>
      </c>
      <c r="E775">
        <v>26</v>
      </c>
      <c r="F775">
        <v>26</v>
      </c>
      <c r="G775">
        <v>26</v>
      </c>
      <c r="H775">
        <v>26</v>
      </c>
      <c r="I775">
        <v>26</v>
      </c>
      <c r="J775">
        <v>26</v>
      </c>
      <c r="K775">
        <v>26</v>
      </c>
      <c r="L775">
        <v>26</v>
      </c>
      <c r="M775">
        <v>26</v>
      </c>
      <c r="N775">
        <v>27</v>
      </c>
      <c r="O775">
        <v>27</v>
      </c>
    </row>
    <row r="776" spans="1:15">
      <c r="A776" t="str">
        <f t="shared" si="11"/>
        <v>METRORLR ENERGY:</v>
      </c>
      <c r="B776" t="s">
        <v>15</v>
      </c>
      <c r="C776" t="s">
        <v>61</v>
      </c>
    </row>
    <row r="777" spans="1:15">
      <c r="A777" t="str">
        <f t="shared" si="11"/>
        <v>METROKWH</v>
      </c>
      <c r="B777" t="s">
        <v>15</v>
      </c>
      <c r="C777" t="s">
        <v>128</v>
      </c>
      <c r="D777">
        <v>6879605</v>
      </c>
      <c r="E777">
        <v>6340211</v>
      </c>
      <c r="F777">
        <v>6975898</v>
      </c>
      <c r="G777">
        <v>7286304</v>
      </c>
      <c r="H777">
        <v>7571534</v>
      </c>
      <c r="I777">
        <v>7606903</v>
      </c>
      <c r="J777">
        <v>7910220</v>
      </c>
      <c r="K777">
        <v>8026600</v>
      </c>
      <c r="L777">
        <v>7529625</v>
      </c>
      <c r="M777">
        <v>7763665</v>
      </c>
      <c r="N777">
        <v>7072185</v>
      </c>
      <c r="O777">
        <v>7382731</v>
      </c>
    </row>
    <row r="778" spans="1:15">
      <c r="A778" t="str">
        <f t="shared" si="11"/>
        <v>METROKWH ONPK</v>
      </c>
      <c r="B778" t="s">
        <v>15</v>
      </c>
      <c r="C778" t="s">
        <v>129</v>
      </c>
      <c r="D778">
        <v>2047657</v>
      </c>
      <c r="E778">
        <v>1897235</v>
      </c>
      <c r="F778">
        <v>1965462</v>
      </c>
      <c r="G778">
        <v>2438952</v>
      </c>
      <c r="H778">
        <v>2476439</v>
      </c>
      <c r="I778">
        <v>2370271</v>
      </c>
      <c r="J778">
        <v>2597496</v>
      </c>
      <c r="K778">
        <v>2624924</v>
      </c>
      <c r="L778">
        <v>2349116</v>
      </c>
      <c r="M778">
        <v>2646629</v>
      </c>
      <c r="N778">
        <v>1982982</v>
      </c>
      <c r="O778">
        <v>2051938</v>
      </c>
    </row>
    <row r="779" spans="1:15">
      <c r="A779" t="str">
        <f t="shared" si="11"/>
        <v>METROKWH OFFPK</v>
      </c>
      <c r="B779" t="s">
        <v>15</v>
      </c>
      <c r="C779" t="s">
        <v>130</v>
      </c>
      <c r="D779">
        <v>4831949</v>
      </c>
      <c r="E779">
        <v>4442976</v>
      </c>
      <c r="F779">
        <v>5010436</v>
      </c>
      <c r="G779">
        <v>4847353</v>
      </c>
      <c r="H779">
        <v>5095095</v>
      </c>
      <c r="I779">
        <v>5236633</v>
      </c>
      <c r="J779">
        <v>5312724</v>
      </c>
      <c r="K779">
        <v>5401675</v>
      </c>
      <c r="L779">
        <v>5180509</v>
      </c>
      <c r="M779">
        <v>5117036</v>
      </c>
      <c r="N779">
        <v>5089203</v>
      </c>
      <c r="O779">
        <v>5330793</v>
      </c>
    </row>
    <row r="780" spans="1:15">
      <c r="A780" t="str">
        <f t="shared" si="11"/>
        <v>METROKWH ONPK%</v>
      </c>
      <c r="B780" t="s">
        <v>15</v>
      </c>
      <c r="C780" t="s">
        <v>131</v>
      </c>
      <c r="D780" s="5">
        <v>0.29764000000000002</v>
      </c>
      <c r="E780" s="5">
        <v>0.29924000000000001</v>
      </c>
      <c r="F780" s="5">
        <v>0.28175</v>
      </c>
      <c r="G780" s="5">
        <v>0.33473000000000003</v>
      </c>
      <c r="H780" s="5">
        <v>0.32707000000000003</v>
      </c>
      <c r="I780" s="5">
        <v>0.31158999999999998</v>
      </c>
      <c r="J780" s="5">
        <v>0.32837</v>
      </c>
      <c r="K780" s="5">
        <v>0.32702999999999999</v>
      </c>
      <c r="L780" s="5">
        <v>0.31197999999999998</v>
      </c>
      <c r="M780" s="5">
        <v>0.34089999999999998</v>
      </c>
      <c r="N780" s="5">
        <v>0.28038999999999997</v>
      </c>
      <c r="O780" s="5">
        <v>0.27794000000000002</v>
      </c>
    </row>
    <row r="781" spans="1:15">
      <c r="A781" t="str">
        <f t="shared" si="11"/>
        <v>METROKWH OFFPK%</v>
      </c>
      <c r="B781" t="s">
        <v>15</v>
      </c>
      <c r="C781" t="s">
        <v>132</v>
      </c>
      <c r="D781" s="5">
        <v>0.70235999999999998</v>
      </c>
      <c r="E781" s="5">
        <v>0.70076000000000005</v>
      </c>
      <c r="F781" s="5">
        <v>0.71825000000000006</v>
      </c>
      <c r="G781" s="5">
        <v>0.66527000000000003</v>
      </c>
      <c r="H781" s="5">
        <v>0.67293000000000003</v>
      </c>
      <c r="I781" s="5">
        <v>0.68840999999999997</v>
      </c>
      <c r="J781" s="5">
        <v>0.67162999999999995</v>
      </c>
      <c r="K781" s="5">
        <v>0.67296999999999996</v>
      </c>
      <c r="L781" s="5">
        <v>0.68801999999999996</v>
      </c>
      <c r="M781" s="5">
        <v>0.65910000000000002</v>
      </c>
      <c r="N781" s="5">
        <v>0.71960999999999997</v>
      </c>
      <c r="O781" s="5">
        <v>0.72206000000000004</v>
      </c>
    </row>
    <row r="782" spans="1:15">
      <c r="A782" t="str">
        <f t="shared" si="11"/>
        <v>METRODEMAND (KW):</v>
      </c>
      <c r="B782" t="s">
        <v>15</v>
      </c>
      <c r="C782" t="s">
        <v>62</v>
      </c>
    </row>
    <row r="783" spans="1:15">
      <c r="A783" t="str">
        <f t="shared" si="11"/>
        <v>METRONCP</v>
      </c>
      <c r="B783" t="s">
        <v>15</v>
      </c>
      <c r="C783" t="s">
        <v>133</v>
      </c>
      <c r="D783">
        <v>16306</v>
      </c>
      <c r="E783">
        <v>17819</v>
      </c>
      <c r="F783">
        <v>17998</v>
      </c>
      <c r="G783">
        <v>18696</v>
      </c>
      <c r="H783">
        <v>18452</v>
      </c>
      <c r="I783">
        <v>20116</v>
      </c>
      <c r="J783">
        <v>20577</v>
      </c>
      <c r="K783">
        <v>21020</v>
      </c>
      <c r="L783">
        <v>20990</v>
      </c>
      <c r="M783">
        <v>19594</v>
      </c>
      <c r="N783">
        <v>18280</v>
      </c>
      <c r="O783">
        <v>17733</v>
      </c>
    </row>
    <row r="784" spans="1:15">
      <c r="A784" t="str">
        <f t="shared" si="11"/>
        <v>METRONCP ONPK</v>
      </c>
      <c r="B784" t="s">
        <v>15</v>
      </c>
      <c r="C784" t="s">
        <v>134</v>
      </c>
      <c r="D784">
        <v>15801</v>
      </c>
      <c r="E784">
        <v>17032</v>
      </c>
      <c r="F784">
        <v>16884</v>
      </c>
      <c r="G784">
        <v>17995</v>
      </c>
      <c r="H784">
        <v>17682</v>
      </c>
      <c r="I784">
        <v>18977</v>
      </c>
      <c r="J784">
        <v>19808</v>
      </c>
      <c r="K784">
        <v>19923</v>
      </c>
      <c r="L784">
        <v>20022</v>
      </c>
      <c r="M784">
        <v>18902</v>
      </c>
      <c r="N784">
        <v>17109</v>
      </c>
      <c r="O784">
        <v>16699</v>
      </c>
    </row>
    <row r="785" spans="1:15">
      <c r="A785" t="str">
        <f t="shared" si="11"/>
        <v>METRONCP OFFPK</v>
      </c>
      <c r="B785" t="s">
        <v>15</v>
      </c>
      <c r="C785" t="s">
        <v>135</v>
      </c>
      <c r="D785">
        <v>16140</v>
      </c>
      <c r="E785">
        <v>17707</v>
      </c>
      <c r="F785">
        <v>16820</v>
      </c>
      <c r="G785">
        <v>17497</v>
      </c>
      <c r="H785">
        <v>17491</v>
      </c>
      <c r="I785">
        <v>19529</v>
      </c>
      <c r="J785">
        <v>19389</v>
      </c>
      <c r="K785">
        <v>19729</v>
      </c>
      <c r="L785">
        <v>20226</v>
      </c>
      <c r="M785">
        <v>18921</v>
      </c>
      <c r="N785">
        <v>18193</v>
      </c>
      <c r="O785">
        <v>17672</v>
      </c>
    </row>
    <row r="786" spans="1:15">
      <c r="A786" t="str">
        <f t="shared" si="11"/>
        <v>METROGCP DATE</v>
      </c>
      <c r="B786" t="s">
        <v>15</v>
      </c>
      <c r="C786" t="s">
        <v>136</v>
      </c>
      <c r="D786" t="s">
        <v>277</v>
      </c>
      <c r="E786" t="s">
        <v>298</v>
      </c>
      <c r="F786" t="s">
        <v>804</v>
      </c>
      <c r="G786" t="s">
        <v>768</v>
      </c>
      <c r="H786" t="s">
        <v>850</v>
      </c>
      <c r="I786" t="s">
        <v>851</v>
      </c>
      <c r="J786" t="s">
        <v>852</v>
      </c>
      <c r="K786" t="s">
        <v>837</v>
      </c>
      <c r="L786" t="s">
        <v>750</v>
      </c>
      <c r="M786" t="s">
        <v>853</v>
      </c>
      <c r="N786" t="s">
        <v>854</v>
      </c>
      <c r="O786" t="s">
        <v>808</v>
      </c>
    </row>
    <row r="787" spans="1:15">
      <c r="A787" t="str">
        <f t="shared" si="11"/>
        <v>METROGCP TIME</v>
      </c>
      <c r="B787" t="s">
        <v>15</v>
      </c>
      <c r="C787" t="s">
        <v>142</v>
      </c>
      <c r="D787" t="s">
        <v>196</v>
      </c>
      <c r="E787" t="s">
        <v>196</v>
      </c>
      <c r="F787" t="s">
        <v>196</v>
      </c>
      <c r="G787" t="s">
        <v>196</v>
      </c>
      <c r="H787" t="s">
        <v>196</v>
      </c>
      <c r="I787" t="s">
        <v>196</v>
      </c>
      <c r="J787" t="s">
        <v>196</v>
      </c>
      <c r="K787" t="s">
        <v>196</v>
      </c>
      <c r="L787" t="s">
        <v>196</v>
      </c>
      <c r="M787" t="s">
        <v>196</v>
      </c>
      <c r="N787" t="s">
        <v>196</v>
      </c>
      <c r="O787" t="s">
        <v>195</v>
      </c>
    </row>
    <row r="788" spans="1:15">
      <c r="A788" t="str">
        <f t="shared" si="11"/>
        <v>METROGCP</v>
      </c>
      <c r="B788" t="s">
        <v>15</v>
      </c>
      <c r="C788" t="s">
        <v>147</v>
      </c>
      <c r="D788">
        <v>14286</v>
      </c>
      <c r="E788">
        <v>14969</v>
      </c>
      <c r="F788">
        <v>14705</v>
      </c>
      <c r="G788">
        <v>15329</v>
      </c>
      <c r="H788">
        <v>15435</v>
      </c>
      <c r="I788">
        <v>16812</v>
      </c>
      <c r="J788">
        <v>16534</v>
      </c>
      <c r="K788">
        <v>16130</v>
      </c>
      <c r="L788">
        <v>16209</v>
      </c>
      <c r="M788">
        <v>15763</v>
      </c>
      <c r="N788">
        <v>15498</v>
      </c>
      <c r="O788">
        <v>15727</v>
      </c>
    </row>
    <row r="789" spans="1:15">
      <c r="A789" t="str">
        <f t="shared" si="11"/>
        <v>METROGCP ONPK</v>
      </c>
      <c r="B789" t="s">
        <v>15</v>
      </c>
      <c r="C789" t="s">
        <v>63</v>
      </c>
      <c r="D789">
        <v>14032</v>
      </c>
      <c r="E789">
        <v>14448</v>
      </c>
      <c r="F789">
        <v>14466</v>
      </c>
      <c r="G789">
        <v>15329</v>
      </c>
      <c r="H789">
        <v>15435</v>
      </c>
      <c r="I789">
        <v>16812</v>
      </c>
      <c r="J789">
        <v>16534</v>
      </c>
      <c r="K789">
        <v>16130</v>
      </c>
      <c r="L789">
        <v>16209</v>
      </c>
      <c r="M789">
        <v>15763</v>
      </c>
      <c r="N789">
        <v>14845</v>
      </c>
      <c r="O789">
        <v>14883</v>
      </c>
    </row>
    <row r="790" spans="1:15">
      <c r="A790" t="str">
        <f t="shared" si="11"/>
        <v>METROGCP OFFPK</v>
      </c>
      <c r="B790" t="s">
        <v>15</v>
      </c>
      <c r="C790" t="s">
        <v>64</v>
      </c>
      <c r="D790">
        <v>14286</v>
      </c>
      <c r="E790">
        <v>14969</v>
      </c>
      <c r="F790">
        <v>14705</v>
      </c>
      <c r="G790">
        <v>15133</v>
      </c>
      <c r="H790">
        <v>15227</v>
      </c>
      <c r="I790">
        <v>16798</v>
      </c>
      <c r="J790">
        <v>15553</v>
      </c>
      <c r="K790">
        <v>15567</v>
      </c>
      <c r="L790">
        <v>15855</v>
      </c>
      <c r="M790">
        <v>15156</v>
      </c>
      <c r="N790">
        <v>15498</v>
      </c>
      <c r="O790">
        <v>15727</v>
      </c>
    </row>
    <row r="791" spans="1:15">
      <c r="A791" t="str">
        <f t="shared" si="11"/>
        <v>METROCP</v>
      </c>
      <c r="B791" t="s">
        <v>15</v>
      </c>
      <c r="C791" t="s">
        <v>148</v>
      </c>
      <c r="D791">
        <v>13191</v>
      </c>
      <c r="E791">
        <v>12593</v>
      </c>
      <c r="F791">
        <v>13229</v>
      </c>
      <c r="G791">
        <v>13472</v>
      </c>
      <c r="H791">
        <v>14346</v>
      </c>
      <c r="I791">
        <v>15187</v>
      </c>
      <c r="J791">
        <v>13941</v>
      </c>
      <c r="K791">
        <v>14588</v>
      </c>
      <c r="L791">
        <v>13812</v>
      </c>
      <c r="M791">
        <v>13361</v>
      </c>
      <c r="N791">
        <v>14598</v>
      </c>
      <c r="O791">
        <v>11975</v>
      </c>
    </row>
    <row r="792" spans="1:15">
      <c r="A792" t="str">
        <f t="shared" si="11"/>
        <v>METROPERIOD START</v>
      </c>
      <c r="B792" t="s">
        <v>15</v>
      </c>
      <c r="C792" t="s">
        <v>149</v>
      </c>
      <c r="D792" s="1">
        <v>41275</v>
      </c>
      <c r="E792" s="1">
        <v>41306</v>
      </c>
      <c r="F792" s="1">
        <v>41334</v>
      </c>
      <c r="G792" s="1">
        <v>41365</v>
      </c>
      <c r="H792" s="1">
        <v>41395</v>
      </c>
      <c r="I792" s="1">
        <v>41426</v>
      </c>
      <c r="J792" s="1">
        <v>41456</v>
      </c>
      <c r="K792" s="1">
        <v>41487</v>
      </c>
      <c r="L792" s="1">
        <v>41518</v>
      </c>
      <c r="M792" s="1">
        <v>41548</v>
      </c>
      <c r="N792" s="1">
        <v>41579</v>
      </c>
      <c r="O792" s="1">
        <v>41609</v>
      </c>
    </row>
    <row r="793" spans="1:15">
      <c r="A793" t="str">
        <f t="shared" si="11"/>
        <v>METRONCP LF</v>
      </c>
      <c r="B793" t="s">
        <v>15</v>
      </c>
      <c r="C793" t="s">
        <v>150</v>
      </c>
      <c r="D793" s="5">
        <v>0.56710000000000005</v>
      </c>
      <c r="E793" s="5">
        <v>0.52949999999999997</v>
      </c>
      <c r="F793" s="5">
        <v>0.52170000000000005</v>
      </c>
      <c r="G793" s="5">
        <v>0.5413</v>
      </c>
      <c r="H793" s="5">
        <v>0.55149999999999999</v>
      </c>
      <c r="I793" s="5">
        <v>0.5252</v>
      </c>
      <c r="J793" s="5">
        <v>0.51670000000000005</v>
      </c>
      <c r="K793" s="5">
        <v>0.51319999999999999</v>
      </c>
      <c r="L793" s="5">
        <v>0.49819999999999998</v>
      </c>
      <c r="M793" s="5">
        <v>0.53259999999999996</v>
      </c>
      <c r="N793" s="5">
        <v>0.5373</v>
      </c>
      <c r="O793" s="5">
        <v>0.55959999999999999</v>
      </c>
    </row>
    <row r="794" spans="1:15">
      <c r="A794" t="str">
        <f t="shared" si="11"/>
        <v>METRONCP LF ONPK</v>
      </c>
      <c r="B794" t="s">
        <v>15</v>
      </c>
      <c r="C794" t="s">
        <v>151</v>
      </c>
      <c r="D794" s="5">
        <v>0.73629999999999995</v>
      </c>
      <c r="E794" s="5">
        <v>0.69620000000000004</v>
      </c>
      <c r="F794" s="5">
        <v>0.69289999999999996</v>
      </c>
      <c r="G794" s="5">
        <v>0.6845</v>
      </c>
      <c r="H794" s="5">
        <v>0.70740000000000003</v>
      </c>
      <c r="I794" s="5">
        <v>0.69389999999999996</v>
      </c>
      <c r="J794" s="5">
        <v>0.6623</v>
      </c>
      <c r="K794" s="5">
        <v>0.66539999999999999</v>
      </c>
      <c r="L794" s="5">
        <v>0.65180000000000005</v>
      </c>
      <c r="M794" s="5">
        <v>0.6764</v>
      </c>
      <c r="N794" s="5">
        <v>0.72440000000000004</v>
      </c>
      <c r="O794" s="5">
        <v>0.73140000000000005</v>
      </c>
    </row>
    <row r="795" spans="1:15">
      <c r="A795" t="str">
        <f t="shared" si="11"/>
        <v>METRONCP LF OFFPK</v>
      </c>
      <c r="B795" t="s">
        <v>15</v>
      </c>
      <c r="C795" t="s">
        <v>152</v>
      </c>
      <c r="D795" s="5">
        <v>0.52710000000000001</v>
      </c>
      <c r="E795" s="5">
        <v>0.49009999999999998</v>
      </c>
      <c r="F795" s="5">
        <v>0.51800000000000002</v>
      </c>
      <c r="G795" s="5">
        <v>0.53069999999999995</v>
      </c>
      <c r="H795" s="5">
        <v>0.53349999999999997</v>
      </c>
      <c r="I795" s="5">
        <v>0.49659999999999999</v>
      </c>
      <c r="J795" s="5">
        <v>0.50180000000000002</v>
      </c>
      <c r="K795" s="5">
        <v>0.50149999999999995</v>
      </c>
      <c r="L795" s="5">
        <v>0.4743</v>
      </c>
      <c r="M795" s="5">
        <v>0.50360000000000005</v>
      </c>
      <c r="N795" s="5">
        <v>0.4995</v>
      </c>
      <c r="O795" s="5">
        <v>0.52370000000000005</v>
      </c>
    </row>
    <row r="796" spans="1:15">
      <c r="A796" t="str">
        <f t="shared" si="11"/>
        <v>METROGCP CF</v>
      </c>
      <c r="B796" t="s">
        <v>15</v>
      </c>
      <c r="C796" t="s">
        <v>153</v>
      </c>
      <c r="D796" s="5">
        <v>0.87609999999999999</v>
      </c>
      <c r="E796" s="5">
        <v>0.84</v>
      </c>
      <c r="F796" s="5">
        <v>0.81699999999999995</v>
      </c>
      <c r="G796" s="5">
        <v>0.81989999999999996</v>
      </c>
      <c r="H796" s="5">
        <v>0.83650000000000002</v>
      </c>
      <c r="I796" s="5">
        <v>0.8357</v>
      </c>
      <c r="J796" s="5">
        <v>0.80349999999999999</v>
      </c>
      <c r="K796" s="5">
        <v>0.76739999999999997</v>
      </c>
      <c r="L796" s="5">
        <v>0.7722</v>
      </c>
      <c r="M796" s="5">
        <v>0.80449999999999999</v>
      </c>
      <c r="N796" s="5">
        <v>0.8478</v>
      </c>
      <c r="O796" s="5">
        <v>0.88690000000000002</v>
      </c>
    </row>
    <row r="797" spans="1:15">
      <c r="A797" t="str">
        <f t="shared" si="11"/>
        <v>METROCP CF</v>
      </c>
      <c r="B797" t="s">
        <v>15</v>
      </c>
      <c r="C797" t="s">
        <v>154</v>
      </c>
      <c r="D797" s="5">
        <v>0.80900000000000005</v>
      </c>
      <c r="E797" s="5">
        <v>0.70669999999999999</v>
      </c>
      <c r="F797" s="5">
        <v>0.73499999999999999</v>
      </c>
      <c r="G797" s="5">
        <v>0.72060000000000002</v>
      </c>
      <c r="H797" s="5">
        <v>0.77749999999999997</v>
      </c>
      <c r="I797" s="5">
        <v>0.75490000000000002</v>
      </c>
      <c r="J797" s="5">
        <v>0.67749999999999999</v>
      </c>
      <c r="K797" s="5">
        <v>0.69399999999999995</v>
      </c>
      <c r="L797" s="5">
        <v>0.65800000000000003</v>
      </c>
      <c r="M797" s="5">
        <v>0.68189999999999995</v>
      </c>
      <c r="N797" s="5">
        <v>0.79859999999999998</v>
      </c>
      <c r="O797" s="5">
        <v>0.67530000000000001</v>
      </c>
    </row>
    <row r="798" spans="1:15">
      <c r="A798" t="str">
        <f t="shared" si="11"/>
        <v>METROGCP LF</v>
      </c>
      <c r="B798" t="s">
        <v>15</v>
      </c>
      <c r="C798" t="s">
        <v>155</v>
      </c>
      <c r="D798" s="5">
        <v>0.64729999999999999</v>
      </c>
      <c r="E798" s="5">
        <v>0.63029999999999997</v>
      </c>
      <c r="F798" s="5">
        <v>0.63849999999999996</v>
      </c>
      <c r="G798" s="5">
        <v>0.66020000000000001</v>
      </c>
      <c r="H798" s="5">
        <v>0.6593</v>
      </c>
      <c r="I798" s="5">
        <v>0.62839999999999996</v>
      </c>
      <c r="J798" s="5">
        <v>0.64300000000000002</v>
      </c>
      <c r="K798" s="5">
        <v>0.66879999999999995</v>
      </c>
      <c r="L798" s="5">
        <v>0.6452</v>
      </c>
      <c r="M798" s="5">
        <v>0.66200000000000003</v>
      </c>
      <c r="N798" s="5">
        <v>0.63380000000000003</v>
      </c>
      <c r="O798" s="5">
        <v>0.63100000000000001</v>
      </c>
    </row>
    <row r="799" spans="1:15">
      <c r="A799" t="str">
        <f t="shared" si="11"/>
        <v>METROGCP LF ONPK</v>
      </c>
      <c r="B799" t="s">
        <v>15</v>
      </c>
      <c r="C799" t="s">
        <v>156</v>
      </c>
      <c r="D799" s="5">
        <v>0.82909999999999995</v>
      </c>
      <c r="E799" s="5">
        <v>0.82069999999999999</v>
      </c>
      <c r="F799" s="5">
        <v>0.80869999999999997</v>
      </c>
      <c r="G799" s="5">
        <v>0.80359999999999998</v>
      </c>
      <c r="H799" s="5">
        <v>0.81030000000000002</v>
      </c>
      <c r="I799" s="5">
        <v>0.7833</v>
      </c>
      <c r="J799" s="5">
        <v>0.79339999999999999</v>
      </c>
      <c r="K799" s="5">
        <v>0.82189999999999996</v>
      </c>
      <c r="L799" s="5">
        <v>0.80520000000000003</v>
      </c>
      <c r="M799" s="5">
        <v>0.81110000000000004</v>
      </c>
      <c r="N799" s="5">
        <v>0.83489999999999998</v>
      </c>
      <c r="O799" s="5">
        <v>0.82069999999999999</v>
      </c>
    </row>
    <row r="800" spans="1:15">
      <c r="A800" t="str">
        <f t="shared" si="11"/>
        <v>METROGCP LF OFFPK</v>
      </c>
      <c r="B800" t="s">
        <v>15</v>
      </c>
      <c r="C800" t="s">
        <v>157</v>
      </c>
      <c r="D800" s="5">
        <v>0.59550000000000003</v>
      </c>
      <c r="E800" s="5">
        <v>0.57969999999999999</v>
      </c>
      <c r="F800" s="5">
        <v>0.59260000000000002</v>
      </c>
      <c r="G800" s="5">
        <v>0.61360000000000003</v>
      </c>
      <c r="H800" s="5">
        <v>0.6129</v>
      </c>
      <c r="I800" s="5">
        <v>0.57730000000000004</v>
      </c>
      <c r="J800" s="5">
        <v>0.62560000000000004</v>
      </c>
      <c r="K800" s="5">
        <v>0.63549999999999995</v>
      </c>
      <c r="L800" s="5">
        <v>0.60509999999999997</v>
      </c>
      <c r="M800" s="5">
        <v>0.62870000000000004</v>
      </c>
      <c r="N800" s="5">
        <v>0.58640000000000003</v>
      </c>
      <c r="O800" s="5">
        <v>0.58850000000000002</v>
      </c>
    </row>
    <row r="801" spans="1:15">
      <c r="A801" t="str">
        <f t="shared" si="11"/>
        <v>METROCP LF</v>
      </c>
      <c r="B801" t="s">
        <v>15</v>
      </c>
      <c r="C801" t="s">
        <v>158</v>
      </c>
      <c r="D801" s="5">
        <v>0.70099999999999996</v>
      </c>
      <c r="E801" s="5">
        <v>0.74919999999999998</v>
      </c>
      <c r="F801" s="5">
        <v>0.7097</v>
      </c>
      <c r="G801" s="5">
        <v>0.75119999999999998</v>
      </c>
      <c r="H801" s="5">
        <v>0.70940000000000003</v>
      </c>
      <c r="I801" s="5">
        <v>0.69569999999999999</v>
      </c>
      <c r="J801" s="5">
        <v>0.76259999999999994</v>
      </c>
      <c r="K801" s="5">
        <v>0.73950000000000005</v>
      </c>
      <c r="L801" s="5">
        <v>0.7571</v>
      </c>
      <c r="M801" s="5">
        <v>0.78100000000000003</v>
      </c>
      <c r="N801" s="5">
        <v>0.67290000000000005</v>
      </c>
      <c r="O801" s="5">
        <v>0.8286</v>
      </c>
    </row>
    <row r="802" spans="1:15">
      <c r="A802" t="str">
        <f t="shared" si="11"/>
        <v>METROREL PREC:</v>
      </c>
      <c r="B802" t="s">
        <v>15</v>
      </c>
      <c r="C802" t="s">
        <v>65</v>
      </c>
    </row>
    <row r="803" spans="1:15">
      <c r="A803" t="str">
        <f t="shared" si="11"/>
        <v>METRONCP RP</v>
      </c>
      <c r="B803" t="s">
        <v>15</v>
      </c>
      <c r="C803" t="s">
        <v>159</v>
      </c>
      <c r="D803" s="5">
        <v>0</v>
      </c>
      <c r="E803" s="5">
        <v>0</v>
      </c>
      <c r="F803" s="5">
        <v>0</v>
      </c>
      <c r="G803" s="5">
        <v>0</v>
      </c>
      <c r="H803" s="5">
        <v>0</v>
      </c>
      <c r="I803" s="5">
        <v>0</v>
      </c>
      <c r="J803" s="5">
        <v>0</v>
      </c>
      <c r="K803" s="5">
        <v>0</v>
      </c>
      <c r="L803" s="5">
        <v>0</v>
      </c>
      <c r="M803" s="5">
        <v>0</v>
      </c>
      <c r="N803" s="5">
        <v>0</v>
      </c>
      <c r="O803" s="5">
        <v>6.0100000000000001E-2</v>
      </c>
    </row>
    <row r="804" spans="1:15">
      <c r="A804" t="str">
        <f t="shared" si="11"/>
        <v>METRONCP RP ONPK</v>
      </c>
      <c r="B804" t="s">
        <v>15</v>
      </c>
      <c r="C804" t="s">
        <v>160</v>
      </c>
      <c r="D804" s="5">
        <v>0</v>
      </c>
      <c r="E804" s="5">
        <v>0</v>
      </c>
      <c r="F804" s="5">
        <v>0</v>
      </c>
      <c r="G804" s="5">
        <v>0</v>
      </c>
      <c r="H804" s="5">
        <v>0</v>
      </c>
      <c r="I804" s="5">
        <v>0</v>
      </c>
      <c r="J804" s="5">
        <v>0</v>
      </c>
      <c r="K804" s="5">
        <v>0</v>
      </c>
      <c r="L804" s="5">
        <v>0</v>
      </c>
      <c r="M804" s="5">
        <v>0</v>
      </c>
      <c r="N804" s="5">
        <v>0</v>
      </c>
      <c r="O804" s="5">
        <v>5.8999999999999997E-2</v>
      </c>
    </row>
    <row r="805" spans="1:15">
      <c r="A805" t="str">
        <f t="shared" si="11"/>
        <v>METRONCP RP OFFPK</v>
      </c>
      <c r="B805" t="s">
        <v>15</v>
      </c>
      <c r="C805" t="s">
        <v>161</v>
      </c>
      <c r="D805" s="5">
        <v>0</v>
      </c>
      <c r="E805" s="5">
        <v>0</v>
      </c>
      <c r="F805" s="5">
        <v>0</v>
      </c>
      <c r="G805" s="5">
        <v>0</v>
      </c>
      <c r="H805" s="5">
        <v>0</v>
      </c>
      <c r="I805" s="5">
        <v>0</v>
      </c>
      <c r="J805" s="5">
        <v>0</v>
      </c>
      <c r="K805" s="5">
        <v>0</v>
      </c>
      <c r="L805" s="5">
        <v>0</v>
      </c>
      <c r="M805" s="5">
        <v>0</v>
      </c>
      <c r="N805" s="5">
        <v>0</v>
      </c>
      <c r="O805" s="5">
        <v>6.0299999999999999E-2</v>
      </c>
    </row>
    <row r="806" spans="1:15">
      <c r="A806" t="str">
        <f t="shared" si="11"/>
        <v>METROGCP RP</v>
      </c>
      <c r="B806" t="s">
        <v>15</v>
      </c>
      <c r="C806" t="s">
        <v>162</v>
      </c>
      <c r="D806" s="5">
        <v>0</v>
      </c>
      <c r="E806" s="5">
        <v>0</v>
      </c>
      <c r="F806" s="5">
        <v>0</v>
      </c>
      <c r="G806" s="5">
        <v>0</v>
      </c>
      <c r="H806" s="5">
        <v>0</v>
      </c>
      <c r="I806" s="5">
        <v>0</v>
      </c>
      <c r="J806" s="5">
        <v>0</v>
      </c>
      <c r="K806" s="5">
        <v>0</v>
      </c>
      <c r="L806" s="5">
        <v>0</v>
      </c>
      <c r="M806" s="5">
        <v>0</v>
      </c>
      <c r="N806" s="5">
        <v>0</v>
      </c>
      <c r="O806" s="5">
        <v>5.7599999999999998E-2</v>
      </c>
    </row>
    <row r="807" spans="1:15">
      <c r="A807" t="str">
        <f t="shared" si="11"/>
        <v>METROGCP RP ONPK</v>
      </c>
      <c r="B807" t="s">
        <v>15</v>
      </c>
      <c r="C807" t="s">
        <v>163</v>
      </c>
      <c r="D807" s="5">
        <v>0</v>
      </c>
      <c r="E807" s="5">
        <v>0</v>
      </c>
      <c r="F807" s="5">
        <v>0</v>
      </c>
      <c r="G807" s="5">
        <v>0</v>
      </c>
      <c r="H807" s="5">
        <v>0</v>
      </c>
      <c r="I807" s="5">
        <v>0</v>
      </c>
      <c r="J807" s="5">
        <v>0</v>
      </c>
      <c r="K807" s="5">
        <v>0</v>
      </c>
      <c r="L807" s="5">
        <v>0</v>
      </c>
      <c r="M807" s="5">
        <v>0</v>
      </c>
      <c r="N807" s="5">
        <v>0</v>
      </c>
      <c r="O807" s="5">
        <v>5.9200000000000003E-2</v>
      </c>
    </row>
    <row r="808" spans="1:15">
      <c r="A808" t="str">
        <f t="shared" si="11"/>
        <v>METROGCP RP OFFPK</v>
      </c>
      <c r="B808" t="s">
        <v>15</v>
      </c>
      <c r="C808" t="s">
        <v>164</v>
      </c>
      <c r="D808" s="5">
        <v>0</v>
      </c>
      <c r="E808" s="5">
        <v>0</v>
      </c>
      <c r="F808" s="5">
        <v>0</v>
      </c>
      <c r="G808" s="5">
        <v>0</v>
      </c>
      <c r="H808" s="5">
        <v>0</v>
      </c>
      <c r="I808" s="5">
        <v>0</v>
      </c>
      <c r="J808" s="5">
        <v>0</v>
      </c>
      <c r="K808" s="5">
        <v>0</v>
      </c>
      <c r="L808" s="5">
        <v>0</v>
      </c>
      <c r="M808" s="5">
        <v>0</v>
      </c>
      <c r="N808" s="5">
        <v>0</v>
      </c>
      <c r="O808" s="5">
        <v>5.7599999999999998E-2</v>
      </c>
    </row>
    <row r="809" spans="1:15">
      <c r="A809" t="str">
        <f t="shared" si="11"/>
        <v>METROCP RP</v>
      </c>
      <c r="B809" t="s">
        <v>15</v>
      </c>
      <c r="C809" t="s">
        <v>165</v>
      </c>
      <c r="D809" s="5">
        <v>0</v>
      </c>
      <c r="E809" s="5">
        <v>0</v>
      </c>
      <c r="F809" s="5">
        <v>0</v>
      </c>
      <c r="G809" s="5">
        <v>0</v>
      </c>
      <c r="H809" s="5">
        <v>0</v>
      </c>
      <c r="I809" s="5">
        <v>0</v>
      </c>
      <c r="J809" s="5">
        <v>0</v>
      </c>
      <c r="K809" s="5">
        <v>0</v>
      </c>
      <c r="L809" s="5">
        <v>0</v>
      </c>
      <c r="M809" s="5">
        <v>0</v>
      </c>
      <c r="N809" s="5">
        <v>0</v>
      </c>
      <c r="O809" s="5">
        <v>6.8000000000000005E-2</v>
      </c>
    </row>
    <row r="810" spans="1:15">
      <c r="A810" t="str">
        <f t="shared" si="11"/>
        <v>METROSAMPLE SIZE:</v>
      </c>
      <c r="B810" t="s">
        <v>15</v>
      </c>
      <c r="C810" t="s">
        <v>66</v>
      </c>
    </row>
    <row r="811" spans="1:15">
      <c r="A811" t="str">
        <f t="shared" si="11"/>
        <v>METROGCPSZ</v>
      </c>
      <c r="B811" t="s">
        <v>15</v>
      </c>
      <c r="C811" t="s">
        <v>166</v>
      </c>
      <c r="D811">
        <v>26</v>
      </c>
      <c r="E811">
        <v>26</v>
      </c>
      <c r="F811">
        <v>26</v>
      </c>
      <c r="G811">
        <v>26</v>
      </c>
      <c r="H811">
        <v>26</v>
      </c>
      <c r="I811">
        <v>26</v>
      </c>
      <c r="J811">
        <v>26</v>
      </c>
      <c r="K811">
        <v>26</v>
      </c>
      <c r="L811">
        <v>26</v>
      </c>
      <c r="M811">
        <v>26</v>
      </c>
      <c r="N811">
        <v>27</v>
      </c>
      <c r="O811">
        <v>25</v>
      </c>
    </row>
    <row r="812" spans="1:15">
      <c r="A812" t="str">
        <f t="shared" si="11"/>
        <v>METROGCPSZ ONPK</v>
      </c>
      <c r="B812" t="s">
        <v>15</v>
      </c>
      <c r="C812" t="s">
        <v>167</v>
      </c>
      <c r="D812">
        <v>26</v>
      </c>
      <c r="E812">
        <v>26</v>
      </c>
      <c r="F812">
        <v>26</v>
      </c>
      <c r="G812">
        <v>26</v>
      </c>
      <c r="H812">
        <v>26</v>
      </c>
      <c r="I812">
        <v>26</v>
      </c>
      <c r="J812">
        <v>26</v>
      </c>
      <c r="K812">
        <v>26</v>
      </c>
      <c r="L812">
        <v>26</v>
      </c>
      <c r="M812">
        <v>26</v>
      </c>
      <c r="N812">
        <v>27</v>
      </c>
      <c r="O812">
        <v>25</v>
      </c>
    </row>
    <row r="813" spans="1:15">
      <c r="A813" t="str">
        <f t="shared" si="11"/>
        <v>METROGCPSZ OFFPK</v>
      </c>
      <c r="B813" t="s">
        <v>15</v>
      </c>
      <c r="C813" t="s">
        <v>168</v>
      </c>
      <c r="D813">
        <v>26</v>
      </c>
      <c r="E813">
        <v>26</v>
      </c>
      <c r="F813">
        <v>26</v>
      </c>
      <c r="G813">
        <v>26</v>
      </c>
      <c r="H813">
        <v>26</v>
      </c>
      <c r="I813">
        <v>26</v>
      </c>
      <c r="J813">
        <v>26</v>
      </c>
      <c r="K813">
        <v>26</v>
      </c>
      <c r="L813">
        <v>26</v>
      </c>
      <c r="M813">
        <v>26</v>
      </c>
      <c r="N813">
        <v>27</v>
      </c>
      <c r="O813">
        <v>25</v>
      </c>
    </row>
    <row r="814" spans="1:15">
      <c r="A814" t="str">
        <f t="shared" si="11"/>
        <v>METROCPSZ</v>
      </c>
      <c r="B814" t="s">
        <v>15</v>
      </c>
      <c r="C814" t="s">
        <v>169</v>
      </c>
      <c r="D814">
        <v>26</v>
      </c>
      <c r="E814">
        <v>26</v>
      </c>
      <c r="F814">
        <v>26</v>
      </c>
      <c r="G814">
        <v>26</v>
      </c>
      <c r="H814">
        <v>26</v>
      </c>
      <c r="I814">
        <v>26</v>
      </c>
      <c r="J814">
        <v>26</v>
      </c>
      <c r="K814">
        <v>26</v>
      </c>
      <c r="L814">
        <v>26</v>
      </c>
      <c r="M814">
        <v>26</v>
      </c>
      <c r="N814">
        <v>27</v>
      </c>
      <c r="O814">
        <v>25</v>
      </c>
    </row>
    <row r="815" spans="1:15">
      <c r="A815" t="str">
        <f t="shared" si="11"/>
        <v/>
      </c>
    </row>
    <row r="816" spans="1:15">
      <c r="A816" t="str">
        <f t="shared" si="11"/>
        <v/>
      </c>
    </row>
    <row r="817" spans="1:15">
      <c r="A817" t="str">
        <f t="shared" si="11"/>
        <v xml:space="preserve">OL01 Outdoor Lighting (Modeled Rate Class) </v>
      </c>
      <c r="B817" t="s">
        <v>17</v>
      </c>
      <c r="C817" t="s">
        <v>18</v>
      </c>
    </row>
    <row r="818" spans="1:15">
      <c r="A818" t="str">
        <f t="shared" si="11"/>
        <v xml:space="preserve">OL01MONTH </v>
      </c>
      <c r="B818" t="s">
        <v>19</v>
      </c>
      <c r="C818" t="s">
        <v>123</v>
      </c>
      <c r="D818" s="4">
        <v>41275</v>
      </c>
      <c r="E818" s="4">
        <v>41306</v>
      </c>
      <c r="F818" s="4">
        <v>41334</v>
      </c>
      <c r="G818" s="4">
        <v>41365</v>
      </c>
      <c r="H818" s="4">
        <v>41395</v>
      </c>
      <c r="I818" s="4">
        <v>41426</v>
      </c>
      <c r="J818" s="4">
        <v>41456</v>
      </c>
      <c r="K818" s="4">
        <v>41487</v>
      </c>
      <c r="L818" s="4">
        <v>41518</v>
      </c>
      <c r="M818" s="4">
        <v>41548</v>
      </c>
      <c r="N818" s="4">
        <v>41579</v>
      </c>
      <c r="O818" s="4">
        <v>41609</v>
      </c>
    </row>
    <row r="819" spans="1:15">
      <c r="A819" t="str">
        <f t="shared" si="11"/>
        <v xml:space="preserve">OL01CUSTOMERS </v>
      </c>
      <c r="B819" t="s">
        <v>19</v>
      </c>
      <c r="C819" t="s">
        <v>124</v>
      </c>
      <c r="D819">
        <v>5872</v>
      </c>
      <c r="E819">
        <v>5867</v>
      </c>
      <c r="F819">
        <v>5853</v>
      </c>
      <c r="G819">
        <v>5833</v>
      </c>
      <c r="H819">
        <v>5822</v>
      </c>
      <c r="I819">
        <v>5805</v>
      </c>
      <c r="J819">
        <v>5799</v>
      </c>
      <c r="K819">
        <v>5779</v>
      </c>
      <c r="L819">
        <v>5766</v>
      </c>
      <c r="M819">
        <v>5752</v>
      </c>
      <c r="N819">
        <v>5747</v>
      </c>
      <c r="O819">
        <v>5737</v>
      </c>
    </row>
    <row r="820" spans="1:15">
      <c r="A820" t="str">
        <f t="shared" si="11"/>
        <v xml:space="preserve">OL01SALES </v>
      </c>
      <c r="B820" t="s">
        <v>19</v>
      </c>
      <c r="C820" t="s">
        <v>125</v>
      </c>
      <c r="D820">
        <v>8381610</v>
      </c>
      <c r="E820">
        <v>8374489</v>
      </c>
      <c r="F820">
        <v>8431732</v>
      </c>
      <c r="G820">
        <v>8412790</v>
      </c>
      <c r="H820">
        <v>8353306</v>
      </c>
      <c r="I820">
        <v>8411643</v>
      </c>
      <c r="J820">
        <v>8413312</v>
      </c>
      <c r="K820">
        <v>8473492</v>
      </c>
      <c r="L820">
        <v>8377611</v>
      </c>
      <c r="M820">
        <v>8397953</v>
      </c>
      <c r="N820">
        <v>8385221</v>
      </c>
      <c r="O820">
        <v>8365897</v>
      </c>
    </row>
    <row r="821" spans="1:15">
      <c r="A821" t="str">
        <f t="shared" ref="A821:A884" si="12">B821&amp;C821</f>
        <v>OL01KW</v>
      </c>
      <c r="B821" t="s">
        <v>19</v>
      </c>
      <c r="C821" t="s">
        <v>126</v>
      </c>
    </row>
    <row r="822" spans="1:15">
      <c r="A822" t="str">
        <f t="shared" si="12"/>
        <v>OL01N</v>
      </c>
      <c r="B822" t="s">
        <v>19</v>
      </c>
      <c r="C822" t="s">
        <v>127</v>
      </c>
      <c r="D822">
        <v>1</v>
      </c>
      <c r="E822">
        <v>1</v>
      </c>
      <c r="F822">
        <v>1</v>
      </c>
      <c r="G822">
        <v>1</v>
      </c>
      <c r="H822">
        <v>1</v>
      </c>
      <c r="I822">
        <v>1</v>
      </c>
      <c r="J822">
        <v>1</v>
      </c>
      <c r="K822">
        <v>1</v>
      </c>
      <c r="L822">
        <v>1</v>
      </c>
      <c r="M822">
        <v>1</v>
      </c>
      <c r="N822">
        <v>1</v>
      </c>
      <c r="O822">
        <v>1</v>
      </c>
    </row>
    <row r="823" spans="1:15">
      <c r="A823" t="str">
        <f t="shared" si="12"/>
        <v>OL01RLR ENERGY:</v>
      </c>
      <c r="B823" t="s">
        <v>19</v>
      </c>
      <c r="C823" t="s">
        <v>61</v>
      </c>
    </row>
    <row r="824" spans="1:15">
      <c r="A824" t="str">
        <f t="shared" si="12"/>
        <v>OL01KWH</v>
      </c>
      <c r="B824" t="s">
        <v>19</v>
      </c>
      <c r="C824" t="s">
        <v>128</v>
      </c>
      <c r="D824">
        <v>8381610</v>
      </c>
      <c r="E824">
        <v>8374489</v>
      </c>
      <c r="F824">
        <v>8431732</v>
      </c>
      <c r="G824">
        <v>8412790</v>
      </c>
      <c r="H824">
        <v>8353306</v>
      </c>
      <c r="I824">
        <v>8411643</v>
      </c>
      <c r="J824">
        <v>8413312</v>
      </c>
      <c r="K824">
        <v>8473492</v>
      </c>
      <c r="L824">
        <v>8377611</v>
      </c>
      <c r="M824">
        <v>8397953</v>
      </c>
      <c r="N824">
        <v>8363908</v>
      </c>
      <c r="O824">
        <v>8365897</v>
      </c>
    </row>
    <row r="825" spans="1:15">
      <c r="A825" t="str">
        <f t="shared" si="12"/>
        <v>OL01KWH ONPK</v>
      </c>
      <c r="B825" t="s">
        <v>19</v>
      </c>
      <c r="C825" t="s">
        <v>129</v>
      </c>
      <c r="D825">
        <v>2290279</v>
      </c>
      <c r="E825">
        <v>2213775</v>
      </c>
      <c r="F825">
        <v>1913015</v>
      </c>
      <c r="G825">
        <v>703047</v>
      </c>
      <c r="H825">
        <v>575176</v>
      </c>
      <c r="I825">
        <v>442245</v>
      </c>
      <c r="J825">
        <v>454736</v>
      </c>
      <c r="K825">
        <v>590873</v>
      </c>
      <c r="L825">
        <v>763080</v>
      </c>
      <c r="M825">
        <v>1062881</v>
      </c>
      <c r="N825">
        <v>1982047</v>
      </c>
      <c r="O825">
        <v>2100474</v>
      </c>
    </row>
    <row r="826" spans="1:15">
      <c r="A826" t="str">
        <f t="shared" si="12"/>
        <v>OL01KWH OFFPK</v>
      </c>
      <c r="B826" t="s">
        <v>19</v>
      </c>
      <c r="C826" t="s">
        <v>130</v>
      </c>
      <c r="D826">
        <v>6091331</v>
      </c>
      <c r="E826">
        <v>6160714</v>
      </c>
      <c r="F826">
        <v>6518717</v>
      </c>
      <c r="G826">
        <v>7709743</v>
      </c>
      <c r="H826">
        <v>7778130</v>
      </c>
      <c r="I826">
        <v>7969398</v>
      </c>
      <c r="J826">
        <v>7958576</v>
      </c>
      <c r="K826">
        <v>7882619</v>
      </c>
      <c r="L826">
        <v>7614531</v>
      </c>
      <c r="M826">
        <v>7335072</v>
      </c>
      <c r="N826">
        <v>6381861</v>
      </c>
      <c r="O826">
        <v>6265423</v>
      </c>
    </row>
    <row r="827" spans="1:15">
      <c r="A827" t="str">
        <f t="shared" si="12"/>
        <v>OL01KWH ONPK%</v>
      </c>
      <c r="B827" t="s">
        <v>19</v>
      </c>
      <c r="C827" t="s">
        <v>131</v>
      </c>
      <c r="D827" s="5">
        <v>0.27324999999999999</v>
      </c>
      <c r="E827" s="5">
        <v>0.26434999999999997</v>
      </c>
      <c r="F827" s="5">
        <v>0.22688</v>
      </c>
      <c r="G827" s="5">
        <v>8.3570000000000005E-2</v>
      </c>
      <c r="H827" s="5">
        <v>6.8860000000000005E-2</v>
      </c>
      <c r="I827" s="5">
        <v>5.2580000000000002E-2</v>
      </c>
      <c r="J827" s="5">
        <v>5.4050000000000001E-2</v>
      </c>
      <c r="K827" s="5">
        <v>6.973E-2</v>
      </c>
      <c r="L827" s="5">
        <v>9.1090000000000004E-2</v>
      </c>
      <c r="M827" s="5">
        <v>0.12656000000000001</v>
      </c>
      <c r="N827" s="5">
        <v>0.23698</v>
      </c>
      <c r="O827" s="5">
        <v>0.25108000000000003</v>
      </c>
    </row>
    <row r="828" spans="1:15">
      <c r="A828" t="str">
        <f t="shared" si="12"/>
        <v>OL01KWH OFFPK%</v>
      </c>
      <c r="B828" t="s">
        <v>19</v>
      </c>
      <c r="C828" t="s">
        <v>132</v>
      </c>
      <c r="D828" s="5">
        <v>0.72675000000000001</v>
      </c>
      <c r="E828" s="5">
        <v>0.73565000000000003</v>
      </c>
      <c r="F828" s="5">
        <v>0.77312000000000003</v>
      </c>
      <c r="G828" s="5">
        <v>0.91642999999999997</v>
      </c>
      <c r="H828" s="5">
        <v>0.93113999999999997</v>
      </c>
      <c r="I828" s="5">
        <v>0.94742000000000004</v>
      </c>
      <c r="J828" s="5">
        <v>0.94594999999999996</v>
      </c>
      <c r="K828" s="5">
        <v>0.93027000000000004</v>
      </c>
      <c r="L828" s="5">
        <v>0.90891</v>
      </c>
      <c r="M828" s="5">
        <v>0.87343999999999999</v>
      </c>
      <c r="N828" s="5">
        <v>0.76302000000000003</v>
      </c>
      <c r="O828" s="5">
        <v>0.74892000000000003</v>
      </c>
    </row>
    <row r="829" spans="1:15">
      <c r="A829" t="str">
        <f t="shared" si="12"/>
        <v>OL01DEMAND (KW):</v>
      </c>
      <c r="B829" t="s">
        <v>19</v>
      </c>
      <c r="C829" t="s">
        <v>62</v>
      </c>
    </row>
    <row r="830" spans="1:15">
      <c r="A830" t="str">
        <f t="shared" si="12"/>
        <v>OL01NCP</v>
      </c>
      <c r="B830" t="s">
        <v>19</v>
      </c>
      <c r="C830" t="s">
        <v>133</v>
      </c>
      <c r="D830">
        <v>20401</v>
      </c>
      <c r="E830">
        <v>23508</v>
      </c>
      <c r="F830">
        <v>22720</v>
      </c>
      <c r="G830">
        <v>24943</v>
      </c>
      <c r="H830">
        <v>25372</v>
      </c>
      <c r="I830">
        <v>27183</v>
      </c>
      <c r="J830">
        <v>25980</v>
      </c>
      <c r="K830">
        <v>24928</v>
      </c>
      <c r="L830">
        <v>23906</v>
      </c>
      <c r="M830">
        <v>21779</v>
      </c>
      <c r="N830">
        <v>21313</v>
      </c>
      <c r="O830">
        <v>20130</v>
      </c>
    </row>
    <row r="831" spans="1:15">
      <c r="A831" t="str">
        <f t="shared" si="12"/>
        <v>OL01NCP ONPK</v>
      </c>
      <c r="B831" t="s">
        <v>19</v>
      </c>
      <c r="C831" t="s">
        <v>134</v>
      </c>
      <c r="D831">
        <v>20401</v>
      </c>
      <c r="E831">
        <v>23508</v>
      </c>
      <c r="F831">
        <v>22720</v>
      </c>
      <c r="G831">
        <v>24943</v>
      </c>
      <c r="H831">
        <v>25372</v>
      </c>
      <c r="I831">
        <v>24011</v>
      </c>
      <c r="J831">
        <v>22949</v>
      </c>
      <c r="K831">
        <v>24928</v>
      </c>
      <c r="L831">
        <v>23906</v>
      </c>
      <c r="M831">
        <v>21779</v>
      </c>
      <c r="N831">
        <v>21313</v>
      </c>
      <c r="O831">
        <v>20130</v>
      </c>
    </row>
    <row r="832" spans="1:15">
      <c r="A832" t="str">
        <f t="shared" si="12"/>
        <v>OL01NCP OFFPK</v>
      </c>
      <c r="B832" t="s">
        <v>19</v>
      </c>
      <c r="C832" t="s">
        <v>135</v>
      </c>
      <c r="D832">
        <v>20401</v>
      </c>
      <c r="E832">
        <v>23508</v>
      </c>
      <c r="F832">
        <v>22720</v>
      </c>
      <c r="G832">
        <v>24943</v>
      </c>
      <c r="H832">
        <v>25372</v>
      </c>
      <c r="I832">
        <v>27183</v>
      </c>
      <c r="J832">
        <v>25980</v>
      </c>
      <c r="K832">
        <v>24928</v>
      </c>
      <c r="L832">
        <v>23906</v>
      </c>
      <c r="M832">
        <v>21779</v>
      </c>
      <c r="N832">
        <v>21313</v>
      </c>
      <c r="O832">
        <v>20130</v>
      </c>
    </row>
    <row r="833" spans="1:15">
      <c r="A833" t="str">
        <f t="shared" si="12"/>
        <v>OL01GCP DATE</v>
      </c>
      <c r="B833" t="s">
        <v>19</v>
      </c>
      <c r="C833" t="s">
        <v>136</v>
      </c>
      <c r="D833" t="s">
        <v>256</v>
      </c>
      <c r="E833" t="s">
        <v>287</v>
      </c>
      <c r="F833" t="s">
        <v>774</v>
      </c>
      <c r="G833" t="s">
        <v>791</v>
      </c>
      <c r="H833" t="s">
        <v>792</v>
      </c>
      <c r="I833" t="s">
        <v>855</v>
      </c>
      <c r="J833" t="s">
        <v>771</v>
      </c>
      <c r="K833" t="s">
        <v>856</v>
      </c>
      <c r="L833" t="s">
        <v>788</v>
      </c>
      <c r="M833" t="s">
        <v>806</v>
      </c>
      <c r="N833" t="s">
        <v>824</v>
      </c>
      <c r="O833" t="s">
        <v>857</v>
      </c>
    </row>
    <row r="834" spans="1:15">
      <c r="A834" t="str">
        <f t="shared" si="12"/>
        <v>OL01GCP TIME</v>
      </c>
      <c r="B834" t="s">
        <v>19</v>
      </c>
      <c r="C834" t="s">
        <v>142</v>
      </c>
      <c r="D834" t="s">
        <v>201</v>
      </c>
      <c r="E834" t="s">
        <v>201</v>
      </c>
      <c r="F834" t="s">
        <v>201</v>
      </c>
      <c r="G834" t="s">
        <v>201</v>
      </c>
      <c r="H834" t="s">
        <v>201</v>
      </c>
      <c r="I834" t="s">
        <v>201</v>
      </c>
      <c r="J834" t="s">
        <v>201</v>
      </c>
      <c r="K834" t="s">
        <v>201</v>
      </c>
      <c r="L834" t="s">
        <v>201</v>
      </c>
      <c r="M834" t="s">
        <v>201</v>
      </c>
      <c r="N834" t="s">
        <v>201</v>
      </c>
      <c r="O834" t="s">
        <v>201</v>
      </c>
    </row>
    <row r="835" spans="1:15">
      <c r="A835" t="str">
        <f t="shared" si="12"/>
        <v>OL01GCP</v>
      </c>
      <c r="B835" t="s">
        <v>19</v>
      </c>
      <c r="C835" t="s">
        <v>147</v>
      </c>
      <c r="D835">
        <v>20401</v>
      </c>
      <c r="E835">
        <v>23508</v>
      </c>
      <c r="F835">
        <v>22720</v>
      </c>
      <c r="G835">
        <v>24943</v>
      </c>
      <c r="H835">
        <v>25372</v>
      </c>
      <c r="I835">
        <v>27183</v>
      </c>
      <c r="J835">
        <v>25980</v>
      </c>
      <c r="K835">
        <v>24928</v>
      </c>
      <c r="L835">
        <v>23906</v>
      </c>
      <c r="M835">
        <v>21779</v>
      </c>
      <c r="N835">
        <v>21313</v>
      </c>
      <c r="O835">
        <v>20130</v>
      </c>
    </row>
    <row r="836" spans="1:15">
      <c r="A836" t="str">
        <f t="shared" si="12"/>
        <v>OL01GCP ONPK</v>
      </c>
      <c r="B836" t="s">
        <v>19</v>
      </c>
      <c r="C836" t="s">
        <v>63</v>
      </c>
      <c r="D836">
        <v>20401</v>
      </c>
      <c r="E836">
        <v>23508</v>
      </c>
      <c r="F836">
        <v>22720</v>
      </c>
      <c r="G836">
        <v>24943</v>
      </c>
      <c r="H836">
        <v>25372</v>
      </c>
      <c r="I836">
        <v>24011</v>
      </c>
      <c r="J836">
        <v>22949</v>
      </c>
      <c r="K836">
        <v>24928</v>
      </c>
      <c r="L836">
        <v>23906</v>
      </c>
      <c r="M836">
        <v>21779</v>
      </c>
      <c r="N836">
        <v>21313</v>
      </c>
      <c r="O836">
        <v>20130</v>
      </c>
    </row>
    <row r="837" spans="1:15">
      <c r="A837" t="str">
        <f t="shared" si="12"/>
        <v>OL01GCP OFFPK</v>
      </c>
      <c r="B837" t="s">
        <v>19</v>
      </c>
      <c r="C837" t="s">
        <v>64</v>
      </c>
      <c r="D837">
        <v>20401</v>
      </c>
      <c r="E837">
        <v>23508</v>
      </c>
      <c r="F837">
        <v>22720</v>
      </c>
      <c r="G837">
        <v>24943</v>
      </c>
      <c r="H837">
        <v>25372</v>
      </c>
      <c r="I837">
        <v>27183</v>
      </c>
      <c r="J837">
        <v>25980</v>
      </c>
      <c r="K837">
        <v>24928</v>
      </c>
      <c r="L837">
        <v>23906</v>
      </c>
      <c r="M837">
        <v>21779</v>
      </c>
      <c r="N837">
        <v>21313</v>
      </c>
      <c r="O837">
        <v>20130</v>
      </c>
    </row>
    <row r="838" spans="1:15">
      <c r="A838" t="str">
        <f t="shared" si="12"/>
        <v>OL01CP</v>
      </c>
      <c r="B838" t="s">
        <v>19</v>
      </c>
      <c r="C838" t="s">
        <v>148</v>
      </c>
      <c r="D838">
        <v>20401</v>
      </c>
      <c r="E838">
        <v>0</v>
      </c>
      <c r="F838">
        <v>0</v>
      </c>
      <c r="G838">
        <v>0</v>
      </c>
      <c r="H838">
        <v>0</v>
      </c>
      <c r="I838">
        <v>0</v>
      </c>
      <c r="J838">
        <v>0</v>
      </c>
      <c r="K838">
        <v>0</v>
      </c>
      <c r="L838">
        <v>0</v>
      </c>
      <c r="M838">
        <v>0</v>
      </c>
      <c r="N838">
        <v>0</v>
      </c>
      <c r="O838">
        <v>0</v>
      </c>
    </row>
    <row r="839" spans="1:15">
      <c r="A839" t="str">
        <f t="shared" si="12"/>
        <v>OL01PERIOD START</v>
      </c>
      <c r="B839" t="s">
        <v>19</v>
      </c>
      <c r="C839" t="s">
        <v>149</v>
      </c>
      <c r="D839" s="1">
        <v>41275</v>
      </c>
      <c r="E839" s="1">
        <v>41306</v>
      </c>
      <c r="F839" s="1">
        <v>41334</v>
      </c>
      <c r="G839" s="1">
        <v>41365</v>
      </c>
      <c r="H839" s="1">
        <v>41395</v>
      </c>
      <c r="I839" s="1">
        <v>41426</v>
      </c>
      <c r="J839" s="1">
        <v>41456</v>
      </c>
      <c r="K839" s="1">
        <v>41487</v>
      </c>
      <c r="L839" s="1">
        <v>41518</v>
      </c>
      <c r="M839" s="1">
        <v>41548</v>
      </c>
      <c r="N839" s="1">
        <v>41579</v>
      </c>
      <c r="O839" s="1">
        <v>41609</v>
      </c>
    </row>
    <row r="840" spans="1:15">
      <c r="A840" t="str">
        <f t="shared" si="12"/>
        <v>OL01NCP LF</v>
      </c>
      <c r="B840" t="s">
        <v>19</v>
      </c>
      <c r="C840" t="s">
        <v>150</v>
      </c>
      <c r="D840" s="5">
        <v>0.55220000000000002</v>
      </c>
      <c r="E840" s="5">
        <v>0.53010000000000002</v>
      </c>
      <c r="F840" s="5">
        <v>0.4995</v>
      </c>
      <c r="G840" s="5">
        <v>0.46839999999999998</v>
      </c>
      <c r="H840" s="5">
        <v>0.4425</v>
      </c>
      <c r="I840" s="5">
        <v>0.42980000000000002</v>
      </c>
      <c r="J840" s="5">
        <v>0.43530000000000002</v>
      </c>
      <c r="K840" s="5">
        <v>0.45689999999999997</v>
      </c>
      <c r="L840" s="5">
        <v>0.48670000000000002</v>
      </c>
      <c r="M840" s="5">
        <v>0.51829999999999998</v>
      </c>
      <c r="N840" s="5">
        <v>0.54500000000000004</v>
      </c>
      <c r="O840" s="5">
        <v>0.55859999999999999</v>
      </c>
    </row>
    <row r="841" spans="1:15">
      <c r="A841" t="str">
        <f t="shared" si="12"/>
        <v>OL01NCP LF ONPK</v>
      </c>
      <c r="B841" t="s">
        <v>19</v>
      </c>
      <c r="C841" t="s">
        <v>151</v>
      </c>
      <c r="D841" s="5">
        <v>0.63790000000000002</v>
      </c>
      <c r="E841" s="5">
        <v>0.58860000000000001</v>
      </c>
      <c r="F841" s="5">
        <v>0.50119999999999998</v>
      </c>
      <c r="G841" s="5">
        <v>0.1424</v>
      </c>
      <c r="H841" s="5">
        <v>0.1145</v>
      </c>
      <c r="I841" s="5">
        <v>0.1023</v>
      </c>
      <c r="J841" s="5">
        <v>0.10009999999999999</v>
      </c>
      <c r="K841" s="5">
        <v>0.1197</v>
      </c>
      <c r="L841" s="5">
        <v>0.17730000000000001</v>
      </c>
      <c r="M841" s="5">
        <v>0.23580000000000001</v>
      </c>
      <c r="N841" s="5">
        <v>0.58120000000000005</v>
      </c>
      <c r="O841" s="5">
        <v>0.62109999999999999</v>
      </c>
    </row>
    <row r="842" spans="1:15">
      <c r="A842" t="str">
        <f t="shared" si="12"/>
        <v>OL01NCP LF OFFPK</v>
      </c>
      <c r="B842" t="s">
        <v>19</v>
      </c>
      <c r="C842" t="s">
        <v>152</v>
      </c>
      <c r="D842" s="5">
        <v>0.52569999999999995</v>
      </c>
      <c r="E842" s="5">
        <v>0.51180000000000003</v>
      </c>
      <c r="F842" s="5">
        <v>0.499</v>
      </c>
      <c r="G842" s="5">
        <v>0.59209999999999996</v>
      </c>
      <c r="H842" s="5">
        <v>0.5615</v>
      </c>
      <c r="I842" s="5">
        <v>0.54290000000000005</v>
      </c>
      <c r="J842" s="5">
        <v>0.56100000000000005</v>
      </c>
      <c r="K842" s="5">
        <v>0.57909999999999995</v>
      </c>
      <c r="L842" s="5">
        <v>0.58979999999999999</v>
      </c>
      <c r="M842" s="5">
        <v>0.62719999999999998</v>
      </c>
      <c r="N842" s="5">
        <v>0.53469999999999995</v>
      </c>
      <c r="O842" s="5">
        <v>0.54039999999999999</v>
      </c>
    </row>
    <row r="843" spans="1:15">
      <c r="A843" t="str">
        <f t="shared" si="12"/>
        <v>OL01GCP CF</v>
      </c>
      <c r="B843" t="s">
        <v>19</v>
      </c>
      <c r="C843" t="s">
        <v>153</v>
      </c>
      <c r="D843" s="5">
        <v>1</v>
      </c>
      <c r="E843" s="5">
        <v>1</v>
      </c>
      <c r="F843" s="5">
        <v>1</v>
      </c>
      <c r="G843" s="5">
        <v>1</v>
      </c>
      <c r="H843" s="5">
        <v>1</v>
      </c>
      <c r="I843" s="5">
        <v>1</v>
      </c>
      <c r="J843" s="5">
        <v>1</v>
      </c>
      <c r="K843" s="5">
        <v>1</v>
      </c>
      <c r="L843" s="5">
        <v>1</v>
      </c>
      <c r="M843" s="5">
        <v>1</v>
      </c>
      <c r="N843" s="5">
        <v>1</v>
      </c>
      <c r="O843" s="5">
        <v>1</v>
      </c>
    </row>
    <row r="844" spans="1:15">
      <c r="A844" t="str">
        <f t="shared" si="12"/>
        <v>OL01CP CF</v>
      </c>
      <c r="B844" t="s">
        <v>19</v>
      </c>
      <c r="C844" t="s">
        <v>154</v>
      </c>
      <c r="D844" s="5">
        <v>1</v>
      </c>
      <c r="E844" s="5">
        <v>0</v>
      </c>
      <c r="F844" s="5">
        <v>0</v>
      </c>
      <c r="G844" s="5">
        <v>0</v>
      </c>
      <c r="H844" s="5">
        <v>0</v>
      </c>
      <c r="I844" s="5">
        <v>0</v>
      </c>
      <c r="J844" s="5">
        <v>0</v>
      </c>
      <c r="K844" s="5">
        <v>0</v>
      </c>
      <c r="L844" s="5">
        <v>0</v>
      </c>
      <c r="M844" s="5">
        <v>0</v>
      </c>
      <c r="N844" s="5">
        <v>0</v>
      </c>
      <c r="O844" s="5">
        <v>0</v>
      </c>
    </row>
    <row r="845" spans="1:15">
      <c r="A845" t="str">
        <f t="shared" si="12"/>
        <v>OL01GCP LF</v>
      </c>
      <c r="B845" t="s">
        <v>19</v>
      </c>
      <c r="C845" t="s">
        <v>155</v>
      </c>
      <c r="D845" s="5">
        <v>0.55220000000000002</v>
      </c>
      <c r="E845" s="5">
        <v>0.53010000000000002</v>
      </c>
      <c r="F845" s="5">
        <v>0.4995</v>
      </c>
      <c r="G845" s="5">
        <v>0.46839999999999998</v>
      </c>
      <c r="H845" s="5">
        <v>0.4425</v>
      </c>
      <c r="I845" s="5">
        <v>0.42980000000000002</v>
      </c>
      <c r="J845" s="5">
        <v>0.43530000000000002</v>
      </c>
      <c r="K845" s="5">
        <v>0.45689999999999997</v>
      </c>
      <c r="L845" s="5">
        <v>0.48670000000000002</v>
      </c>
      <c r="M845" s="5">
        <v>0.51829999999999998</v>
      </c>
      <c r="N845" s="5">
        <v>0.54500000000000004</v>
      </c>
      <c r="O845" s="5">
        <v>0.55859999999999999</v>
      </c>
    </row>
    <row r="846" spans="1:15">
      <c r="A846" t="str">
        <f t="shared" si="12"/>
        <v>OL01GCP LF ONPK</v>
      </c>
      <c r="B846" t="s">
        <v>19</v>
      </c>
      <c r="C846" t="s">
        <v>156</v>
      </c>
      <c r="D846" s="5">
        <v>0.63790000000000002</v>
      </c>
      <c r="E846" s="5">
        <v>0.58860000000000001</v>
      </c>
      <c r="F846" s="5">
        <v>0.50119999999999998</v>
      </c>
      <c r="G846" s="5">
        <v>0.1424</v>
      </c>
      <c r="H846" s="5">
        <v>0.1145</v>
      </c>
      <c r="I846" s="5">
        <v>0.1023</v>
      </c>
      <c r="J846" s="5">
        <v>0.10009999999999999</v>
      </c>
      <c r="K846" s="5">
        <v>0.1197</v>
      </c>
      <c r="L846" s="5">
        <v>0.17730000000000001</v>
      </c>
      <c r="M846" s="5">
        <v>0.23580000000000001</v>
      </c>
      <c r="N846" s="5">
        <v>0.58120000000000005</v>
      </c>
      <c r="O846" s="5">
        <v>0.62109999999999999</v>
      </c>
    </row>
    <row r="847" spans="1:15">
      <c r="A847" t="str">
        <f t="shared" si="12"/>
        <v>OL01GCP LF OFFPK</v>
      </c>
      <c r="B847" t="s">
        <v>19</v>
      </c>
      <c r="C847" t="s">
        <v>157</v>
      </c>
      <c r="D847" s="5">
        <v>0.52569999999999995</v>
      </c>
      <c r="E847" s="5">
        <v>0.51180000000000003</v>
      </c>
      <c r="F847" s="5">
        <v>0.499</v>
      </c>
      <c r="G847" s="5">
        <v>0.59209999999999996</v>
      </c>
      <c r="H847" s="5">
        <v>0.5615</v>
      </c>
      <c r="I847" s="5">
        <v>0.54290000000000005</v>
      </c>
      <c r="J847" s="5">
        <v>0.56100000000000005</v>
      </c>
      <c r="K847" s="5">
        <v>0.57909999999999995</v>
      </c>
      <c r="L847" s="5">
        <v>0.58979999999999999</v>
      </c>
      <c r="M847" s="5">
        <v>0.62719999999999998</v>
      </c>
      <c r="N847" s="5">
        <v>0.53469999999999995</v>
      </c>
      <c r="O847" s="5">
        <v>0.54039999999999999</v>
      </c>
    </row>
    <row r="848" spans="1:15">
      <c r="A848" t="str">
        <f t="shared" si="12"/>
        <v>OL01CP LF</v>
      </c>
      <c r="B848" t="s">
        <v>19</v>
      </c>
      <c r="C848" t="s">
        <v>158</v>
      </c>
      <c r="D848" s="5">
        <v>0.55220000000000002</v>
      </c>
      <c r="E848" s="5">
        <v>0</v>
      </c>
      <c r="F848" s="5">
        <v>0</v>
      </c>
      <c r="G848" s="5">
        <v>0</v>
      </c>
      <c r="H848" s="5">
        <v>0</v>
      </c>
      <c r="I848" s="5">
        <v>0</v>
      </c>
      <c r="J848" s="5">
        <v>0</v>
      </c>
      <c r="K848" s="5">
        <v>0</v>
      </c>
      <c r="L848" s="5">
        <v>0</v>
      </c>
      <c r="M848" s="5">
        <v>0</v>
      </c>
      <c r="N848" s="5">
        <v>0</v>
      </c>
      <c r="O848" s="5">
        <v>0</v>
      </c>
    </row>
    <row r="849" spans="1:15">
      <c r="A849" t="str">
        <f t="shared" si="12"/>
        <v>OL01REL PREC:</v>
      </c>
      <c r="B849" t="s">
        <v>19</v>
      </c>
      <c r="C849" t="s">
        <v>65</v>
      </c>
    </row>
    <row r="850" spans="1:15">
      <c r="A850" t="str">
        <f t="shared" si="12"/>
        <v>OL01NCP RP</v>
      </c>
      <c r="B850" t="s">
        <v>19</v>
      </c>
      <c r="C850" t="s">
        <v>159</v>
      </c>
      <c r="D850" s="5">
        <v>0</v>
      </c>
      <c r="E850" s="5">
        <v>0</v>
      </c>
      <c r="F850" s="5">
        <v>0</v>
      </c>
      <c r="G850" s="5">
        <v>0</v>
      </c>
      <c r="H850" s="5">
        <v>0</v>
      </c>
      <c r="I850" s="5">
        <v>0</v>
      </c>
      <c r="J850" s="5">
        <v>0</v>
      </c>
      <c r="K850" s="5">
        <v>0</v>
      </c>
      <c r="L850" s="5">
        <v>0</v>
      </c>
      <c r="M850" s="5">
        <v>0</v>
      </c>
      <c r="N850" s="5">
        <v>0</v>
      </c>
      <c r="O850" s="5">
        <v>0</v>
      </c>
    </row>
    <row r="851" spans="1:15">
      <c r="A851" t="str">
        <f t="shared" si="12"/>
        <v>OL01NCP RP ONPK</v>
      </c>
      <c r="B851" t="s">
        <v>19</v>
      </c>
      <c r="C851" t="s">
        <v>160</v>
      </c>
      <c r="D851" s="5">
        <v>0</v>
      </c>
      <c r="E851" s="5">
        <v>0</v>
      </c>
      <c r="F851" s="5">
        <v>0</v>
      </c>
      <c r="G851" s="5">
        <v>0</v>
      </c>
      <c r="H851" s="5">
        <v>0</v>
      </c>
      <c r="I851" s="5">
        <v>0</v>
      </c>
      <c r="J851" s="5">
        <v>0</v>
      </c>
      <c r="K851" s="5">
        <v>0</v>
      </c>
      <c r="L851" s="5">
        <v>0</v>
      </c>
      <c r="M851" s="5">
        <v>0</v>
      </c>
      <c r="N851" s="5">
        <v>0</v>
      </c>
      <c r="O851" s="5">
        <v>0</v>
      </c>
    </row>
    <row r="852" spans="1:15">
      <c r="A852" t="str">
        <f t="shared" si="12"/>
        <v>OL01NCP RP OFFPK</v>
      </c>
      <c r="B852" t="s">
        <v>19</v>
      </c>
      <c r="C852" t="s">
        <v>161</v>
      </c>
      <c r="D852" s="5">
        <v>0</v>
      </c>
      <c r="E852" s="5">
        <v>0</v>
      </c>
      <c r="F852" s="5">
        <v>0</v>
      </c>
      <c r="G852" s="5">
        <v>0</v>
      </c>
      <c r="H852" s="5">
        <v>0</v>
      </c>
      <c r="I852" s="5">
        <v>0</v>
      </c>
      <c r="J852" s="5">
        <v>0</v>
      </c>
      <c r="K852" s="5">
        <v>0</v>
      </c>
      <c r="L852" s="5">
        <v>0</v>
      </c>
      <c r="M852" s="5">
        <v>0</v>
      </c>
      <c r="N852" s="5">
        <v>0</v>
      </c>
      <c r="O852" s="5">
        <v>0</v>
      </c>
    </row>
    <row r="853" spans="1:15">
      <c r="A853" t="str">
        <f t="shared" si="12"/>
        <v>OL01GCP RP</v>
      </c>
      <c r="B853" t="s">
        <v>19</v>
      </c>
      <c r="C853" t="s">
        <v>162</v>
      </c>
      <c r="D853" s="5">
        <v>0</v>
      </c>
      <c r="E853" s="5">
        <v>0</v>
      </c>
      <c r="F853" s="5">
        <v>0</v>
      </c>
      <c r="G853" s="5">
        <v>0</v>
      </c>
      <c r="H853" s="5">
        <v>0</v>
      </c>
      <c r="I853" s="5">
        <v>0</v>
      </c>
      <c r="J853" s="5">
        <v>0</v>
      </c>
      <c r="K853" s="5">
        <v>0</v>
      </c>
      <c r="L853" s="5">
        <v>0</v>
      </c>
      <c r="M853" s="5">
        <v>0</v>
      </c>
      <c r="N853" s="5">
        <v>0</v>
      </c>
      <c r="O853" s="5">
        <v>0</v>
      </c>
    </row>
    <row r="854" spans="1:15">
      <c r="A854" t="str">
        <f t="shared" si="12"/>
        <v>OL01GCP RP ONPK</v>
      </c>
      <c r="B854" t="s">
        <v>19</v>
      </c>
      <c r="C854" t="s">
        <v>163</v>
      </c>
      <c r="D854" s="5">
        <v>0</v>
      </c>
      <c r="E854" s="5">
        <v>0</v>
      </c>
      <c r="F854" s="5">
        <v>0</v>
      </c>
      <c r="G854" s="5">
        <v>0</v>
      </c>
      <c r="H854" s="5">
        <v>0</v>
      </c>
      <c r="I854" s="5">
        <v>0</v>
      </c>
      <c r="J854" s="5">
        <v>0</v>
      </c>
      <c r="K854" s="5">
        <v>0</v>
      </c>
      <c r="L854" s="5">
        <v>0</v>
      </c>
      <c r="M854" s="5">
        <v>0</v>
      </c>
      <c r="N854" s="5">
        <v>0</v>
      </c>
      <c r="O854" s="5">
        <v>0</v>
      </c>
    </row>
    <row r="855" spans="1:15">
      <c r="A855" t="str">
        <f t="shared" si="12"/>
        <v>OL01GCP RP OFFPK</v>
      </c>
      <c r="B855" t="s">
        <v>19</v>
      </c>
      <c r="C855" t="s">
        <v>164</v>
      </c>
      <c r="D855" s="5">
        <v>0</v>
      </c>
      <c r="E855" s="5">
        <v>0</v>
      </c>
      <c r="F855" s="5">
        <v>0</v>
      </c>
      <c r="G855" s="5">
        <v>0</v>
      </c>
      <c r="H855" s="5">
        <v>0</v>
      </c>
      <c r="I855" s="5">
        <v>0</v>
      </c>
      <c r="J855" s="5">
        <v>0</v>
      </c>
      <c r="K855" s="5">
        <v>0</v>
      </c>
      <c r="L855" s="5">
        <v>0</v>
      </c>
      <c r="M855" s="5">
        <v>0</v>
      </c>
      <c r="N855" s="5">
        <v>0</v>
      </c>
      <c r="O855" s="5">
        <v>0</v>
      </c>
    </row>
    <row r="856" spans="1:15">
      <c r="A856" t="str">
        <f t="shared" si="12"/>
        <v>OL01CP RP</v>
      </c>
      <c r="B856" t="s">
        <v>19</v>
      </c>
      <c r="C856" t="s">
        <v>165</v>
      </c>
      <c r="D856" s="5">
        <v>0</v>
      </c>
      <c r="E856" s="5">
        <v>0</v>
      </c>
      <c r="F856" s="5">
        <v>0</v>
      </c>
      <c r="G856" s="5">
        <v>0</v>
      </c>
      <c r="H856" s="5">
        <v>0</v>
      </c>
      <c r="I856" s="5">
        <v>0</v>
      </c>
      <c r="J856" s="5">
        <v>0</v>
      </c>
      <c r="K856" s="5">
        <v>0</v>
      </c>
      <c r="L856" s="5">
        <v>0</v>
      </c>
      <c r="M856" s="5">
        <v>0</v>
      </c>
      <c r="N856" s="5">
        <v>0</v>
      </c>
      <c r="O856" s="5">
        <v>0</v>
      </c>
    </row>
    <row r="857" spans="1:15">
      <c r="A857" t="str">
        <f t="shared" si="12"/>
        <v>OL01SAMPLE SIZE:</v>
      </c>
      <c r="B857" t="s">
        <v>19</v>
      </c>
      <c r="C857" t="s">
        <v>66</v>
      </c>
    </row>
    <row r="858" spans="1:15">
      <c r="A858" t="str">
        <f t="shared" si="12"/>
        <v>OL01GCPSZ</v>
      </c>
      <c r="B858" t="s">
        <v>19</v>
      </c>
      <c r="C858" t="s">
        <v>166</v>
      </c>
      <c r="D858">
        <v>1</v>
      </c>
      <c r="E858">
        <v>1</v>
      </c>
      <c r="F858">
        <v>1</v>
      </c>
      <c r="G858">
        <v>1</v>
      </c>
      <c r="H858">
        <v>1</v>
      </c>
      <c r="I858">
        <v>1</v>
      </c>
      <c r="J858">
        <v>1</v>
      </c>
      <c r="K858">
        <v>1</v>
      </c>
      <c r="L858">
        <v>1</v>
      </c>
      <c r="M858">
        <v>1</v>
      </c>
      <c r="N858">
        <v>1</v>
      </c>
      <c r="O858">
        <v>1</v>
      </c>
    </row>
    <row r="859" spans="1:15">
      <c r="A859" t="str">
        <f t="shared" si="12"/>
        <v>OL01GCPSZ ONPK</v>
      </c>
      <c r="B859" t="s">
        <v>19</v>
      </c>
      <c r="C859" t="s">
        <v>167</v>
      </c>
      <c r="D859">
        <v>1</v>
      </c>
      <c r="E859">
        <v>1</v>
      </c>
      <c r="F859">
        <v>1</v>
      </c>
      <c r="G859">
        <v>1</v>
      </c>
      <c r="H859">
        <v>1</v>
      </c>
      <c r="I859">
        <v>1</v>
      </c>
      <c r="J859">
        <v>1</v>
      </c>
      <c r="K859">
        <v>1</v>
      </c>
      <c r="L859">
        <v>1</v>
      </c>
      <c r="M859">
        <v>1</v>
      </c>
      <c r="N859">
        <v>1</v>
      </c>
      <c r="O859">
        <v>1</v>
      </c>
    </row>
    <row r="860" spans="1:15">
      <c r="A860" t="str">
        <f t="shared" si="12"/>
        <v>OL01GCPSZ OFFPK</v>
      </c>
      <c r="B860" t="s">
        <v>19</v>
      </c>
      <c r="C860" t="s">
        <v>168</v>
      </c>
      <c r="D860">
        <v>1</v>
      </c>
      <c r="E860">
        <v>1</v>
      </c>
      <c r="F860">
        <v>1</v>
      </c>
      <c r="G860">
        <v>1</v>
      </c>
      <c r="H860">
        <v>1</v>
      </c>
      <c r="I860">
        <v>1</v>
      </c>
      <c r="J860">
        <v>1</v>
      </c>
      <c r="K860">
        <v>1</v>
      </c>
      <c r="L860">
        <v>1</v>
      </c>
      <c r="M860">
        <v>1</v>
      </c>
      <c r="N860">
        <v>1</v>
      </c>
      <c r="O860">
        <v>1</v>
      </c>
    </row>
    <row r="861" spans="1:15">
      <c r="A861" t="str">
        <f t="shared" si="12"/>
        <v>OL01CPSZ</v>
      </c>
      <c r="B861" t="s">
        <v>19</v>
      </c>
      <c r="C861" t="s">
        <v>169</v>
      </c>
      <c r="D861">
        <v>1</v>
      </c>
      <c r="E861">
        <v>1</v>
      </c>
      <c r="F861">
        <v>1</v>
      </c>
      <c r="G861">
        <v>1</v>
      </c>
      <c r="H861">
        <v>1</v>
      </c>
      <c r="I861">
        <v>1</v>
      </c>
      <c r="J861">
        <v>1</v>
      </c>
      <c r="K861">
        <v>1</v>
      </c>
      <c r="L861">
        <v>1</v>
      </c>
      <c r="M861">
        <v>1</v>
      </c>
      <c r="N861">
        <v>1</v>
      </c>
      <c r="O861">
        <v>1</v>
      </c>
    </row>
    <row r="862" spans="1:15">
      <c r="A862" t="str">
        <f t="shared" si="12"/>
        <v/>
      </c>
    </row>
    <row r="863" spans="1:15">
      <c r="A863" t="str">
        <f t="shared" si="12"/>
        <v/>
      </c>
    </row>
    <row r="864" spans="1:15">
      <c r="A864" t="str">
        <f t="shared" si="12"/>
        <v xml:space="preserve">OS202 Sports Field (Sampled) </v>
      </c>
      <c r="B864" t="s">
        <v>20</v>
      </c>
      <c r="C864" t="s">
        <v>21</v>
      </c>
    </row>
    <row r="865" spans="1:15">
      <c r="A865" t="str">
        <f t="shared" si="12"/>
        <v xml:space="preserve">OS202MONTH </v>
      </c>
      <c r="B865" t="s">
        <v>22</v>
      </c>
      <c r="C865" t="s">
        <v>123</v>
      </c>
      <c r="D865" s="4">
        <v>41275</v>
      </c>
      <c r="E865" s="4">
        <v>41306</v>
      </c>
      <c r="F865" s="4">
        <v>41334</v>
      </c>
      <c r="G865" s="4">
        <v>41365</v>
      </c>
      <c r="H865" s="4">
        <v>41395</v>
      </c>
      <c r="I865" s="4">
        <v>41426</v>
      </c>
      <c r="J865" s="4">
        <v>41456</v>
      </c>
      <c r="K865" s="4">
        <v>41487</v>
      </c>
      <c r="L865" s="4">
        <v>41518</v>
      </c>
      <c r="M865" s="4">
        <v>41548</v>
      </c>
      <c r="N865" s="4">
        <v>41579</v>
      </c>
      <c r="O865" s="4">
        <v>41609</v>
      </c>
    </row>
    <row r="866" spans="1:15">
      <c r="A866" t="str">
        <f t="shared" si="12"/>
        <v xml:space="preserve">OS202CUSTOMERS </v>
      </c>
      <c r="B866" t="s">
        <v>22</v>
      </c>
      <c r="C866" t="s">
        <v>124</v>
      </c>
      <c r="D866">
        <v>185</v>
      </c>
      <c r="E866">
        <v>185</v>
      </c>
      <c r="F866">
        <v>185</v>
      </c>
      <c r="G866">
        <v>185</v>
      </c>
      <c r="H866">
        <v>185</v>
      </c>
      <c r="I866">
        <v>184</v>
      </c>
      <c r="J866">
        <v>184</v>
      </c>
      <c r="K866">
        <v>184</v>
      </c>
      <c r="L866">
        <v>184</v>
      </c>
      <c r="M866">
        <v>185</v>
      </c>
      <c r="N866">
        <v>185</v>
      </c>
      <c r="O866">
        <v>185</v>
      </c>
    </row>
    <row r="867" spans="1:15">
      <c r="A867" t="str">
        <f t="shared" si="12"/>
        <v xml:space="preserve">OS202SALES </v>
      </c>
      <c r="B867" t="s">
        <v>22</v>
      </c>
      <c r="C867" t="s">
        <v>125</v>
      </c>
      <c r="D867">
        <v>903263</v>
      </c>
      <c r="E867">
        <v>1124390</v>
      </c>
      <c r="F867">
        <v>1109925</v>
      </c>
      <c r="G867">
        <v>937985</v>
      </c>
      <c r="H867">
        <v>884813</v>
      </c>
      <c r="I867">
        <v>821135</v>
      </c>
      <c r="J867">
        <v>764368</v>
      </c>
      <c r="K867">
        <v>789236</v>
      </c>
      <c r="L867">
        <v>957474</v>
      </c>
      <c r="M867">
        <v>1023140</v>
      </c>
      <c r="N867">
        <v>1142558</v>
      </c>
      <c r="O867">
        <v>1045115</v>
      </c>
    </row>
    <row r="868" spans="1:15">
      <c r="A868" t="str">
        <f t="shared" si="12"/>
        <v>OS202KW</v>
      </c>
      <c r="B868" t="s">
        <v>22</v>
      </c>
      <c r="C868" t="s">
        <v>126</v>
      </c>
    </row>
    <row r="869" spans="1:15">
      <c r="A869" t="str">
        <f t="shared" si="12"/>
        <v>OS202N</v>
      </c>
      <c r="B869" t="s">
        <v>22</v>
      </c>
      <c r="C869" t="s">
        <v>127</v>
      </c>
      <c r="D869">
        <v>185</v>
      </c>
      <c r="E869">
        <v>185</v>
      </c>
      <c r="F869">
        <v>185</v>
      </c>
      <c r="G869">
        <v>185</v>
      </c>
      <c r="H869">
        <v>185</v>
      </c>
      <c r="I869">
        <v>184</v>
      </c>
      <c r="J869">
        <v>184</v>
      </c>
      <c r="K869">
        <v>184</v>
      </c>
      <c r="L869">
        <v>184</v>
      </c>
      <c r="M869">
        <v>185</v>
      </c>
      <c r="N869">
        <v>185</v>
      </c>
      <c r="O869">
        <v>185</v>
      </c>
    </row>
    <row r="870" spans="1:15">
      <c r="A870" t="str">
        <f t="shared" si="12"/>
        <v>OS202RLR ENERGY:</v>
      </c>
      <c r="B870" t="s">
        <v>22</v>
      </c>
      <c r="C870" t="s">
        <v>61</v>
      </c>
    </row>
    <row r="871" spans="1:15">
      <c r="A871" t="str">
        <f t="shared" si="12"/>
        <v>OS202KWH</v>
      </c>
      <c r="B871" t="s">
        <v>22</v>
      </c>
      <c r="C871" t="s">
        <v>128</v>
      </c>
      <c r="D871">
        <v>903263</v>
      </c>
      <c r="E871">
        <v>1124390</v>
      </c>
      <c r="F871">
        <v>1109925</v>
      </c>
      <c r="G871">
        <v>937985</v>
      </c>
      <c r="H871">
        <v>884813</v>
      </c>
      <c r="I871">
        <v>821135</v>
      </c>
      <c r="J871">
        <v>764368</v>
      </c>
      <c r="K871">
        <v>789236</v>
      </c>
      <c r="L871">
        <v>957475</v>
      </c>
      <c r="M871">
        <v>1023140</v>
      </c>
      <c r="N871">
        <v>1142558</v>
      </c>
      <c r="O871">
        <v>1045115</v>
      </c>
    </row>
    <row r="872" spans="1:15">
      <c r="A872" t="str">
        <f t="shared" si="12"/>
        <v>OS202KWH ONPK</v>
      </c>
      <c r="B872" t="s">
        <v>22</v>
      </c>
      <c r="C872" t="s">
        <v>129</v>
      </c>
      <c r="D872">
        <v>492994</v>
      </c>
      <c r="E872">
        <v>644523</v>
      </c>
      <c r="F872">
        <v>585413</v>
      </c>
      <c r="G872">
        <v>423568</v>
      </c>
      <c r="H872">
        <v>356758</v>
      </c>
      <c r="I872">
        <v>292385</v>
      </c>
      <c r="J872">
        <v>276912</v>
      </c>
      <c r="K872">
        <v>302076</v>
      </c>
      <c r="L872">
        <v>418815</v>
      </c>
      <c r="M872">
        <v>521313</v>
      </c>
      <c r="N872">
        <v>581674</v>
      </c>
      <c r="O872">
        <v>508339</v>
      </c>
    </row>
    <row r="873" spans="1:15">
      <c r="A873" t="str">
        <f t="shared" si="12"/>
        <v>OS202KWH OFFPK</v>
      </c>
      <c r="B873" t="s">
        <v>22</v>
      </c>
      <c r="C873" t="s">
        <v>130</v>
      </c>
      <c r="D873">
        <v>410269</v>
      </c>
      <c r="E873">
        <v>479867</v>
      </c>
      <c r="F873">
        <v>524512</v>
      </c>
      <c r="G873">
        <v>514417</v>
      </c>
      <c r="H873">
        <v>528055</v>
      </c>
      <c r="I873">
        <v>528750</v>
      </c>
      <c r="J873">
        <v>487456</v>
      </c>
      <c r="K873">
        <v>487160</v>
      </c>
      <c r="L873">
        <v>538659</v>
      </c>
      <c r="M873">
        <v>501827</v>
      </c>
      <c r="N873">
        <v>560884</v>
      </c>
      <c r="O873">
        <v>536776</v>
      </c>
    </row>
    <row r="874" spans="1:15">
      <c r="A874" t="str">
        <f t="shared" si="12"/>
        <v>OS202KWH ONPK%</v>
      </c>
      <c r="B874" t="s">
        <v>22</v>
      </c>
      <c r="C874" t="s">
        <v>131</v>
      </c>
      <c r="D874" s="5">
        <v>0.54579</v>
      </c>
      <c r="E874" s="5">
        <v>0.57321999999999995</v>
      </c>
      <c r="F874" s="5">
        <v>0.52742999999999995</v>
      </c>
      <c r="G874" s="5">
        <v>0.45157000000000003</v>
      </c>
      <c r="H874" s="5">
        <v>0.4032</v>
      </c>
      <c r="I874" s="5">
        <v>0.35607</v>
      </c>
      <c r="J874" s="5">
        <v>0.36227999999999999</v>
      </c>
      <c r="K874" s="5">
        <v>0.38274000000000002</v>
      </c>
      <c r="L874" s="5">
        <v>0.43741999999999998</v>
      </c>
      <c r="M874" s="5">
        <v>0.50951999999999997</v>
      </c>
      <c r="N874" s="5">
        <v>0.5091</v>
      </c>
      <c r="O874" s="5">
        <v>0.4864</v>
      </c>
    </row>
    <row r="875" spans="1:15">
      <c r="A875" t="str">
        <f t="shared" si="12"/>
        <v>OS202KWH OFFPK%</v>
      </c>
      <c r="B875" t="s">
        <v>22</v>
      </c>
      <c r="C875" t="s">
        <v>132</v>
      </c>
      <c r="D875" s="5">
        <v>0.45421</v>
      </c>
      <c r="E875" s="5">
        <v>0.42677999999999999</v>
      </c>
      <c r="F875" s="5">
        <v>0.47256999999999999</v>
      </c>
      <c r="G875" s="5">
        <v>0.54842999999999997</v>
      </c>
      <c r="H875" s="5">
        <v>0.5968</v>
      </c>
      <c r="I875" s="5">
        <v>0.64393</v>
      </c>
      <c r="J875" s="5">
        <v>0.63771999999999995</v>
      </c>
      <c r="K875" s="5">
        <v>0.61726000000000003</v>
      </c>
      <c r="L875" s="5">
        <v>0.56257999999999997</v>
      </c>
      <c r="M875" s="5">
        <v>0.49048000000000003</v>
      </c>
      <c r="N875" s="5">
        <v>0.4909</v>
      </c>
      <c r="O875" s="5">
        <v>0.51359999999999995</v>
      </c>
    </row>
    <row r="876" spans="1:15">
      <c r="A876" t="str">
        <f t="shared" si="12"/>
        <v>OS202DEMAND (KW):</v>
      </c>
      <c r="B876" t="s">
        <v>22</v>
      </c>
      <c r="C876" t="s">
        <v>62</v>
      </c>
    </row>
    <row r="877" spans="1:15">
      <c r="A877" t="str">
        <f t="shared" si="12"/>
        <v>OS202NCP</v>
      </c>
      <c r="B877" t="s">
        <v>22</v>
      </c>
      <c r="C877" t="s">
        <v>133</v>
      </c>
      <c r="D877">
        <v>12137</v>
      </c>
      <c r="E877">
        <v>15897</v>
      </c>
      <c r="F877">
        <v>16406</v>
      </c>
      <c r="G877">
        <v>14536</v>
      </c>
      <c r="H877">
        <v>14187</v>
      </c>
      <c r="I877">
        <v>11423</v>
      </c>
      <c r="J877">
        <v>9712</v>
      </c>
      <c r="K877">
        <v>10989</v>
      </c>
      <c r="L877">
        <v>15223</v>
      </c>
      <c r="M877">
        <v>13668</v>
      </c>
      <c r="N877">
        <v>16020</v>
      </c>
      <c r="O877">
        <v>15474</v>
      </c>
    </row>
    <row r="878" spans="1:15">
      <c r="A878" t="str">
        <f t="shared" si="12"/>
        <v>OS202NCP ONPK</v>
      </c>
      <c r="B878" t="s">
        <v>22</v>
      </c>
      <c r="C878" t="s">
        <v>134</v>
      </c>
      <c r="D878">
        <v>11812</v>
      </c>
      <c r="E878">
        <v>15508</v>
      </c>
      <c r="F878">
        <v>16171</v>
      </c>
      <c r="G878">
        <v>14113</v>
      </c>
      <c r="H878">
        <v>13871</v>
      </c>
      <c r="I878">
        <v>10455</v>
      </c>
      <c r="J878">
        <v>9250</v>
      </c>
      <c r="K878">
        <v>10513</v>
      </c>
      <c r="L878">
        <v>14527</v>
      </c>
      <c r="M878">
        <v>13518</v>
      </c>
      <c r="N878">
        <v>15686</v>
      </c>
      <c r="O878">
        <v>14931</v>
      </c>
    </row>
    <row r="879" spans="1:15">
      <c r="A879" t="str">
        <f t="shared" si="12"/>
        <v>OS202NCP OFFPK</v>
      </c>
      <c r="B879" t="s">
        <v>22</v>
      </c>
      <c r="C879" t="s">
        <v>135</v>
      </c>
      <c r="D879">
        <v>8660</v>
      </c>
      <c r="E879">
        <v>10650</v>
      </c>
      <c r="F879">
        <v>10522</v>
      </c>
      <c r="G879">
        <v>11277</v>
      </c>
      <c r="H879">
        <v>11099</v>
      </c>
      <c r="I879">
        <v>9077</v>
      </c>
      <c r="J879">
        <v>8061</v>
      </c>
      <c r="K879">
        <v>8839</v>
      </c>
      <c r="L879">
        <v>12158</v>
      </c>
      <c r="M879">
        <v>10676</v>
      </c>
      <c r="N879">
        <v>13148</v>
      </c>
      <c r="O879">
        <v>12649</v>
      </c>
    </row>
    <row r="880" spans="1:15">
      <c r="A880" t="str">
        <f t="shared" si="12"/>
        <v>OS202GCP DATE</v>
      </c>
      <c r="B880" t="s">
        <v>22</v>
      </c>
      <c r="C880" t="s">
        <v>136</v>
      </c>
      <c r="D880" t="s">
        <v>858</v>
      </c>
      <c r="E880" t="s">
        <v>280</v>
      </c>
      <c r="F880" t="s">
        <v>797</v>
      </c>
      <c r="G880" t="s">
        <v>859</v>
      </c>
      <c r="H880" t="s">
        <v>860</v>
      </c>
      <c r="I880" t="s">
        <v>861</v>
      </c>
      <c r="J880" t="s">
        <v>831</v>
      </c>
      <c r="K880" t="s">
        <v>862</v>
      </c>
      <c r="L880" t="s">
        <v>863</v>
      </c>
      <c r="M880" t="s">
        <v>864</v>
      </c>
      <c r="N880" t="s">
        <v>752</v>
      </c>
      <c r="O880" t="s">
        <v>808</v>
      </c>
    </row>
    <row r="881" spans="1:15">
      <c r="A881" t="str">
        <f t="shared" si="12"/>
        <v>OS202GCP TIME</v>
      </c>
      <c r="B881" t="s">
        <v>22</v>
      </c>
      <c r="C881" t="s">
        <v>142</v>
      </c>
      <c r="D881" t="s">
        <v>237</v>
      </c>
      <c r="E881" t="s">
        <v>237</v>
      </c>
      <c r="F881" t="s">
        <v>237</v>
      </c>
      <c r="G881" t="s">
        <v>215</v>
      </c>
      <c r="H881" t="s">
        <v>215</v>
      </c>
      <c r="I881" t="s">
        <v>215</v>
      </c>
      <c r="J881" t="s">
        <v>215</v>
      </c>
      <c r="K881" t="s">
        <v>215</v>
      </c>
      <c r="L881" t="s">
        <v>237</v>
      </c>
      <c r="M881" t="s">
        <v>237</v>
      </c>
      <c r="N881" t="s">
        <v>193</v>
      </c>
      <c r="O881" t="s">
        <v>237</v>
      </c>
    </row>
    <row r="882" spans="1:15">
      <c r="A882" t="str">
        <f t="shared" si="12"/>
        <v>OS202GCP</v>
      </c>
      <c r="B882" t="s">
        <v>22</v>
      </c>
      <c r="C882" t="s">
        <v>147</v>
      </c>
      <c r="D882">
        <v>8085</v>
      </c>
      <c r="E882">
        <v>11996</v>
      </c>
      <c r="F882">
        <v>12719</v>
      </c>
      <c r="G882">
        <v>9543</v>
      </c>
      <c r="H882">
        <v>8577</v>
      </c>
      <c r="I882">
        <v>6160</v>
      </c>
      <c r="J882">
        <v>5574</v>
      </c>
      <c r="K882">
        <v>6435</v>
      </c>
      <c r="L882">
        <v>9318</v>
      </c>
      <c r="M882">
        <v>9720</v>
      </c>
      <c r="N882">
        <v>12201</v>
      </c>
      <c r="O882">
        <v>10220</v>
      </c>
    </row>
    <row r="883" spans="1:15">
      <c r="A883" t="str">
        <f t="shared" si="12"/>
        <v>OS202GCP ONPK</v>
      </c>
      <c r="B883" t="s">
        <v>22</v>
      </c>
      <c r="C883" t="s">
        <v>63</v>
      </c>
      <c r="D883">
        <v>8085</v>
      </c>
      <c r="E883">
        <v>11996</v>
      </c>
      <c r="F883">
        <v>12719</v>
      </c>
      <c r="G883">
        <v>9543</v>
      </c>
      <c r="H883">
        <v>8577</v>
      </c>
      <c r="I883">
        <v>6160</v>
      </c>
      <c r="J883">
        <v>5574</v>
      </c>
      <c r="K883">
        <v>6435</v>
      </c>
      <c r="L883">
        <v>9318</v>
      </c>
      <c r="M883">
        <v>9720</v>
      </c>
      <c r="N883">
        <v>12201</v>
      </c>
      <c r="O883">
        <v>10220</v>
      </c>
    </row>
    <row r="884" spans="1:15">
      <c r="A884" t="str">
        <f t="shared" si="12"/>
        <v>OS202GCP OFFPK</v>
      </c>
      <c r="B884" t="s">
        <v>22</v>
      </c>
      <c r="C884" t="s">
        <v>64</v>
      </c>
      <c r="D884">
        <v>3085</v>
      </c>
      <c r="E884">
        <v>3432</v>
      </c>
      <c r="F884">
        <v>2965</v>
      </c>
      <c r="G884">
        <v>5928</v>
      </c>
      <c r="H884">
        <v>5072</v>
      </c>
      <c r="I884">
        <v>3889</v>
      </c>
      <c r="J884">
        <v>3796</v>
      </c>
      <c r="K884">
        <v>3650</v>
      </c>
      <c r="L884">
        <v>4419</v>
      </c>
      <c r="M884">
        <v>4925</v>
      </c>
      <c r="N884">
        <v>6599</v>
      </c>
      <c r="O884">
        <v>5535</v>
      </c>
    </row>
    <row r="885" spans="1:15">
      <c r="A885" t="str">
        <f t="shared" ref="A885:A948" si="13">B885&amp;C885</f>
        <v>OS202CP</v>
      </c>
      <c r="B885" t="s">
        <v>22</v>
      </c>
      <c r="C885" t="s">
        <v>148</v>
      </c>
      <c r="D885">
        <v>6065</v>
      </c>
      <c r="E885">
        <v>635</v>
      </c>
      <c r="F885">
        <v>647</v>
      </c>
      <c r="G885">
        <v>904</v>
      </c>
      <c r="H885">
        <v>1011</v>
      </c>
      <c r="I885">
        <v>892</v>
      </c>
      <c r="J885">
        <v>790</v>
      </c>
      <c r="K885">
        <v>776</v>
      </c>
      <c r="L885">
        <v>917</v>
      </c>
      <c r="M885">
        <v>681</v>
      </c>
      <c r="N885">
        <v>820</v>
      </c>
      <c r="O885">
        <v>676</v>
      </c>
    </row>
    <row r="886" spans="1:15">
      <c r="A886" t="str">
        <f t="shared" si="13"/>
        <v>OS202PERIOD START</v>
      </c>
      <c r="B886" t="s">
        <v>22</v>
      </c>
      <c r="C886" t="s">
        <v>149</v>
      </c>
      <c r="D886" s="1">
        <v>41275</v>
      </c>
      <c r="E886" s="1">
        <v>41306</v>
      </c>
      <c r="F886" s="1">
        <v>41334</v>
      </c>
      <c r="G886" s="1">
        <v>41365</v>
      </c>
      <c r="H886" s="1">
        <v>41395</v>
      </c>
      <c r="I886" s="1">
        <v>41426</v>
      </c>
      <c r="J886" s="1">
        <v>41456</v>
      </c>
      <c r="K886" s="1">
        <v>41487</v>
      </c>
      <c r="L886" s="1">
        <v>41518</v>
      </c>
      <c r="M886" s="1">
        <v>41548</v>
      </c>
      <c r="N886" s="1">
        <v>41579</v>
      </c>
      <c r="O886" s="1">
        <v>41609</v>
      </c>
    </row>
    <row r="887" spans="1:15">
      <c r="A887" t="str">
        <f t="shared" si="13"/>
        <v>OS202NCP LF</v>
      </c>
      <c r="B887" t="s">
        <v>22</v>
      </c>
      <c r="C887" t="s">
        <v>150</v>
      </c>
      <c r="D887" s="5">
        <v>0.1</v>
      </c>
      <c r="E887" s="5">
        <v>0.1053</v>
      </c>
      <c r="F887" s="5">
        <v>9.0899999999999995E-2</v>
      </c>
      <c r="G887" s="5">
        <v>8.9599999999999999E-2</v>
      </c>
      <c r="H887" s="5">
        <v>8.3799999999999999E-2</v>
      </c>
      <c r="I887" s="5">
        <v>9.98E-2</v>
      </c>
      <c r="J887" s="5">
        <v>0.10580000000000001</v>
      </c>
      <c r="K887" s="5">
        <v>9.6500000000000002E-2</v>
      </c>
      <c r="L887" s="5">
        <v>8.7400000000000005E-2</v>
      </c>
      <c r="M887" s="5">
        <v>0.10059999999999999</v>
      </c>
      <c r="N887" s="5">
        <v>9.9099999999999994E-2</v>
      </c>
      <c r="O887" s="5">
        <v>9.0800000000000006E-2</v>
      </c>
    </row>
    <row r="888" spans="1:15">
      <c r="A888" t="str">
        <f t="shared" si="13"/>
        <v>OS202NCP LF ONPK</v>
      </c>
      <c r="B888" t="s">
        <v>22</v>
      </c>
      <c r="C888" t="s">
        <v>151</v>
      </c>
      <c r="D888" s="5">
        <v>0.23710000000000001</v>
      </c>
      <c r="E888" s="5">
        <v>0.25979999999999998</v>
      </c>
      <c r="F888" s="5">
        <v>0.2155</v>
      </c>
      <c r="G888" s="5">
        <v>0.15160000000000001</v>
      </c>
      <c r="H888" s="5">
        <v>0.12989999999999999</v>
      </c>
      <c r="I888" s="5">
        <v>0.15540000000000001</v>
      </c>
      <c r="J888" s="5">
        <v>0.1512</v>
      </c>
      <c r="K888" s="5">
        <v>0.14510000000000001</v>
      </c>
      <c r="L888" s="5">
        <v>0.16020000000000001</v>
      </c>
      <c r="M888" s="5">
        <v>0.18629999999999999</v>
      </c>
      <c r="N888" s="5">
        <v>0.23180000000000001</v>
      </c>
      <c r="O888" s="5">
        <v>0.20269999999999999</v>
      </c>
    </row>
    <row r="889" spans="1:15">
      <c r="A889" t="str">
        <f t="shared" si="13"/>
        <v>OS202NCP LF OFFPK</v>
      </c>
      <c r="B889" t="s">
        <v>22</v>
      </c>
      <c r="C889" t="s">
        <v>152</v>
      </c>
      <c r="D889" s="5">
        <v>8.3400000000000002E-2</v>
      </c>
      <c r="E889" s="5">
        <v>8.7999999999999995E-2</v>
      </c>
      <c r="F889" s="5">
        <v>8.6499999999999994E-2</v>
      </c>
      <c r="G889" s="5">
        <v>8.7400000000000005E-2</v>
      </c>
      <c r="H889" s="5">
        <v>8.7099999999999997E-2</v>
      </c>
      <c r="I889" s="5">
        <v>0.1079</v>
      </c>
      <c r="J889" s="5">
        <v>0.11070000000000001</v>
      </c>
      <c r="K889" s="5">
        <v>0.1009</v>
      </c>
      <c r="L889" s="5">
        <v>8.2000000000000003E-2</v>
      </c>
      <c r="M889" s="5">
        <v>8.7499999999999994E-2</v>
      </c>
      <c r="N889" s="5">
        <v>7.6200000000000004E-2</v>
      </c>
      <c r="O889" s="5">
        <v>7.3700000000000002E-2</v>
      </c>
    </row>
    <row r="890" spans="1:15">
      <c r="A890" t="str">
        <f t="shared" si="13"/>
        <v>OS202GCP CF</v>
      </c>
      <c r="B890" t="s">
        <v>22</v>
      </c>
      <c r="C890" t="s">
        <v>153</v>
      </c>
      <c r="D890" s="5">
        <v>0.66610000000000003</v>
      </c>
      <c r="E890" s="5">
        <v>0.75460000000000005</v>
      </c>
      <c r="F890" s="5">
        <v>0.7752</v>
      </c>
      <c r="G890" s="5">
        <v>0.65649999999999997</v>
      </c>
      <c r="H890" s="5">
        <v>0.60450000000000004</v>
      </c>
      <c r="I890" s="5">
        <v>0.53920000000000001</v>
      </c>
      <c r="J890" s="5">
        <v>0.57389999999999997</v>
      </c>
      <c r="K890" s="5">
        <v>0.58560000000000001</v>
      </c>
      <c r="L890" s="5">
        <v>0.61209999999999998</v>
      </c>
      <c r="M890" s="5">
        <v>0.71109999999999995</v>
      </c>
      <c r="N890" s="5">
        <v>0.76160000000000005</v>
      </c>
      <c r="O890" s="5">
        <v>0.66049999999999998</v>
      </c>
    </row>
    <row r="891" spans="1:15">
      <c r="A891" t="str">
        <f t="shared" si="13"/>
        <v>OS202CP CF</v>
      </c>
      <c r="B891" t="s">
        <v>22</v>
      </c>
      <c r="C891" t="s">
        <v>154</v>
      </c>
      <c r="D891" s="5">
        <v>0.49969999999999998</v>
      </c>
      <c r="E891" s="5">
        <v>3.9899999999999998E-2</v>
      </c>
      <c r="F891" s="5">
        <v>3.9399999999999998E-2</v>
      </c>
      <c r="G891" s="5">
        <v>6.2199999999999998E-2</v>
      </c>
      <c r="H891" s="5">
        <v>7.1300000000000002E-2</v>
      </c>
      <c r="I891" s="5">
        <v>7.8100000000000003E-2</v>
      </c>
      <c r="J891" s="5">
        <v>8.14E-2</v>
      </c>
      <c r="K891" s="5">
        <v>7.0599999999999996E-2</v>
      </c>
      <c r="L891" s="5">
        <v>6.0199999999999997E-2</v>
      </c>
      <c r="M891" s="5">
        <v>4.9799999999999997E-2</v>
      </c>
      <c r="N891" s="5">
        <v>5.1200000000000002E-2</v>
      </c>
      <c r="O891" s="5">
        <v>4.3700000000000003E-2</v>
      </c>
    </row>
    <row r="892" spans="1:15">
      <c r="A892" t="str">
        <f t="shared" si="13"/>
        <v>OS202GCP LF</v>
      </c>
      <c r="B892" t="s">
        <v>22</v>
      </c>
      <c r="C892" t="s">
        <v>155</v>
      </c>
      <c r="D892" s="5">
        <v>0.1502</v>
      </c>
      <c r="E892" s="5">
        <v>0.13950000000000001</v>
      </c>
      <c r="F892" s="5">
        <v>0.1173</v>
      </c>
      <c r="G892" s="5">
        <v>0.13650000000000001</v>
      </c>
      <c r="H892" s="5">
        <v>0.13869999999999999</v>
      </c>
      <c r="I892" s="5">
        <v>0.18509999999999999</v>
      </c>
      <c r="J892" s="5">
        <v>0.18429999999999999</v>
      </c>
      <c r="K892" s="5">
        <v>0.16489999999999999</v>
      </c>
      <c r="L892" s="5">
        <v>0.14269999999999999</v>
      </c>
      <c r="M892" s="5">
        <v>0.14149999999999999</v>
      </c>
      <c r="N892" s="5">
        <v>0.13009999999999999</v>
      </c>
      <c r="O892" s="5">
        <v>0.13739999999999999</v>
      </c>
    </row>
    <row r="893" spans="1:15">
      <c r="A893" t="str">
        <f t="shared" si="13"/>
        <v>OS202GCP LF ONPK</v>
      </c>
      <c r="B893" t="s">
        <v>22</v>
      </c>
      <c r="C893" t="s">
        <v>156</v>
      </c>
      <c r="D893" s="5">
        <v>0.34649999999999997</v>
      </c>
      <c r="E893" s="5">
        <v>0.33579999999999999</v>
      </c>
      <c r="F893" s="5">
        <v>0.27400000000000002</v>
      </c>
      <c r="G893" s="5">
        <v>0.22420000000000001</v>
      </c>
      <c r="H893" s="5">
        <v>0.21010000000000001</v>
      </c>
      <c r="I893" s="5">
        <v>0.26369999999999999</v>
      </c>
      <c r="J893" s="5">
        <v>0.25090000000000001</v>
      </c>
      <c r="K893" s="5">
        <v>0.23710000000000001</v>
      </c>
      <c r="L893" s="5">
        <v>0.24970000000000001</v>
      </c>
      <c r="M893" s="5">
        <v>0.2591</v>
      </c>
      <c r="N893" s="5">
        <v>0.29799999999999999</v>
      </c>
      <c r="O893" s="5">
        <v>0.29609999999999997</v>
      </c>
    </row>
    <row r="894" spans="1:15">
      <c r="A894" t="str">
        <f t="shared" si="13"/>
        <v>OS202GCP LF OFFPK</v>
      </c>
      <c r="B894" t="s">
        <v>22</v>
      </c>
      <c r="C894" t="s">
        <v>157</v>
      </c>
      <c r="D894" s="5">
        <v>0.23419999999999999</v>
      </c>
      <c r="E894" s="5">
        <v>0.27310000000000001</v>
      </c>
      <c r="F894" s="5">
        <v>0.30719999999999997</v>
      </c>
      <c r="G894" s="5">
        <v>0.16619999999999999</v>
      </c>
      <c r="H894" s="5">
        <v>0.19070000000000001</v>
      </c>
      <c r="I894" s="5">
        <v>0.25180000000000002</v>
      </c>
      <c r="J894" s="5">
        <v>0.23519999999999999</v>
      </c>
      <c r="K894" s="5">
        <v>0.2445</v>
      </c>
      <c r="L894" s="5">
        <v>0.22570000000000001</v>
      </c>
      <c r="M894" s="5">
        <v>0.1898</v>
      </c>
      <c r="N894" s="5">
        <v>0.15179999999999999</v>
      </c>
      <c r="O894" s="5">
        <v>0.16839999999999999</v>
      </c>
    </row>
    <row r="895" spans="1:15">
      <c r="A895" t="str">
        <f t="shared" si="13"/>
        <v>OS202CP LF</v>
      </c>
      <c r="B895" t="s">
        <v>22</v>
      </c>
      <c r="C895" t="s">
        <v>158</v>
      </c>
      <c r="D895" s="5">
        <v>0.20019999999999999</v>
      </c>
      <c r="E895" s="5">
        <v>2.6360999999999999</v>
      </c>
      <c r="F895" s="5">
        <v>2.3071000000000002</v>
      </c>
      <c r="G895" s="5">
        <v>1.4404999999999999</v>
      </c>
      <c r="H895" s="5">
        <v>1.1761999999999999</v>
      </c>
      <c r="I895" s="5">
        <v>1.2784</v>
      </c>
      <c r="J895" s="5">
        <v>1.3</v>
      </c>
      <c r="K895" s="5">
        <v>1.3666</v>
      </c>
      <c r="L895" s="5">
        <v>1.45</v>
      </c>
      <c r="M895" s="5">
        <v>2.0190999999999999</v>
      </c>
      <c r="N895" s="5">
        <v>1.9357</v>
      </c>
      <c r="O895" s="5">
        <v>2.0792000000000002</v>
      </c>
    </row>
    <row r="896" spans="1:15">
      <c r="A896" t="str">
        <f t="shared" si="13"/>
        <v>OS202REL PREC:</v>
      </c>
      <c r="B896" t="s">
        <v>22</v>
      </c>
      <c r="C896" t="s">
        <v>65</v>
      </c>
    </row>
    <row r="897" spans="1:15">
      <c r="A897" t="str">
        <f t="shared" si="13"/>
        <v>OS202NCP RP</v>
      </c>
      <c r="B897" t="s">
        <v>22</v>
      </c>
      <c r="C897" t="s">
        <v>159</v>
      </c>
      <c r="D897" s="5">
        <v>0.1305</v>
      </c>
      <c r="E897" s="5">
        <v>8.8700000000000001E-2</v>
      </c>
      <c r="F897" s="5">
        <v>0.11119999999999999</v>
      </c>
      <c r="G897" s="5">
        <v>9.9699999999999997E-2</v>
      </c>
      <c r="H897" s="5">
        <v>0.1124</v>
      </c>
      <c r="I897" s="5">
        <v>0.159</v>
      </c>
      <c r="J897" s="5">
        <v>0.17699999999999999</v>
      </c>
      <c r="K897" s="5">
        <v>0.19189999999999999</v>
      </c>
      <c r="L897" s="5">
        <v>0.1145</v>
      </c>
      <c r="M897" s="5">
        <v>8.6900000000000005E-2</v>
      </c>
      <c r="N897" s="5">
        <v>8.9700000000000002E-2</v>
      </c>
      <c r="O897" s="5">
        <v>9.01E-2</v>
      </c>
    </row>
    <row r="898" spans="1:15">
      <c r="A898" t="str">
        <f t="shared" si="13"/>
        <v>OS202NCP RP ONPK</v>
      </c>
      <c r="B898" t="s">
        <v>22</v>
      </c>
      <c r="C898" t="s">
        <v>160</v>
      </c>
      <c r="D898" s="5">
        <v>0.12859999999999999</v>
      </c>
      <c r="E898" s="5">
        <v>8.8599999999999998E-2</v>
      </c>
      <c r="F898" s="5">
        <v>0.1119</v>
      </c>
      <c r="G898" s="5">
        <v>0.1007</v>
      </c>
      <c r="H898" s="5">
        <v>0.11269999999999999</v>
      </c>
      <c r="I898" s="5">
        <v>0.1588</v>
      </c>
      <c r="J898" s="5">
        <v>0.17699999999999999</v>
      </c>
      <c r="K898" s="5">
        <v>0.18959999999999999</v>
      </c>
      <c r="L898" s="5">
        <v>0.11310000000000001</v>
      </c>
      <c r="M898" s="5">
        <v>8.6800000000000002E-2</v>
      </c>
      <c r="N898" s="5">
        <v>9.01E-2</v>
      </c>
      <c r="O898" s="5">
        <v>9.2299999999999993E-2</v>
      </c>
    </row>
    <row r="899" spans="1:15">
      <c r="A899" t="str">
        <f t="shared" si="13"/>
        <v>OS202NCP RP OFFPK</v>
      </c>
      <c r="B899" t="s">
        <v>22</v>
      </c>
      <c r="C899" t="s">
        <v>161</v>
      </c>
      <c r="D899" s="5">
        <v>0.13089999999999999</v>
      </c>
      <c r="E899" s="5">
        <v>9.8599999999999993E-2</v>
      </c>
      <c r="F899" s="5">
        <v>0.109</v>
      </c>
      <c r="G899" s="5">
        <v>0.1023</v>
      </c>
      <c r="H899" s="5">
        <v>0.1134</v>
      </c>
      <c r="I899" s="5">
        <v>0.16270000000000001</v>
      </c>
      <c r="J899" s="5">
        <v>0.1817</v>
      </c>
      <c r="K899" s="5">
        <v>0.19700000000000001</v>
      </c>
      <c r="L899" s="5">
        <v>0.11890000000000001</v>
      </c>
      <c r="M899" s="5">
        <v>9.4299999999999995E-2</v>
      </c>
      <c r="N899" s="5">
        <v>8.2600000000000007E-2</v>
      </c>
      <c r="O899" s="5">
        <v>8.9599999999999999E-2</v>
      </c>
    </row>
    <row r="900" spans="1:15">
      <c r="A900" t="str">
        <f t="shared" si="13"/>
        <v>OS202GCP RP</v>
      </c>
      <c r="B900" t="s">
        <v>22</v>
      </c>
      <c r="C900" t="s">
        <v>162</v>
      </c>
      <c r="D900" s="5">
        <v>0.1293</v>
      </c>
      <c r="E900" s="5">
        <v>9.3200000000000005E-2</v>
      </c>
      <c r="F900" s="5">
        <v>0.1147</v>
      </c>
      <c r="G900" s="5">
        <v>0.1153</v>
      </c>
      <c r="H900" s="5">
        <v>0.14119999999999999</v>
      </c>
      <c r="I900" s="5">
        <v>0.16470000000000001</v>
      </c>
      <c r="J900" s="5">
        <v>0.2155</v>
      </c>
      <c r="K900" s="5">
        <v>0.21609999999999999</v>
      </c>
      <c r="L900" s="5">
        <v>0.1333</v>
      </c>
      <c r="M900" s="5">
        <v>0.1104</v>
      </c>
      <c r="N900" s="5">
        <v>8.8900000000000007E-2</v>
      </c>
      <c r="O900" s="5">
        <v>9.6000000000000002E-2</v>
      </c>
    </row>
    <row r="901" spans="1:15">
      <c r="A901" t="str">
        <f t="shared" si="13"/>
        <v>OS202GCP RP ONPK</v>
      </c>
      <c r="B901" t="s">
        <v>22</v>
      </c>
      <c r="C901" t="s">
        <v>163</v>
      </c>
      <c r="D901" s="5">
        <v>0.1293</v>
      </c>
      <c r="E901" s="5">
        <v>9.3200000000000005E-2</v>
      </c>
      <c r="F901" s="5">
        <v>0.1147</v>
      </c>
      <c r="G901" s="5">
        <v>0.1153</v>
      </c>
      <c r="H901" s="5">
        <v>0.14119999999999999</v>
      </c>
      <c r="I901" s="5">
        <v>0.16470000000000001</v>
      </c>
      <c r="J901" s="5">
        <v>0.2155</v>
      </c>
      <c r="K901" s="5">
        <v>0.21609999999999999</v>
      </c>
      <c r="L901" s="5">
        <v>0.1333</v>
      </c>
      <c r="M901" s="5">
        <v>0.1104</v>
      </c>
      <c r="N901" s="5">
        <v>8.8900000000000007E-2</v>
      </c>
      <c r="O901" s="5">
        <v>9.6000000000000002E-2</v>
      </c>
    </row>
    <row r="902" spans="1:15">
      <c r="A902" t="str">
        <f t="shared" si="13"/>
        <v>OS202GCP RP OFFPK</v>
      </c>
      <c r="B902" t="s">
        <v>22</v>
      </c>
      <c r="C902" t="s">
        <v>164</v>
      </c>
      <c r="D902" s="5">
        <v>0.14660000000000001</v>
      </c>
      <c r="E902" s="5">
        <v>0.18260000000000001</v>
      </c>
      <c r="F902" s="5">
        <v>0.14530000000000001</v>
      </c>
      <c r="G902" s="5">
        <v>0.1323</v>
      </c>
      <c r="H902" s="5">
        <v>0.1636</v>
      </c>
      <c r="I902" s="5">
        <v>0.18559999999999999</v>
      </c>
      <c r="J902" s="5">
        <v>0.1988</v>
      </c>
      <c r="K902" s="5">
        <v>0.24610000000000001</v>
      </c>
      <c r="L902" s="5">
        <v>0.19470000000000001</v>
      </c>
      <c r="M902" s="5">
        <v>0.18129999999999999</v>
      </c>
      <c r="N902" s="5">
        <v>0.11</v>
      </c>
      <c r="O902" s="5">
        <v>0.1234</v>
      </c>
    </row>
    <row r="903" spans="1:15">
      <c r="A903" t="str">
        <f t="shared" si="13"/>
        <v>OS202CP RP</v>
      </c>
      <c r="B903" t="s">
        <v>22</v>
      </c>
      <c r="C903" t="s">
        <v>165</v>
      </c>
      <c r="D903" s="5">
        <v>0.14660000000000001</v>
      </c>
      <c r="E903" s="5">
        <v>0.18970000000000001</v>
      </c>
      <c r="F903" s="5">
        <v>0.24410000000000001</v>
      </c>
      <c r="G903" s="5">
        <v>0.2293</v>
      </c>
      <c r="H903" s="5">
        <v>0.26989999999999997</v>
      </c>
      <c r="I903" s="5">
        <v>0.1668</v>
      </c>
      <c r="J903" s="5">
        <v>0.14430000000000001</v>
      </c>
      <c r="K903" s="5">
        <v>0.17710000000000001</v>
      </c>
      <c r="L903" s="5">
        <v>0.192</v>
      </c>
      <c r="M903" s="5">
        <v>0.20319999999999999</v>
      </c>
      <c r="N903" s="5">
        <v>0.18410000000000001</v>
      </c>
      <c r="O903" s="5">
        <v>0.17269999999999999</v>
      </c>
    </row>
    <row r="904" spans="1:15">
      <c r="A904" t="str">
        <f t="shared" si="13"/>
        <v>OS202SAMPLE SIZE:</v>
      </c>
      <c r="B904" t="s">
        <v>22</v>
      </c>
      <c r="C904" t="s">
        <v>66</v>
      </c>
    </row>
    <row r="905" spans="1:15">
      <c r="A905" t="str">
        <f t="shared" si="13"/>
        <v>OS202GCPSZ</v>
      </c>
      <c r="B905" t="s">
        <v>22</v>
      </c>
      <c r="C905" t="s">
        <v>166</v>
      </c>
      <c r="D905">
        <v>110</v>
      </c>
      <c r="E905">
        <v>111</v>
      </c>
      <c r="F905">
        <v>111</v>
      </c>
      <c r="G905">
        <v>111</v>
      </c>
      <c r="H905">
        <v>111</v>
      </c>
      <c r="I905">
        <v>111</v>
      </c>
      <c r="J905">
        <v>111</v>
      </c>
      <c r="K905">
        <v>111</v>
      </c>
      <c r="L905">
        <v>111</v>
      </c>
      <c r="M905">
        <v>111</v>
      </c>
      <c r="N905">
        <v>111</v>
      </c>
      <c r="O905">
        <v>110</v>
      </c>
    </row>
    <row r="906" spans="1:15">
      <c r="A906" t="str">
        <f t="shared" si="13"/>
        <v>OS202GCPSZ ONPK</v>
      </c>
      <c r="B906" t="s">
        <v>22</v>
      </c>
      <c r="C906" t="s">
        <v>167</v>
      </c>
      <c r="D906">
        <v>110</v>
      </c>
      <c r="E906">
        <v>111</v>
      </c>
      <c r="F906">
        <v>111</v>
      </c>
      <c r="G906">
        <v>111</v>
      </c>
      <c r="H906">
        <v>111</v>
      </c>
      <c r="I906">
        <v>111</v>
      </c>
      <c r="J906">
        <v>111</v>
      </c>
      <c r="K906">
        <v>111</v>
      </c>
      <c r="L906">
        <v>111</v>
      </c>
      <c r="M906">
        <v>111</v>
      </c>
      <c r="N906">
        <v>111</v>
      </c>
      <c r="O906">
        <v>110</v>
      </c>
    </row>
    <row r="907" spans="1:15">
      <c r="A907" t="str">
        <f t="shared" si="13"/>
        <v>OS202GCPSZ OFFPK</v>
      </c>
      <c r="B907" t="s">
        <v>22</v>
      </c>
      <c r="C907" t="s">
        <v>168</v>
      </c>
      <c r="D907">
        <v>110</v>
      </c>
      <c r="E907">
        <v>111</v>
      </c>
      <c r="F907">
        <v>111</v>
      </c>
      <c r="G907">
        <v>111</v>
      </c>
      <c r="H907">
        <v>111</v>
      </c>
      <c r="I907">
        <v>111</v>
      </c>
      <c r="J907">
        <v>111</v>
      </c>
      <c r="K907">
        <v>111</v>
      </c>
      <c r="L907">
        <v>111</v>
      </c>
      <c r="M907">
        <v>111</v>
      </c>
      <c r="N907">
        <v>111</v>
      </c>
      <c r="O907">
        <v>110</v>
      </c>
    </row>
    <row r="908" spans="1:15">
      <c r="A908" t="str">
        <f t="shared" si="13"/>
        <v>OS202CPSZ</v>
      </c>
      <c r="B908" t="s">
        <v>22</v>
      </c>
      <c r="C908" t="s">
        <v>169</v>
      </c>
      <c r="D908">
        <v>110</v>
      </c>
      <c r="E908">
        <v>111</v>
      </c>
      <c r="F908">
        <v>111</v>
      </c>
      <c r="G908">
        <v>111</v>
      </c>
      <c r="H908">
        <v>111</v>
      </c>
      <c r="I908">
        <v>111</v>
      </c>
      <c r="J908">
        <v>111</v>
      </c>
      <c r="K908">
        <v>111</v>
      </c>
      <c r="L908">
        <v>111</v>
      </c>
      <c r="M908">
        <v>111</v>
      </c>
      <c r="N908">
        <v>111</v>
      </c>
      <c r="O908">
        <v>110</v>
      </c>
    </row>
    <row r="909" spans="1:15">
      <c r="A909" t="str">
        <f t="shared" si="13"/>
        <v/>
      </c>
    </row>
    <row r="910" spans="1:15">
      <c r="A910" t="str">
        <f t="shared" si="13"/>
        <v/>
      </c>
    </row>
    <row r="911" spans="1:15">
      <c r="A911" t="str">
        <f t="shared" si="13"/>
        <v xml:space="preserve">OS202 Sports Field (Sampled) </v>
      </c>
      <c r="B911" t="s">
        <v>20</v>
      </c>
      <c r="C911" t="s">
        <v>21</v>
      </c>
    </row>
    <row r="912" spans="1:15">
      <c r="A912" t="str">
        <f t="shared" si="13"/>
        <v xml:space="preserve">OS202MONTH </v>
      </c>
      <c r="B912" t="s">
        <v>22</v>
      </c>
      <c r="C912" t="s">
        <v>123</v>
      </c>
      <c r="D912" s="4">
        <v>41275</v>
      </c>
      <c r="E912" s="4">
        <v>41306</v>
      </c>
      <c r="F912" s="4">
        <v>41334</v>
      </c>
      <c r="G912" s="4">
        <v>41365</v>
      </c>
      <c r="H912" s="4">
        <v>41395</v>
      </c>
      <c r="I912" s="4">
        <v>41426</v>
      </c>
      <c r="J912" s="4">
        <v>41456</v>
      </c>
      <c r="K912" s="4">
        <v>41487</v>
      </c>
      <c r="L912" s="4">
        <v>41518</v>
      </c>
      <c r="M912" s="4">
        <v>41548</v>
      </c>
      <c r="N912" s="4">
        <v>41579</v>
      </c>
      <c r="O912" s="4">
        <v>41609</v>
      </c>
    </row>
    <row r="913" spans="1:15">
      <c r="A913" t="str">
        <f t="shared" si="13"/>
        <v>OS202STD DEV OF R:</v>
      </c>
      <c r="B913" t="s">
        <v>22</v>
      </c>
      <c r="C913" t="s">
        <v>238</v>
      </c>
    </row>
    <row r="914" spans="1:15">
      <c r="A914" t="str">
        <f t="shared" si="13"/>
        <v>OS202SDR GCP</v>
      </c>
      <c r="B914" t="s">
        <v>22</v>
      </c>
      <c r="C914" t="s">
        <v>171</v>
      </c>
      <c r="D914">
        <v>56.587000000000003</v>
      </c>
      <c r="E914">
        <v>61.185000000000002</v>
      </c>
      <c r="F914">
        <v>79.834000000000003</v>
      </c>
      <c r="G914">
        <v>60.250999999999998</v>
      </c>
      <c r="H914">
        <v>66.308999999999997</v>
      </c>
      <c r="I914">
        <v>56.067999999999998</v>
      </c>
      <c r="J914">
        <v>66.38</v>
      </c>
      <c r="K914">
        <v>76.843999999999994</v>
      </c>
      <c r="L914">
        <v>68.668000000000006</v>
      </c>
      <c r="M914">
        <v>58.716999999999999</v>
      </c>
      <c r="N914">
        <v>59.402000000000001</v>
      </c>
      <c r="O914">
        <v>53.113999999999997</v>
      </c>
    </row>
    <row r="915" spans="1:15">
      <c r="A915" t="str">
        <f t="shared" si="13"/>
        <v>OS202SDR GCP ONPK</v>
      </c>
      <c r="B915" t="s">
        <v>22</v>
      </c>
      <c r="C915" t="s">
        <v>172</v>
      </c>
      <c r="D915">
        <v>56.587000000000003</v>
      </c>
      <c r="E915">
        <v>61.185000000000002</v>
      </c>
      <c r="F915">
        <v>79.834000000000003</v>
      </c>
      <c r="G915">
        <v>60.250999999999998</v>
      </c>
      <c r="H915">
        <v>66.308999999999997</v>
      </c>
      <c r="I915">
        <v>56.067999999999998</v>
      </c>
      <c r="J915">
        <v>66.38</v>
      </c>
      <c r="K915">
        <v>76.843999999999994</v>
      </c>
      <c r="L915">
        <v>68.668000000000006</v>
      </c>
      <c r="M915">
        <v>58.716999999999999</v>
      </c>
      <c r="N915">
        <v>59.402000000000001</v>
      </c>
      <c r="O915">
        <v>53.113999999999997</v>
      </c>
    </row>
    <row r="916" spans="1:15">
      <c r="A916" t="str">
        <f t="shared" si="13"/>
        <v>OS202SDR GCP OFFPK</v>
      </c>
      <c r="B916" t="s">
        <v>22</v>
      </c>
      <c r="C916" t="s">
        <v>173</v>
      </c>
      <c r="D916">
        <v>24.475000000000001</v>
      </c>
      <c r="E916">
        <v>34.308999999999997</v>
      </c>
      <c r="F916">
        <v>23.58</v>
      </c>
      <c r="G916">
        <v>42.936999999999998</v>
      </c>
      <c r="H916">
        <v>45.408999999999999</v>
      </c>
      <c r="I916">
        <v>39.901000000000003</v>
      </c>
      <c r="J916">
        <v>41.698</v>
      </c>
      <c r="K916">
        <v>49.640999999999998</v>
      </c>
      <c r="L916">
        <v>47.551000000000002</v>
      </c>
      <c r="M916">
        <v>48.883000000000003</v>
      </c>
      <c r="N916">
        <v>39.734999999999999</v>
      </c>
      <c r="O916">
        <v>36.972000000000001</v>
      </c>
    </row>
    <row r="917" spans="1:15">
      <c r="A917" t="str">
        <f t="shared" si="13"/>
        <v>OS202SDR CP</v>
      </c>
      <c r="B917" t="s">
        <v>22</v>
      </c>
      <c r="C917" t="s">
        <v>174</v>
      </c>
      <c r="D917">
        <v>48.125</v>
      </c>
      <c r="E917">
        <v>6.5919999999999996</v>
      </c>
      <c r="F917">
        <v>8.641</v>
      </c>
      <c r="G917">
        <v>11.35</v>
      </c>
      <c r="H917">
        <v>14.935</v>
      </c>
      <c r="I917">
        <v>8.2210000000000001</v>
      </c>
      <c r="J917">
        <v>6.3029999999999999</v>
      </c>
      <c r="K917">
        <v>7.5990000000000002</v>
      </c>
      <c r="L917">
        <v>9.7330000000000005</v>
      </c>
      <c r="M917">
        <v>7.5759999999999996</v>
      </c>
      <c r="N917">
        <v>8.2629999999999999</v>
      </c>
      <c r="O917">
        <v>6.3150000000000004</v>
      </c>
    </row>
    <row r="918" spans="1:15">
      <c r="A918" t="str">
        <f t="shared" si="13"/>
        <v/>
      </c>
    </row>
    <row r="919" spans="1:15">
      <c r="A919" t="str">
        <f t="shared" si="13"/>
        <v/>
      </c>
    </row>
    <row r="920" spans="1:15">
      <c r="A920" t="str">
        <f t="shared" si="13"/>
        <v xml:space="preserve">RS11 RS(T)-1 Residential Service 1 with TOU included (Sampled) </v>
      </c>
      <c r="B920" t="s">
        <v>686</v>
      </c>
      <c r="C920" t="s">
        <v>28</v>
      </c>
    </row>
    <row r="921" spans="1:15">
      <c r="A921" t="str">
        <f t="shared" si="13"/>
        <v xml:space="preserve">RS11MONTH </v>
      </c>
      <c r="B921" t="s">
        <v>687</v>
      </c>
      <c r="C921" t="s">
        <v>123</v>
      </c>
      <c r="D921" s="4">
        <v>41275</v>
      </c>
      <c r="E921" s="4">
        <v>41306</v>
      </c>
      <c r="F921" s="4">
        <v>41334</v>
      </c>
      <c r="G921" s="4">
        <v>41365</v>
      </c>
      <c r="H921" s="4">
        <v>41395</v>
      </c>
      <c r="I921" s="4">
        <v>41426</v>
      </c>
      <c r="J921" s="4">
        <v>41456</v>
      </c>
      <c r="K921" s="4">
        <v>41487</v>
      </c>
      <c r="L921" s="4">
        <v>41518</v>
      </c>
      <c r="M921" s="4">
        <v>41548</v>
      </c>
      <c r="N921" s="4">
        <v>41579</v>
      </c>
      <c r="O921" s="4">
        <v>41609</v>
      </c>
    </row>
    <row r="922" spans="1:15">
      <c r="A922" t="str">
        <f t="shared" si="13"/>
        <v xml:space="preserve">RS11CUSTOMERS </v>
      </c>
      <c r="B922" t="s">
        <v>687</v>
      </c>
      <c r="C922" t="s">
        <v>124</v>
      </c>
      <c r="D922">
        <v>4065032</v>
      </c>
      <c r="E922">
        <v>4069240</v>
      </c>
      <c r="F922">
        <v>4075307</v>
      </c>
      <c r="G922">
        <v>4078633</v>
      </c>
      <c r="H922">
        <v>4079927</v>
      </c>
      <c r="I922">
        <v>4081488</v>
      </c>
      <c r="J922">
        <v>4087995</v>
      </c>
      <c r="K922">
        <v>4097154</v>
      </c>
      <c r="L922">
        <v>4109389</v>
      </c>
      <c r="M922">
        <v>4121208</v>
      </c>
      <c r="N922">
        <v>4127414</v>
      </c>
      <c r="O922">
        <v>4133493</v>
      </c>
    </row>
    <row r="923" spans="1:15">
      <c r="A923" t="str">
        <f t="shared" si="13"/>
        <v xml:space="preserve">RS11SALES </v>
      </c>
      <c r="B923" t="s">
        <v>687</v>
      </c>
      <c r="C923" t="s">
        <v>125</v>
      </c>
      <c r="D923">
        <v>3854898868</v>
      </c>
      <c r="E923">
        <v>3476453782</v>
      </c>
      <c r="F923">
        <v>3502283927</v>
      </c>
      <c r="G923">
        <v>3877958799</v>
      </c>
      <c r="H923">
        <v>4439157428</v>
      </c>
      <c r="I923">
        <v>4883078726</v>
      </c>
      <c r="J923">
        <v>5400569896</v>
      </c>
      <c r="K923">
        <v>5716914744</v>
      </c>
      <c r="L923">
        <v>5722278014</v>
      </c>
      <c r="M923">
        <v>4865053811</v>
      </c>
      <c r="N923">
        <v>4219719501</v>
      </c>
      <c r="O923">
        <v>3938512779</v>
      </c>
    </row>
    <row r="924" spans="1:15">
      <c r="A924" t="str">
        <f t="shared" si="13"/>
        <v>RS11KW</v>
      </c>
      <c r="B924" t="s">
        <v>687</v>
      </c>
      <c r="C924" t="s">
        <v>126</v>
      </c>
    </row>
    <row r="925" spans="1:15">
      <c r="A925" t="str">
        <f t="shared" si="13"/>
        <v>RS11N</v>
      </c>
      <c r="B925" t="s">
        <v>687</v>
      </c>
      <c r="C925" t="s">
        <v>127</v>
      </c>
      <c r="D925">
        <v>4065032</v>
      </c>
      <c r="E925">
        <v>4069240</v>
      </c>
      <c r="F925">
        <v>4075307</v>
      </c>
      <c r="G925">
        <v>4078633</v>
      </c>
      <c r="H925">
        <v>4079927</v>
      </c>
      <c r="I925">
        <v>4081488</v>
      </c>
      <c r="J925">
        <v>4087994</v>
      </c>
      <c r="K925">
        <v>4097153</v>
      </c>
      <c r="L925">
        <v>4109389</v>
      </c>
      <c r="M925">
        <v>4121208</v>
      </c>
      <c r="N925">
        <v>4127413</v>
      </c>
      <c r="O925">
        <v>4133492</v>
      </c>
    </row>
    <row r="926" spans="1:15">
      <c r="A926" t="str">
        <f t="shared" si="13"/>
        <v>RS11RLR ENERGY:</v>
      </c>
      <c r="B926" t="s">
        <v>687</v>
      </c>
      <c r="C926" t="s">
        <v>61</v>
      </c>
    </row>
    <row r="927" spans="1:15">
      <c r="A927" t="str">
        <f t="shared" si="13"/>
        <v>RS11KWH</v>
      </c>
      <c r="B927" t="s">
        <v>687</v>
      </c>
      <c r="C927" t="s">
        <v>128</v>
      </c>
      <c r="D927">
        <v>3854898868</v>
      </c>
      <c r="E927">
        <v>3476505327</v>
      </c>
      <c r="F927">
        <v>3502481624</v>
      </c>
      <c r="G927">
        <v>3878283075</v>
      </c>
      <c r="H927">
        <v>4439157429</v>
      </c>
      <c r="I927">
        <v>4884788501</v>
      </c>
      <c r="J927">
        <v>5400710213</v>
      </c>
      <c r="K927">
        <v>5716990634</v>
      </c>
      <c r="L927">
        <v>5722780526</v>
      </c>
      <c r="M927">
        <v>4865811236</v>
      </c>
      <c r="N927">
        <v>4221523243</v>
      </c>
      <c r="O927">
        <v>3938635150</v>
      </c>
    </row>
    <row r="928" spans="1:15">
      <c r="A928" t="str">
        <f t="shared" si="13"/>
        <v>RS11KWH ONPK</v>
      </c>
      <c r="B928" t="s">
        <v>687</v>
      </c>
      <c r="C928" t="s">
        <v>129</v>
      </c>
      <c r="D928">
        <v>996068354</v>
      </c>
      <c r="E928">
        <v>913390488</v>
      </c>
      <c r="F928">
        <v>882612205</v>
      </c>
      <c r="G928">
        <v>1348960192</v>
      </c>
      <c r="H928">
        <v>1461988355</v>
      </c>
      <c r="I928">
        <v>1507459383</v>
      </c>
      <c r="J928">
        <v>1802283997</v>
      </c>
      <c r="K928">
        <v>1899652536</v>
      </c>
      <c r="L928">
        <v>1772350849</v>
      </c>
      <c r="M928">
        <v>1711063578</v>
      </c>
      <c r="N928">
        <v>991081098</v>
      </c>
      <c r="O928">
        <v>939908806</v>
      </c>
    </row>
    <row r="929" spans="1:15">
      <c r="A929" t="str">
        <f t="shared" si="13"/>
        <v>RS11KWH OFFPK</v>
      </c>
      <c r="B929" t="s">
        <v>687</v>
      </c>
      <c r="C929" t="s">
        <v>130</v>
      </c>
      <c r="D929">
        <v>2858830514</v>
      </c>
      <c r="E929">
        <v>2563114838</v>
      </c>
      <c r="F929">
        <v>2619869419</v>
      </c>
      <c r="G929">
        <v>2529322883</v>
      </c>
      <c r="H929">
        <v>2977169074</v>
      </c>
      <c r="I929">
        <v>3377329117</v>
      </c>
      <c r="J929">
        <v>3598426216</v>
      </c>
      <c r="K929">
        <v>3817338098</v>
      </c>
      <c r="L929">
        <v>3950429677</v>
      </c>
      <c r="M929">
        <v>3154747658</v>
      </c>
      <c r="N929">
        <v>3230442145</v>
      </c>
      <c r="O929">
        <v>2998726343</v>
      </c>
    </row>
    <row r="930" spans="1:15">
      <c r="A930" t="str">
        <f t="shared" si="13"/>
        <v>RS11KWH ONPK%</v>
      </c>
      <c r="B930" t="s">
        <v>687</v>
      </c>
      <c r="C930" t="s">
        <v>131</v>
      </c>
      <c r="D930" s="5">
        <v>0.25839000000000001</v>
      </c>
      <c r="E930" s="5">
        <v>0.26273000000000002</v>
      </c>
      <c r="F930" s="5">
        <v>0.252</v>
      </c>
      <c r="G930" s="5">
        <v>0.34782000000000002</v>
      </c>
      <c r="H930" s="5">
        <v>0.32934000000000002</v>
      </c>
      <c r="I930" s="5">
        <v>0.30859999999999999</v>
      </c>
      <c r="J930" s="5">
        <v>0.33371000000000001</v>
      </c>
      <c r="K930" s="5">
        <v>0.33228000000000002</v>
      </c>
      <c r="L930" s="5">
        <v>0.30969999999999998</v>
      </c>
      <c r="M930" s="5">
        <v>0.35165000000000002</v>
      </c>
      <c r="N930" s="5">
        <v>0.23477000000000001</v>
      </c>
      <c r="O930" s="5">
        <v>0.23863999999999999</v>
      </c>
    </row>
    <row r="931" spans="1:15">
      <c r="A931" t="str">
        <f t="shared" si="13"/>
        <v>RS11KWH OFFPK%</v>
      </c>
      <c r="B931" t="s">
        <v>687</v>
      </c>
      <c r="C931" t="s">
        <v>132</v>
      </c>
      <c r="D931" s="5">
        <v>0.74160999999999999</v>
      </c>
      <c r="E931" s="5">
        <v>0.73726999999999998</v>
      </c>
      <c r="F931" s="5">
        <v>0.748</v>
      </c>
      <c r="G931" s="5">
        <v>0.65217999999999998</v>
      </c>
      <c r="H931" s="5">
        <v>0.67066000000000003</v>
      </c>
      <c r="I931" s="5">
        <v>0.69140000000000001</v>
      </c>
      <c r="J931" s="5">
        <v>0.66629000000000005</v>
      </c>
      <c r="K931" s="5">
        <v>0.66771999999999998</v>
      </c>
      <c r="L931" s="5">
        <v>0.69030000000000002</v>
      </c>
      <c r="M931" s="5">
        <v>0.64834999999999998</v>
      </c>
      <c r="N931" s="5">
        <v>0.76522999999999997</v>
      </c>
      <c r="O931" s="5">
        <v>0.76136000000000004</v>
      </c>
    </row>
    <row r="932" spans="1:15">
      <c r="A932" t="str">
        <f t="shared" si="13"/>
        <v>RS11DEMAND (KW):</v>
      </c>
      <c r="B932" t="s">
        <v>687</v>
      </c>
      <c r="C932" t="s">
        <v>62</v>
      </c>
    </row>
    <row r="933" spans="1:15">
      <c r="A933" t="str">
        <f t="shared" si="13"/>
        <v>RS11NCP</v>
      </c>
      <c r="B933" t="s">
        <v>687</v>
      </c>
      <c r="C933" t="s">
        <v>133</v>
      </c>
      <c r="D933">
        <v>27475476</v>
      </c>
      <c r="E933">
        <v>27923233</v>
      </c>
      <c r="F933">
        <v>27043129</v>
      </c>
      <c r="G933">
        <v>23406572</v>
      </c>
      <c r="H933">
        <v>24166010</v>
      </c>
      <c r="I933">
        <v>23029873</v>
      </c>
      <c r="J933">
        <v>25081511</v>
      </c>
      <c r="K933">
        <v>25459602</v>
      </c>
      <c r="L933">
        <v>28027482</v>
      </c>
      <c r="M933">
        <v>25502217</v>
      </c>
      <c r="N933">
        <v>27060209</v>
      </c>
      <c r="O933">
        <v>25722581</v>
      </c>
    </row>
    <row r="934" spans="1:15">
      <c r="A934" t="str">
        <f t="shared" si="13"/>
        <v>RS11NCP ONPK</v>
      </c>
      <c r="B934" t="s">
        <v>687</v>
      </c>
      <c r="C934" t="s">
        <v>134</v>
      </c>
      <c r="D934">
        <v>22918309</v>
      </c>
      <c r="E934">
        <v>23633507</v>
      </c>
      <c r="F934">
        <v>22821210</v>
      </c>
      <c r="G934">
        <v>21083839</v>
      </c>
      <c r="H934">
        <v>21711226</v>
      </c>
      <c r="I934">
        <v>20730393</v>
      </c>
      <c r="J934">
        <v>22815104</v>
      </c>
      <c r="K934">
        <v>23086236</v>
      </c>
      <c r="L934">
        <v>25004123</v>
      </c>
      <c r="M934">
        <v>22959271</v>
      </c>
      <c r="N934">
        <v>21743276</v>
      </c>
      <c r="O934">
        <v>21666049</v>
      </c>
    </row>
    <row r="935" spans="1:15">
      <c r="A935" t="str">
        <f t="shared" si="13"/>
        <v>RS11NCP OFFPK</v>
      </c>
      <c r="B935" t="s">
        <v>687</v>
      </c>
      <c r="C935" t="s">
        <v>135</v>
      </c>
      <c r="D935">
        <v>25902087</v>
      </c>
      <c r="E935">
        <v>26828085</v>
      </c>
      <c r="F935">
        <v>25844508</v>
      </c>
      <c r="G935">
        <v>21727913</v>
      </c>
      <c r="H935">
        <v>22880917</v>
      </c>
      <c r="I935">
        <v>21949528</v>
      </c>
      <c r="J935">
        <v>23804805</v>
      </c>
      <c r="K935">
        <v>23961347</v>
      </c>
      <c r="L935">
        <v>26593882</v>
      </c>
      <c r="M935">
        <v>24048215</v>
      </c>
      <c r="N935">
        <v>26313197</v>
      </c>
      <c r="O935">
        <v>24606564</v>
      </c>
    </row>
    <row r="936" spans="1:15">
      <c r="A936" t="str">
        <f t="shared" si="13"/>
        <v>RS11GCP DATE</v>
      </c>
      <c r="B936" t="s">
        <v>687</v>
      </c>
      <c r="C936" t="s">
        <v>136</v>
      </c>
      <c r="D936" t="s">
        <v>865</v>
      </c>
      <c r="E936" t="s">
        <v>276</v>
      </c>
      <c r="F936" t="s">
        <v>783</v>
      </c>
      <c r="G936" t="s">
        <v>866</v>
      </c>
      <c r="H936" t="s">
        <v>820</v>
      </c>
      <c r="I936" t="s">
        <v>760</v>
      </c>
      <c r="J936" t="s">
        <v>867</v>
      </c>
      <c r="K936" t="s">
        <v>868</v>
      </c>
      <c r="L936" t="s">
        <v>869</v>
      </c>
      <c r="M936" t="s">
        <v>801</v>
      </c>
      <c r="N936" t="s">
        <v>824</v>
      </c>
      <c r="O936" t="s">
        <v>840</v>
      </c>
    </row>
    <row r="937" spans="1:15">
      <c r="A937" t="str">
        <f t="shared" si="13"/>
        <v>RS11GCP TIME</v>
      </c>
      <c r="B937" t="s">
        <v>687</v>
      </c>
      <c r="C937" t="s">
        <v>142</v>
      </c>
      <c r="D937" t="s">
        <v>145</v>
      </c>
      <c r="E937" t="s">
        <v>144</v>
      </c>
      <c r="F937" t="s">
        <v>145</v>
      </c>
      <c r="G937" t="s">
        <v>195</v>
      </c>
      <c r="H937" t="s">
        <v>196</v>
      </c>
      <c r="I937" t="s">
        <v>196</v>
      </c>
      <c r="J937" t="s">
        <v>196</v>
      </c>
      <c r="K937" t="s">
        <v>195</v>
      </c>
      <c r="L937" t="s">
        <v>196</v>
      </c>
      <c r="M937" t="s">
        <v>195</v>
      </c>
      <c r="N937" t="s">
        <v>145</v>
      </c>
      <c r="O937" t="s">
        <v>193</v>
      </c>
    </row>
    <row r="938" spans="1:15">
      <c r="A938" t="str">
        <f t="shared" si="13"/>
        <v>RS11GCP</v>
      </c>
      <c r="B938" t="s">
        <v>687</v>
      </c>
      <c r="C938" t="s">
        <v>147</v>
      </c>
      <c r="D938">
        <v>8291154</v>
      </c>
      <c r="E938">
        <v>9241469</v>
      </c>
      <c r="F938">
        <v>8720911</v>
      </c>
      <c r="G938">
        <v>9049227</v>
      </c>
      <c r="H938">
        <v>10398686</v>
      </c>
      <c r="I938">
        <v>10930175</v>
      </c>
      <c r="J938">
        <v>11297498</v>
      </c>
      <c r="K938">
        <v>12065227</v>
      </c>
      <c r="L938">
        <v>12887259</v>
      </c>
      <c r="M938">
        <v>10915857</v>
      </c>
      <c r="N938">
        <v>9718972</v>
      </c>
      <c r="O938">
        <v>8585304</v>
      </c>
    </row>
    <row r="939" spans="1:15">
      <c r="A939" t="str">
        <f t="shared" si="13"/>
        <v>RS11GCP ONPK</v>
      </c>
      <c r="B939" t="s">
        <v>687</v>
      </c>
      <c r="C939" t="s">
        <v>63</v>
      </c>
      <c r="D939">
        <v>8034252</v>
      </c>
      <c r="E939">
        <v>9009082</v>
      </c>
      <c r="F939">
        <v>8597070</v>
      </c>
      <c r="G939">
        <v>8927037</v>
      </c>
      <c r="H939">
        <v>10398686</v>
      </c>
      <c r="I939">
        <v>10930175</v>
      </c>
      <c r="J939">
        <v>11297498</v>
      </c>
      <c r="K939">
        <v>11578314</v>
      </c>
      <c r="L939">
        <v>12216969</v>
      </c>
      <c r="M939">
        <v>10466559</v>
      </c>
      <c r="N939">
        <v>9207408</v>
      </c>
      <c r="O939">
        <v>8585304</v>
      </c>
    </row>
    <row r="940" spans="1:15">
      <c r="A940" t="str">
        <f t="shared" si="13"/>
        <v>RS11GCP OFFPK</v>
      </c>
      <c r="B940" t="s">
        <v>687</v>
      </c>
      <c r="C940" t="s">
        <v>64</v>
      </c>
      <c r="D940">
        <v>8291154</v>
      </c>
      <c r="E940">
        <v>9241469</v>
      </c>
      <c r="F940">
        <v>8720911</v>
      </c>
      <c r="G940">
        <v>9049227</v>
      </c>
      <c r="H940">
        <v>10046391</v>
      </c>
      <c r="I940">
        <v>10544600</v>
      </c>
      <c r="J940">
        <v>10924570</v>
      </c>
      <c r="K940">
        <v>12065227</v>
      </c>
      <c r="L940">
        <v>12887259</v>
      </c>
      <c r="M940">
        <v>10915857</v>
      </c>
      <c r="N940">
        <v>9718972</v>
      </c>
      <c r="O940">
        <v>8323902</v>
      </c>
    </row>
    <row r="941" spans="1:15">
      <c r="A941" t="str">
        <f t="shared" si="13"/>
        <v>RS11CP</v>
      </c>
      <c r="B941" t="s">
        <v>687</v>
      </c>
      <c r="C941" t="s">
        <v>148</v>
      </c>
      <c r="D941">
        <v>7502823</v>
      </c>
      <c r="E941">
        <v>7648044</v>
      </c>
      <c r="F941">
        <v>8597070</v>
      </c>
      <c r="G941">
        <v>8461719</v>
      </c>
      <c r="H941">
        <v>10319502</v>
      </c>
      <c r="I941">
        <v>10746876</v>
      </c>
      <c r="J941">
        <v>10588266</v>
      </c>
      <c r="K941">
        <v>11362260</v>
      </c>
      <c r="L941">
        <v>12216969</v>
      </c>
      <c r="M941">
        <v>10166633</v>
      </c>
      <c r="N941">
        <v>9647121</v>
      </c>
      <c r="O941">
        <v>8039326</v>
      </c>
    </row>
    <row r="942" spans="1:15">
      <c r="A942" t="str">
        <f t="shared" si="13"/>
        <v>RS11PERIOD START</v>
      </c>
      <c r="B942" t="s">
        <v>687</v>
      </c>
      <c r="C942" t="s">
        <v>149</v>
      </c>
      <c r="D942" s="1">
        <v>41275</v>
      </c>
      <c r="E942" s="1">
        <v>41306</v>
      </c>
      <c r="F942" s="1">
        <v>41334</v>
      </c>
      <c r="G942" s="1">
        <v>41365</v>
      </c>
      <c r="H942" s="1">
        <v>41395</v>
      </c>
      <c r="I942" s="1">
        <v>41426</v>
      </c>
      <c r="J942" s="1">
        <v>41456</v>
      </c>
      <c r="K942" s="1">
        <v>41487</v>
      </c>
      <c r="L942" s="1">
        <v>41518</v>
      </c>
      <c r="M942" s="1">
        <v>41548</v>
      </c>
      <c r="N942" s="1">
        <v>41579</v>
      </c>
      <c r="O942" s="1">
        <v>41609</v>
      </c>
    </row>
    <row r="943" spans="1:15">
      <c r="A943" t="str">
        <f t="shared" si="13"/>
        <v>RS11NCP LF</v>
      </c>
      <c r="B943" t="s">
        <v>687</v>
      </c>
      <c r="C943" t="s">
        <v>150</v>
      </c>
      <c r="D943" s="5">
        <v>0.18859999999999999</v>
      </c>
      <c r="E943" s="5">
        <v>0.18529999999999999</v>
      </c>
      <c r="F943" s="5">
        <v>0.1741</v>
      </c>
      <c r="G943" s="5">
        <v>0.2301</v>
      </c>
      <c r="H943" s="5">
        <v>0.24690000000000001</v>
      </c>
      <c r="I943" s="5">
        <v>0.29459999999999997</v>
      </c>
      <c r="J943" s="5">
        <v>0.28939999999999999</v>
      </c>
      <c r="K943" s="5">
        <v>0.30180000000000001</v>
      </c>
      <c r="L943" s="5">
        <v>0.28360000000000002</v>
      </c>
      <c r="M943" s="5">
        <v>0.25650000000000001</v>
      </c>
      <c r="N943" s="5">
        <v>0.2167</v>
      </c>
      <c r="O943" s="5">
        <v>0.20580000000000001</v>
      </c>
    </row>
    <row r="944" spans="1:15">
      <c r="A944" t="str">
        <f t="shared" si="13"/>
        <v>RS11NCP LF ONPK</v>
      </c>
      <c r="B944" t="s">
        <v>687</v>
      </c>
      <c r="C944" t="s">
        <v>151</v>
      </c>
      <c r="D944" s="5">
        <v>0.24690000000000001</v>
      </c>
      <c r="E944" s="5">
        <v>0.24160000000000001</v>
      </c>
      <c r="F944" s="5">
        <v>0.23019999999999999</v>
      </c>
      <c r="G944" s="5">
        <v>0.3231</v>
      </c>
      <c r="H944" s="5">
        <v>0.34010000000000001</v>
      </c>
      <c r="I944" s="5">
        <v>0.40400000000000003</v>
      </c>
      <c r="J944" s="5">
        <v>0.39900000000000002</v>
      </c>
      <c r="K944" s="5">
        <v>0.41560000000000002</v>
      </c>
      <c r="L944" s="5">
        <v>0.39379999999999998</v>
      </c>
      <c r="M944" s="5">
        <v>0.36</v>
      </c>
      <c r="N944" s="5">
        <v>0.28489999999999999</v>
      </c>
      <c r="O944" s="5">
        <v>0.25819999999999999</v>
      </c>
    </row>
    <row r="945" spans="1:15">
      <c r="A945" t="str">
        <f t="shared" si="13"/>
        <v>RS11NCP LF OFFPK</v>
      </c>
      <c r="B945" t="s">
        <v>687</v>
      </c>
      <c r="C945" t="s">
        <v>152</v>
      </c>
      <c r="D945" s="5">
        <v>0.1943</v>
      </c>
      <c r="E945" s="5">
        <v>0.18659999999999999</v>
      </c>
      <c r="F945" s="5">
        <v>0.17599999999999999</v>
      </c>
      <c r="G945" s="5">
        <v>0.223</v>
      </c>
      <c r="H945" s="5">
        <v>0.23830000000000001</v>
      </c>
      <c r="I945" s="5">
        <v>0.28489999999999999</v>
      </c>
      <c r="J945" s="5">
        <v>0.27689999999999998</v>
      </c>
      <c r="K945" s="5">
        <v>0.2918</v>
      </c>
      <c r="L945" s="5">
        <v>0.27510000000000001</v>
      </c>
      <c r="M945" s="5">
        <v>0.24429999999999999</v>
      </c>
      <c r="N945" s="5">
        <v>0.21920000000000001</v>
      </c>
      <c r="O945" s="5">
        <v>0.21160000000000001</v>
      </c>
    </row>
    <row r="946" spans="1:15">
      <c r="A946" t="str">
        <f t="shared" si="13"/>
        <v>RS11GCP CF</v>
      </c>
      <c r="B946" t="s">
        <v>687</v>
      </c>
      <c r="C946" t="s">
        <v>153</v>
      </c>
      <c r="D946" s="5">
        <v>0.30180000000000001</v>
      </c>
      <c r="E946" s="5">
        <v>0.33100000000000002</v>
      </c>
      <c r="F946" s="5">
        <v>0.32250000000000001</v>
      </c>
      <c r="G946" s="5">
        <v>0.3866</v>
      </c>
      <c r="H946" s="5">
        <v>0.43030000000000002</v>
      </c>
      <c r="I946" s="5">
        <v>0.47460000000000002</v>
      </c>
      <c r="J946" s="5">
        <v>0.45040000000000002</v>
      </c>
      <c r="K946" s="5">
        <v>0.47389999999999999</v>
      </c>
      <c r="L946" s="5">
        <v>0.45979999999999999</v>
      </c>
      <c r="M946" s="5">
        <v>0.42799999999999999</v>
      </c>
      <c r="N946" s="5">
        <v>0.35920000000000002</v>
      </c>
      <c r="O946" s="5">
        <v>0.33379999999999999</v>
      </c>
    </row>
    <row r="947" spans="1:15">
      <c r="A947" t="str">
        <f t="shared" si="13"/>
        <v>RS11CP CF</v>
      </c>
      <c r="B947" t="s">
        <v>687</v>
      </c>
      <c r="C947" t="s">
        <v>154</v>
      </c>
      <c r="D947" s="5">
        <v>0.27310000000000001</v>
      </c>
      <c r="E947" s="5">
        <v>0.27389999999999998</v>
      </c>
      <c r="F947" s="5">
        <v>0.31790000000000002</v>
      </c>
      <c r="G947" s="5">
        <v>0.36149999999999999</v>
      </c>
      <c r="H947" s="5">
        <v>0.42699999999999999</v>
      </c>
      <c r="I947" s="5">
        <v>0.46660000000000001</v>
      </c>
      <c r="J947" s="5">
        <v>0.42220000000000002</v>
      </c>
      <c r="K947" s="5">
        <v>0.44629999999999997</v>
      </c>
      <c r="L947" s="5">
        <v>0.43590000000000001</v>
      </c>
      <c r="M947" s="5">
        <v>0.3987</v>
      </c>
      <c r="N947" s="5">
        <v>0.35649999999999998</v>
      </c>
      <c r="O947" s="5">
        <v>0.3125</v>
      </c>
    </row>
    <row r="948" spans="1:15">
      <c r="A948" t="str">
        <f t="shared" si="13"/>
        <v>RS11GCP LF</v>
      </c>
      <c r="B948" t="s">
        <v>687</v>
      </c>
      <c r="C948" t="s">
        <v>155</v>
      </c>
      <c r="D948" s="5">
        <v>0.62490000000000001</v>
      </c>
      <c r="E948" s="5">
        <v>0.55979999999999996</v>
      </c>
      <c r="F948" s="5">
        <v>0.53979999999999995</v>
      </c>
      <c r="G948" s="5">
        <v>0.59519999999999995</v>
      </c>
      <c r="H948" s="5">
        <v>0.57379999999999998</v>
      </c>
      <c r="I948" s="5">
        <v>0.62070000000000003</v>
      </c>
      <c r="J948" s="5">
        <v>0.64249999999999996</v>
      </c>
      <c r="K948" s="5">
        <v>0.63690000000000002</v>
      </c>
      <c r="L948" s="5">
        <v>0.61680000000000001</v>
      </c>
      <c r="M948" s="5">
        <v>0.59909999999999997</v>
      </c>
      <c r="N948" s="5">
        <v>0.60329999999999995</v>
      </c>
      <c r="O948" s="5">
        <v>0.61660000000000004</v>
      </c>
    </row>
    <row r="949" spans="1:15">
      <c r="A949" t="str">
        <f t="shared" ref="A949:A1012" si="14">B949&amp;C949</f>
        <v>RS11GCP LF ONPK</v>
      </c>
      <c r="B949" t="s">
        <v>687</v>
      </c>
      <c r="C949" t="s">
        <v>156</v>
      </c>
      <c r="D949" s="5">
        <v>0.70440000000000003</v>
      </c>
      <c r="E949" s="5">
        <v>0.63370000000000004</v>
      </c>
      <c r="F949" s="5">
        <v>0.61109999999999998</v>
      </c>
      <c r="G949" s="5">
        <v>0.76319999999999999</v>
      </c>
      <c r="H949" s="5">
        <v>0.71009999999999995</v>
      </c>
      <c r="I949" s="5">
        <v>0.76619999999999999</v>
      </c>
      <c r="J949" s="5">
        <v>0.80569999999999997</v>
      </c>
      <c r="K949" s="5">
        <v>0.8286</v>
      </c>
      <c r="L949" s="5">
        <v>0.80600000000000005</v>
      </c>
      <c r="M949" s="5">
        <v>0.78979999999999995</v>
      </c>
      <c r="N949" s="5">
        <v>0.67269999999999996</v>
      </c>
      <c r="O949" s="5">
        <v>0.65169999999999995</v>
      </c>
    </row>
    <row r="950" spans="1:15">
      <c r="A950" t="str">
        <f t="shared" si="14"/>
        <v>RS11GCP LF OFFPK</v>
      </c>
      <c r="B950" t="s">
        <v>687</v>
      </c>
      <c r="C950" t="s">
        <v>157</v>
      </c>
      <c r="D950" s="5">
        <v>0.60709999999999997</v>
      </c>
      <c r="E950" s="5">
        <v>0.54169999999999996</v>
      </c>
      <c r="F950" s="5">
        <v>0.52149999999999996</v>
      </c>
      <c r="G950" s="5">
        <v>0.53549999999999998</v>
      </c>
      <c r="H950" s="5">
        <v>0.54279999999999995</v>
      </c>
      <c r="I950" s="5">
        <v>0.59309999999999996</v>
      </c>
      <c r="J950" s="5">
        <v>0.60329999999999995</v>
      </c>
      <c r="K950" s="5">
        <v>0.57950000000000002</v>
      </c>
      <c r="L950" s="5">
        <v>0.56769999999999998</v>
      </c>
      <c r="M950" s="5">
        <v>0.53820000000000001</v>
      </c>
      <c r="N950" s="5">
        <v>0.59350000000000003</v>
      </c>
      <c r="O950" s="5">
        <v>0.62539999999999996</v>
      </c>
    </row>
    <row r="951" spans="1:15">
      <c r="A951" t="str">
        <f t="shared" si="14"/>
        <v>RS11CP LF</v>
      </c>
      <c r="B951" t="s">
        <v>687</v>
      </c>
      <c r="C951" t="s">
        <v>158</v>
      </c>
      <c r="D951" s="5">
        <v>0.69059999999999999</v>
      </c>
      <c r="E951" s="5">
        <v>0.6764</v>
      </c>
      <c r="F951" s="5">
        <v>0.54759999999999998</v>
      </c>
      <c r="G951" s="5">
        <v>0.63660000000000005</v>
      </c>
      <c r="H951" s="5">
        <v>0.57820000000000005</v>
      </c>
      <c r="I951" s="5">
        <v>0.63129999999999997</v>
      </c>
      <c r="J951" s="5">
        <v>0.68559999999999999</v>
      </c>
      <c r="K951" s="5">
        <v>0.67630000000000001</v>
      </c>
      <c r="L951" s="5">
        <v>0.65059999999999996</v>
      </c>
      <c r="M951" s="5">
        <v>0.64329999999999998</v>
      </c>
      <c r="N951" s="5">
        <v>0.60780000000000001</v>
      </c>
      <c r="O951" s="5">
        <v>0.65849999999999997</v>
      </c>
    </row>
    <row r="952" spans="1:15">
      <c r="A952" t="str">
        <f t="shared" si="14"/>
        <v>RS11REL PREC:</v>
      </c>
      <c r="B952" t="s">
        <v>687</v>
      </c>
      <c r="C952" t="s">
        <v>65</v>
      </c>
    </row>
    <row r="953" spans="1:15">
      <c r="A953" t="str">
        <f t="shared" si="14"/>
        <v>RS11NCP RP</v>
      </c>
      <c r="B953" t="s">
        <v>687</v>
      </c>
      <c r="C953" t="s">
        <v>159</v>
      </c>
      <c r="D953" s="5">
        <v>3.1699999999999999E-2</v>
      </c>
      <c r="E953" s="5">
        <v>3.0499999999999999E-2</v>
      </c>
      <c r="F953" s="5">
        <v>3.3700000000000001E-2</v>
      </c>
      <c r="G953" s="5">
        <v>3.0099999999999998E-2</v>
      </c>
      <c r="H953" s="5">
        <v>2.92E-2</v>
      </c>
      <c r="I953" s="5">
        <v>3.04E-2</v>
      </c>
      <c r="J953" s="5">
        <v>2.5100000000000001E-2</v>
      </c>
      <c r="K953" s="5">
        <v>2.7400000000000001E-2</v>
      </c>
      <c r="L953" s="5">
        <v>2.3800000000000002E-2</v>
      </c>
      <c r="M953" s="5">
        <v>2.6599999999999999E-2</v>
      </c>
      <c r="N953" s="5">
        <v>2.7799999999999998E-2</v>
      </c>
      <c r="O953" s="5">
        <v>2.9399999999999999E-2</v>
      </c>
    </row>
    <row r="954" spans="1:15">
      <c r="A954" t="str">
        <f t="shared" si="14"/>
        <v>RS11NCP RP ONPK</v>
      </c>
      <c r="B954" t="s">
        <v>687</v>
      </c>
      <c r="C954" t="s">
        <v>160</v>
      </c>
      <c r="D954" s="5">
        <v>3.5999999999999997E-2</v>
      </c>
      <c r="E954" s="5">
        <v>3.1800000000000002E-2</v>
      </c>
      <c r="F954" s="5">
        <v>3.5099999999999999E-2</v>
      </c>
      <c r="G954" s="5">
        <v>0.03</v>
      </c>
      <c r="H954" s="5">
        <v>2.8799999999999999E-2</v>
      </c>
      <c r="I954" s="5">
        <v>2.9600000000000001E-2</v>
      </c>
      <c r="J954" s="5">
        <v>2.5000000000000001E-2</v>
      </c>
      <c r="K954" s="5">
        <v>2.7099999999999999E-2</v>
      </c>
      <c r="L954" s="5">
        <v>2.3599999999999999E-2</v>
      </c>
      <c r="M954" s="5">
        <v>2.64E-2</v>
      </c>
      <c r="N954" s="5">
        <v>2.9100000000000001E-2</v>
      </c>
      <c r="O954" s="5">
        <v>3.1E-2</v>
      </c>
    </row>
    <row r="955" spans="1:15">
      <c r="A955" t="str">
        <f t="shared" si="14"/>
        <v>RS11NCP RP OFFPK</v>
      </c>
      <c r="B955" t="s">
        <v>687</v>
      </c>
      <c r="C955" t="s">
        <v>161</v>
      </c>
      <c r="D955" s="5">
        <v>2.9899999999999999E-2</v>
      </c>
      <c r="E955" s="5">
        <v>3.15E-2</v>
      </c>
      <c r="F955" s="5">
        <v>3.2800000000000003E-2</v>
      </c>
      <c r="G955" s="5">
        <v>3.0700000000000002E-2</v>
      </c>
      <c r="H955" s="5">
        <v>2.92E-2</v>
      </c>
      <c r="I955" s="5">
        <v>3.1E-2</v>
      </c>
      <c r="J955" s="5">
        <v>2.6100000000000002E-2</v>
      </c>
      <c r="K955" s="5">
        <v>2.7900000000000001E-2</v>
      </c>
      <c r="L955" s="5">
        <v>2.47E-2</v>
      </c>
      <c r="M955" s="5">
        <v>2.6700000000000002E-2</v>
      </c>
      <c r="N955" s="5">
        <v>2.7199999999999998E-2</v>
      </c>
      <c r="O955" s="5">
        <v>2.8799999999999999E-2</v>
      </c>
    </row>
    <row r="956" spans="1:15">
      <c r="A956" t="str">
        <f t="shared" si="14"/>
        <v>RS11GCP RP</v>
      </c>
      <c r="B956" t="s">
        <v>687</v>
      </c>
      <c r="C956" t="s">
        <v>162</v>
      </c>
      <c r="D956" s="5">
        <v>5.0099999999999999E-2</v>
      </c>
      <c r="E956" s="5">
        <v>5.0900000000000001E-2</v>
      </c>
      <c r="F956" s="5">
        <v>5.7500000000000002E-2</v>
      </c>
      <c r="G956" s="5">
        <v>4.8800000000000003E-2</v>
      </c>
      <c r="H956" s="5">
        <v>4.0800000000000003E-2</v>
      </c>
      <c r="I956" s="5">
        <v>3.6799999999999999E-2</v>
      </c>
      <c r="J956" s="5">
        <v>3.8399999999999997E-2</v>
      </c>
      <c r="K956" s="5">
        <v>3.6900000000000002E-2</v>
      </c>
      <c r="L956" s="5">
        <v>3.1399999999999997E-2</v>
      </c>
      <c r="M956" s="5">
        <v>3.5400000000000001E-2</v>
      </c>
      <c r="N956" s="5">
        <v>4.3499999999999997E-2</v>
      </c>
      <c r="O956" s="5">
        <v>4.9399999999999999E-2</v>
      </c>
    </row>
    <row r="957" spans="1:15">
      <c r="A957" t="str">
        <f t="shared" si="14"/>
        <v>RS11GCP RP ONPK</v>
      </c>
      <c r="B957" t="s">
        <v>687</v>
      </c>
      <c r="C957" t="s">
        <v>163</v>
      </c>
      <c r="D957" s="5">
        <v>4.9299999999999997E-2</v>
      </c>
      <c r="E957" s="5">
        <v>9.2600000000000002E-2</v>
      </c>
      <c r="F957" s="5">
        <v>8.3299999999999999E-2</v>
      </c>
      <c r="G957" s="5">
        <v>4.6399999999999997E-2</v>
      </c>
      <c r="H957" s="5">
        <v>4.0800000000000003E-2</v>
      </c>
      <c r="I957" s="5">
        <v>3.6799999999999999E-2</v>
      </c>
      <c r="J957" s="5">
        <v>3.8399999999999997E-2</v>
      </c>
      <c r="K957" s="5">
        <v>3.27E-2</v>
      </c>
      <c r="L957" s="5">
        <v>3.3599999999999998E-2</v>
      </c>
      <c r="M957" s="5">
        <v>4.0500000000000001E-2</v>
      </c>
      <c r="N957" s="5">
        <v>4.41E-2</v>
      </c>
      <c r="O957" s="5">
        <v>4.9399999999999999E-2</v>
      </c>
    </row>
    <row r="958" spans="1:15">
      <c r="A958" t="str">
        <f t="shared" si="14"/>
        <v>RS11GCP RP OFFPK</v>
      </c>
      <c r="B958" t="s">
        <v>687</v>
      </c>
      <c r="C958" t="s">
        <v>164</v>
      </c>
      <c r="D958" s="5">
        <v>5.0099999999999999E-2</v>
      </c>
      <c r="E958" s="5">
        <v>5.0900000000000001E-2</v>
      </c>
      <c r="F958" s="5">
        <v>5.7500000000000002E-2</v>
      </c>
      <c r="G958" s="5">
        <v>4.8800000000000003E-2</v>
      </c>
      <c r="H958" s="5">
        <v>4.7199999999999999E-2</v>
      </c>
      <c r="I958" s="5">
        <v>4.0500000000000001E-2</v>
      </c>
      <c r="J958" s="5">
        <v>3.6200000000000003E-2</v>
      </c>
      <c r="K958" s="5">
        <v>3.6900000000000002E-2</v>
      </c>
      <c r="L958" s="5">
        <v>3.1399999999999997E-2</v>
      </c>
      <c r="M958" s="5">
        <v>3.5400000000000001E-2</v>
      </c>
      <c r="N958" s="5">
        <v>4.3499999999999997E-2</v>
      </c>
      <c r="O958" s="5">
        <v>4.7399999999999998E-2</v>
      </c>
    </row>
    <row r="959" spans="1:15">
      <c r="A959" t="str">
        <f t="shared" si="14"/>
        <v>RS11CP RP</v>
      </c>
      <c r="B959" t="s">
        <v>687</v>
      </c>
      <c r="C959" t="s">
        <v>165</v>
      </c>
      <c r="D959" s="5">
        <v>4.9000000000000002E-2</v>
      </c>
      <c r="E959" s="5">
        <v>5.1999999999999998E-2</v>
      </c>
      <c r="F959" s="5">
        <v>8.3299999999999999E-2</v>
      </c>
      <c r="G959" s="5">
        <v>4.4600000000000001E-2</v>
      </c>
      <c r="H959" s="5">
        <v>4.2999999999999997E-2</v>
      </c>
      <c r="I959" s="5">
        <v>3.5799999999999998E-2</v>
      </c>
      <c r="J959" s="5">
        <v>3.9199999999999999E-2</v>
      </c>
      <c r="K959" s="5">
        <v>3.3700000000000001E-2</v>
      </c>
      <c r="L959" s="5">
        <v>3.3599999999999998E-2</v>
      </c>
      <c r="M959" s="5">
        <v>4.2799999999999998E-2</v>
      </c>
      <c r="N959" s="5">
        <v>4.1700000000000001E-2</v>
      </c>
      <c r="O959" s="5">
        <v>4.7100000000000003E-2</v>
      </c>
    </row>
    <row r="960" spans="1:15">
      <c r="A960" t="str">
        <f t="shared" si="14"/>
        <v>RS11SAMPLE SIZE:</v>
      </c>
      <c r="B960" t="s">
        <v>687</v>
      </c>
      <c r="C960" t="s">
        <v>66</v>
      </c>
    </row>
    <row r="961" spans="1:15">
      <c r="A961" t="str">
        <f t="shared" si="14"/>
        <v>RS11GCPSZ</v>
      </c>
      <c r="B961" t="s">
        <v>687</v>
      </c>
      <c r="C961" t="s">
        <v>166</v>
      </c>
      <c r="D961">
        <v>365</v>
      </c>
      <c r="E961">
        <v>367</v>
      </c>
      <c r="F961">
        <v>370</v>
      </c>
      <c r="G961">
        <v>363</v>
      </c>
      <c r="H961">
        <v>369</v>
      </c>
      <c r="I961">
        <v>372</v>
      </c>
      <c r="J961">
        <v>368</v>
      </c>
      <c r="K961">
        <v>366</v>
      </c>
      <c r="L961">
        <v>364</v>
      </c>
      <c r="M961">
        <v>364</v>
      </c>
      <c r="N961">
        <v>369</v>
      </c>
      <c r="O961">
        <v>374</v>
      </c>
    </row>
    <row r="962" spans="1:15">
      <c r="A962" t="str">
        <f t="shared" si="14"/>
        <v>RS11GCPSZ ONPK</v>
      </c>
      <c r="B962" t="s">
        <v>687</v>
      </c>
      <c r="C962" t="s">
        <v>167</v>
      </c>
      <c r="D962">
        <v>365</v>
      </c>
      <c r="E962">
        <v>367</v>
      </c>
      <c r="F962">
        <v>370</v>
      </c>
      <c r="G962">
        <v>363</v>
      </c>
      <c r="H962">
        <v>369</v>
      </c>
      <c r="I962">
        <v>372</v>
      </c>
      <c r="J962">
        <v>368</v>
      </c>
      <c r="K962">
        <v>366</v>
      </c>
      <c r="L962">
        <v>364</v>
      </c>
      <c r="M962">
        <v>364</v>
      </c>
      <c r="N962">
        <v>369</v>
      </c>
      <c r="O962">
        <v>374</v>
      </c>
    </row>
    <row r="963" spans="1:15">
      <c r="A963" t="str">
        <f t="shared" si="14"/>
        <v>RS11GCPSZ OFFPK</v>
      </c>
      <c r="B963" t="s">
        <v>687</v>
      </c>
      <c r="C963" t="s">
        <v>168</v>
      </c>
      <c r="D963">
        <v>365</v>
      </c>
      <c r="E963">
        <v>367</v>
      </c>
      <c r="F963">
        <v>370</v>
      </c>
      <c r="G963">
        <v>363</v>
      </c>
      <c r="H963">
        <v>369</v>
      </c>
      <c r="I963">
        <v>372</v>
      </c>
      <c r="J963">
        <v>368</v>
      </c>
      <c r="K963">
        <v>366</v>
      </c>
      <c r="L963">
        <v>364</v>
      </c>
      <c r="M963">
        <v>364</v>
      </c>
      <c r="N963">
        <v>369</v>
      </c>
      <c r="O963">
        <v>374</v>
      </c>
    </row>
    <row r="964" spans="1:15">
      <c r="A964" t="str">
        <f t="shared" si="14"/>
        <v>RS11CPSZ</v>
      </c>
      <c r="B964" t="s">
        <v>687</v>
      </c>
      <c r="C964" t="s">
        <v>169</v>
      </c>
      <c r="D964">
        <v>365</v>
      </c>
      <c r="E964">
        <v>367</v>
      </c>
      <c r="F964">
        <v>370</v>
      </c>
      <c r="G964">
        <v>363</v>
      </c>
      <c r="H964">
        <v>369</v>
      </c>
      <c r="I964">
        <v>372</v>
      </c>
      <c r="J964">
        <v>368</v>
      </c>
      <c r="K964">
        <v>366</v>
      </c>
      <c r="L964">
        <v>364</v>
      </c>
      <c r="M964">
        <v>364</v>
      </c>
      <c r="N964">
        <v>369</v>
      </c>
      <c r="O964">
        <v>374</v>
      </c>
    </row>
    <row r="965" spans="1:15">
      <c r="A965" t="str">
        <f t="shared" si="14"/>
        <v/>
      </c>
    </row>
    <row r="966" spans="1:15">
      <c r="A966" t="str">
        <f t="shared" si="14"/>
        <v>NOTE:  January to June is Rate Code 44 and 45. July has Rate Code 44, 45 and 145.  August to December has Rate Code 44 and 145.</v>
      </c>
      <c r="B966" t="s">
        <v>870</v>
      </c>
    </row>
    <row r="967" spans="1:15">
      <c r="A967" t="str">
        <f t="shared" si="14"/>
        <v xml:space="preserve">RS11 RS(T)-1 Residential Service 1 with TOU included (Sampled) </v>
      </c>
      <c r="B967" t="s">
        <v>686</v>
      </c>
      <c r="C967" t="s">
        <v>28</v>
      </c>
    </row>
    <row r="968" spans="1:15">
      <c r="A968" t="str">
        <f t="shared" si="14"/>
        <v xml:space="preserve">RS11MONTH </v>
      </c>
      <c r="B968" t="s">
        <v>687</v>
      </c>
      <c r="C968" t="s">
        <v>123</v>
      </c>
      <c r="D968" s="4">
        <v>41275</v>
      </c>
      <c r="E968" s="4">
        <v>41306</v>
      </c>
      <c r="F968" s="4">
        <v>41334</v>
      </c>
      <c r="G968" s="4">
        <v>41365</v>
      </c>
      <c r="H968" s="4">
        <v>41395</v>
      </c>
      <c r="I968" s="4">
        <v>41426</v>
      </c>
      <c r="J968" s="4">
        <v>41456</v>
      </c>
      <c r="K968" s="4">
        <v>41487</v>
      </c>
      <c r="L968" s="4">
        <v>41518</v>
      </c>
      <c r="M968" s="4">
        <v>41548</v>
      </c>
      <c r="N968" s="4">
        <v>41579</v>
      </c>
      <c r="O968" s="4">
        <v>41609</v>
      </c>
    </row>
    <row r="969" spans="1:15">
      <c r="A969" t="str">
        <f t="shared" si="14"/>
        <v/>
      </c>
    </row>
    <row r="970" spans="1:15">
      <c r="A970" t="str">
        <f t="shared" si="14"/>
        <v>RS11SDR GCP</v>
      </c>
      <c r="B970" t="s">
        <v>687</v>
      </c>
      <c r="C970" t="s">
        <v>171</v>
      </c>
      <c r="D970">
        <v>0.65600000000000003</v>
      </c>
      <c r="E970">
        <v>0.73599999999999999</v>
      </c>
      <c r="F970">
        <v>0.78</v>
      </c>
      <c r="G970">
        <v>0.68500000000000005</v>
      </c>
      <c r="H970">
        <v>0.67700000000000005</v>
      </c>
      <c r="I970">
        <v>0.64400000000000002</v>
      </c>
      <c r="J970">
        <v>0.70099999999999996</v>
      </c>
      <c r="K970">
        <v>0.69399999999999995</v>
      </c>
      <c r="L970">
        <v>0.63900000000000001</v>
      </c>
      <c r="M970">
        <v>0.60399999999999998</v>
      </c>
      <c r="N970">
        <v>0.66600000000000004</v>
      </c>
      <c r="O970">
        <v>0.67400000000000004</v>
      </c>
    </row>
    <row r="971" spans="1:15">
      <c r="A971" t="str">
        <f t="shared" si="14"/>
        <v>RS11SDR GCP ONPK</v>
      </c>
      <c r="B971" t="s">
        <v>687</v>
      </c>
      <c r="C971" t="s">
        <v>172</v>
      </c>
      <c r="D971">
        <v>0.61899999999999999</v>
      </c>
      <c r="E971">
        <v>1.3320000000000001</v>
      </c>
      <c r="F971">
        <v>1.1279999999999999</v>
      </c>
      <c r="G971">
        <v>0.65400000000000003</v>
      </c>
      <c r="H971">
        <v>0.67700000000000005</v>
      </c>
      <c r="I971">
        <v>0.64400000000000002</v>
      </c>
      <c r="J971">
        <v>0.70099999999999996</v>
      </c>
      <c r="K971">
        <v>0.60399999999999998</v>
      </c>
      <c r="L971">
        <v>0.65200000000000002</v>
      </c>
      <c r="M971">
        <v>0.66500000000000004</v>
      </c>
      <c r="N971">
        <v>0.63200000000000001</v>
      </c>
      <c r="O971">
        <v>0.67400000000000004</v>
      </c>
    </row>
    <row r="972" spans="1:15">
      <c r="A972" t="str">
        <f t="shared" si="14"/>
        <v>RS11SDR GCP OFFP</v>
      </c>
      <c r="B972" t="s">
        <v>687</v>
      </c>
      <c r="C972" t="s">
        <v>219</v>
      </c>
      <c r="D972">
        <v>0.65600000000000003</v>
      </c>
      <c r="E972">
        <v>0.73599999999999999</v>
      </c>
      <c r="F972">
        <v>0.78</v>
      </c>
      <c r="G972">
        <v>0.68500000000000005</v>
      </c>
      <c r="H972">
        <v>0.752</v>
      </c>
      <c r="I972">
        <v>0.67800000000000005</v>
      </c>
      <c r="J972">
        <v>0.625</v>
      </c>
      <c r="K972">
        <v>0.69399999999999995</v>
      </c>
      <c r="L972">
        <v>0.63900000000000001</v>
      </c>
      <c r="M972">
        <v>0.60399999999999998</v>
      </c>
      <c r="N972">
        <v>0.66600000000000004</v>
      </c>
      <c r="O972">
        <v>0.627</v>
      </c>
    </row>
    <row r="973" spans="1:15">
      <c r="A973" t="str">
        <f t="shared" si="14"/>
        <v>RS11SDR CP</v>
      </c>
      <c r="B973" t="s">
        <v>687</v>
      </c>
      <c r="C973" t="s">
        <v>174</v>
      </c>
      <c r="D973">
        <v>0.58599999999999997</v>
      </c>
      <c r="E973">
        <v>0.628</v>
      </c>
      <c r="F973">
        <v>1.1279999999999999</v>
      </c>
      <c r="G973">
        <v>0.59899999999999998</v>
      </c>
      <c r="H973">
        <v>0.71899999999999997</v>
      </c>
      <c r="I973">
        <v>0.61099999999999999</v>
      </c>
      <c r="J973">
        <v>0.65200000000000002</v>
      </c>
      <c r="K973">
        <v>0.62</v>
      </c>
      <c r="L973">
        <v>0.65200000000000002</v>
      </c>
      <c r="M973">
        <v>0.68200000000000005</v>
      </c>
      <c r="N973">
        <v>0.64100000000000001</v>
      </c>
      <c r="O973">
        <v>0.59499999999999997</v>
      </c>
    </row>
    <row r="974" spans="1:15">
      <c r="A974" t="str">
        <f t="shared" si="14"/>
        <v/>
      </c>
    </row>
    <row r="975" spans="1:15">
      <c r="A975" t="str">
        <f t="shared" si="14"/>
        <v>RS11I   SDR GCP</v>
      </c>
      <c r="B975" t="s">
        <v>687</v>
      </c>
      <c r="C975" t="s">
        <v>220</v>
      </c>
      <c r="D975">
        <v>0.86299999999999999</v>
      </c>
      <c r="E975">
        <v>0.93200000000000005</v>
      </c>
      <c r="F975">
        <v>1.0549999999999999</v>
      </c>
      <c r="G975">
        <v>0.89500000000000002</v>
      </c>
      <c r="H975">
        <v>0.86099999999999999</v>
      </c>
      <c r="I975">
        <v>0.77600000000000002</v>
      </c>
      <c r="J975">
        <v>0.748</v>
      </c>
      <c r="K975">
        <v>0.96699999999999997</v>
      </c>
      <c r="L975">
        <v>0.73099999999999998</v>
      </c>
      <c r="M975">
        <v>0.86099999999999999</v>
      </c>
      <c r="N975">
        <v>0.79400000000000004</v>
      </c>
      <c r="O975">
        <v>0.81699999999999995</v>
      </c>
    </row>
    <row r="976" spans="1:15">
      <c r="A976" t="str">
        <f t="shared" si="14"/>
        <v>RS11I   SDR GCP ONPK</v>
      </c>
      <c r="B976" t="s">
        <v>687</v>
      </c>
      <c r="C976" t="s">
        <v>221</v>
      </c>
      <c r="D976">
        <v>0.90900000000000003</v>
      </c>
      <c r="E976">
        <v>1.772</v>
      </c>
      <c r="F976">
        <v>1.004</v>
      </c>
      <c r="G976">
        <v>0.79100000000000004</v>
      </c>
      <c r="H976">
        <v>0.86099999999999999</v>
      </c>
      <c r="I976">
        <v>0.77600000000000002</v>
      </c>
      <c r="J976">
        <v>0.748</v>
      </c>
      <c r="K976">
        <v>0.63800000000000001</v>
      </c>
      <c r="L976">
        <v>0.89100000000000001</v>
      </c>
      <c r="M976">
        <v>0.82799999999999996</v>
      </c>
      <c r="N976">
        <v>0.82899999999999996</v>
      </c>
      <c r="O976">
        <v>0.81699999999999995</v>
      </c>
    </row>
    <row r="977" spans="1:15">
      <c r="A977" t="str">
        <f t="shared" si="14"/>
        <v>RS11I   SDR GCP OFFPK</v>
      </c>
      <c r="B977" t="s">
        <v>687</v>
      </c>
      <c r="C977" t="s">
        <v>222</v>
      </c>
      <c r="D977">
        <v>0.86299999999999999</v>
      </c>
      <c r="E977">
        <v>0.93200000000000005</v>
      </c>
      <c r="F977">
        <v>1.0549999999999999</v>
      </c>
      <c r="G977">
        <v>0.89500000000000002</v>
      </c>
      <c r="H977">
        <v>0.94099999999999995</v>
      </c>
      <c r="I977">
        <v>0.81</v>
      </c>
      <c r="J977">
        <v>0.82399999999999995</v>
      </c>
      <c r="K977">
        <v>0.96699999999999997</v>
      </c>
      <c r="L977">
        <v>0.73099999999999998</v>
      </c>
      <c r="M977">
        <v>0.86099999999999999</v>
      </c>
      <c r="N977">
        <v>0.79400000000000004</v>
      </c>
      <c r="O977">
        <v>0.67800000000000005</v>
      </c>
    </row>
    <row r="978" spans="1:15">
      <c r="A978" t="str">
        <f t="shared" si="14"/>
        <v>RS11I   SDR CP</v>
      </c>
      <c r="B978" t="s">
        <v>687</v>
      </c>
      <c r="C978" t="s">
        <v>638</v>
      </c>
      <c r="D978">
        <v>0.63700000000000001</v>
      </c>
      <c r="E978">
        <v>0.81499999999999995</v>
      </c>
      <c r="F978">
        <v>1.004</v>
      </c>
      <c r="G978">
        <v>0.70099999999999996</v>
      </c>
      <c r="H978">
        <v>0.82299999999999995</v>
      </c>
      <c r="I978">
        <v>0.76900000000000002</v>
      </c>
      <c r="J978">
        <v>0.85699999999999998</v>
      </c>
      <c r="K978">
        <v>0.65500000000000003</v>
      </c>
      <c r="L978">
        <v>0.89100000000000001</v>
      </c>
      <c r="M978">
        <v>0.85099999999999998</v>
      </c>
      <c r="N978">
        <v>0.69899999999999995</v>
      </c>
      <c r="O978">
        <v>0.73599999999999999</v>
      </c>
    </row>
    <row r="979" spans="1:15">
      <c r="A979" t="str">
        <f t="shared" si="14"/>
        <v/>
      </c>
    </row>
    <row r="980" spans="1:15">
      <c r="A980" t="str">
        <f t="shared" si="14"/>
        <v>RS11II  SDR GCP</v>
      </c>
      <c r="B980" t="s">
        <v>687</v>
      </c>
      <c r="C980" t="s">
        <v>223</v>
      </c>
      <c r="D980">
        <v>1.109</v>
      </c>
      <c r="E980">
        <v>1.2470000000000001</v>
      </c>
      <c r="F980">
        <v>1.3149999999999999</v>
      </c>
      <c r="G980">
        <v>1.1180000000000001</v>
      </c>
      <c r="H980">
        <v>1.2509999999999999</v>
      </c>
      <c r="I980">
        <v>1.234</v>
      </c>
      <c r="J980">
        <v>1.3859999999999999</v>
      </c>
      <c r="K980">
        <v>1.236</v>
      </c>
      <c r="L980">
        <v>1.2629999999999999</v>
      </c>
      <c r="M980">
        <v>1.1619999999999999</v>
      </c>
      <c r="N980">
        <v>1.2689999999999999</v>
      </c>
      <c r="O980">
        <v>1.2130000000000001</v>
      </c>
    </row>
    <row r="981" spans="1:15">
      <c r="A981" t="str">
        <f t="shared" si="14"/>
        <v>RS11II  SDR GCP ONPK</v>
      </c>
      <c r="B981" t="s">
        <v>687</v>
      </c>
      <c r="C981" t="s">
        <v>224</v>
      </c>
      <c r="D981">
        <v>1.0549999999999999</v>
      </c>
      <c r="E981">
        <v>2.5649999999999999</v>
      </c>
      <c r="F981">
        <v>2.141</v>
      </c>
      <c r="G981">
        <v>1.2230000000000001</v>
      </c>
      <c r="H981">
        <v>1.2509999999999999</v>
      </c>
      <c r="I981">
        <v>1.234</v>
      </c>
      <c r="J981">
        <v>1.3859999999999999</v>
      </c>
      <c r="K981">
        <v>1.1459999999999999</v>
      </c>
      <c r="L981">
        <v>1.3089999999999999</v>
      </c>
      <c r="M981">
        <v>1.29</v>
      </c>
      <c r="N981">
        <v>1.1140000000000001</v>
      </c>
      <c r="O981">
        <v>1.2130000000000001</v>
      </c>
    </row>
    <row r="982" spans="1:15">
      <c r="A982" t="str">
        <f t="shared" si="14"/>
        <v>RS11II  SDR GCP OFFPK</v>
      </c>
      <c r="B982" t="s">
        <v>687</v>
      </c>
      <c r="C982" t="s">
        <v>225</v>
      </c>
      <c r="D982">
        <v>1.109</v>
      </c>
      <c r="E982">
        <v>1.2470000000000001</v>
      </c>
      <c r="F982">
        <v>1.3149999999999999</v>
      </c>
      <c r="G982">
        <v>1.1180000000000001</v>
      </c>
      <c r="H982">
        <v>1.4530000000000001</v>
      </c>
      <c r="I982">
        <v>1.3089999999999999</v>
      </c>
      <c r="J982">
        <v>1.196</v>
      </c>
      <c r="K982">
        <v>1.236</v>
      </c>
      <c r="L982">
        <v>1.2629999999999999</v>
      </c>
      <c r="M982">
        <v>1.1619999999999999</v>
      </c>
      <c r="N982">
        <v>1.2689999999999999</v>
      </c>
      <c r="O982">
        <v>1.173</v>
      </c>
    </row>
    <row r="983" spans="1:15">
      <c r="A983" t="str">
        <f t="shared" si="14"/>
        <v>RS11II  SDR CP</v>
      </c>
      <c r="B983" t="s">
        <v>687</v>
      </c>
      <c r="C983" t="s">
        <v>226</v>
      </c>
      <c r="D983">
        <v>1.0049999999999999</v>
      </c>
      <c r="E983">
        <v>1.131</v>
      </c>
      <c r="F983">
        <v>2.141</v>
      </c>
      <c r="G983">
        <v>1.143</v>
      </c>
      <c r="H983">
        <v>1.423</v>
      </c>
      <c r="I983">
        <v>1.1850000000000001</v>
      </c>
      <c r="J983">
        <v>1.224</v>
      </c>
      <c r="K983">
        <v>1.2869999999999999</v>
      </c>
      <c r="L983">
        <v>1.3089999999999999</v>
      </c>
      <c r="M983">
        <v>1.339</v>
      </c>
      <c r="N983">
        <v>1.2769999999999999</v>
      </c>
      <c r="O983">
        <v>1.0680000000000001</v>
      </c>
    </row>
    <row r="984" spans="1:15">
      <c r="A984" t="str">
        <f t="shared" si="14"/>
        <v/>
      </c>
    </row>
    <row r="985" spans="1:15">
      <c r="A985" t="str">
        <f t="shared" si="14"/>
        <v>RS11III SDR GCP</v>
      </c>
      <c r="B985" t="s">
        <v>687</v>
      </c>
      <c r="C985" t="s">
        <v>227</v>
      </c>
      <c r="D985">
        <v>1.742</v>
      </c>
      <c r="E985">
        <v>1.9690000000000001</v>
      </c>
      <c r="F985">
        <v>2.0030000000000001</v>
      </c>
      <c r="G985">
        <v>1.8680000000000001</v>
      </c>
      <c r="H985">
        <v>1.6160000000000001</v>
      </c>
      <c r="I985">
        <v>1.4830000000000001</v>
      </c>
      <c r="J985">
        <v>1.62</v>
      </c>
      <c r="K985">
        <v>1.613</v>
      </c>
      <c r="L985">
        <v>1.4390000000000001</v>
      </c>
      <c r="M985">
        <v>1.181</v>
      </c>
      <c r="N985">
        <v>1.5720000000000001</v>
      </c>
      <c r="O985">
        <v>1.726</v>
      </c>
    </row>
    <row r="986" spans="1:15">
      <c r="A986" t="str">
        <f t="shared" si="14"/>
        <v>RS11III SDR GCP ONPK</v>
      </c>
      <c r="B986" t="s">
        <v>687</v>
      </c>
      <c r="C986" t="s">
        <v>228</v>
      </c>
      <c r="D986">
        <v>1.496</v>
      </c>
      <c r="E986">
        <v>2.778</v>
      </c>
      <c r="F986">
        <v>2.93</v>
      </c>
      <c r="G986">
        <v>1.583</v>
      </c>
      <c r="H986">
        <v>1.6160000000000001</v>
      </c>
      <c r="I986">
        <v>1.4830000000000001</v>
      </c>
      <c r="J986">
        <v>1.62</v>
      </c>
      <c r="K986">
        <v>1.5169999999999999</v>
      </c>
      <c r="L986">
        <v>1.2</v>
      </c>
      <c r="M986">
        <v>1.4690000000000001</v>
      </c>
      <c r="N986">
        <v>1.577</v>
      </c>
      <c r="O986">
        <v>1.726</v>
      </c>
    </row>
    <row r="987" spans="1:15">
      <c r="A987" t="str">
        <f t="shared" si="14"/>
        <v>RS11III SDR GCP OFFPK</v>
      </c>
      <c r="B987" t="s">
        <v>687</v>
      </c>
      <c r="C987" t="s">
        <v>229</v>
      </c>
      <c r="D987">
        <v>1.742</v>
      </c>
      <c r="E987">
        <v>1.9690000000000001</v>
      </c>
      <c r="F987">
        <v>2.0030000000000001</v>
      </c>
      <c r="G987">
        <v>1.8680000000000001</v>
      </c>
      <c r="H987">
        <v>1.6559999999999999</v>
      </c>
      <c r="I987">
        <v>1.542</v>
      </c>
      <c r="J987">
        <v>1.3480000000000001</v>
      </c>
      <c r="K987">
        <v>1.613</v>
      </c>
      <c r="L987">
        <v>1.4390000000000001</v>
      </c>
      <c r="M987">
        <v>1.181</v>
      </c>
      <c r="N987">
        <v>1.5720000000000001</v>
      </c>
      <c r="O987">
        <v>1.5960000000000001</v>
      </c>
    </row>
    <row r="988" spans="1:15">
      <c r="A988" t="str">
        <f t="shared" si="14"/>
        <v>RS11III SDR CP</v>
      </c>
      <c r="B988" t="s">
        <v>687</v>
      </c>
      <c r="C988" t="s">
        <v>230</v>
      </c>
      <c r="D988">
        <v>1.669</v>
      </c>
      <c r="E988">
        <v>1.5309999999999999</v>
      </c>
      <c r="F988">
        <v>2.93</v>
      </c>
      <c r="G988">
        <v>1.4039999999999999</v>
      </c>
      <c r="H988">
        <v>1.611</v>
      </c>
      <c r="I988">
        <v>1.3240000000000001</v>
      </c>
      <c r="J988">
        <v>1.4610000000000001</v>
      </c>
      <c r="K988">
        <v>1.2969999999999999</v>
      </c>
      <c r="L988">
        <v>1.2</v>
      </c>
      <c r="M988">
        <v>1.472</v>
      </c>
      <c r="N988">
        <v>1.458</v>
      </c>
      <c r="O988">
        <v>1.504</v>
      </c>
    </row>
    <row r="989" spans="1:15">
      <c r="A989" t="str">
        <f t="shared" si="14"/>
        <v/>
      </c>
    </row>
    <row r="990" spans="1:15">
      <c r="A990" t="str">
        <f t="shared" si="14"/>
        <v>RS11IV  SDR GCP</v>
      </c>
      <c r="B990" t="s">
        <v>687</v>
      </c>
      <c r="C990" t="s">
        <v>231</v>
      </c>
      <c r="D990">
        <v>1.5009999999999999</v>
      </c>
      <c r="E990">
        <v>2.5059999999999998</v>
      </c>
      <c r="F990">
        <v>2.835</v>
      </c>
      <c r="G990">
        <v>2.3439999999999999</v>
      </c>
      <c r="H990">
        <v>1.6519999999999999</v>
      </c>
      <c r="I990">
        <v>1.895</v>
      </c>
      <c r="J990">
        <v>2.3210000000000002</v>
      </c>
      <c r="K990">
        <v>2.5049999999999999</v>
      </c>
      <c r="L990">
        <v>1.7070000000000001</v>
      </c>
      <c r="M990">
        <v>1.8260000000000001</v>
      </c>
      <c r="N990">
        <v>1.8069999999999999</v>
      </c>
      <c r="O990">
        <v>1.774</v>
      </c>
    </row>
    <row r="991" spans="1:15">
      <c r="A991" t="str">
        <f t="shared" si="14"/>
        <v>RS11IV  SDR GCP ONPK</v>
      </c>
      <c r="B991" t="s">
        <v>687</v>
      </c>
      <c r="C991" t="s">
        <v>232</v>
      </c>
      <c r="D991">
        <v>1.6020000000000001</v>
      </c>
      <c r="E991">
        <v>4.6559999999999997</v>
      </c>
      <c r="F991">
        <v>5.1109999999999998</v>
      </c>
      <c r="G991">
        <v>1.6890000000000001</v>
      </c>
      <c r="H991">
        <v>1.6519999999999999</v>
      </c>
      <c r="I991">
        <v>1.895</v>
      </c>
      <c r="J991">
        <v>2.3210000000000002</v>
      </c>
      <c r="K991">
        <v>1.9159999999999999</v>
      </c>
      <c r="L991">
        <v>1.675</v>
      </c>
      <c r="M991">
        <v>1.776</v>
      </c>
      <c r="N991">
        <v>1.923</v>
      </c>
      <c r="O991">
        <v>1.774</v>
      </c>
    </row>
    <row r="992" spans="1:15">
      <c r="A992" t="str">
        <f t="shared" si="14"/>
        <v>RS11IV  SDR GCP OFFPK</v>
      </c>
      <c r="B992" t="s">
        <v>687</v>
      </c>
      <c r="C992" t="s">
        <v>233</v>
      </c>
      <c r="D992">
        <v>1.5009999999999999</v>
      </c>
      <c r="E992">
        <v>2.5059999999999998</v>
      </c>
      <c r="F992">
        <v>2.835</v>
      </c>
      <c r="G992">
        <v>2.3439999999999999</v>
      </c>
      <c r="H992">
        <v>2.4220000000000002</v>
      </c>
      <c r="I992">
        <v>2.1160000000000001</v>
      </c>
      <c r="J992">
        <v>1.843</v>
      </c>
      <c r="K992">
        <v>2.5049999999999999</v>
      </c>
      <c r="L992">
        <v>1.7070000000000001</v>
      </c>
      <c r="M992">
        <v>1.8260000000000001</v>
      </c>
      <c r="N992">
        <v>1.8069999999999999</v>
      </c>
      <c r="O992">
        <v>2.0049999999999999</v>
      </c>
    </row>
    <row r="993" spans="1:15">
      <c r="A993" t="str">
        <f t="shared" si="14"/>
        <v>RS11IV  SDR CP</v>
      </c>
      <c r="B993" t="s">
        <v>687</v>
      </c>
      <c r="C993" t="s">
        <v>234</v>
      </c>
      <c r="D993">
        <v>1.466</v>
      </c>
      <c r="E993">
        <v>1.903</v>
      </c>
      <c r="F993">
        <v>5.1109999999999998</v>
      </c>
      <c r="G993">
        <v>2.0840000000000001</v>
      </c>
      <c r="H993">
        <v>1.8560000000000001</v>
      </c>
      <c r="I993">
        <v>1.9830000000000001</v>
      </c>
      <c r="J993">
        <v>2.17</v>
      </c>
      <c r="K993">
        <v>1.704</v>
      </c>
      <c r="L993">
        <v>1.675</v>
      </c>
      <c r="M993">
        <v>1.6890000000000001</v>
      </c>
      <c r="N993">
        <v>1.653</v>
      </c>
      <c r="O993">
        <v>1.879</v>
      </c>
    </row>
    <row r="994" spans="1:15">
      <c r="A994" t="str">
        <f t="shared" si="14"/>
        <v/>
      </c>
    </row>
    <row r="995" spans="1:15">
      <c r="A995" t="str">
        <f t="shared" si="14"/>
        <v/>
      </c>
    </row>
    <row r="996" spans="1:15">
      <c r="A996" t="str">
        <f t="shared" si="14"/>
        <v xml:space="preserve">SL01 Street Lighting (Modeled Rate Class) </v>
      </c>
      <c r="B996" t="s">
        <v>33</v>
      </c>
      <c r="C996" t="s">
        <v>34</v>
      </c>
    </row>
    <row r="997" spans="1:15">
      <c r="A997" t="str">
        <f t="shared" si="14"/>
        <v xml:space="preserve">SL01MONTH </v>
      </c>
      <c r="B997" t="s">
        <v>35</v>
      </c>
      <c r="C997" t="s">
        <v>123</v>
      </c>
      <c r="D997" s="4">
        <v>41275</v>
      </c>
      <c r="E997" s="4">
        <v>41306</v>
      </c>
      <c r="F997" s="4">
        <v>41334</v>
      </c>
      <c r="G997" s="4">
        <v>41365</v>
      </c>
      <c r="H997" s="4">
        <v>41395</v>
      </c>
      <c r="I997" s="4">
        <v>41426</v>
      </c>
      <c r="J997" s="4">
        <v>41456</v>
      </c>
      <c r="K997" s="4">
        <v>41487</v>
      </c>
      <c r="L997" s="4">
        <v>41518</v>
      </c>
      <c r="M997" s="4">
        <v>41548</v>
      </c>
      <c r="N997" s="4">
        <v>41579</v>
      </c>
      <c r="O997" s="4">
        <v>41609</v>
      </c>
    </row>
    <row r="998" spans="1:15">
      <c r="A998" t="str">
        <f t="shared" si="14"/>
        <v xml:space="preserve">SL01CUSTOMERS </v>
      </c>
      <c r="B998" t="s">
        <v>35</v>
      </c>
      <c r="C998" t="s">
        <v>124</v>
      </c>
      <c r="D998">
        <v>8454</v>
      </c>
      <c r="E998">
        <v>8458</v>
      </c>
      <c r="F998">
        <v>8466</v>
      </c>
      <c r="G998">
        <v>8467</v>
      </c>
      <c r="H998">
        <v>8469</v>
      </c>
      <c r="I998">
        <v>8471</v>
      </c>
      <c r="J998">
        <v>8483</v>
      </c>
      <c r="K998">
        <v>8493</v>
      </c>
      <c r="L998">
        <v>8486</v>
      </c>
      <c r="M998">
        <v>8484</v>
      </c>
      <c r="N998">
        <v>8489</v>
      </c>
      <c r="O998">
        <v>8500</v>
      </c>
    </row>
    <row r="999" spans="1:15">
      <c r="A999" t="str">
        <f t="shared" si="14"/>
        <v xml:space="preserve">SL01SALES </v>
      </c>
      <c r="B999" t="s">
        <v>35</v>
      </c>
      <c r="C999" t="s">
        <v>125</v>
      </c>
      <c r="D999">
        <v>41671089</v>
      </c>
      <c r="E999">
        <v>43672909</v>
      </c>
      <c r="F999">
        <v>42147117</v>
      </c>
      <c r="G999">
        <v>42103867</v>
      </c>
      <c r="H999">
        <v>43234602</v>
      </c>
      <c r="I999">
        <v>42467103</v>
      </c>
      <c r="J999">
        <v>36352708</v>
      </c>
      <c r="K999">
        <v>48698040</v>
      </c>
      <c r="L999">
        <v>43510070</v>
      </c>
      <c r="M999">
        <v>42053494</v>
      </c>
      <c r="N999">
        <v>43031098</v>
      </c>
      <c r="O999">
        <v>42455256</v>
      </c>
    </row>
    <row r="1000" spans="1:15">
      <c r="A1000" t="str">
        <f t="shared" si="14"/>
        <v>SL01KW</v>
      </c>
      <c r="B1000" t="s">
        <v>35</v>
      </c>
      <c r="C1000" t="s">
        <v>126</v>
      </c>
    </row>
    <row r="1001" spans="1:15">
      <c r="A1001" t="str">
        <f t="shared" si="14"/>
        <v>SL01N</v>
      </c>
      <c r="B1001" t="s">
        <v>35</v>
      </c>
      <c r="C1001" t="s">
        <v>127</v>
      </c>
      <c r="D1001">
        <v>1</v>
      </c>
      <c r="E1001">
        <v>1</v>
      </c>
      <c r="F1001">
        <v>1</v>
      </c>
      <c r="G1001">
        <v>1</v>
      </c>
      <c r="H1001">
        <v>1</v>
      </c>
      <c r="I1001">
        <v>1</v>
      </c>
      <c r="J1001">
        <v>1</v>
      </c>
      <c r="K1001">
        <v>1</v>
      </c>
      <c r="L1001">
        <v>1</v>
      </c>
      <c r="M1001">
        <v>1</v>
      </c>
      <c r="N1001">
        <v>1</v>
      </c>
      <c r="O1001">
        <v>1</v>
      </c>
    </row>
    <row r="1002" spans="1:15">
      <c r="A1002" t="str">
        <f t="shared" si="14"/>
        <v>SL01RLR ENERGY:</v>
      </c>
      <c r="B1002" t="s">
        <v>35</v>
      </c>
      <c r="C1002" t="s">
        <v>61</v>
      </c>
    </row>
    <row r="1003" spans="1:15">
      <c r="A1003" t="str">
        <f t="shared" si="14"/>
        <v>SL01KWH</v>
      </c>
      <c r="B1003" t="s">
        <v>35</v>
      </c>
      <c r="C1003" t="s">
        <v>128</v>
      </c>
      <c r="D1003">
        <v>41671089</v>
      </c>
      <c r="E1003">
        <v>43672909</v>
      </c>
      <c r="F1003">
        <v>42147117</v>
      </c>
      <c r="G1003">
        <v>42103867</v>
      </c>
      <c r="H1003">
        <v>43234602</v>
      </c>
      <c r="I1003">
        <v>42467103</v>
      </c>
      <c r="J1003">
        <v>36352708</v>
      </c>
      <c r="K1003">
        <v>48698040</v>
      </c>
      <c r="L1003">
        <v>43510070</v>
      </c>
      <c r="M1003">
        <v>42053494</v>
      </c>
      <c r="N1003">
        <v>42921725</v>
      </c>
      <c r="O1003">
        <v>42455256</v>
      </c>
    </row>
    <row r="1004" spans="1:15">
      <c r="A1004" t="str">
        <f t="shared" si="14"/>
        <v>SL01KWH ONPK</v>
      </c>
      <c r="B1004" t="s">
        <v>35</v>
      </c>
      <c r="C1004" t="s">
        <v>129</v>
      </c>
      <c r="D1004">
        <v>11386646</v>
      </c>
      <c r="E1004">
        <v>11544822</v>
      </c>
      <c r="F1004">
        <v>9562457</v>
      </c>
      <c r="G1004">
        <v>3518573</v>
      </c>
      <c r="H1004">
        <v>2976966</v>
      </c>
      <c r="I1004">
        <v>2232723</v>
      </c>
      <c r="J1004">
        <v>1964849</v>
      </c>
      <c r="K1004">
        <v>3395810</v>
      </c>
      <c r="L1004">
        <v>3963143</v>
      </c>
      <c r="M1004">
        <v>5322471</v>
      </c>
      <c r="N1004">
        <v>10171427</v>
      </c>
      <c r="O1004">
        <v>10659485</v>
      </c>
    </row>
    <row r="1005" spans="1:15">
      <c r="A1005" t="str">
        <f t="shared" si="14"/>
        <v>SL01KWH OFFPK</v>
      </c>
      <c r="B1005" t="s">
        <v>35</v>
      </c>
      <c r="C1005" t="s">
        <v>130</v>
      </c>
      <c r="D1005">
        <v>30284443</v>
      </c>
      <c r="E1005">
        <v>32128087</v>
      </c>
      <c r="F1005">
        <v>32584660</v>
      </c>
      <c r="G1005">
        <v>38585294</v>
      </c>
      <c r="H1005">
        <v>40257636</v>
      </c>
      <c r="I1005">
        <v>40234380</v>
      </c>
      <c r="J1005">
        <v>34387859</v>
      </c>
      <c r="K1005">
        <v>45302230</v>
      </c>
      <c r="L1005">
        <v>39546927</v>
      </c>
      <c r="M1005">
        <v>36731023</v>
      </c>
      <c r="N1005">
        <v>32750297</v>
      </c>
      <c r="O1005">
        <v>31795771</v>
      </c>
    </row>
    <row r="1006" spans="1:15">
      <c r="A1006" t="str">
        <f t="shared" si="14"/>
        <v>SL01KWH ONPK%</v>
      </c>
      <c r="B1006" t="s">
        <v>35</v>
      </c>
      <c r="C1006" t="s">
        <v>131</v>
      </c>
      <c r="D1006" s="5">
        <v>0.27324999999999999</v>
      </c>
      <c r="E1006" s="5">
        <v>0.26434999999999997</v>
      </c>
      <c r="F1006" s="5">
        <v>0.22688</v>
      </c>
      <c r="G1006" s="5">
        <v>8.3570000000000005E-2</v>
      </c>
      <c r="H1006" s="5">
        <v>6.8860000000000005E-2</v>
      </c>
      <c r="I1006" s="5">
        <v>5.2580000000000002E-2</v>
      </c>
      <c r="J1006" s="5">
        <v>5.4050000000000001E-2</v>
      </c>
      <c r="K1006" s="5">
        <v>6.973E-2</v>
      </c>
      <c r="L1006" s="5">
        <v>9.1090000000000004E-2</v>
      </c>
      <c r="M1006" s="5">
        <v>0.12656000000000001</v>
      </c>
      <c r="N1006" s="5">
        <v>0.23698</v>
      </c>
      <c r="O1006" s="5">
        <v>0.25108000000000003</v>
      </c>
    </row>
    <row r="1007" spans="1:15">
      <c r="A1007" t="str">
        <f t="shared" si="14"/>
        <v>SL01KWH OFFPK%</v>
      </c>
      <c r="B1007" t="s">
        <v>35</v>
      </c>
      <c r="C1007" t="s">
        <v>132</v>
      </c>
      <c r="D1007" s="5">
        <v>0.72675000000000001</v>
      </c>
      <c r="E1007" s="5">
        <v>0.73565000000000003</v>
      </c>
      <c r="F1007" s="5">
        <v>0.77312000000000003</v>
      </c>
      <c r="G1007" s="5">
        <v>0.91642999999999997</v>
      </c>
      <c r="H1007" s="5">
        <v>0.93113999999999997</v>
      </c>
      <c r="I1007" s="5">
        <v>0.94742000000000004</v>
      </c>
      <c r="J1007" s="5">
        <v>0.94594999999999996</v>
      </c>
      <c r="K1007" s="5">
        <v>0.93027000000000004</v>
      </c>
      <c r="L1007" s="5">
        <v>0.90891</v>
      </c>
      <c r="M1007" s="5">
        <v>0.87343999999999999</v>
      </c>
      <c r="N1007" s="5">
        <v>0.76302000000000003</v>
      </c>
      <c r="O1007" s="5">
        <v>0.74892000000000003</v>
      </c>
    </row>
    <row r="1008" spans="1:15">
      <c r="A1008" t="str">
        <f t="shared" si="14"/>
        <v>SL01DEMAND (KW):</v>
      </c>
      <c r="B1008" t="s">
        <v>35</v>
      </c>
      <c r="C1008" t="s">
        <v>62</v>
      </c>
    </row>
    <row r="1009" spans="1:15">
      <c r="A1009" t="str">
        <f t="shared" si="14"/>
        <v>SL01NCP</v>
      </c>
      <c r="B1009" t="s">
        <v>35</v>
      </c>
      <c r="C1009" t="s">
        <v>133</v>
      </c>
      <c r="D1009">
        <v>101427</v>
      </c>
      <c r="E1009">
        <v>122596</v>
      </c>
      <c r="F1009">
        <v>113568</v>
      </c>
      <c r="G1009">
        <v>124832</v>
      </c>
      <c r="H1009">
        <v>131319</v>
      </c>
      <c r="I1009">
        <v>137234</v>
      </c>
      <c r="J1009">
        <v>112257</v>
      </c>
      <c r="K1009">
        <v>143265</v>
      </c>
      <c r="L1009">
        <v>124161</v>
      </c>
      <c r="M1009">
        <v>109060</v>
      </c>
      <c r="N1009">
        <v>109373</v>
      </c>
      <c r="O1009">
        <v>102154</v>
      </c>
    </row>
    <row r="1010" spans="1:15">
      <c r="A1010" t="str">
        <f t="shared" si="14"/>
        <v>SL01NCP ONPK</v>
      </c>
      <c r="B1010" t="s">
        <v>35</v>
      </c>
      <c r="C1010" t="s">
        <v>134</v>
      </c>
      <c r="D1010">
        <v>101427</v>
      </c>
      <c r="E1010">
        <v>122596</v>
      </c>
      <c r="F1010">
        <v>113568</v>
      </c>
      <c r="G1010">
        <v>124832</v>
      </c>
      <c r="H1010">
        <v>131319</v>
      </c>
      <c r="I1010">
        <v>121223</v>
      </c>
      <c r="J1010">
        <v>99160</v>
      </c>
      <c r="K1010">
        <v>143265</v>
      </c>
      <c r="L1010">
        <v>124161</v>
      </c>
      <c r="M1010">
        <v>109060</v>
      </c>
      <c r="N1010">
        <v>109373</v>
      </c>
      <c r="O1010">
        <v>102154</v>
      </c>
    </row>
    <row r="1011" spans="1:15">
      <c r="A1011" t="str">
        <f t="shared" si="14"/>
        <v>SL01NCP OFFPK</v>
      </c>
      <c r="B1011" t="s">
        <v>35</v>
      </c>
      <c r="C1011" t="s">
        <v>135</v>
      </c>
      <c r="D1011">
        <v>101427</v>
      </c>
      <c r="E1011">
        <v>122596</v>
      </c>
      <c r="F1011">
        <v>113568</v>
      </c>
      <c r="G1011">
        <v>124832</v>
      </c>
      <c r="H1011">
        <v>131319</v>
      </c>
      <c r="I1011">
        <v>137234</v>
      </c>
      <c r="J1011">
        <v>112257</v>
      </c>
      <c r="K1011">
        <v>143265</v>
      </c>
      <c r="L1011">
        <v>124161</v>
      </c>
      <c r="M1011">
        <v>109060</v>
      </c>
      <c r="N1011">
        <v>109373</v>
      </c>
      <c r="O1011">
        <v>102154</v>
      </c>
    </row>
    <row r="1012" spans="1:15">
      <c r="A1012" t="str">
        <f t="shared" si="14"/>
        <v>SL01GCP DATE</v>
      </c>
      <c r="B1012" t="s">
        <v>35</v>
      </c>
      <c r="C1012" t="s">
        <v>136</v>
      </c>
      <c r="D1012" t="s">
        <v>256</v>
      </c>
      <c r="E1012" t="s">
        <v>287</v>
      </c>
      <c r="F1012" t="s">
        <v>774</v>
      </c>
      <c r="G1012" t="s">
        <v>791</v>
      </c>
      <c r="H1012" t="s">
        <v>792</v>
      </c>
      <c r="I1012" t="s">
        <v>855</v>
      </c>
      <c r="J1012" t="s">
        <v>771</v>
      </c>
      <c r="K1012" t="s">
        <v>856</v>
      </c>
      <c r="L1012" t="s">
        <v>788</v>
      </c>
      <c r="M1012" t="s">
        <v>806</v>
      </c>
      <c r="N1012" t="s">
        <v>824</v>
      </c>
      <c r="O1012" t="s">
        <v>857</v>
      </c>
    </row>
    <row r="1013" spans="1:15">
      <c r="A1013" t="str">
        <f t="shared" ref="A1013:A1076" si="15">B1013&amp;C1013</f>
        <v>SL01GCP TIME</v>
      </c>
      <c r="B1013" t="s">
        <v>35</v>
      </c>
      <c r="C1013" t="s">
        <v>142</v>
      </c>
      <c r="D1013" t="s">
        <v>201</v>
      </c>
      <c r="E1013" t="s">
        <v>201</v>
      </c>
      <c r="F1013" t="s">
        <v>201</v>
      </c>
      <c r="G1013" t="s">
        <v>201</v>
      </c>
      <c r="H1013" t="s">
        <v>201</v>
      </c>
      <c r="I1013" t="s">
        <v>201</v>
      </c>
      <c r="J1013" t="s">
        <v>201</v>
      </c>
      <c r="K1013" t="s">
        <v>201</v>
      </c>
      <c r="L1013" t="s">
        <v>201</v>
      </c>
      <c r="M1013" t="s">
        <v>201</v>
      </c>
      <c r="N1013" t="s">
        <v>201</v>
      </c>
      <c r="O1013" t="s">
        <v>201</v>
      </c>
    </row>
    <row r="1014" spans="1:15">
      <c r="A1014" t="str">
        <f t="shared" si="15"/>
        <v>SL01GCP</v>
      </c>
      <c r="B1014" t="s">
        <v>35</v>
      </c>
      <c r="C1014" t="s">
        <v>147</v>
      </c>
      <c r="D1014">
        <v>101427</v>
      </c>
      <c r="E1014">
        <v>122596</v>
      </c>
      <c r="F1014">
        <v>113568</v>
      </c>
      <c r="G1014">
        <v>124832</v>
      </c>
      <c r="H1014">
        <v>131319</v>
      </c>
      <c r="I1014">
        <v>137234</v>
      </c>
      <c r="J1014">
        <v>112257</v>
      </c>
      <c r="K1014">
        <v>143265</v>
      </c>
      <c r="L1014">
        <v>124161</v>
      </c>
      <c r="M1014">
        <v>109060</v>
      </c>
      <c r="N1014">
        <v>109373</v>
      </c>
      <c r="O1014">
        <v>102154</v>
      </c>
    </row>
    <row r="1015" spans="1:15">
      <c r="A1015" t="str">
        <f t="shared" si="15"/>
        <v>SL01GCP ONPK</v>
      </c>
      <c r="B1015" t="s">
        <v>35</v>
      </c>
      <c r="C1015" t="s">
        <v>63</v>
      </c>
      <c r="D1015">
        <v>101427</v>
      </c>
      <c r="E1015">
        <v>122596</v>
      </c>
      <c r="F1015">
        <v>113568</v>
      </c>
      <c r="G1015">
        <v>124832</v>
      </c>
      <c r="H1015">
        <v>131319</v>
      </c>
      <c r="I1015">
        <v>121223</v>
      </c>
      <c r="J1015">
        <v>99160</v>
      </c>
      <c r="K1015">
        <v>143265</v>
      </c>
      <c r="L1015">
        <v>124161</v>
      </c>
      <c r="M1015">
        <v>109060</v>
      </c>
      <c r="N1015">
        <v>109373</v>
      </c>
      <c r="O1015">
        <v>102154</v>
      </c>
    </row>
    <row r="1016" spans="1:15">
      <c r="A1016" t="str">
        <f t="shared" si="15"/>
        <v>SL01GCP OFFPK</v>
      </c>
      <c r="B1016" t="s">
        <v>35</v>
      </c>
      <c r="C1016" t="s">
        <v>64</v>
      </c>
      <c r="D1016">
        <v>101427</v>
      </c>
      <c r="E1016">
        <v>122596</v>
      </c>
      <c r="F1016">
        <v>113568</v>
      </c>
      <c r="G1016">
        <v>124832</v>
      </c>
      <c r="H1016">
        <v>131319</v>
      </c>
      <c r="I1016">
        <v>137234</v>
      </c>
      <c r="J1016">
        <v>112257</v>
      </c>
      <c r="K1016">
        <v>143265</v>
      </c>
      <c r="L1016">
        <v>124161</v>
      </c>
      <c r="M1016">
        <v>109060</v>
      </c>
      <c r="N1016">
        <v>109373</v>
      </c>
      <c r="O1016">
        <v>102154</v>
      </c>
    </row>
    <row r="1017" spans="1:15">
      <c r="A1017" t="str">
        <f t="shared" si="15"/>
        <v>SL01CP</v>
      </c>
      <c r="B1017" t="s">
        <v>35</v>
      </c>
      <c r="C1017" t="s">
        <v>148</v>
      </c>
      <c r="D1017">
        <v>101427</v>
      </c>
      <c r="E1017">
        <v>0</v>
      </c>
      <c r="F1017">
        <v>0</v>
      </c>
      <c r="G1017">
        <v>0</v>
      </c>
      <c r="H1017">
        <v>0</v>
      </c>
      <c r="I1017">
        <v>0</v>
      </c>
      <c r="J1017">
        <v>0</v>
      </c>
      <c r="K1017">
        <v>0</v>
      </c>
      <c r="L1017">
        <v>0</v>
      </c>
      <c r="M1017">
        <v>0</v>
      </c>
      <c r="N1017">
        <v>0</v>
      </c>
      <c r="O1017">
        <v>0</v>
      </c>
    </row>
    <row r="1018" spans="1:15">
      <c r="A1018" t="str">
        <f t="shared" si="15"/>
        <v>SL01PERIOD START</v>
      </c>
      <c r="B1018" t="s">
        <v>35</v>
      </c>
      <c r="C1018" t="s">
        <v>149</v>
      </c>
      <c r="D1018" s="1">
        <v>41275</v>
      </c>
      <c r="E1018" s="1">
        <v>41306</v>
      </c>
      <c r="F1018" s="1">
        <v>41334</v>
      </c>
      <c r="G1018" s="1">
        <v>41365</v>
      </c>
      <c r="H1018" s="1">
        <v>41395</v>
      </c>
      <c r="I1018" s="1">
        <v>41426</v>
      </c>
      <c r="J1018" s="1">
        <v>41456</v>
      </c>
      <c r="K1018" s="1">
        <v>41487</v>
      </c>
      <c r="L1018" s="1">
        <v>41518</v>
      </c>
      <c r="M1018" s="1">
        <v>41548</v>
      </c>
      <c r="N1018" s="1">
        <v>41579</v>
      </c>
      <c r="O1018" s="1">
        <v>41609</v>
      </c>
    </row>
    <row r="1019" spans="1:15">
      <c r="A1019" t="str">
        <f t="shared" si="15"/>
        <v>SL01NCP LF</v>
      </c>
      <c r="B1019" t="s">
        <v>35</v>
      </c>
      <c r="C1019" t="s">
        <v>150</v>
      </c>
      <c r="D1019" s="5">
        <v>0.55220000000000002</v>
      </c>
      <c r="E1019" s="5">
        <v>0.53010000000000002</v>
      </c>
      <c r="F1019" s="5">
        <v>0.4995</v>
      </c>
      <c r="G1019" s="5">
        <v>0.46839999999999998</v>
      </c>
      <c r="H1019" s="5">
        <v>0.4425</v>
      </c>
      <c r="I1019" s="5">
        <v>0.42980000000000002</v>
      </c>
      <c r="J1019" s="5">
        <v>0.43530000000000002</v>
      </c>
      <c r="K1019" s="5">
        <v>0.45689999999999997</v>
      </c>
      <c r="L1019" s="5">
        <v>0.48670000000000002</v>
      </c>
      <c r="M1019" s="5">
        <v>0.51829999999999998</v>
      </c>
      <c r="N1019" s="5">
        <v>0.54500000000000004</v>
      </c>
      <c r="O1019" s="5">
        <v>0.55859999999999999</v>
      </c>
    </row>
    <row r="1020" spans="1:15">
      <c r="A1020" t="str">
        <f t="shared" si="15"/>
        <v>SL01NCP LF ONPK</v>
      </c>
      <c r="B1020" t="s">
        <v>35</v>
      </c>
      <c r="C1020" t="s">
        <v>151</v>
      </c>
      <c r="D1020" s="5">
        <v>0.63790000000000002</v>
      </c>
      <c r="E1020" s="5">
        <v>0.58860000000000001</v>
      </c>
      <c r="F1020" s="5">
        <v>0.50119999999999998</v>
      </c>
      <c r="G1020" s="5">
        <v>0.1424</v>
      </c>
      <c r="H1020" s="5">
        <v>0.1145</v>
      </c>
      <c r="I1020" s="5">
        <v>0.1023</v>
      </c>
      <c r="J1020" s="5">
        <v>0.10009999999999999</v>
      </c>
      <c r="K1020" s="5">
        <v>0.1197</v>
      </c>
      <c r="L1020" s="5">
        <v>0.17730000000000001</v>
      </c>
      <c r="M1020" s="5">
        <v>0.23580000000000001</v>
      </c>
      <c r="N1020" s="5">
        <v>0.58120000000000005</v>
      </c>
      <c r="O1020" s="5">
        <v>0.62109999999999999</v>
      </c>
    </row>
    <row r="1021" spans="1:15">
      <c r="A1021" t="str">
        <f t="shared" si="15"/>
        <v>SL01NCP LF OFFPK</v>
      </c>
      <c r="B1021" t="s">
        <v>35</v>
      </c>
      <c r="C1021" t="s">
        <v>152</v>
      </c>
      <c r="D1021" s="5">
        <v>0.52569999999999995</v>
      </c>
      <c r="E1021" s="5">
        <v>0.51180000000000003</v>
      </c>
      <c r="F1021" s="5">
        <v>0.499</v>
      </c>
      <c r="G1021" s="5">
        <v>0.59209999999999996</v>
      </c>
      <c r="H1021" s="5">
        <v>0.5615</v>
      </c>
      <c r="I1021" s="5">
        <v>0.54290000000000005</v>
      </c>
      <c r="J1021" s="5">
        <v>0.56100000000000005</v>
      </c>
      <c r="K1021" s="5">
        <v>0.57909999999999995</v>
      </c>
      <c r="L1021" s="5">
        <v>0.58979999999999999</v>
      </c>
      <c r="M1021" s="5">
        <v>0.62719999999999998</v>
      </c>
      <c r="N1021" s="5">
        <v>0.53469999999999995</v>
      </c>
      <c r="O1021" s="5">
        <v>0.54039999999999999</v>
      </c>
    </row>
    <row r="1022" spans="1:15">
      <c r="A1022" t="str">
        <f t="shared" si="15"/>
        <v>SL01GCP CF</v>
      </c>
      <c r="B1022" t="s">
        <v>35</v>
      </c>
      <c r="C1022" t="s">
        <v>153</v>
      </c>
      <c r="D1022" s="5">
        <v>1</v>
      </c>
      <c r="E1022" s="5">
        <v>1</v>
      </c>
      <c r="F1022" s="5">
        <v>1</v>
      </c>
      <c r="G1022" s="5">
        <v>1</v>
      </c>
      <c r="H1022" s="5">
        <v>1</v>
      </c>
      <c r="I1022" s="5">
        <v>1</v>
      </c>
      <c r="J1022" s="5">
        <v>1</v>
      </c>
      <c r="K1022" s="5">
        <v>1</v>
      </c>
      <c r="L1022" s="5">
        <v>1</v>
      </c>
      <c r="M1022" s="5">
        <v>1</v>
      </c>
      <c r="N1022" s="5">
        <v>1</v>
      </c>
      <c r="O1022" s="5">
        <v>1</v>
      </c>
    </row>
    <row r="1023" spans="1:15">
      <c r="A1023" t="str">
        <f t="shared" si="15"/>
        <v>SL01CP CF</v>
      </c>
      <c r="B1023" t="s">
        <v>35</v>
      </c>
      <c r="C1023" t="s">
        <v>154</v>
      </c>
      <c r="D1023" s="5">
        <v>1</v>
      </c>
      <c r="E1023" s="5">
        <v>0</v>
      </c>
      <c r="F1023" s="5">
        <v>0</v>
      </c>
      <c r="G1023" s="5">
        <v>0</v>
      </c>
      <c r="H1023" s="5">
        <v>0</v>
      </c>
      <c r="I1023" s="5">
        <v>0</v>
      </c>
      <c r="J1023" s="5">
        <v>0</v>
      </c>
      <c r="K1023" s="5">
        <v>0</v>
      </c>
      <c r="L1023" s="5">
        <v>0</v>
      </c>
      <c r="M1023" s="5">
        <v>0</v>
      </c>
      <c r="N1023" s="5">
        <v>0</v>
      </c>
      <c r="O1023" s="5">
        <v>0</v>
      </c>
    </row>
    <row r="1024" spans="1:15">
      <c r="A1024" t="str">
        <f t="shared" si="15"/>
        <v>SL01GCP LF</v>
      </c>
      <c r="B1024" t="s">
        <v>35</v>
      </c>
      <c r="C1024" t="s">
        <v>155</v>
      </c>
      <c r="D1024" s="5">
        <v>0.55220000000000002</v>
      </c>
      <c r="E1024" s="5">
        <v>0.53010000000000002</v>
      </c>
      <c r="F1024" s="5">
        <v>0.4995</v>
      </c>
      <c r="G1024" s="5">
        <v>0.46839999999999998</v>
      </c>
      <c r="H1024" s="5">
        <v>0.4425</v>
      </c>
      <c r="I1024" s="5">
        <v>0.42980000000000002</v>
      </c>
      <c r="J1024" s="5">
        <v>0.43530000000000002</v>
      </c>
      <c r="K1024" s="5">
        <v>0.45689999999999997</v>
      </c>
      <c r="L1024" s="5">
        <v>0.48670000000000002</v>
      </c>
      <c r="M1024" s="5">
        <v>0.51829999999999998</v>
      </c>
      <c r="N1024" s="5">
        <v>0.54500000000000004</v>
      </c>
      <c r="O1024" s="5">
        <v>0.55859999999999999</v>
      </c>
    </row>
    <row r="1025" spans="1:15">
      <c r="A1025" t="str">
        <f t="shared" si="15"/>
        <v>SL01GCP LF ONPK</v>
      </c>
      <c r="B1025" t="s">
        <v>35</v>
      </c>
      <c r="C1025" t="s">
        <v>156</v>
      </c>
      <c r="D1025" s="5">
        <v>0.63790000000000002</v>
      </c>
      <c r="E1025" s="5">
        <v>0.58860000000000001</v>
      </c>
      <c r="F1025" s="5">
        <v>0.50119999999999998</v>
      </c>
      <c r="G1025" s="5">
        <v>0.1424</v>
      </c>
      <c r="H1025" s="5">
        <v>0.1145</v>
      </c>
      <c r="I1025" s="5">
        <v>0.1023</v>
      </c>
      <c r="J1025" s="5">
        <v>0.10009999999999999</v>
      </c>
      <c r="K1025" s="5">
        <v>0.1197</v>
      </c>
      <c r="L1025" s="5">
        <v>0.17730000000000001</v>
      </c>
      <c r="M1025" s="5">
        <v>0.23580000000000001</v>
      </c>
      <c r="N1025" s="5">
        <v>0.58120000000000005</v>
      </c>
      <c r="O1025" s="5">
        <v>0.62109999999999999</v>
      </c>
    </row>
    <row r="1026" spans="1:15">
      <c r="A1026" t="str">
        <f t="shared" si="15"/>
        <v>SL01GCP LF OFFPK</v>
      </c>
      <c r="B1026" t="s">
        <v>35</v>
      </c>
      <c r="C1026" t="s">
        <v>157</v>
      </c>
      <c r="D1026" s="5">
        <v>0.52569999999999995</v>
      </c>
      <c r="E1026" s="5">
        <v>0.51180000000000003</v>
      </c>
      <c r="F1026" s="5">
        <v>0.499</v>
      </c>
      <c r="G1026" s="5">
        <v>0.59209999999999996</v>
      </c>
      <c r="H1026" s="5">
        <v>0.5615</v>
      </c>
      <c r="I1026" s="5">
        <v>0.54290000000000005</v>
      </c>
      <c r="J1026" s="5">
        <v>0.56100000000000005</v>
      </c>
      <c r="K1026" s="5">
        <v>0.57909999999999995</v>
      </c>
      <c r="L1026" s="5">
        <v>0.58979999999999999</v>
      </c>
      <c r="M1026" s="5">
        <v>0.62719999999999998</v>
      </c>
      <c r="N1026" s="5">
        <v>0.53469999999999995</v>
      </c>
      <c r="O1026" s="5">
        <v>0.54039999999999999</v>
      </c>
    </row>
    <row r="1027" spans="1:15">
      <c r="A1027" t="str">
        <f t="shared" si="15"/>
        <v>SL01CP LF</v>
      </c>
      <c r="B1027" t="s">
        <v>35</v>
      </c>
      <c r="C1027" t="s">
        <v>158</v>
      </c>
      <c r="D1027" s="5">
        <v>0.55220000000000002</v>
      </c>
      <c r="E1027" s="5">
        <v>0</v>
      </c>
      <c r="F1027" s="5">
        <v>0</v>
      </c>
      <c r="G1027" s="5">
        <v>0</v>
      </c>
      <c r="H1027" s="5">
        <v>0</v>
      </c>
      <c r="I1027" s="5">
        <v>0</v>
      </c>
      <c r="J1027" s="5">
        <v>0</v>
      </c>
      <c r="K1027" s="5">
        <v>0</v>
      </c>
      <c r="L1027" s="5">
        <v>0</v>
      </c>
      <c r="M1027" s="5">
        <v>0</v>
      </c>
      <c r="N1027" s="5">
        <v>0</v>
      </c>
      <c r="O1027" s="5">
        <v>0</v>
      </c>
    </row>
    <row r="1028" spans="1:15">
      <c r="A1028" t="str">
        <f t="shared" si="15"/>
        <v>SL01REL PREC:</v>
      </c>
      <c r="B1028" t="s">
        <v>35</v>
      </c>
      <c r="C1028" t="s">
        <v>65</v>
      </c>
    </row>
    <row r="1029" spans="1:15">
      <c r="A1029" t="str">
        <f t="shared" si="15"/>
        <v>SL01NCP RP</v>
      </c>
      <c r="B1029" t="s">
        <v>35</v>
      </c>
      <c r="C1029" t="s">
        <v>159</v>
      </c>
      <c r="D1029" s="5">
        <v>0</v>
      </c>
      <c r="E1029" s="5">
        <v>0</v>
      </c>
      <c r="F1029" s="5">
        <v>0</v>
      </c>
      <c r="G1029" s="5">
        <v>0</v>
      </c>
      <c r="H1029" s="5">
        <v>0</v>
      </c>
      <c r="I1029" s="5">
        <v>0</v>
      </c>
      <c r="J1029" s="5">
        <v>0</v>
      </c>
      <c r="K1029" s="5">
        <v>0</v>
      </c>
      <c r="L1029" s="5">
        <v>0</v>
      </c>
      <c r="M1029" s="5">
        <v>0</v>
      </c>
      <c r="N1029" s="5">
        <v>0</v>
      </c>
      <c r="O1029" s="5">
        <v>0</v>
      </c>
    </row>
    <row r="1030" spans="1:15">
      <c r="A1030" t="str">
        <f t="shared" si="15"/>
        <v>SL01NCP RP ONPK</v>
      </c>
      <c r="B1030" t="s">
        <v>35</v>
      </c>
      <c r="C1030" t="s">
        <v>160</v>
      </c>
      <c r="D1030" s="5">
        <v>0</v>
      </c>
      <c r="E1030" s="5">
        <v>0</v>
      </c>
      <c r="F1030" s="5">
        <v>0</v>
      </c>
      <c r="G1030" s="5">
        <v>0</v>
      </c>
      <c r="H1030" s="5">
        <v>0</v>
      </c>
      <c r="I1030" s="5">
        <v>0</v>
      </c>
      <c r="J1030" s="5">
        <v>0</v>
      </c>
      <c r="K1030" s="5">
        <v>0</v>
      </c>
      <c r="L1030" s="5">
        <v>0</v>
      </c>
      <c r="M1030" s="5">
        <v>0</v>
      </c>
      <c r="N1030" s="5">
        <v>0</v>
      </c>
      <c r="O1030" s="5">
        <v>0</v>
      </c>
    </row>
    <row r="1031" spans="1:15">
      <c r="A1031" t="str">
        <f t="shared" si="15"/>
        <v>SL01NCP RP OFFPK</v>
      </c>
      <c r="B1031" t="s">
        <v>35</v>
      </c>
      <c r="C1031" t="s">
        <v>161</v>
      </c>
      <c r="D1031" s="5">
        <v>0</v>
      </c>
      <c r="E1031" s="5">
        <v>0</v>
      </c>
      <c r="F1031" s="5">
        <v>0</v>
      </c>
      <c r="G1031" s="5">
        <v>0</v>
      </c>
      <c r="H1031" s="5">
        <v>0</v>
      </c>
      <c r="I1031" s="5">
        <v>0</v>
      </c>
      <c r="J1031" s="5">
        <v>0</v>
      </c>
      <c r="K1031" s="5">
        <v>0</v>
      </c>
      <c r="L1031" s="5">
        <v>0</v>
      </c>
      <c r="M1031" s="5">
        <v>0</v>
      </c>
      <c r="N1031" s="5">
        <v>0</v>
      </c>
      <c r="O1031" s="5">
        <v>0</v>
      </c>
    </row>
    <row r="1032" spans="1:15">
      <c r="A1032" t="str">
        <f t="shared" si="15"/>
        <v>SL01GCP RP</v>
      </c>
      <c r="B1032" t="s">
        <v>35</v>
      </c>
      <c r="C1032" t="s">
        <v>162</v>
      </c>
      <c r="D1032" s="5">
        <v>0</v>
      </c>
      <c r="E1032" s="5">
        <v>0</v>
      </c>
      <c r="F1032" s="5">
        <v>0</v>
      </c>
      <c r="G1032" s="5">
        <v>0</v>
      </c>
      <c r="H1032" s="5">
        <v>0</v>
      </c>
      <c r="I1032" s="5">
        <v>0</v>
      </c>
      <c r="J1032" s="5">
        <v>0</v>
      </c>
      <c r="K1032" s="5">
        <v>0</v>
      </c>
      <c r="L1032" s="5">
        <v>0</v>
      </c>
      <c r="M1032" s="5">
        <v>0</v>
      </c>
      <c r="N1032" s="5">
        <v>0</v>
      </c>
      <c r="O1032" s="5">
        <v>0</v>
      </c>
    </row>
    <row r="1033" spans="1:15">
      <c r="A1033" t="str">
        <f t="shared" si="15"/>
        <v>SL01GCP RP ONPK</v>
      </c>
      <c r="B1033" t="s">
        <v>35</v>
      </c>
      <c r="C1033" t="s">
        <v>163</v>
      </c>
      <c r="D1033" s="5">
        <v>0</v>
      </c>
      <c r="E1033" s="5">
        <v>0</v>
      </c>
      <c r="F1033" s="5">
        <v>0</v>
      </c>
      <c r="G1033" s="5">
        <v>0</v>
      </c>
      <c r="H1033" s="5">
        <v>0</v>
      </c>
      <c r="I1033" s="5">
        <v>0</v>
      </c>
      <c r="J1033" s="5">
        <v>0</v>
      </c>
      <c r="K1033" s="5">
        <v>0</v>
      </c>
      <c r="L1033" s="5">
        <v>0</v>
      </c>
      <c r="M1033" s="5">
        <v>0</v>
      </c>
      <c r="N1033" s="5">
        <v>0</v>
      </c>
      <c r="O1033" s="5">
        <v>0</v>
      </c>
    </row>
    <row r="1034" spans="1:15">
      <c r="A1034" t="str">
        <f t="shared" si="15"/>
        <v>SL01GCP RP OFFPK</v>
      </c>
      <c r="B1034" t="s">
        <v>35</v>
      </c>
      <c r="C1034" t="s">
        <v>164</v>
      </c>
      <c r="D1034" s="5">
        <v>0</v>
      </c>
      <c r="E1034" s="5">
        <v>0</v>
      </c>
      <c r="F1034" s="5">
        <v>0</v>
      </c>
      <c r="G1034" s="5">
        <v>0</v>
      </c>
      <c r="H1034" s="5">
        <v>0</v>
      </c>
      <c r="I1034" s="5">
        <v>0</v>
      </c>
      <c r="J1034" s="5">
        <v>0</v>
      </c>
      <c r="K1034" s="5">
        <v>0</v>
      </c>
      <c r="L1034" s="5">
        <v>0</v>
      </c>
      <c r="M1034" s="5">
        <v>0</v>
      </c>
      <c r="N1034" s="5">
        <v>0</v>
      </c>
      <c r="O1034" s="5">
        <v>0</v>
      </c>
    </row>
    <row r="1035" spans="1:15">
      <c r="A1035" t="str">
        <f t="shared" si="15"/>
        <v>SL01CP RP</v>
      </c>
      <c r="B1035" t="s">
        <v>35</v>
      </c>
      <c r="C1035" t="s">
        <v>165</v>
      </c>
      <c r="D1035" s="5">
        <v>0</v>
      </c>
      <c r="E1035" s="5">
        <v>0</v>
      </c>
      <c r="F1035" s="5">
        <v>0</v>
      </c>
      <c r="G1035" s="5">
        <v>0</v>
      </c>
      <c r="H1035" s="5">
        <v>0</v>
      </c>
      <c r="I1035" s="5">
        <v>0</v>
      </c>
      <c r="J1035" s="5">
        <v>0</v>
      </c>
      <c r="K1035" s="5">
        <v>0</v>
      </c>
      <c r="L1035" s="5">
        <v>0</v>
      </c>
      <c r="M1035" s="5">
        <v>0</v>
      </c>
      <c r="N1035" s="5">
        <v>0</v>
      </c>
      <c r="O1035" s="5">
        <v>0</v>
      </c>
    </row>
    <row r="1036" spans="1:15">
      <c r="A1036" t="str">
        <f t="shared" si="15"/>
        <v>SL01SAMPLE SIZE:</v>
      </c>
      <c r="B1036" t="s">
        <v>35</v>
      </c>
      <c r="C1036" t="s">
        <v>66</v>
      </c>
    </row>
    <row r="1037" spans="1:15">
      <c r="A1037" t="str">
        <f t="shared" si="15"/>
        <v>SL01GCPSZ</v>
      </c>
      <c r="B1037" t="s">
        <v>35</v>
      </c>
      <c r="C1037" t="s">
        <v>166</v>
      </c>
      <c r="D1037">
        <v>1</v>
      </c>
      <c r="E1037">
        <v>1</v>
      </c>
      <c r="F1037">
        <v>1</v>
      </c>
      <c r="G1037">
        <v>1</v>
      </c>
      <c r="H1037">
        <v>1</v>
      </c>
      <c r="I1037">
        <v>1</v>
      </c>
      <c r="J1037">
        <v>1</v>
      </c>
      <c r="K1037">
        <v>1</v>
      </c>
      <c r="L1037">
        <v>1</v>
      </c>
      <c r="M1037">
        <v>1</v>
      </c>
      <c r="N1037">
        <v>1</v>
      </c>
      <c r="O1037">
        <v>1</v>
      </c>
    </row>
    <row r="1038" spans="1:15">
      <c r="A1038" t="str">
        <f t="shared" si="15"/>
        <v>SL01GCPSZ ONPK</v>
      </c>
      <c r="B1038" t="s">
        <v>35</v>
      </c>
      <c r="C1038" t="s">
        <v>167</v>
      </c>
      <c r="D1038">
        <v>1</v>
      </c>
      <c r="E1038">
        <v>1</v>
      </c>
      <c r="F1038">
        <v>1</v>
      </c>
      <c r="G1038">
        <v>1</v>
      </c>
      <c r="H1038">
        <v>1</v>
      </c>
      <c r="I1038">
        <v>1</v>
      </c>
      <c r="J1038">
        <v>1</v>
      </c>
      <c r="K1038">
        <v>1</v>
      </c>
      <c r="L1038">
        <v>1</v>
      </c>
      <c r="M1038">
        <v>1</v>
      </c>
      <c r="N1038">
        <v>1</v>
      </c>
      <c r="O1038">
        <v>1</v>
      </c>
    </row>
    <row r="1039" spans="1:15">
      <c r="A1039" t="str">
        <f t="shared" si="15"/>
        <v>SL01GCPSZ OFFPK</v>
      </c>
      <c r="B1039" t="s">
        <v>35</v>
      </c>
      <c r="C1039" t="s">
        <v>168</v>
      </c>
      <c r="D1039">
        <v>1</v>
      </c>
      <c r="E1039">
        <v>1</v>
      </c>
      <c r="F1039">
        <v>1</v>
      </c>
      <c r="G1039">
        <v>1</v>
      </c>
      <c r="H1039">
        <v>1</v>
      </c>
      <c r="I1039">
        <v>1</v>
      </c>
      <c r="J1039">
        <v>1</v>
      </c>
      <c r="K1039">
        <v>1</v>
      </c>
      <c r="L1039">
        <v>1</v>
      </c>
      <c r="M1039">
        <v>1</v>
      </c>
      <c r="N1039">
        <v>1</v>
      </c>
      <c r="O1039">
        <v>1</v>
      </c>
    </row>
    <row r="1040" spans="1:15">
      <c r="A1040" t="str">
        <f t="shared" si="15"/>
        <v>SL01CPSZ</v>
      </c>
      <c r="B1040" t="s">
        <v>35</v>
      </c>
      <c r="C1040" t="s">
        <v>169</v>
      </c>
      <c r="D1040">
        <v>1</v>
      </c>
      <c r="E1040">
        <v>1</v>
      </c>
      <c r="F1040">
        <v>1</v>
      </c>
      <c r="G1040">
        <v>1</v>
      </c>
      <c r="H1040">
        <v>1</v>
      </c>
      <c r="I1040">
        <v>1</v>
      </c>
      <c r="J1040">
        <v>1</v>
      </c>
      <c r="K1040">
        <v>1</v>
      </c>
      <c r="L1040">
        <v>1</v>
      </c>
      <c r="M1040">
        <v>1</v>
      </c>
      <c r="N1040">
        <v>1</v>
      </c>
      <c r="O1040">
        <v>1</v>
      </c>
    </row>
    <row r="1041" spans="1:15">
      <c r="A1041" t="str">
        <f t="shared" si="15"/>
        <v/>
      </c>
    </row>
    <row r="1042" spans="1:15">
      <c r="A1042" t="str">
        <f t="shared" si="15"/>
        <v/>
      </c>
      <c r="B1042" s="3"/>
    </row>
    <row r="1043" spans="1:15">
      <c r="A1043" t="str">
        <f t="shared" si="15"/>
        <v xml:space="preserve">SL02 Traffic Signal (Modeled Rate Class) </v>
      </c>
      <c r="B1043" t="s">
        <v>36</v>
      </c>
      <c r="C1043" t="s">
        <v>37</v>
      </c>
    </row>
    <row r="1044" spans="1:15">
      <c r="A1044" t="str">
        <f t="shared" si="15"/>
        <v xml:space="preserve">SL02MONTH </v>
      </c>
      <c r="B1044" t="s">
        <v>38</v>
      </c>
      <c r="C1044" t="s">
        <v>123</v>
      </c>
      <c r="D1044" s="4">
        <v>41275</v>
      </c>
      <c r="E1044" s="4">
        <v>41306</v>
      </c>
      <c r="F1044" s="4">
        <v>41334</v>
      </c>
      <c r="G1044" s="4">
        <v>41365</v>
      </c>
      <c r="H1044" s="4">
        <v>41395</v>
      </c>
      <c r="I1044" s="4">
        <v>41426</v>
      </c>
      <c r="J1044" s="4">
        <v>41456</v>
      </c>
      <c r="K1044" s="4">
        <v>41487</v>
      </c>
      <c r="L1044" s="4">
        <v>41518</v>
      </c>
      <c r="M1044" s="4">
        <v>41548</v>
      </c>
      <c r="N1044" s="4">
        <v>41579</v>
      </c>
      <c r="O1044" s="4">
        <v>41609</v>
      </c>
    </row>
    <row r="1045" spans="1:15">
      <c r="A1045" t="str">
        <f t="shared" si="15"/>
        <v xml:space="preserve">SL02CUSTOMERS </v>
      </c>
      <c r="B1045" t="s">
        <v>38</v>
      </c>
      <c r="C1045" t="s">
        <v>124</v>
      </c>
      <c r="D1045">
        <v>873</v>
      </c>
      <c r="E1045">
        <v>872</v>
      </c>
      <c r="F1045">
        <v>873</v>
      </c>
      <c r="G1045">
        <v>874</v>
      </c>
      <c r="H1045">
        <v>875</v>
      </c>
      <c r="I1045">
        <v>877</v>
      </c>
      <c r="J1045">
        <v>877</v>
      </c>
      <c r="K1045">
        <v>874</v>
      </c>
      <c r="L1045">
        <v>873</v>
      </c>
      <c r="M1045">
        <v>870</v>
      </c>
      <c r="N1045">
        <v>870</v>
      </c>
      <c r="O1045">
        <v>870</v>
      </c>
    </row>
    <row r="1046" spans="1:15">
      <c r="A1046" t="str">
        <f t="shared" si="15"/>
        <v xml:space="preserve">SL02SALES </v>
      </c>
      <c r="B1046" t="s">
        <v>38</v>
      </c>
      <c r="C1046" t="s">
        <v>125</v>
      </c>
      <c r="D1046">
        <v>2624446</v>
      </c>
      <c r="E1046">
        <v>2626225</v>
      </c>
      <c r="F1046">
        <v>2633107</v>
      </c>
      <c r="G1046">
        <v>2631863</v>
      </c>
      <c r="H1046">
        <v>2635261</v>
      </c>
      <c r="I1046">
        <v>2303509</v>
      </c>
      <c r="J1046">
        <v>2608306</v>
      </c>
      <c r="K1046">
        <v>2613245</v>
      </c>
      <c r="L1046">
        <v>2500218</v>
      </c>
      <c r="M1046">
        <v>2609207</v>
      </c>
      <c r="N1046">
        <v>2613701</v>
      </c>
      <c r="O1046">
        <v>2616757</v>
      </c>
    </row>
    <row r="1047" spans="1:15">
      <c r="A1047" t="str">
        <f t="shared" si="15"/>
        <v>SL02KW</v>
      </c>
      <c r="B1047" t="s">
        <v>38</v>
      </c>
      <c r="C1047" t="s">
        <v>126</v>
      </c>
    </row>
    <row r="1048" spans="1:15">
      <c r="A1048" t="str">
        <f t="shared" si="15"/>
        <v>SL02N</v>
      </c>
      <c r="B1048" t="s">
        <v>38</v>
      </c>
      <c r="C1048" t="s">
        <v>127</v>
      </c>
      <c r="D1048">
        <v>1</v>
      </c>
      <c r="E1048">
        <v>1</v>
      </c>
      <c r="F1048">
        <v>1</v>
      </c>
      <c r="G1048">
        <v>1</v>
      </c>
      <c r="H1048">
        <v>1</v>
      </c>
      <c r="I1048">
        <v>1</v>
      </c>
      <c r="J1048">
        <v>1</v>
      </c>
      <c r="K1048">
        <v>1</v>
      </c>
      <c r="L1048">
        <v>1</v>
      </c>
      <c r="M1048">
        <v>1</v>
      </c>
      <c r="N1048">
        <v>1</v>
      </c>
      <c r="O1048">
        <v>1</v>
      </c>
    </row>
    <row r="1049" spans="1:15">
      <c r="A1049" t="str">
        <f t="shared" si="15"/>
        <v>SL02RLR ENERGY:</v>
      </c>
      <c r="B1049" t="s">
        <v>38</v>
      </c>
      <c r="C1049" t="s">
        <v>61</v>
      </c>
    </row>
    <row r="1050" spans="1:15">
      <c r="A1050" t="str">
        <f t="shared" si="15"/>
        <v>SL02KWH</v>
      </c>
      <c r="B1050" t="s">
        <v>38</v>
      </c>
      <c r="C1050" t="s">
        <v>128</v>
      </c>
      <c r="D1050">
        <v>2624447</v>
      </c>
      <c r="E1050">
        <v>2626224</v>
      </c>
      <c r="F1050">
        <v>2633107</v>
      </c>
      <c r="G1050">
        <v>2631862</v>
      </c>
      <c r="H1050">
        <v>2635261</v>
      </c>
      <c r="I1050">
        <v>2303509</v>
      </c>
      <c r="J1050">
        <v>2608307</v>
      </c>
      <c r="K1050">
        <v>2613245</v>
      </c>
      <c r="L1050">
        <v>2500217</v>
      </c>
      <c r="M1050">
        <v>2609206</v>
      </c>
      <c r="N1050">
        <v>2606451</v>
      </c>
      <c r="O1050">
        <v>2616757</v>
      </c>
    </row>
    <row r="1051" spans="1:15">
      <c r="A1051" t="str">
        <f t="shared" si="15"/>
        <v>SL02KWH ONPK</v>
      </c>
      <c r="B1051" t="s">
        <v>38</v>
      </c>
      <c r="C1051" t="s">
        <v>129</v>
      </c>
      <c r="D1051">
        <v>620837</v>
      </c>
      <c r="E1051">
        <v>625291</v>
      </c>
      <c r="F1051">
        <v>595373</v>
      </c>
      <c r="G1051">
        <v>723762</v>
      </c>
      <c r="H1051">
        <v>701320</v>
      </c>
      <c r="I1051">
        <v>575877</v>
      </c>
      <c r="J1051">
        <v>694146</v>
      </c>
      <c r="K1051">
        <v>695460</v>
      </c>
      <c r="L1051">
        <v>625054</v>
      </c>
      <c r="M1051">
        <v>725948</v>
      </c>
      <c r="N1051">
        <v>580017</v>
      </c>
      <c r="O1051">
        <v>590881</v>
      </c>
    </row>
    <row r="1052" spans="1:15">
      <c r="A1052" t="str">
        <f t="shared" si="15"/>
        <v>SL02KWH OFFPK</v>
      </c>
      <c r="B1052" t="s">
        <v>38</v>
      </c>
      <c r="C1052" t="s">
        <v>130</v>
      </c>
      <c r="D1052">
        <v>2003610</v>
      </c>
      <c r="E1052">
        <v>2000933</v>
      </c>
      <c r="F1052">
        <v>2037734</v>
      </c>
      <c r="G1052">
        <v>1908100</v>
      </c>
      <c r="H1052">
        <v>1933942</v>
      </c>
      <c r="I1052">
        <v>1727632</v>
      </c>
      <c r="J1052">
        <v>1914161</v>
      </c>
      <c r="K1052">
        <v>1917784</v>
      </c>
      <c r="L1052">
        <v>1875163</v>
      </c>
      <c r="M1052">
        <v>1883258</v>
      </c>
      <c r="N1052">
        <v>2026434</v>
      </c>
      <c r="O1052">
        <v>2025876</v>
      </c>
    </row>
    <row r="1053" spans="1:15">
      <c r="A1053" t="str">
        <f t="shared" si="15"/>
        <v>SL02KWH ONPK%</v>
      </c>
      <c r="B1053" t="s">
        <v>38</v>
      </c>
      <c r="C1053" t="s">
        <v>131</v>
      </c>
      <c r="D1053" s="5">
        <v>0.23655999999999999</v>
      </c>
      <c r="E1053" s="5">
        <v>0.23810000000000001</v>
      </c>
      <c r="F1053" s="5">
        <v>0.22611000000000001</v>
      </c>
      <c r="G1053" s="5">
        <v>0.27500000000000002</v>
      </c>
      <c r="H1053" s="5">
        <v>0.26612999999999998</v>
      </c>
      <c r="I1053" s="6">
        <v>0.25</v>
      </c>
      <c r="J1053" s="5">
        <v>0.26612999999999998</v>
      </c>
      <c r="K1053" s="5">
        <v>0.26612999999999998</v>
      </c>
      <c r="L1053" s="6">
        <v>0.25</v>
      </c>
      <c r="M1053" s="5">
        <v>0.27822999999999998</v>
      </c>
      <c r="N1053" s="5">
        <v>0.22253000000000001</v>
      </c>
      <c r="O1053" s="5">
        <v>0.22581000000000001</v>
      </c>
    </row>
    <row r="1054" spans="1:15">
      <c r="A1054" t="str">
        <f t="shared" si="15"/>
        <v>SL02KWH OFFPK%</v>
      </c>
      <c r="B1054" t="s">
        <v>38</v>
      </c>
      <c r="C1054" t="s">
        <v>132</v>
      </c>
      <c r="D1054" s="5">
        <v>0.76344000000000001</v>
      </c>
      <c r="E1054" s="5">
        <v>0.76190000000000002</v>
      </c>
      <c r="F1054" s="5">
        <v>0.77388999999999997</v>
      </c>
      <c r="G1054" s="5">
        <v>0.72499999999999998</v>
      </c>
      <c r="H1054" s="5">
        <v>0.73387000000000002</v>
      </c>
      <c r="I1054" s="6">
        <v>0.75</v>
      </c>
      <c r="J1054" s="5">
        <v>0.73387000000000002</v>
      </c>
      <c r="K1054" s="5">
        <v>0.73387000000000002</v>
      </c>
      <c r="L1054" s="6">
        <v>0.75</v>
      </c>
      <c r="M1054" s="5">
        <v>0.72177000000000002</v>
      </c>
      <c r="N1054" s="5">
        <v>0.77746999999999999</v>
      </c>
      <c r="O1054" s="5">
        <v>0.77419000000000004</v>
      </c>
    </row>
    <row r="1055" spans="1:15">
      <c r="A1055" t="str">
        <f t="shared" si="15"/>
        <v>SL02DEMAND (KW):</v>
      </c>
      <c r="B1055" t="s">
        <v>38</v>
      </c>
      <c r="C1055" t="s">
        <v>62</v>
      </c>
    </row>
    <row r="1056" spans="1:15">
      <c r="A1056" t="str">
        <f t="shared" si="15"/>
        <v>SL02NCP</v>
      </c>
      <c r="B1056" t="s">
        <v>38</v>
      </c>
      <c r="C1056" t="s">
        <v>133</v>
      </c>
      <c r="D1056">
        <v>3527</v>
      </c>
      <c r="E1056">
        <v>3908</v>
      </c>
      <c r="F1056">
        <v>3544</v>
      </c>
      <c r="G1056">
        <v>3655</v>
      </c>
      <c r="H1056">
        <v>3542</v>
      </c>
      <c r="I1056">
        <v>3199</v>
      </c>
      <c r="J1056">
        <v>3506</v>
      </c>
      <c r="K1056">
        <v>3512</v>
      </c>
      <c r="L1056">
        <v>3473</v>
      </c>
      <c r="M1056">
        <v>3507</v>
      </c>
      <c r="N1056">
        <v>3625</v>
      </c>
      <c r="O1056">
        <v>3517</v>
      </c>
    </row>
    <row r="1057" spans="1:15">
      <c r="A1057" t="str">
        <f t="shared" si="15"/>
        <v>SL02NCP ONPK</v>
      </c>
      <c r="B1057" t="s">
        <v>38</v>
      </c>
      <c r="C1057" t="s">
        <v>134</v>
      </c>
      <c r="D1057">
        <v>3527</v>
      </c>
      <c r="E1057">
        <v>3908</v>
      </c>
      <c r="F1057">
        <v>3544</v>
      </c>
      <c r="G1057">
        <v>3655</v>
      </c>
      <c r="H1057">
        <v>3542</v>
      </c>
      <c r="I1057">
        <v>3199</v>
      </c>
      <c r="J1057">
        <v>3506</v>
      </c>
      <c r="K1057">
        <v>3512</v>
      </c>
      <c r="L1057">
        <v>3473</v>
      </c>
      <c r="M1057">
        <v>3507</v>
      </c>
      <c r="N1057">
        <v>3625</v>
      </c>
      <c r="O1057">
        <v>3517</v>
      </c>
    </row>
    <row r="1058" spans="1:15">
      <c r="A1058" t="str">
        <f t="shared" si="15"/>
        <v>SL02NCP OFFPK</v>
      </c>
      <c r="B1058" t="s">
        <v>38</v>
      </c>
      <c r="C1058" t="s">
        <v>135</v>
      </c>
      <c r="D1058">
        <v>3527</v>
      </c>
      <c r="E1058">
        <v>3908</v>
      </c>
      <c r="F1058">
        <v>3544</v>
      </c>
      <c r="G1058">
        <v>3655</v>
      </c>
      <c r="H1058">
        <v>3542</v>
      </c>
      <c r="I1058">
        <v>3199</v>
      </c>
      <c r="J1058">
        <v>3506</v>
      </c>
      <c r="K1058">
        <v>3512</v>
      </c>
      <c r="L1058">
        <v>3473</v>
      </c>
      <c r="M1058">
        <v>3507</v>
      </c>
      <c r="N1058">
        <v>3625</v>
      </c>
      <c r="O1058">
        <v>3517</v>
      </c>
    </row>
    <row r="1059" spans="1:15">
      <c r="A1059" t="str">
        <f t="shared" si="15"/>
        <v>SL02GCP DATE</v>
      </c>
      <c r="B1059" t="s">
        <v>38</v>
      </c>
      <c r="C1059" t="s">
        <v>136</v>
      </c>
      <c r="D1059" t="s">
        <v>256</v>
      </c>
      <c r="E1059" t="s">
        <v>287</v>
      </c>
      <c r="F1059" t="s">
        <v>774</v>
      </c>
      <c r="G1059" t="s">
        <v>791</v>
      </c>
      <c r="H1059" t="s">
        <v>792</v>
      </c>
      <c r="I1059" t="s">
        <v>855</v>
      </c>
      <c r="J1059" t="s">
        <v>771</v>
      </c>
      <c r="K1059" t="s">
        <v>856</v>
      </c>
      <c r="L1059" t="s">
        <v>788</v>
      </c>
      <c r="M1059" t="s">
        <v>806</v>
      </c>
      <c r="N1059" t="s">
        <v>824</v>
      </c>
      <c r="O1059" t="s">
        <v>857</v>
      </c>
    </row>
    <row r="1060" spans="1:15">
      <c r="A1060" t="str">
        <f t="shared" si="15"/>
        <v>SL02GCP TIME</v>
      </c>
      <c r="B1060" t="s">
        <v>38</v>
      </c>
      <c r="C1060" t="s">
        <v>142</v>
      </c>
      <c r="D1060" t="s">
        <v>201</v>
      </c>
      <c r="E1060" t="s">
        <v>201</v>
      </c>
      <c r="F1060" t="s">
        <v>201</v>
      </c>
      <c r="G1060" t="s">
        <v>201</v>
      </c>
      <c r="H1060" t="s">
        <v>201</v>
      </c>
      <c r="I1060" t="s">
        <v>201</v>
      </c>
      <c r="J1060" t="s">
        <v>201</v>
      </c>
      <c r="K1060" t="s">
        <v>201</v>
      </c>
      <c r="L1060" t="s">
        <v>201</v>
      </c>
      <c r="M1060" t="s">
        <v>201</v>
      </c>
      <c r="N1060" t="s">
        <v>201</v>
      </c>
      <c r="O1060" t="s">
        <v>201</v>
      </c>
    </row>
    <row r="1061" spans="1:15">
      <c r="A1061" t="str">
        <f t="shared" si="15"/>
        <v>SL02GCP</v>
      </c>
      <c r="B1061" t="s">
        <v>38</v>
      </c>
      <c r="C1061" t="s">
        <v>147</v>
      </c>
      <c r="D1061">
        <v>3527</v>
      </c>
      <c r="E1061">
        <v>3908</v>
      </c>
      <c r="F1061">
        <v>3544</v>
      </c>
      <c r="G1061">
        <v>3655</v>
      </c>
      <c r="H1061">
        <v>3542</v>
      </c>
      <c r="I1061">
        <v>3199</v>
      </c>
      <c r="J1061">
        <v>3506</v>
      </c>
      <c r="K1061">
        <v>3512</v>
      </c>
      <c r="L1061">
        <v>3473</v>
      </c>
      <c r="M1061">
        <v>3507</v>
      </c>
      <c r="N1061">
        <v>3625</v>
      </c>
      <c r="O1061">
        <v>3517</v>
      </c>
    </row>
    <row r="1062" spans="1:15">
      <c r="A1062" t="str">
        <f t="shared" si="15"/>
        <v>SL02GCP ONPK</v>
      </c>
      <c r="B1062" t="s">
        <v>38</v>
      </c>
      <c r="C1062" t="s">
        <v>63</v>
      </c>
      <c r="D1062">
        <v>3527</v>
      </c>
      <c r="E1062">
        <v>3908</v>
      </c>
      <c r="F1062">
        <v>3544</v>
      </c>
      <c r="G1062">
        <v>3655</v>
      </c>
      <c r="H1062">
        <v>3542</v>
      </c>
      <c r="I1062">
        <v>3199</v>
      </c>
      <c r="J1062">
        <v>3506</v>
      </c>
      <c r="K1062">
        <v>3512</v>
      </c>
      <c r="L1062">
        <v>3473</v>
      </c>
      <c r="M1062">
        <v>3507</v>
      </c>
      <c r="N1062">
        <v>3625</v>
      </c>
      <c r="O1062">
        <v>3517</v>
      </c>
    </row>
    <row r="1063" spans="1:15">
      <c r="A1063" t="str">
        <f t="shared" si="15"/>
        <v>SL02GCP OFFPK</v>
      </c>
      <c r="B1063" t="s">
        <v>38</v>
      </c>
      <c r="C1063" t="s">
        <v>64</v>
      </c>
      <c r="D1063">
        <v>3527</v>
      </c>
      <c r="E1063">
        <v>3908</v>
      </c>
      <c r="F1063">
        <v>3544</v>
      </c>
      <c r="G1063">
        <v>3655</v>
      </c>
      <c r="H1063">
        <v>3542</v>
      </c>
      <c r="I1063">
        <v>3199</v>
      </c>
      <c r="J1063">
        <v>3506</v>
      </c>
      <c r="K1063">
        <v>3512</v>
      </c>
      <c r="L1063">
        <v>3473</v>
      </c>
      <c r="M1063">
        <v>3507</v>
      </c>
      <c r="N1063">
        <v>3625</v>
      </c>
      <c r="O1063">
        <v>3517</v>
      </c>
    </row>
    <row r="1064" spans="1:15">
      <c r="A1064" t="str">
        <f t="shared" si="15"/>
        <v>SL02CP</v>
      </c>
      <c r="B1064" t="s">
        <v>38</v>
      </c>
      <c r="C1064" t="s">
        <v>148</v>
      </c>
      <c r="D1064">
        <v>3527</v>
      </c>
      <c r="E1064">
        <v>3908</v>
      </c>
      <c r="F1064">
        <v>3544</v>
      </c>
      <c r="G1064">
        <v>3655</v>
      </c>
      <c r="H1064">
        <v>3542</v>
      </c>
      <c r="I1064">
        <v>3199</v>
      </c>
      <c r="J1064">
        <v>3506</v>
      </c>
      <c r="K1064">
        <v>3512</v>
      </c>
      <c r="L1064">
        <v>3473</v>
      </c>
      <c r="M1064">
        <v>3507</v>
      </c>
      <c r="N1064">
        <v>3625</v>
      </c>
      <c r="O1064">
        <v>3517</v>
      </c>
    </row>
    <row r="1065" spans="1:15">
      <c r="A1065" t="str">
        <f t="shared" si="15"/>
        <v>SL02PERIOD START</v>
      </c>
      <c r="B1065" t="s">
        <v>38</v>
      </c>
      <c r="C1065" t="s">
        <v>149</v>
      </c>
      <c r="D1065" s="1">
        <v>41275</v>
      </c>
      <c r="E1065" s="1">
        <v>41306</v>
      </c>
      <c r="F1065" s="1">
        <v>41334</v>
      </c>
      <c r="G1065" s="1">
        <v>41365</v>
      </c>
      <c r="H1065" s="1">
        <v>41395</v>
      </c>
      <c r="I1065" s="1">
        <v>41426</v>
      </c>
      <c r="J1065" s="1">
        <v>41456</v>
      </c>
      <c r="K1065" s="1">
        <v>41487</v>
      </c>
      <c r="L1065" s="1">
        <v>41518</v>
      </c>
      <c r="M1065" s="1">
        <v>41548</v>
      </c>
      <c r="N1065" s="1">
        <v>41579</v>
      </c>
      <c r="O1065" s="1">
        <v>41609</v>
      </c>
    </row>
    <row r="1066" spans="1:15">
      <c r="A1066" t="str">
        <f t="shared" si="15"/>
        <v>SL02NCP LF</v>
      </c>
      <c r="B1066" t="s">
        <v>38</v>
      </c>
      <c r="C1066" t="s">
        <v>150</v>
      </c>
      <c r="D1066" s="5">
        <v>1</v>
      </c>
      <c r="E1066" s="5">
        <v>1</v>
      </c>
      <c r="F1066" s="5">
        <v>1</v>
      </c>
      <c r="G1066" s="5">
        <v>1</v>
      </c>
      <c r="H1066" s="5">
        <v>1</v>
      </c>
      <c r="I1066" s="5">
        <v>1</v>
      </c>
      <c r="J1066" s="5">
        <v>1</v>
      </c>
      <c r="K1066" s="5">
        <v>1</v>
      </c>
      <c r="L1066" s="5">
        <v>1</v>
      </c>
      <c r="M1066" s="5">
        <v>1</v>
      </c>
      <c r="N1066" s="5">
        <v>0.99860000000000004</v>
      </c>
      <c r="O1066" s="5">
        <v>1</v>
      </c>
    </row>
    <row r="1067" spans="1:15">
      <c r="A1067" t="str">
        <f t="shared" si="15"/>
        <v>SL02NCP LF ONPK</v>
      </c>
      <c r="B1067" t="s">
        <v>38</v>
      </c>
      <c r="C1067" t="s">
        <v>151</v>
      </c>
      <c r="D1067" s="5">
        <v>1</v>
      </c>
      <c r="E1067" s="5">
        <v>1</v>
      </c>
      <c r="F1067" s="5">
        <v>1</v>
      </c>
      <c r="G1067" s="5">
        <v>1</v>
      </c>
      <c r="H1067" s="5">
        <v>1</v>
      </c>
      <c r="I1067" s="5">
        <v>1</v>
      </c>
      <c r="J1067" s="5">
        <v>1</v>
      </c>
      <c r="K1067" s="5">
        <v>1</v>
      </c>
      <c r="L1067" s="5">
        <v>1</v>
      </c>
      <c r="M1067" s="5">
        <v>1</v>
      </c>
      <c r="N1067" s="5">
        <v>1</v>
      </c>
      <c r="O1067" s="5">
        <v>1</v>
      </c>
    </row>
    <row r="1068" spans="1:15">
      <c r="A1068" t="str">
        <f t="shared" si="15"/>
        <v>SL02NCP LF OFFPK</v>
      </c>
      <c r="B1068" t="s">
        <v>38</v>
      </c>
      <c r="C1068" t="s">
        <v>152</v>
      </c>
      <c r="D1068" s="5">
        <v>1</v>
      </c>
      <c r="E1068" s="5">
        <v>1</v>
      </c>
      <c r="F1068" s="5">
        <v>1</v>
      </c>
      <c r="G1068" s="5">
        <v>1</v>
      </c>
      <c r="H1068" s="5">
        <v>1</v>
      </c>
      <c r="I1068" s="5">
        <v>1</v>
      </c>
      <c r="J1068" s="5">
        <v>1</v>
      </c>
      <c r="K1068" s="5">
        <v>1</v>
      </c>
      <c r="L1068" s="5">
        <v>1</v>
      </c>
      <c r="M1068" s="5">
        <v>1</v>
      </c>
      <c r="N1068" s="5">
        <v>0.99819999999999998</v>
      </c>
      <c r="O1068" s="5">
        <v>1</v>
      </c>
    </row>
    <row r="1069" spans="1:15">
      <c r="A1069" t="str">
        <f t="shared" si="15"/>
        <v>SL02GCP CF</v>
      </c>
      <c r="B1069" t="s">
        <v>38</v>
      </c>
      <c r="C1069" t="s">
        <v>153</v>
      </c>
      <c r="D1069" s="5">
        <v>1</v>
      </c>
      <c r="E1069" s="5">
        <v>1</v>
      </c>
      <c r="F1069" s="5">
        <v>1</v>
      </c>
      <c r="G1069" s="5">
        <v>1</v>
      </c>
      <c r="H1069" s="5">
        <v>1</v>
      </c>
      <c r="I1069" s="5">
        <v>1</v>
      </c>
      <c r="J1069" s="5">
        <v>1</v>
      </c>
      <c r="K1069" s="5">
        <v>1</v>
      </c>
      <c r="L1069" s="5">
        <v>1</v>
      </c>
      <c r="M1069" s="5">
        <v>1</v>
      </c>
      <c r="N1069" s="5">
        <v>1</v>
      </c>
      <c r="O1069" s="5">
        <v>1</v>
      </c>
    </row>
    <row r="1070" spans="1:15">
      <c r="A1070" t="str">
        <f t="shared" si="15"/>
        <v>SL02CP CF</v>
      </c>
      <c r="B1070" t="s">
        <v>38</v>
      </c>
      <c r="C1070" t="s">
        <v>154</v>
      </c>
      <c r="D1070" s="5">
        <v>1</v>
      </c>
      <c r="E1070" s="5">
        <v>1</v>
      </c>
      <c r="F1070" s="5">
        <v>1</v>
      </c>
      <c r="G1070" s="5">
        <v>1</v>
      </c>
      <c r="H1070" s="5">
        <v>1</v>
      </c>
      <c r="I1070" s="5">
        <v>1</v>
      </c>
      <c r="J1070" s="5">
        <v>1</v>
      </c>
      <c r="K1070" s="5">
        <v>1</v>
      </c>
      <c r="L1070" s="5">
        <v>1</v>
      </c>
      <c r="M1070" s="5">
        <v>1</v>
      </c>
      <c r="N1070" s="5">
        <v>1</v>
      </c>
      <c r="O1070" s="5">
        <v>1</v>
      </c>
    </row>
    <row r="1071" spans="1:15">
      <c r="A1071" t="str">
        <f t="shared" si="15"/>
        <v>SL02GCP LF</v>
      </c>
      <c r="B1071" t="s">
        <v>38</v>
      </c>
      <c r="C1071" t="s">
        <v>155</v>
      </c>
      <c r="D1071" s="5">
        <v>1</v>
      </c>
      <c r="E1071" s="5">
        <v>1</v>
      </c>
      <c r="F1071" s="5">
        <v>1</v>
      </c>
      <c r="G1071" s="5">
        <v>1</v>
      </c>
      <c r="H1071" s="5">
        <v>1</v>
      </c>
      <c r="I1071" s="5">
        <v>1</v>
      </c>
      <c r="J1071" s="5">
        <v>1</v>
      </c>
      <c r="K1071" s="5">
        <v>1</v>
      </c>
      <c r="L1071" s="5">
        <v>1</v>
      </c>
      <c r="M1071" s="5">
        <v>1</v>
      </c>
      <c r="N1071" s="5">
        <v>0.99860000000000004</v>
      </c>
      <c r="O1071" s="5">
        <v>1</v>
      </c>
    </row>
    <row r="1072" spans="1:15">
      <c r="A1072" t="str">
        <f t="shared" si="15"/>
        <v>SL02GCP LF ONPK</v>
      </c>
      <c r="B1072" t="s">
        <v>38</v>
      </c>
      <c r="C1072" t="s">
        <v>156</v>
      </c>
      <c r="D1072" s="5">
        <v>1</v>
      </c>
      <c r="E1072" s="5">
        <v>1</v>
      </c>
      <c r="F1072" s="5">
        <v>1</v>
      </c>
      <c r="G1072" s="5">
        <v>1</v>
      </c>
      <c r="H1072" s="5">
        <v>1</v>
      </c>
      <c r="I1072" s="5">
        <v>1</v>
      </c>
      <c r="J1072" s="5">
        <v>1</v>
      </c>
      <c r="K1072" s="5">
        <v>1</v>
      </c>
      <c r="L1072" s="5">
        <v>1</v>
      </c>
      <c r="M1072" s="5">
        <v>1</v>
      </c>
      <c r="N1072" s="5">
        <v>1</v>
      </c>
      <c r="O1072" s="5">
        <v>1</v>
      </c>
    </row>
    <row r="1073" spans="1:15">
      <c r="A1073" t="str">
        <f t="shared" si="15"/>
        <v>SL02GCP LF OFFPK</v>
      </c>
      <c r="B1073" t="s">
        <v>38</v>
      </c>
      <c r="C1073" t="s">
        <v>157</v>
      </c>
      <c r="D1073" s="5">
        <v>1</v>
      </c>
      <c r="E1073" s="5">
        <v>1</v>
      </c>
      <c r="F1073" s="5">
        <v>1</v>
      </c>
      <c r="G1073" s="5">
        <v>1</v>
      </c>
      <c r="H1073" s="5">
        <v>1</v>
      </c>
      <c r="I1073" s="5">
        <v>1</v>
      </c>
      <c r="J1073" s="5">
        <v>1</v>
      </c>
      <c r="K1073" s="5">
        <v>1</v>
      </c>
      <c r="L1073" s="5">
        <v>1</v>
      </c>
      <c r="M1073" s="5">
        <v>1</v>
      </c>
      <c r="N1073" s="5">
        <v>0.99819999999999998</v>
      </c>
      <c r="O1073" s="5">
        <v>1</v>
      </c>
    </row>
    <row r="1074" spans="1:15">
      <c r="A1074" t="str">
        <f t="shared" si="15"/>
        <v>SL02CP LF</v>
      </c>
      <c r="B1074" t="s">
        <v>38</v>
      </c>
      <c r="C1074" t="s">
        <v>158</v>
      </c>
      <c r="D1074" s="5">
        <v>1</v>
      </c>
      <c r="E1074" s="5">
        <v>1</v>
      </c>
      <c r="F1074" s="5">
        <v>1</v>
      </c>
      <c r="G1074" s="5">
        <v>1</v>
      </c>
      <c r="H1074" s="5">
        <v>1</v>
      </c>
      <c r="I1074" s="5">
        <v>1</v>
      </c>
      <c r="J1074" s="5">
        <v>1</v>
      </c>
      <c r="K1074" s="5">
        <v>1</v>
      </c>
      <c r="L1074" s="5">
        <v>1</v>
      </c>
      <c r="M1074" s="5">
        <v>1</v>
      </c>
      <c r="N1074" s="5">
        <v>0.99860000000000004</v>
      </c>
      <c r="O1074" s="5">
        <v>1</v>
      </c>
    </row>
    <row r="1075" spans="1:15">
      <c r="A1075" t="str">
        <f t="shared" si="15"/>
        <v>SL02REL PREC:</v>
      </c>
      <c r="B1075" t="s">
        <v>38</v>
      </c>
      <c r="C1075" t="s">
        <v>65</v>
      </c>
    </row>
    <row r="1076" spans="1:15">
      <c r="A1076" t="str">
        <f t="shared" si="15"/>
        <v>SL02NCP RP</v>
      </c>
      <c r="B1076" t="s">
        <v>38</v>
      </c>
      <c r="C1076" t="s">
        <v>159</v>
      </c>
      <c r="D1076" s="5">
        <v>0</v>
      </c>
      <c r="E1076" s="5">
        <v>0</v>
      </c>
      <c r="F1076" s="5">
        <v>0</v>
      </c>
      <c r="G1076" s="5">
        <v>0</v>
      </c>
      <c r="H1076" s="5">
        <v>0</v>
      </c>
      <c r="I1076" s="5">
        <v>0</v>
      </c>
      <c r="J1076" s="5">
        <v>0</v>
      </c>
      <c r="K1076" s="5">
        <v>0</v>
      </c>
      <c r="L1076" s="5">
        <v>0</v>
      </c>
      <c r="M1076" s="5">
        <v>0</v>
      </c>
      <c r="N1076" s="5">
        <v>0</v>
      </c>
      <c r="O1076" s="5">
        <v>0</v>
      </c>
    </row>
    <row r="1077" spans="1:15">
      <c r="A1077" t="str">
        <f t="shared" ref="A1077:A1140" si="16">B1077&amp;C1077</f>
        <v>SL02NCP RP ONPK</v>
      </c>
      <c r="B1077" t="s">
        <v>38</v>
      </c>
      <c r="C1077" t="s">
        <v>160</v>
      </c>
      <c r="D1077" s="5">
        <v>0</v>
      </c>
      <c r="E1077" s="5">
        <v>0</v>
      </c>
      <c r="F1077" s="5">
        <v>0</v>
      </c>
      <c r="G1077" s="5">
        <v>0</v>
      </c>
      <c r="H1077" s="5">
        <v>0</v>
      </c>
      <c r="I1077" s="5">
        <v>0</v>
      </c>
      <c r="J1077" s="5">
        <v>0</v>
      </c>
      <c r="K1077" s="5">
        <v>0</v>
      </c>
      <c r="L1077" s="5">
        <v>0</v>
      </c>
      <c r="M1077" s="5">
        <v>0</v>
      </c>
      <c r="N1077" s="5">
        <v>0</v>
      </c>
      <c r="O1077" s="5">
        <v>0</v>
      </c>
    </row>
    <row r="1078" spans="1:15">
      <c r="A1078" t="str">
        <f t="shared" si="16"/>
        <v>SL02NCP RP OFFPK</v>
      </c>
      <c r="B1078" t="s">
        <v>38</v>
      </c>
      <c r="C1078" t="s">
        <v>161</v>
      </c>
      <c r="D1078" s="5">
        <v>0</v>
      </c>
      <c r="E1078" s="5">
        <v>0</v>
      </c>
      <c r="F1078" s="5">
        <v>0</v>
      </c>
      <c r="G1078" s="5">
        <v>0</v>
      </c>
      <c r="H1078" s="5">
        <v>0</v>
      </c>
      <c r="I1078" s="5">
        <v>0</v>
      </c>
      <c r="J1078" s="5">
        <v>0</v>
      </c>
      <c r="K1078" s="5">
        <v>0</v>
      </c>
      <c r="L1078" s="5">
        <v>0</v>
      </c>
      <c r="M1078" s="5">
        <v>0</v>
      </c>
      <c r="N1078" s="5">
        <v>0</v>
      </c>
      <c r="O1078" s="5">
        <v>0</v>
      </c>
    </row>
    <row r="1079" spans="1:15">
      <c r="A1079" t="str">
        <f t="shared" si="16"/>
        <v>SL02GCP RP</v>
      </c>
      <c r="B1079" t="s">
        <v>38</v>
      </c>
      <c r="C1079" t="s">
        <v>162</v>
      </c>
      <c r="D1079" s="5">
        <v>0</v>
      </c>
      <c r="E1079" s="5">
        <v>0</v>
      </c>
      <c r="F1079" s="5">
        <v>0</v>
      </c>
      <c r="G1079" s="5">
        <v>0</v>
      </c>
      <c r="H1079" s="5">
        <v>0</v>
      </c>
      <c r="I1079" s="5">
        <v>0</v>
      </c>
      <c r="J1079" s="5">
        <v>0</v>
      </c>
      <c r="K1079" s="5">
        <v>0</v>
      </c>
      <c r="L1079" s="5">
        <v>0</v>
      </c>
      <c r="M1079" s="5">
        <v>0</v>
      </c>
      <c r="N1079" s="5">
        <v>0</v>
      </c>
      <c r="O1079" s="5">
        <v>0</v>
      </c>
    </row>
    <row r="1080" spans="1:15">
      <c r="A1080" t="str">
        <f t="shared" si="16"/>
        <v>SL02GCP RP ONPK</v>
      </c>
      <c r="B1080" t="s">
        <v>38</v>
      </c>
      <c r="C1080" t="s">
        <v>163</v>
      </c>
      <c r="D1080" s="5">
        <v>0</v>
      </c>
      <c r="E1080" s="5">
        <v>0</v>
      </c>
      <c r="F1080" s="5">
        <v>0</v>
      </c>
      <c r="G1080" s="5">
        <v>0</v>
      </c>
      <c r="H1080" s="5">
        <v>0</v>
      </c>
      <c r="I1080" s="5">
        <v>0</v>
      </c>
      <c r="J1080" s="5">
        <v>0</v>
      </c>
      <c r="K1080" s="5">
        <v>0</v>
      </c>
      <c r="L1080" s="5">
        <v>0</v>
      </c>
      <c r="M1080" s="5">
        <v>0</v>
      </c>
      <c r="N1080" s="5">
        <v>0</v>
      </c>
      <c r="O1080" s="5">
        <v>0</v>
      </c>
    </row>
    <row r="1081" spans="1:15">
      <c r="A1081" t="str">
        <f t="shared" si="16"/>
        <v>SL02GCP RP OFFPK</v>
      </c>
      <c r="B1081" t="s">
        <v>38</v>
      </c>
      <c r="C1081" t="s">
        <v>164</v>
      </c>
      <c r="D1081" s="5">
        <v>0</v>
      </c>
      <c r="E1081" s="5">
        <v>0</v>
      </c>
      <c r="F1081" s="5">
        <v>0</v>
      </c>
      <c r="G1081" s="5">
        <v>0</v>
      </c>
      <c r="H1081" s="5">
        <v>0</v>
      </c>
      <c r="I1081" s="5">
        <v>0</v>
      </c>
      <c r="J1081" s="5">
        <v>0</v>
      </c>
      <c r="K1081" s="5">
        <v>0</v>
      </c>
      <c r="L1081" s="5">
        <v>0</v>
      </c>
      <c r="M1081" s="5">
        <v>0</v>
      </c>
      <c r="N1081" s="5">
        <v>0</v>
      </c>
      <c r="O1081" s="5">
        <v>0</v>
      </c>
    </row>
    <row r="1082" spans="1:15">
      <c r="A1082" t="str">
        <f t="shared" si="16"/>
        <v>SL02CP RP</v>
      </c>
      <c r="B1082" t="s">
        <v>38</v>
      </c>
      <c r="C1082" t="s">
        <v>165</v>
      </c>
      <c r="D1082" s="5">
        <v>0</v>
      </c>
      <c r="E1082" s="5">
        <v>0</v>
      </c>
      <c r="F1082" s="5">
        <v>0</v>
      </c>
      <c r="G1082" s="5">
        <v>0</v>
      </c>
      <c r="H1082" s="5">
        <v>0</v>
      </c>
      <c r="I1082" s="5">
        <v>0</v>
      </c>
      <c r="J1082" s="5">
        <v>0</v>
      </c>
      <c r="K1082" s="5">
        <v>0</v>
      </c>
      <c r="L1082" s="5">
        <v>0</v>
      </c>
      <c r="M1082" s="5">
        <v>0</v>
      </c>
      <c r="N1082" s="5">
        <v>0</v>
      </c>
      <c r="O1082" s="5">
        <v>0</v>
      </c>
    </row>
    <row r="1083" spans="1:15">
      <c r="A1083" t="str">
        <f t="shared" si="16"/>
        <v>SL02SAMPLE SIZE:</v>
      </c>
      <c r="B1083" t="s">
        <v>38</v>
      </c>
      <c r="C1083" t="s">
        <v>66</v>
      </c>
    </row>
    <row r="1084" spans="1:15">
      <c r="A1084" t="str">
        <f t="shared" si="16"/>
        <v>SL02GCPSZ</v>
      </c>
      <c r="B1084" t="s">
        <v>38</v>
      </c>
      <c r="C1084" t="s">
        <v>166</v>
      </c>
      <c r="D1084">
        <v>1</v>
      </c>
      <c r="E1084">
        <v>1</v>
      </c>
      <c r="F1084">
        <v>1</v>
      </c>
      <c r="G1084">
        <v>1</v>
      </c>
      <c r="H1084">
        <v>1</v>
      </c>
      <c r="I1084">
        <v>1</v>
      </c>
      <c r="J1084">
        <v>1</v>
      </c>
      <c r="K1084">
        <v>1</v>
      </c>
      <c r="L1084">
        <v>1</v>
      </c>
      <c r="M1084">
        <v>1</v>
      </c>
      <c r="N1084">
        <v>1</v>
      </c>
      <c r="O1084">
        <v>1</v>
      </c>
    </row>
    <row r="1085" spans="1:15">
      <c r="A1085" t="str">
        <f t="shared" si="16"/>
        <v>SL02GCPSZ ONPK</v>
      </c>
      <c r="B1085" t="s">
        <v>38</v>
      </c>
      <c r="C1085" t="s">
        <v>167</v>
      </c>
      <c r="D1085">
        <v>1</v>
      </c>
      <c r="E1085">
        <v>1</v>
      </c>
      <c r="F1085">
        <v>1</v>
      </c>
      <c r="G1085">
        <v>1</v>
      </c>
      <c r="H1085">
        <v>1</v>
      </c>
      <c r="I1085">
        <v>1</v>
      </c>
      <c r="J1085">
        <v>1</v>
      </c>
      <c r="K1085">
        <v>1</v>
      </c>
      <c r="L1085">
        <v>1</v>
      </c>
      <c r="M1085">
        <v>1</v>
      </c>
      <c r="N1085">
        <v>1</v>
      </c>
      <c r="O1085">
        <v>1</v>
      </c>
    </row>
    <row r="1086" spans="1:15">
      <c r="A1086" t="str">
        <f t="shared" si="16"/>
        <v>SL02GCPSZ OFFPK</v>
      </c>
      <c r="B1086" t="s">
        <v>38</v>
      </c>
      <c r="C1086" t="s">
        <v>168</v>
      </c>
      <c r="D1086">
        <v>1</v>
      </c>
      <c r="E1086">
        <v>1</v>
      </c>
      <c r="F1086">
        <v>1</v>
      </c>
      <c r="G1086">
        <v>1</v>
      </c>
      <c r="H1086">
        <v>1</v>
      </c>
      <c r="I1086">
        <v>1</v>
      </c>
      <c r="J1086">
        <v>1</v>
      </c>
      <c r="K1086">
        <v>1</v>
      </c>
      <c r="L1086">
        <v>1</v>
      </c>
      <c r="M1086">
        <v>1</v>
      </c>
      <c r="N1086">
        <v>1</v>
      </c>
      <c r="O1086">
        <v>1</v>
      </c>
    </row>
    <row r="1087" spans="1:15">
      <c r="A1087" t="str">
        <f t="shared" si="16"/>
        <v>SL02CPSZ</v>
      </c>
      <c r="B1087" t="s">
        <v>38</v>
      </c>
      <c r="C1087" t="s">
        <v>169</v>
      </c>
      <c r="D1087">
        <v>1</v>
      </c>
      <c r="E1087">
        <v>1</v>
      </c>
      <c r="F1087">
        <v>1</v>
      </c>
      <c r="G1087">
        <v>1</v>
      </c>
      <c r="H1087">
        <v>1</v>
      </c>
      <c r="I1087">
        <v>1</v>
      </c>
      <c r="J1087">
        <v>1</v>
      </c>
      <c r="K1087">
        <v>1</v>
      </c>
      <c r="L1087">
        <v>1</v>
      </c>
      <c r="M1087">
        <v>1</v>
      </c>
      <c r="N1087">
        <v>1</v>
      </c>
      <c r="O1087">
        <v>1</v>
      </c>
    </row>
    <row r="1088" spans="1:15">
      <c r="A1088" t="str">
        <f t="shared" si="16"/>
        <v/>
      </c>
    </row>
    <row r="1089" spans="1:15">
      <c r="A1089" t="str">
        <f t="shared" si="16"/>
        <v/>
      </c>
    </row>
    <row r="1090" spans="1:15">
      <c r="A1090" t="str">
        <f t="shared" si="16"/>
        <v xml:space="preserve">SSTD SSTD-D Distribution Standby Load Combined (SST-1D, 2D &amp; 3D) </v>
      </c>
      <c r="B1090" t="s">
        <v>39</v>
      </c>
      <c r="C1090" t="s">
        <v>257</v>
      </c>
    </row>
    <row r="1091" spans="1:15">
      <c r="A1091" t="str">
        <f t="shared" si="16"/>
        <v xml:space="preserve">SSTDMONTH </v>
      </c>
      <c r="B1091" t="s">
        <v>40</v>
      </c>
      <c r="C1091" t="s">
        <v>123</v>
      </c>
      <c r="D1091" s="4">
        <v>41275</v>
      </c>
      <c r="E1091" s="4">
        <v>41306</v>
      </c>
      <c r="F1091" s="4">
        <v>41334</v>
      </c>
      <c r="G1091" s="4">
        <v>41365</v>
      </c>
      <c r="H1091" s="4">
        <v>41395</v>
      </c>
      <c r="I1091" s="4">
        <v>41426</v>
      </c>
      <c r="J1091" s="4">
        <v>41456</v>
      </c>
      <c r="K1091" s="4">
        <v>41487</v>
      </c>
      <c r="L1091" s="4">
        <v>41518</v>
      </c>
      <c r="M1091" s="4">
        <v>41548</v>
      </c>
      <c r="N1091" s="4">
        <v>41579</v>
      </c>
      <c r="O1091" s="4">
        <v>41609</v>
      </c>
    </row>
    <row r="1092" spans="1:15">
      <c r="A1092" t="str">
        <f t="shared" si="16"/>
        <v xml:space="preserve">SSTDCUSTOMERS </v>
      </c>
      <c r="B1092" t="s">
        <v>40</v>
      </c>
      <c r="C1092" t="s">
        <v>124</v>
      </c>
      <c r="D1092">
        <v>6</v>
      </c>
      <c r="E1092">
        <v>6</v>
      </c>
      <c r="F1092">
        <v>6</v>
      </c>
      <c r="G1092">
        <v>6</v>
      </c>
      <c r="H1092">
        <v>6</v>
      </c>
      <c r="I1092">
        <v>6</v>
      </c>
      <c r="J1092">
        <v>6</v>
      </c>
      <c r="K1092">
        <v>6</v>
      </c>
      <c r="L1092">
        <v>6</v>
      </c>
      <c r="M1092">
        <v>6</v>
      </c>
      <c r="N1092">
        <v>6</v>
      </c>
      <c r="O1092">
        <v>6</v>
      </c>
    </row>
    <row r="1093" spans="1:15">
      <c r="A1093" t="str">
        <f t="shared" si="16"/>
        <v xml:space="preserve">SSTDSALES </v>
      </c>
      <c r="B1093" t="s">
        <v>40</v>
      </c>
      <c r="C1093" t="s">
        <v>125</v>
      </c>
      <c r="D1093">
        <v>268066</v>
      </c>
      <c r="E1093">
        <v>140885</v>
      </c>
      <c r="F1093">
        <v>244041</v>
      </c>
      <c r="G1093">
        <v>656807</v>
      </c>
      <c r="H1093">
        <v>913018</v>
      </c>
      <c r="I1093">
        <v>959029</v>
      </c>
      <c r="J1093">
        <v>773860</v>
      </c>
      <c r="K1093">
        <v>969854</v>
      </c>
      <c r="L1093">
        <v>1044922</v>
      </c>
      <c r="M1093">
        <v>1611257</v>
      </c>
      <c r="N1093">
        <v>1245015</v>
      </c>
      <c r="O1093">
        <v>936814</v>
      </c>
    </row>
    <row r="1094" spans="1:15">
      <c r="A1094" t="str">
        <f t="shared" si="16"/>
        <v>SSTDKW</v>
      </c>
      <c r="B1094" t="s">
        <v>40</v>
      </c>
      <c r="C1094" t="s">
        <v>126</v>
      </c>
    </row>
    <row r="1095" spans="1:15">
      <c r="A1095" t="str">
        <f t="shared" si="16"/>
        <v>SSTDN</v>
      </c>
      <c r="B1095" t="s">
        <v>40</v>
      </c>
      <c r="C1095" t="s">
        <v>127</v>
      </c>
      <c r="D1095">
        <v>6</v>
      </c>
      <c r="E1095">
        <v>6</v>
      </c>
      <c r="F1095">
        <v>6</v>
      </c>
      <c r="G1095">
        <v>6</v>
      </c>
      <c r="H1095">
        <v>6</v>
      </c>
      <c r="I1095">
        <v>6</v>
      </c>
      <c r="J1095">
        <v>6</v>
      </c>
      <c r="K1095">
        <v>6</v>
      </c>
      <c r="L1095">
        <v>6</v>
      </c>
      <c r="M1095">
        <v>6</v>
      </c>
      <c r="N1095">
        <v>6</v>
      </c>
      <c r="O1095">
        <v>6</v>
      </c>
    </row>
    <row r="1096" spans="1:15">
      <c r="A1096" t="str">
        <f t="shared" si="16"/>
        <v>SSTDRLR ENERGY:</v>
      </c>
      <c r="B1096" t="s">
        <v>40</v>
      </c>
      <c r="C1096" t="s">
        <v>61</v>
      </c>
    </row>
    <row r="1097" spans="1:15">
      <c r="A1097" t="str">
        <f t="shared" si="16"/>
        <v>SSTDKWH</v>
      </c>
      <c r="B1097" t="s">
        <v>40</v>
      </c>
      <c r="C1097" t="s">
        <v>128</v>
      </c>
      <c r="D1097">
        <v>234192</v>
      </c>
      <c r="E1097">
        <v>75897</v>
      </c>
      <c r="F1097">
        <v>711188</v>
      </c>
      <c r="G1097">
        <v>908208</v>
      </c>
      <c r="H1097">
        <v>869648</v>
      </c>
      <c r="I1097">
        <v>899128</v>
      </c>
      <c r="J1097">
        <v>910583</v>
      </c>
      <c r="K1097">
        <v>997492</v>
      </c>
      <c r="L1097">
        <v>1298353</v>
      </c>
      <c r="M1097">
        <v>1534746</v>
      </c>
      <c r="N1097">
        <v>686248</v>
      </c>
      <c r="O1097">
        <v>1291496</v>
      </c>
    </row>
    <row r="1098" spans="1:15">
      <c r="A1098" t="str">
        <f t="shared" si="16"/>
        <v>SSTDKWH ONPK</v>
      </c>
      <c r="B1098" t="s">
        <v>40</v>
      </c>
      <c r="C1098" t="s">
        <v>129</v>
      </c>
      <c r="D1098">
        <v>51955</v>
      </c>
      <c r="E1098">
        <v>8314</v>
      </c>
      <c r="F1098">
        <v>140497</v>
      </c>
      <c r="G1098">
        <v>293622</v>
      </c>
      <c r="H1098">
        <v>253087</v>
      </c>
      <c r="I1098">
        <v>229836</v>
      </c>
      <c r="J1098">
        <v>279800</v>
      </c>
      <c r="K1098">
        <v>286796</v>
      </c>
      <c r="L1098">
        <v>348110</v>
      </c>
      <c r="M1098">
        <v>462856</v>
      </c>
      <c r="N1098">
        <v>140773</v>
      </c>
      <c r="O1098">
        <v>299502</v>
      </c>
    </row>
    <row r="1099" spans="1:15">
      <c r="A1099" t="str">
        <f t="shared" si="16"/>
        <v>SSTDKWH OFFPK</v>
      </c>
      <c r="B1099" t="s">
        <v>40</v>
      </c>
      <c r="C1099" t="s">
        <v>130</v>
      </c>
      <c r="D1099">
        <v>182238</v>
      </c>
      <c r="E1099">
        <v>67583</v>
      </c>
      <c r="F1099">
        <v>570691</v>
      </c>
      <c r="G1099">
        <v>614586</v>
      </c>
      <c r="H1099">
        <v>616561</v>
      </c>
      <c r="I1099">
        <v>669292</v>
      </c>
      <c r="J1099">
        <v>630784</v>
      </c>
      <c r="K1099">
        <v>710697</v>
      </c>
      <c r="L1099">
        <v>950242</v>
      </c>
      <c r="M1099">
        <v>1071890</v>
      </c>
      <c r="N1099">
        <v>545474</v>
      </c>
      <c r="O1099">
        <v>991993</v>
      </c>
    </row>
    <row r="1100" spans="1:15">
      <c r="A1100" t="str">
        <f t="shared" si="16"/>
        <v>SSTDKWH ONPK%</v>
      </c>
      <c r="B1100" t="s">
        <v>40</v>
      </c>
      <c r="C1100" t="s">
        <v>131</v>
      </c>
      <c r="D1100" s="5">
        <v>0.22184999999999999</v>
      </c>
      <c r="E1100" s="5">
        <v>0.10954</v>
      </c>
      <c r="F1100" s="5">
        <v>0.19755</v>
      </c>
      <c r="G1100" s="5">
        <v>0.32329999999999998</v>
      </c>
      <c r="H1100" s="5">
        <v>0.29102</v>
      </c>
      <c r="I1100" s="5">
        <v>0.25562000000000001</v>
      </c>
      <c r="J1100" s="5">
        <v>0.30728</v>
      </c>
      <c r="K1100" s="5">
        <v>0.28752</v>
      </c>
      <c r="L1100" s="5">
        <v>0.26812000000000002</v>
      </c>
      <c r="M1100" s="5">
        <v>0.30158000000000001</v>
      </c>
      <c r="N1100" s="5">
        <v>0.20513000000000001</v>
      </c>
      <c r="O1100" s="5">
        <v>0.2319</v>
      </c>
    </row>
    <row r="1101" spans="1:15">
      <c r="A1101" t="str">
        <f t="shared" si="16"/>
        <v>SSTDKWH OFFPK%</v>
      </c>
      <c r="B1101" t="s">
        <v>40</v>
      </c>
      <c r="C1101" t="s">
        <v>132</v>
      </c>
      <c r="D1101" s="5">
        <v>0.77815999999999996</v>
      </c>
      <c r="E1101" s="5">
        <v>0.89046000000000003</v>
      </c>
      <c r="F1101" s="5">
        <v>0.80245</v>
      </c>
      <c r="G1101" s="5">
        <v>0.67669999999999997</v>
      </c>
      <c r="H1101" s="5">
        <v>0.70898000000000005</v>
      </c>
      <c r="I1101" s="5">
        <v>0.74438000000000004</v>
      </c>
      <c r="J1101" s="5">
        <v>0.69272999999999996</v>
      </c>
      <c r="K1101" s="5">
        <v>0.71248</v>
      </c>
      <c r="L1101" s="5">
        <v>0.73187999999999998</v>
      </c>
      <c r="M1101" s="5">
        <v>0.69842000000000004</v>
      </c>
      <c r="N1101" s="5">
        <v>0.79486000000000001</v>
      </c>
      <c r="O1101" s="5">
        <v>0.7681</v>
      </c>
    </row>
    <row r="1102" spans="1:15">
      <c r="A1102" t="str">
        <f t="shared" si="16"/>
        <v>SSTDDEMAND (KW):</v>
      </c>
      <c r="B1102" t="s">
        <v>40</v>
      </c>
      <c r="C1102" t="s">
        <v>62</v>
      </c>
    </row>
    <row r="1103" spans="1:15">
      <c r="A1103" t="str">
        <f t="shared" si="16"/>
        <v>SSTDNCP</v>
      </c>
      <c r="B1103" t="s">
        <v>40</v>
      </c>
      <c r="C1103" t="s">
        <v>133</v>
      </c>
      <c r="D1103">
        <v>1397</v>
      </c>
      <c r="E1103">
        <v>1654</v>
      </c>
      <c r="F1103">
        <v>4875</v>
      </c>
      <c r="G1103">
        <v>4501</v>
      </c>
      <c r="H1103">
        <v>4240</v>
      </c>
      <c r="I1103">
        <v>4402</v>
      </c>
      <c r="J1103">
        <v>4910</v>
      </c>
      <c r="K1103">
        <v>5174</v>
      </c>
      <c r="L1103">
        <v>4549</v>
      </c>
      <c r="M1103">
        <v>6260</v>
      </c>
      <c r="N1103">
        <v>3911</v>
      </c>
      <c r="O1103">
        <v>6779</v>
      </c>
    </row>
    <row r="1104" spans="1:15">
      <c r="A1104" t="str">
        <f t="shared" si="16"/>
        <v>SSTDNCP ONPK</v>
      </c>
      <c r="B1104" t="s">
        <v>40</v>
      </c>
      <c r="C1104" t="s">
        <v>134</v>
      </c>
      <c r="D1104">
        <v>1047</v>
      </c>
      <c r="E1104">
        <v>1413</v>
      </c>
      <c r="F1104">
        <v>3854</v>
      </c>
      <c r="G1104">
        <v>4355</v>
      </c>
      <c r="H1104">
        <v>3897</v>
      </c>
      <c r="I1104">
        <v>3603</v>
      </c>
      <c r="J1104">
        <v>4611</v>
      </c>
      <c r="K1104">
        <v>3534</v>
      </c>
      <c r="L1104">
        <v>4425</v>
      </c>
      <c r="M1104">
        <v>5705</v>
      </c>
      <c r="N1104">
        <v>2480</v>
      </c>
      <c r="O1104">
        <v>6479</v>
      </c>
    </row>
    <row r="1105" spans="1:15">
      <c r="A1105" t="str">
        <f t="shared" si="16"/>
        <v>SSTDNCP OFFPK</v>
      </c>
      <c r="B1105" t="s">
        <v>40</v>
      </c>
      <c r="C1105" t="s">
        <v>135</v>
      </c>
      <c r="D1105">
        <v>1397</v>
      </c>
      <c r="E1105">
        <v>1618</v>
      </c>
      <c r="F1105">
        <v>4842</v>
      </c>
      <c r="G1105">
        <v>4038</v>
      </c>
      <c r="H1105">
        <v>4141</v>
      </c>
      <c r="I1105">
        <v>4207</v>
      </c>
      <c r="J1105">
        <v>4838</v>
      </c>
      <c r="K1105">
        <v>5148</v>
      </c>
      <c r="L1105">
        <v>4487</v>
      </c>
      <c r="M1105">
        <v>5734</v>
      </c>
      <c r="N1105">
        <v>3911</v>
      </c>
      <c r="O1105">
        <v>5517</v>
      </c>
    </row>
    <row r="1106" spans="1:15">
      <c r="A1106" t="str">
        <f t="shared" si="16"/>
        <v>SSTDGCP DATE</v>
      </c>
      <c r="B1106" t="s">
        <v>40</v>
      </c>
      <c r="C1106" t="s">
        <v>136</v>
      </c>
      <c r="D1106" t="s">
        <v>871</v>
      </c>
      <c r="E1106" t="s">
        <v>279</v>
      </c>
      <c r="F1106" t="s">
        <v>872</v>
      </c>
      <c r="G1106" t="s">
        <v>758</v>
      </c>
      <c r="H1106" t="s">
        <v>873</v>
      </c>
      <c r="I1106" t="s">
        <v>874</v>
      </c>
      <c r="J1106" t="s">
        <v>796</v>
      </c>
      <c r="K1106" t="s">
        <v>799</v>
      </c>
      <c r="L1106" t="s">
        <v>750</v>
      </c>
      <c r="M1106" t="s">
        <v>875</v>
      </c>
      <c r="N1106" t="s">
        <v>876</v>
      </c>
      <c r="O1106" t="s">
        <v>877</v>
      </c>
    </row>
    <row r="1107" spans="1:15">
      <c r="A1107" t="str">
        <f t="shared" si="16"/>
        <v>SSTDGCP TIME</v>
      </c>
      <c r="B1107" t="s">
        <v>40</v>
      </c>
      <c r="C1107" t="s">
        <v>142</v>
      </c>
      <c r="D1107" t="s">
        <v>199</v>
      </c>
      <c r="E1107" t="s">
        <v>27</v>
      </c>
      <c r="F1107" t="s">
        <v>146</v>
      </c>
      <c r="G1107" t="s">
        <v>143</v>
      </c>
      <c r="H1107" t="s">
        <v>144</v>
      </c>
      <c r="I1107" t="s">
        <v>194</v>
      </c>
      <c r="J1107" t="s">
        <v>189</v>
      </c>
      <c r="K1107" t="s">
        <v>202</v>
      </c>
      <c r="L1107" t="s">
        <v>144</v>
      </c>
      <c r="M1107" t="s">
        <v>145</v>
      </c>
      <c r="N1107" t="s">
        <v>237</v>
      </c>
      <c r="O1107" t="s">
        <v>202</v>
      </c>
    </row>
    <row r="1108" spans="1:15">
      <c r="A1108" t="str">
        <f t="shared" si="16"/>
        <v>SSTDGCP</v>
      </c>
      <c r="B1108" t="s">
        <v>40</v>
      </c>
      <c r="C1108" t="s">
        <v>147</v>
      </c>
      <c r="D1108">
        <v>937</v>
      </c>
      <c r="E1108">
        <v>1088</v>
      </c>
      <c r="F1108">
        <v>3356</v>
      </c>
      <c r="G1108">
        <v>3908</v>
      </c>
      <c r="H1108">
        <v>3652</v>
      </c>
      <c r="I1108">
        <v>3334</v>
      </c>
      <c r="J1108">
        <v>4452</v>
      </c>
      <c r="K1108">
        <v>4367</v>
      </c>
      <c r="L1108">
        <v>4112</v>
      </c>
      <c r="M1108">
        <v>5073</v>
      </c>
      <c r="N1108">
        <v>3720</v>
      </c>
      <c r="O1108">
        <v>4038</v>
      </c>
    </row>
    <row r="1109" spans="1:15">
      <c r="A1109" t="str">
        <f t="shared" si="16"/>
        <v>SSTDGCP ONPK</v>
      </c>
      <c r="B1109" t="s">
        <v>40</v>
      </c>
      <c r="C1109" t="s">
        <v>63</v>
      </c>
      <c r="D1109">
        <v>922</v>
      </c>
      <c r="E1109">
        <v>1088</v>
      </c>
      <c r="F1109">
        <v>2437</v>
      </c>
      <c r="G1109">
        <v>3908</v>
      </c>
      <c r="H1109">
        <v>3652</v>
      </c>
      <c r="I1109">
        <v>2696</v>
      </c>
      <c r="J1109">
        <v>4267</v>
      </c>
      <c r="K1109">
        <v>3014</v>
      </c>
      <c r="L1109">
        <v>4112</v>
      </c>
      <c r="M1109">
        <v>5073</v>
      </c>
      <c r="N1109">
        <v>2381</v>
      </c>
      <c r="O1109">
        <v>4038</v>
      </c>
    </row>
    <row r="1110" spans="1:15">
      <c r="A1110" t="str">
        <f t="shared" si="16"/>
        <v>SSTDGCP OFFPK</v>
      </c>
      <c r="B1110" t="s">
        <v>40</v>
      </c>
      <c r="C1110" t="s">
        <v>64</v>
      </c>
      <c r="D1110">
        <v>937</v>
      </c>
      <c r="E1110">
        <v>1057</v>
      </c>
      <c r="F1110">
        <v>3356</v>
      </c>
      <c r="G1110">
        <v>3479</v>
      </c>
      <c r="H1110">
        <v>3517</v>
      </c>
      <c r="I1110">
        <v>3334</v>
      </c>
      <c r="J1110">
        <v>4452</v>
      </c>
      <c r="K1110">
        <v>4367</v>
      </c>
      <c r="L1110">
        <v>3958</v>
      </c>
      <c r="M1110">
        <v>4482</v>
      </c>
      <c r="N1110">
        <v>3720</v>
      </c>
      <c r="O1110">
        <v>3965</v>
      </c>
    </row>
    <row r="1111" spans="1:15">
      <c r="A1111" t="str">
        <f t="shared" si="16"/>
        <v>SSTDCP</v>
      </c>
      <c r="B1111" t="s">
        <v>40</v>
      </c>
      <c r="C1111" t="s">
        <v>148</v>
      </c>
      <c r="D1111">
        <v>256</v>
      </c>
      <c r="E1111">
        <v>0</v>
      </c>
      <c r="F1111">
        <v>452</v>
      </c>
      <c r="G1111">
        <v>1115</v>
      </c>
      <c r="H1111">
        <v>1700</v>
      </c>
      <c r="I1111">
        <v>1440</v>
      </c>
      <c r="J1111">
        <v>2392</v>
      </c>
      <c r="K1111">
        <v>1520</v>
      </c>
      <c r="L1111">
        <v>1501</v>
      </c>
      <c r="M1111">
        <v>2260</v>
      </c>
      <c r="N1111">
        <v>2020</v>
      </c>
      <c r="O1111">
        <v>1220</v>
      </c>
    </row>
    <row r="1112" spans="1:15">
      <c r="A1112" t="str">
        <f t="shared" si="16"/>
        <v>SSTDPERIOD START</v>
      </c>
      <c r="B1112" t="s">
        <v>40</v>
      </c>
      <c r="C1112" t="s">
        <v>149</v>
      </c>
      <c r="D1112" s="1">
        <v>41275</v>
      </c>
      <c r="E1112" s="1">
        <v>41306</v>
      </c>
      <c r="F1112" s="1">
        <v>41334</v>
      </c>
      <c r="G1112" s="1">
        <v>41365</v>
      </c>
      <c r="H1112" s="1">
        <v>41395</v>
      </c>
      <c r="I1112" s="1">
        <v>41426</v>
      </c>
      <c r="J1112" s="1">
        <v>41456</v>
      </c>
      <c r="K1112" s="1">
        <v>41487</v>
      </c>
      <c r="L1112" s="1">
        <v>41518</v>
      </c>
      <c r="M1112" s="1">
        <v>41548</v>
      </c>
      <c r="N1112" s="1">
        <v>41579</v>
      </c>
      <c r="O1112" s="1">
        <v>41609</v>
      </c>
    </row>
    <row r="1113" spans="1:15">
      <c r="A1113" t="str">
        <f t="shared" si="16"/>
        <v>SSTDNCP LF</v>
      </c>
      <c r="B1113" t="s">
        <v>40</v>
      </c>
      <c r="C1113" t="s">
        <v>150</v>
      </c>
      <c r="D1113" s="5">
        <v>0.2253</v>
      </c>
      <c r="E1113" s="5">
        <v>6.83E-2</v>
      </c>
      <c r="F1113" s="5">
        <v>0.1963</v>
      </c>
      <c r="G1113" s="5">
        <v>0.28029999999999999</v>
      </c>
      <c r="H1113" s="5">
        <v>0.2757</v>
      </c>
      <c r="I1113" s="5">
        <v>0.28370000000000001</v>
      </c>
      <c r="J1113" s="5">
        <v>0.24929999999999999</v>
      </c>
      <c r="K1113" s="5">
        <v>0.2591</v>
      </c>
      <c r="L1113" s="5">
        <v>0.39639999999999997</v>
      </c>
      <c r="M1113" s="5">
        <v>0.3296</v>
      </c>
      <c r="N1113" s="5">
        <v>0.2437</v>
      </c>
      <c r="O1113" s="5">
        <v>0.25609999999999999</v>
      </c>
    </row>
    <row r="1114" spans="1:15">
      <c r="A1114" t="str">
        <f t="shared" si="16"/>
        <v>SSTDNCP LF ONPK</v>
      </c>
      <c r="B1114" t="s">
        <v>40</v>
      </c>
      <c r="C1114" t="s">
        <v>151</v>
      </c>
      <c r="D1114" s="5">
        <v>0.28179999999999999</v>
      </c>
      <c r="E1114" s="5">
        <v>3.6799999999999999E-2</v>
      </c>
      <c r="F1114" s="5">
        <v>0.217</v>
      </c>
      <c r="G1114" s="5">
        <v>0.34050000000000002</v>
      </c>
      <c r="H1114" s="5">
        <v>0.32800000000000001</v>
      </c>
      <c r="I1114" s="5">
        <v>0.35439999999999999</v>
      </c>
      <c r="J1114" s="5">
        <v>0.30649999999999999</v>
      </c>
      <c r="K1114" s="5">
        <v>0.40989999999999999</v>
      </c>
      <c r="L1114" s="5">
        <v>0.437</v>
      </c>
      <c r="M1114" s="5">
        <v>0.39200000000000002</v>
      </c>
      <c r="N1114" s="5">
        <v>0.35470000000000002</v>
      </c>
      <c r="O1114" s="5">
        <v>0.2752</v>
      </c>
    </row>
    <row r="1115" spans="1:15">
      <c r="A1115" t="str">
        <f t="shared" si="16"/>
        <v>SSTDNCP LF OFFPK</v>
      </c>
      <c r="B1115" t="s">
        <v>40</v>
      </c>
      <c r="C1115" t="s">
        <v>152</v>
      </c>
      <c r="D1115" s="5">
        <v>0.2296</v>
      </c>
      <c r="E1115" s="5">
        <v>8.1600000000000006E-2</v>
      </c>
      <c r="F1115" s="5">
        <v>0.20499999999999999</v>
      </c>
      <c r="G1115" s="5">
        <v>0.29160000000000003</v>
      </c>
      <c r="H1115" s="5">
        <v>0.2727</v>
      </c>
      <c r="I1115" s="5">
        <v>0.29459999999999997</v>
      </c>
      <c r="J1115" s="5">
        <v>0.23880000000000001</v>
      </c>
      <c r="K1115" s="5">
        <v>0.25290000000000001</v>
      </c>
      <c r="L1115" s="5">
        <v>0.39219999999999999</v>
      </c>
      <c r="M1115" s="5">
        <v>0.34810000000000002</v>
      </c>
      <c r="N1115" s="5">
        <v>0.24909999999999999</v>
      </c>
      <c r="O1115" s="5">
        <v>0.31219999999999998</v>
      </c>
    </row>
    <row r="1116" spans="1:15">
      <c r="A1116" t="str">
        <f t="shared" si="16"/>
        <v>SSTDGCP CF</v>
      </c>
      <c r="B1116" t="s">
        <v>40</v>
      </c>
      <c r="C1116" t="s">
        <v>153</v>
      </c>
      <c r="D1116" s="5">
        <v>0.67049999999999998</v>
      </c>
      <c r="E1116" s="5">
        <v>0.65769999999999995</v>
      </c>
      <c r="F1116" s="5">
        <v>0.6885</v>
      </c>
      <c r="G1116" s="5">
        <v>0.86839999999999995</v>
      </c>
      <c r="H1116" s="5">
        <v>0.86129999999999995</v>
      </c>
      <c r="I1116" s="5">
        <v>0.75739999999999996</v>
      </c>
      <c r="J1116" s="5">
        <v>0.90680000000000005</v>
      </c>
      <c r="K1116" s="5">
        <v>0.84399999999999997</v>
      </c>
      <c r="L1116" s="5">
        <v>0.90390000000000004</v>
      </c>
      <c r="M1116" s="5">
        <v>0.81040000000000001</v>
      </c>
      <c r="N1116" s="5">
        <v>0.95109999999999995</v>
      </c>
      <c r="O1116" s="5">
        <v>0.59560000000000002</v>
      </c>
    </row>
    <row r="1117" spans="1:15">
      <c r="A1117" t="str">
        <f t="shared" si="16"/>
        <v>SSTDCP CF</v>
      </c>
      <c r="B1117" t="s">
        <v>40</v>
      </c>
      <c r="C1117" t="s">
        <v>154</v>
      </c>
      <c r="D1117" s="5">
        <v>0.18290000000000001</v>
      </c>
      <c r="E1117" s="5">
        <v>0</v>
      </c>
      <c r="F1117" s="5">
        <v>9.2600000000000002E-2</v>
      </c>
      <c r="G1117" s="5">
        <v>0.24779999999999999</v>
      </c>
      <c r="H1117" s="5">
        <v>0.40089999999999998</v>
      </c>
      <c r="I1117" s="5">
        <v>0.3271</v>
      </c>
      <c r="J1117" s="5">
        <v>0.48709999999999998</v>
      </c>
      <c r="K1117" s="5">
        <v>0.29380000000000001</v>
      </c>
      <c r="L1117" s="5">
        <v>0.33</v>
      </c>
      <c r="M1117" s="5">
        <v>0.36109999999999998</v>
      </c>
      <c r="N1117" s="5">
        <v>0.51659999999999995</v>
      </c>
      <c r="O1117" s="5">
        <v>0.18</v>
      </c>
    </row>
    <row r="1118" spans="1:15">
      <c r="A1118" t="str">
        <f t="shared" si="16"/>
        <v>SSTDGCP LF</v>
      </c>
      <c r="B1118" t="s">
        <v>40</v>
      </c>
      <c r="C1118" t="s">
        <v>155</v>
      </c>
      <c r="D1118" s="5">
        <v>0.33600000000000002</v>
      </c>
      <c r="E1118" s="5">
        <v>0.1038</v>
      </c>
      <c r="F1118" s="5">
        <v>0.28520000000000001</v>
      </c>
      <c r="G1118" s="5">
        <v>0.32279999999999998</v>
      </c>
      <c r="H1118" s="5">
        <v>0.3201</v>
      </c>
      <c r="I1118" s="5">
        <v>0.3745</v>
      </c>
      <c r="J1118" s="5">
        <v>0.27489999999999998</v>
      </c>
      <c r="K1118" s="5">
        <v>0.307</v>
      </c>
      <c r="L1118" s="5">
        <v>0.4385</v>
      </c>
      <c r="M1118" s="5">
        <v>0.40670000000000001</v>
      </c>
      <c r="N1118" s="5">
        <v>0.25619999999999998</v>
      </c>
      <c r="O1118" s="5">
        <v>0.4299</v>
      </c>
    </row>
    <row r="1119" spans="1:15">
      <c r="A1119" t="str">
        <f t="shared" si="16"/>
        <v>SSTDGCP LF ONPK</v>
      </c>
      <c r="B1119" t="s">
        <v>40</v>
      </c>
      <c r="C1119" t="s">
        <v>156</v>
      </c>
      <c r="D1119" s="5">
        <v>0.32029999999999997</v>
      </c>
      <c r="E1119" s="5">
        <v>4.7800000000000002E-2</v>
      </c>
      <c r="F1119" s="5">
        <v>0.34310000000000002</v>
      </c>
      <c r="G1119" s="5">
        <v>0.37940000000000002</v>
      </c>
      <c r="H1119" s="5">
        <v>0.35</v>
      </c>
      <c r="I1119" s="5">
        <v>0.47370000000000001</v>
      </c>
      <c r="J1119" s="5">
        <v>0.33119999999999999</v>
      </c>
      <c r="K1119" s="5">
        <v>0.48049999999999998</v>
      </c>
      <c r="L1119" s="5">
        <v>0.4703</v>
      </c>
      <c r="M1119" s="5">
        <v>0.44080000000000003</v>
      </c>
      <c r="N1119" s="5">
        <v>0.3695</v>
      </c>
      <c r="O1119" s="5">
        <v>0.4415</v>
      </c>
    </row>
    <row r="1120" spans="1:15">
      <c r="A1120" t="str">
        <f t="shared" si="16"/>
        <v>SSTDGCP LF OFFPK</v>
      </c>
      <c r="B1120" t="s">
        <v>40</v>
      </c>
      <c r="C1120" t="s">
        <v>157</v>
      </c>
      <c r="D1120" s="5">
        <v>0.34250000000000003</v>
      </c>
      <c r="E1120" s="5">
        <v>0.1249</v>
      </c>
      <c r="F1120" s="5">
        <v>0.29570000000000002</v>
      </c>
      <c r="G1120" s="5">
        <v>0.33839999999999998</v>
      </c>
      <c r="H1120" s="5">
        <v>0.3211</v>
      </c>
      <c r="I1120" s="5">
        <v>0.37169999999999997</v>
      </c>
      <c r="J1120" s="5">
        <v>0.25950000000000001</v>
      </c>
      <c r="K1120" s="5">
        <v>0.29809999999999998</v>
      </c>
      <c r="L1120" s="5">
        <v>0.4446</v>
      </c>
      <c r="M1120" s="5">
        <v>0.44540000000000002</v>
      </c>
      <c r="N1120" s="5">
        <v>0.26190000000000002</v>
      </c>
      <c r="O1120" s="5">
        <v>0.43430000000000002</v>
      </c>
    </row>
    <row r="1121" spans="1:15">
      <c r="A1121" t="str">
        <f t="shared" si="16"/>
        <v>SSTDCP LF</v>
      </c>
      <c r="B1121" t="s">
        <v>40</v>
      </c>
      <c r="C1121" t="s">
        <v>158</v>
      </c>
      <c r="D1121" s="5">
        <v>1.2315</v>
      </c>
      <c r="E1121" s="5">
        <v>0</v>
      </c>
      <c r="F1121" s="5">
        <v>2.1194999999999999</v>
      </c>
      <c r="G1121" s="5">
        <v>1.131</v>
      </c>
      <c r="H1121" s="5">
        <v>0.68759999999999999</v>
      </c>
      <c r="I1121" s="5">
        <v>0.86719999999999997</v>
      </c>
      <c r="J1121" s="5">
        <v>0.51170000000000004</v>
      </c>
      <c r="K1121" s="5">
        <v>0.8821</v>
      </c>
      <c r="L1121" s="5">
        <v>1.2011000000000001</v>
      </c>
      <c r="M1121" s="5">
        <v>0.91259999999999997</v>
      </c>
      <c r="N1121" s="5">
        <v>0.4718</v>
      </c>
      <c r="O1121" s="5">
        <v>1.4224000000000001</v>
      </c>
    </row>
    <row r="1122" spans="1:15">
      <c r="A1122" t="str">
        <f t="shared" si="16"/>
        <v>SSTDREL PREC:</v>
      </c>
      <c r="B1122" t="s">
        <v>40</v>
      </c>
      <c r="C1122" t="s">
        <v>65</v>
      </c>
    </row>
    <row r="1123" spans="1:15">
      <c r="A1123" t="str">
        <f t="shared" si="16"/>
        <v>SSTDNCP RP</v>
      </c>
      <c r="B1123" t="s">
        <v>40</v>
      </c>
      <c r="C1123" t="s">
        <v>159</v>
      </c>
      <c r="D1123" s="5">
        <v>0</v>
      </c>
      <c r="E1123" s="5">
        <v>0</v>
      </c>
      <c r="F1123" s="5">
        <v>0</v>
      </c>
      <c r="G1123" s="5">
        <v>0</v>
      </c>
      <c r="H1123" s="5">
        <v>0</v>
      </c>
      <c r="I1123" s="5">
        <v>0</v>
      </c>
      <c r="J1123" s="5">
        <v>0</v>
      </c>
      <c r="K1123" s="5">
        <v>0</v>
      </c>
      <c r="L1123" s="5">
        <v>0</v>
      </c>
      <c r="M1123" s="5">
        <v>0</v>
      </c>
      <c r="N1123" s="5">
        <v>0</v>
      </c>
      <c r="O1123" s="5">
        <v>0</v>
      </c>
    </row>
    <row r="1124" spans="1:15">
      <c r="A1124" t="str">
        <f t="shared" si="16"/>
        <v>SSTDNCP RP ONPK</v>
      </c>
      <c r="B1124" t="s">
        <v>40</v>
      </c>
      <c r="C1124" t="s">
        <v>160</v>
      </c>
      <c r="D1124" s="5">
        <v>0</v>
      </c>
      <c r="E1124" s="5">
        <v>0</v>
      </c>
      <c r="F1124" s="5">
        <v>0</v>
      </c>
      <c r="G1124" s="5">
        <v>0</v>
      </c>
      <c r="H1124" s="5">
        <v>0</v>
      </c>
      <c r="I1124" s="5">
        <v>0</v>
      </c>
      <c r="J1124" s="5">
        <v>0</v>
      </c>
      <c r="K1124" s="5">
        <v>0</v>
      </c>
      <c r="L1124" s="5">
        <v>0</v>
      </c>
      <c r="M1124" s="5">
        <v>0</v>
      </c>
      <c r="N1124" s="5">
        <v>0</v>
      </c>
      <c r="O1124" s="5">
        <v>0</v>
      </c>
    </row>
    <row r="1125" spans="1:15">
      <c r="A1125" t="str">
        <f t="shared" si="16"/>
        <v>SSTDNCP RP OFFPK</v>
      </c>
      <c r="B1125" t="s">
        <v>40</v>
      </c>
      <c r="C1125" t="s">
        <v>161</v>
      </c>
      <c r="D1125" s="5">
        <v>0</v>
      </c>
      <c r="E1125" s="5">
        <v>0</v>
      </c>
      <c r="F1125" s="5">
        <v>0</v>
      </c>
      <c r="G1125" s="5">
        <v>0</v>
      </c>
      <c r="H1125" s="5">
        <v>0</v>
      </c>
      <c r="I1125" s="5">
        <v>0</v>
      </c>
      <c r="J1125" s="5">
        <v>0</v>
      </c>
      <c r="K1125" s="5">
        <v>0</v>
      </c>
      <c r="L1125" s="5">
        <v>0</v>
      </c>
      <c r="M1125" s="5">
        <v>0</v>
      </c>
      <c r="N1125" s="5">
        <v>0</v>
      </c>
      <c r="O1125" s="5">
        <v>0</v>
      </c>
    </row>
    <row r="1126" spans="1:15">
      <c r="A1126" t="str">
        <f t="shared" si="16"/>
        <v>SSTDGCP RP</v>
      </c>
      <c r="B1126" t="s">
        <v>40</v>
      </c>
      <c r="C1126" t="s">
        <v>162</v>
      </c>
      <c r="D1126" s="5">
        <v>0</v>
      </c>
      <c r="E1126" s="5">
        <v>0</v>
      </c>
      <c r="F1126" s="5">
        <v>0</v>
      </c>
      <c r="G1126" s="5">
        <v>0</v>
      </c>
      <c r="H1126" s="5">
        <v>0</v>
      </c>
      <c r="I1126" s="5">
        <v>0</v>
      </c>
      <c r="J1126" s="5">
        <v>0</v>
      </c>
      <c r="K1126" s="5">
        <v>0</v>
      </c>
      <c r="L1126" s="5">
        <v>0</v>
      </c>
      <c r="M1126" s="5">
        <v>0</v>
      </c>
      <c r="N1126" s="5">
        <v>0</v>
      </c>
      <c r="O1126" s="5">
        <v>0</v>
      </c>
    </row>
    <row r="1127" spans="1:15">
      <c r="A1127" t="str">
        <f t="shared" si="16"/>
        <v>SSTDGCP RP ONPK</v>
      </c>
      <c r="B1127" t="s">
        <v>40</v>
      </c>
      <c r="C1127" t="s">
        <v>163</v>
      </c>
      <c r="D1127" s="5">
        <v>0</v>
      </c>
      <c r="E1127" s="5">
        <v>0</v>
      </c>
      <c r="F1127" s="5">
        <v>0</v>
      </c>
      <c r="G1127" s="5">
        <v>0</v>
      </c>
      <c r="H1127" s="5">
        <v>0</v>
      </c>
      <c r="I1127" s="5">
        <v>0</v>
      </c>
      <c r="J1127" s="5">
        <v>0</v>
      </c>
      <c r="K1127" s="5">
        <v>0</v>
      </c>
      <c r="L1127" s="5">
        <v>0</v>
      </c>
      <c r="M1127" s="5">
        <v>0</v>
      </c>
      <c r="N1127" s="5">
        <v>0</v>
      </c>
      <c r="O1127" s="5">
        <v>0</v>
      </c>
    </row>
    <row r="1128" spans="1:15">
      <c r="A1128" t="str">
        <f t="shared" si="16"/>
        <v>SSTDGCP RP OFFPK</v>
      </c>
      <c r="B1128" t="s">
        <v>40</v>
      </c>
      <c r="C1128" t="s">
        <v>164</v>
      </c>
      <c r="D1128" s="5">
        <v>0</v>
      </c>
      <c r="E1128" s="5">
        <v>0</v>
      </c>
      <c r="F1128" s="5">
        <v>0</v>
      </c>
      <c r="G1128" s="5">
        <v>0</v>
      </c>
      <c r="H1128" s="5">
        <v>0</v>
      </c>
      <c r="I1128" s="5">
        <v>0</v>
      </c>
      <c r="J1128" s="5">
        <v>0</v>
      </c>
      <c r="K1128" s="5">
        <v>0</v>
      </c>
      <c r="L1128" s="5">
        <v>0</v>
      </c>
      <c r="M1128" s="5">
        <v>0</v>
      </c>
      <c r="N1128" s="5">
        <v>0</v>
      </c>
      <c r="O1128" s="5">
        <v>0</v>
      </c>
    </row>
    <row r="1129" spans="1:15">
      <c r="A1129" t="str">
        <f t="shared" si="16"/>
        <v>SSTDCP RP</v>
      </c>
      <c r="B1129" t="s">
        <v>40</v>
      </c>
      <c r="C1129" t="s">
        <v>165</v>
      </c>
      <c r="D1129" s="5">
        <v>0</v>
      </c>
      <c r="E1129" s="5">
        <v>0</v>
      </c>
      <c r="F1129" s="5">
        <v>0</v>
      </c>
      <c r="G1129" s="5">
        <v>0</v>
      </c>
      <c r="H1129" s="5">
        <v>0</v>
      </c>
      <c r="I1129" s="5">
        <v>0</v>
      </c>
      <c r="J1129" s="5">
        <v>0</v>
      </c>
      <c r="K1129" s="5">
        <v>0</v>
      </c>
      <c r="L1129" s="5">
        <v>0</v>
      </c>
      <c r="M1129" s="5">
        <v>0</v>
      </c>
      <c r="N1129" s="5">
        <v>0</v>
      </c>
      <c r="O1129" s="5">
        <v>0</v>
      </c>
    </row>
    <row r="1130" spans="1:15">
      <c r="A1130" t="str">
        <f t="shared" si="16"/>
        <v>SSTDSAMPLE SIZE:</v>
      </c>
      <c r="B1130" t="s">
        <v>40</v>
      </c>
      <c r="C1130" t="s">
        <v>66</v>
      </c>
    </row>
    <row r="1131" spans="1:15">
      <c r="A1131" t="str">
        <f t="shared" si="16"/>
        <v>SSTDGCPSZ</v>
      </c>
      <c r="B1131" t="s">
        <v>40</v>
      </c>
      <c r="C1131" t="s">
        <v>166</v>
      </c>
      <c r="D1131">
        <v>6</v>
      </c>
      <c r="E1131">
        <v>6</v>
      </c>
      <c r="F1131">
        <v>6</v>
      </c>
      <c r="G1131">
        <v>6</v>
      </c>
      <c r="H1131">
        <v>6</v>
      </c>
      <c r="I1131">
        <v>6</v>
      </c>
      <c r="J1131">
        <v>6</v>
      </c>
      <c r="K1131">
        <v>6</v>
      </c>
      <c r="L1131">
        <v>6</v>
      </c>
      <c r="M1131">
        <v>6</v>
      </c>
      <c r="N1131">
        <v>6</v>
      </c>
      <c r="O1131">
        <v>6</v>
      </c>
    </row>
    <row r="1132" spans="1:15">
      <c r="A1132" t="str">
        <f t="shared" si="16"/>
        <v>SSTDGCPSZ ONPK</v>
      </c>
      <c r="B1132" t="s">
        <v>40</v>
      </c>
      <c r="C1132" t="s">
        <v>167</v>
      </c>
      <c r="D1132">
        <v>6</v>
      </c>
      <c r="E1132">
        <v>6</v>
      </c>
      <c r="F1132">
        <v>6</v>
      </c>
      <c r="G1132">
        <v>6</v>
      </c>
      <c r="H1132">
        <v>6</v>
      </c>
      <c r="I1132">
        <v>6</v>
      </c>
      <c r="J1132">
        <v>6</v>
      </c>
      <c r="K1132">
        <v>6</v>
      </c>
      <c r="L1132">
        <v>6</v>
      </c>
      <c r="M1132">
        <v>6</v>
      </c>
      <c r="N1132">
        <v>6</v>
      </c>
      <c r="O1132">
        <v>6</v>
      </c>
    </row>
    <row r="1133" spans="1:15">
      <c r="A1133" t="str">
        <f t="shared" si="16"/>
        <v>SSTDGCPSZ OFFPK</v>
      </c>
      <c r="B1133" t="s">
        <v>40</v>
      </c>
      <c r="C1133" t="s">
        <v>168</v>
      </c>
      <c r="D1133">
        <v>6</v>
      </c>
      <c r="E1133">
        <v>6</v>
      </c>
      <c r="F1133">
        <v>6</v>
      </c>
      <c r="G1133">
        <v>6</v>
      </c>
      <c r="H1133">
        <v>6</v>
      </c>
      <c r="I1133">
        <v>6</v>
      </c>
      <c r="J1133">
        <v>6</v>
      </c>
      <c r="K1133">
        <v>6</v>
      </c>
      <c r="L1133">
        <v>6</v>
      </c>
      <c r="M1133">
        <v>6</v>
      </c>
      <c r="N1133">
        <v>6</v>
      </c>
      <c r="O1133">
        <v>6</v>
      </c>
    </row>
    <row r="1134" spans="1:15">
      <c r="A1134" t="str">
        <f t="shared" si="16"/>
        <v>SSTDCPSZ</v>
      </c>
      <c r="B1134" t="s">
        <v>40</v>
      </c>
      <c r="C1134" t="s">
        <v>169</v>
      </c>
      <c r="D1134">
        <v>6</v>
      </c>
      <c r="E1134">
        <v>6</v>
      </c>
      <c r="F1134">
        <v>6</v>
      </c>
      <c r="G1134">
        <v>6</v>
      </c>
      <c r="H1134">
        <v>6</v>
      </c>
      <c r="I1134">
        <v>6</v>
      </c>
      <c r="J1134">
        <v>6</v>
      </c>
      <c r="K1134">
        <v>6</v>
      </c>
      <c r="L1134">
        <v>6</v>
      </c>
      <c r="M1134">
        <v>6</v>
      </c>
      <c r="N1134">
        <v>6</v>
      </c>
      <c r="O1134">
        <v>6</v>
      </c>
    </row>
    <row r="1135" spans="1:15">
      <c r="A1135" t="str">
        <f t="shared" si="16"/>
        <v/>
      </c>
    </row>
    <row r="1136" spans="1:15">
      <c r="A1136" t="str">
        <f t="shared" si="16"/>
        <v/>
      </c>
    </row>
    <row r="1137" spans="1:15">
      <c r="A1137" t="str">
        <f t="shared" si="16"/>
        <v xml:space="preserve">SSTTST SST-1 Transmission Standby </v>
      </c>
      <c r="B1137" t="s">
        <v>43</v>
      </c>
      <c r="C1137" t="s">
        <v>44</v>
      </c>
    </row>
    <row r="1138" spans="1:15">
      <c r="A1138" t="str">
        <f t="shared" si="16"/>
        <v xml:space="preserve">SSTTSTMONTH </v>
      </c>
      <c r="B1138" t="s">
        <v>45</v>
      </c>
      <c r="C1138" t="s">
        <v>123</v>
      </c>
      <c r="D1138" s="4">
        <v>41275</v>
      </c>
      <c r="E1138" s="4">
        <v>41306</v>
      </c>
      <c r="F1138" s="4">
        <v>41334</v>
      </c>
      <c r="G1138" s="4">
        <v>41365</v>
      </c>
      <c r="H1138" s="4">
        <v>41395</v>
      </c>
      <c r="I1138" s="4">
        <v>41426</v>
      </c>
      <c r="J1138" s="4">
        <v>41456</v>
      </c>
      <c r="K1138" s="4">
        <v>41487</v>
      </c>
      <c r="L1138" s="4">
        <v>41518</v>
      </c>
      <c r="M1138" s="4">
        <v>41548</v>
      </c>
      <c r="N1138" s="4">
        <v>41579</v>
      </c>
      <c r="O1138" s="4">
        <v>41609</v>
      </c>
    </row>
    <row r="1139" spans="1:15">
      <c r="A1139" t="str">
        <f t="shared" si="16"/>
        <v xml:space="preserve">SSTTSTCUSTOMERS </v>
      </c>
      <c r="B1139" t="s">
        <v>45</v>
      </c>
      <c r="C1139" t="s">
        <v>124</v>
      </c>
      <c r="D1139">
        <v>13</v>
      </c>
      <c r="E1139">
        <v>13</v>
      </c>
      <c r="F1139">
        <v>13</v>
      </c>
      <c r="G1139">
        <v>13</v>
      </c>
      <c r="H1139">
        <v>13</v>
      </c>
      <c r="I1139">
        <v>13</v>
      </c>
      <c r="J1139">
        <v>13</v>
      </c>
      <c r="K1139">
        <v>13</v>
      </c>
      <c r="L1139">
        <v>13</v>
      </c>
      <c r="M1139">
        <v>13</v>
      </c>
      <c r="N1139">
        <v>13</v>
      </c>
      <c r="O1139">
        <v>13</v>
      </c>
    </row>
    <row r="1140" spans="1:15">
      <c r="A1140" t="str">
        <f t="shared" si="16"/>
        <v xml:space="preserve">SSTTSTSALES </v>
      </c>
      <c r="B1140" t="s">
        <v>45</v>
      </c>
      <c r="C1140" t="s">
        <v>125</v>
      </c>
      <c r="D1140">
        <v>4225590</v>
      </c>
      <c r="E1140">
        <v>5454061</v>
      </c>
      <c r="F1140">
        <v>6626824</v>
      </c>
      <c r="G1140">
        <v>7089935</v>
      </c>
      <c r="H1140">
        <v>11741558</v>
      </c>
      <c r="I1140">
        <v>9161691</v>
      </c>
      <c r="J1140">
        <v>8625284</v>
      </c>
      <c r="K1140">
        <v>3912144</v>
      </c>
      <c r="L1140">
        <v>6566727</v>
      </c>
      <c r="M1140">
        <v>11956021</v>
      </c>
      <c r="N1140">
        <v>8935948</v>
      </c>
      <c r="O1140">
        <v>5402851</v>
      </c>
    </row>
    <row r="1141" spans="1:15">
      <c r="A1141" t="str">
        <f t="shared" ref="A1141:A1204" si="17">B1141&amp;C1141</f>
        <v>SSTTSTKW</v>
      </c>
      <c r="B1141" t="s">
        <v>45</v>
      </c>
      <c r="C1141" t="s">
        <v>126</v>
      </c>
    </row>
    <row r="1142" spans="1:15">
      <c r="A1142" t="str">
        <f t="shared" si="17"/>
        <v>SSTTSTN</v>
      </c>
      <c r="B1142" t="s">
        <v>45</v>
      </c>
      <c r="C1142" t="s">
        <v>127</v>
      </c>
      <c r="D1142">
        <v>13</v>
      </c>
      <c r="E1142">
        <v>13</v>
      </c>
      <c r="F1142">
        <v>13</v>
      </c>
      <c r="G1142">
        <v>13</v>
      </c>
      <c r="H1142">
        <v>13</v>
      </c>
      <c r="I1142">
        <v>13</v>
      </c>
      <c r="J1142">
        <v>13</v>
      </c>
      <c r="K1142">
        <v>13</v>
      </c>
      <c r="L1142">
        <v>13</v>
      </c>
      <c r="M1142">
        <v>13</v>
      </c>
      <c r="N1142">
        <v>13</v>
      </c>
      <c r="O1142">
        <v>13</v>
      </c>
    </row>
    <row r="1143" spans="1:15">
      <c r="A1143" t="str">
        <f t="shared" si="17"/>
        <v>SSTTSTRLR ENERGY:</v>
      </c>
      <c r="B1143" t="s">
        <v>45</v>
      </c>
      <c r="C1143" t="s">
        <v>61</v>
      </c>
    </row>
    <row r="1144" spans="1:15">
      <c r="A1144" t="str">
        <f t="shared" si="17"/>
        <v>SSTTSTKWH</v>
      </c>
      <c r="B1144" t="s">
        <v>45</v>
      </c>
      <c r="C1144" t="s">
        <v>128</v>
      </c>
      <c r="D1144">
        <v>4309918</v>
      </c>
      <c r="E1144">
        <v>5323274</v>
      </c>
      <c r="F1144">
        <v>6856604</v>
      </c>
      <c r="G1144">
        <v>10403985</v>
      </c>
      <c r="H1144">
        <v>8353992</v>
      </c>
      <c r="I1144">
        <v>8263119</v>
      </c>
      <c r="J1144">
        <v>8066323</v>
      </c>
      <c r="K1144">
        <v>6967912</v>
      </c>
      <c r="L1144">
        <v>7324805</v>
      </c>
      <c r="M1144">
        <v>13071178</v>
      </c>
      <c r="N1144">
        <v>5866250</v>
      </c>
      <c r="O1144">
        <v>7120254</v>
      </c>
    </row>
    <row r="1145" spans="1:15">
      <c r="A1145" t="str">
        <f t="shared" si="17"/>
        <v>SSTTSTKWH ONPK</v>
      </c>
      <c r="B1145" t="s">
        <v>45</v>
      </c>
      <c r="C1145" t="s">
        <v>129</v>
      </c>
      <c r="D1145">
        <v>1061298</v>
      </c>
      <c r="E1145">
        <v>1395567</v>
      </c>
      <c r="F1145">
        <v>1331934</v>
      </c>
      <c r="G1145">
        <v>3099047</v>
      </c>
      <c r="H1145">
        <v>2015782</v>
      </c>
      <c r="I1145">
        <v>2265914</v>
      </c>
      <c r="J1145">
        <v>2102628</v>
      </c>
      <c r="K1145">
        <v>1448109</v>
      </c>
      <c r="L1145">
        <v>1526599</v>
      </c>
      <c r="M1145">
        <v>3680927</v>
      </c>
      <c r="N1145">
        <v>1114771</v>
      </c>
      <c r="O1145">
        <v>1322005</v>
      </c>
    </row>
    <row r="1146" spans="1:15">
      <c r="A1146" t="str">
        <f t="shared" si="17"/>
        <v>SSTTSTKWH OFFPK</v>
      </c>
      <c r="B1146" t="s">
        <v>45</v>
      </c>
      <c r="C1146" t="s">
        <v>130</v>
      </c>
      <c r="D1146">
        <v>3248620</v>
      </c>
      <c r="E1146">
        <v>3927707</v>
      </c>
      <c r="F1146">
        <v>5524669</v>
      </c>
      <c r="G1146">
        <v>7304938</v>
      </c>
      <c r="H1146">
        <v>6338209</v>
      </c>
      <c r="I1146">
        <v>5997205</v>
      </c>
      <c r="J1146">
        <v>5963695</v>
      </c>
      <c r="K1146">
        <v>5519804</v>
      </c>
      <c r="L1146">
        <v>5798206</v>
      </c>
      <c r="M1146">
        <v>9390251</v>
      </c>
      <c r="N1146">
        <v>4751479</v>
      </c>
      <c r="O1146">
        <v>5798249</v>
      </c>
    </row>
    <row r="1147" spans="1:15">
      <c r="A1147" t="str">
        <f t="shared" si="17"/>
        <v>SSTTSTKWH ONPK%</v>
      </c>
      <c r="B1147" t="s">
        <v>45</v>
      </c>
      <c r="C1147" t="s">
        <v>131</v>
      </c>
      <c r="D1147" s="5">
        <v>0.24625</v>
      </c>
      <c r="E1147" s="5">
        <v>0.26216</v>
      </c>
      <c r="F1147" s="5">
        <v>0.19425999999999999</v>
      </c>
      <c r="G1147" s="5">
        <v>0.29787000000000002</v>
      </c>
      <c r="H1147" s="5">
        <v>0.24129999999999999</v>
      </c>
      <c r="I1147" s="5">
        <v>0.27422000000000002</v>
      </c>
      <c r="J1147" s="5">
        <v>0.26067000000000001</v>
      </c>
      <c r="K1147" s="5">
        <v>0.20782999999999999</v>
      </c>
      <c r="L1147" s="5">
        <v>0.20841000000000001</v>
      </c>
      <c r="M1147" s="5">
        <v>0.28161000000000003</v>
      </c>
      <c r="N1147" s="5">
        <v>0.19003</v>
      </c>
      <c r="O1147" s="5">
        <v>0.18567</v>
      </c>
    </row>
    <row r="1148" spans="1:15">
      <c r="A1148" t="str">
        <f t="shared" si="17"/>
        <v>SSTTSTKWH OFFPK%</v>
      </c>
      <c r="B1148" t="s">
        <v>45</v>
      </c>
      <c r="C1148" t="s">
        <v>132</v>
      </c>
      <c r="D1148" s="5">
        <v>0.75375000000000003</v>
      </c>
      <c r="E1148" s="5">
        <v>0.73784000000000005</v>
      </c>
      <c r="F1148" s="5">
        <v>0.80574000000000001</v>
      </c>
      <c r="G1148" s="5">
        <v>0.70213000000000003</v>
      </c>
      <c r="H1148" s="5">
        <v>0.75870000000000004</v>
      </c>
      <c r="I1148" s="5">
        <v>0.72577999999999998</v>
      </c>
      <c r="J1148" s="5">
        <v>0.73933000000000004</v>
      </c>
      <c r="K1148" s="5">
        <v>0.79217000000000004</v>
      </c>
      <c r="L1148" s="5">
        <v>0.79159000000000002</v>
      </c>
      <c r="M1148" s="5">
        <v>0.71838999999999997</v>
      </c>
      <c r="N1148" s="5">
        <v>0.80996999999999997</v>
      </c>
      <c r="O1148" s="5">
        <v>0.81433</v>
      </c>
    </row>
    <row r="1149" spans="1:15">
      <c r="A1149" t="str">
        <f t="shared" si="17"/>
        <v>SSTTSTDEMAND (KW):</v>
      </c>
      <c r="B1149" t="s">
        <v>45</v>
      </c>
      <c r="C1149" t="s">
        <v>62</v>
      </c>
    </row>
    <row r="1150" spans="1:15">
      <c r="A1150" t="str">
        <f t="shared" si="17"/>
        <v>SSTTSTNCP</v>
      </c>
      <c r="B1150" t="s">
        <v>45</v>
      </c>
      <c r="C1150" t="s">
        <v>133</v>
      </c>
      <c r="D1150">
        <v>57647</v>
      </c>
      <c r="E1150">
        <v>55295</v>
      </c>
      <c r="F1150">
        <v>85041</v>
      </c>
      <c r="G1150">
        <v>93910</v>
      </c>
      <c r="H1150">
        <v>100347</v>
      </c>
      <c r="I1150">
        <v>56057</v>
      </c>
      <c r="J1150">
        <v>57792</v>
      </c>
      <c r="K1150">
        <v>63990</v>
      </c>
      <c r="L1150">
        <v>98828</v>
      </c>
      <c r="M1150">
        <v>84405</v>
      </c>
      <c r="N1150">
        <v>95466</v>
      </c>
      <c r="O1150">
        <v>75212</v>
      </c>
    </row>
    <row r="1151" spans="1:15">
      <c r="A1151" t="str">
        <f t="shared" si="17"/>
        <v>SSTTSTNCP ONPK</v>
      </c>
      <c r="B1151" t="s">
        <v>45</v>
      </c>
      <c r="C1151" t="s">
        <v>134</v>
      </c>
      <c r="D1151">
        <v>39626</v>
      </c>
      <c r="E1151">
        <v>50301</v>
      </c>
      <c r="F1151">
        <v>55848</v>
      </c>
      <c r="G1151">
        <v>78379</v>
      </c>
      <c r="H1151">
        <v>64357</v>
      </c>
      <c r="I1151">
        <v>42074</v>
      </c>
      <c r="J1151">
        <v>34527</v>
      </c>
      <c r="K1151">
        <v>33408</v>
      </c>
      <c r="L1151">
        <v>89105</v>
      </c>
      <c r="M1151">
        <v>70602</v>
      </c>
      <c r="N1151">
        <v>80931</v>
      </c>
      <c r="O1151">
        <v>61096</v>
      </c>
    </row>
    <row r="1152" spans="1:15">
      <c r="A1152" t="str">
        <f t="shared" si="17"/>
        <v>SSTTSTNCP OFFPK</v>
      </c>
      <c r="B1152" t="s">
        <v>45</v>
      </c>
      <c r="C1152" t="s">
        <v>135</v>
      </c>
      <c r="D1152">
        <v>57637</v>
      </c>
      <c r="E1152">
        <v>46815</v>
      </c>
      <c r="F1152">
        <v>83111</v>
      </c>
      <c r="G1152">
        <v>87188</v>
      </c>
      <c r="H1152">
        <v>93562</v>
      </c>
      <c r="I1152">
        <v>55572</v>
      </c>
      <c r="J1152">
        <v>54266</v>
      </c>
      <c r="K1152">
        <v>63838</v>
      </c>
      <c r="L1152">
        <v>83781</v>
      </c>
      <c r="M1152">
        <v>81953</v>
      </c>
      <c r="N1152">
        <v>95374</v>
      </c>
      <c r="O1152">
        <v>70697</v>
      </c>
    </row>
    <row r="1153" spans="1:15">
      <c r="A1153" t="str">
        <f t="shared" si="17"/>
        <v>SSTTSTGCP DATE</v>
      </c>
      <c r="B1153" t="s">
        <v>45</v>
      </c>
      <c r="C1153" t="s">
        <v>136</v>
      </c>
      <c r="D1153" t="s">
        <v>265</v>
      </c>
      <c r="E1153" t="s">
        <v>301</v>
      </c>
      <c r="F1153" t="s">
        <v>811</v>
      </c>
      <c r="G1153" t="s">
        <v>859</v>
      </c>
      <c r="H1153" t="s">
        <v>878</v>
      </c>
      <c r="I1153" t="s">
        <v>874</v>
      </c>
      <c r="J1153" t="s">
        <v>879</v>
      </c>
      <c r="K1153" t="s">
        <v>880</v>
      </c>
      <c r="L1153" t="s">
        <v>833</v>
      </c>
      <c r="M1153" t="s">
        <v>881</v>
      </c>
      <c r="N1153" t="s">
        <v>876</v>
      </c>
      <c r="O1153" t="s">
        <v>834</v>
      </c>
    </row>
    <row r="1154" spans="1:15">
      <c r="A1154" t="str">
        <f t="shared" si="17"/>
        <v>SSTTSTGCP TIME</v>
      </c>
      <c r="B1154" t="s">
        <v>45</v>
      </c>
      <c r="C1154" t="s">
        <v>142</v>
      </c>
      <c r="D1154" t="s">
        <v>215</v>
      </c>
      <c r="E1154" t="s">
        <v>199</v>
      </c>
      <c r="F1154" t="s">
        <v>199</v>
      </c>
      <c r="G1154" t="s">
        <v>202</v>
      </c>
      <c r="H1154" t="s">
        <v>143</v>
      </c>
      <c r="I1154" t="s">
        <v>146</v>
      </c>
      <c r="J1154" t="s">
        <v>145</v>
      </c>
      <c r="K1154" t="s">
        <v>195</v>
      </c>
      <c r="L1154" t="s">
        <v>200</v>
      </c>
      <c r="M1154" t="s">
        <v>11</v>
      </c>
      <c r="N1154" t="s">
        <v>145</v>
      </c>
      <c r="O1154" t="s">
        <v>214</v>
      </c>
    </row>
    <row r="1155" spans="1:15">
      <c r="A1155" t="str">
        <f t="shared" si="17"/>
        <v>SSTTSTGCP</v>
      </c>
      <c r="B1155" t="s">
        <v>45</v>
      </c>
      <c r="C1155" t="s">
        <v>147</v>
      </c>
      <c r="D1155">
        <v>21812</v>
      </c>
      <c r="E1155">
        <v>27775</v>
      </c>
      <c r="F1155">
        <v>40711</v>
      </c>
      <c r="G1155">
        <v>48668</v>
      </c>
      <c r="H1155">
        <v>37593</v>
      </c>
      <c r="I1155">
        <v>27751</v>
      </c>
      <c r="J1155">
        <v>22338</v>
      </c>
      <c r="K1155">
        <v>28376</v>
      </c>
      <c r="L1155">
        <v>49044</v>
      </c>
      <c r="M1155">
        <v>42570</v>
      </c>
      <c r="N1155">
        <v>34740</v>
      </c>
      <c r="O1155">
        <v>30298</v>
      </c>
    </row>
    <row r="1156" spans="1:15">
      <c r="A1156" t="str">
        <f t="shared" si="17"/>
        <v>SSTTSTGCP ONPK</v>
      </c>
      <c r="B1156" t="s">
        <v>45</v>
      </c>
      <c r="C1156" t="s">
        <v>63</v>
      </c>
      <c r="D1156">
        <v>21812</v>
      </c>
      <c r="E1156">
        <v>27456</v>
      </c>
      <c r="F1156">
        <v>25566</v>
      </c>
      <c r="G1156">
        <v>48555</v>
      </c>
      <c r="H1156">
        <v>37593</v>
      </c>
      <c r="I1156">
        <v>24772</v>
      </c>
      <c r="J1156">
        <v>22338</v>
      </c>
      <c r="K1156">
        <v>19233</v>
      </c>
      <c r="L1156">
        <v>36267</v>
      </c>
      <c r="M1156">
        <v>41271</v>
      </c>
      <c r="N1156">
        <v>25996</v>
      </c>
      <c r="O1156">
        <v>27267</v>
      </c>
    </row>
    <row r="1157" spans="1:15">
      <c r="A1157" t="str">
        <f t="shared" si="17"/>
        <v>SSTTSTGCP OFFPK</v>
      </c>
      <c r="B1157" t="s">
        <v>45</v>
      </c>
      <c r="C1157" t="s">
        <v>64</v>
      </c>
      <c r="D1157">
        <v>21430</v>
      </c>
      <c r="E1157">
        <v>27775</v>
      </c>
      <c r="F1157">
        <v>40711</v>
      </c>
      <c r="G1157">
        <v>48668</v>
      </c>
      <c r="H1157">
        <v>37389</v>
      </c>
      <c r="I1157">
        <v>27751</v>
      </c>
      <c r="J1157">
        <v>22098</v>
      </c>
      <c r="K1157">
        <v>28376</v>
      </c>
      <c r="L1157">
        <v>49044</v>
      </c>
      <c r="M1157">
        <v>42570</v>
      </c>
      <c r="N1157">
        <v>34740</v>
      </c>
      <c r="O1157">
        <v>30298</v>
      </c>
    </row>
    <row r="1158" spans="1:15">
      <c r="A1158" t="str">
        <f t="shared" si="17"/>
        <v>SSTTSTCP</v>
      </c>
      <c r="B1158" t="s">
        <v>45</v>
      </c>
      <c r="C1158" t="s">
        <v>148</v>
      </c>
      <c r="D1158">
        <v>7248</v>
      </c>
      <c r="E1158">
        <v>10801</v>
      </c>
      <c r="F1158">
        <v>1220</v>
      </c>
      <c r="G1158">
        <v>10174</v>
      </c>
      <c r="H1158">
        <v>7890</v>
      </c>
      <c r="I1158">
        <v>10984</v>
      </c>
      <c r="J1158">
        <v>3236</v>
      </c>
      <c r="K1158">
        <v>2649</v>
      </c>
      <c r="L1158">
        <v>1979</v>
      </c>
      <c r="M1158">
        <v>14105</v>
      </c>
      <c r="N1158">
        <v>17325</v>
      </c>
      <c r="O1158">
        <v>15573</v>
      </c>
    </row>
    <row r="1159" spans="1:15">
      <c r="A1159" t="str">
        <f t="shared" si="17"/>
        <v>SSTTSTPERIOD START</v>
      </c>
      <c r="B1159" t="s">
        <v>45</v>
      </c>
      <c r="C1159" t="s">
        <v>149</v>
      </c>
      <c r="D1159" s="1">
        <v>41275</v>
      </c>
      <c r="E1159" s="1">
        <v>41306</v>
      </c>
      <c r="F1159" s="1">
        <v>41334</v>
      </c>
      <c r="G1159" s="1">
        <v>41365</v>
      </c>
      <c r="H1159" s="1">
        <v>41395</v>
      </c>
      <c r="I1159" s="1">
        <v>41426</v>
      </c>
      <c r="J1159" s="1">
        <v>41456</v>
      </c>
      <c r="K1159" s="1">
        <v>41487</v>
      </c>
      <c r="L1159" s="1">
        <v>41518</v>
      </c>
      <c r="M1159" s="1">
        <v>41548</v>
      </c>
      <c r="N1159" s="1">
        <v>41579</v>
      </c>
      <c r="O1159" s="1">
        <v>41609</v>
      </c>
    </row>
    <row r="1160" spans="1:15">
      <c r="A1160" t="str">
        <f t="shared" si="17"/>
        <v>SSTTSTNCP LF</v>
      </c>
      <c r="B1160" t="s">
        <v>45</v>
      </c>
      <c r="C1160" t="s">
        <v>150</v>
      </c>
      <c r="D1160" s="5">
        <v>0.10050000000000001</v>
      </c>
      <c r="E1160" s="5">
        <v>0.14330000000000001</v>
      </c>
      <c r="F1160" s="5">
        <v>0.1085</v>
      </c>
      <c r="G1160" s="5">
        <v>0.15390000000000001</v>
      </c>
      <c r="H1160" s="5">
        <v>0.1119</v>
      </c>
      <c r="I1160" s="5">
        <v>0.20469999999999999</v>
      </c>
      <c r="J1160" s="5">
        <v>0.18759999999999999</v>
      </c>
      <c r="K1160" s="5">
        <v>0.1464</v>
      </c>
      <c r="L1160" s="5">
        <v>0.10290000000000001</v>
      </c>
      <c r="M1160" s="5">
        <v>0.20810000000000001</v>
      </c>
      <c r="N1160" s="5">
        <v>8.5300000000000001E-2</v>
      </c>
      <c r="O1160" s="5">
        <v>0.12720000000000001</v>
      </c>
    </row>
    <row r="1161" spans="1:15">
      <c r="A1161" t="str">
        <f t="shared" si="17"/>
        <v>SSTTSTNCP LF ONPK</v>
      </c>
      <c r="B1161" t="s">
        <v>45</v>
      </c>
      <c r="C1161" t="s">
        <v>151</v>
      </c>
      <c r="D1161" s="5">
        <v>0.1522</v>
      </c>
      <c r="E1161" s="5">
        <v>0.1734</v>
      </c>
      <c r="F1161" s="5">
        <v>0.14199999999999999</v>
      </c>
      <c r="G1161" s="5">
        <v>0.19969999999999999</v>
      </c>
      <c r="H1161" s="5">
        <v>0.15820000000000001</v>
      </c>
      <c r="I1161" s="5">
        <v>0.29920000000000002</v>
      </c>
      <c r="J1161" s="5">
        <v>0.30759999999999998</v>
      </c>
      <c r="K1161" s="5">
        <v>0.21890000000000001</v>
      </c>
      <c r="L1161" s="5">
        <v>9.5200000000000007E-2</v>
      </c>
      <c r="M1161" s="5">
        <v>0.25190000000000001</v>
      </c>
      <c r="N1161" s="5">
        <v>8.6099999999999996E-2</v>
      </c>
      <c r="O1161" s="5">
        <v>0.1288</v>
      </c>
    </row>
    <row r="1162" spans="1:15">
      <c r="A1162" t="str">
        <f t="shared" si="17"/>
        <v>SSTTSTNCP LF OFFPK</v>
      </c>
      <c r="B1162" t="s">
        <v>45</v>
      </c>
      <c r="C1162" t="s">
        <v>152</v>
      </c>
      <c r="D1162" s="5">
        <v>9.9199999999999997E-2</v>
      </c>
      <c r="E1162" s="5">
        <v>0.16389999999999999</v>
      </c>
      <c r="F1162" s="5">
        <v>0.11559999999999999</v>
      </c>
      <c r="G1162" s="5">
        <v>0.1605</v>
      </c>
      <c r="H1162" s="5">
        <v>0.1241</v>
      </c>
      <c r="I1162" s="5">
        <v>0.19980000000000001</v>
      </c>
      <c r="J1162" s="5">
        <v>0.20130000000000001</v>
      </c>
      <c r="K1162" s="5">
        <v>0.15840000000000001</v>
      </c>
      <c r="L1162" s="5">
        <v>0.12820000000000001</v>
      </c>
      <c r="M1162" s="5">
        <v>0.21340000000000001</v>
      </c>
      <c r="N1162" s="5">
        <v>8.8999999999999996E-2</v>
      </c>
      <c r="O1162" s="5">
        <v>0.1424</v>
      </c>
    </row>
    <row r="1163" spans="1:15">
      <c r="A1163" t="str">
        <f t="shared" si="17"/>
        <v>SSTTSTGCP CF</v>
      </c>
      <c r="B1163" t="s">
        <v>45</v>
      </c>
      <c r="C1163" t="s">
        <v>153</v>
      </c>
      <c r="D1163" s="5">
        <v>0.37840000000000001</v>
      </c>
      <c r="E1163" s="5">
        <v>0.50229999999999997</v>
      </c>
      <c r="F1163" s="5">
        <v>0.47870000000000001</v>
      </c>
      <c r="G1163" s="5">
        <v>0.51819999999999999</v>
      </c>
      <c r="H1163" s="5">
        <v>0.37459999999999999</v>
      </c>
      <c r="I1163" s="5">
        <v>0.495</v>
      </c>
      <c r="J1163" s="5">
        <v>0.38650000000000001</v>
      </c>
      <c r="K1163" s="5">
        <v>0.44340000000000002</v>
      </c>
      <c r="L1163" s="5">
        <v>0.49630000000000002</v>
      </c>
      <c r="M1163" s="5">
        <v>0.50429999999999997</v>
      </c>
      <c r="N1163" s="5">
        <v>0.3639</v>
      </c>
      <c r="O1163" s="5">
        <v>0.40279999999999999</v>
      </c>
    </row>
    <row r="1164" spans="1:15">
      <c r="A1164" t="str">
        <f t="shared" si="17"/>
        <v>SSTTSTCP CF</v>
      </c>
      <c r="B1164" t="s">
        <v>45</v>
      </c>
      <c r="C1164" t="s">
        <v>154</v>
      </c>
      <c r="D1164" s="5">
        <v>0.12570000000000001</v>
      </c>
      <c r="E1164" s="5">
        <v>0.1953</v>
      </c>
      <c r="F1164" s="5">
        <v>1.43E-2</v>
      </c>
      <c r="G1164" s="5">
        <v>0.10829999999999999</v>
      </c>
      <c r="H1164" s="5">
        <v>7.8600000000000003E-2</v>
      </c>
      <c r="I1164" s="5">
        <v>0.19589999999999999</v>
      </c>
      <c r="J1164" s="5">
        <v>5.6000000000000001E-2</v>
      </c>
      <c r="K1164" s="5">
        <v>4.1399999999999999E-2</v>
      </c>
      <c r="L1164" s="5">
        <v>0.02</v>
      </c>
      <c r="M1164" s="5">
        <v>0.1671</v>
      </c>
      <c r="N1164" s="5">
        <v>0.18149999999999999</v>
      </c>
      <c r="O1164" s="5">
        <v>0.20710000000000001</v>
      </c>
    </row>
    <row r="1165" spans="1:15">
      <c r="A1165" t="str">
        <f t="shared" si="17"/>
        <v>SSTTSTGCP LF</v>
      </c>
      <c r="B1165" t="s">
        <v>45</v>
      </c>
      <c r="C1165" t="s">
        <v>155</v>
      </c>
      <c r="D1165" s="5">
        <v>0.2656</v>
      </c>
      <c r="E1165" s="5">
        <v>0.28520000000000001</v>
      </c>
      <c r="F1165" s="5">
        <v>0.22670000000000001</v>
      </c>
      <c r="G1165" s="5">
        <v>0.2969</v>
      </c>
      <c r="H1165" s="5">
        <v>0.29870000000000002</v>
      </c>
      <c r="I1165" s="5">
        <v>0.41360000000000002</v>
      </c>
      <c r="J1165" s="5">
        <v>0.4854</v>
      </c>
      <c r="K1165" s="5">
        <v>0.3301</v>
      </c>
      <c r="L1165" s="5">
        <v>0.2074</v>
      </c>
      <c r="M1165" s="5">
        <v>0.41270000000000001</v>
      </c>
      <c r="N1165" s="5">
        <v>0.23449999999999999</v>
      </c>
      <c r="O1165" s="5">
        <v>0.31590000000000001</v>
      </c>
    </row>
    <row r="1166" spans="1:15">
      <c r="A1166" t="str">
        <f t="shared" si="17"/>
        <v>SSTTSTGCP LF ONPK</v>
      </c>
      <c r="B1166" t="s">
        <v>45</v>
      </c>
      <c r="C1166" t="s">
        <v>156</v>
      </c>
      <c r="D1166" s="5">
        <v>0.27650000000000002</v>
      </c>
      <c r="E1166" s="5">
        <v>0.31769999999999998</v>
      </c>
      <c r="F1166" s="5">
        <v>0.31009999999999999</v>
      </c>
      <c r="G1166" s="5">
        <v>0.32240000000000002</v>
      </c>
      <c r="H1166" s="5">
        <v>0.27079999999999999</v>
      </c>
      <c r="I1166" s="5">
        <v>0.50819999999999999</v>
      </c>
      <c r="J1166" s="5">
        <v>0.47539999999999999</v>
      </c>
      <c r="K1166" s="5">
        <v>0.38030000000000003</v>
      </c>
      <c r="L1166" s="5">
        <v>0.2339</v>
      </c>
      <c r="M1166" s="5">
        <v>0.43090000000000001</v>
      </c>
      <c r="N1166" s="5">
        <v>0.26800000000000002</v>
      </c>
      <c r="O1166" s="5">
        <v>0.28860000000000002</v>
      </c>
    </row>
    <row r="1167" spans="1:15">
      <c r="A1167" t="str">
        <f t="shared" si="17"/>
        <v>SSTTSTGCP LF OFFPK</v>
      </c>
      <c r="B1167" t="s">
        <v>45</v>
      </c>
      <c r="C1167" t="s">
        <v>157</v>
      </c>
      <c r="D1167" s="5">
        <v>0.26690000000000003</v>
      </c>
      <c r="E1167" s="5">
        <v>0.2762</v>
      </c>
      <c r="F1167" s="5">
        <v>0.23599999999999999</v>
      </c>
      <c r="G1167" s="5">
        <v>0.28749999999999998</v>
      </c>
      <c r="H1167" s="5">
        <v>0.3105</v>
      </c>
      <c r="I1167" s="5">
        <v>0.4002</v>
      </c>
      <c r="J1167" s="5">
        <v>0.49430000000000002</v>
      </c>
      <c r="K1167" s="5">
        <v>0.35630000000000001</v>
      </c>
      <c r="L1167" s="5">
        <v>0.21890000000000001</v>
      </c>
      <c r="M1167" s="5">
        <v>0.4108</v>
      </c>
      <c r="N1167" s="5">
        <v>0.2442</v>
      </c>
      <c r="O1167" s="5">
        <v>0.3322</v>
      </c>
    </row>
    <row r="1168" spans="1:15">
      <c r="A1168" t="str">
        <f t="shared" si="17"/>
        <v>SSTTSTCP LF</v>
      </c>
      <c r="B1168" t="s">
        <v>45</v>
      </c>
      <c r="C1168" t="s">
        <v>158</v>
      </c>
      <c r="D1168" s="5">
        <v>0.79930000000000001</v>
      </c>
      <c r="E1168" s="5">
        <v>0.73340000000000005</v>
      </c>
      <c r="F1168" s="5">
        <v>7.5635000000000003</v>
      </c>
      <c r="G1168" s="5">
        <v>1.4202999999999999</v>
      </c>
      <c r="H1168" s="5">
        <v>1.4231</v>
      </c>
      <c r="I1168" s="5">
        <v>1.0448999999999999</v>
      </c>
      <c r="J1168" s="5">
        <v>3.35</v>
      </c>
      <c r="K1168" s="5">
        <v>3.5358999999999998</v>
      </c>
      <c r="L1168" s="5">
        <v>5.1403999999999996</v>
      </c>
      <c r="M1168" s="5">
        <v>1.2456</v>
      </c>
      <c r="N1168" s="5">
        <v>0.4703</v>
      </c>
      <c r="O1168" s="5">
        <v>0.61450000000000005</v>
      </c>
    </row>
    <row r="1169" spans="1:15">
      <c r="A1169" t="str">
        <f t="shared" si="17"/>
        <v>SSTTSTREL PREC:</v>
      </c>
      <c r="B1169" t="s">
        <v>45</v>
      </c>
      <c r="C1169" t="s">
        <v>65</v>
      </c>
    </row>
    <row r="1170" spans="1:15">
      <c r="A1170" t="str">
        <f t="shared" si="17"/>
        <v>SSTTSTNCP RP</v>
      </c>
      <c r="B1170" t="s">
        <v>45</v>
      </c>
      <c r="C1170" t="s">
        <v>159</v>
      </c>
      <c r="D1170" s="5">
        <v>0</v>
      </c>
      <c r="E1170" s="5">
        <v>0</v>
      </c>
      <c r="F1170" s="5">
        <v>0</v>
      </c>
      <c r="G1170" s="5">
        <v>0</v>
      </c>
      <c r="H1170" s="5">
        <v>0</v>
      </c>
      <c r="I1170" s="5">
        <v>0</v>
      </c>
      <c r="J1170" s="5">
        <v>0</v>
      </c>
      <c r="K1170" s="5">
        <v>0</v>
      </c>
      <c r="L1170" s="5">
        <v>0</v>
      </c>
      <c r="M1170" s="5">
        <v>0</v>
      </c>
      <c r="N1170" s="5">
        <v>0</v>
      </c>
      <c r="O1170" s="5">
        <v>0</v>
      </c>
    </row>
    <row r="1171" spans="1:15">
      <c r="A1171" t="str">
        <f t="shared" si="17"/>
        <v>SSTTSTNCP RP ONPK</v>
      </c>
      <c r="B1171" t="s">
        <v>45</v>
      </c>
      <c r="C1171" t="s">
        <v>160</v>
      </c>
      <c r="D1171" s="5">
        <v>0</v>
      </c>
      <c r="E1171" s="5">
        <v>0</v>
      </c>
      <c r="F1171" s="5">
        <v>0</v>
      </c>
      <c r="G1171" s="5">
        <v>0</v>
      </c>
      <c r="H1171" s="5">
        <v>0</v>
      </c>
      <c r="I1171" s="5">
        <v>0</v>
      </c>
      <c r="J1171" s="5">
        <v>0</v>
      </c>
      <c r="K1171" s="5">
        <v>0</v>
      </c>
      <c r="L1171" s="5">
        <v>0</v>
      </c>
      <c r="M1171" s="5">
        <v>0</v>
      </c>
      <c r="N1171" s="5">
        <v>0</v>
      </c>
      <c r="O1171" s="5">
        <v>0</v>
      </c>
    </row>
    <row r="1172" spans="1:15">
      <c r="A1172" t="str">
        <f t="shared" si="17"/>
        <v>SSTTSTNCP RP OFFPK</v>
      </c>
      <c r="B1172" t="s">
        <v>45</v>
      </c>
      <c r="C1172" t="s">
        <v>161</v>
      </c>
      <c r="D1172" s="5">
        <v>0</v>
      </c>
      <c r="E1172" s="5">
        <v>0</v>
      </c>
      <c r="F1172" s="5">
        <v>0</v>
      </c>
      <c r="G1172" s="5">
        <v>0</v>
      </c>
      <c r="H1172" s="5">
        <v>0</v>
      </c>
      <c r="I1172" s="5">
        <v>0</v>
      </c>
      <c r="J1172" s="5">
        <v>0</v>
      </c>
      <c r="K1172" s="5">
        <v>0</v>
      </c>
      <c r="L1172" s="5">
        <v>0</v>
      </c>
      <c r="M1172" s="5">
        <v>0</v>
      </c>
      <c r="N1172" s="5">
        <v>0</v>
      </c>
      <c r="O1172" s="5">
        <v>0</v>
      </c>
    </row>
    <row r="1173" spans="1:15">
      <c r="A1173" t="str">
        <f t="shared" si="17"/>
        <v>SSTTSTGCP RP</v>
      </c>
      <c r="B1173" t="s">
        <v>45</v>
      </c>
      <c r="C1173" t="s">
        <v>162</v>
      </c>
      <c r="D1173" s="5">
        <v>0</v>
      </c>
      <c r="E1173" s="5">
        <v>0</v>
      </c>
      <c r="F1173" s="5">
        <v>0</v>
      </c>
      <c r="G1173" s="5">
        <v>0</v>
      </c>
      <c r="H1173" s="5">
        <v>0</v>
      </c>
      <c r="I1173" s="5">
        <v>0</v>
      </c>
      <c r="J1173" s="5">
        <v>0</v>
      </c>
      <c r="K1173" s="5">
        <v>0</v>
      </c>
      <c r="L1173" s="5">
        <v>0</v>
      </c>
      <c r="M1173" s="5">
        <v>0</v>
      </c>
      <c r="N1173" s="5">
        <v>0</v>
      </c>
      <c r="O1173" s="5">
        <v>0</v>
      </c>
    </row>
    <row r="1174" spans="1:15">
      <c r="A1174" t="str">
        <f t="shared" si="17"/>
        <v>SSTTSTGCP RP ONPK</v>
      </c>
      <c r="B1174" t="s">
        <v>45</v>
      </c>
      <c r="C1174" t="s">
        <v>163</v>
      </c>
      <c r="D1174" s="5">
        <v>0</v>
      </c>
      <c r="E1174" s="5">
        <v>0</v>
      </c>
      <c r="F1174" s="5">
        <v>0</v>
      </c>
      <c r="G1174" s="5">
        <v>0</v>
      </c>
      <c r="H1174" s="5">
        <v>0</v>
      </c>
      <c r="I1174" s="5">
        <v>0</v>
      </c>
      <c r="J1174" s="5">
        <v>0</v>
      </c>
      <c r="K1174" s="5">
        <v>0</v>
      </c>
      <c r="L1174" s="5">
        <v>0</v>
      </c>
      <c r="M1174" s="5">
        <v>0</v>
      </c>
      <c r="N1174" s="5">
        <v>0</v>
      </c>
      <c r="O1174" s="5">
        <v>0</v>
      </c>
    </row>
    <row r="1175" spans="1:15">
      <c r="A1175" t="str">
        <f t="shared" si="17"/>
        <v>SSTTSTGCP RP OFFPK</v>
      </c>
      <c r="B1175" t="s">
        <v>45</v>
      </c>
      <c r="C1175" t="s">
        <v>164</v>
      </c>
      <c r="D1175" s="5">
        <v>0</v>
      </c>
      <c r="E1175" s="5">
        <v>0</v>
      </c>
      <c r="F1175" s="5">
        <v>0</v>
      </c>
      <c r="G1175" s="5">
        <v>0</v>
      </c>
      <c r="H1175" s="5">
        <v>0</v>
      </c>
      <c r="I1175" s="5">
        <v>0</v>
      </c>
      <c r="J1175" s="5">
        <v>0</v>
      </c>
      <c r="K1175" s="5">
        <v>0</v>
      </c>
      <c r="L1175" s="5">
        <v>0</v>
      </c>
      <c r="M1175" s="5">
        <v>0</v>
      </c>
      <c r="N1175" s="5">
        <v>0</v>
      </c>
      <c r="O1175" s="5">
        <v>0</v>
      </c>
    </row>
    <row r="1176" spans="1:15">
      <c r="A1176" t="str">
        <f t="shared" si="17"/>
        <v>SSTTSTCP RP</v>
      </c>
      <c r="B1176" t="s">
        <v>45</v>
      </c>
      <c r="C1176" t="s">
        <v>165</v>
      </c>
      <c r="D1176" s="5">
        <v>0</v>
      </c>
      <c r="E1176" s="5">
        <v>0</v>
      </c>
      <c r="F1176" s="5">
        <v>0</v>
      </c>
      <c r="G1176" s="5">
        <v>0</v>
      </c>
      <c r="H1176" s="5">
        <v>0</v>
      </c>
      <c r="I1176" s="5">
        <v>0</v>
      </c>
      <c r="J1176" s="5">
        <v>0</v>
      </c>
      <c r="K1176" s="5">
        <v>0</v>
      </c>
      <c r="L1176" s="5">
        <v>0</v>
      </c>
      <c r="M1176" s="5">
        <v>0</v>
      </c>
      <c r="N1176" s="5">
        <v>0</v>
      </c>
      <c r="O1176" s="5">
        <v>0</v>
      </c>
    </row>
    <row r="1177" spans="1:15">
      <c r="A1177" t="str">
        <f t="shared" si="17"/>
        <v>SSTTSTSAMPLE SIZE:</v>
      </c>
      <c r="B1177" t="s">
        <v>45</v>
      </c>
      <c r="C1177" t="s">
        <v>66</v>
      </c>
    </row>
    <row r="1178" spans="1:15">
      <c r="A1178" t="str">
        <f t="shared" si="17"/>
        <v>SSTTSTGCPSZ</v>
      </c>
      <c r="B1178" t="s">
        <v>45</v>
      </c>
      <c r="C1178" t="s">
        <v>166</v>
      </c>
      <c r="D1178">
        <v>13</v>
      </c>
      <c r="E1178">
        <v>13</v>
      </c>
      <c r="F1178">
        <v>13</v>
      </c>
      <c r="G1178">
        <v>13</v>
      </c>
      <c r="H1178">
        <v>13</v>
      </c>
      <c r="I1178">
        <v>13</v>
      </c>
      <c r="J1178">
        <v>13</v>
      </c>
      <c r="K1178">
        <v>13</v>
      </c>
      <c r="L1178">
        <v>13</v>
      </c>
      <c r="M1178">
        <v>13</v>
      </c>
      <c r="N1178">
        <v>13</v>
      </c>
      <c r="O1178">
        <v>13</v>
      </c>
    </row>
    <row r="1179" spans="1:15">
      <c r="A1179" t="str">
        <f t="shared" si="17"/>
        <v>SSTTSTGCPSZ ONPK</v>
      </c>
      <c r="B1179" t="s">
        <v>45</v>
      </c>
      <c r="C1179" t="s">
        <v>167</v>
      </c>
      <c r="D1179">
        <v>13</v>
      </c>
      <c r="E1179">
        <v>13</v>
      </c>
      <c r="F1179">
        <v>13</v>
      </c>
      <c r="G1179">
        <v>13</v>
      </c>
      <c r="H1179">
        <v>13</v>
      </c>
      <c r="I1179">
        <v>13</v>
      </c>
      <c r="J1179">
        <v>13</v>
      </c>
      <c r="K1179">
        <v>13</v>
      </c>
      <c r="L1179">
        <v>13</v>
      </c>
      <c r="M1179">
        <v>13</v>
      </c>
      <c r="N1179">
        <v>13</v>
      </c>
      <c r="O1179">
        <v>13</v>
      </c>
    </row>
    <row r="1180" spans="1:15">
      <c r="A1180" t="str">
        <f t="shared" si="17"/>
        <v>SSTTSTGCPSZ OFFPK</v>
      </c>
      <c r="B1180" t="s">
        <v>45</v>
      </c>
      <c r="C1180" t="s">
        <v>168</v>
      </c>
      <c r="D1180">
        <v>13</v>
      </c>
      <c r="E1180">
        <v>13</v>
      </c>
      <c r="F1180">
        <v>13</v>
      </c>
      <c r="G1180">
        <v>13</v>
      </c>
      <c r="H1180">
        <v>13</v>
      </c>
      <c r="I1180">
        <v>13</v>
      </c>
      <c r="J1180">
        <v>13</v>
      </c>
      <c r="K1180">
        <v>13</v>
      </c>
      <c r="L1180">
        <v>13</v>
      </c>
      <c r="M1180">
        <v>13</v>
      </c>
      <c r="N1180">
        <v>13</v>
      </c>
      <c r="O1180">
        <v>13</v>
      </c>
    </row>
    <row r="1181" spans="1:15">
      <c r="A1181" t="str">
        <f t="shared" si="17"/>
        <v>SSTTSTCPSZ</v>
      </c>
      <c r="B1181" t="s">
        <v>45</v>
      </c>
      <c r="C1181" t="s">
        <v>169</v>
      </c>
      <c r="D1181">
        <v>13</v>
      </c>
      <c r="E1181">
        <v>13</v>
      </c>
      <c r="F1181">
        <v>13</v>
      </c>
      <c r="G1181">
        <v>13</v>
      </c>
      <c r="H1181">
        <v>13</v>
      </c>
      <c r="I1181">
        <v>13</v>
      </c>
      <c r="J1181">
        <v>13</v>
      </c>
      <c r="K1181">
        <v>13</v>
      </c>
      <c r="L1181">
        <v>13</v>
      </c>
      <c r="M1181">
        <v>13</v>
      </c>
      <c r="N1181">
        <v>13</v>
      </c>
      <c r="O1181">
        <v>13</v>
      </c>
    </row>
    <row r="1182" spans="1:15">
      <c r="A1182" t="str">
        <f t="shared" si="17"/>
        <v/>
      </c>
    </row>
    <row r="1183" spans="1:15">
      <c r="A1183" t="str">
        <f t="shared" si="17"/>
        <v/>
      </c>
      <c r="B1183" s="3"/>
    </row>
    <row r="1184" spans="1:15">
      <c r="A1184" t="str">
        <f t="shared" si="17"/>
        <v xml:space="preserve">WAUCHULA Wholesale City of Wauchula </v>
      </c>
      <c r="B1184" t="s">
        <v>722</v>
      </c>
      <c r="C1184" t="s">
        <v>723</v>
      </c>
    </row>
    <row r="1185" spans="1:22">
      <c r="A1185" t="str">
        <f t="shared" si="17"/>
        <v xml:space="preserve">WAUCHULAMONTH </v>
      </c>
      <c r="B1185" t="s">
        <v>724</v>
      </c>
      <c r="C1185" t="s">
        <v>123</v>
      </c>
      <c r="D1185" s="4">
        <v>41275</v>
      </c>
      <c r="E1185" s="4">
        <v>41306</v>
      </c>
      <c r="F1185" s="4">
        <v>41334</v>
      </c>
      <c r="G1185" s="4">
        <v>41365</v>
      </c>
      <c r="H1185" s="4">
        <v>41395</v>
      </c>
      <c r="I1185" s="4">
        <v>41426</v>
      </c>
      <c r="J1185" s="4">
        <v>41456</v>
      </c>
      <c r="K1185" s="4">
        <v>41487</v>
      </c>
      <c r="L1185" s="4">
        <v>41518</v>
      </c>
      <c r="M1185" s="4">
        <v>41548</v>
      </c>
      <c r="N1185" s="4">
        <v>41579</v>
      </c>
      <c r="O1185" s="4">
        <v>41609</v>
      </c>
    </row>
    <row r="1186" spans="1:22">
      <c r="A1186" t="str">
        <f t="shared" si="17"/>
        <v xml:space="preserve">WAUCHULACUSTOMERS </v>
      </c>
      <c r="B1186" t="s">
        <v>724</v>
      </c>
      <c r="C1186" t="s">
        <v>124</v>
      </c>
      <c r="D1186">
        <v>4</v>
      </c>
      <c r="E1186">
        <v>4</v>
      </c>
      <c r="F1186">
        <v>4</v>
      </c>
      <c r="G1186">
        <v>4</v>
      </c>
      <c r="H1186">
        <v>4</v>
      </c>
      <c r="I1186">
        <v>4</v>
      </c>
      <c r="J1186">
        <v>4</v>
      </c>
      <c r="K1186">
        <v>4</v>
      </c>
      <c r="L1186">
        <v>4</v>
      </c>
      <c r="M1186">
        <v>4</v>
      </c>
      <c r="N1186">
        <v>4</v>
      </c>
      <c r="O1186">
        <v>4</v>
      </c>
    </row>
    <row r="1187" spans="1:22">
      <c r="A1187" t="str">
        <f t="shared" si="17"/>
        <v xml:space="preserve">WAUCHULASALES </v>
      </c>
      <c r="B1187" t="s">
        <v>724</v>
      </c>
      <c r="C1187" t="s">
        <v>125</v>
      </c>
      <c r="D1187">
        <v>61189908</v>
      </c>
      <c r="E1187">
        <v>63149555</v>
      </c>
      <c r="F1187">
        <v>58105670</v>
      </c>
      <c r="G1187">
        <v>60933431</v>
      </c>
      <c r="H1187">
        <v>70271983</v>
      </c>
      <c r="I1187">
        <v>73381393</v>
      </c>
      <c r="J1187">
        <v>81686209</v>
      </c>
      <c r="K1187">
        <v>85307849</v>
      </c>
      <c r="L1187">
        <v>88503862</v>
      </c>
      <c r="M1187">
        <v>78273789</v>
      </c>
      <c r="N1187">
        <v>74983627</v>
      </c>
      <c r="O1187">
        <v>63486551</v>
      </c>
    </row>
    <row r="1188" spans="1:22">
      <c r="A1188" t="str">
        <f t="shared" si="17"/>
        <v>WAUCHULAKW</v>
      </c>
      <c r="B1188" t="s">
        <v>724</v>
      </c>
      <c r="C1188" t="s">
        <v>126</v>
      </c>
    </row>
    <row r="1189" spans="1:22">
      <c r="A1189" t="str">
        <f t="shared" si="17"/>
        <v>WAUCHULAN</v>
      </c>
      <c r="B1189" t="s">
        <v>724</v>
      </c>
      <c r="C1189" t="s">
        <v>127</v>
      </c>
      <c r="D1189">
        <v>1</v>
      </c>
      <c r="E1189">
        <v>1</v>
      </c>
      <c r="F1189">
        <v>1</v>
      </c>
      <c r="G1189">
        <v>1</v>
      </c>
      <c r="H1189">
        <v>1</v>
      </c>
      <c r="I1189">
        <v>1</v>
      </c>
      <c r="J1189">
        <v>1</v>
      </c>
      <c r="K1189">
        <v>1</v>
      </c>
      <c r="L1189">
        <v>1</v>
      </c>
      <c r="M1189">
        <v>1</v>
      </c>
      <c r="N1189">
        <v>1</v>
      </c>
      <c r="O1189">
        <v>1</v>
      </c>
    </row>
    <row r="1190" spans="1:22">
      <c r="A1190" t="str">
        <f t="shared" si="17"/>
        <v>WAUCHULARLR ENERGY:</v>
      </c>
      <c r="B1190" t="s">
        <v>724</v>
      </c>
      <c r="C1190" t="s">
        <v>61</v>
      </c>
    </row>
    <row r="1191" spans="1:22">
      <c r="A1191" t="str">
        <f t="shared" si="17"/>
        <v>WAUCHULAKWH</v>
      </c>
      <c r="B1191" t="s">
        <v>724</v>
      </c>
      <c r="C1191" t="s">
        <v>128</v>
      </c>
      <c r="D1191">
        <v>4430530</v>
      </c>
      <c r="E1191">
        <v>4216119</v>
      </c>
      <c r="F1191">
        <v>4511771</v>
      </c>
      <c r="G1191">
        <v>5016720</v>
      </c>
      <c r="H1191">
        <v>5417904</v>
      </c>
      <c r="I1191">
        <v>5724584</v>
      </c>
      <c r="J1191">
        <v>5675470</v>
      </c>
      <c r="K1191">
        <v>6416429</v>
      </c>
      <c r="L1191">
        <v>5734275</v>
      </c>
      <c r="M1191">
        <v>5499348</v>
      </c>
      <c r="N1191">
        <v>4489660</v>
      </c>
      <c r="O1191">
        <v>4642288</v>
      </c>
    </row>
    <row r="1192" spans="1:22">
      <c r="A1192" t="str">
        <f t="shared" si="17"/>
        <v>WAUCHULAKWH ONPK</v>
      </c>
      <c r="B1192" t="s">
        <v>724</v>
      </c>
      <c r="C1192" t="s">
        <v>129</v>
      </c>
      <c r="D1192">
        <v>1183597</v>
      </c>
      <c r="E1192">
        <v>1109801</v>
      </c>
      <c r="F1192">
        <v>1150694</v>
      </c>
      <c r="G1192">
        <v>1800945</v>
      </c>
      <c r="H1192">
        <v>1832158</v>
      </c>
      <c r="I1192">
        <v>1840399</v>
      </c>
      <c r="J1192">
        <v>1912792</v>
      </c>
      <c r="K1192">
        <v>2222234</v>
      </c>
      <c r="L1192">
        <v>1830508</v>
      </c>
      <c r="M1192">
        <v>1966062</v>
      </c>
      <c r="N1192">
        <v>1090982</v>
      </c>
      <c r="O1192">
        <v>1149287</v>
      </c>
    </row>
    <row r="1193" spans="1:22">
      <c r="A1193" t="str">
        <f t="shared" si="17"/>
        <v>WAUCHULAKWH OFFPK</v>
      </c>
      <c r="B1193" t="s">
        <v>724</v>
      </c>
      <c r="C1193" t="s">
        <v>130</v>
      </c>
      <c r="D1193">
        <v>3246933</v>
      </c>
      <c r="E1193">
        <v>3106318</v>
      </c>
      <c r="F1193">
        <v>3361076</v>
      </c>
      <c r="G1193">
        <v>3215775</v>
      </c>
      <c r="H1193">
        <v>3585746</v>
      </c>
      <c r="I1193">
        <v>3884185</v>
      </c>
      <c r="J1193">
        <v>3762678</v>
      </c>
      <c r="K1193">
        <v>4194195</v>
      </c>
      <c r="L1193">
        <v>3903767</v>
      </c>
      <c r="M1193">
        <v>3533286</v>
      </c>
      <c r="N1193">
        <v>3398678</v>
      </c>
      <c r="O1193">
        <v>3493001</v>
      </c>
    </row>
    <row r="1194" spans="1:22">
      <c r="A1194" t="str">
        <f t="shared" si="17"/>
        <v>WAUCHULAKWH ONPK%</v>
      </c>
      <c r="B1194" t="s">
        <v>724</v>
      </c>
      <c r="C1194" t="s">
        <v>131</v>
      </c>
      <c r="D1194" s="5">
        <v>0.26715</v>
      </c>
      <c r="E1194" s="5">
        <v>0.26323000000000002</v>
      </c>
      <c r="F1194" s="5">
        <v>0.25503999999999999</v>
      </c>
      <c r="G1194" s="5">
        <v>0.35898999999999998</v>
      </c>
      <c r="H1194" s="5">
        <v>0.33817000000000003</v>
      </c>
      <c r="I1194" s="5">
        <v>0.32149</v>
      </c>
      <c r="J1194" s="5">
        <v>0.33703</v>
      </c>
      <c r="K1194" s="5">
        <v>0.34633999999999998</v>
      </c>
      <c r="L1194" s="5">
        <v>0.31922</v>
      </c>
      <c r="M1194" s="5">
        <v>0.35750999999999999</v>
      </c>
      <c r="N1194" s="5">
        <v>0.24299999999999999</v>
      </c>
      <c r="O1194" s="5">
        <v>0.24757000000000001</v>
      </c>
    </row>
    <row r="1195" spans="1:22">
      <c r="A1195" t="str">
        <f t="shared" si="17"/>
        <v>WAUCHULAKWH OFFPK%</v>
      </c>
      <c r="B1195" t="s">
        <v>724</v>
      </c>
      <c r="C1195" t="s">
        <v>132</v>
      </c>
      <c r="D1195" s="5">
        <v>0.73285</v>
      </c>
      <c r="E1195" s="5">
        <v>0.73677000000000004</v>
      </c>
      <c r="F1195" s="5">
        <v>0.74495999999999996</v>
      </c>
      <c r="G1195" s="5">
        <v>0.64100999999999997</v>
      </c>
      <c r="H1195" s="5">
        <v>0.66183000000000003</v>
      </c>
      <c r="I1195" s="5">
        <v>0.67850999999999995</v>
      </c>
      <c r="J1195" s="5">
        <v>0.66296999999999995</v>
      </c>
      <c r="K1195" s="5">
        <v>0.65366000000000002</v>
      </c>
      <c r="L1195" s="5">
        <v>0.68078000000000005</v>
      </c>
      <c r="M1195" s="5">
        <v>0.64249000000000001</v>
      </c>
      <c r="N1195" s="5">
        <v>0.75700000000000001</v>
      </c>
      <c r="O1195" s="5">
        <v>0.75243000000000004</v>
      </c>
    </row>
    <row r="1196" spans="1:22">
      <c r="A1196" t="str">
        <f t="shared" si="17"/>
        <v>WAUCHULADEMAND (KW):</v>
      </c>
      <c r="B1196" t="s">
        <v>724</v>
      </c>
      <c r="C1196" t="s">
        <v>62</v>
      </c>
      <c r="U1196" s="6"/>
      <c r="V1196" s="489"/>
    </row>
    <row r="1197" spans="1:22">
      <c r="A1197" t="str">
        <f t="shared" si="17"/>
        <v>WAUCHULANCP</v>
      </c>
      <c r="B1197" t="s">
        <v>724</v>
      </c>
      <c r="C1197" t="s">
        <v>133</v>
      </c>
      <c r="D1197">
        <v>8962</v>
      </c>
      <c r="E1197">
        <v>10853</v>
      </c>
      <c r="F1197">
        <v>11363</v>
      </c>
      <c r="G1197">
        <v>11581</v>
      </c>
      <c r="H1197">
        <v>12367</v>
      </c>
      <c r="I1197">
        <v>13187</v>
      </c>
      <c r="J1197">
        <v>12500</v>
      </c>
      <c r="K1197">
        <v>13557</v>
      </c>
      <c r="L1197">
        <v>13021</v>
      </c>
      <c r="M1197">
        <v>11905</v>
      </c>
      <c r="N1197">
        <v>10309</v>
      </c>
      <c r="O1197">
        <v>9574</v>
      </c>
      <c r="U1197" s="6"/>
      <c r="V1197" s="489"/>
    </row>
    <row r="1198" spans="1:22">
      <c r="A1198" t="str">
        <f t="shared" si="17"/>
        <v>WAUCHULANCP ONPK</v>
      </c>
      <c r="B1198" t="s">
        <v>724</v>
      </c>
      <c r="C1198" t="s">
        <v>134</v>
      </c>
      <c r="D1198">
        <v>8708</v>
      </c>
      <c r="E1198">
        <v>10853</v>
      </c>
      <c r="F1198">
        <v>11363</v>
      </c>
      <c r="G1198">
        <v>11581</v>
      </c>
      <c r="H1198">
        <v>12367</v>
      </c>
      <c r="I1198">
        <v>13187</v>
      </c>
      <c r="J1198">
        <v>12500</v>
      </c>
      <c r="K1198">
        <v>13557</v>
      </c>
      <c r="L1198">
        <v>13021</v>
      </c>
      <c r="M1198">
        <v>11905</v>
      </c>
      <c r="N1198">
        <v>9634</v>
      </c>
      <c r="O1198">
        <v>9546</v>
      </c>
      <c r="U1198" s="6"/>
      <c r="V1198" s="489"/>
    </row>
    <row r="1199" spans="1:22">
      <c r="A1199" t="str">
        <f t="shared" si="17"/>
        <v>WAUCHULANCP OFFPK</v>
      </c>
      <c r="B1199" t="s">
        <v>724</v>
      </c>
      <c r="C1199" t="s">
        <v>135</v>
      </c>
      <c r="D1199">
        <v>8962</v>
      </c>
      <c r="E1199">
        <v>9588</v>
      </c>
      <c r="F1199">
        <v>9630</v>
      </c>
      <c r="G1199">
        <v>9726</v>
      </c>
      <c r="H1199">
        <v>10930</v>
      </c>
      <c r="I1199">
        <v>11150</v>
      </c>
      <c r="J1199">
        <v>11019</v>
      </c>
      <c r="K1199">
        <v>11855</v>
      </c>
      <c r="L1199">
        <v>10824</v>
      </c>
      <c r="M1199">
        <v>10666</v>
      </c>
      <c r="N1199">
        <v>10309</v>
      </c>
      <c r="O1199">
        <v>9574</v>
      </c>
      <c r="U1199" s="6"/>
      <c r="V1199" s="489"/>
    </row>
    <row r="1200" spans="1:22">
      <c r="A1200" t="str">
        <f t="shared" si="17"/>
        <v>WAUCHULAGCP DATE</v>
      </c>
      <c r="B1200" t="s">
        <v>724</v>
      </c>
      <c r="C1200" t="s">
        <v>136</v>
      </c>
      <c r="D1200" t="s">
        <v>755</v>
      </c>
      <c r="E1200" t="s">
        <v>743</v>
      </c>
      <c r="F1200" t="s">
        <v>744</v>
      </c>
      <c r="G1200" t="s">
        <v>784</v>
      </c>
      <c r="H1200" t="s">
        <v>826</v>
      </c>
      <c r="I1200" t="s">
        <v>839</v>
      </c>
      <c r="J1200" t="s">
        <v>748</v>
      </c>
      <c r="K1200" t="s">
        <v>822</v>
      </c>
      <c r="L1200" t="s">
        <v>827</v>
      </c>
      <c r="M1200" t="s">
        <v>828</v>
      </c>
      <c r="N1200" t="s">
        <v>882</v>
      </c>
      <c r="O1200" t="s">
        <v>766</v>
      </c>
      <c r="U1200" s="6"/>
      <c r="V1200" s="489"/>
    </row>
    <row r="1201" spans="1:22">
      <c r="A1201" t="str">
        <f t="shared" si="17"/>
        <v>WAUCHULAGCP TIME</v>
      </c>
      <c r="B1201" t="s">
        <v>724</v>
      </c>
      <c r="C1201" t="s">
        <v>142</v>
      </c>
      <c r="D1201" t="s">
        <v>144</v>
      </c>
      <c r="E1201" t="s">
        <v>194</v>
      </c>
      <c r="F1201" t="s">
        <v>203</v>
      </c>
      <c r="G1201" t="s">
        <v>145</v>
      </c>
      <c r="H1201" t="s">
        <v>195</v>
      </c>
      <c r="I1201" t="s">
        <v>195</v>
      </c>
      <c r="J1201" t="s">
        <v>145</v>
      </c>
      <c r="K1201" t="s">
        <v>195</v>
      </c>
      <c r="L1201" t="s">
        <v>145</v>
      </c>
      <c r="M1201" t="s">
        <v>145</v>
      </c>
      <c r="N1201" t="s">
        <v>145</v>
      </c>
      <c r="O1201" t="s">
        <v>145</v>
      </c>
      <c r="U1201" s="6"/>
      <c r="V1201" s="489"/>
    </row>
    <row r="1202" spans="1:22">
      <c r="A1202" t="str">
        <f t="shared" si="17"/>
        <v>WAUCHULAGCP</v>
      </c>
      <c r="B1202" t="s">
        <v>724</v>
      </c>
      <c r="C1202" t="s">
        <v>147</v>
      </c>
      <c r="D1202">
        <v>8962</v>
      </c>
      <c r="E1202">
        <v>10853</v>
      </c>
      <c r="F1202">
        <v>11363</v>
      </c>
      <c r="G1202">
        <v>11581</v>
      </c>
      <c r="H1202">
        <v>12367</v>
      </c>
      <c r="I1202">
        <v>13187</v>
      </c>
      <c r="J1202">
        <v>12500</v>
      </c>
      <c r="K1202">
        <v>13557</v>
      </c>
      <c r="L1202">
        <v>13021</v>
      </c>
      <c r="M1202">
        <v>11905</v>
      </c>
      <c r="N1202">
        <v>10309</v>
      </c>
      <c r="O1202">
        <v>9574</v>
      </c>
      <c r="U1202" s="85"/>
      <c r="V1202" s="490"/>
    </row>
    <row r="1203" spans="1:22">
      <c r="A1203" t="str">
        <f t="shared" si="17"/>
        <v>WAUCHULAGCP ONPK</v>
      </c>
      <c r="B1203" t="s">
        <v>724</v>
      </c>
      <c r="C1203" t="s">
        <v>63</v>
      </c>
      <c r="D1203">
        <v>8708</v>
      </c>
      <c r="E1203">
        <v>10853</v>
      </c>
      <c r="F1203">
        <v>11363</v>
      </c>
      <c r="G1203">
        <v>11581</v>
      </c>
      <c r="H1203">
        <v>12367</v>
      </c>
      <c r="I1203">
        <v>13187</v>
      </c>
      <c r="J1203">
        <v>12500</v>
      </c>
      <c r="K1203">
        <v>13557</v>
      </c>
      <c r="L1203">
        <v>13021</v>
      </c>
      <c r="M1203">
        <v>11905</v>
      </c>
      <c r="N1203">
        <v>9634</v>
      </c>
      <c r="O1203">
        <v>9546</v>
      </c>
      <c r="V1203" s="230"/>
    </row>
    <row r="1204" spans="1:22">
      <c r="A1204" t="str">
        <f t="shared" si="17"/>
        <v>WAUCHULAGCP OFFPK</v>
      </c>
      <c r="B1204" t="s">
        <v>724</v>
      </c>
      <c r="C1204" t="s">
        <v>64</v>
      </c>
      <c r="D1204">
        <v>8962</v>
      </c>
      <c r="E1204">
        <v>9588</v>
      </c>
      <c r="F1204">
        <v>9630</v>
      </c>
      <c r="G1204">
        <v>9726</v>
      </c>
      <c r="H1204">
        <v>10930</v>
      </c>
      <c r="I1204">
        <v>11150</v>
      </c>
      <c r="J1204">
        <v>11019</v>
      </c>
      <c r="K1204">
        <v>11855</v>
      </c>
      <c r="L1204">
        <v>10824</v>
      </c>
      <c r="M1204">
        <v>10666</v>
      </c>
      <c r="N1204">
        <v>10309</v>
      </c>
      <c r="O1204">
        <v>9574</v>
      </c>
    </row>
    <row r="1205" spans="1:22">
      <c r="A1205" t="str">
        <f t="shared" ref="A1205:A1268" si="18">B1205&amp;C1205</f>
        <v>WAUCHULACP</v>
      </c>
      <c r="B1205" t="s">
        <v>724</v>
      </c>
      <c r="C1205" t="s">
        <v>148</v>
      </c>
      <c r="D1205">
        <v>8708</v>
      </c>
      <c r="E1205">
        <v>9537</v>
      </c>
      <c r="F1205">
        <v>11363</v>
      </c>
      <c r="G1205">
        <v>10198</v>
      </c>
      <c r="H1205">
        <v>11922</v>
      </c>
      <c r="I1205">
        <v>11777</v>
      </c>
      <c r="J1205">
        <v>10634</v>
      </c>
      <c r="K1205">
        <v>13072</v>
      </c>
      <c r="L1205">
        <v>13021</v>
      </c>
      <c r="M1205">
        <v>11353</v>
      </c>
      <c r="N1205">
        <v>10236</v>
      </c>
      <c r="O1205">
        <v>9313</v>
      </c>
    </row>
    <row r="1206" spans="1:22">
      <c r="A1206" t="str">
        <f t="shared" si="18"/>
        <v>WAUCHULAPERIOD START</v>
      </c>
      <c r="B1206" t="s">
        <v>724</v>
      </c>
      <c r="C1206" t="s">
        <v>149</v>
      </c>
      <c r="D1206" s="1">
        <v>41275</v>
      </c>
      <c r="E1206" s="1">
        <v>41306</v>
      </c>
      <c r="F1206" s="1">
        <v>41334</v>
      </c>
      <c r="G1206" s="1">
        <v>41365</v>
      </c>
      <c r="H1206" s="1">
        <v>41395</v>
      </c>
      <c r="I1206" s="1">
        <v>41426</v>
      </c>
      <c r="J1206" s="1">
        <v>41456</v>
      </c>
      <c r="K1206" s="1">
        <v>41487</v>
      </c>
      <c r="L1206" s="1">
        <v>41518</v>
      </c>
      <c r="M1206" s="1">
        <v>41548</v>
      </c>
      <c r="N1206" s="1">
        <v>41579</v>
      </c>
      <c r="O1206" s="1">
        <v>41609</v>
      </c>
    </row>
    <row r="1207" spans="1:22">
      <c r="A1207" t="str">
        <f t="shared" si="18"/>
        <v>WAUCHULANCP LF</v>
      </c>
      <c r="B1207" t="s">
        <v>724</v>
      </c>
      <c r="C1207" t="s">
        <v>150</v>
      </c>
      <c r="D1207" s="5">
        <v>0.66449999999999998</v>
      </c>
      <c r="E1207" s="5">
        <v>0.57809999999999995</v>
      </c>
      <c r="F1207" s="5">
        <v>0.53439999999999999</v>
      </c>
      <c r="G1207" s="5">
        <v>0.60170000000000001</v>
      </c>
      <c r="H1207" s="5">
        <v>0.58879999999999999</v>
      </c>
      <c r="I1207" s="5">
        <v>0.60289999999999999</v>
      </c>
      <c r="J1207" s="5">
        <v>0.61029999999999995</v>
      </c>
      <c r="K1207" s="5">
        <v>0.63619999999999999</v>
      </c>
      <c r="L1207" s="5">
        <v>0.61160000000000003</v>
      </c>
      <c r="M1207" s="5">
        <v>0.62090000000000001</v>
      </c>
      <c r="N1207" s="5">
        <v>0.6048</v>
      </c>
      <c r="O1207" s="5">
        <v>0.65169999999999995</v>
      </c>
    </row>
    <row r="1208" spans="1:22">
      <c r="A1208" t="str">
        <f t="shared" si="18"/>
        <v>WAUCHULANCP LF ONPK</v>
      </c>
      <c r="B1208" t="s">
        <v>724</v>
      </c>
      <c r="C1208" t="s">
        <v>151</v>
      </c>
      <c r="D1208" s="5">
        <v>0.77229999999999999</v>
      </c>
      <c r="E1208" s="5">
        <v>0.6391</v>
      </c>
      <c r="F1208" s="5">
        <v>0.6028</v>
      </c>
      <c r="G1208" s="5">
        <v>0.78539999999999999</v>
      </c>
      <c r="H1208" s="5">
        <v>0.74819999999999998</v>
      </c>
      <c r="I1208" s="5">
        <v>0.77539999999999998</v>
      </c>
      <c r="J1208" s="5">
        <v>0.77290000000000003</v>
      </c>
      <c r="K1208" s="5">
        <v>0.82789999999999997</v>
      </c>
      <c r="L1208" s="5">
        <v>0.78100000000000003</v>
      </c>
      <c r="M1208" s="5">
        <v>0.79779999999999995</v>
      </c>
      <c r="N1208" s="5">
        <v>0.70779999999999998</v>
      </c>
      <c r="O1208" s="5">
        <v>0.71660000000000001</v>
      </c>
    </row>
    <row r="1209" spans="1:22">
      <c r="A1209" t="str">
        <f t="shared" si="18"/>
        <v>WAUCHULANCP LF OFFPK</v>
      </c>
      <c r="B1209" t="s">
        <v>724</v>
      </c>
      <c r="C1209" t="s">
        <v>152</v>
      </c>
      <c r="D1209" s="5">
        <v>0.63790000000000002</v>
      </c>
      <c r="E1209" s="5">
        <v>0.63280000000000003</v>
      </c>
      <c r="F1209" s="5">
        <v>0.60699999999999998</v>
      </c>
      <c r="G1209" s="5">
        <v>0.63339999999999996</v>
      </c>
      <c r="H1209" s="5">
        <v>0.6008</v>
      </c>
      <c r="I1209" s="5">
        <v>0.64510000000000001</v>
      </c>
      <c r="J1209" s="5">
        <v>0.62539999999999996</v>
      </c>
      <c r="K1209" s="5">
        <v>0.64790000000000003</v>
      </c>
      <c r="L1209" s="5">
        <v>0.66790000000000005</v>
      </c>
      <c r="M1209" s="5">
        <v>0.6169</v>
      </c>
      <c r="N1209" s="5">
        <v>0.5887</v>
      </c>
      <c r="O1209" s="5">
        <v>0.63339999999999996</v>
      </c>
    </row>
    <row r="1210" spans="1:22">
      <c r="A1210" t="str">
        <f t="shared" si="18"/>
        <v>WAUCHULAGCP CF</v>
      </c>
      <c r="B1210" t="s">
        <v>724</v>
      </c>
      <c r="C1210" t="s">
        <v>153</v>
      </c>
      <c r="D1210" s="5">
        <v>1</v>
      </c>
      <c r="E1210" s="5">
        <v>1</v>
      </c>
      <c r="F1210" s="5">
        <v>1</v>
      </c>
      <c r="G1210" s="5">
        <v>1</v>
      </c>
      <c r="H1210" s="5">
        <v>1</v>
      </c>
      <c r="I1210" s="5">
        <v>1</v>
      </c>
      <c r="J1210" s="5">
        <v>1</v>
      </c>
      <c r="K1210" s="5">
        <v>1</v>
      </c>
      <c r="L1210" s="5">
        <v>1</v>
      </c>
      <c r="M1210" s="5">
        <v>1</v>
      </c>
      <c r="N1210" s="5">
        <v>1</v>
      </c>
      <c r="O1210" s="5">
        <v>1</v>
      </c>
    </row>
    <row r="1211" spans="1:22">
      <c r="A1211" t="str">
        <f t="shared" si="18"/>
        <v>WAUCHULACP CF</v>
      </c>
      <c r="B1211" t="s">
        <v>724</v>
      </c>
      <c r="C1211" t="s">
        <v>154</v>
      </c>
      <c r="D1211" s="5">
        <v>0.97170000000000001</v>
      </c>
      <c r="E1211" s="5">
        <v>0.87880000000000003</v>
      </c>
      <c r="F1211" s="5">
        <v>1</v>
      </c>
      <c r="G1211" s="5">
        <v>0.88060000000000005</v>
      </c>
      <c r="H1211" s="5">
        <v>0.96399999999999997</v>
      </c>
      <c r="I1211" s="5">
        <v>0.8931</v>
      </c>
      <c r="J1211" s="5">
        <v>0.85070000000000001</v>
      </c>
      <c r="K1211" s="5">
        <v>0.96419999999999995</v>
      </c>
      <c r="L1211" s="5">
        <v>1</v>
      </c>
      <c r="M1211" s="5">
        <v>0.9536</v>
      </c>
      <c r="N1211" s="5">
        <v>0.9929</v>
      </c>
      <c r="O1211" s="5">
        <v>0.97270000000000001</v>
      </c>
    </row>
    <row r="1212" spans="1:22">
      <c r="A1212" t="str">
        <f t="shared" si="18"/>
        <v>WAUCHULAGCP LF</v>
      </c>
      <c r="B1212" t="s">
        <v>724</v>
      </c>
      <c r="C1212" t="s">
        <v>155</v>
      </c>
      <c r="D1212" s="5">
        <v>0.66449999999999998</v>
      </c>
      <c r="E1212" s="5">
        <v>0.57809999999999995</v>
      </c>
      <c r="F1212" s="5">
        <v>0.53439999999999999</v>
      </c>
      <c r="G1212" s="5">
        <v>0.60170000000000001</v>
      </c>
      <c r="H1212" s="5">
        <v>0.58879999999999999</v>
      </c>
      <c r="I1212" s="5">
        <v>0.60289999999999999</v>
      </c>
      <c r="J1212" s="5">
        <v>0.61029999999999995</v>
      </c>
      <c r="K1212" s="5">
        <v>0.63619999999999999</v>
      </c>
      <c r="L1212" s="5">
        <v>0.61160000000000003</v>
      </c>
      <c r="M1212" s="5">
        <v>0.62090000000000001</v>
      </c>
      <c r="N1212" s="5">
        <v>0.6048</v>
      </c>
      <c r="O1212" s="5">
        <v>0.65169999999999995</v>
      </c>
    </row>
    <row r="1213" spans="1:22">
      <c r="A1213" t="str">
        <f t="shared" si="18"/>
        <v>WAUCHULAGCP LF ONPK</v>
      </c>
      <c r="B1213" t="s">
        <v>724</v>
      </c>
      <c r="C1213" t="s">
        <v>156</v>
      </c>
      <c r="D1213" s="5">
        <v>0.77229999999999999</v>
      </c>
      <c r="E1213" s="5">
        <v>0.6391</v>
      </c>
      <c r="F1213" s="5">
        <v>0.6028</v>
      </c>
      <c r="G1213" s="5">
        <v>0.78539999999999999</v>
      </c>
      <c r="H1213" s="5">
        <v>0.74819999999999998</v>
      </c>
      <c r="I1213" s="5">
        <v>0.77539999999999998</v>
      </c>
      <c r="J1213" s="5">
        <v>0.77290000000000003</v>
      </c>
      <c r="K1213" s="5">
        <v>0.82789999999999997</v>
      </c>
      <c r="L1213" s="5">
        <v>0.78100000000000003</v>
      </c>
      <c r="M1213" s="5">
        <v>0.79779999999999995</v>
      </c>
      <c r="N1213" s="5">
        <v>0.70779999999999998</v>
      </c>
      <c r="O1213" s="5">
        <v>0.71660000000000001</v>
      </c>
    </row>
    <row r="1214" spans="1:22">
      <c r="A1214" t="str">
        <f t="shared" si="18"/>
        <v>WAUCHULAGCP LF OFFPK</v>
      </c>
      <c r="B1214" t="s">
        <v>724</v>
      </c>
      <c r="C1214" t="s">
        <v>157</v>
      </c>
      <c r="D1214" s="5">
        <v>0.63790000000000002</v>
      </c>
      <c r="E1214" s="5">
        <v>0.63280000000000003</v>
      </c>
      <c r="F1214" s="5">
        <v>0.60699999999999998</v>
      </c>
      <c r="G1214" s="5">
        <v>0.63339999999999996</v>
      </c>
      <c r="H1214" s="5">
        <v>0.6008</v>
      </c>
      <c r="I1214" s="5">
        <v>0.64510000000000001</v>
      </c>
      <c r="J1214" s="5">
        <v>0.62539999999999996</v>
      </c>
      <c r="K1214" s="5">
        <v>0.64790000000000003</v>
      </c>
      <c r="L1214" s="5">
        <v>0.66790000000000005</v>
      </c>
      <c r="M1214" s="5">
        <v>0.6169</v>
      </c>
      <c r="N1214" s="5">
        <v>0.5887</v>
      </c>
      <c r="O1214" s="5">
        <v>0.63339999999999996</v>
      </c>
    </row>
    <row r="1215" spans="1:22">
      <c r="A1215" t="str">
        <f t="shared" si="18"/>
        <v>WAUCHULACP LF</v>
      </c>
      <c r="B1215" t="s">
        <v>724</v>
      </c>
      <c r="C1215" t="s">
        <v>158</v>
      </c>
      <c r="D1215" s="5">
        <v>0.68389999999999995</v>
      </c>
      <c r="E1215" s="5">
        <v>0.65790000000000004</v>
      </c>
      <c r="F1215" s="5">
        <v>0.53439999999999999</v>
      </c>
      <c r="G1215" s="5">
        <v>0.68330000000000002</v>
      </c>
      <c r="H1215" s="5">
        <v>0.61080000000000001</v>
      </c>
      <c r="I1215" s="5">
        <v>0.67510000000000003</v>
      </c>
      <c r="J1215" s="5">
        <v>0.71730000000000005</v>
      </c>
      <c r="K1215" s="5">
        <v>0.65980000000000005</v>
      </c>
      <c r="L1215" s="5">
        <v>0.61160000000000003</v>
      </c>
      <c r="M1215" s="5">
        <v>0.65110000000000001</v>
      </c>
      <c r="N1215" s="5">
        <v>0.60919999999999996</v>
      </c>
      <c r="O1215" s="5">
        <v>0.67</v>
      </c>
    </row>
    <row r="1216" spans="1:22">
      <c r="A1216" t="str">
        <f t="shared" si="18"/>
        <v>WAUCHULAREL PREC:</v>
      </c>
      <c r="B1216" t="s">
        <v>724</v>
      </c>
      <c r="C1216" t="s">
        <v>65</v>
      </c>
    </row>
    <row r="1217" spans="1:15">
      <c r="A1217" t="str">
        <f t="shared" si="18"/>
        <v>WAUCHULANCP RP</v>
      </c>
      <c r="B1217" t="s">
        <v>724</v>
      </c>
      <c r="C1217" t="s">
        <v>159</v>
      </c>
      <c r="D1217" s="5">
        <v>0</v>
      </c>
      <c r="E1217" s="5">
        <v>0</v>
      </c>
      <c r="F1217" s="5">
        <v>0</v>
      </c>
      <c r="G1217" s="5">
        <v>0</v>
      </c>
      <c r="H1217" s="5">
        <v>0</v>
      </c>
      <c r="I1217" s="5">
        <v>0</v>
      </c>
      <c r="J1217" s="5">
        <v>0</v>
      </c>
      <c r="K1217" s="5">
        <v>0</v>
      </c>
      <c r="L1217" s="5">
        <v>0</v>
      </c>
      <c r="M1217" s="5">
        <v>0</v>
      </c>
      <c r="N1217" s="5">
        <v>0</v>
      </c>
      <c r="O1217" s="5">
        <v>0</v>
      </c>
    </row>
    <row r="1218" spans="1:15">
      <c r="A1218" t="str">
        <f t="shared" si="18"/>
        <v>WAUCHULANCP RP ONPK</v>
      </c>
      <c r="B1218" t="s">
        <v>724</v>
      </c>
      <c r="C1218" t="s">
        <v>160</v>
      </c>
      <c r="D1218" s="5">
        <v>0</v>
      </c>
      <c r="E1218" s="5">
        <v>0</v>
      </c>
      <c r="F1218" s="5">
        <v>0</v>
      </c>
      <c r="G1218" s="5">
        <v>0</v>
      </c>
      <c r="H1218" s="5">
        <v>0</v>
      </c>
      <c r="I1218" s="5">
        <v>0</v>
      </c>
      <c r="J1218" s="5">
        <v>0</v>
      </c>
      <c r="K1218" s="5">
        <v>0</v>
      </c>
      <c r="L1218" s="5">
        <v>0</v>
      </c>
      <c r="M1218" s="5">
        <v>0</v>
      </c>
      <c r="N1218" s="5">
        <v>0</v>
      </c>
      <c r="O1218" s="5">
        <v>0</v>
      </c>
    </row>
    <row r="1219" spans="1:15">
      <c r="A1219" t="str">
        <f t="shared" si="18"/>
        <v>WAUCHULANCP RP OFFPK</v>
      </c>
      <c r="B1219" t="s">
        <v>724</v>
      </c>
      <c r="C1219" t="s">
        <v>161</v>
      </c>
      <c r="D1219" s="5">
        <v>0</v>
      </c>
      <c r="E1219" s="5">
        <v>0</v>
      </c>
      <c r="F1219" s="5">
        <v>0</v>
      </c>
      <c r="G1219" s="5">
        <v>0</v>
      </c>
      <c r="H1219" s="5">
        <v>0</v>
      </c>
      <c r="I1219" s="5">
        <v>0</v>
      </c>
      <c r="J1219" s="5">
        <v>0</v>
      </c>
      <c r="K1219" s="5">
        <v>0</v>
      </c>
      <c r="L1219" s="5">
        <v>0</v>
      </c>
      <c r="M1219" s="5">
        <v>0</v>
      </c>
      <c r="N1219" s="5">
        <v>0</v>
      </c>
      <c r="O1219" s="5">
        <v>0</v>
      </c>
    </row>
    <row r="1220" spans="1:15">
      <c r="A1220" t="str">
        <f t="shared" si="18"/>
        <v>WAUCHULAGCP RP</v>
      </c>
      <c r="B1220" t="s">
        <v>724</v>
      </c>
      <c r="C1220" t="s">
        <v>162</v>
      </c>
      <c r="D1220" s="5">
        <v>0</v>
      </c>
      <c r="E1220" s="5">
        <v>0</v>
      </c>
      <c r="F1220" s="5">
        <v>0</v>
      </c>
      <c r="G1220" s="5">
        <v>0</v>
      </c>
      <c r="H1220" s="5">
        <v>0</v>
      </c>
      <c r="I1220" s="5">
        <v>0</v>
      </c>
      <c r="J1220" s="5">
        <v>0</v>
      </c>
      <c r="K1220" s="5">
        <v>0</v>
      </c>
      <c r="L1220" s="5">
        <v>0</v>
      </c>
      <c r="M1220" s="5">
        <v>0</v>
      </c>
      <c r="N1220" s="5">
        <v>0</v>
      </c>
      <c r="O1220" s="5">
        <v>0</v>
      </c>
    </row>
    <row r="1221" spans="1:15">
      <c r="A1221" t="str">
        <f t="shared" si="18"/>
        <v>WAUCHULAGCP RP ONPK</v>
      </c>
      <c r="B1221" t="s">
        <v>724</v>
      </c>
      <c r="C1221" t="s">
        <v>163</v>
      </c>
      <c r="D1221" s="5">
        <v>0</v>
      </c>
      <c r="E1221" s="5">
        <v>0</v>
      </c>
      <c r="F1221" s="5">
        <v>0</v>
      </c>
      <c r="G1221" s="5">
        <v>0</v>
      </c>
      <c r="H1221" s="5">
        <v>0</v>
      </c>
      <c r="I1221" s="5">
        <v>0</v>
      </c>
      <c r="J1221" s="5">
        <v>0</v>
      </c>
      <c r="K1221" s="5">
        <v>0</v>
      </c>
      <c r="L1221" s="5">
        <v>0</v>
      </c>
      <c r="M1221" s="5">
        <v>0</v>
      </c>
      <c r="N1221" s="5">
        <v>0</v>
      </c>
      <c r="O1221" s="5">
        <v>0</v>
      </c>
    </row>
    <row r="1222" spans="1:15">
      <c r="A1222" t="str">
        <f t="shared" si="18"/>
        <v>WAUCHULAGCP RP OFFPK</v>
      </c>
      <c r="B1222" t="s">
        <v>724</v>
      </c>
      <c r="C1222" t="s">
        <v>164</v>
      </c>
      <c r="D1222" s="5">
        <v>0</v>
      </c>
      <c r="E1222" s="5">
        <v>0</v>
      </c>
      <c r="F1222" s="5">
        <v>0</v>
      </c>
      <c r="G1222" s="5">
        <v>0</v>
      </c>
      <c r="H1222" s="5">
        <v>0</v>
      </c>
      <c r="I1222" s="5">
        <v>0</v>
      </c>
      <c r="J1222" s="5">
        <v>0</v>
      </c>
      <c r="K1222" s="5">
        <v>0</v>
      </c>
      <c r="L1222" s="5">
        <v>0</v>
      </c>
      <c r="M1222" s="5">
        <v>0</v>
      </c>
      <c r="N1222" s="5">
        <v>0</v>
      </c>
      <c r="O1222" s="5">
        <v>0</v>
      </c>
    </row>
    <row r="1223" spans="1:15">
      <c r="A1223" t="str">
        <f t="shared" si="18"/>
        <v>WAUCHULACP RP</v>
      </c>
      <c r="B1223" t="s">
        <v>724</v>
      </c>
      <c r="C1223" t="s">
        <v>165</v>
      </c>
      <c r="D1223" s="5">
        <v>0</v>
      </c>
      <c r="E1223" s="5">
        <v>0</v>
      </c>
      <c r="F1223" s="5">
        <v>0</v>
      </c>
      <c r="G1223" s="5">
        <v>0</v>
      </c>
      <c r="H1223" s="5">
        <v>0</v>
      </c>
      <c r="I1223" s="5">
        <v>0</v>
      </c>
      <c r="J1223" s="5">
        <v>0</v>
      </c>
      <c r="K1223" s="5">
        <v>0</v>
      </c>
      <c r="L1223" s="5">
        <v>0</v>
      </c>
      <c r="M1223" s="5">
        <v>0</v>
      </c>
      <c r="N1223" s="5">
        <v>0</v>
      </c>
      <c r="O1223" s="5">
        <v>0</v>
      </c>
    </row>
    <row r="1224" spans="1:15">
      <c r="A1224" t="str">
        <f t="shared" si="18"/>
        <v>WAUCHULASAMPLE SIZE:</v>
      </c>
      <c r="B1224" t="s">
        <v>724</v>
      </c>
      <c r="C1224" t="s">
        <v>66</v>
      </c>
    </row>
    <row r="1225" spans="1:15">
      <c r="A1225" t="str">
        <f t="shared" si="18"/>
        <v>WAUCHULAGCPSZ</v>
      </c>
      <c r="B1225" t="s">
        <v>724</v>
      </c>
      <c r="C1225" t="s">
        <v>166</v>
      </c>
      <c r="D1225">
        <v>1</v>
      </c>
      <c r="E1225">
        <v>1</v>
      </c>
      <c r="F1225">
        <v>1</v>
      </c>
      <c r="G1225">
        <v>1</v>
      </c>
      <c r="H1225">
        <v>1</v>
      </c>
      <c r="I1225">
        <v>1</v>
      </c>
      <c r="J1225">
        <v>1</v>
      </c>
      <c r="K1225">
        <v>1</v>
      </c>
      <c r="L1225">
        <v>1</v>
      </c>
      <c r="M1225">
        <v>1</v>
      </c>
      <c r="N1225">
        <v>1</v>
      </c>
      <c r="O1225">
        <v>1</v>
      </c>
    </row>
    <row r="1226" spans="1:15">
      <c r="A1226" t="str">
        <f t="shared" si="18"/>
        <v>WAUCHULAGCPSZ ONPK</v>
      </c>
      <c r="B1226" t="s">
        <v>724</v>
      </c>
      <c r="C1226" t="s">
        <v>167</v>
      </c>
      <c r="D1226">
        <v>1</v>
      </c>
      <c r="E1226">
        <v>1</v>
      </c>
      <c r="F1226">
        <v>1</v>
      </c>
      <c r="G1226">
        <v>1</v>
      </c>
      <c r="H1226">
        <v>1</v>
      </c>
      <c r="I1226">
        <v>1</v>
      </c>
      <c r="J1226">
        <v>1</v>
      </c>
      <c r="K1226">
        <v>1</v>
      </c>
      <c r="L1226">
        <v>1</v>
      </c>
      <c r="M1226">
        <v>1</v>
      </c>
      <c r="N1226">
        <v>1</v>
      </c>
      <c r="O1226">
        <v>1</v>
      </c>
    </row>
    <row r="1227" spans="1:15">
      <c r="A1227" t="str">
        <f t="shared" si="18"/>
        <v>WAUCHULAGCPSZ OFFPK</v>
      </c>
      <c r="B1227" t="s">
        <v>724</v>
      </c>
      <c r="C1227" t="s">
        <v>168</v>
      </c>
      <c r="D1227">
        <v>1</v>
      </c>
      <c r="E1227">
        <v>1</v>
      </c>
      <c r="F1227">
        <v>1</v>
      </c>
      <c r="G1227">
        <v>1</v>
      </c>
      <c r="H1227">
        <v>1</v>
      </c>
      <c r="I1227">
        <v>1</v>
      </c>
      <c r="J1227">
        <v>1</v>
      </c>
      <c r="K1227">
        <v>1</v>
      </c>
      <c r="L1227">
        <v>1</v>
      </c>
      <c r="M1227">
        <v>1</v>
      </c>
      <c r="N1227">
        <v>1</v>
      </c>
      <c r="O1227">
        <v>1</v>
      </c>
    </row>
    <row r="1228" spans="1:15">
      <c r="A1228" t="str">
        <f t="shared" si="18"/>
        <v>WAUCHULACPSZ</v>
      </c>
      <c r="B1228" t="s">
        <v>724</v>
      </c>
      <c r="C1228" t="s">
        <v>169</v>
      </c>
      <c r="D1228">
        <v>1</v>
      </c>
      <c r="E1228">
        <v>1</v>
      </c>
      <c r="F1228">
        <v>1</v>
      </c>
      <c r="G1228">
        <v>1</v>
      </c>
      <c r="H1228">
        <v>1</v>
      </c>
      <c r="I1228">
        <v>1</v>
      </c>
      <c r="J1228">
        <v>1</v>
      </c>
      <c r="K1228">
        <v>1</v>
      </c>
      <c r="L1228">
        <v>1</v>
      </c>
      <c r="M1228">
        <v>1</v>
      </c>
      <c r="N1228">
        <v>1</v>
      </c>
      <c r="O1228">
        <v>1</v>
      </c>
    </row>
    <row r="1229" spans="1:15">
      <c r="A1229" t="str">
        <f t="shared" si="18"/>
        <v/>
      </c>
    </row>
    <row r="1230" spans="1:15" ht="14.4">
      <c r="A1230" t="str">
        <f t="shared" si="18"/>
        <v>NOTE:     Sales line does not match sales in the Rate and Revenue Report due to billing lag.</v>
      </c>
      <c r="B1230" s="301" t="s">
        <v>608</v>
      </c>
    </row>
    <row r="1231" spans="1:15" ht="14.4">
      <c r="A1231" t="str">
        <f t="shared" si="18"/>
        <v xml:space="preserve">                 In addition, the City of Blountstown, FKEC, Metro Dade and City of Wauchula are classified as Rate Code 940. The sales for the contracts are reported combined in the Rate &amp; Revenue Report.</v>
      </c>
      <c r="B1231" s="319" t="s">
        <v>754</v>
      </c>
    </row>
    <row r="1232" spans="1:15">
      <c r="A1232" t="str">
        <f t="shared" si="18"/>
        <v/>
      </c>
    </row>
    <row r="1233" spans="1:15">
      <c r="A1233" t="str">
        <f t="shared" si="18"/>
        <v/>
      </c>
    </row>
    <row r="1234" spans="1:15">
      <c r="A1234" t="str">
        <f t="shared" si="18"/>
        <v/>
      </c>
    </row>
    <row r="1235" spans="1:15">
      <c r="A1235" t="str">
        <f t="shared" si="18"/>
        <v/>
      </c>
    </row>
    <row r="1236" spans="1:15">
      <c r="A1236" t="str">
        <f t="shared" si="18"/>
        <v/>
      </c>
    </row>
    <row r="1237" spans="1:15">
      <c r="A1237" t="str">
        <f t="shared" si="18"/>
        <v/>
      </c>
    </row>
    <row r="1238" spans="1:15">
      <c r="A1238" t="str">
        <f t="shared" si="18"/>
        <v/>
      </c>
    </row>
    <row r="1239" spans="1:15">
      <c r="A1239" t="str">
        <f t="shared" si="18"/>
        <v/>
      </c>
      <c r="D1239" s="4"/>
      <c r="E1239" s="4"/>
      <c r="F1239" s="4"/>
      <c r="G1239" s="4"/>
      <c r="H1239" s="4"/>
      <c r="I1239" s="4"/>
      <c r="J1239" s="4"/>
      <c r="K1239" s="4"/>
      <c r="L1239" s="4"/>
      <c r="M1239" s="4"/>
      <c r="N1239" s="4"/>
      <c r="O1239" s="4"/>
    </row>
    <row r="1240" spans="1:15">
      <c r="A1240" t="str">
        <f t="shared" si="18"/>
        <v/>
      </c>
    </row>
    <row r="1241" spans="1:15">
      <c r="A1241" t="str">
        <f t="shared" si="18"/>
        <v/>
      </c>
    </row>
    <row r="1242" spans="1:15">
      <c r="A1242" t="str">
        <f t="shared" si="18"/>
        <v/>
      </c>
    </row>
    <row r="1243" spans="1:15">
      <c r="A1243" t="str">
        <f t="shared" si="18"/>
        <v/>
      </c>
    </row>
    <row r="1244" spans="1:15">
      <c r="A1244" t="str">
        <f t="shared" si="18"/>
        <v/>
      </c>
    </row>
    <row r="1245" spans="1:15">
      <c r="A1245" t="str">
        <f t="shared" si="18"/>
        <v/>
      </c>
    </row>
    <row r="1246" spans="1:15">
      <c r="A1246" t="str">
        <f t="shared" si="18"/>
        <v/>
      </c>
    </row>
    <row r="1247" spans="1:15">
      <c r="A1247" t="str">
        <f t="shared" si="18"/>
        <v/>
      </c>
    </row>
    <row r="1248" spans="1:15">
      <c r="A1248" t="str">
        <f t="shared" si="18"/>
        <v/>
      </c>
      <c r="D1248" s="5"/>
      <c r="E1248" s="5"/>
      <c r="F1248" s="5"/>
      <c r="G1248" s="5"/>
      <c r="H1248" s="5"/>
      <c r="I1248" s="5"/>
      <c r="J1248" s="5"/>
      <c r="K1248" s="5"/>
      <c r="L1248" s="5"/>
      <c r="M1248" s="5"/>
      <c r="N1248" s="5"/>
      <c r="O1248" s="5"/>
    </row>
    <row r="1249" spans="1:15">
      <c r="A1249" t="str">
        <f t="shared" si="18"/>
        <v/>
      </c>
      <c r="D1249" s="5"/>
      <c r="E1249" s="5"/>
      <c r="F1249" s="5"/>
      <c r="G1249" s="5"/>
      <c r="H1249" s="5"/>
      <c r="I1249" s="5"/>
      <c r="J1249" s="5"/>
      <c r="K1249" s="5"/>
      <c r="L1249" s="5"/>
      <c r="M1249" s="5"/>
      <c r="N1249" s="5"/>
      <c r="O1249" s="5"/>
    </row>
    <row r="1250" spans="1:15">
      <c r="A1250" t="str">
        <f t="shared" si="18"/>
        <v/>
      </c>
    </row>
    <row r="1251" spans="1:15">
      <c r="A1251" t="str">
        <f t="shared" si="18"/>
        <v/>
      </c>
    </row>
    <row r="1252" spans="1:15">
      <c r="A1252" t="str">
        <f t="shared" si="18"/>
        <v/>
      </c>
    </row>
    <row r="1253" spans="1:15">
      <c r="A1253" t="str">
        <f t="shared" si="18"/>
        <v/>
      </c>
    </row>
    <row r="1254" spans="1:15">
      <c r="A1254" t="str">
        <f t="shared" si="18"/>
        <v/>
      </c>
    </row>
    <row r="1255" spans="1:15">
      <c r="A1255" t="str">
        <f t="shared" si="18"/>
        <v/>
      </c>
    </row>
    <row r="1256" spans="1:15">
      <c r="A1256" t="str">
        <f t="shared" si="18"/>
        <v/>
      </c>
    </row>
    <row r="1257" spans="1:15">
      <c r="A1257" t="str">
        <f t="shared" si="18"/>
        <v/>
      </c>
    </row>
    <row r="1258" spans="1:15">
      <c r="A1258" t="str">
        <f t="shared" si="18"/>
        <v/>
      </c>
    </row>
    <row r="1259" spans="1:15">
      <c r="A1259" t="str">
        <f t="shared" si="18"/>
        <v/>
      </c>
    </row>
    <row r="1260" spans="1:15">
      <c r="A1260" t="str">
        <f t="shared" si="18"/>
        <v/>
      </c>
      <c r="D1260" s="1"/>
      <c r="E1260" s="1"/>
      <c r="F1260" s="1"/>
      <c r="G1260" s="1"/>
      <c r="H1260" s="1"/>
      <c r="I1260" s="1"/>
      <c r="J1260" s="1"/>
      <c r="K1260" s="1"/>
      <c r="L1260" s="1"/>
      <c r="M1260" s="1"/>
      <c r="N1260" s="1"/>
      <c r="O1260" s="1"/>
    </row>
    <row r="1261" spans="1:15">
      <c r="A1261" t="str">
        <f t="shared" si="18"/>
        <v/>
      </c>
      <c r="D1261" s="5"/>
      <c r="E1261" s="5"/>
      <c r="F1261" s="5"/>
      <c r="G1261" s="5"/>
      <c r="H1261" s="5"/>
      <c r="I1261" s="5"/>
      <c r="J1261" s="5"/>
      <c r="K1261" s="5"/>
      <c r="L1261" s="5"/>
      <c r="M1261" s="5"/>
      <c r="N1261" s="5"/>
      <c r="O1261" s="5"/>
    </row>
    <row r="1262" spans="1:15">
      <c r="A1262" t="str">
        <f t="shared" si="18"/>
        <v/>
      </c>
      <c r="D1262" s="5"/>
      <c r="E1262" s="5"/>
      <c r="F1262" s="5"/>
      <c r="G1262" s="5"/>
      <c r="H1262" s="5"/>
      <c r="I1262" s="5"/>
      <c r="J1262" s="5"/>
      <c r="K1262" s="5"/>
      <c r="L1262" s="5"/>
      <c r="M1262" s="5"/>
      <c r="N1262" s="5"/>
      <c r="O1262" s="5"/>
    </row>
    <row r="1263" spans="1:15">
      <c r="A1263" t="str">
        <f t="shared" si="18"/>
        <v/>
      </c>
      <c r="D1263" s="5"/>
      <c r="E1263" s="5"/>
      <c r="F1263" s="5"/>
      <c r="G1263" s="5"/>
      <c r="H1263" s="5"/>
      <c r="I1263" s="5"/>
      <c r="J1263" s="5"/>
      <c r="K1263" s="5"/>
      <c r="L1263" s="5"/>
      <c r="M1263" s="5"/>
      <c r="N1263" s="5"/>
      <c r="O1263" s="5"/>
    </row>
    <row r="1264" spans="1:15">
      <c r="A1264" t="str">
        <f t="shared" si="18"/>
        <v/>
      </c>
      <c r="D1264" s="5"/>
      <c r="E1264" s="5"/>
      <c r="F1264" s="5"/>
      <c r="G1264" s="5"/>
      <c r="H1264" s="5"/>
      <c r="I1264" s="5"/>
      <c r="J1264" s="5"/>
      <c r="K1264" s="5"/>
      <c r="L1264" s="5"/>
      <c r="M1264" s="5"/>
      <c r="N1264" s="5"/>
      <c r="O1264" s="5"/>
    </row>
    <row r="1265" spans="1:15">
      <c r="A1265" t="str">
        <f t="shared" si="18"/>
        <v/>
      </c>
      <c r="D1265" s="5"/>
      <c r="E1265" s="5"/>
      <c r="F1265" s="5"/>
      <c r="G1265" s="5"/>
      <c r="H1265" s="5"/>
      <c r="I1265" s="5"/>
      <c r="J1265" s="5"/>
      <c r="K1265" s="5"/>
      <c r="L1265" s="5"/>
      <c r="M1265" s="5"/>
      <c r="N1265" s="5"/>
      <c r="O1265" s="5"/>
    </row>
    <row r="1266" spans="1:15">
      <c r="A1266" t="str">
        <f t="shared" si="18"/>
        <v/>
      </c>
      <c r="D1266" s="5"/>
      <c r="E1266" s="5"/>
      <c r="F1266" s="5"/>
      <c r="G1266" s="5"/>
      <c r="H1266" s="5"/>
      <c r="I1266" s="5"/>
      <c r="J1266" s="5"/>
      <c r="K1266" s="5"/>
      <c r="L1266" s="5"/>
      <c r="M1266" s="5"/>
      <c r="N1266" s="5"/>
      <c r="O1266" s="5"/>
    </row>
    <row r="1267" spans="1:15">
      <c r="A1267" t="str">
        <f t="shared" si="18"/>
        <v/>
      </c>
      <c r="D1267" s="5"/>
      <c r="E1267" s="5"/>
      <c r="F1267" s="5"/>
      <c r="G1267" s="5"/>
      <c r="H1267" s="5"/>
      <c r="I1267" s="5"/>
      <c r="J1267" s="5"/>
      <c r="K1267" s="5"/>
      <c r="L1267" s="5"/>
      <c r="M1267" s="5"/>
      <c r="N1267" s="5"/>
      <c r="O1267" s="5"/>
    </row>
    <row r="1268" spans="1:15">
      <c r="A1268" t="str">
        <f t="shared" si="18"/>
        <v/>
      </c>
      <c r="D1268" s="5"/>
      <c r="E1268" s="5"/>
      <c r="F1268" s="5"/>
      <c r="G1268" s="5"/>
      <c r="H1268" s="5"/>
      <c r="I1268" s="5"/>
      <c r="J1268" s="5"/>
      <c r="K1268" s="5"/>
      <c r="L1268" s="5"/>
      <c r="M1268" s="5"/>
      <c r="N1268" s="5"/>
      <c r="O1268" s="5"/>
    </row>
    <row r="1269" spans="1:15">
      <c r="A1269" t="str">
        <f t="shared" ref="A1269:A1332" si="19">B1269&amp;C1269</f>
        <v/>
      </c>
      <c r="D1269" s="5"/>
      <c r="E1269" s="5"/>
      <c r="F1269" s="5"/>
      <c r="G1269" s="5"/>
      <c r="H1269" s="5"/>
      <c r="I1269" s="5"/>
      <c r="J1269" s="5"/>
      <c r="K1269" s="5"/>
      <c r="L1269" s="5"/>
      <c r="M1269" s="5"/>
      <c r="N1269" s="5"/>
      <c r="O1269" s="5"/>
    </row>
    <row r="1270" spans="1:15">
      <c r="A1270" t="str">
        <f t="shared" si="19"/>
        <v/>
      </c>
    </row>
    <row r="1271" spans="1:15">
      <c r="A1271" t="str">
        <f t="shared" si="19"/>
        <v/>
      </c>
      <c r="D1271" s="5"/>
      <c r="E1271" s="5"/>
      <c r="F1271" s="5"/>
      <c r="G1271" s="5"/>
      <c r="H1271" s="5"/>
      <c r="I1271" s="5"/>
      <c r="J1271" s="5"/>
      <c r="K1271" s="5"/>
      <c r="L1271" s="5"/>
      <c r="M1271" s="5"/>
      <c r="N1271" s="5"/>
      <c r="O1271" s="5"/>
    </row>
    <row r="1272" spans="1:15">
      <c r="A1272" t="str">
        <f t="shared" si="19"/>
        <v/>
      </c>
      <c r="D1272" s="5"/>
      <c r="E1272" s="5"/>
      <c r="F1272" s="5"/>
      <c r="G1272" s="5"/>
      <c r="H1272" s="5"/>
      <c r="I1272" s="5"/>
      <c r="J1272" s="5"/>
      <c r="K1272" s="5"/>
      <c r="L1272" s="5"/>
      <c r="M1272" s="5"/>
      <c r="N1272" s="5"/>
      <c r="O1272" s="5"/>
    </row>
    <row r="1273" spans="1:15">
      <c r="A1273" t="str">
        <f t="shared" si="19"/>
        <v/>
      </c>
      <c r="D1273" s="5"/>
      <c r="E1273" s="5"/>
      <c r="F1273" s="5"/>
      <c r="G1273" s="5"/>
      <c r="H1273" s="5"/>
      <c r="I1273" s="5"/>
      <c r="J1273" s="5"/>
      <c r="K1273" s="5"/>
      <c r="L1273" s="5"/>
      <c r="M1273" s="5"/>
      <c r="N1273" s="5"/>
      <c r="O1273" s="5"/>
    </row>
    <row r="1274" spans="1:15">
      <c r="A1274" t="str">
        <f t="shared" si="19"/>
        <v/>
      </c>
      <c r="D1274" s="5"/>
      <c r="E1274" s="5"/>
      <c r="F1274" s="5"/>
      <c r="G1274" s="5"/>
      <c r="H1274" s="5"/>
      <c r="I1274" s="5"/>
      <c r="J1274" s="5"/>
      <c r="K1274" s="5"/>
      <c r="L1274" s="5"/>
      <c r="M1274" s="5"/>
      <c r="N1274" s="5"/>
      <c r="O1274" s="5"/>
    </row>
    <row r="1275" spans="1:15">
      <c r="A1275" t="str">
        <f t="shared" si="19"/>
        <v/>
      </c>
      <c r="D1275" s="5"/>
      <c r="E1275" s="5"/>
      <c r="F1275" s="5"/>
      <c r="G1275" s="5"/>
      <c r="H1275" s="5"/>
      <c r="I1275" s="5"/>
      <c r="J1275" s="5"/>
      <c r="K1275" s="5"/>
      <c r="L1275" s="5"/>
      <c r="M1275" s="5"/>
      <c r="N1275" s="5"/>
      <c r="O1275" s="5"/>
    </row>
    <row r="1276" spans="1:15">
      <c r="A1276" t="str">
        <f t="shared" si="19"/>
        <v/>
      </c>
      <c r="D1276" s="5"/>
      <c r="E1276" s="5"/>
      <c r="F1276" s="5"/>
      <c r="G1276" s="5"/>
      <c r="H1276" s="5"/>
      <c r="I1276" s="5"/>
      <c r="J1276" s="5"/>
      <c r="K1276" s="5"/>
      <c r="L1276" s="5"/>
      <c r="M1276" s="5"/>
      <c r="N1276" s="5"/>
      <c r="O1276" s="5"/>
    </row>
    <row r="1277" spans="1:15">
      <c r="A1277" t="str">
        <f t="shared" si="19"/>
        <v/>
      </c>
      <c r="D1277" s="5"/>
      <c r="E1277" s="5"/>
      <c r="F1277" s="5"/>
      <c r="G1277" s="5"/>
      <c r="H1277" s="5"/>
      <c r="I1277" s="5"/>
      <c r="J1277" s="5"/>
      <c r="K1277" s="5"/>
      <c r="L1277" s="5"/>
      <c r="M1277" s="5"/>
      <c r="N1277" s="5"/>
      <c r="O1277" s="5"/>
    </row>
    <row r="1278" spans="1:15">
      <c r="A1278" t="str">
        <f t="shared" si="19"/>
        <v/>
      </c>
    </row>
    <row r="1279" spans="1:15">
      <c r="A1279" t="str">
        <f t="shared" si="19"/>
        <v/>
      </c>
    </row>
    <row r="1280" spans="1:15">
      <c r="A1280" t="str">
        <f t="shared" si="19"/>
        <v/>
      </c>
    </row>
    <row r="1281" spans="1:15">
      <c r="A1281" t="str">
        <f t="shared" si="19"/>
        <v/>
      </c>
    </row>
    <row r="1282" spans="1:15">
      <c r="A1282" t="str">
        <f t="shared" si="19"/>
        <v/>
      </c>
    </row>
    <row r="1283" spans="1:15">
      <c r="A1283" t="str">
        <f t="shared" si="19"/>
        <v/>
      </c>
    </row>
    <row r="1284" spans="1:15">
      <c r="A1284" t="str">
        <f t="shared" si="19"/>
        <v/>
      </c>
    </row>
    <row r="1285" spans="1:15">
      <c r="A1285" t="str">
        <f t="shared" si="19"/>
        <v/>
      </c>
    </row>
    <row r="1286" spans="1:15">
      <c r="A1286" t="str">
        <f t="shared" si="19"/>
        <v/>
      </c>
      <c r="D1286" s="4"/>
      <c r="E1286" s="4"/>
      <c r="F1286" s="4"/>
      <c r="G1286" s="4"/>
      <c r="H1286" s="4"/>
      <c r="I1286" s="4"/>
      <c r="J1286" s="4"/>
      <c r="K1286" s="4"/>
      <c r="L1286" s="4"/>
      <c r="M1286" s="4"/>
      <c r="N1286" s="4"/>
      <c r="O1286" s="4"/>
    </row>
    <row r="1287" spans="1:15">
      <c r="A1287" t="str">
        <f t="shared" si="19"/>
        <v/>
      </c>
    </row>
    <row r="1288" spans="1:15">
      <c r="A1288" t="str">
        <f t="shared" si="19"/>
        <v/>
      </c>
    </row>
    <row r="1289" spans="1:15">
      <c r="A1289" t="str">
        <f t="shared" si="19"/>
        <v/>
      </c>
    </row>
    <row r="1290" spans="1:15">
      <c r="A1290" t="str">
        <f t="shared" si="19"/>
        <v/>
      </c>
    </row>
    <row r="1291" spans="1:15">
      <c r="A1291" t="str">
        <f t="shared" si="19"/>
        <v/>
      </c>
    </row>
    <row r="1292" spans="1:15">
      <c r="A1292" t="str">
        <f t="shared" si="19"/>
        <v/>
      </c>
    </row>
    <row r="1293" spans="1:15">
      <c r="A1293" t="str">
        <f t="shared" si="19"/>
        <v/>
      </c>
    </row>
    <row r="1294" spans="1:15">
      <c r="A1294" t="str">
        <f t="shared" si="19"/>
        <v/>
      </c>
    </row>
    <row r="1295" spans="1:15">
      <c r="A1295" t="str">
        <f t="shared" si="19"/>
        <v/>
      </c>
      <c r="D1295" s="4"/>
      <c r="E1295" s="4"/>
      <c r="F1295" s="4"/>
      <c r="G1295" s="4"/>
      <c r="H1295" s="4"/>
      <c r="I1295" s="4"/>
      <c r="J1295" s="4"/>
      <c r="K1295" s="4"/>
      <c r="L1295" s="4"/>
      <c r="M1295" s="4"/>
      <c r="N1295" s="4"/>
      <c r="O1295" s="4"/>
    </row>
    <row r="1296" spans="1:15">
      <c r="A1296" t="str">
        <f t="shared" si="19"/>
        <v/>
      </c>
    </row>
    <row r="1297" spans="1:15">
      <c r="A1297" t="str">
        <f t="shared" si="19"/>
        <v/>
      </c>
    </row>
    <row r="1298" spans="1:15">
      <c r="A1298" t="str">
        <f t="shared" si="19"/>
        <v/>
      </c>
    </row>
    <row r="1299" spans="1:15">
      <c r="A1299" t="str">
        <f t="shared" si="19"/>
        <v/>
      </c>
    </row>
    <row r="1300" spans="1:15">
      <c r="A1300" t="str">
        <f t="shared" si="19"/>
        <v/>
      </c>
    </row>
    <row r="1301" spans="1:15">
      <c r="A1301" t="str">
        <f t="shared" si="19"/>
        <v/>
      </c>
    </row>
    <row r="1302" spans="1:15">
      <c r="A1302" t="str">
        <f t="shared" si="19"/>
        <v/>
      </c>
    </row>
    <row r="1303" spans="1:15">
      <c r="A1303" t="str">
        <f t="shared" si="19"/>
        <v/>
      </c>
    </row>
    <row r="1304" spans="1:15">
      <c r="A1304" t="str">
        <f t="shared" si="19"/>
        <v/>
      </c>
      <c r="D1304" s="5"/>
      <c r="E1304" s="5"/>
      <c r="F1304" s="5"/>
      <c r="G1304" s="5"/>
      <c r="H1304" s="5"/>
      <c r="I1304" s="5"/>
      <c r="J1304" s="5"/>
      <c r="K1304" s="5"/>
      <c r="L1304" s="5"/>
      <c r="M1304" s="5"/>
      <c r="N1304" s="5"/>
      <c r="O1304" s="5"/>
    </row>
    <row r="1305" spans="1:15">
      <c r="A1305" t="str">
        <f t="shared" si="19"/>
        <v/>
      </c>
      <c r="D1305" s="5"/>
      <c r="E1305" s="5"/>
      <c r="F1305" s="5"/>
      <c r="G1305" s="5"/>
      <c r="H1305" s="5"/>
      <c r="I1305" s="5"/>
      <c r="J1305" s="5"/>
      <c r="K1305" s="5"/>
      <c r="L1305" s="5"/>
      <c r="M1305" s="5"/>
      <c r="N1305" s="5"/>
      <c r="O1305" s="5"/>
    </row>
    <row r="1306" spans="1:15">
      <c r="A1306" t="str">
        <f t="shared" si="19"/>
        <v/>
      </c>
    </row>
    <row r="1307" spans="1:15">
      <c r="A1307" t="str">
        <f t="shared" si="19"/>
        <v/>
      </c>
    </row>
    <row r="1308" spans="1:15">
      <c r="A1308" t="str">
        <f t="shared" si="19"/>
        <v/>
      </c>
    </row>
    <row r="1309" spans="1:15">
      <c r="A1309" t="str">
        <f t="shared" si="19"/>
        <v/>
      </c>
    </row>
    <row r="1310" spans="1:15">
      <c r="A1310" t="str">
        <f t="shared" si="19"/>
        <v/>
      </c>
    </row>
    <row r="1311" spans="1:15">
      <c r="A1311" t="str">
        <f t="shared" si="19"/>
        <v/>
      </c>
    </row>
    <row r="1312" spans="1:15">
      <c r="A1312" t="str">
        <f t="shared" si="19"/>
        <v/>
      </c>
    </row>
    <row r="1313" spans="1:15">
      <c r="A1313" t="str">
        <f t="shared" si="19"/>
        <v/>
      </c>
    </row>
    <row r="1314" spans="1:15">
      <c r="A1314" t="str">
        <f t="shared" si="19"/>
        <v/>
      </c>
    </row>
    <row r="1315" spans="1:15">
      <c r="A1315" t="str">
        <f t="shared" si="19"/>
        <v/>
      </c>
    </row>
    <row r="1316" spans="1:15">
      <c r="A1316" t="str">
        <f t="shared" si="19"/>
        <v/>
      </c>
      <c r="D1316" s="1"/>
      <c r="E1316" s="1"/>
      <c r="F1316" s="1"/>
      <c r="G1316" s="1"/>
      <c r="H1316" s="1"/>
      <c r="I1316" s="1"/>
      <c r="J1316" s="1"/>
      <c r="K1316" s="1"/>
      <c r="L1316" s="1"/>
      <c r="M1316" s="1"/>
      <c r="N1316" s="1"/>
      <c r="O1316" s="1"/>
    </row>
    <row r="1317" spans="1:15">
      <c r="A1317" t="str">
        <f t="shared" si="19"/>
        <v/>
      </c>
      <c r="D1317" s="5"/>
      <c r="E1317" s="5"/>
      <c r="F1317" s="5"/>
      <c r="G1317" s="5"/>
      <c r="H1317" s="5"/>
      <c r="I1317" s="5"/>
      <c r="J1317" s="5"/>
      <c r="K1317" s="5"/>
      <c r="L1317" s="5"/>
      <c r="M1317" s="5"/>
      <c r="N1317" s="5"/>
      <c r="O1317" s="5"/>
    </row>
    <row r="1318" spans="1:15">
      <c r="A1318" t="str">
        <f t="shared" si="19"/>
        <v/>
      </c>
      <c r="D1318" s="5"/>
      <c r="E1318" s="5"/>
      <c r="F1318" s="5"/>
      <c r="G1318" s="5"/>
      <c r="H1318" s="5"/>
      <c r="I1318" s="5"/>
      <c r="J1318" s="5"/>
      <c r="K1318" s="5"/>
      <c r="L1318" s="5"/>
      <c r="M1318" s="5"/>
      <c r="N1318" s="5"/>
      <c r="O1318" s="5"/>
    </row>
    <row r="1319" spans="1:15">
      <c r="A1319" t="str">
        <f t="shared" si="19"/>
        <v/>
      </c>
      <c r="D1319" s="5"/>
      <c r="E1319" s="5"/>
      <c r="F1319" s="5"/>
      <c r="G1319" s="5"/>
      <c r="H1319" s="5"/>
      <c r="I1319" s="5"/>
      <c r="J1319" s="5"/>
      <c r="K1319" s="5"/>
      <c r="L1319" s="5"/>
      <c r="M1319" s="5"/>
      <c r="N1319" s="5"/>
      <c r="O1319" s="5"/>
    </row>
    <row r="1320" spans="1:15">
      <c r="A1320" t="str">
        <f t="shared" si="19"/>
        <v/>
      </c>
      <c r="D1320" s="5"/>
      <c r="E1320" s="5"/>
      <c r="F1320" s="5"/>
      <c r="G1320" s="5"/>
      <c r="H1320" s="5"/>
      <c r="I1320" s="5"/>
      <c r="J1320" s="5"/>
      <c r="K1320" s="5"/>
      <c r="L1320" s="5"/>
      <c r="M1320" s="5"/>
      <c r="N1320" s="5"/>
      <c r="O1320" s="5"/>
    </row>
    <row r="1321" spans="1:15">
      <c r="A1321" t="str">
        <f t="shared" si="19"/>
        <v/>
      </c>
      <c r="D1321" s="5"/>
      <c r="E1321" s="5"/>
      <c r="F1321" s="5"/>
      <c r="G1321" s="5"/>
      <c r="H1321" s="5"/>
      <c r="I1321" s="5"/>
      <c r="J1321" s="5"/>
      <c r="K1321" s="5"/>
      <c r="L1321" s="5"/>
      <c r="M1321" s="5"/>
      <c r="N1321" s="5"/>
      <c r="O1321" s="5"/>
    </row>
    <row r="1322" spans="1:15">
      <c r="A1322" t="str">
        <f t="shared" si="19"/>
        <v/>
      </c>
      <c r="D1322" s="5"/>
      <c r="E1322" s="5"/>
      <c r="F1322" s="5"/>
      <c r="G1322" s="5"/>
      <c r="H1322" s="5"/>
      <c r="I1322" s="5"/>
      <c r="J1322" s="5"/>
      <c r="K1322" s="5"/>
      <c r="L1322" s="5"/>
      <c r="M1322" s="5"/>
      <c r="N1322" s="5"/>
      <c r="O1322" s="5"/>
    </row>
    <row r="1323" spans="1:15">
      <c r="A1323" t="str">
        <f t="shared" si="19"/>
        <v/>
      </c>
      <c r="D1323" s="5"/>
      <c r="E1323" s="5"/>
      <c r="F1323" s="5"/>
      <c r="G1323" s="5"/>
      <c r="H1323" s="5"/>
      <c r="I1323" s="5"/>
      <c r="J1323" s="5"/>
      <c r="K1323" s="5"/>
      <c r="L1323" s="5"/>
      <c r="M1323" s="5"/>
      <c r="N1323" s="5"/>
      <c r="O1323" s="5"/>
    </row>
    <row r="1324" spans="1:15">
      <c r="A1324" t="str">
        <f t="shared" si="19"/>
        <v/>
      </c>
      <c r="D1324" s="5"/>
      <c r="E1324" s="5"/>
      <c r="F1324" s="5"/>
      <c r="G1324" s="5"/>
      <c r="H1324" s="5"/>
      <c r="I1324" s="5"/>
      <c r="J1324" s="5"/>
      <c r="K1324" s="5"/>
      <c r="L1324" s="5"/>
      <c r="M1324" s="5"/>
      <c r="N1324" s="5"/>
      <c r="O1324" s="5"/>
    </row>
    <row r="1325" spans="1:15">
      <c r="A1325" t="str">
        <f t="shared" si="19"/>
        <v/>
      </c>
      <c r="D1325" s="5"/>
      <c r="E1325" s="5"/>
      <c r="F1325" s="5"/>
      <c r="G1325" s="5"/>
      <c r="H1325" s="5"/>
      <c r="I1325" s="5"/>
      <c r="J1325" s="5"/>
      <c r="K1325" s="5"/>
      <c r="L1325" s="5"/>
      <c r="M1325" s="5"/>
      <c r="N1325" s="5"/>
      <c r="O1325" s="5"/>
    </row>
    <row r="1326" spans="1:15">
      <c r="A1326" t="str">
        <f t="shared" si="19"/>
        <v/>
      </c>
    </row>
    <row r="1327" spans="1:15">
      <c r="A1327" t="str">
        <f t="shared" si="19"/>
        <v/>
      </c>
      <c r="D1327" s="5"/>
      <c r="E1327" s="5"/>
      <c r="F1327" s="5"/>
      <c r="G1327" s="5"/>
      <c r="H1327" s="5"/>
      <c r="I1327" s="5"/>
      <c r="J1327" s="5"/>
      <c r="K1327" s="5"/>
      <c r="L1327" s="5"/>
      <c r="M1327" s="5"/>
      <c r="N1327" s="5"/>
      <c r="O1327" s="5"/>
    </row>
    <row r="1328" spans="1:15">
      <c r="A1328" t="str">
        <f t="shared" si="19"/>
        <v/>
      </c>
      <c r="D1328" s="5"/>
      <c r="E1328" s="5"/>
      <c r="F1328" s="5"/>
      <c r="G1328" s="5"/>
      <c r="H1328" s="5"/>
      <c r="I1328" s="5"/>
      <c r="J1328" s="5"/>
      <c r="K1328" s="5"/>
      <c r="L1328" s="5"/>
      <c r="M1328" s="5"/>
      <c r="N1328" s="5"/>
      <c r="O1328" s="5"/>
    </row>
    <row r="1329" spans="1:15">
      <c r="A1329" t="str">
        <f t="shared" si="19"/>
        <v/>
      </c>
      <c r="D1329" s="5"/>
      <c r="E1329" s="5"/>
      <c r="F1329" s="5"/>
      <c r="G1329" s="5"/>
      <c r="H1329" s="5"/>
      <c r="I1329" s="5"/>
      <c r="J1329" s="5"/>
      <c r="K1329" s="5"/>
      <c r="L1329" s="5"/>
      <c r="M1329" s="5"/>
      <c r="N1329" s="5"/>
      <c r="O1329" s="5"/>
    </row>
    <row r="1330" spans="1:15">
      <c r="A1330" t="str">
        <f t="shared" si="19"/>
        <v/>
      </c>
      <c r="D1330" s="5"/>
      <c r="E1330" s="5"/>
      <c r="F1330" s="5"/>
      <c r="G1330" s="5"/>
      <c r="H1330" s="5"/>
      <c r="I1330" s="5"/>
      <c r="J1330" s="5"/>
      <c r="K1330" s="5"/>
      <c r="L1330" s="5"/>
      <c r="M1330" s="5"/>
      <c r="N1330" s="5"/>
      <c r="O1330" s="5"/>
    </row>
    <row r="1331" spans="1:15">
      <c r="A1331" t="str">
        <f t="shared" si="19"/>
        <v/>
      </c>
      <c r="D1331" s="5"/>
      <c r="E1331" s="5"/>
      <c r="F1331" s="5"/>
      <c r="G1331" s="5"/>
      <c r="H1331" s="5"/>
      <c r="I1331" s="5"/>
      <c r="J1331" s="5"/>
      <c r="K1331" s="5"/>
      <c r="L1331" s="5"/>
      <c r="M1331" s="5"/>
      <c r="N1331" s="5"/>
      <c r="O1331" s="5"/>
    </row>
    <row r="1332" spans="1:15">
      <c r="A1332" t="str">
        <f t="shared" si="19"/>
        <v/>
      </c>
      <c r="D1332" s="5"/>
      <c r="E1332" s="5"/>
      <c r="F1332" s="5"/>
      <c r="G1332" s="5"/>
      <c r="H1332" s="5"/>
      <c r="I1332" s="5"/>
      <c r="J1332" s="5"/>
      <c r="K1332" s="5"/>
      <c r="L1332" s="5"/>
      <c r="M1332" s="5"/>
      <c r="N1332" s="5"/>
      <c r="O1332" s="5"/>
    </row>
    <row r="1333" spans="1:15">
      <c r="A1333" t="str">
        <f t="shared" ref="A1333:A1396" si="20">B1333&amp;C1333</f>
        <v/>
      </c>
      <c r="D1333" s="5"/>
      <c r="E1333" s="5"/>
      <c r="F1333" s="5"/>
      <c r="G1333" s="5"/>
      <c r="H1333" s="5"/>
      <c r="I1333" s="5"/>
      <c r="J1333" s="5"/>
      <c r="K1333" s="5"/>
      <c r="L1333" s="5"/>
      <c r="M1333" s="5"/>
      <c r="N1333" s="5"/>
      <c r="O1333" s="5"/>
    </row>
    <row r="1334" spans="1:15">
      <c r="A1334" t="str">
        <f t="shared" si="20"/>
        <v/>
      </c>
    </row>
    <row r="1335" spans="1:15">
      <c r="A1335" t="str">
        <f t="shared" si="20"/>
        <v/>
      </c>
    </row>
    <row r="1336" spans="1:15">
      <c r="A1336" t="str">
        <f t="shared" si="20"/>
        <v/>
      </c>
    </row>
    <row r="1337" spans="1:15">
      <c r="A1337" t="str">
        <f t="shared" si="20"/>
        <v/>
      </c>
    </row>
    <row r="1338" spans="1:15">
      <c r="A1338" t="str">
        <f t="shared" si="20"/>
        <v/>
      </c>
    </row>
    <row r="1339" spans="1:15">
      <c r="A1339" t="str">
        <f t="shared" si="20"/>
        <v/>
      </c>
    </row>
    <row r="1340" spans="1:15">
      <c r="A1340" t="str">
        <f t="shared" si="20"/>
        <v/>
      </c>
    </row>
    <row r="1341" spans="1:15">
      <c r="A1341" t="str">
        <f t="shared" si="20"/>
        <v/>
      </c>
    </row>
    <row r="1342" spans="1:15">
      <c r="A1342" t="str">
        <f t="shared" si="20"/>
        <v/>
      </c>
      <c r="D1342" s="4"/>
      <c r="E1342" s="4"/>
      <c r="F1342" s="4"/>
      <c r="G1342" s="4"/>
      <c r="H1342" s="4"/>
      <c r="I1342" s="4"/>
      <c r="J1342" s="4"/>
      <c r="K1342" s="4"/>
      <c r="L1342" s="4"/>
      <c r="M1342" s="4"/>
      <c r="N1342" s="4"/>
      <c r="O1342" s="4"/>
    </row>
    <row r="1343" spans="1:15">
      <c r="A1343" t="str">
        <f t="shared" si="20"/>
        <v/>
      </c>
    </row>
    <row r="1344" spans="1:15">
      <c r="A1344" t="str">
        <f t="shared" si="20"/>
        <v/>
      </c>
    </row>
    <row r="1345" spans="1:1">
      <c r="A1345" t="str">
        <f t="shared" si="20"/>
        <v/>
      </c>
    </row>
    <row r="1346" spans="1:1">
      <c r="A1346" t="str">
        <f t="shared" si="20"/>
        <v/>
      </c>
    </row>
    <row r="1347" spans="1:1">
      <c r="A1347" t="str">
        <f t="shared" si="20"/>
        <v/>
      </c>
    </row>
    <row r="1348" spans="1:1">
      <c r="A1348" t="str">
        <f t="shared" si="20"/>
        <v/>
      </c>
    </row>
    <row r="1349" spans="1:1">
      <c r="A1349" t="str">
        <f t="shared" si="20"/>
        <v/>
      </c>
    </row>
    <row r="1350" spans="1:1">
      <c r="A1350" t="str">
        <f t="shared" si="20"/>
        <v/>
      </c>
    </row>
    <row r="1351" spans="1:1">
      <c r="A1351" t="str">
        <f t="shared" si="20"/>
        <v/>
      </c>
    </row>
    <row r="1352" spans="1:1">
      <c r="A1352" t="str">
        <f t="shared" si="20"/>
        <v/>
      </c>
    </row>
    <row r="1353" spans="1:1">
      <c r="A1353" t="str">
        <f t="shared" si="20"/>
        <v/>
      </c>
    </row>
    <row r="1354" spans="1:1">
      <c r="A1354" t="str">
        <f t="shared" si="20"/>
        <v/>
      </c>
    </row>
    <row r="1355" spans="1:1">
      <c r="A1355" t="str">
        <f t="shared" si="20"/>
        <v/>
      </c>
    </row>
    <row r="1356" spans="1:1">
      <c r="A1356" t="str">
        <f t="shared" si="20"/>
        <v/>
      </c>
    </row>
    <row r="1357" spans="1:1">
      <c r="A1357" t="str">
        <f t="shared" si="20"/>
        <v/>
      </c>
    </row>
    <row r="1358" spans="1:1">
      <c r="A1358" t="str">
        <f t="shared" si="20"/>
        <v/>
      </c>
    </row>
    <row r="1359" spans="1:1">
      <c r="A1359" t="str">
        <f t="shared" si="20"/>
        <v/>
      </c>
    </row>
    <row r="1360" spans="1:1">
      <c r="A1360" t="str">
        <f t="shared" si="20"/>
        <v/>
      </c>
    </row>
    <row r="1361" spans="1:15">
      <c r="A1361" t="str">
        <f t="shared" si="20"/>
        <v/>
      </c>
    </row>
    <row r="1362" spans="1:15">
      <c r="A1362" t="str">
        <f t="shared" si="20"/>
        <v/>
      </c>
    </row>
    <row r="1363" spans="1:15">
      <c r="A1363" t="str">
        <f t="shared" si="20"/>
        <v/>
      </c>
    </row>
    <row r="1364" spans="1:15">
      <c r="A1364" t="str">
        <f t="shared" si="20"/>
        <v/>
      </c>
    </row>
    <row r="1365" spans="1:15">
      <c r="A1365" t="str">
        <f t="shared" si="20"/>
        <v/>
      </c>
    </row>
    <row r="1366" spans="1:15">
      <c r="A1366" t="str">
        <f t="shared" si="20"/>
        <v/>
      </c>
    </row>
    <row r="1367" spans="1:15">
      <c r="A1367" t="str">
        <f t="shared" si="20"/>
        <v/>
      </c>
    </row>
    <row r="1368" spans="1:15">
      <c r="A1368" t="str">
        <f t="shared" si="20"/>
        <v/>
      </c>
    </row>
    <row r="1369" spans="1:15">
      <c r="A1369" t="str">
        <f t="shared" si="20"/>
        <v/>
      </c>
    </row>
    <row r="1370" spans="1:15">
      <c r="A1370" t="str">
        <f t="shared" si="20"/>
        <v/>
      </c>
    </row>
    <row r="1371" spans="1:15">
      <c r="A1371" t="str">
        <f t="shared" si="20"/>
        <v/>
      </c>
      <c r="D1371" s="4"/>
      <c r="E1371" s="4"/>
      <c r="F1371" s="4"/>
      <c r="G1371" s="4"/>
      <c r="H1371" s="4"/>
      <c r="I1371" s="4"/>
      <c r="J1371" s="4"/>
      <c r="K1371" s="4"/>
      <c r="L1371" s="4"/>
      <c r="M1371" s="4"/>
      <c r="N1371" s="4"/>
      <c r="O1371" s="4"/>
    </row>
    <row r="1372" spans="1:15">
      <c r="A1372" t="str">
        <f t="shared" si="20"/>
        <v/>
      </c>
    </row>
    <row r="1373" spans="1:15">
      <c r="A1373" t="str">
        <f t="shared" si="20"/>
        <v/>
      </c>
    </row>
    <row r="1374" spans="1:15">
      <c r="A1374" t="str">
        <f t="shared" si="20"/>
        <v/>
      </c>
    </row>
    <row r="1375" spans="1:15">
      <c r="A1375" t="str">
        <f t="shared" si="20"/>
        <v/>
      </c>
    </row>
    <row r="1376" spans="1:15">
      <c r="A1376" t="str">
        <f t="shared" si="20"/>
        <v/>
      </c>
    </row>
    <row r="1377" spans="1:15">
      <c r="A1377" t="str">
        <f t="shared" si="20"/>
        <v/>
      </c>
    </row>
    <row r="1378" spans="1:15">
      <c r="A1378" t="str">
        <f t="shared" si="20"/>
        <v/>
      </c>
    </row>
    <row r="1379" spans="1:15">
      <c r="A1379" t="str">
        <f t="shared" si="20"/>
        <v/>
      </c>
    </row>
    <row r="1380" spans="1:15">
      <c r="A1380" t="str">
        <f t="shared" si="20"/>
        <v/>
      </c>
      <c r="D1380" s="5"/>
      <c r="E1380" s="5"/>
      <c r="F1380" s="5"/>
      <c r="G1380" s="5"/>
      <c r="H1380" s="5"/>
      <c r="I1380" s="5"/>
      <c r="J1380" s="5"/>
      <c r="K1380" s="5"/>
      <c r="L1380" s="5"/>
      <c r="M1380" s="5"/>
      <c r="N1380" s="5"/>
      <c r="O1380" s="5"/>
    </row>
    <row r="1381" spans="1:15">
      <c r="A1381" t="str">
        <f t="shared" si="20"/>
        <v/>
      </c>
      <c r="D1381" s="5"/>
      <c r="E1381" s="5"/>
      <c r="F1381" s="5"/>
      <c r="G1381" s="5"/>
      <c r="H1381" s="5"/>
      <c r="I1381" s="5"/>
      <c r="J1381" s="5"/>
      <c r="K1381" s="5"/>
      <c r="L1381" s="5"/>
      <c r="M1381" s="5"/>
      <c r="N1381" s="5"/>
      <c r="O1381" s="5"/>
    </row>
    <row r="1382" spans="1:15">
      <c r="A1382" t="str">
        <f t="shared" si="20"/>
        <v/>
      </c>
    </row>
    <row r="1383" spans="1:15">
      <c r="A1383" t="str">
        <f t="shared" si="20"/>
        <v/>
      </c>
    </row>
    <row r="1384" spans="1:15">
      <c r="A1384" t="str">
        <f t="shared" si="20"/>
        <v/>
      </c>
    </row>
    <row r="1385" spans="1:15">
      <c r="A1385" t="str">
        <f t="shared" si="20"/>
        <v/>
      </c>
    </row>
    <row r="1386" spans="1:15">
      <c r="A1386" t="str">
        <f t="shared" si="20"/>
        <v/>
      </c>
    </row>
    <row r="1387" spans="1:15">
      <c r="A1387" t="str">
        <f t="shared" si="20"/>
        <v/>
      </c>
    </row>
    <row r="1388" spans="1:15">
      <c r="A1388" t="str">
        <f t="shared" si="20"/>
        <v/>
      </c>
    </row>
    <row r="1389" spans="1:15">
      <c r="A1389" t="str">
        <f t="shared" si="20"/>
        <v/>
      </c>
    </row>
    <row r="1390" spans="1:15">
      <c r="A1390" t="str">
        <f t="shared" si="20"/>
        <v/>
      </c>
    </row>
    <row r="1391" spans="1:15">
      <c r="A1391" t="str">
        <f t="shared" si="20"/>
        <v/>
      </c>
    </row>
    <row r="1392" spans="1:15">
      <c r="A1392" t="str">
        <f t="shared" si="20"/>
        <v/>
      </c>
      <c r="D1392" s="1"/>
      <c r="E1392" s="1"/>
      <c r="F1392" s="1"/>
      <c r="G1392" s="1"/>
      <c r="H1392" s="1"/>
      <c r="I1392" s="1"/>
      <c r="J1392" s="1"/>
      <c r="K1392" s="1"/>
      <c r="L1392" s="1"/>
      <c r="M1392" s="1"/>
      <c r="N1392" s="1"/>
      <c r="O1392" s="1"/>
    </row>
    <row r="1393" spans="1:15">
      <c r="A1393" t="str">
        <f t="shared" si="20"/>
        <v/>
      </c>
      <c r="D1393" s="5"/>
      <c r="E1393" s="5"/>
      <c r="F1393" s="5"/>
      <c r="G1393" s="5"/>
      <c r="H1393" s="5"/>
      <c r="I1393" s="5"/>
      <c r="J1393" s="5"/>
      <c r="K1393" s="5"/>
      <c r="L1393" s="5"/>
      <c r="M1393" s="5"/>
      <c r="N1393" s="5"/>
      <c r="O1393" s="5"/>
    </row>
    <row r="1394" spans="1:15">
      <c r="A1394" t="str">
        <f t="shared" si="20"/>
        <v/>
      </c>
      <c r="D1394" s="5"/>
      <c r="E1394" s="5"/>
      <c r="F1394" s="5"/>
      <c r="G1394" s="5"/>
      <c r="H1394" s="5"/>
      <c r="I1394" s="5"/>
      <c r="J1394" s="5"/>
      <c r="K1394" s="5"/>
      <c r="L1394" s="5"/>
      <c r="M1394" s="5"/>
      <c r="N1394" s="5"/>
      <c r="O1394" s="5"/>
    </row>
    <row r="1395" spans="1:15">
      <c r="A1395" t="str">
        <f t="shared" si="20"/>
        <v/>
      </c>
      <c r="D1395" s="5"/>
      <c r="E1395" s="5"/>
      <c r="F1395" s="5"/>
      <c r="G1395" s="5"/>
      <c r="H1395" s="5"/>
      <c r="I1395" s="5"/>
      <c r="J1395" s="5"/>
      <c r="K1395" s="5"/>
      <c r="L1395" s="5"/>
      <c r="M1395" s="5"/>
      <c r="N1395" s="5"/>
      <c r="O1395" s="5"/>
    </row>
    <row r="1396" spans="1:15">
      <c r="A1396" t="str">
        <f t="shared" si="20"/>
        <v/>
      </c>
      <c r="D1396" s="5"/>
      <c r="E1396" s="5"/>
      <c r="F1396" s="5"/>
      <c r="G1396" s="5"/>
      <c r="H1396" s="5"/>
      <c r="I1396" s="5"/>
      <c r="J1396" s="5"/>
      <c r="K1396" s="5"/>
      <c r="L1396" s="5"/>
      <c r="M1396" s="5"/>
      <c r="N1396" s="5"/>
      <c r="O1396" s="5"/>
    </row>
    <row r="1397" spans="1:15">
      <c r="A1397" t="str">
        <f t="shared" ref="A1397:A1460" si="21">B1397&amp;C1397</f>
        <v/>
      </c>
      <c r="D1397" s="5"/>
      <c r="E1397" s="5"/>
      <c r="F1397" s="5"/>
      <c r="G1397" s="5"/>
      <c r="H1397" s="5"/>
      <c r="I1397" s="5"/>
      <c r="J1397" s="5"/>
      <c r="K1397" s="5"/>
      <c r="L1397" s="5"/>
      <c r="M1397" s="5"/>
      <c r="N1397" s="5"/>
      <c r="O1397" s="5"/>
    </row>
    <row r="1398" spans="1:15">
      <c r="A1398" t="str">
        <f t="shared" si="21"/>
        <v/>
      </c>
      <c r="D1398" s="5"/>
      <c r="E1398" s="5"/>
      <c r="F1398" s="5"/>
      <c r="G1398" s="5"/>
      <c r="H1398" s="5"/>
      <c r="I1398" s="5"/>
      <c r="J1398" s="5"/>
      <c r="K1398" s="5"/>
      <c r="L1398" s="5"/>
      <c r="M1398" s="5"/>
      <c r="N1398" s="5"/>
      <c r="O1398" s="5"/>
    </row>
    <row r="1399" spans="1:15">
      <c r="A1399" t="str">
        <f t="shared" si="21"/>
        <v/>
      </c>
      <c r="D1399" s="5"/>
      <c r="E1399" s="5"/>
      <c r="F1399" s="5"/>
      <c r="G1399" s="5"/>
      <c r="H1399" s="5"/>
      <c r="I1399" s="5"/>
      <c r="J1399" s="5"/>
      <c r="K1399" s="5"/>
      <c r="L1399" s="5"/>
      <c r="M1399" s="5"/>
      <c r="N1399" s="5"/>
      <c r="O1399" s="5"/>
    </row>
    <row r="1400" spans="1:15">
      <c r="A1400" t="str">
        <f t="shared" si="21"/>
        <v/>
      </c>
      <c r="D1400" s="5"/>
      <c r="E1400" s="5"/>
      <c r="F1400" s="5"/>
      <c r="G1400" s="5"/>
      <c r="H1400" s="5"/>
      <c r="I1400" s="5"/>
      <c r="J1400" s="5"/>
      <c r="K1400" s="5"/>
      <c r="L1400" s="5"/>
      <c r="M1400" s="5"/>
      <c r="N1400" s="5"/>
      <c r="O1400" s="5"/>
    </row>
    <row r="1401" spans="1:15">
      <c r="A1401" t="str">
        <f t="shared" si="21"/>
        <v/>
      </c>
      <c r="D1401" s="5"/>
      <c r="E1401" s="5"/>
      <c r="F1401" s="5"/>
      <c r="G1401" s="5"/>
      <c r="H1401" s="5"/>
      <c r="I1401" s="5"/>
      <c r="J1401" s="5"/>
      <c r="K1401" s="5"/>
      <c r="L1401" s="5"/>
      <c r="M1401" s="5"/>
      <c r="N1401" s="5"/>
      <c r="O1401" s="5"/>
    </row>
    <row r="1402" spans="1:15">
      <c r="A1402" t="str">
        <f t="shared" si="21"/>
        <v/>
      </c>
    </row>
    <row r="1403" spans="1:15">
      <c r="A1403" t="str">
        <f t="shared" si="21"/>
        <v/>
      </c>
      <c r="D1403" s="5"/>
      <c r="E1403" s="5"/>
      <c r="F1403" s="5"/>
      <c r="G1403" s="5"/>
      <c r="H1403" s="5"/>
      <c r="I1403" s="5"/>
      <c r="J1403" s="5"/>
      <c r="K1403" s="5"/>
      <c r="L1403" s="5"/>
      <c r="M1403" s="5"/>
      <c r="N1403" s="5"/>
      <c r="O1403" s="5"/>
    </row>
    <row r="1404" spans="1:15">
      <c r="A1404" t="str">
        <f t="shared" si="21"/>
        <v/>
      </c>
      <c r="D1404" s="5"/>
      <c r="E1404" s="5"/>
      <c r="F1404" s="5"/>
      <c r="G1404" s="5"/>
      <c r="H1404" s="5"/>
      <c r="I1404" s="5"/>
      <c r="J1404" s="5"/>
      <c r="K1404" s="5"/>
      <c r="L1404" s="5"/>
      <c r="M1404" s="5"/>
      <c r="N1404" s="5"/>
      <c r="O1404" s="5"/>
    </row>
    <row r="1405" spans="1:15">
      <c r="A1405" t="str">
        <f t="shared" si="21"/>
        <v/>
      </c>
      <c r="D1405" s="5"/>
      <c r="E1405" s="5"/>
      <c r="F1405" s="5"/>
      <c r="G1405" s="5"/>
      <c r="H1405" s="5"/>
      <c r="I1405" s="5"/>
      <c r="J1405" s="5"/>
      <c r="K1405" s="5"/>
      <c r="L1405" s="5"/>
      <c r="M1405" s="5"/>
      <c r="N1405" s="5"/>
      <c r="O1405" s="5"/>
    </row>
    <row r="1406" spans="1:15">
      <c r="A1406" t="str">
        <f t="shared" si="21"/>
        <v/>
      </c>
      <c r="D1406" s="5"/>
      <c r="E1406" s="5"/>
      <c r="F1406" s="5"/>
      <c r="G1406" s="5"/>
      <c r="H1406" s="5"/>
      <c r="I1406" s="5"/>
      <c r="J1406" s="5"/>
      <c r="K1406" s="5"/>
      <c r="L1406" s="5"/>
      <c r="M1406" s="5"/>
      <c r="N1406" s="5"/>
      <c r="O1406" s="5"/>
    </row>
    <row r="1407" spans="1:15">
      <c r="A1407" t="str">
        <f t="shared" si="21"/>
        <v/>
      </c>
      <c r="D1407" s="5"/>
      <c r="E1407" s="5"/>
      <c r="F1407" s="5"/>
      <c r="G1407" s="5"/>
      <c r="H1407" s="5"/>
      <c r="I1407" s="5"/>
      <c r="J1407" s="5"/>
      <c r="K1407" s="5"/>
      <c r="L1407" s="5"/>
      <c r="M1407" s="5"/>
      <c r="N1407" s="5"/>
      <c r="O1407" s="5"/>
    </row>
    <row r="1408" spans="1:15">
      <c r="A1408" t="str">
        <f t="shared" si="21"/>
        <v/>
      </c>
      <c r="D1408" s="5"/>
      <c r="E1408" s="5"/>
      <c r="F1408" s="5"/>
      <c r="G1408" s="5"/>
      <c r="H1408" s="5"/>
      <c r="I1408" s="5"/>
      <c r="J1408" s="5"/>
      <c r="K1408" s="5"/>
      <c r="L1408" s="5"/>
      <c r="M1408" s="5"/>
      <c r="N1408" s="5"/>
      <c r="O1408" s="5"/>
    </row>
    <row r="1409" spans="1:15">
      <c r="A1409" t="str">
        <f t="shared" si="21"/>
        <v/>
      </c>
      <c r="D1409" s="5"/>
      <c r="E1409" s="5"/>
      <c r="F1409" s="5"/>
      <c r="G1409" s="5"/>
      <c r="H1409" s="5"/>
      <c r="I1409" s="5"/>
      <c r="J1409" s="5"/>
      <c r="K1409" s="5"/>
      <c r="L1409" s="5"/>
      <c r="M1409" s="5"/>
      <c r="N1409" s="5"/>
      <c r="O1409" s="5"/>
    </row>
    <row r="1410" spans="1:15">
      <c r="A1410" t="str">
        <f t="shared" si="21"/>
        <v/>
      </c>
    </row>
    <row r="1411" spans="1:15">
      <c r="A1411" t="str">
        <f t="shared" si="21"/>
        <v/>
      </c>
    </row>
    <row r="1412" spans="1:15">
      <c r="A1412" t="str">
        <f t="shared" si="21"/>
        <v/>
      </c>
    </row>
    <row r="1413" spans="1:15">
      <c r="A1413" t="str">
        <f t="shared" si="21"/>
        <v/>
      </c>
    </row>
    <row r="1414" spans="1:15">
      <c r="A1414" t="str">
        <f t="shared" si="21"/>
        <v/>
      </c>
    </row>
    <row r="1415" spans="1:15">
      <c r="A1415" t="str">
        <f t="shared" si="21"/>
        <v/>
      </c>
    </row>
    <row r="1416" spans="1:15">
      <c r="A1416" t="str">
        <f t="shared" si="21"/>
        <v/>
      </c>
    </row>
    <row r="1417" spans="1:15">
      <c r="A1417" t="str">
        <f t="shared" si="21"/>
        <v/>
      </c>
    </row>
    <row r="1418" spans="1:15">
      <c r="A1418" t="str">
        <f t="shared" si="21"/>
        <v/>
      </c>
      <c r="D1418" s="4"/>
      <c r="E1418" s="4"/>
      <c r="F1418" s="4"/>
      <c r="G1418" s="4"/>
      <c r="H1418" s="4"/>
      <c r="I1418" s="4"/>
      <c r="J1418" s="4"/>
      <c r="K1418" s="4"/>
      <c r="L1418" s="4"/>
      <c r="M1418" s="4"/>
      <c r="N1418" s="4"/>
      <c r="O1418" s="4"/>
    </row>
    <row r="1419" spans="1:15">
      <c r="A1419" t="str">
        <f t="shared" si="21"/>
        <v/>
      </c>
    </row>
    <row r="1420" spans="1:15">
      <c r="A1420" t="str">
        <f t="shared" si="21"/>
        <v/>
      </c>
    </row>
    <row r="1421" spans="1:15">
      <c r="A1421" t="str">
        <f t="shared" si="21"/>
        <v/>
      </c>
    </row>
    <row r="1422" spans="1:15">
      <c r="A1422" t="str">
        <f t="shared" si="21"/>
        <v/>
      </c>
    </row>
    <row r="1423" spans="1:15">
      <c r="A1423" t="str">
        <f t="shared" si="21"/>
        <v/>
      </c>
    </row>
    <row r="1424" spans="1:15">
      <c r="A1424" t="str">
        <f t="shared" si="21"/>
        <v/>
      </c>
    </row>
    <row r="1425" spans="1:1">
      <c r="A1425" t="str">
        <f t="shared" si="21"/>
        <v/>
      </c>
    </row>
    <row r="1426" spans="1:1">
      <c r="A1426" t="str">
        <f t="shared" si="21"/>
        <v/>
      </c>
    </row>
    <row r="1427" spans="1:1">
      <c r="A1427" t="str">
        <f t="shared" si="21"/>
        <v/>
      </c>
    </row>
    <row r="1428" spans="1:1">
      <c r="A1428" t="str">
        <f t="shared" si="21"/>
        <v/>
      </c>
    </row>
    <row r="1429" spans="1:1">
      <c r="A1429" t="str">
        <f t="shared" si="21"/>
        <v/>
      </c>
    </row>
    <row r="1430" spans="1:1">
      <c r="A1430" t="str">
        <f t="shared" si="21"/>
        <v/>
      </c>
    </row>
    <row r="1431" spans="1:1">
      <c r="A1431" t="str">
        <f t="shared" si="21"/>
        <v/>
      </c>
    </row>
    <row r="1432" spans="1:1">
      <c r="A1432" t="str">
        <f t="shared" si="21"/>
        <v/>
      </c>
    </row>
    <row r="1433" spans="1:1">
      <c r="A1433" t="str">
        <f t="shared" si="21"/>
        <v/>
      </c>
    </row>
    <row r="1434" spans="1:1">
      <c r="A1434" t="str">
        <f t="shared" si="21"/>
        <v/>
      </c>
    </row>
    <row r="1435" spans="1:1">
      <c r="A1435" t="str">
        <f t="shared" si="21"/>
        <v/>
      </c>
    </row>
    <row r="1436" spans="1:1">
      <c r="A1436" t="str">
        <f t="shared" si="21"/>
        <v/>
      </c>
    </row>
    <row r="1437" spans="1:1">
      <c r="A1437" t="str">
        <f t="shared" si="21"/>
        <v/>
      </c>
    </row>
    <row r="1438" spans="1:1">
      <c r="A1438" t="str">
        <f t="shared" si="21"/>
        <v/>
      </c>
    </row>
    <row r="1439" spans="1:1">
      <c r="A1439" t="str">
        <f t="shared" si="21"/>
        <v/>
      </c>
    </row>
    <row r="1440" spans="1:1">
      <c r="A1440" t="str">
        <f t="shared" si="21"/>
        <v/>
      </c>
    </row>
    <row r="1441" spans="1:15">
      <c r="A1441" t="str">
        <f t="shared" si="21"/>
        <v/>
      </c>
    </row>
    <row r="1442" spans="1:15">
      <c r="A1442" t="str">
        <f t="shared" si="21"/>
        <v/>
      </c>
      <c r="D1442" s="4"/>
      <c r="E1442" s="4"/>
      <c r="F1442" s="4"/>
      <c r="G1442" s="4"/>
      <c r="H1442" s="4"/>
      <c r="I1442" s="4"/>
      <c r="J1442" s="4"/>
      <c r="K1442" s="4"/>
      <c r="L1442" s="4"/>
      <c r="M1442" s="4"/>
      <c r="N1442" s="4"/>
      <c r="O1442" s="4"/>
    </row>
    <row r="1443" spans="1:15">
      <c r="A1443" t="str">
        <f t="shared" si="21"/>
        <v/>
      </c>
    </row>
    <row r="1444" spans="1:15">
      <c r="A1444" t="str">
        <f t="shared" si="21"/>
        <v/>
      </c>
    </row>
    <row r="1445" spans="1:15">
      <c r="A1445" t="str">
        <f t="shared" si="21"/>
        <v/>
      </c>
    </row>
    <row r="1446" spans="1:15">
      <c r="A1446" t="str">
        <f t="shared" si="21"/>
        <v/>
      </c>
    </row>
    <row r="1447" spans="1:15">
      <c r="A1447" t="str">
        <f t="shared" si="21"/>
        <v/>
      </c>
    </row>
    <row r="1448" spans="1:15">
      <c r="A1448" t="str">
        <f t="shared" si="21"/>
        <v/>
      </c>
    </row>
    <row r="1449" spans="1:15">
      <c r="A1449" t="str">
        <f t="shared" si="21"/>
        <v/>
      </c>
    </row>
    <row r="1450" spans="1:15">
      <c r="A1450" t="str">
        <f t="shared" si="21"/>
        <v/>
      </c>
    </row>
    <row r="1451" spans="1:15">
      <c r="A1451" t="str">
        <f t="shared" si="21"/>
        <v/>
      </c>
      <c r="D1451" s="5"/>
      <c r="E1451" s="5"/>
      <c r="F1451" s="5"/>
      <c r="G1451" s="5"/>
      <c r="H1451" s="5"/>
      <c r="I1451" s="5"/>
      <c r="J1451" s="5"/>
      <c r="K1451" s="5"/>
      <c r="L1451" s="5"/>
      <c r="M1451" s="5"/>
      <c r="N1451" s="5"/>
      <c r="O1451" s="5"/>
    </row>
    <row r="1452" spans="1:15">
      <c r="A1452" t="str">
        <f t="shared" si="21"/>
        <v/>
      </c>
      <c r="D1452" s="5"/>
      <c r="E1452" s="5"/>
      <c r="F1452" s="5"/>
      <c r="G1452" s="5"/>
      <c r="H1452" s="5"/>
      <c r="I1452" s="5"/>
      <c r="J1452" s="5"/>
      <c r="K1452" s="5"/>
      <c r="L1452" s="5"/>
      <c r="M1452" s="5"/>
      <c r="N1452" s="5"/>
      <c r="O1452" s="5"/>
    </row>
    <row r="1453" spans="1:15">
      <c r="A1453" t="str">
        <f t="shared" si="21"/>
        <v/>
      </c>
    </row>
    <row r="1454" spans="1:15">
      <c r="A1454" t="str">
        <f t="shared" si="21"/>
        <v/>
      </c>
    </row>
    <row r="1455" spans="1:15">
      <c r="A1455" t="str">
        <f t="shared" si="21"/>
        <v/>
      </c>
    </row>
    <row r="1456" spans="1:15">
      <c r="A1456" t="str">
        <f t="shared" si="21"/>
        <v/>
      </c>
    </row>
    <row r="1457" spans="1:15">
      <c r="A1457" t="str">
        <f t="shared" si="21"/>
        <v/>
      </c>
    </row>
    <row r="1458" spans="1:15">
      <c r="A1458" t="str">
        <f t="shared" si="21"/>
        <v/>
      </c>
    </row>
    <row r="1459" spans="1:15">
      <c r="A1459" t="str">
        <f t="shared" si="21"/>
        <v/>
      </c>
    </row>
    <row r="1460" spans="1:15">
      <c r="A1460" t="str">
        <f t="shared" si="21"/>
        <v/>
      </c>
    </row>
    <row r="1461" spans="1:15">
      <c r="A1461" t="str">
        <f t="shared" ref="A1461:A1524" si="22">B1461&amp;C1461</f>
        <v/>
      </c>
    </row>
    <row r="1462" spans="1:15">
      <c r="A1462" t="str">
        <f t="shared" si="22"/>
        <v/>
      </c>
    </row>
    <row r="1463" spans="1:15">
      <c r="A1463" t="str">
        <f t="shared" si="22"/>
        <v/>
      </c>
      <c r="D1463" s="1"/>
      <c r="E1463" s="1"/>
      <c r="F1463" s="1"/>
      <c r="G1463" s="1"/>
      <c r="H1463" s="1"/>
      <c r="I1463" s="1"/>
      <c r="J1463" s="1"/>
      <c r="K1463" s="1"/>
      <c r="L1463" s="1"/>
      <c r="M1463" s="1"/>
      <c r="N1463" s="1"/>
      <c r="O1463" s="1"/>
    </row>
    <row r="1464" spans="1:15">
      <c r="A1464" t="str">
        <f t="shared" si="22"/>
        <v/>
      </c>
      <c r="D1464" s="5"/>
      <c r="E1464" s="5"/>
      <c r="F1464" s="5"/>
      <c r="G1464" s="5"/>
      <c r="H1464" s="5"/>
      <c r="I1464" s="5"/>
      <c r="J1464" s="5"/>
      <c r="K1464" s="5"/>
      <c r="L1464" s="5"/>
      <c r="M1464" s="5"/>
      <c r="N1464" s="5"/>
      <c r="O1464" s="5"/>
    </row>
    <row r="1465" spans="1:15">
      <c r="A1465" t="str">
        <f t="shared" si="22"/>
        <v/>
      </c>
      <c r="D1465" s="5"/>
      <c r="E1465" s="5"/>
      <c r="F1465" s="5"/>
      <c r="G1465" s="5"/>
      <c r="H1465" s="5"/>
      <c r="I1465" s="5"/>
      <c r="J1465" s="5"/>
      <c r="K1465" s="5"/>
      <c r="L1465" s="5"/>
      <c r="M1465" s="5"/>
      <c r="N1465" s="5"/>
      <c r="O1465" s="5"/>
    </row>
    <row r="1466" spans="1:15">
      <c r="A1466" t="str">
        <f t="shared" si="22"/>
        <v/>
      </c>
      <c r="D1466" s="5"/>
      <c r="E1466" s="5"/>
      <c r="F1466" s="5"/>
      <c r="G1466" s="5"/>
      <c r="H1466" s="5"/>
      <c r="I1466" s="5"/>
      <c r="J1466" s="5"/>
      <c r="K1466" s="5"/>
      <c r="L1466" s="5"/>
      <c r="M1466" s="5"/>
      <c r="N1466" s="5"/>
      <c r="O1466" s="5"/>
    </row>
    <row r="1467" spans="1:15">
      <c r="A1467" t="str">
        <f t="shared" si="22"/>
        <v/>
      </c>
      <c r="D1467" s="5"/>
      <c r="E1467" s="5"/>
      <c r="F1467" s="5"/>
      <c r="G1467" s="5"/>
      <c r="H1467" s="5"/>
      <c r="I1467" s="5"/>
      <c r="J1467" s="5"/>
      <c r="K1467" s="5"/>
      <c r="L1467" s="5"/>
      <c r="M1467" s="5"/>
      <c r="N1467" s="5"/>
      <c r="O1467" s="5"/>
    </row>
    <row r="1468" spans="1:15">
      <c r="A1468" t="str">
        <f t="shared" si="22"/>
        <v/>
      </c>
      <c r="D1468" s="5"/>
      <c r="E1468" s="5"/>
      <c r="F1468" s="5"/>
      <c r="G1468" s="5"/>
      <c r="H1468" s="5"/>
      <c r="I1468" s="5"/>
      <c r="J1468" s="5"/>
      <c r="K1468" s="5"/>
      <c r="L1468" s="5"/>
      <c r="M1468" s="5"/>
      <c r="N1468" s="5"/>
      <c r="O1468" s="5"/>
    </row>
    <row r="1469" spans="1:15">
      <c r="A1469" t="str">
        <f t="shared" si="22"/>
        <v/>
      </c>
      <c r="D1469" s="5"/>
      <c r="E1469" s="5"/>
      <c r="F1469" s="5"/>
      <c r="G1469" s="5"/>
      <c r="H1469" s="5"/>
      <c r="I1469" s="5"/>
      <c r="J1469" s="5"/>
      <c r="K1469" s="5"/>
      <c r="L1469" s="5"/>
      <c r="M1469" s="5"/>
      <c r="N1469" s="5"/>
      <c r="O1469" s="5"/>
    </row>
    <row r="1470" spans="1:15">
      <c r="A1470" t="str">
        <f t="shared" si="22"/>
        <v/>
      </c>
      <c r="D1470" s="5"/>
      <c r="E1470" s="5"/>
      <c r="F1470" s="5"/>
      <c r="G1470" s="5"/>
      <c r="H1470" s="5"/>
      <c r="I1470" s="5"/>
      <c r="J1470" s="5"/>
      <c r="K1470" s="5"/>
      <c r="L1470" s="5"/>
      <c r="M1470" s="5"/>
      <c r="N1470" s="5"/>
      <c r="O1470" s="5"/>
    </row>
    <row r="1471" spans="1:15">
      <c r="A1471" t="str">
        <f t="shared" si="22"/>
        <v/>
      </c>
      <c r="D1471" s="5"/>
      <c r="E1471" s="5"/>
      <c r="F1471" s="5"/>
      <c r="G1471" s="5"/>
      <c r="H1471" s="5"/>
      <c r="I1471" s="5"/>
      <c r="J1471" s="5"/>
      <c r="K1471" s="5"/>
      <c r="L1471" s="5"/>
      <c r="M1471" s="5"/>
      <c r="N1471" s="5"/>
      <c r="O1471" s="5"/>
    </row>
    <row r="1472" spans="1:15">
      <c r="A1472" t="str">
        <f t="shared" si="22"/>
        <v/>
      </c>
      <c r="D1472" s="5"/>
      <c r="E1472" s="5"/>
      <c r="F1472" s="5"/>
      <c r="G1472" s="5"/>
      <c r="H1472" s="5"/>
      <c r="I1472" s="5"/>
      <c r="J1472" s="5"/>
      <c r="K1472" s="5"/>
      <c r="L1472" s="5"/>
      <c r="M1472" s="5"/>
      <c r="N1472" s="5"/>
      <c r="O1472" s="5"/>
    </row>
    <row r="1473" spans="1:15">
      <c r="A1473" t="str">
        <f t="shared" si="22"/>
        <v/>
      </c>
    </row>
    <row r="1474" spans="1:15">
      <c r="A1474" t="str">
        <f t="shared" si="22"/>
        <v/>
      </c>
      <c r="D1474" s="5"/>
      <c r="E1474" s="5"/>
      <c r="F1474" s="5"/>
      <c r="G1474" s="5"/>
      <c r="H1474" s="5"/>
      <c r="I1474" s="5"/>
      <c r="J1474" s="5"/>
      <c r="K1474" s="5"/>
      <c r="L1474" s="5"/>
      <c r="M1474" s="5"/>
      <c r="N1474" s="5"/>
      <c r="O1474" s="5"/>
    </row>
    <row r="1475" spans="1:15">
      <c r="A1475" t="str">
        <f t="shared" si="22"/>
        <v/>
      </c>
      <c r="D1475" s="5"/>
      <c r="E1475" s="5"/>
      <c r="F1475" s="5"/>
      <c r="G1475" s="5"/>
      <c r="H1475" s="5"/>
      <c r="I1475" s="5"/>
      <c r="J1475" s="5"/>
      <c r="K1475" s="5"/>
      <c r="L1475" s="5"/>
      <c r="M1475" s="5"/>
      <c r="N1475" s="5"/>
      <c r="O1475" s="5"/>
    </row>
    <row r="1476" spans="1:15">
      <c r="A1476" t="str">
        <f t="shared" si="22"/>
        <v/>
      </c>
      <c r="D1476" s="5"/>
      <c r="E1476" s="5"/>
      <c r="F1476" s="5"/>
      <c r="G1476" s="5"/>
      <c r="H1476" s="5"/>
      <c r="I1476" s="5"/>
      <c r="J1476" s="5"/>
      <c r="K1476" s="5"/>
      <c r="L1476" s="5"/>
      <c r="M1476" s="5"/>
      <c r="N1476" s="5"/>
      <c r="O1476" s="5"/>
    </row>
    <row r="1477" spans="1:15">
      <c r="A1477" t="str">
        <f t="shared" si="22"/>
        <v/>
      </c>
      <c r="D1477" s="5"/>
      <c r="E1477" s="5"/>
      <c r="F1477" s="5"/>
      <c r="G1477" s="5"/>
      <c r="H1477" s="5"/>
      <c r="I1477" s="5"/>
      <c r="J1477" s="5"/>
      <c r="K1477" s="5"/>
      <c r="L1477" s="5"/>
      <c r="M1477" s="5"/>
      <c r="N1477" s="5"/>
      <c r="O1477" s="5"/>
    </row>
    <row r="1478" spans="1:15">
      <c r="A1478" t="str">
        <f t="shared" si="22"/>
        <v/>
      </c>
      <c r="D1478" s="5"/>
      <c r="E1478" s="5"/>
      <c r="F1478" s="5"/>
      <c r="G1478" s="5"/>
      <c r="H1478" s="5"/>
      <c r="I1478" s="5"/>
      <c r="J1478" s="5"/>
      <c r="K1478" s="5"/>
      <c r="L1478" s="5"/>
      <c r="M1478" s="5"/>
      <c r="N1478" s="5"/>
      <c r="O1478" s="5"/>
    </row>
    <row r="1479" spans="1:15">
      <c r="A1479" t="str">
        <f t="shared" si="22"/>
        <v/>
      </c>
      <c r="D1479" s="5"/>
      <c r="E1479" s="5"/>
      <c r="F1479" s="5"/>
      <c r="G1479" s="5"/>
      <c r="H1479" s="5"/>
      <c r="I1479" s="5"/>
      <c r="J1479" s="5"/>
      <c r="K1479" s="5"/>
      <c r="L1479" s="5"/>
      <c r="M1479" s="5"/>
      <c r="N1479" s="5"/>
      <c r="O1479" s="5"/>
    </row>
    <row r="1480" spans="1:15">
      <c r="A1480" t="str">
        <f t="shared" si="22"/>
        <v/>
      </c>
      <c r="D1480" s="5"/>
      <c r="E1480" s="5"/>
      <c r="F1480" s="5"/>
      <c r="G1480" s="5"/>
      <c r="H1480" s="5"/>
      <c r="I1480" s="5"/>
      <c r="J1480" s="5"/>
      <c r="K1480" s="5"/>
      <c r="L1480" s="5"/>
      <c r="M1480" s="5"/>
      <c r="N1480" s="5"/>
      <c r="O1480" s="5"/>
    </row>
    <row r="1481" spans="1:15">
      <c r="A1481" t="str">
        <f t="shared" si="22"/>
        <v/>
      </c>
    </row>
    <row r="1482" spans="1:15">
      <c r="A1482" t="str">
        <f t="shared" si="22"/>
        <v/>
      </c>
    </row>
    <row r="1483" spans="1:15">
      <c r="A1483" t="str">
        <f t="shared" si="22"/>
        <v/>
      </c>
    </row>
    <row r="1484" spans="1:15">
      <c r="A1484" t="str">
        <f t="shared" si="22"/>
        <v/>
      </c>
    </row>
    <row r="1485" spans="1:15">
      <c r="A1485" t="str">
        <f t="shared" si="22"/>
        <v/>
      </c>
    </row>
    <row r="1486" spans="1:15">
      <c r="A1486" t="str">
        <f t="shared" si="22"/>
        <v/>
      </c>
    </row>
    <row r="1487" spans="1:15">
      <c r="A1487" t="str">
        <f t="shared" si="22"/>
        <v/>
      </c>
    </row>
    <row r="1488" spans="1:15">
      <c r="A1488" t="str">
        <f t="shared" si="22"/>
        <v/>
      </c>
    </row>
    <row r="1489" spans="1:15">
      <c r="A1489" t="str">
        <f t="shared" si="22"/>
        <v/>
      </c>
    </row>
    <row r="1490" spans="1:15">
      <c r="A1490" t="str">
        <f t="shared" si="22"/>
        <v/>
      </c>
    </row>
    <row r="1491" spans="1:15">
      <c r="A1491" t="str">
        <f t="shared" si="22"/>
        <v/>
      </c>
    </row>
    <row r="1492" spans="1:15">
      <c r="A1492" t="str">
        <f t="shared" si="22"/>
        <v/>
      </c>
    </row>
    <row r="1493" spans="1:15">
      <c r="A1493" t="str">
        <f t="shared" si="22"/>
        <v/>
      </c>
    </row>
    <row r="1494" spans="1:15">
      <c r="A1494" t="str">
        <f t="shared" si="22"/>
        <v/>
      </c>
    </row>
    <row r="1495" spans="1:15">
      <c r="A1495" t="str">
        <f t="shared" si="22"/>
        <v/>
      </c>
    </row>
    <row r="1496" spans="1:15">
      <c r="A1496" t="str">
        <f t="shared" si="22"/>
        <v/>
      </c>
    </row>
    <row r="1497" spans="1:15">
      <c r="A1497" t="str">
        <f t="shared" si="22"/>
        <v/>
      </c>
      <c r="D1497" s="4"/>
      <c r="E1497" s="4"/>
      <c r="F1497" s="4"/>
      <c r="G1497" s="4"/>
      <c r="H1497" s="4"/>
      <c r="I1497" s="4"/>
      <c r="J1497" s="4"/>
      <c r="K1497" s="4"/>
      <c r="L1497" s="4"/>
      <c r="M1497" s="4"/>
      <c r="N1497" s="4"/>
      <c r="O1497" s="4"/>
    </row>
    <row r="1498" spans="1:15">
      <c r="A1498" t="str">
        <f t="shared" si="22"/>
        <v/>
      </c>
    </row>
    <row r="1499" spans="1:15">
      <c r="A1499" t="str">
        <f t="shared" si="22"/>
        <v/>
      </c>
    </row>
    <row r="1500" spans="1:15">
      <c r="A1500" t="str">
        <f t="shared" si="22"/>
        <v/>
      </c>
    </row>
    <row r="1501" spans="1:15">
      <c r="A1501" t="str">
        <f t="shared" si="22"/>
        <v/>
      </c>
    </row>
    <row r="1502" spans="1:15">
      <c r="A1502" t="str">
        <f t="shared" si="22"/>
        <v/>
      </c>
    </row>
    <row r="1503" spans="1:15">
      <c r="A1503" t="str">
        <f t="shared" si="22"/>
        <v/>
      </c>
    </row>
    <row r="1504" spans="1:15">
      <c r="A1504" t="str">
        <f t="shared" si="22"/>
        <v/>
      </c>
    </row>
    <row r="1505" spans="1:15">
      <c r="A1505" t="str">
        <f t="shared" si="22"/>
        <v/>
      </c>
    </row>
    <row r="1506" spans="1:15">
      <c r="A1506" t="str">
        <f t="shared" si="22"/>
        <v/>
      </c>
      <c r="D1506" s="5"/>
      <c r="E1506" s="5"/>
      <c r="F1506" s="5"/>
      <c r="G1506" s="5"/>
      <c r="H1506" s="5"/>
      <c r="I1506" s="5"/>
      <c r="J1506" s="5"/>
      <c r="K1506" s="5"/>
      <c r="L1506" s="5"/>
      <c r="M1506" s="5"/>
      <c r="N1506" s="5"/>
      <c r="O1506" s="5"/>
    </row>
    <row r="1507" spans="1:15">
      <c r="A1507" t="str">
        <f t="shared" si="22"/>
        <v/>
      </c>
      <c r="D1507" s="5"/>
      <c r="E1507" s="5"/>
      <c r="F1507" s="5"/>
      <c r="G1507" s="5"/>
      <c r="H1507" s="5"/>
      <c r="I1507" s="5"/>
      <c r="J1507" s="5"/>
      <c r="K1507" s="5"/>
      <c r="L1507" s="5"/>
      <c r="M1507" s="5"/>
      <c r="N1507" s="5"/>
      <c r="O1507" s="5"/>
    </row>
    <row r="1508" spans="1:15">
      <c r="A1508" t="str">
        <f t="shared" si="22"/>
        <v/>
      </c>
    </row>
    <row r="1509" spans="1:15">
      <c r="A1509" t="str">
        <f t="shared" si="22"/>
        <v/>
      </c>
    </row>
    <row r="1510" spans="1:15">
      <c r="A1510" t="str">
        <f t="shared" si="22"/>
        <v/>
      </c>
    </row>
    <row r="1511" spans="1:15">
      <c r="A1511" t="str">
        <f t="shared" si="22"/>
        <v/>
      </c>
    </row>
    <row r="1512" spans="1:15">
      <c r="A1512" t="str">
        <f t="shared" si="22"/>
        <v/>
      </c>
    </row>
    <row r="1513" spans="1:15">
      <c r="A1513" t="str">
        <f t="shared" si="22"/>
        <v/>
      </c>
    </row>
    <row r="1514" spans="1:15">
      <c r="A1514" t="str">
        <f t="shared" si="22"/>
        <v/>
      </c>
    </row>
    <row r="1515" spans="1:15">
      <c r="A1515" t="str">
        <f t="shared" si="22"/>
        <v/>
      </c>
    </row>
    <row r="1516" spans="1:15">
      <c r="A1516" t="str">
        <f t="shared" si="22"/>
        <v/>
      </c>
    </row>
    <row r="1517" spans="1:15">
      <c r="A1517" t="str">
        <f t="shared" si="22"/>
        <v/>
      </c>
    </row>
    <row r="1518" spans="1:15">
      <c r="A1518" t="str">
        <f t="shared" si="22"/>
        <v/>
      </c>
      <c r="D1518" s="1"/>
      <c r="E1518" s="1"/>
      <c r="F1518" s="1"/>
      <c r="G1518" s="1"/>
      <c r="H1518" s="1"/>
      <c r="I1518" s="1"/>
      <c r="J1518" s="1"/>
      <c r="K1518" s="1"/>
      <c r="L1518" s="1"/>
      <c r="M1518" s="1"/>
      <c r="N1518" s="1"/>
      <c r="O1518" s="1"/>
    </row>
    <row r="1519" spans="1:15">
      <c r="A1519" t="str">
        <f t="shared" si="22"/>
        <v/>
      </c>
      <c r="D1519" s="5"/>
      <c r="E1519" s="5"/>
      <c r="F1519" s="5"/>
      <c r="G1519" s="5"/>
      <c r="H1519" s="5"/>
      <c r="I1519" s="5"/>
      <c r="J1519" s="5"/>
      <c r="K1519" s="5"/>
      <c r="L1519" s="5"/>
      <c r="M1519" s="5"/>
      <c r="N1519" s="5"/>
      <c r="O1519" s="5"/>
    </row>
    <row r="1520" spans="1:15">
      <c r="A1520" t="str">
        <f t="shared" si="22"/>
        <v/>
      </c>
      <c r="D1520" s="5"/>
      <c r="E1520" s="5"/>
      <c r="F1520" s="5"/>
      <c r="G1520" s="5"/>
      <c r="H1520" s="5"/>
      <c r="I1520" s="5"/>
      <c r="J1520" s="5"/>
      <c r="K1520" s="5"/>
      <c r="L1520" s="5"/>
      <c r="M1520" s="5"/>
      <c r="N1520" s="5"/>
      <c r="O1520" s="5"/>
    </row>
    <row r="1521" spans="1:15">
      <c r="A1521" t="str">
        <f t="shared" si="22"/>
        <v/>
      </c>
      <c r="D1521" s="5"/>
      <c r="E1521" s="5"/>
      <c r="F1521" s="5"/>
      <c r="G1521" s="5"/>
      <c r="H1521" s="5"/>
      <c r="I1521" s="5"/>
      <c r="J1521" s="5"/>
      <c r="K1521" s="5"/>
      <c r="L1521" s="5"/>
      <c r="M1521" s="5"/>
      <c r="N1521" s="5"/>
      <c r="O1521" s="5"/>
    </row>
    <row r="1522" spans="1:15">
      <c r="A1522" t="str">
        <f t="shared" si="22"/>
        <v/>
      </c>
      <c r="D1522" s="5"/>
      <c r="E1522" s="5"/>
      <c r="F1522" s="5"/>
      <c r="G1522" s="5"/>
      <c r="H1522" s="5"/>
      <c r="I1522" s="5"/>
      <c r="J1522" s="5"/>
      <c r="K1522" s="5"/>
      <c r="L1522" s="5"/>
      <c r="M1522" s="5"/>
      <c r="N1522" s="5"/>
      <c r="O1522" s="5"/>
    </row>
    <row r="1523" spans="1:15">
      <c r="A1523" t="str">
        <f t="shared" si="22"/>
        <v/>
      </c>
      <c r="D1523" s="5"/>
      <c r="E1523" s="5"/>
      <c r="F1523" s="5"/>
      <c r="G1523" s="5"/>
      <c r="H1523" s="5"/>
      <c r="I1523" s="5"/>
      <c r="J1523" s="5"/>
      <c r="K1523" s="5"/>
      <c r="L1523" s="5"/>
      <c r="M1523" s="5"/>
      <c r="N1523" s="5"/>
      <c r="O1523" s="5"/>
    </row>
    <row r="1524" spans="1:15">
      <c r="A1524" t="str">
        <f t="shared" si="22"/>
        <v/>
      </c>
      <c r="D1524" s="5"/>
      <c r="E1524" s="5"/>
      <c r="F1524" s="5"/>
      <c r="G1524" s="5"/>
      <c r="H1524" s="5"/>
      <c r="I1524" s="5"/>
      <c r="J1524" s="5"/>
      <c r="K1524" s="5"/>
      <c r="L1524" s="5"/>
      <c r="M1524" s="5"/>
      <c r="N1524" s="5"/>
      <c r="O1524" s="5"/>
    </row>
    <row r="1525" spans="1:15">
      <c r="A1525" t="str">
        <f t="shared" ref="A1525:A1588" si="23">B1525&amp;C1525</f>
        <v/>
      </c>
      <c r="D1525" s="5"/>
      <c r="E1525" s="5"/>
      <c r="F1525" s="5"/>
      <c r="G1525" s="5"/>
      <c r="H1525" s="5"/>
      <c r="I1525" s="5"/>
      <c r="J1525" s="5"/>
      <c r="K1525" s="5"/>
      <c r="L1525" s="5"/>
      <c r="M1525" s="5"/>
      <c r="N1525" s="5"/>
      <c r="O1525" s="5"/>
    </row>
    <row r="1526" spans="1:15">
      <c r="A1526" t="str">
        <f t="shared" si="23"/>
        <v/>
      </c>
      <c r="D1526" s="5"/>
      <c r="E1526" s="5"/>
      <c r="F1526" s="5"/>
      <c r="G1526" s="5"/>
      <c r="H1526" s="5"/>
      <c r="I1526" s="5"/>
      <c r="J1526" s="5"/>
      <c r="K1526" s="5"/>
      <c r="L1526" s="5"/>
      <c r="M1526" s="5"/>
      <c r="N1526" s="5"/>
      <c r="O1526" s="5"/>
    </row>
    <row r="1527" spans="1:15">
      <c r="A1527" t="str">
        <f t="shared" si="23"/>
        <v/>
      </c>
      <c r="D1527" s="5"/>
      <c r="E1527" s="5"/>
      <c r="F1527" s="5"/>
      <c r="G1527" s="5"/>
      <c r="H1527" s="5"/>
      <c r="I1527" s="5"/>
      <c r="J1527" s="5"/>
      <c r="K1527" s="5"/>
      <c r="L1527" s="5"/>
      <c r="M1527" s="5"/>
      <c r="N1527" s="5"/>
      <c r="O1527" s="5"/>
    </row>
    <row r="1528" spans="1:15">
      <c r="A1528" t="str">
        <f t="shared" si="23"/>
        <v/>
      </c>
    </row>
    <row r="1529" spans="1:15">
      <c r="A1529" t="str">
        <f t="shared" si="23"/>
        <v/>
      </c>
      <c r="D1529" s="5"/>
      <c r="E1529" s="5"/>
      <c r="F1529" s="5"/>
      <c r="G1529" s="5"/>
      <c r="H1529" s="5"/>
      <c r="I1529" s="5"/>
      <c r="J1529" s="5"/>
      <c r="K1529" s="5"/>
      <c r="L1529" s="5"/>
      <c r="M1529" s="5"/>
      <c r="N1529" s="5"/>
      <c r="O1529" s="5"/>
    </row>
    <row r="1530" spans="1:15">
      <c r="A1530" t="str">
        <f t="shared" si="23"/>
        <v/>
      </c>
      <c r="D1530" s="5"/>
      <c r="E1530" s="5"/>
      <c r="F1530" s="5"/>
      <c r="G1530" s="5"/>
      <c r="H1530" s="5"/>
      <c r="I1530" s="5"/>
      <c r="J1530" s="5"/>
      <c r="K1530" s="5"/>
      <c r="L1530" s="5"/>
      <c r="M1530" s="5"/>
      <c r="N1530" s="5"/>
      <c r="O1530" s="5"/>
    </row>
    <row r="1531" spans="1:15">
      <c r="A1531" t="str">
        <f t="shared" si="23"/>
        <v/>
      </c>
      <c r="D1531" s="5"/>
      <c r="E1531" s="5"/>
      <c r="F1531" s="5"/>
      <c r="G1531" s="5"/>
      <c r="H1531" s="5"/>
      <c r="I1531" s="5"/>
      <c r="J1531" s="5"/>
      <c r="K1531" s="5"/>
      <c r="L1531" s="5"/>
      <c r="M1531" s="5"/>
      <c r="N1531" s="5"/>
      <c r="O1531" s="5"/>
    </row>
    <row r="1532" spans="1:15">
      <c r="A1532" t="str">
        <f t="shared" si="23"/>
        <v/>
      </c>
      <c r="D1532" s="5"/>
      <c r="E1532" s="5"/>
      <c r="F1532" s="5"/>
      <c r="G1532" s="5"/>
      <c r="H1532" s="5"/>
      <c r="I1532" s="5"/>
      <c r="J1532" s="5"/>
      <c r="K1532" s="5"/>
      <c r="L1532" s="5"/>
      <c r="M1532" s="5"/>
      <c r="N1532" s="5"/>
      <c r="O1532" s="5"/>
    </row>
    <row r="1533" spans="1:15">
      <c r="A1533" t="str">
        <f t="shared" si="23"/>
        <v/>
      </c>
      <c r="D1533" s="5"/>
      <c r="E1533" s="5"/>
      <c r="F1533" s="5"/>
      <c r="G1533" s="5"/>
      <c r="H1533" s="5"/>
      <c r="I1533" s="5"/>
      <c r="J1533" s="5"/>
      <c r="K1533" s="5"/>
      <c r="L1533" s="5"/>
      <c r="M1533" s="5"/>
      <c r="N1533" s="5"/>
      <c r="O1533" s="5"/>
    </row>
    <row r="1534" spans="1:15">
      <c r="A1534" t="str">
        <f t="shared" si="23"/>
        <v/>
      </c>
      <c r="D1534" s="5"/>
      <c r="E1534" s="5"/>
      <c r="F1534" s="5"/>
      <c r="G1534" s="5"/>
      <c r="H1534" s="5"/>
      <c r="I1534" s="5"/>
      <c r="J1534" s="5"/>
      <c r="K1534" s="5"/>
      <c r="L1534" s="5"/>
      <c r="M1534" s="5"/>
      <c r="N1534" s="5"/>
      <c r="O1534" s="5"/>
    </row>
    <row r="1535" spans="1:15">
      <c r="A1535" t="str">
        <f t="shared" si="23"/>
        <v/>
      </c>
      <c r="D1535" s="5"/>
      <c r="E1535" s="5"/>
      <c r="F1535" s="5"/>
      <c r="G1535" s="5"/>
      <c r="H1535" s="5"/>
      <c r="I1535" s="5"/>
      <c r="J1535" s="5"/>
      <c r="K1535" s="5"/>
      <c r="L1535" s="5"/>
      <c r="M1535" s="5"/>
      <c r="N1535" s="5"/>
      <c r="O1535" s="5"/>
    </row>
    <row r="1536" spans="1:15">
      <c r="A1536" t="str">
        <f t="shared" si="23"/>
        <v/>
      </c>
    </row>
    <row r="1537" spans="1:15">
      <c r="A1537" t="str">
        <f t="shared" si="23"/>
        <v/>
      </c>
    </row>
    <row r="1538" spans="1:15">
      <c r="A1538" t="str">
        <f t="shared" si="23"/>
        <v/>
      </c>
    </row>
    <row r="1539" spans="1:15">
      <c r="A1539" t="str">
        <f t="shared" si="23"/>
        <v/>
      </c>
    </row>
    <row r="1540" spans="1:15">
      <c r="A1540" t="str">
        <f t="shared" si="23"/>
        <v/>
      </c>
    </row>
    <row r="1541" spans="1:15">
      <c r="A1541" t="str">
        <f t="shared" si="23"/>
        <v/>
      </c>
    </row>
    <row r="1542" spans="1:15">
      <c r="A1542" t="str">
        <f t="shared" si="23"/>
        <v/>
      </c>
    </row>
    <row r="1543" spans="1:15">
      <c r="A1543" t="str">
        <f t="shared" si="23"/>
        <v/>
      </c>
    </row>
    <row r="1544" spans="1:15">
      <c r="A1544" t="str">
        <f t="shared" si="23"/>
        <v/>
      </c>
      <c r="D1544" s="4"/>
      <c r="E1544" s="4"/>
      <c r="F1544" s="4"/>
      <c r="G1544" s="4"/>
      <c r="H1544" s="4"/>
      <c r="I1544" s="4"/>
      <c r="J1544" s="4"/>
      <c r="K1544" s="4"/>
      <c r="L1544" s="4"/>
      <c r="M1544" s="4"/>
      <c r="N1544" s="4"/>
      <c r="O1544" s="4"/>
    </row>
    <row r="1545" spans="1:15">
      <c r="A1545" t="str">
        <f t="shared" si="23"/>
        <v/>
      </c>
    </row>
    <row r="1546" spans="1:15">
      <c r="A1546" t="str">
        <f t="shared" si="23"/>
        <v/>
      </c>
    </row>
    <row r="1547" spans="1:15">
      <c r="A1547" t="str">
        <f t="shared" si="23"/>
        <v/>
      </c>
    </row>
    <row r="1548" spans="1:15">
      <c r="A1548" t="str">
        <f t="shared" si="23"/>
        <v/>
      </c>
    </row>
    <row r="1549" spans="1:15">
      <c r="A1549" t="str">
        <f t="shared" si="23"/>
        <v/>
      </c>
    </row>
    <row r="1550" spans="1:15">
      <c r="A1550" t="str">
        <f t="shared" si="23"/>
        <v/>
      </c>
    </row>
    <row r="1551" spans="1:15">
      <c r="A1551" t="str">
        <f t="shared" si="23"/>
        <v/>
      </c>
    </row>
    <row r="1552" spans="1:15">
      <c r="A1552" t="str">
        <f t="shared" si="23"/>
        <v/>
      </c>
    </row>
    <row r="1553" spans="1:15">
      <c r="A1553" t="str">
        <f t="shared" si="23"/>
        <v/>
      </c>
      <c r="D1553" s="5"/>
      <c r="E1553" s="5"/>
      <c r="F1553" s="5"/>
      <c r="G1553" s="5"/>
      <c r="H1553" s="5"/>
      <c r="I1553" s="5"/>
      <c r="J1553" s="5"/>
      <c r="K1553" s="5"/>
      <c r="L1553" s="5"/>
      <c r="M1553" s="5"/>
      <c r="N1553" s="5"/>
      <c r="O1553" s="5"/>
    </row>
    <row r="1554" spans="1:15">
      <c r="A1554" t="str">
        <f t="shared" si="23"/>
        <v/>
      </c>
      <c r="D1554" s="5"/>
      <c r="E1554" s="5"/>
      <c r="F1554" s="5"/>
      <c r="G1554" s="5"/>
      <c r="H1554" s="5"/>
      <c r="I1554" s="5"/>
      <c r="J1554" s="5"/>
      <c r="K1554" s="5"/>
      <c r="L1554" s="5"/>
      <c r="M1554" s="5"/>
      <c r="N1554" s="5"/>
      <c r="O1554" s="5"/>
    </row>
    <row r="1555" spans="1:15">
      <c r="A1555" t="str">
        <f t="shared" si="23"/>
        <v/>
      </c>
    </row>
    <row r="1556" spans="1:15">
      <c r="A1556" t="str">
        <f t="shared" si="23"/>
        <v/>
      </c>
    </row>
    <row r="1557" spans="1:15">
      <c r="A1557" t="str">
        <f t="shared" si="23"/>
        <v/>
      </c>
    </row>
    <row r="1558" spans="1:15">
      <c r="A1558" t="str">
        <f t="shared" si="23"/>
        <v/>
      </c>
    </row>
    <row r="1559" spans="1:15">
      <c r="A1559" t="str">
        <f t="shared" si="23"/>
        <v/>
      </c>
    </row>
    <row r="1560" spans="1:15">
      <c r="A1560" t="str">
        <f t="shared" si="23"/>
        <v/>
      </c>
    </row>
    <row r="1561" spans="1:15">
      <c r="A1561" t="str">
        <f t="shared" si="23"/>
        <v/>
      </c>
    </row>
    <row r="1562" spans="1:15">
      <c r="A1562" t="str">
        <f t="shared" si="23"/>
        <v/>
      </c>
    </row>
    <row r="1563" spans="1:15">
      <c r="A1563" t="str">
        <f t="shared" si="23"/>
        <v/>
      </c>
    </row>
    <row r="1564" spans="1:15">
      <c r="A1564" t="str">
        <f t="shared" si="23"/>
        <v/>
      </c>
    </row>
    <row r="1565" spans="1:15">
      <c r="A1565" t="str">
        <f t="shared" si="23"/>
        <v/>
      </c>
      <c r="D1565" s="1"/>
      <c r="E1565" s="1"/>
      <c r="F1565" s="1"/>
      <c r="G1565" s="1"/>
      <c r="H1565" s="1"/>
      <c r="I1565" s="1"/>
      <c r="J1565" s="1"/>
      <c r="K1565" s="1"/>
      <c r="L1565" s="1"/>
      <c r="M1565" s="1"/>
      <c r="N1565" s="1"/>
      <c r="O1565" s="1"/>
    </row>
    <row r="1566" spans="1:15">
      <c r="A1566" t="str">
        <f t="shared" si="23"/>
        <v/>
      </c>
      <c r="D1566" s="5"/>
      <c r="E1566" s="5"/>
      <c r="F1566" s="5"/>
      <c r="G1566" s="5"/>
      <c r="H1566" s="5"/>
      <c r="I1566" s="5"/>
      <c r="J1566" s="5"/>
      <c r="K1566" s="5"/>
      <c r="L1566" s="5"/>
      <c r="M1566" s="5"/>
      <c r="N1566" s="5"/>
      <c r="O1566" s="5"/>
    </row>
    <row r="1567" spans="1:15">
      <c r="A1567" t="str">
        <f t="shared" si="23"/>
        <v/>
      </c>
      <c r="D1567" s="5"/>
      <c r="E1567" s="5"/>
      <c r="F1567" s="5"/>
      <c r="G1567" s="5"/>
      <c r="H1567" s="5"/>
      <c r="I1567" s="5"/>
      <c r="J1567" s="5"/>
      <c r="K1567" s="5"/>
      <c r="L1567" s="5"/>
      <c r="M1567" s="5"/>
      <c r="N1567" s="5"/>
      <c r="O1567" s="5"/>
    </row>
    <row r="1568" spans="1:15">
      <c r="A1568" t="str">
        <f t="shared" si="23"/>
        <v/>
      </c>
      <c r="D1568" s="5"/>
      <c r="E1568" s="5"/>
      <c r="F1568" s="5"/>
      <c r="G1568" s="5"/>
      <c r="H1568" s="5"/>
      <c r="I1568" s="5"/>
      <c r="J1568" s="5"/>
      <c r="K1568" s="5"/>
      <c r="L1568" s="5"/>
      <c r="M1568" s="5"/>
      <c r="N1568" s="5"/>
      <c r="O1568" s="5"/>
    </row>
    <row r="1569" spans="1:15">
      <c r="A1569" t="str">
        <f t="shared" si="23"/>
        <v/>
      </c>
      <c r="D1569" s="5"/>
      <c r="E1569" s="5"/>
      <c r="F1569" s="5"/>
      <c r="G1569" s="5"/>
      <c r="H1569" s="5"/>
      <c r="I1569" s="5"/>
      <c r="J1569" s="5"/>
      <c r="K1569" s="5"/>
      <c r="L1569" s="5"/>
      <c r="M1569" s="5"/>
      <c r="N1569" s="5"/>
      <c r="O1569" s="5"/>
    </row>
    <row r="1570" spans="1:15">
      <c r="A1570" t="str">
        <f t="shared" si="23"/>
        <v/>
      </c>
      <c r="D1570" s="5"/>
      <c r="E1570" s="5"/>
      <c r="F1570" s="5"/>
      <c r="G1570" s="5"/>
      <c r="H1570" s="5"/>
      <c r="I1570" s="5"/>
      <c r="J1570" s="5"/>
      <c r="K1570" s="5"/>
      <c r="L1570" s="5"/>
      <c r="M1570" s="5"/>
      <c r="N1570" s="5"/>
      <c r="O1570" s="5"/>
    </row>
    <row r="1571" spans="1:15">
      <c r="A1571" t="str">
        <f t="shared" si="23"/>
        <v/>
      </c>
      <c r="D1571" s="5"/>
      <c r="E1571" s="5"/>
      <c r="F1571" s="5"/>
      <c r="G1571" s="5"/>
      <c r="H1571" s="5"/>
      <c r="I1571" s="5"/>
      <c r="J1571" s="5"/>
      <c r="K1571" s="5"/>
      <c r="L1571" s="5"/>
      <c r="M1571" s="5"/>
      <c r="N1571" s="5"/>
      <c r="O1571" s="5"/>
    </row>
    <row r="1572" spans="1:15">
      <c r="A1572" t="str">
        <f t="shared" si="23"/>
        <v/>
      </c>
      <c r="D1572" s="5"/>
      <c r="E1572" s="5"/>
      <c r="F1572" s="5"/>
      <c r="G1572" s="5"/>
      <c r="H1572" s="5"/>
      <c r="I1572" s="5"/>
      <c r="J1572" s="5"/>
      <c r="K1572" s="5"/>
      <c r="L1572" s="5"/>
      <c r="M1572" s="5"/>
      <c r="N1572" s="5"/>
      <c r="O1572" s="5"/>
    </row>
    <row r="1573" spans="1:15">
      <c r="A1573" t="str">
        <f t="shared" si="23"/>
        <v/>
      </c>
      <c r="D1573" s="5"/>
      <c r="E1573" s="5"/>
      <c r="F1573" s="5"/>
      <c r="G1573" s="5"/>
      <c r="H1573" s="5"/>
      <c r="I1573" s="5"/>
      <c r="J1573" s="5"/>
      <c r="K1573" s="5"/>
      <c r="L1573" s="5"/>
      <c r="M1573" s="5"/>
      <c r="N1573" s="5"/>
      <c r="O1573" s="5"/>
    </row>
    <row r="1574" spans="1:15">
      <c r="A1574" t="str">
        <f t="shared" si="23"/>
        <v/>
      </c>
      <c r="D1574" s="5"/>
      <c r="E1574" s="5"/>
      <c r="F1574" s="5"/>
      <c r="G1574" s="5"/>
      <c r="H1574" s="5"/>
      <c r="I1574" s="5"/>
      <c r="J1574" s="5"/>
      <c r="K1574" s="5"/>
      <c r="L1574" s="5"/>
      <c r="M1574" s="5"/>
      <c r="N1574" s="5"/>
      <c r="O1574" s="5"/>
    </row>
    <row r="1575" spans="1:15">
      <c r="A1575" t="str">
        <f t="shared" si="23"/>
        <v/>
      </c>
    </row>
    <row r="1576" spans="1:15">
      <c r="A1576" t="str">
        <f t="shared" si="23"/>
        <v/>
      </c>
      <c r="D1576" s="5"/>
      <c r="E1576" s="5"/>
      <c r="F1576" s="5"/>
      <c r="G1576" s="5"/>
      <c r="H1576" s="5"/>
      <c r="I1576" s="5"/>
      <c r="J1576" s="5"/>
      <c r="K1576" s="5"/>
      <c r="L1576" s="5"/>
      <c r="M1576" s="5"/>
      <c r="N1576" s="5"/>
      <c r="O1576" s="5"/>
    </row>
    <row r="1577" spans="1:15">
      <c r="A1577" t="str">
        <f t="shared" si="23"/>
        <v/>
      </c>
      <c r="D1577" s="5"/>
      <c r="E1577" s="5"/>
      <c r="F1577" s="5"/>
      <c r="G1577" s="5"/>
      <c r="H1577" s="5"/>
      <c r="I1577" s="5"/>
      <c r="J1577" s="5"/>
      <c r="K1577" s="5"/>
      <c r="L1577" s="5"/>
      <c r="M1577" s="5"/>
      <c r="N1577" s="5"/>
      <c r="O1577" s="5"/>
    </row>
    <row r="1578" spans="1:15">
      <c r="A1578" t="str">
        <f t="shared" si="23"/>
        <v/>
      </c>
      <c r="D1578" s="5"/>
      <c r="E1578" s="5"/>
      <c r="F1578" s="5"/>
      <c r="G1578" s="5"/>
      <c r="H1578" s="5"/>
      <c r="I1578" s="5"/>
      <c r="J1578" s="5"/>
      <c r="K1578" s="5"/>
      <c r="L1578" s="5"/>
      <c r="M1578" s="5"/>
      <c r="N1578" s="5"/>
      <c r="O1578" s="5"/>
    </row>
    <row r="1579" spans="1:15">
      <c r="A1579" t="str">
        <f t="shared" si="23"/>
        <v/>
      </c>
      <c r="D1579" s="5"/>
      <c r="E1579" s="5"/>
      <c r="F1579" s="5"/>
      <c r="G1579" s="5"/>
      <c r="H1579" s="5"/>
      <c r="I1579" s="5"/>
      <c r="J1579" s="5"/>
      <c r="K1579" s="5"/>
      <c r="L1579" s="5"/>
      <c r="M1579" s="5"/>
      <c r="N1579" s="5"/>
      <c r="O1579" s="5"/>
    </row>
    <row r="1580" spans="1:15">
      <c r="A1580" t="str">
        <f t="shared" si="23"/>
        <v/>
      </c>
      <c r="D1580" s="5"/>
      <c r="E1580" s="5"/>
      <c r="F1580" s="5"/>
      <c r="G1580" s="5"/>
      <c r="H1580" s="5"/>
      <c r="I1580" s="5"/>
      <c r="J1580" s="5"/>
      <c r="K1580" s="5"/>
      <c r="L1580" s="5"/>
      <c r="M1580" s="5"/>
      <c r="N1580" s="5"/>
      <c r="O1580" s="5"/>
    </row>
    <row r="1581" spans="1:15">
      <c r="A1581" t="str">
        <f t="shared" si="23"/>
        <v/>
      </c>
      <c r="D1581" s="5"/>
      <c r="E1581" s="5"/>
      <c r="F1581" s="5"/>
      <c r="G1581" s="5"/>
      <c r="H1581" s="5"/>
      <c r="I1581" s="5"/>
      <c r="J1581" s="5"/>
      <c r="K1581" s="5"/>
      <c r="L1581" s="5"/>
      <c r="M1581" s="5"/>
      <c r="N1581" s="5"/>
      <c r="O1581" s="5"/>
    </row>
    <row r="1582" spans="1:15">
      <c r="A1582" t="str">
        <f t="shared" si="23"/>
        <v/>
      </c>
      <c r="D1582" s="5"/>
      <c r="E1582" s="5"/>
      <c r="F1582" s="5"/>
      <c r="G1582" s="5"/>
      <c r="H1582" s="5"/>
      <c r="I1582" s="5"/>
      <c r="J1582" s="5"/>
      <c r="K1582" s="5"/>
      <c r="L1582" s="5"/>
      <c r="M1582" s="5"/>
      <c r="N1582" s="5"/>
      <c r="O1582" s="5"/>
    </row>
    <row r="1583" spans="1:15">
      <c r="A1583" t="str">
        <f t="shared" si="23"/>
        <v/>
      </c>
    </row>
    <row r="1584" spans="1:15">
      <c r="A1584" t="str">
        <f t="shared" si="23"/>
        <v/>
      </c>
    </row>
    <row r="1585" spans="1:15">
      <c r="A1585" t="str">
        <f t="shared" si="23"/>
        <v/>
      </c>
    </row>
    <row r="1586" spans="1:15">
      <c r="A1586" t="str">
        <f t="shared" si="23"/>
        <v/>
      </c>
    </row>
    <row r="1587" spans="1:15">
      <c r="A1587" t="str">
        <f t="shared" si="23"/>
        <v/>
      </c>
    </row>
    <row r="1588" spans="1:15">
      <c r="A1588" t="str">
        <f t="shared" si="23"/>
        <v/>
      </c>
    </row>
    <row r="1589" spans="1:15">
      <c r="A1589" t="str">
        <f t="shared" ref="A1589:A1652" si="24">B1589&amp;C1589</f>
        <v/>
      </c>
      <c r="B1589" s="3"/>
    </row>
    <row r="1590" spans="1:15">
      <c r="A1590" t="str">
        <f t="shared" si="24"/>
        <v/>
      </c>
    </row>
    <row r="1591" spans="1:15">
      <c r="A1591" t="str">
        <f t="shared" si="24"/>
        <v/>
      </c>
      <c r="D1591" s="4"/>
      <c r="E1591" s="4"/>
      <c r="F1591" s="4"/>
      <c r="G1591" s="4"/>
      <c r="H1591" s="4"/>
      <c r="I1591" s="4"/>
      <c r="J1591" s="4"/>
      <c r="K1591" s="4"/>
      <c r="L1591" s="4"/>
      <c r="M1591" s="4"/>
      <c r="N1591" s="4"/>
      <c r="O1591" s="4"/>
    </row>
    <row r="1592" spans="1:15">
      <c r="A1592" t="str">
        <f t="shared" si="24"/>
        <v/>
      </c>
    </row>
    <row r="1593" spans="1:15">
      <c r="A1593" t="str">
        <f t="shared" si="24"/>
        <v/>
      </c>
    </row>
    <row r="1594" spans="1:15">
      <c r="A1594" t="str">
        <f t="shared" si="24"/>
        <v/>
      </c>
    </row>
    <row r="1595" spans="1:15">
      <c r="A1595" t="str">
        <f t="shared" si="24"/>
        <v/>
      </c>
    </row>
    <row r="1596" spans="1:15">
      <c r="A1596" t="str">
        <f t="shared" si="24"/>
        <v/>
      </c>
    </row>
    <row r="1597" spans="1:15">
      <c r="A1597" t="str">
        <f t="shared" si="24"/>
        <v/>
      </c>
    </row>
    <row r="1598" spans="1:15">
      <c r="A1598" t="str">
        <f t="shared" si="24"/>
        <v/>
      </c>
    </row>
    <row r="1599" spans="1:15">
      <c r="A1599" t="str">
        <f t="shared" si="24"/>
        <v/>
      </c>
    </row>
    <row r="1600" spans="1:15">
      <c r="A1600" t="str">
        <f t="shared" si="24"/>
        <v/>
      </c>
      <c r="D1600" s="5"/>
      <c r="E1600" s="5"/>
      <c r="F1600" s="5"/>
      <c r="G1600" s="5"/>
      <c r="H1600" s="5"/>
      <c r="I1600" s="6"/>
      <c r="J1600" s="5"/>
      <c r="K1600" s="5"/>
      <c r="L1600" s="6"/>
      <c r="M1600" s="5"/>
      <c r="N1600" s="5"/>
      <c r="O1600" s="5"/>
    </row>
    <row r="1601" spans="1:15">
      <c r="A1601" t="str">
        <f t="shared" si="24"/>
        <v/>
      </c>
      <c r="D1601" s="5"/>
      <c r="E1601" s="5"/>
      <c r="F1601" s="5"/>
      <c r="G1601" s="5"/>
      <c r="H1601" s="5"/>
      <c r="I1601" s="6"/>
      <c r="J1601" s="5"/>
      <c r="K1601" s="5"/>
      <c r="L1601" s="6"/>
      <c r="M1601" s="5"/>
      <c r="N1601" s="5"/>
      <c r="O1601" s="5"/>
    </row>
    <row r="1602" spans="1:15">
      <c r="A1602" t="str">
        <f t="shared" si="24"/>
        <v/>
      </c>
    </row>
    <row r="1603" spans="1:15">
      <c r="A1603" t="str">
        <f t="shared" si="24"/>
        <v/>
      </c>
    </row>
    <row r="1604" spans="1:15">
      <c r="A1604" t="str">
        <f t="shared" si="24"/>
        <v/>
      </c>
    </row>
    <row r="1605" spans="1:15">
      <c r="A1605" t="str">
        <f t="shared" si="24"/>
        <v/>
      </c>
    </row>
    <row r="1606" spans="1:15">
      <c r="A1606" t="str">
        <f t="shared" si="24"/>
        <v/>
      </c>
    </row>
    <row r="1607" spans="1:15">
      <c r="A1607" t="str">
        <f t="shared" si="24"/>
        <v/>
      </c>
    </row>
    <row r="1608" spans="1:15">
      <c r="A1608" t="str">
        <f t="shared" si="24"/>
        <v/>
      </c>
    </row>
    <row r="1609" spans="1:15">
      <c r="A1609" t="str">
        <f t="shared" si="24"/>
        <v/>
      </c>
    </row>
    <row r="1610" spans="1:15">
      <c r="A1610" t="str">
        <f t="shared" si="24"/>
        <v/>
      </c>
    </row>
    <row r="1611" spans="1:15">
      <c r="A1611" t="str">
        <f t="shared" si="24"/>
        <v/>
      </c>
    </row>
    <row r="1612" spans="1:15">
      <c r="A1612" t="str">
        <f t="shared" si="24"/>
        <v/>
      </c>
      <c r="D1612" s="1"/>
      <c r="E1612" s="1"/>
      <c r="F1612" s="1"/>
      <c r="G1612" s="1"/>
      <c r="H1612" s="1"/>
      <c r="I1612" s="1"/>
      <c r="J1612" s="1"/>
      <c r="K1612" s="1"/>
      <c r="L1612" s="1"/>
      <c r="M1612" s="1"/>
      <c r="N1612" s="1"/>
      <c r="O1612" s="1"/>
    </row>
    <row r="1613" spans="1:15">
      <c r="A1613" t="str">
        <f t="shared" si="24"/>
        <v/>
      </c>
      <c r="D1613" s="5"/>
      <c r="E1613" s="5"/>
      <c r="F1613" s="5"/>
      <c r="G1613" s="5"/>
      <c r="H1613" s="5"/>
      <c r="I1613" s="5"/>
      <c r="J1613" s="5"/>
      <c r="K1613" s="5"/>
      <c r="L1613" s="5"/>
      <c r="M1613" s="5"/>
      <c r="N1613" s="5"/>
      <c r="O1613" s="5"/>
    </row>
    <row r="1614" spans="1:15">
      <c r="A1614" t="str">
        <f t="shared" si="24"/>
        <v/>
      </c>
      <c r="D1614" s="5"/>
      <c r="E1614" s="5"/>
      <c r="F1614" s="5"/>
      <c r="G1614" s="5"/>
      <c r="H1614" s="5"/>
      <c r="I1614" s="5"/>
      <c r="J1614" s="5"/>
      <c r="K1614" s="5"/>
      <c r="L1614" s="5"/>
      <c r="M1614" s="5"/>
      <c r="N1614" s="5"/>
      <c r="O1614" s="5"/>
    </row>
    <row r="1615" spans="1:15">
      <c r="A1615" t="str">
        <f t="shared" si="24"/>
        <v/>
      </c>
      <c r="D1615" s="5"/>
      <c r="E1615" s="5"/>
      <c r="F1615" s="5"/>
      <c r="G1615" s="5"/>
      <c r="H1615" s="5"/>
      <c r="I1615" s="5"/>
      <c r="J1615" s="5"/>
      <c r="K1615" s="5"/>
      <c r="L1615" s="5"/>
      <c r="M1615" s="5"/>
      <c r="N1615" s="5"/>
      <c r="O1615" s="5"/>
    </row>
    <row r="1616" spans="1:15">
      <c r="A1616" t="str">
        <f t="shared" si="24"/>
        <v/>
      </c>
      <c r="D1616" s="5"/>
      <c r="E1616" s="5"/>
      <c r="F1616" s="5"/>
      <c r="G1616" s="5"/>
      <c r="H1616" s="5"/>
      <c r="I1616" s="5"/>
      <c r="J1616" s="5"/>
      <c r="K1616" s="5"/>
      <c r="L1616" s="5"/>
      <c r="M1616" s="5"/>
      <c r="N1616" s="5"/>
      <c r="O1616" s="5"/>
    </row>
    <row r="1617" spans="1:15">
      <c r="A1617" t="str">
        <f t="shared" si="24"/>
        <v/>
      </c>
      <c r="D1617" s="5"/>
      <c r="E1617" s="5"/>
      <c r="F1617" s="5"/>
      <c r="G1617" s="5"/>
      <c r="H1617" s="5"/>
      <c r="I1617" s="5"/>
      <c r="J1617" s="5"/>
      <c r="K1617" s="5"/>
      <c r="L1617" s="5"/>
      <c r="M1617" s="5"/>
      <c r="N1617" s="5"/>
      <c r="O1617" s="5"/>
    </row>
    <row r="1618" spans="1:15">
      <c r="A1618" t="str">
        <f t="shared" si="24"/>
        <v/>
      </c>
      <c r="D1618" s="5"/>
      <c r="E1618" s="5"/>
      <c r="F1618" s="5"/>
      <c r="G1618" s="5"/>
      <c r="H1618" s="5"/>
      <c r="I1618" s="5"/>
      <c r="J1618" s="5"/>
      <c r="K1618" s="5"/>
      <c r="L1618" s="5"/>
      <c r="M1618" s="5"/>
      <c r="N1618" s="5"/>
      <c r="O1618" s="5"/>
    </row>
    <row r="1619" spans="1:15">
      <c r="A1619" t="str">
        <f t="shared" si="24"/>
        <v/>
      </c>
      <c r="D1619" s="5"/>
      <c r="E1619" s="5"/>
      <c r="F1619" s="5"/>
      <c r="G1619" s="5"/>
      <c r="H1619" s="5"/>
      <c r="I1619" s="5"/>
      <c r="J1619" s="5"/>
      <c r="K1619" s="5"/>
      <c r="L1619" s="5"/>
      <c r="M1619" s="5"/>
      <c r="N1619" s="5"/>
      <c r="O1619" s="5"/>
    </row>
    <row r="1620" spans="1:15">
      <c r="A1620" t="str">
        <f t="shared" si="24"/>
        <v/>
      </c>
      <c r="D1620" s="5"/>
      <c r="E1620" s="5"/>
      <c r="F1620" s="5"/>
      <c r="G1620" s="5"/>
      <c r="H1620" s="5"/>
      <c r="I1620" s="5"/>
      <c r="J1620" s="5"/>
      <c r="K1620" s="5"/>
      <c r="L1620" s="5"/>
      <c r="M1620" s="5"/>
      <c r="N1620" s="5"/>
      <c r="O1620" s="5"/>
    </row>
    <row r="1621" spans="1:15">
      <c r="A1621" t="str">
        <f t="shared" si="24"/>
        <v/>
      </c>
      <c r="D1621" s="5"/>
      <c r="E1621" s="5"/>
      <c r="F1621" s="5"/>
      <c r="G1621" s="5"/>
      <c r="H1621" s="5"/>
      <c r="I1621" s="5"/>
      <c r="J1621" s="5"/>
      <c r="K1621" s="5"/>
      <c r="L1621" s="5"/>
      <c r="M1621" s="5"/>
      <c r="N1621" s="5"/>
      <c r="O1621" s="5"/>
    </row>
    <row r="1622" spans="1:15">
      <c r="A1622" t="str">
        <f t="shared" si="24"/>
        <v/>
      </c>
    </row>
    <row r="1623" spans="1:15">
      <c r="A1623" t="str">
        <f t="shared" si="24"/>
        <v/>
      </c>
      <c r="D1623" s="5"/>
      <c r="E1623" s="5"/>
      <c r="F1623" s="5"/>
      <c r="G1623" s="5"/>
      <c r="H1623" s="5"/>
      <c r="I1623" s="5"/>
      <c r="J1623" s="5"/>
      <c r="K1623" s="5"/>
      <c r="L1623" s="5"/>
      <c r="M1623" s="5"/>
      <c r="N1623" s="5"/>
      <c r="O1623" s="5"/>
    </row>
    <row r="1624" spans="1:15">
      <c r="A1624" t="str">
        <f t="shared" si="24"/>
        <v/>
      </c>
      <c r="D1624" s="5"/>
      <c r="E1624" s="5"/>
      <c r="F1624" s="5"/>
      <c r="G1624" s="5"/>
      <c r="H1624" s="5"/>
      <c r="I1624" s="5"/>
      <c r="J1624" s="5"/>
      <c r="K1624" s="5"/>
      <c r="L1624" s="5"/>
      <c r="M1624" s="5"/>
      <c r="N1624" s="5"/>
      <c r="O1624" s="5"/>
    </row>
    <row r="1625" spans="1:15">
      <c r="A1625" t="str">
        <f t="shared" si="24"/>
        <v/>
      </c>
      <c r="D1625" s="5"/>
      <c r="E1625" s="5"/>
      <c r="F1625" s="5"/>
      <c r="G1625" s="5"/>
      <c r="H1625" s="5"/>
      <c r="I1625" s="5"/>
      <c r="J1625" s="5"/>
      <c r="K1625" s="5"/>
      <c r="L1625" s="5"/>
      <c r="M1625" s="5"/>
      <c r="N1625" s="5"/>
      <c r="O1625" s="5"/>
    </row>
    <row r="1626" spans="1:15">
      <c r="A1626" t="str">
        <f t="shared" si="24"/>
        <v/>
      </c>
      <c r="D1626" s="5"/>
      <c r="E1626" s="5"/>
      <c r="F1626" s="5"/>
      <c r="G1626" s="5"/>
      <c r="H1626" s="5"/>
      <c r="I1626" s="5"/>
      <c r="J1626" s="5"/>
      <c r="K1626" s="5"/>
      <c r="L1626" s="5"/>
      <c r="M1626" s="5"/>
      <c r="N1626" s="5"/>
      <c r="O1626" s="5"/>
    </row>
    <row r="1627" spans="1:15">
      <c r="A1627" t="str">
        <f t="shared" si="24"/>
        <v/>
      </c>
      <c r="D1627" s="5"/>
      <c r="E1627" s="5"/>
      <c r="F1627" s="5"/>
      <c r="G1627" s="5"/>
      <c r="H1627" s="5"/>
      <c r="I1627" s="5"/>
      <c r="J1627" s="5"/>
      <c r="K1627" s="5"/>
      <c r="L1627" s="5"/>
      <c r="M1627" s="5"/>
      <c r="N1627" s="5"/>
      <c r="O1627" s="5"/>
    </row>
    <row r="1628" spans="1:15">
      <c r="A1628" t="str">
        <f t="shared" si="24"/>
        <v/>
      </c>
      <c r="D1628" s="5"/>
      <c r="E1628" s="5"/>
      <c r="F1628" s="5"/>
      <c r="G1628" s="5"/>
      <c r="H1628" s="5"/>
      <c r="I1628" s="5"/>
      <c r="J1628" s="5"/>
      <c r="K1628" s="5"/>
      <c r="L1628" s="5"/>
      <c r="M1628" s="5"/>
      <c r="N1628" s="5"/>
      <c r="O1628" s="5"/>
    </row>
    <row r="1629" spans="1:15">
      <c r="A1629" t="str">
        <f t="shared" si="24"/>
        <v/>
      </c>
      <c r="D1629" s="5"/>
      <c r="E1629" s="5"/>
      <c r="F1629" s="5"/>
      <c r="G1629" s="5"/>
      <c r="H1629" s="5"/>
      <c r="I1629" s="5"/>
      <c r="J1629" s="5"/>
      <c r="K1629" s="5"/>
      <c r="L1629" s="5"/>
      <c r="M1629" s="5"/>
      <c r="N1629" s="5"/>
      <c r="O1629" s="5"/>
    </row>
    <row r="1630" spans="1:15">
      <c r="A1630" t="str">
        <f t="shared" si="24"/>
        <v/>
      </c>
    </row>
    <row r="1631" spans="1:15">
      <c r="A1631" t="str">
        <f t="shared" si="24"/>
        <v/>
      </c>
    </row>
    <row r="1632" spans="1:15">
      <c r="A1632" t="str">
        <f t="shared" si="24"/>
        <v/>
      </c>
    </row>
    <row r="1633" spans="1:15">
      <c r="A1633" t="str">
        <f t="shared" si="24"/>
        <v/>
      </c>
    </row>
    <row r="1634" spans="1:15">
      <c r="A1634" t="str">
        <f t="shared" si="24"/>
        <v/>
      </c>
    </row>
    <row r="1635" spans="1:15">
      <c r="A1635" t="str">
        <f t="shared" si="24"/>
        <v/>
      </c>
    </row>
    <row r="1636" spans="1:15">
      <c r="A1636" t="str">
        <f t="shared" si="24"/>
        <v/>
      </c>
    </row>
    <row r="1637" spans="1:15">
      <c r="A1637" t="str">
        <f t="shared" si="24"/>
        <v/>
      </c>
    </row>
    <row r="1638" spans="1:15">
      <c r="A1638" t="str">
        <f t="shared" si="24"/>
        <v/>
      </c>
      <c r="D1638" s="4"/>
      <c r="E1638" s="4"/>
      <c r="F1638" s="4"/>
      <c r="G1638" s="4"/>
      <c r="H1638" s="4"/>
      <c r="I1638" s="4"/>
      <c r="J1638" s="4"/>
      <c r="K1638" s="4"/>
      <c r="L1638" s="4"/>
      <c r="M1638" s="4"/>
      <c r="N1638" s="4"/>
      <c r="O1638" s="4"/>
    </row>
    <row r="1639" spans="1:15">
      <c r="A1639" t="str">
        <f t="shared" si="24"/>
        <v/>
      </c>
    </row>
    <row r="1640" spans="1:15">
      <c r="A1640" t="str">
        <f t="shared" si="24"/>
        <v/>
      </c>
    </row>
    <row r="1641" spans="1:15">
      <c r="A1641" t="str">
        <f t="shared" si="24"/>
        <v/>
      </c>
    </row>
    <row r="1642" spans="1:15">
      <c r="A1642" t="str">
        <f t="shared" si="24"/>
        <v/>
      </c>
    </row>
    <row r="1643" spans="1:15">
      <c r="A1643" t="str">
        <f t="shared" si="24"/>
        <v/>
      </c>
    </row>
    <row r="1644" spans="1:15">
      <c r="A1644" t="str">
        <f t="shared" si="24"/>
        <v/>
      </c>
    </row>
    <row r="1645" spans="1:15">
      <c r="A1645" t="str">
        <f t="shared" si="24"/>
        <v/>
      </c>
    </row>
    <row r="1646" spans="1:15">
      <c r="A1646" t="str">
        <f t="shared" si="24"/>
        <v/>
      </c>
    </row>
    <row r="1647" spans="1:15">
      <c r="A1647" t="str">
        <f t="shared" si="24"/>
        <v/>
      </c>
      <c r="D1647" s="5"/>
      <c r="E1647" s="5"/>
      <c r="F1647" s="5"/>
      <c r="G1647" s="5"/>
      <c r="H1647" s="5"/>
      <c r="I1647" s="5"/>
      <c r="J1647" s="5"/>
      <c r="K1647" s="5"/>
      <c r="L1647" s="5"/>
      <c r="M1647" s="5"/>
      <c r="N1647" s="5"/>
      <c r="O1647" s="5"/>
    </row>
    <row r="1648" spans="1:15">
      <c r="A1648" t="str">
        <f t="shared" si="24"/>
        <v/>
      </c>
      <c r="D1648" s="5"/>
      <c r="E1648" s="5"/>
      <c r="F1648" s="5"/>
      <c r="G1648" s="5"/>
      <c r="H1648" s="5"/>
      <c r="I1648" s="5"/>
      <c r="J1648" s="5"/>
      <c r="K1648" s="5"/>
      <c r="L1648" s="5"/>
      <c r="M1648" s="5"/>
      <c r="N1648" s="5"/>
      <c r="O1648" s="5"/>
    </row>
    <row r="1649" spans="1:15">
      <c r="A1649" t="str">
        <f t="shared" si="24"/>
        <v/>
      </c>
    </row>
    <row r="1650" spans="1:15">
      <c r="A1650" t="str">
        <f t="shared" si="24"/>
        <v/>
      </c>
    </row>
    <row r="1651" spans="1:15">
      <c r="A1651" t="str">
        <f t="shared" si="24"/>
        <v/>
      </c>
    </row>
    <row r="1652" spans="1:15">
      <c r="A1652" t="str">
        <f t="shared" si="24"/>
        <v/>
      </c>
    </row>
    <row r="1653" spans="1:15">
      <c r="A1653" t="str">
        <f t="shared" ref="A1653:A1716" si="25">B1653&amp;C1653</f>
        <v/>
      </c>
    </row>
    <row r="1654" spans="1:15">
      <c r="A1654" t="str">
        <f t="shared" si="25"/>
        <v/>
      </c>
    </row>
    <row r="1655" spans="1:15">
      <c r="A1655" t="str">
        <f t="shared" si="25"/>
        <v/>
      </c>
    </row>
    <row r="1656" spans="1:15">
      <c r="A1656" t="str">
        <f t="shared" si="25"/>
        <v/>
      </c>
    </row>
    <row r="1657" spans="1:15">
      <c r="A1657" t="str">
        <f t="shared" si="25"/>
        <v/>
      </c>
    </row>
    <row r="1658" spans="1:15">
      <c r="A1658" t="str">
        <f t="shared" si="25"/>
        <v/>
      </c>
    </row>
    <row r="1659" spans="1:15">
      <c r="A1659" t="str">
        <f t="shared" si="25"/>
        <v/>
      </c>
      <c r="D1659" s="1"/>
      <c r="E1659" s="1"/>
      <c r="F1659" s="1"/>
      <c r="G1659" s="1"/>
      <c r="H1659" s="1"/>
      <c r="I1659" s="1"/>
      <c r="J1659" s="1"/>
      <c r="K1659" s="1"/>
      <c r="L1659" s="1"/>
      <c r="M1659" s="1"/>
      <c r="N1659" s="1"/>
      <c r="O1659" s="1"/>
    </row>
    <row r="1660" spans="1:15">
      <c r="A1660" t="str">
        <f t="shared" si="25"/>
        <v/>
      </c>
      <c r="D1660" s="5"/>
      <c r="E1660" s="5"/>
      <c r="F1660" s="5"/>
      <c r="G1660" s="5"/>
      <c r="H1660" s="5"/>
      <c r="I1660" s="5"/>
      <c r="J1660" s="5"/>
      <c r="K1660" s="5"/>
      <c r="L1660" s="5"/>
      <c r="M1660" s="5"/>
      <c r="N1660" s="5"/>
      <c r="O1660" s="5"/>
    </row>
    <row r="1661" spans="1:15">
      <c r="A1661" t="str">
        <f t="shared" si="25"/>
        <v/>
      </c>
      <c r="D1661" s="5"/>
      <c r="E1661" s="5"/>
      <c r="F1661" s="5"/>
      <c r="G1661" s="5"/>
      <c r="H1661" s="5"/>
      <c r="I1661" s="5"/>
      <c r="J1661" s="5"/>
      <c r="K1661" s="5"/>
      <c r="L1661" s="5"/>
      <c r="M1661" s="5"/>
      <c r="N1661" s="5"/>
      <c r="O1661" s="5"/>
    </row>
    <row r="1662" spans="1:15">
      <c r="A1662" t="str">
        <f t="shared" si="25"/>
        <v/>
      </c>
      <c r="D1662" s="5"/>
      <c r="E1662" s="5"/>
      <c r="F1662" s="5"/>
      <c r="G1662" s="5"/>
      <c r="H1662" s="5"/>
      <c r="I1662" s="5"/>
      <c r="J1662" s="5"/>
      <c r="K1662" s="5"/>
      <c r="L1662" s="5"/>
      <c r="M1662" s="5"/>
      <c r="N1662" s="5"/>
      <c r="O1662" s="5"/>
    </row>
    <row r="1663" spans="1:15">
      <c r="A1663" t="str">
        <f t="shared" si="25"/>
        <v/>
      </c>
      <c r="D1663" s="5"/>
      <c r="E1663" s="5"/>
      <c r="F1663" s="5"/>
      <c r="G1663" s="5"/>
      <c r="H1663" s="5"/>
      <c r="I1663" s="5"/>
      <c r="J1663" s="5"/>
      <c r="K1663" s="5"/>
      <c r="L1663" s="5"/>
      <c r="M1663" s="5"/>
      <c r="N1663" s="5"/>
      <c r="O1663" s="5"/>
    </row>
    <row r="1664" spans="1:15">
      <c r="A1664" t="str">
        <f t="shared" si="25"/>
        <v/>
      </c>
      <c r="D1664" s="5"/>
      <c r="E1664" s="5"/>
      <c r="F1664" s="5"/>
      <c r="G1664" s="5"/>
      <c r="H1664" s="5"/>
      <c r="I1664" s="5"/>
      <c r="J1664" s="5"/>
      <c r="K1664" s="5"/>
      <c r="L1664" s="5"/>
      <c r="M1664" s="5"/>
      <c r="N1664" s="5"/>
      <c r="O1664" s="5"/>
    </row>
    <row r="1665" spans="1:15">
      <c r="A1665" t="str">
        <f t="shared" si="25"/>
        <v/>
      </c>
      <c r="D1665" s="5"/>
      <c r="E1665" s="5"/>
      <c r="F1665" s="5"/>
      <c r="G1665" s="5"/>
      <c r="H1665" s="5"/>
      <c r="I1665" s="5"/>
      <c r="J1665" s="5"/>
      <c r="K1665" s="5"/>
      <c r="L1665" s="5"/>
      <c r="M1665" s="5"/>
      <c r="N1665" s="5"/>
      <c r="O1665" s="5"/>
    </row>
    <row r="1666" spans="1:15">
      <c r="A1666" t="str">
        <f t="shared" si="25"/>
        <v/>
      </c>
      <c r="D1666" s="5"/>
      <c r="E1666" s="5"/>
      <c r="F1666" s="5"/>
      <c r="G1666" s="5"/>
      <c r="H1666" s="5"/>
      <c r="I1666" s="5"/>
      <c r="J1666" s="5"/>
      <c r="K1666" s="5"/>
      <c r="L1666" s="5"/>
      <c r="M1666" s="5"/>
      <c r="N1666" s="5"/>
      <c r="O1666" s="5"/>
    </row>
    <row r="1667" spans="1:15">
      <c r="A1667" t="str">
        <f t="shared" si="25"/>
        <v/>
      </c>
      <c r="D1667" s="5"/>
      <c r="E1667" s="5"/>
      <c r="F1667" s="5"/>
      <c r="G1667" s="5"/>
      <c r="H1667" s="5"/>
      <c r="I1667" s="5"/>
      <c r="J1667" s="5"/>
      <c r="K1667" s="5"/>
      <c r="L1667" s="5"/>
      <c r="M1667" s="5"/>
      <c r="N1667" s="5"/>
      <c r="O1667" s="5"/>
    </row>
    <row r="1668" spans="1:15">
      <c r="A1668" t="str">
        <f t="shared" si="25"/>
        <v/>
      </c>
      <c r="D1668" s="5"/>
      <c r="E1668" s="5"/>
      <c r="F1668" s="5"/>
      <c r="G1668" s="5"/>
      <c r="H1668" s="5"/>
      <c r="I1668" s="5"/>
      <c r="J1668" s="5"/>
      <c r="K1668" s="5"/>
      <c r="L1668" s="5"/>
      <c r="M1668" s="5"/>
      <c r="N1668" s="5"/>
      <c r="O1668" s="5"/>
    </row>
    <row r="1669" spans="1:15">
      <c r="A1669" t="str">
        <f t="shared" si="25"/>
        <v/>
      </c>
    </row>
    <row r="1670" spans="1:15">
      <c r="A1670" t="str">
        <f t="shared" si="25"/>
        <v/>
      </c>
      <c r="D1670" s="5"/>
      <c r="E1670" s="5"/>
      <c r="F1670" s="5"/>
      <c r="G1670" s="5"/>
      <c r="H1670" s="5"/>
      <c r="I1670" s="5"/>
      <c r="J1670" s="5"/>
      <c r="K1670" s="5"/>
      <c r="L1670" s="5"/>
      <c r="M1670" s="5"/>
      <c r="N1670" s="5"/>
      <c r="O1670" s="5"/>
    </row>
    <row r="1671" spans="1:15">
      <c r="A1671" t="str">
        <f t="shared" si="25"/>
        <v/>
      </c>
      <c r="D1671" s="5"/>
      <c r="E1671" s="5"/>
      <c r="F1671" s="5"/>
      <c r="G1671" s="5"/>
      <c r="H1671" s="5"/>
      <c r="I1671" s="5"/>
      <c r="J1671" s="5"/>
      <c r="K1671" s="5"/>
      <c r="L1671" s="5"/>
      <c r="M1671" s="5"/>
      <c r="N1671" s="5"/>
      <c r="O1671" s="5"/>
    </row>
    <row r="1672" spans="1:15">
      <c r="A1672" t="str">
        <f t="shared" si="25"/>
        <v/>
      </c>
      <c r="D1672" s="5"/>
      <c r="E1672" s="5"/>
      <c r="F1672" s="5"/>
      <c r="G1672" s="5"/>
      <c r="H1672" s="5"/>
      <c r="I1672" s="5"/>
      <c r="J1672" s="5"/>
      <c r="K1672" s="5"/>
      <c r="L1672" s="5"/>
      <c r="M1672" s="5"/>
      <c r="N1672" s="5"/>
      <c r="O1672" s="5"/>
    </row>
    <row r="1673" spans="1:15">
      <c r="A1673" t="str">
        <f t="shared" si="25"/>
        <v/>
      </c>
      <c r="D1673" s="5"/>
      <c r="E1673" s="5"/>
      <c r="F1673" s="5"/>
      <c r="G1673" s="5"/>
      <c r="H1673" s="5"/>
      <c r="I1673" s="5"/>
      <c r="J1673" s="5"/>
      <c r="K1673" s="5"/>
      <c r="L1673" s="5"/>
      <c r="M1673" s="5"/>
      <c r="N1673" s="5"/>
      <c r="O1673" s="5"/>
    </row>
    <row r="1674" spans="1:15">
      <c r="A1674" t="str">
        <f t="shared" si="25"/>
        <v/>
      </c>
      <c r="D1674" s="5"/>
      <c r="E1674" s="5"/>
      <c r="F1674" s="5"/>
      <c r="G1674" s="5"/>
      <c r="H1674" s="5"/>
      <c r="I1674" s="5"/>
      <c r="J1674" s="5"/>
      <c r="K1674" s="5"/>
      <c r="L1674" s="5"/>
      <c r="M1674" s="5"/>
      <c r="N1674" s="5"/>
      <c r="O1674" s="5"/>
    </row>
    <row r="1675" spans="1:15">
      <c r="A1675" t="str">
        <f t="shared" si="25"/>
        <v/>
      </c>
      <c r="D1675" s="5"/>
      <c r="E1675" s="5"/>
      <c r="F1675" s="5"/>
      <c r="G1675" s="5"/>
      <c r="H1675" s="5"/>
      <c r="I1675" s="5"/>
      <c r="J1675" s="5"/>
      <c r="K1675" s="5"/>
      <c r="L1675" s="5"/>
      <c r="M1675" s="5"/>
      <c r="N1675" s="5"/>
      <c r="O1675" s="5"/>
    </row>
    <row r="1676" spans="1:15">
      <c r="A1676" t="str">
        <f t="shared" si="25"/>
        <v/>
      </c>
      <c r="D1676" s="5"/>
      <c r="E1676" s="5"/>
      <c r="F1676" s="5"/>
      <c r="G1676" s="5"/>
      <c r="H1676" s="5"/>
      <c r="I1676" s="5"/>
      <c r="J1676" s="5"/>
      <c r="K1676" s="5"/>
      <c r="L1676" s="5"/>
      <c r="M1676" s="5"/>
      <c r="N1676" s="5"/>
      <c r="O1676" s="5"/>
    </row>
    <row r="1677" spans="1:15">
      <c r="A1677" t="str">
        <f t="shared" si="25"/>
        <v/>
      </c>
    </row>
    <row r="1678" spans="1:15">
      <c r="A1678" t="str">
        <f t="shared" si="25"/>
        <v/>
      </c>
    </row>
    <row r="1679" spans="1:15">
      <c r="A1679" t="str">
        <f t="shared" si="25"/>
        <v/>
      </c>
    </row>
    <row r="1680" spans="1:15">
      <c r="A1680" t="str">
        <f t="shared" si="25"/>
        <v/>
      </c>
    </row>
    <row r="1681" spans="1:15">
      <c r="A1681" t="str">
        <f t="shared" si="25"/>
        <v/>
      </c>
    </row>
    <row r="1682" spans="1:15">
      <c r="A1682" t="str">
        <f t="shared" si="25"/>
        <v/>
      </c>
    </row>
    <row r="1683" spans="1:15">
      <c r="A1683" t="str">
        <f t="shared" si="25"/>
        <v/>
      </c>
    </row>
    <row r="1684" spans="1:15">
      <c r="A1684" t="str">
        <f t="shared" si="25"/>
        <v/>
      </c>
    </row>
    <row r="1685" spans="1:15">
      <c r="A1685" t="str">
        <f t="shared" si="25"/>
        <v/>
      </c>
      <c r="D1685" s="4"/>
      <c r="E1685" s="4"/>
      <c r="F1685" s="4"/>
      <c r="G1685" s="4"/>
      <c r="H1685" s="4"/>
      <c r="I1685" s="4"/>
      <c r="J1685" s="4"/>
      <c r="K1685" s="4"/>
      <c r="L1685" s="4"/>
      <c r="M1685" s="4"/>
      <c r="N1685" s="4"/>
      <c r="O1685" s="4"/>
    </row>
    <row r="1686" spans="1:15">
      <c r="A1686" t="str">
        <f t="shared" si="25"/>
        <v/>
      </c>
    </row>
    <row r="1687" spans="1:15">
      <c r="A1687" t="str">
        <f t="shared" si="25"/>
        <v/>
      </c>
    </row>
    <row r="1688" spans="1:15">
      <c r="A1688" t="str">
        <f t="shared" si="25"/>
        <v/>
      </c>
    </row>
    <row r="1689" spans="1:15">
      <c r="A1689" t="str">
        <f t="shared" si="25"/>
        <v/>
      </c>
    </row>
    <row r="1690" spans="1:15">
      <c r="A1690" t="str">
        <f t="shared" si="25"/>
        <v/>
      </c>
    </row>
    <row r="1691" spans="1:15">
      <c r="A1691" t="str">
        <f t="shared" si="25"/>
        <v/>
      </c>
    </row>
    <row r="1692" spans="1:15">
      <c r="A1692" t="str">
        <f t="shared" si="25"/>
        <v/>
      </c>
    </row>
    <row r="1693" spans="1:15">
      <c r="A1693" t="str">
        <f t="shared" si="25"/>
        <v/>
      </c>
    </row>
    <row r="1694" spans="1:15">
      <c r="A1694" t="str">
        <f t="shared" si="25"/>
        <v/>
      </c>
      <c r="D1694" s="5"/>
      <c r="E1694" s="5"/>
      <c r="F1694" s="5"/>
      <c r="G1694" s="5"/>
      <c r="H1694" s="5"/>
      <c r="I1694" s="5"/>
      <c r="J1694" s="5"/>
      <c r="K1694" s="5"/>
      <c r="L1694" s="5"/>
      <c r="M1694" s="5"/>
      <c r="N1694" s="5"/>
      <c r="O1694" s="5"/>
    </row>
    <row r="1695" spans="1:15">
      <c r="A1695" t="str">
        <f t="shared" si="25"/>
        <v/>
      </c>
      <c r="D1695" s="5"/>
      <c r="E1695" s="5"/>
      <c r="F1695" s="5"/>
      <c r="G1695" s="5"/>
      <c r="H1695" s="5"/>
      <c r="I1695" s="5"/>
      <c r="J1695" s="5"/>
      <c r="K1695" s="5"/>
      <c r="L1695" s="5"/>
      <c r="M1695" s="5"/>
      <c r="N1695" s="5"/>
      <c r="O1695" s="5"/>
    </row>
    <row r="1696" spans="1:15">
      <c r="A1696" t="str">
        <f t="shared" si="25"/>
        <v/>
      </c>
    </row>
    <row r="1697" spans="1:15">
      <c r="A1697" t="str">
        <f t="shared" si="25"/>
        <v/>
      </c>
    </row>
    <row r="1698" spans="1:15">
      <c r="A1698" t="str">
        <f t="shared" si="25"/>
        <v/>
      </c>
    </row>
    <row r="1699" spans="1:15">
      <c r="A1699" t="str">
        <f t="shared" si="25"/>
        <v/>
      </c>
    </row>
    <row r="1700" spans="1:15">
      <c r="A1700" t="str">
        <f t="shared" si="25"/>
        <v/>
      </c>
    </row>
    <row r="1701" spans="1:15">
      <c r="A1701" t="str">
        <f t="shared" si="25"/>
        <v/>
      </c>
    </row>
    <row r="1702" spans="1:15">
      <c r="A1702" t="str">
        <f t="shared" si="25"/>
        <v/>
      </c>
    </row>
    <row r="1703" spans="1:15">
      <c r="A1703" t="str">
        <f t="shared" si="25"/>
        <v/>
      </c>
    </row>
    <row r="1704" spans="1:15">
      <c r="A1704" t="str">
        <f t="shared" si="25"/>
        <v/>
      </c>
    </row>
    <row r="1705" spans="1:15">
      <c r="A1705" t="str">
        <f t="shared" si="25"/>
        <v/>
      </c>
    </row>
    <row r="1706" spans="1:15">
      <c r="A1706" t="str">
        <f t="shared" si="25"/>
        <v/>
      </c>
      <c r="D1706" s="1"/>
      <c r="E1706" s="1"/>
      <c r="F1706" s="1"/>
      <c r="G1706" s="1"/>
      <c r="H1706" s="1"/>
      <c r="I1706" s="1"/>
      <c r="J1706" s="1"/>
      <c r="K1706" s="1"/>
      <c r="L1706" s="1"/>
      <c r="M1706" s="1"/>
      <c r="N1706" s="1"/>
      <c r="O1706" s="1"/>
    </row>
    <row r="1707" spans="1:15">
      <c r="A1707" t="str">
        <f t="shared" si="25"/>
        <v/>
      </c>
      <c r="D1707" s="5"/>
      <c r="E1707" s="5"/>
      <c r="F1707" s="5"/>
      <c r="G1707" s="5"/>
      <c r="H1707" s="5"/>
      <c r="I1707" s="5"/>
      <c r="J1707" s="5"/>
      <c r="K1707" s="5"/>
      <c r="L1707" s="5"/>
      <c r="M1707" s="5"/>
      <c r="N1707" s="5"/>
      <c r="O1707" s="5"/>
    </row>
    <row r="1708" spans="1:15">
      <c r="A1708" t="str">
        <f t="shared" si="25"/>
        <v/>
      </c>
      <c r="D1708" s="5"/>
      <c r="E1708" s="5"/>
      <c r="F1708" s="5"/>
      <c r="G1708" s="5"/>
      <c r="H1708" s="5"/>
      <c r="I1708" s="5"/>
      <c r="J1708" s="5"/>
      <c r="K1708" s="5"/>
      <c r="L1708" s="5"/>
      <c r="M1708" s="5"/>
      <c r="N1708" s="5"/>
      <c r="O1708" s="5"/>
    </row>
    <row r="1709" spans="1:15">
      <c r="A1709" t="str">
        <f t="shared" si="25"/>
        <v/>
      </c>
      <c r="D1709" s="5"/>
      <c r="E1709" s="5"/>
      <c r="F1709" s="5"/>
      <c r="G1709" s="5"/>
      <c r="H1709" s="5"/>
      <c r="I1709" s="5"/>
      <c r="J1709" s="5"/>
      <c r="K1709" s="5"/>
      <c r="L1709" s="5"/>
      <c r="M1709" s="5"/>
      <c r="N1709" s="5"/>
      <c r="O1709" s="5"/>
    </row>
    <row r="1710" spans="1:15">
      <c r="A1710" t="str">
        <f t="shared" si="25"/>
        <v/>
      </c>
      <c r="D1710" s="5"/>
      <c r="E1710" s="5"/>
      <c r="F1710" s="5"/>
      <c r="G1710" s="5"/>
      <c r="H1710" s="5"/>
      <c r="I1710" s="5"/>
      <c r="J1710" s="5"/>
      <c r="K1710" s="5"/>
      <c r="L1710" s="5"/>
      <c r="M1710" s="5"/>
      <c r="N1710" s="5"/>
      <c r="O1710" s="5"/>
    </row>
    <row r="1711" spans="1:15">
      <c r="A1711" t="str">
        <f t="shared" si="25"/>
        <v/>
      </c>
      <c r="D1711" s="5"/>
      <c r="E1711" s="5"/>
      <c r="F1711" s="5"/>
      <c r="G1711" s="5"/>
      <c r="H1711" s="5"/>
      <c r="I1711" s="5"/>
      <c r="J1711" s="5"/>
      <c r="K1711" s="5"/>
      <c r="L1711" s="5"/>
      <c r="M1711" s="5"/>
      <c r="N1711" s="5"/>
      <c r="O1711" s="5"/>
    </row>
    <row r="1712" spans="1:15">
      <c r="A1712" t="str">
        <f t="shared" si="25"/>
        <v/>
      </c>
      <c r="D1712" s="5"/>
      <c r="E1712" s="5"/>
      <c r="F1712" s="5"/>
      <c r="G1712" s="5"/>
      <c r="H1712" s="5"/>
      <c r="I1712" s="5"/>
      <c r="J1712" s="5"/>
      <c r="K1712" s="5"/>
      <c r="L1712" s="5"/>
      <c r="M1712" s="5"/>
      <c r="N1712" s="5"/>
      <c r="O1712" s="5"/>
    </row>
    <row r="1713" spans="1:15">
      <c r="A1713" t="str">
        <f t="shared" si="25"/>
        <v/>
      </c>
      <c r="D1713" s="5"/>
      <c r="E1713" s="5"/>
      <c r="F1713" s="5"/>
      <c r="G1713" s="5"/>
      <c r="H1713" s="5"/>
      <c r="I1713" s="5"/>
      <c r="J1713" s="5"/>
      <c r="K1713" s="5"/>
      <c r="L1713" s="5"/>
      <c r="M1713" s="5"/>
      <c r="N1713" s="5"/>
      <c r="O1713" s="5"/>
    </row>
    <row r="1714" spans="1:15">
      <c r="A1714" t="str">
        <f t="shared" si="25"/>
        <v/>
      </c>
      <c r="D1714" s="5"/>
      <c r="E1714" s="5"/>
      <c r="F1714" s="5"/>
      <c r="G1714" s="5"/>
      <c r="H1714" s="5"/>
      <c r="I1714" s="5"/>
      <c r="J1714" s="5"/>
      <c r="K1714" s="5"/>
      <c r="L1714" s="5"/>
      <c r="M1714" s="5"/>
      <c r="N1714" s="5"/>
      <c r="O1714" s="5"/>
    </row>
    <row r="1715" spans="1:15">
      <c r="A1715" t="str">
        <f t="shared" si="25"/>
        <v/>
      </c>
      <c r="D1715" s="5"/>
      <c r="E1715" s="5"/>
      <c r="F1715" s="5"/>
      <c r="G1715" s="5"/>
      <c r="H1715" s="5"/>
      <c r="I1715" s="5"/>
      <c r="J1715" s="5"/>
      <c r="K1715" s="5"/>
      <c r="L1715" s="5"/>
      <c r="M1715" s="5"/>
      <c r="N1715" s="5"/>
      <c r="O1715" s="5"/>
    </row>
    <row r="1716" spans="1:15">
      <c r="A1716" t="str">
        <f t="shared" si="25"/>
        <v/>
      </c>
    </row>
    <row r="1717" spans="1:15">
      <c r="A1717" t="str">
        <f t="shared" ref="A1717:A1778" si="26">B1717&amp;C1717</f>
        <v/>
      </c>
      <c r="D1717" s="5"/>
      <c r="E1717" s="5"/>
      <c r="F1717" s="5"/>
      <c r="G1717" s="5"/>
      <c r="H1717" s="5"/>
      <c r="I1717" s="5"/>
      <c r="J1717" s="5"/>
      <c r="K1717" s="5"/>
      <c r="L1717" s="5"/>
      <c r="M1717" s="5"/>
      <c r="N1717" s="5"/>
      <c r="O1717" s="5"/>
    </row>
    <row r="1718" spans="1:15">
      <c r="A1718" t="str">
        <f t="shared" si="26"/>
        <v/>
      </c>
      <c r="D1718" s="5"/>
      <c r="E1718" s="5"/>
      <c r="F1718" s="5"/>
      <c r="G1718" s="5"/>
      <c r="H1718" s="5"/>
      <c r="I1718" s="5"/>
      <c r="J1718" s="5"/>
      <c r="K1718" s="5"/>
      <c r="L1718" s="5"/>
      <c r="M1718" s="5"/>
      <c r="N1718" s="5"/>
      <c r="O1718" s="5"/>
    </row>
    <row r="1719" spans="1:15">
      <c r="A1719" t="str">
        <f t="shared" si="26"/>
        <v/>
      </c>
      <c r="D1719" s="5"/>
      <c r="E1719" s="5"/>
      <c r="F1719" s="5"/>
      <c r="G1719" s="5"/>
      <c r="H1719" s="5"/>
      <c r="I1719" s="5"/>
      <c r="J1719" s="5"/>
      <c r="K1719" s="5"/>
      <c r="L1719" s="5"/>
      <c r="M1719" s="5"/>
      <c r="N1719" s="5"/>
      <c r="O1719" s="5"/>
    </row>
    <row r="1720" spans="1:15">
      <c r="A1720" t="str">
        <f t="shared" si="26"/>
        <v/>
      </c>
      <c r="D1720" s="5"/>
      <c r="E1720" s="5"/>
      <c r="F1720" s="5"/>
      <c r="G1720" s="5"/>
      <c r="H1720" s="5"/>
      <c r="I1720" s="5"/>
      <c r="J1720" s="5"/>
      <c r="K1720" s="5"/>
      <c r="L1720" s="5"/>
      <c r="M1720" s="5"/>
      <c r="N1720" s="5"/>
      <c r="O1720" s="5"/>
    </row>
    <row r="1721" spans="1:15">
      <c r="A1721" t="str">
        <f t="shared" si="26"/>
        <v/>
      </c>
      <c r="D1721" s="5"/>
      <c r="E1721" s="5"/>
      <c r="F1721" s="5"/>
      <c r="G1721" s="5"/>
      <c r="H1721" s="5"/>
      <c r="I1721" s="5"/>
      <c r="J1721" s="5"/>
      <c r="K1721" s="5"/>
      <c r="L1721" s="5"/>
      <c r="M1721" s="5"/>
      <c r="N1721" s="5"/>
      <c r="O1721" s="5"/>
    </row>
    <row r="1722" spans="1:15">
      <c r="A1722" t="str">
        <f t="shared" si="26"/>
        <v/>
      </c>
      <c r="D1722" s="5"/>
      <c r="E1722" s="5"/>
      <c r="F1722" s="5"/>
      <c r="G1722" s="5"/>
      <c r="H1722" s="5"/>
      <c r="I1722" s="5"/>
      <c r="J1722" s="5"/>
      <c r="K1722" s="5"/>
      <c r="L1722" s="5"/>
      <c r="M1722" s="5"/>
      <c r="N1722" s="5"/>
      <c r="O1722" s="5"/>
    </row>
    <row r="1723" spans="1:15">
      <c r="A1723" t="str">
        <f t="shared" si="26"/>
        <v/>
      </c>
      <c r="D1723" s="5"/>
      <c r="E1723" s="5"/>
      <c r="F1723" s="5"/>
      <c r="G1723" s="5"/>
      <c r="H1723" s="5"/>
      <c r="I1723" s="5"/>
      <c r="J1723" s="5"/>
      <c r="K1723" s="5"/>
      <c r="L1723" s="5"/>
      <c r="M1723" s="5"/>
      <c r="N1723" s="5"/>
      <c r="O1723" s="5"/>
    </row>
    <row r="1724" spans="1:15">
      <c r="A1724" t="str">
        <f t="shared" si="26"/>
        <v/>
      </c>
    </row>
    <row r="1725" spans="1:15">
      <c r="A1725" t="str">
        <f t="shared" si="26"/>
        <v/>
      </c>
    </row>
    <row r="1726" spans="1:15">
      <c r="A1726" t="str">
        <f t="shared" si="26"/>
        <v/>
      </c>
    </row>
    <row r="1727" spans="1:15">
      <c r="A1727" t="str">
        <f t="shared" si="26"/>
        <v/>
      </c>
    </row>
    <row r="1728" spans="1:15">
      <c r="A1728" t="str">
        <f t="shared" si="26"/>
        <v/>
      </c>
    </row>
    <row r="1729" spans="1:15">
      <c r="A1729" t="str">
        <f t="shared" si="26"/>
        <v/>
      </c>
    </row>
    <row r="1730" spans="1:15">
      <c r="A1730" t="str">
        <f t="shared" si="26"/>
        <v/>
      </c>
      <c r="B1730" s="3"/>
    </row>
    <row r="1731" spans="1:15">
      <c r="A1731" t="str">
        <f t="shared" si="26"/>
        <v/>
      </c>
    </row>
    <row r="1732" spans="1:15">
      <c r="A1732" t="str">
        <f t="shared" si="26"/>
        <v/>
      </c>
      <c r="D1732" s="4"/>
      <c r="E1732" s="4"/>
      <c r="F1732" s="4"/>
      <c r="G1732" s="4"/>
      <c r="H1732" s="4"/>
      <c r="I1732" s="4"/>
      <c r="J1732" s="4"/>
      <c r="K1732" s="4"/>
      <c r="L1732" s="4"/>
      <c r="M1732" s="4"/>
      <c r="N1732" s="4"/>
      <c r="O1732" s="4"/>
    </row>
    <row r="1733" spans="1:15">
      <c r="A1733" t="str">
        <f t="shared" si="26"/>
        <v/>
      </c>
    </row>
    <row r="1734" spans="1:15">
      <c r="A1734" t="str">
        <f t="shared" si="26"/>
        <v/>
      </c>
    </row>
    <row r="1735" spans="1:15">
      <c r="A1735" t="str">
        <f t="shared" si="26"/>
        <v/>
      </c>
    </row>
    <row r="1736" spans="1:15">
      <c r="A1736" t="str">
        <f t="shared" si="26"/>
        <v/>
      </c>
    </row>
    <row r="1737" spans="1:15">
      <c r="A1737" t="str">
        <f t="shared" si="26"/>
        <v/>
      </c>
    </row>
    <row r="1738" spans="1:15">
      <c r="A1738" t="str">
        <f t="shared" si="26"/>
        <v/>
      </c>
    </row>
    <row r="1739" spans="1:15">
      <c r="A1739" t="str">
        <f t="shared" si="26"/>
        <v/>
      </c>
    </row>
    <row r="1740" spans="1:15">
      <c r="A1740" t="str">
        <f t="shared" si="26"/>
        <v/>
      </c>
    </row>
    <row r="1741" spans="1:15">
      <c r="A1741" t="str">
        <f t="shared" si="26"/>
        <v/>
      </c>
      <c r="D1741" s="5"/>
      <c r="E1741" s="5"/>
      <c r="F1741" s="5"/>
      <c r="G1741" s="5"/>
      <c r="H1741" s="5"/>
      <c r="I1741" s="5"/>
      <c r="J1741" s="5"/>
      <c r="K1741" s="5"/>
      <c r="L1741" s="5"/>
      <c r="M1741" s="5"/>
      <c r="N1741" s="5"/>
      <c r="O1741" s="5"/>
    </row>
    <row r="1742" spans="1:15">
      <c r="A1742" t="str">
        <f t="shared" si="26"/>
        <v/>
      </c>
      <c r="D1742" s="5"/>
      <c r="E1742" s="5"/>
      <c r="F1742" s="5"/>
      <c r="G1742" s="5"/>
      <c r="H1742" s="5"/>
      <c r="I1742" s="5"/>
      <c r="J1742" s="5"/>
      <c r="K1742" s="5"/>
      <c r="L1742" s="5"/>
      <c r="M1742" s="5"/>
      <c r="N1742" s="5"/>
      <c r="O1742" s="5"/>
    </row>
    <row r="1743" spans="1:15">
      <c r="A1743" t="str">
        <f t="shared" si="26"/>
        <v/>
      </c>
    </row>
    <row r="1744" spans="1:15">
      <c r="A1744" t="str">
        <f t="shared" si="26"/>
        <v/>
      </c>
    </row>
    <row r="1745" spans="1:15">
      <c r="A1745" t="str">
        <f t="shared" si="26"/>
        <v/>
      </c>
    </row>
    <row r="1746" spans="1:15">
      <c r="A1746" t="str">
        <f t="shared" si="26"/>
        <v/>
      </c>
    </row>
    <row r="1747" spans="1:15">
      <c r="A1747" t="str">
        <f t="shared" si="26"/>
        <v/>
      </c>
    </row>
    <row r="1748" spans="1:15">
      <c r="A1748" t="str">
        <f t="shared" si="26"/>
        <v/>
      </c>
    </row>
    <row r="1749" spans="1:15">
      <c r="A1749" t="str">
        <f t="shared" si="26"/>
        <v/>
      </c>
    </row>
    <row r="1750" spans="1:15">
      <c r="A1750" t="str">
        <f t="shared" si="26"/>
        <v/>
      </c>
    </row>
    <row r="1751" spans="1:15">
      <c r="A1751" t="str">
        <f t="shared" si="26"/>
        <v/>
      </c>
    </row>
    <row r="1752" spans="1:15">
      <c r="A1752" t="str">
        <f t="shared" si="26"/>
        <v/>
      </c>
    </row>
    <row r="1753" spans="1:15">
      <c r="A1753" t="str">
        <f t="shared" si="26"/>
        <v/>
      </c>
      <c r="D1753" s="1"/>
      <c r="E1753" s="1"/>
      <c r="F1753" s="1"/>
      <c r="G1753" s="1"/>
      <c r="H1753" s="1"/>
      <c r="I1753" s="1"/>
      <c r="J1753" s="1"/>
      <c r="K1753" s="1"/>
      <c r="L1753" s="1"/>
      <c r="M1753" s="1"/>
      <c r="N1753" s="1"/>
      <c r="O1753" s="1"/>
    </row>
    <row r="1754" spans="1:15">
      <c r="A1754" t="str">
        <f t="shared" si="26"/>
        <v/>
      </c>
      <c r="D1754" s="5"/>
      <c r="E1754" s="5"/>
      <c r="F1754" s="5"/>
      <c r="G1754" s="5"/>
      <c r="H1754" s="5"/>
      <c r="I1754" s="5"/>
      <c r="J1754" s="5"/>
      <c r="K1754" s="5"/>
      <c r="L1754" s="5"/>
      <c r="M1754" s="5"/>
      <c r="N1754" s="5"/>
      <c r="O1754" s="5"/>
    </row>
    <row r="1755" spans="1:15">
      <c r="A1755" t="str">
        <f t="shared" si="26"/>
        <v/>
      </c>
      <c r="D1755" s="5"/>
      <c r="E1755" s="5"/>
      <c r="F1755" s="5"/>
      <c r="G1755" s="5"/>
      <c r="H1755" s="5"/>
      <c r="I1755" s="5"/>
      <c r="J1755" s="5"/>
      <c r="K1755" s="5"/>
      <c r="L1755" s="5"/>
      <c r="M1755" s="5"/>
      <c r="N1755" s="5"/>
      <c r="O1755" s="5"/>
    </row>
    <row r="1756" spans="1:15">
      <c r="A1756" t="str">
        <f t="shared" si="26"/>
        <v/>
      </c>
      <c r="D1756" s="5"/>
      <c r="E1756" s="5"/>
      <c r="F1756" s="5"/>
      <c r="G1756" s="5"/>
      <c r="H1756" s="5"/>
      <c r="I1756" s="5"/>
      <c r="J1756" s="5"/>
      <c r="K1756" s="5"/>
      <c r="L1756" s="5"/>
      <c r="M1756" s="5"/>
      <c r="N1756" s="5"/>
      <c r="O1756" s="5"/>
    </row>
    <row r="1757" spans="1:15">
      <c r="A1757" t="str">
        <f t="shared" si="26"/>
        <v/>
      </c>
      <c r="D1757" s="5"/>
      <c r="E1757" s="5"/>
      <c r="F1757" s="5"/>
      <c r="G1757" s="5"/>
      <c r="H1757" s="5"/>
      <c r="I1757" s="5"/>
      <c r="J1757" s="5"/>
      <c r="K1757" s="5"/>
      <c r="L1757" s="5"/>
      <c r="M1757" s="5"/>
      <c r="N1757" s="5"/>
      <c r="O1757" s="5"/>
    </row>
    <row r="1758" spans="1:15">
      <c r="A1758" t="str">
        <f t="shared" si="26"/>
        <v/>
      </c>
      <c r="D1758" s="5"/>
      <c r="E1758" s="5"/>
      <c r="F1758" s="5"/>
      <c r="G1758" s="5"/>
      <c r="H1758" s="5"/>
      <c r="I1758" s="5"/>
      <c r="J1758" s="5"/>
      <c r="K1758" s="5"/>
      <c r="L1758" s="5"/>
      <c r="M1758" s="5"/>
      <c r="N1758" s="5"/>
      <c r="O1758" s="5"/>
    </row>
    <row r="1759" spans="1:15">
      <c r="A1759" t="str">
        <f t="shared" si="26"/>
        <v/>
      </c>
      <c r="D1759" s="5"/>
      <c r="E1759" s="5"/>
      <c r="F1759" s="5"/>
      <c r="G1759" s="5"/>
      <c r="H1759" s="5"/>
      <c r="I1759" s="5"/>
      <c r="J1759" s="5"/>
      <c r="K1759" s="5"/>
      <c r="L1759" s="5"/>
      <c r="M1759" s="5"/>
      <c r="N1759" s="5"/>
      <c r="O1759" s="5"/>
    </row>
    <row r="1760" spans="1:15">
      <c r="A1760" t="str">
        <f t="shared" si="26"/>
        <v/>
      </c>
      <c r="D1760" s="5"/>
      <c r="E1760" s="5"/>
      <c r="F1760" s="5"/>
      <c r="G1760" s="5"/>
      <c r="H1760" s="5"/>
      <c r="I1760" s="5"/>
      <c r="J1760" s="5"/>
      <c r="K1760" s="5"/>
      <c r="L1760" s="5"/>
      <c r="M1760" s="5"/>
      <c r="N1760" s="5"/>
      <c r="O1760" s="5"/>
    </row>
    <row r="1761" spans="1:15">
      <c r="A1761" t="str">
        <f t="shared" si="26"/>
        <v/>
      </c>
      <c r="D1761" s="5"/>
      <c r="E1761" s="5"/>
      <c r="F1761" s="5"/>
      <c r="G1761" s="5"/>
      <c r="H1761" s="5"/>
      <c r="I1761" s="5"/>
      <c r="J1761" s="5"/>
      <c r="K1761" s="5"/>
      <c r="L1761" s="5"/>
      <c r="M1761" s="5"/>
      <c r="N1761" s="5"/>
      <c r="O1761" s="5"/>
    </row>
    <row r="1762" spans="1:15">
      <c r="A1762" t="str">
        <f t="shared" si="26"/>
        <v/>
      </c>
      <c r="D1762" s="5"/>
      <c r="E1762" s="5"/>
      <c r="F1762" s="5"/>
      <c r="G1762" s="5"/>
      <c r="H1762" s="5"/>
      <c r="I1762" s="5"/>
      <c r="J1762" s="5"/>
      <c r="K1762" s="5"/>
      <c r="L1762" s="5"/>
      <c r="M1762" s="5"/>
      <c r="N1762" s="5"/>
      <c r="O1762" s="5"/>
    </row>
    <row r="1763" spans="1:15">
      <c r="A1763" t="str">
        <f t="shared" si="26"/>
        <v/>
      </c>
    </row>
    <row r="1764" spans="1:15">
      <c r="A1764" t="str">
        <f t="shared" si="26"/>
        <v/>
      </c>
      <c r="D1764" s="5"/>
      <c r="E1764" s="5"/>
      <c r="F1764" s="5"/>
      <c r="G1764" s="5"/>
      <c r="H1764" s="5"/>
      <c r="I1764" s="5"/>
      <c r="J1764" s="5"/>
      <c r="K1764" s="5"/>
      <c r="L1764" s="5"/>
      <c r="M1764" s="5"/>
      <c r="N1764" s="5"/>
      <c r="O1764" s="5"/>
    </row>
    <row r="1765" spans="1:15">
      <c r="A1765" t="str">
        <f t="shared" si="26"/>
        <v/>
      </c>
      <c r="D1765" s="5"/>
      <c r="E1765" s="5"/>
      <c r="F1765" s="5"/>
      <c r="G1765" s="5"/>
      <c r="H1765" s="5"/>
      <c r="I1765" s="5"/>
      <c r="J1765" s="5"/>
      <c r="K1765" s="5"/>
      <c r="L1765" s="5"/>
      <c r="M1765" s="5"/>
      <c r="N1765" s="5"/>
      <c r="O1765" s="5"/>
    </row>
    <row r="1766" spans="1:15">
      <c r="A1766" t="str">
        <f t="shared" si="26"/>
        <v/>
      </c>
      <c r="D1766" s="5"/>
      <c r="E1766" s="5"/>
      <c r="F1766" s="5"/>
      <c r="G1766" s="5"/>
      <c r="H1766" s="5"/>
      <c r="I1766" s="5"/>
      <c r="J1766" s="5"/>
      <c r="K1766" s="5"/>
      <c r="L1766" s="5"/>
      <c r="M1766" s="5"/>
      <c r="N1766" s="5"/>
      <c r="O1766" s="5"/>
    </row>
    <row r="1767" spans="1:15">
      <c r="A1767" t="str">
        <f t="shared" si="26"/>
        <v/>
      </c>
      <c r="D1767" s="5"/>
      <c r="E1767" s="5"/>
      <c r="F1767" s="5"/>
      <c r="G1767" s="5"/>
      <c r="H1767" s="5"/>
      <c r="I1767" s="5"/>
      <c r="J1767" s="5"/>
      <c r="K1767" s="5"/>
      <c r="L1767" s="5"/>
      <c r="M1767" s="5"/>
      <c r="N1767" s="5"/>
      <c r="O1767" s="5"/>
    </row>
    <row r="1768" spans="1:15">
      <c r="A1768" t="str">
        <f t="shared" si="26"/>
        <v/>
      </c>
      <c r="D1768" s="5"/>
      <c r="E1768" s="5"/>
      <c r="F1768" s="5"/>
      <c r="G1768" s="5"/>
      <c r="H1768" s="5"/>
      <c r="I1768" s="5"/>
      <c r="J1768" s="5"/>
      <c r="K1768" s="5"/>
      <c r="L1768" s="5"/>
      <c r="M1768" s="5"/>
      <c r="N1768" s="5"/>
      <c r="O1768" s="5"/>
    </row>
    <row r="1769" spans="1:15">
      <c r="A1769" t="str">
        <f t="shared" si="26"/>
        <v/>
      </c>
      <c r="D1769" s="5"/>
      <c r="E1769" s="5"/>
      <c r="F1769" s="5"/>
      <c r="G1769" s="5"/>
      <c r="H1769" s="5"/>
      <c r="I1769" s="5"/>
      <c r="J1769" s="5"/>
      <c r="K1769" s="5"/>
      <c r="L1769" s="5"/>
      <c r="M1769" s="5"/>
      <c r="N1769" s="5"/>
      <c r="O1769" s="5"/>
    </row>
    <row r="1770" spans="1:15">
      <c r="A1770" t="str">
        <f t="shared" si="26"/>
        <v/>
      </c>
      <c r="D1770" s="5"/>
      <c r="E1770" s="5"/>
      <c r="F1770" s="5"/>
      <c r="G1770" s="5"/>
      <c r="H1770" s="5"/>
      <c r="I1770" s="5"/>
      <c r="J1770" s="5"/>
      <c r="K1770" s="5"/>
      <c r="L1770" s="5"/>
      <c r="M1770" s="5"/>
      <c r="N1770" s="5"/>
      <c r="O1770" s="5"/>
    </row>
    <row r="1771" spans="1:15">
      <c r="A1771" t="str">
        <f t="shared" si="26"/>
        <v/>
      </c>
    </row>
    <row r="1772" spans="1:15">
      <c r="A1772" t="str">
        <f t="shared" si="26"/>
        <v/>
      </c>
    </row>
    <row r="1773" spans="1:15">
      <c r="A1773" t="str">
        <f t="shared" si="26"/>
        <v/>
      </c>
    </row>
    <row r="1774" spans="1:15">
      <c r="A1774" t="str">
        <f t="shared" si="26"/>
        <v/>
      </c>
    </row>
    <row r="1775" spans="1:15">
      <c r="A1775" t="str">
        <f t="shared" si="26"/>
        <v/>
      </c>
    </row>
    <row r="1776" spans="1:15" ht="409.6">
      <c r="A1776" t="str">
        <f t="shared" si="26"/>
        <v/>
      </c>
    </row>
    <row r="1777" spans="1:2" ht="14.4">
      <c r="A1777" t="str">
        <f t="shared" si="26"/>
        <v/>
      </c>
      <c r="B1777" s="301"/>
    </row>
    <row r="1778" spans="1:2" ht="14.4">
      <c r="A1778" t="str">
        <f t="shared" si="26"/>
        <v/>
      </c>
      <c r="B1778" s="306"/>
    </row>
  </sheetData>
  <mergeCells count="1">
    <mergeCell ref="B467:P467"/>
  </mergeCells>
  <pageMargins left="0.75" right="0.75" top="1" bottom="1" header="0.5" footer="0.5"/>
  <pageSetup scale="74" fitToHeight="50" orientation="landscape" copies="4" r:id="rId1"/>
  <headerFooter alignWithMargins="0">
    <oddFooter>&amp;L04/07/2008  1:20:00 PM&amp;RPage &amp;P of &amp;N</oddFooter>
  </headerFooter>
  <rowBreaks count="33" manualBreakCount="33">
    <brk id="51" min="1" max="14" man="1"/>
    <brk id="102" min="1" max="14" man="1"/>
    <brk id="199" min="1" max="14" man="1"/>
    <brk id="337" min="1" max="14" man="1"/>
    <brk id="388" min="1" max="14" man="1"/>
    <brk id="434" min="1" max="14" man="1"/>
    <brk id="480" min="1" max="14" man="1"/>
    <brk id="526" min="1" max="14" man="1"/>
    <brk id="572" min="1" max="14" man="1"/>
    <brk id="600" min="1" max="14" man="1"/>
    <brk id="654" min="1" max="14" man="1"/>
    <brk id="700" min="1" max="14" man="1"/>
    <brk id="723" min="1" max="14" man="1"/>
    <brk id="777" min="1" max="14" man="1"/>
    <brk id="828" min="1" max="14" man="1"/>
    <brk id="874" min="1" max="14" man="1"/>
    <brk id="920" min="1" max="14" man="1"/>
    <brk id="938" min="1" max="14" man="1"/>
    <brk id="992" min="1" max="14" man="1"/>
    <brk id="1043" min="1" max="14" man="1"/>
    <brk id="1089" min="1" max="14" man="1"/>
    <brk id="1135" min="1" max="14" man="1"/>
    <brk id="1181" min="1" max="14" man="1"/>
    <brk id="1235" min="1" max="14" man="1"/>
    <brk id="1281" min="1" max="14" man="1"/>
    <brk id="1309" min="1" max="14" man="1"/>
    <brk id="1355" min="1" max="14" man="1"/>
    <brk id="1378" min="1" max="14" man="1"/>
    <brk id="1429" min="1" max="14" man="1"/>
    <brk id="1521" min="1" max="14" man="1"/>
    <brk id="1567" min="1" max="14" man="1"/>
    <brk id="1613" min="1" max="14" man="1"/>
    <brk id="1659" min="1" max="1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0000"/>
  </sheetPr>
  <dimension ref="A1:V1704"/>
  <sheetViews>
    <sheetView showGridLines="0" zoomScale="75" zoomScaleNormal="75" zoomScaleSheetLayoutView="75" workbookViewId="0">
      <selection activeCell="A2" sqref="A1:A2"/>
    </sheetView>
  </sheetViews>
  <sheetFormatPr defaultRowHeight="13.2"/>
  <cols>
    <col min="1" max="1" width="44.109375" bestFit="1" customWidth="1"/>
    <col min="2" max="2" width="17.33203125" customWidth="1"/>
    <col min="3" max="3" width="15.6640625" customWidth="1"/>
    <col min="4" max="16" width="11.6640625" customWidth="1"/>
    <col min="17" max="17" width="12.6640625" customWidth="1"/>
    <col min="18" max="18" width="15" customWidth="1"/>
    <col min="19" max="19" width="16.33203125" bestFit="1" customWidth="1"/>
    <col min="20" max="20" width="14.44140625" bestFit="1" customWidth="1"/>
    <col min="21" max="22" width="15.5546875" bestFit="1" customWidth="1"/>
  </cols>
  <sheetData>
    <row r="1" spans="1:16" s="8" customFormat="1">
      <c r="A1" s="8" t="s">
        <v>1325</v>
      </c>
    </row>
    <row r="2" spans="1:16" s="8" customFormat="1">
      <c r="A2" s="8" t="s">
        <v>1267</v>
      </c>
    </row>
    <row r="3" spans="1:16" s="8" customFormat="1"/>
    <row r="4" spans="1:16">
      <c r="A4" t="s">
        <v>883</v>
      </c>
      <c r="B4" t="s">
        <v>578</v>
      </c>
    </row>
    <row r="5" spans="1:16">
      <c r="B5" t="s">
        <v>252</v>
      </c>
    </row>
    <row r="6" spans="1:16">
      <c r="B6" t="s">
        <v>251</v>
      </c>
    </row>
    <row r="7" spans="1:16">
      <c r="C7" t="s">
        <v>102</v>
      </c>
    </row>
    <row r="8" spans="1:16">
      <c r="C8" t="s">
        <v>103</v>
      </c>
    </row>
    <row r="9" spans="1:16">
      <c r="C9" t="s">
        <v>104</v>
      </c>
    </row>
    <row r="10" spans="1:16">
      <c r="B10" t="s">
        <v>250</v>
      </c>
    </row>
    <row r="11" spans="1:16">
      <c r="B11" t="s">
        <v>105</v>
      </c>
    </row>
    <row r="12" spans="1:16">
      <c r="B12" t="s">
        <v>106</v>
      </c>
      <c r="D12" s="1">
        <v>41662</v>
      </c>
      <c r="E12" s="1">
        <v>41694</v>
      </c>
      <c r="F12" s="1">
        <v>41721</v>
      </c>
      <c r="G12" s="1">
        <v>41757</v>
      </c>
      <c r="H12" s="1">
        <v>41782</v>
      </c>
      <c r="I12" s="1">
        <v>41815</v>
      </c>
      <c r="J12" s="1">
        <v>41848</v>
      </c>
      <c r="K12" s="1">
        <v>41872</v>
      </c>
      <c r="L12" s="1">
        <v>41884</v>
      </c>
      <c r="M12" s="1">
        <v>41915</v>
      </c>
      <c r="N12" s="1">
        <v>41967</v>
      </c>
      <c r="O12" s="1">
        <v>41997</v>
      </c>
      <c r="P12" s="1"/>
    </row>
    <row r="13" spans="1:16">
      <c r="B13" t="s">
        <v>107</v>
      </c>
      <c r="D13" t="s">
        <v>579</v>
      </c>
      <c r="E13" t="s">
        <v>108</v>
      </c>
      <c r="F13" t="s">
        <v>580</v>
      </c>
      <c r="G13" t="s">
        <v>108</v>
      </c>
      <c r="H13" t="s">
        <v>109</v>
      </c>
      <c r="I13" t="s">
        <v>110</v>
      </c>
      <c r="J13" t="s">
        <v>108</v>
      </c>
      <c r="K13" t="s">
        <v>111</v>
      </c>
      <c r="L13" t="s">
        <v>581</v>
      </c>
      <c r="M13" t="s">
        <v>109</v>
      </c>
      <c r="N13" t="s">
        <v>108</v>
      </c>
      <c r="O13" t="s">
        <v>249</v>
      </c>
    </row>
    <row r="14" spans="1:16">
      <c r="B14" t="s">
        <v>112</v>
      </c>
      <c r="D14" s="2">
        <v>0.33333333333333331</v>
      </c>
      <c r="E14" s="2">
        <v>0.66666666666666663</v>
      </c>
      <c r="F14" s="2">
        <v>0.70833333333333337</v>
      </c>
      <c r="G14" s="2">
        <v>0.70833333333333337</v>
      </c>
      <c r="H14" s="2">
        <v>0.70833333333333337</v>
      </c>
      <c r="I14" s="2">
        <v>0.66666666666666663</v>
      </c>
      <c r="J14" s="2">
        <v>0.70833333333333337</v>
      </c>
      <c r="K14" s="2">
        <v>0.70833333333333337</v>
      </c>
      <c r="L14" s="2">
        <v>0.70833333333333337</v>
      </c>
      <c r="M14" s="2">
        <v>0.66666666666666663</v>
      </c>
      <c r="N14" s="2">
        <v>0.625</v>
      </c>
      <c r="O14" s="2">
        <v>0.625</v>
      </c>
      <c r="P14" s="2"/>
    </row>
    <row r="15" spans="1:16">
      <c r="B15" t="s">
        <v>113</v>
      </c>
      <c r="D15">
        <v>17500</v>
      </c>
      <c r="E15">
        <v>16297</v>
      </c>
      <c r="F15">
        <v>16183</v>
      </c>
      <c r="G15">
        <v>19934</v>
      </c>
      <c r="H15">
        <v>20295</v>
      </c>
      <c r="I15">
        <v>21786</v>
      </c>
      <c r="J15">
        <v>22935</v>
      </c>
      <c r="K15">
        <v>22900</v>
      </c>
      <c r="L15">
        <v>21673</v>
      </c>
      <c r="M15">
        <v>21079</v>
      </c>
      <c r="N15">
        <v>17830</v>
      </c>
      <c r="O15">
        <v>16095</v>
      </c>
    </row>
    <row r="19" spans="2:16">
      <c r="B19" t="s">
        <v>114</v>
      </c>
      <c r="D19" s="2">
        <v>0.29652777777777778</v>
      </c>
      <c r="E19" s="2">
        <v>0.28402777777777777</v>
      </c>
      <c r="F19" s="2">
        <v>0.30694444444444441</v>
      </c>
      <c r="G19" s="2">
        <v>0.28194444444444444</v>
      </c>
      <c r="H19" s="2">
        <v>0.2722222222222222</v>
      </c>
      <c r="I19" s="2">
        <v>0.27152777777777776</v>
      </c>
      <c r="J19" s="2">
        <v>0.28125</v>
      </c>
      <c r="K19" s="2">
        <v>0.28888888888888892</v>
      </c>
      <c r="L19" s="2">
        <v>0.29166666666666669</v>
      </c>
      <c r="M19" s="2">
        <v>0.3</v>
      </c>
      <c r="N19" s="2">
        <v>0.28055555555555556</v>
      </c>
      <c r="O19" s="2">
        <v>0.29375000000000001</v>
      </c>
      <c r="P19" s="2"/>
    </row>
    <row r="20" spans="2:16">
      <c r="B20" t="s">
        <v>115</v>
      </c>
      <c r="D20" s="2">
        <v>0.74791666666666667</v>
      </c>
      <c r="E20" s="2">
        <v>0.7631944444444444</v>
      </c>
      <c r="F20" s="2">
        <v>0.81458333333333333</v>
      </c>
      <c r="G20" s="2">
        <v>0.8256944444444444</v>
      </c>
      <c r="H20" s="2">
        <v>0.83472222222222225</v>
      </c>
      <c r="I20" s="2">
        <v>0.84305555555555556</v>
      </c>
      <c r="J20" s="2">
        <v>0.83958333333333324</v>
      </c>
      <c r="K20" s="2">
        <v>0.82777777777777783</v>
      </c>
      <c r="L20" s="2">
        <v>0.81944444444444453</v>
      </c>
      <c r="M20" s="2">
        <v>0.79513888888888884</v>
      </c>
      <c r="N20" s="2">
        <v>0.72986111111111107</v>
      </c>
      <c r="O20" s="2">
        <v>0.73402777777777783</v>
      </c>
      <c r="P20" s="2"/>
    </row>
    <row r="21" spans="2:16">
      <c r="B21" t="s">
        <v>248</v>
      </c>
    </row>
    <row r="23" spans="2:16">
      <c r="B23" t="s">
        <v>116</v>
      </c>
    </row>
    <row r="24" spans="2:16">
      <c r="C24" t="s">
        <v>582</v>
      </c>
    </row>
    <row r="25" spans="2:16">
      <c r="C25" s="617" t="s">
        <v>583</v>
      </c>
      <c r="D25" s="617"/>
      <c r="E25" s="617"/>
      <c r="F25" s="617"/>
      <c r="G25" s="617"/>
      <c r="H25" s="617"/>
      <c r="I25" s="617"/>
      <c r="J25" s="617"/>
      <c r="K25" s="617"/>
      <c r="L25" s="617"/>
      <c r="M25" s="617"/>
      <c r="N25" s="617"/>
      <c r="O25" s="617"/>
      <c r="P25" s="349"/>
    </row>
    <row r="26" spans="2:16">
      <c r="C26" s="617" t="s">
        <v>584</v>
      </c>
      <c r="D26" s="617"/>
      <c r="E26" s="617"/>
      <c r="F26" s="617"/>
      <c r="G26" s="617"/>
      <c r="H26" s="617"/>
      <c r="I26" s="617"/>
      <c r="J26" s="617"/>
      <c r="K26" s="617"/>
      <c r="L26" s="617"/>
      <c r="M26" s="617"/>
      <c r="N26" s="617"/>
      <c r="O26" s="617"/>
      <c r="P26" s="349"/>
    </row>
    <row r="27" spans="2:16">
      <c r="C27" s="617" t="s">
        <v>585</v>
      </c>
      <c r="D27" s="617"/>
      <c r="E27" s="617"/>
      <c r="F27" s="617"/>
      <c r="G27" s="617"/>
      <c r="H27" s="617"/>
      <c r="I27" s="617"/>
      <c r="J27" s="617"/>
      <c r="K27" s="617"/>
      <c r="L27" s="617"/>
      <c r="M27" s="617"/>
      <c r="N27" s="617"/>
      <c r="O27" s="617"/>
      <c r="P27" s="349"/>
    </row>
    <row r="28" spans="2:16">
      <c r="C28" t="s">
        <v>586</v>
      </c>
    </row>
    <row r="29" spans="2:16">
      <c r="C29" s="617" t="s">
        <v>587</v>
      </c>
      <c r="D29" s="617"/>
      <c r="E29" s="617"/>
      <c r="F29" s="617"/>
      <c r="G29" s="617"/>
      <c r="H29" s="617"/>
      <c r="I29" s="617"/>
      <c r="J29" s="617"/>
      <c r="K29" s="617"/>
      <c r="L29" s="617"/>
      <c r="M29" s="617"/>
      <c r="N29" s="617"/>
      <c r="O29" s="617"/>
      <c r="P29" s="349"/>
    </row>
    <row r="30" spans="2:16">
      <c r="C30" t="s">
        <v>588</v>
      </c>
    </row>
    <row r="31" spans="2:16">
      <c r="C31" t="s">
        <v>589</v>
      </c>
    </row>
    <row r="32" spans="2:16">
      <c r="C32" t="s">
        <v>590</v>
      </c>
    </row>
    <row r="33" spans="1:16">
      <c r="C33" t="s">
        <v>591</v>
      </c>
    </row>
    <row r="34" spans="1:16">
      <c r="C34" t="s">
        <v>592</v>
      </c>
    </row>
    <row r="35" spans="1:16">
      <c r="C35" t="s">
        <v>593</v>
      </c>
    </row>
    <row r="36" spans="1:16">
      <c r="C36" t="s">
        <v>594</v>
      </c>
    </row>
    <row r="39" spans="1:16">
      <c r="B39" t="s">
        <v>595</v>
      </c>
    </row>
    <row r="41" spans="1:16">
      <c r="C41" t="s">
        <v>117</v>
      </c>
      <c r="K41" t="s">
        <v>596</v>
      </c>
    </row>
    <row r="42" spans="1:16">
      <c r="C42" t="s">
        <v>597</v>
      </c>
      <c r="K42" t="s">
        <v>598</v>
      </c>
    </row>
    <row r="43" spans="1:16">
      <c r="C43" t="s">
        <v>118</v>
      </c>
      <c r="K43" t="s">
        <v>599</v>
      </c>
    </row>
    <row r="44" spans="1:16">
      <c r="C44" t="s">
        <v>600</v>
      </c>
      <c r="K44" t="s">
        <v>119</v>
      </c>
    </row>
    <row r="46" spans="1:16">
      <c r="A46" t="str">
        <f>B46&amp;C46</f>
        <v xml:space="preserve">BLOUNTSTOWN Wholesale City of Blountstown </v>
      </c>
      <c r="B46" t="s">
        <v>601</v>
      </c>
      <c r="C46" t="s">
        <v>602</v>
      </c>
    </row>
    <row r="47" spans="1:16">
      <c r="A47" t="str">
        <f t="shared" ref="A47:A110" si="0">B47&amp;C47</f>
        <v xml:space="preserve">BLOUNTSTOWNMONTH </v>
      </c>
      <c r="B47" t="s">
        <v>603</v>
      </c>
      <c r="C47" t="s">
        <v>123</v>
      </c>
      <c r="D47" s="4">
        <v>41640</v>
      </c>
      <c r="E47" s="4">
        <v>41671</v>
      </c>
      <c r="F47" s="4">
        <v>41699</v>
      </c>
      <c r="G47" s="4">
        <v>41730</v>
      </c>
      <c r="H47" s="4">
        <v>41760</v>
      </c>
      <c r="I47" s="4">
        <v>41791</v>
      </c>
      <c r="J47" s="4">
        <v>41821</v>
      </c>
      <c r="K47" s="4">
        <v>41852</v>
      </c>
      <c r="L47" s="4">
        <v>41883</v>
      </c>
      <c r="M47" s="4">
        <v>41913</v>
      </c>
      <c r="N47" s="4">
        <v>41944</v>
      </c>
      <c r="O47" s="4">
        <v>41974</v>
      </c>
      <c r="P47" s="4"/>
    </row>
    <row r="48" spans="1:16">
      <c r="A48" t="str">
        <f t="shared" si="0"/>
        <v xml:space="preserve">BLOUNTSTOWNCUSTOMERS </v>
      </c>
      <c r="B48" t="s">
        <v>603</v>
      </c>
      <c r="C48" t="s">
        <v>124</v>
      </c>
      <c r="D48">
        <v>5</v>
      </c>
      <c r="E48">
        <v>6</v>
      </c>
      <c r="F48">
        <v>7</v>
      </c>
      <c r="G48">
        <v>7</v>
      </c>
      <c r="H48">
        <v>7</v>
      </c>
      <c r="I48">
        <v>7</v>
      </c>
      <c r="J48">
        <v>7</v>
      </c>
      <c r="K48">
        <v>7</v>
      </c>
      <c r="L48">
        <v>7</v>
      </c>
      <c r="M48">
        <v>7</v>
      </c>
      <c r="N48">
        <v>7</v>
      </c>
      <c r="O48">
        <v>7</v>
      </c>
    </row>
    <row r="49" spans="1:20">
      <c r="A49" t="str">
        <f t="shared" si="0"/>
        <v xml:space="preserve">BLOUNTSTOWNSALES </v>
      </c>
      <c r="B49" t="s">
        <v>603</v>
      </c>
      <c r="C49" t="s">
        <v>125</v>
      </c>
      <c r="D49">
        <v>65718983</v>
      </c>
      <c r="E49">
        <v>363393801</v>
      </c>
      <c r="F49">
        <v>320951303</v>
      </c>
      <c r="G49">
        <v>347436900</v>
      </c>
      <c r="H49">
        <v>372411170</v>
      </c>
      <c r="I49">
        <v>423074060</v>
      </c>
      <c r="J49">
        <v>444647562</v>
      </c>
      <c r="K49">
        <v>469005158</v>
      </c>
      <c r="L49">
        <v>502571938</v>
      </c>
      <c r="M49">
        <v>416168345</v>
      </c>
      <c r="N49">
        <v>395833111</v>
      </c>
      <c r="O49">
        <v>317966615</v>
      </c>
    </row>
    <row r="50" spans="1:20">
      <c r="A50" t="str">
        <f t="shared" si="0"/>
        <v>BLOUNTSTOWNKW</v>
      </c>
      <c r="B50" t="s">
        <v>603</v>
      </c>
      <c r="C50" t="s">
        <v>126</v>
      </c>
    </row>
    <row r="51" spans="1:20">
      <c r="A51" t="str">
        <f t="shared" si="0"/>
        <v>BLOUNTSTOWNN</v>
      </c>
      <c r="B51" t="s">
        <v>603</v>
      </c>
      <c r="C51" t="s">
        <v>127</v>
      </c>
      <c r="D51">
        <v>1</v>
      </c>
      <c r="E51">
        <v>1</v>
      </c>
      <c r="F51">
        <v>1</v>
      </c>
      <c r="G51">
        <v>1</v>
      </c>
      <c r="H51">
        <v>1</v>
      </c>
      <c r="I51">
        <v>1</v>
      </c>
      <c r="J51">
        <v>1</v>
      </c>
      <c r="K51">
        <v>1</v>
      </c>
      <c r="L51">
        <v>1</v>
      </c>
      <c r="M51">
        <v>1</v>
      </c>
      <c r="N51">
        <v>1</v>
      </c>
      <c r="O51">
        <v>1</v>
      </c>
    </row>
    <row r="52" spans="1:20">
      <c r="A52" t="str">
        <f t="shared" si="0"/>
        <v>BLOUNTSTOWNRLR ENERGY:</v>
      </c>
      <c r="B52" t="s">
        <v>603</v>
      </c>
      <c r="C52" t="s">
        <v>61</v>
      </c>
    </row>
    <row r="53" spans="1:20">
      <c r="A53" t="str">
        <f t="shared" si="0"/>
        <v>BLOUNTSTOWNKWH</v>
      </c>
      <c r="B53" t="s">
        <v>603</v>
      </c>
      <c r="C53" t="s">
        <v>128</v>
      </c>
      <c r="D53">
        <v>3643984</v>
      </c>
      <c r="E53">
        <v>2606702</v>
      </c>
      <c r="F53">
        <v>2685405</v>
      </c>
      <c r="G53">
        <v>2650109</v>
      </c>
      <c r="H53">
        <v>3184909</v>
      </c>
      <c r="I53">
        <v>3664642</v>
      </c>
      <c r="J53">
        <v>3860323</v>
      </c>
      <c r="K53">
        <v>4054256</v>
      </c>
      <c r="L53">
        <v>3505075</v>
      </c>
      <c r="M53">
        <v>2903655</v>
      </c>
      <c r="N53">
        <v>2827855</v>
      </c>
      <c r="O53">
        <v>2884736</v>
      </c>
    </row>
    <row r="54" spans="1:20">
      <c r="A54" t="str">
        <f t="shared" si="0"/>
        <v>BLOUNTSTOWNKWH ONPK</v>
      </c>
      <c r="B54" t="s">
        <v>603</v>
      </c>
      <c r="C54" t="s">
        <v>129</v>
      </c>
      <c r="D54">
        <v>992555</v>
      </c>
      <c r="E54">
        <v>696902</v>
      </c>
      <c r="F54">
        <v>675492</v>
      </c>
      <c r="G54">
        <v>872910</v>
      </c>
      <c r="H54">
        <v>1055379</v>
      </c>
      <c r="I54">
        <v>1250057</v>
      </c>
      <c r="J54">
        <v>1329894</v>
      </c>
      <c r="K54">
        <v>1329155</v>
      </c>
      <c r="L54">
        <v>1170964</v>
      </c>
      <c r="M54">
        <v>1020929</v>
      </c>
      <c r="N54">
        <v>673161</v>
      </c>
      <c r="O54">
        <v>761386</v>
      </c>
    </row>
    <row r="55" spans="1:20">
      <c r="A55" t="str">
        <f t="shared" si="0"/>
        <v>BLOUNTSTOWNKWH OFFPK</v>
      </c>
      <c r="B55" t="s">
        <v>603</v>
      </c>
      <c r="C55" t="s">
        <v>130</v>
      </c>
      <c r="D55">
        <v>2651430</v>
      </c>
      <c r="E55">
        <v>1909799</v>
      </c>
      <c r="F55">
        <v>2009912</v>
      </c>
      <c r="G55">
        <v>1777199</v>
      </c>
      <c r="H55">
        <v>2129530</v>
      </c>
      <c r="I55">
        <v>2414585</v>
      </c>
      <c r="J55">
        <v>2530430</v>
      </c>
      <c r="K55">
        <v>2725100</v>
      </c>
      <c r="L55">
        <v>2334111</v>
      </c>
      <c r="M55">
        <v>1882725</v>
      </c>
      <c r="N55">
        <v>2154695</v>
      </c>
      <c r="O55">
        <v>2123350</v>
      </c>
    </row>
    <row r="56" spans="1:20">
      <c r="A56" t="str">
        <f t="shared" si="0"/>
        <v>BLOUNTSTOWNKWH ONPK%</v>
      </c>
      <c r="B56" t="s">
        <v>603</v>
      </c>
      <c r="C56" t="s">
        <v>131</v>
      </c>
      <c r="D56" s="5">
        <v>0.27238000000000001</v>
      </c>
      <c r="E56" s="5">
        <v>0.26734999999999998</v>
      </c>
      <c r="F56" s="5">
        <v>0.25153999999999999</v>
      </c>
      <c r="G56" s="5">
        <v>0.32939000000000002</v>
      </c>
      <c r="H56" s="5">
        <v>0.33137</v>
      </c>
      <c r="I56" s="5">
        <v>0.34111000000000002</v>
      </c>
      <c r="J56" s="5">
        <v>0.34449999999999997</v>
      </c>
      <c r="K56" s="5">
        <v>0.32784000000000002</v>
      </c>
      <c r="L56" s="5">
        <v>0.33407999999999999</v>
      </c>
      <c r="M56" s="5">
        <v>0.35160000000000002</v>
      </c>
      <c r="N56" s="5">
        <v>0.23805000000000001</v>
      </c>
      <c r="O56" s="5">
        <v>0.26394000000000001</v>
      </c>
      <c r="P56" s="5"/>
    </row>
    <row r="57" spans="1:20">
      <c r="A57" t="str">
        <f t="shared" si="0"/>
        <v>BLOUNTSTOWNKWH OFFPK%</v>
      </c>
      <c r="B57" t="s">
        <v>603</v>
      </c>
      <c r="C57" t="s">
        <v>132</v>
      </c>
      <c r="D57" s="5">
        <v>0.72762000000000004</v>
      </c>
      <c r="E57" s="5">
        <v>0.73265000000000002</v>
      </c>
      <c r="F57" s="5">
        <v>0.74846000000000001</v>
      </c>
      <c r="G57" s="5">
        <v>0.67061000000000004</v>
      </c>
      <c r="H57" s="5">
        <v>0.66862999999999995</v>
      </c>
      <c r="I57" s="5">
        <v>0.65888999999999998</v>
      </c>
      <c r="J57" s="5">
        <v>0.65549999999999997</v>
      </c>
      <c r="K57" s="5">
        <v>0.67215999999999998</v>
      </c>
      <c r="L57" s="5">
        <v>0.66591999999999996</v>
      </c>
      <c r="M57" s="5">
        <v>0.64839999999999998</v>
      </c>
      <c r="N57" s="5">
        <v>0.76195000000000002</v>
      </c>
      <c r="O57" s="5">
        <v>0.73606000000000005</v>
      </c>
      <c r="P57" s="5"/>
    </row>
    <row r="58" spans="1:20">
      <c r="A58" t="str">
        <f t="shared" si="0"/>
        <v>BLOUNTSTOWNDEMAND (KW):</v>
      </c>
      <c r="B58" t="s">
        <v>603</v>
      </c>
      <c r="C58" t="s">
        <v>62</v>
      </c>
      <c r="T58" s="491"/>
    </row>
    <row r="59" spans="1:20">
      <c r="A59" t="str">
        <f t="shared" si="0"/>
        <v>BLOUNTSTOWNNCP</v>
      </c>
      <c r="B59" t="s">
        <v>603</v>
      </c>
      <c r="C59" t="s">
        <v>133</v>
      </c>
      <c r="D59">
        <v>8505</v>
      </c>
      <c r="E59">
        <v>6861</v>
      </c>
      <c r="F59">
        <v>5883</v>
      </c>
      <c r="G59">
        <v>6515</v>
      </c>
      <c r="H59">
        <v>7297</v>
      </c>
      <c r="I59">
        <v>8300</v>
      </c>
      <c r="J59">
        <v>8358</v>
      </c>
      <c r="K59">
        <v>8658</v>
      </c>
      <c r="L59">
        <v>8237</v>
      </c>
      <c r="M59">
        <v>6928</v>
      </c>
      <c r="N59">
        <v>7506</v>
      </c>
      <c r="O59">
        <v>6384</v>
      </c>
      <c r="T59" s="491"/>
    </row>
    <row r="60" spans="1:20">
      <c r="A60" t="str">
        <f t="shared" si="0"/>
        <v>BLOUNTSTOWNNCP ONPK</v>
      </c>
      <c r="B60" t="s">
        <v>603</v>
      </c>
      <c r="C60" t="s">
        <v>134</v>
      </c>
      <c r="D60">
        <v>8505</v>
      </c>
      <c r="E60">
        <v>6861</v>
      </c>
      <c r="F60">
        <v>5883</v>
      </c>
      <c r="G60">
        <v>6515</v>
      </c>
      <c r="H60">
        <v>7297</v>
      </c>
      <c r="I60">
        <v>8300</v>
      </c>
      <c r="J60">
        <v>8358</v>
      </c>
      <c r="K60">
        <v>8658</v>
      </c>
      <c r="L60">
        <v>8237</v>
      </c>
      <c r="M60">
        <v>6928</v>
      </c>
      <c r="N60">
        <v>7506</v>
      </c>
      <c r="O60">
        <v>6384</v>
      </c>
      <c r="T60" s="491"/>
    </row>
    <row r="61" spans="1:20">
      <c r="A61" t="str">
        <f t="shared" si="0"/>
        <v>BLOUNTSTOWNNCP OFFPK</v>
      </c>
      <c r="B61" t="s">
        <v>603</v>
      </c>
      <c r="C61" t="s">
        <v>135</v>
      </c>
      <c r="D61">
        <v>8416</v>
      </c>
      <c r="E61">
        <v>6173</v>
      </c>
      <c r="F61">
        <v>5785</v>
      </c>
      <c r="G61">
        <v>5633</v>
      </c>
      <c r="H61">
        <v>6340</v>
      </c>
      <c r="I61">
        <v>7387</v>
      </c>
      <c r="J61">
        <v>7134</v>
      </c>
      <c r="K61">
        <v>7689</v>
      </c>
      <c r="L61">
        <v>7149</v>
      </c>
      <c r="M61">
        <v>6078</v>
      </c>
      <c r="N61">
        <v>6440</v>
      </c>
      <c r="O61">
        <v>6017</v>
      </c>
    </row>
    <row r="62" spans="1:20">
      <c r="A62" t="str">
        <f t="shared" si="0"/>
        <v>BLOUNTSTOWNGCP DATE</v>
      </c>
      <c r="B62" t="s">
        <v>603</v>
      </c>
      <c r="C62" t="s">
        <v>136</v>
      </c>
      <c r="D62" t="s">
        <v>604</v>
      </c>
      <c r="E62" t="s">
        <v>605</v>
      </c>
      <c r="F62" t="s">
        <v>268</v>
      </c>
      <c r="G62" t="s">
        <v>271</v>
      </c>
      <c r="H62" t="s">
        <v>606</v>
      </c>
      <c r="I62" t="s">
        <v>289</v>
      </c>
      <c r="J62" t="s">
        <v>253</v>
      </c>
      <c r="K62" t="s">
        <v>288</v>
      </c>
      <c r="L62" t="s">
        <v>281</v>
      </c>
      <c r="M62" t="s">
        <v>607</v>
      </c>
      <c r="N62" t="s">
        <v>320</v>
      </c>
      <c r="O62" t="s">
        <v>323</v>
      </c>
    </row>
    <row r="63" spans="1:20">
      <c r="A63" t="str">
        <f t="shared" si="0"/>
        <v>BLOUNTSTOWNGCP TIME</v>
      </c>
      <c r="B63" t="s">
        <v>603</v>
      </c>
      <c r="C63" t="s">
        <v>142</v>
      </c>
      <c r="D63" t="s">
        <v>202</v>
      </c>
      <c r="E63" t="s">
        <v>194</v>
      </c>
      <c r="F63" t="s">
        <v>202</v>
      </c>
      <c r="G63" t="s">
        <v>195</v>
      </c>
      <c r="H63" t="s">
        <v>195</v>
      </c>
      <c r="I63" t="s">
        <v>195</v>
      </c>
      <c r="J63" t="s">
        <v>195</v>
      </c>
      <c r="K63" t="s">
        <v>144</v>
      </c>
      <c r="L63" t="s">
        <v>144</v>
      </c>
      <c r="M63" t="s">
        <v>195</v>
      </c>
      <c r="N63" t="s">
        <v>194</v>
      </c>
      <c r="O63" t="s">
        <v>194</v>
      </c>
    </row>
    <row r="64" spans="1:20">
      <c r="A64" t="str">
        <f t="shared" si="0"/>
        <v>BLOUNTSTOWNGCP</v>
      </c>
      <c r="B64" t="s">
        <v>603</v>
      </c>
      <c r="C64" t="s">
        <v>147</v>
      </c>
      <c r="D64">
        <v>8505</v>
      </c>
      <c r="E64">
        <v>6861</v>
      </c>
      <c r="F64">
        <v>5883</v>
      </c>
      <c r="G64">
        <v>6515</v>
      </c>
      <c r="H64">
        <v>7297</v>
      </c>
      <c r="I64">
        <v>8300</v>
      </c>
      <c r="J64">
        <v>8358</v>
      </c>
      <c r="K64">
        <v>8658</v>
      </c>
      <c r="L64">
        <v>8237</v>
      </c>
      <c r="M64">
        <v>6928</v>
      </c>
      <c r="N64">
        <v>7506</v>
      </c>
      <c r="O64">
        <v>6384</v>
      </c>
    </row>
    <row r="65" spans="1:20">
      <c r="A65" t="str">
        <f t="shared" si="0"/>
        <v>BLOUNTSTOWNGCP ONPK</v>
      </c>
      <c r="B65" t="s">
        <v>603</v>
      </c>
      <c r="C65" t="s">
        <v>63</v>
      </c>
      <c r="D65">
        <v>8505</v>
      </c>
      <c r="E65">
        <v>6861</v>
      </c>
      <c r="F65">
        <v>5883</v>
      </c>
      <c r="G65">
        <v>6515</v>
      </c>
      <c r="H65">
        <v>7297</v>
      </c>
      <c r="I65">
        <v>8300</v>
      </c>
      <c r="J65">
        <v>8358</v>
      </c>
      <c r="K65">
        <v>8658</v>
      </c>
      <c r="L65">
        <v>8237</v>
      </c>
      <c r="M65">
        <v>6928</v>
      </c>
      <c r="N65">
        <v>7506</v>
      </c>
      <c r="O65">
        <v>6384</v>
      </c>
    </row>
    <row r="66" spans="1:20">
      <c r="A66" t="str">
        <f t="shared" si="0"/>
        <v>BLOUNTSTOWNGCP OFFPK</v>
      </c>
      <c r="B66" t="s">
        <v>603</v>
      </c>
      <c r="C66" t="s">
        <v>64</v>
      </c>
      <c r="D66">
        <v>8416</v>
      </c>
      <c r="E66">
        <v>6173</v>
      </c>
      <c r="F66">
        <v>5785</v>
      </c>
      <c r="G66">
        <v>5633</v>
      </c>
      <c r="H66">
        <v>6340</v>
      </c>
      <c r="I66">
        <v>7387</v>
      </c>
      <c r="J66">
        <v>7134</v>
      </c>
      <c r="K66">
        <v>7689</v>
      </c>
      <c r="L66">
        <v>7149</v>
      </c>
      <c r="M66">
        <v>6078</v>
      </c>
      <c r="N66">
        <v>6440</v>
      </c>
      <c r="O66">
        <v>6017</v>
      </c>
    </row>
    <row r="67" spans="1:20">
      <c r="A67" t="str">
        <f t="shared" si="0"/>
        <v>BLOUNTSTOWNCP</v>
      </c>
      <c r="B67" t="s">
        <v>603</v>
      </c>
      <c r="C67" t="s">
        <v>148</v>
      </c>
      <c r="D67">
        <v>7005</v>
      </c>
      <c r="E67">
        <v>4416</v>
      </c>
      <c r="F67">
        <v>3073</v>
      </c>
      <c r="G67">
        <v>6515</v>
      </c>
      <c r="H67">
        <v>6900</v>
      </c>
      <c r="I67">
        <v>7066</v>
      </c>
      <c r="J67">
        <v>8358</v>
      </c>
      <c r="K67">
        <v>8412</v>
      </c>
      <c r="L67">
        <v>8215</v>
      </c>
      <c r="M67">
        <v>5359</v>
      </c>
      <c r="N67">
        <v>4212</v>
      </c>
      <c r="O67">
        <v>3874</v>
      </c>
      <c r="T67" s="491"/>
    </row>
    <row r="68" spans="1:20">
      <c r="A68" t="str">
        <f t="shared" si="0"/>
        <v>BLOUNTSTOWNPERIOD START</v>
      </c>
      <c r="B68" t="s">
        <v>603</v>
      </c>
      <c r="C68" t="s">
        <v>149</v>
      </c>
      <c r="D68" s="1">
        <v>41640</v>
      </c>
      <c r="E68" s="1">
        <v>41671</v>
      </c>
      <c r="F68" s="1">
        <v>41699</v>
      </c>
      <c r="G68" s="1">
        <v>41730</v>
      </c>
      <c r="H68" s="1">
        <v>41760</v>
      </c>
      <c r="I68" s="1">
        <v>41791</v>
      </c>
      <c r="J68" s="1">
        <v>41821</v>
      </c>
      <c r="K68" s="1">
        <v>41852</v>
      </c>
      <c r="L68" s="1">
        <v>41883</v>
      </c>
      <c r="M68" s="1">
        <v>41913</v>
      </c>
      <c r="N68" s="1">
        <v>41944</v>
      </c>
      <c r="O68" s="1">
        <v>41974</v>
      </c>
      <c r="P68" s="1"/>
    </row>
    <row r="69" spans="1:20">
      <c r="A69" t="str">
        <f t="shared" si="0"/>
        <v>BLOUNTSTOWNNCP LF</v>
      </c>
      <c r="B69" t="s">
        <v>603</v>
      </c>
      <c r="C69" t="s">
        <v>150</v>
      </c>
      <c r="D69" s="5">
        <v>0.57589999999999997</v>
      </c>
      <c r="E69" s="5">
        <v>0.56530000000000002</v>
      </c>
      <c r="F69" s="5">
        <v>0.61439999999999995</v>
      </c>
      <c r="G69" s="5">
        <v>0.56489999999999996</v>
      </c>
      <c r="H69" s="5">
        <v>0.58660000000000001</v>
      </c>
      <c r="I69" s="5">
        <v>0.61319999999999997</v>
      </c>
      <c r="J69" s="5">
        <v>0.62080000000000002</v>
      </c>
      <c r="K69" s="5">
        <v>0.62939999999999996</v>
      </c>
      <c r="L69" s="5">
        <v>0.59099999999999997</v>
      </c>
      <c r="M69" s="5">
        <v>0.56330000000000002</v>
      </c>
      <c r="N69" s="5">
        <v>0.5232</v>
      </c>
      <c r="O69" s="5">
        <v>0.60729999999999995</v>
      </c>
      <c r="P69" s="5"/>
    </row>
    <row r="70" spans="1:20">
      <c r="A70" t="str">
        <f t="shared" si="0"/>
        <v>BLOUNTSTOWNNCP LF ONPK</v>
      </c>
      <c r="B70" t="s">
        <v>603</v>
      </c>
      <c r="C70" t="s">
        <v>151</v>
      </c>
      <c r="D70" s="5">
        <v>0.66310000000000002</v>
      </c>
      <c r="E70" s="5">
        <v>0.63480000000000003</v>
      </c>
      <c r="F70" s="5">
        <v>0.6835</v>
      </c>
      <c r="G70" s="5">
        <v>0.67669999999999997</v>
      </c>
      <c r="H70" s="5">
        <v>0.76519999999999999</v>
      </c>
      <c r="I70" s="5">
        <v>0.79690000000000005</v>
      </c>
      <c r="J70" s="5">
        <v>0.80369999999999997</v>
      </c>
      <c r="K70" s="5">
        <v>0.81230000000000002</v>
      </c>
      <c r="L70" s="5">
        <v>0.75209999999999999</v>
      </c>
      <c r="M70" s="5">
        <v>0.71189999999999998</v>
      </c>
      <c r="N70" s="5">
        <v>0.59</v>
      </c>
      <c r="O70" s="5">
        <v>0.67759999999999998</v>
      </c>
      <c r="P70" s="5"/>
    </row>
    <row r="71" spans="1:20">
      <c r="A71" t="str">
        <f t="shared" si="0"/>
        <v>BLOUNTSTOWNNCP LF OFFPK</v>
      </c>
      <c r="B71" t="s">
        <v>603</v>
      </c>
      <c r="C71" t="s">
        <v>152</v>
      </c>
      <c r="D71" s="5">
        <v>0.55469999999999997</v>
      </c>
      <c r="E71" s="5">
        <v>0.60419999999999996</v>
      </c>
      <c r="F71" s="5">
        <v>0.60419999999999996</v>
      </c>
      <c r="G71" s="5">
        <v>0.60440000000000005</v>
      </c>
      <c r="H71" s="5">
        <v>0.60519999999999996</v>
      </c>
      <c r="I71" s="5">
        <v>0.61560000000000004</v>
      </c>
      <c r="J71" s="5">
        <v>0.64959999999999996</v>
      </c>
      <c r="K71" s="5">
        <v>0.63859999999999995</v>
      </c>
      <c r="L71" s="5">
        <v>0.6149</v>
      </c>
      <c r="M71" s="5">
        <v>0.57679999999999998</v>
      </c>
      <c r="N71" s="5">
        <v>0.58909999999999996</v>
      </c>
      <c r="O71" s="5">
        <v>0.62119999999999997</v>
      </c>
      <c r="P71" s="5"/>
    </row>
    <row r="72" spans="1:20">
      <c r="A72" t="str">
        <f t="shared" si="0"/>
        <v>BLOUNTSTOWNGCP CF</v>
      </c>
      <c r="B72" t="s">
        <v>603</v>
      </c>
      <c r="C72" t="s">
        <v>153</v>
      </c>
      <c r="D72" s="5">
        <v>1</v>
      </c>
      <c r="E72" s="5">
        <v>1</v>
      </c>
      <c r="F72" s="5">
        <v>1</v>
      </c>
      <c r="G72" s="5">
        <v>1</v>
      </c>
      <c r="H72" s="5">
        <v>1</v>
      </c>
      <c r="I72" s="5">
        <v>1</v>
      </c>
      <c r="J72" s="5">
        <v>1</v>
      </c>
      <c r="K72" s="5">
        <v>1</v>
      </c>
      <c r="L72" s="5">
        <v>1</v>
      </c>
      <c r="M72" s="5">
        <v>1</v>
      </c>
      <c r="N72" s="5">
        <v>1</v>
      </c>
      <c r="O72" s="5">
        <v>1</v>
      </c>
      <c r="P72" s="5"/>
    </row>
    <row r="73" spans="1:20">
      <c r="A73" t="str">
        <f t="shared" si="0"/>
        <v>BLOUNTSTOWNCP CF</v>
      </c>
      <c r="B73" t="s">
        <v>603</v>
      </c>
      <c r="C73" t="s">
        <v>154</v>
      </c>
      <c r="D73" s="5">
        <v>0.8236</v>
      </c>
      <c r="E73" s="5">
        <v>0.64359999999999995</v>
      </c>
      <c r="F73" s="5">
        <v>0.52239999999999998</v>
      </c>
      <c r="G73" s="5">
        <v>1</v>
      </c>
      <c r="H73" s="5">
        <v>0.9456</v>
      </c>
      <c r="I73" s="5">
        <v>0.85129999999999995</v>
      </c>
      <c r="J73" s="5">
        <v>1</v>
      </c>
      <c r="K73" s="5">
        <v>0.97160000000000002</v>
      </c>
      <c r="L73" s="5">
        <v>0.99729999999999996</v>
      </c>
      <c r="M73" s="5">
        <v>0.77349999999999997</v>
      </c>
      <c r="N73" s="5">
        <v>0.56110000000000004</v>
      </c>
      <c r="O73" s="5">
        <v>0.60680000000000001</v>
      </c>
      <c r="P73" s="5"/>
    </row>
    <row r="74" spans="1:20">
      <c r="A74" t="str">
        <f t="shared" si="0"/>
        <v>BLOUNTSTOWNGCP LF</v>
      </c>
      <c r="B74" t="s">
        <v>603</v>
      </c>
      <c r="C74" t="s">
        <v>155</v>
      </c>
      <c r="D74" s="5">
        <v>0.57589999999999997</v>
      </c>
      <c r="E74" s="5">
        <v>0.56530000000000002</v>
      </c>
      <c r="F74" s="5">
        <v>0.61439999999999995</v>
      </c>
      <c r="G74" s="5">
        <v>0.56489999999999996</v>
      </c>
      <c r="H74" s="5">
        <v>0.58660000000000001</v>
      </c>
      <c r="I74" s="5">
        <v>0.61319999999999997</v>
      </c>
      <c r="J74" s="5">
        <v>0.62080000000000002</v>
      </c>
      <c r="K74" s="5">
        <v>0.62939999999999996</v>
      </c>
      <c r="L74" s="5">
        <v>0.59099999999999997</v>
      </c>
      <c r="M74" s="5">
        <v>0.56330000000000002</v>
      </c>
      <c r="N74" s="5">
        <v>0.5232</v>
      </c>
      <c r="O74" s="5">
        <v>0.60729999999999995</v>
      </c>
      <c r="P74" s="5"/>
    </row>
    <row r="75" spans="1:20">
      <c r="A75" t="str">
        <f t="shared" si="0"/>
        <v>BLOUNTSTOWNGCP LF ONPK</v>
      </c>
      <c r="B75" t="s">
        <v>603</v>
      </c>
      <c r="C75" t="s">
        <v>156</v>
      </c>
      <c r="D75" s="5">
        <v>0.66310000000000002</v>
      </c>
      <c r="E75" s="5">
        <v>0.63480000000000003</v>
      </c>
      <c r="F75" s="5">
        <v>0.6835</v>
      </c>
      <c r="G75" s="5">
        <v>0.67669999999999997</v>
      </c>
      <c r="H75" s="5">
        <v>0.76519999999999999</v>
      </c>
      <c r="I75" s="5">
        <v>0.79690000000000005</v>
      </c>
      <c r="J75" s="5">
        <v>0.80369999999999997</v>
      </c>
      <c r="K75" s="5">
        <v>0.81230000000000002</v>
      </c>
      <c r="L75" s="5">
        <v>0.75209999999999999</v>
      </c>
      <c r="M75" s="5">
        <v>0.71189999999999998</v>
      </c>
      <c r="N75" s="5">
        <v>0.59</v>
      </c>
      <c r="O75" s="5">
        <v>0.67759999999999998</v>
      </c>
      <c r="P75" s="5"/>
    </row>
    <row r="76" spans="1:20">
      <c r="A76" t="str">
        <f t="shared" si="0"/>
        <v>BLOUNTSTOWNGCP LF OFFPK</v>
      </c>
      <c r="B76" t="s">
        <v>603</v>
      </c>
      <c r="C76" t="s">
        <v>157</v>
      </c>
      <c r="D76" s="5">
        <v>0.55469999999999997</v>
      </c>
      <c r="E76" s="5">
        <v>0.60419999999999996</v>
      </c>
      <c r="F76" s="5">
        <v>0.60419999999999996</v>
      </c>
      <c r="G76" s="5">
        <v>0.60440000000000005</v>
      </c>
      <c r="H76" s="5">
        <v>0.60519999999999996</v>
      </c>
      <c r="I76" s="5">
        <v>0.61560000000000004</v>
      </c>
      <c r="J76" s="5">
        <v>0.64959999999999996</v>
      </c>
      <c r="K76" s="5">
        <v>0.63859999999999995</v>
      </c>
      <c r="L76" s="5">
        <v>0.6149</v>
      </c>
      <c r="M76" s="5">
        <v>0.57679999999999998</v>
      </c>
      <c r="N76" s="5">
        <v>0.58909999999999996</v>
      </c>
      <c r="O76" s="5">
        <v>0.62119999999999997</v>
      </c>
      <c r="P76" s="5"/>
    </row>
    <row r="77" spans="1:20">
      <c r="A77" t="str">
        <f t="shared" si="0"/>
        <v>BLOUNTSTOWNCP LF</v>
      </c>
      <c r="B77" t="s">
        <v>603</v>
      </c>
      <c r="C77" t="s">
        <v>158</v>
      </c>
      <c r="D77" s="5">
        <v>0.69920000000000004</v>
      </c>
      <c r="E77" s="5">
        <v>0.87849999999999995</v>
      </c>
      <c r="F77" s="5">
        <v>1.1760999999999999</v>
      </c>
      <c r="G77" s="5">
        <v>0.56489999999999996</v>
      </c>
      <c r="H77" s="5">
        <v>0.62039999999999995</v>
      </c>
      <c r="I77" s="5">
        <v>0.72030000000000005</v>
      </c>
      <c r="J77" s="5">
        <v>0.62080000000000002</v>
      </c>
      <c r="K77" s="5">
        <v>0.64780000000000004</v>
      </c>
      <c r="L77" s="5">
        <v>0.59260000000000002</v>
      </c>
      <c r="M77" s="5">
        <v>0.72829999999999995</v>
      </c>
      <c r="N77" s="5">
        <v>0.9325</v>
      </c>
      <c r="O77" s="5">
        <v>1.0008999999999999</v>
      </c>
      <c r="P77" s="5"/>
    </row>
    <row r="78" spans="1:20">
      <c r="A78" t="str">
        <f t="shared" si="0"/>
        <v>BLOUNTSTOWNREL PREC:</v>
      </c>
      <c r="B78" t="s">
        <v>603</v>
      </c>
      <c r="C78" t="s">
        <v>65</v>
      </c>
    </row>
    <row r="79" spans="1:20">
      <c r="A79" t="str">
        <f t="shared" si="0"/>
        <v>BLOUNTSTOWNNCP RP</v>
      </c>
      <c r="B79" t="s">
        <v>603</v>
      </c>
      <c r="C79" t="s">
        <v>159</v>
      </c>
      <c r="D79" s="5">
        <v>0</v>
      </c>
      <c r="E79" s="5">
        <v>0</v>
      </c>
      <c r="F79" s="5">
        <v>0</v>
      </c>
      <c r="G79" s="5">
        <v>0</v>
      </c>
      <c r="H79" s="5">
        <v>0</v>
      </c>
      <c r="I79" s="5">
        <v>0</v>
      </c>
      <c r="J79" s="5">
        <v>0</v>
      </c>
      <c r="K79" s="5">
        <v>0</v>
      </c>
      <c r="L79" s="5">
        <v>0</v>
      </c>
      <c r="M79" s="5">
        <v>0</v>
      </c>
      <c r="N79" s="5">
        <v>0</v>
      </c>
      <c r="O79" s="5">
        <v>0</v>
      </c>
      <c r="P79" s="5"/>
    </row>
    <row r="80" spans="1:20">
      <c r="A80" t="str">
        <f t="shared" si="0"/>
        <v>BLOUNTSTOWNNCP RP ONPK</v>
      </c>
      <c r="B80" t="s">
        <v>603</v>
      </c>
      <c r="C80" t="s">
        <v>160</v>
      </c>
      <c r="D80" s="5">
        <v>0</v>
      </c>
      <c r="E80" s="5">
        <v>0</v>
      </c>
      <c r="F80" s="5">
        <v>0</v>
      </c>
      <c r="G80" s="5">
        <v>0</v>
      </c>
      <c r="H80" s="5">
        <v>0</v>
      </c>
      <c r="I80" s="5">
        <v>0</v>
      </c>
      <c r="J80" s="5">
        <v>0</v>
      </c>
      <c r="K80" s="5">
        <v>0</v>
      </c>
      <c r="L80" s="5">
        <v>0</v>
      </c>
      <c r="M80" s="5">
        <v>0</v>
      </c>
      <c r="N80" s="5">
        <v>0</v>
      </c>
      <c r="O80" s="5">
        <v>0</v>
      </c>
      <c r="P80" s="5"/>
    </row>
    <row r="81" spans="1:16">
      <c r="A81" t="str">
        <f t="shared" si="0"/>
        <v>BLOUNTSTOWNNCP RP OFFPK</v>
      </c>
      <c r="B81" t="s">
        <v>603</v>
      </c>
      <c r="C81" t="s">
        <v>161</v>
      </c>
      <c r="D81" s="5">
        <v>0</v>
      </c>
      <c r="E81" s="5">
        <v>0</v>
      </c>
      <c r="F81" s="5">
        <v>0</v>
      </c>
      <c r="G81" s="5">
        <v>0</v>
      </c>
      <c r="H81" s="5">
        <v>0</v>
      </c>
      <c r="I81" s="5">
        <v>0</v>
      </c>
      <c r="J81" s="5">
        <v>0</v>
      </c>
      <c r="K81" s="5">
        <v>0</v>
      </c>
      <c r="L81" s="5">
        <v>0</v>
      </c>
      <c r="M81" s="5">
        <v>0</v>
      </c>
      <c r="N81" s="5">
        <v>0</v>
      </c>
      <c r="O81" s="5">
        <v>0</v>
      </c>
      <c r="P81" s="5"/>
    </row>
    <row r="82" spans="1:16">
      <c r="A82" t="str">
        <f t="shared" si="0"/>
        <v>BLOUNTSTOWNGCP RP</v>
      </c>
      <c r="B82" t="s">
        <v>603</v>
      </c>
      <c r="C82" t="s">
        <v>162</v>
      </c>
      <c r="D82" s="5">
        <v>0</v>
      </c>
      <c r="E82" s="5">
        <v>0</v>
      </c>
      <c r="F82" s="5">
        <v>0</v>
      </c>
      <c r="G82" s="5">
        <v>0</v>
      </c>
      <c r="H82" s="5">
        <v>0</v>
      </c>
      <c r="I82" s="5">
        <v>0</v>
      </c>
      <c r="J82" s="5">
        <v>0</v>
      </c>
      <c r="K82" s="5">
        <v>0</v>
      </c>
      <c r="L82" s="5">
        <v>0</v>
      </c>
      <c r="M82" s="5">
        <v>0</v>
      </c>
      <c r="N82" s="5">
        <v>0</v>
      </c>
      <c r="O82" s="5">
        <v>0</v>
      </c>
      <c r="P82" s="5"/>
    </row>
    <row r="83" spans="1:16">
      <c r="A83" t="str">
        <f t="shared" si="0"/>
        <v>BLOUNTSTOWNGCP RP ONPK</v>
      </c>
      <c r="B83" t="s">
        <v>603</v>
      </c>
      <c r="C83" t="s">
        <v>163</v>
      </c>
      <c r="D83" s="5">
        <v>0</v>
      </c>
      <c r="E83" s="5">
        <v>0</v>
      </c>
      <c r="F83" s="5">
        <v>0</v>
      </c>
      <c r="G83" s="5">
        <v>0</v>
      </c>
      <c r="H83" s="5">
        <v>0</v>
      </c>
      <c r="I83" s="5">
        <v>0</v>
      </c>
      <c r="J83" s="5">
        <v>0</v>
      </c>
      <c r="K83" s="5">
        <v>0</v>
      </c>
      <c r="L83" s="5">
        <v>0</v>
      </c>
      <c r="M83" s="5">
        <v>0</v>
      </c>
      <c r="N83" s="5">
        <v>0</v>
      </c>
      <c r="O83" s="5">
        <v>0</v>
      </c>
      <c r="P83" s="5"/>
    </row>
    <row r="84" spans="1:16">
      <c r="A84" t="str">
        <f t="shared" si="0"/>
        <v>BLOUNTSTOWNGCP RP OFFPK</v>
      </c>
      <c r="B84" t="s">
        <v>603</v>
      </c>
      <c r="C84" t="s">
        <v>164</v>
      </c>
      <c r="D84" s="5">
        <v>0</v>
      </c>
      <c r="E84" s="5">
        <v>0</v>
      </c>
      <c r="F84" s="5">
        <v>0</v>
      </c>
      <c r="G84" s="5">
        <v>0</v>
      </c>
      <c r="H84" s="5">
        <v>0</v>
      </c>
      <c r="I84" s="5">
        <v>0</v>
      </c>
      <c r="J84" s="5">
        <v>0</v>
      </c>
      <c r="K84" s="5">
        <v>0</v>
      </c>
      <c r="L84" s="5">
        <v>0</v>
      </c>
      <c r="M84" s="5">
        <v>0</v>
      </c>
      <c r="N84" s="5">
        <v>0</v>
      </c>
      <c r="O84" s="5">
        <v>0</v>
      </c>
      <c r="P84" s="5"/>
    </row>
    <row r="85" spans="1:16">
      <c r="A85" t="str">
        <f t="shared" si="0"/>
        <v>BLOUNTSTOWNCP RP</v>
      </c>
      <c r="B85" t="s">
        <v>603</v>
      </c>
      <c r="C85" t="s">
        <v>165</v>
      </c>
      <c r="D85" s="5">
        <v>0</v>
      </c>
      <c r="E85" s="5">
        <v>0</v>
      </c>
      <c r="F85" s="5">
        <v>0</v>
      </c>
      <c r="G85" s="5">
        <v>0</v>
      </c>
      <c r="H85" s="5">
        <v>0</v>
      </c>
      <c r="I85" s="5">
        <v>0</v>
      </c>
      <c r="J85" s="5">
        <v>0</v>
      </c>
      <c r="K85" s="5">
        <v>0</v>
      </c>
      <c r="L85" s="5">
        <v>0</v>
      </c>
      <c r="M85" s="5">
        <v>0</v>
      </c>
      <c r="N85" s="5">
        <v>0</v>
      </c>
      <c r="O85" s="5">
        <v>0</v>
      </c>
      <c r="P85" s="5"/>
    </row>
    <row r="86" spans="1:16">
      <c r="A86" t="str">
        <f t="shared" si="0"/>
        <v>BLOUNTSTOWNSAMPLE SIZE:</v>
      </c>
      <c r="B86" t="s">
        <v>603</v>
      </c>
      <c r="C86" t="s">
        <v>66</v>
      </c>
    </row>
    <row r="87" spans="1:16">
      <c r="A87" t="str">
        <f t="shared" si="0"/>
        <v>BLOUNTSTOWNGCPSZ</v>
      </c>
      <c r="B87" t="s">
        <v>603</v>
      </c>
      <c r="C87" t="s">
        <v>166</v>
      </c>
      <c r="D87">
        <v>1</v>
      </c>
      <c r="E87">
        <v>1</v>
      </c>
      <c r="F87">
        <v>1</v>
      </c>
      <c r="G87">
        <v>1</v>
      </c>
      <c r="H87">
        <v>1</v>
      </c>
      <c r="I87">
        <v>1</v>
      </c>
      <c r="J87">
        <v>1</v>
      </c>
      <c r="K87">
        <v>1</v>
      </c>
      <c r="L87">
        <v>1</v>
      </c>
      <c r="M87">
        <v>1</v>
      </c>
      <c r="N87">
        <v>1</v>
      </c>
      <c r="O87">
        <v>1</v>
      </c>
    </row>
    <row r="88" spans="1:16">
      <c r="A88" t="str">
        <f t="shared" si="0"/>
        <v>BLOUNTSTOWNGCPSZ ONPK</v>
      </c>
      <c r="B88" t="s">
        <v>603</v>
      </c>
      <c r="C88" t="s">
        <v>167</v>
      </c>
      <c r="D88">
        <v>1</v>
      </c>
      <c r="E88">
        <v>1</v>
      </c>
      <c r="F88">
        <v>1</v>
      </c>
      <c r="G88">
        <v>1</v>
      </c>
      <c r="H88">
        <v>1</v>
      </c>
      <c r="I88">
        <v>1</v>
      </c>
      <c r="J88">
        <v>1</v>
      </c>
      <c r="K88">
        <v>1</v>
      </c>
      <c r="L88">
        <v>1</v>
      </c>
      <c r="M88">
        <v>1</v>
      </c>
      <c r="N88">
        <v>1</v>
      </c>
      <c r="O88">
        <v>1</v>
      </c>
    </row>
    <row r="89" spans="1:16">
      <c r="A89" t="str">
        <f t="shared" si="0"/>
        <v>BLOUNTSTOWNGCPSZ OFFPK</v>
      </c>
      <c r="B89" t="s">
        <v>603</v>
      </c>
      <c r="C89" t="s">
        <v>168</v>
      </c>
      <c r="D89">
        <v>1</v>
      </c>
      <c r="E89">
        <v>1</v>
      </c>
      <c r="F89">
        <v>1</v>
      </c>
      <c r="G89">
        <v>1</v>
      </c>
      <c r="H89">
        <v>1</v>
      </c>
      <c r="I89">
        <v>1</v>
      </c>
      <c r="J89">
        <v>1</v>
      </c>
      <c r="K89">
        <v>1</v>
      </c>
      <c r="L89">
        <v>1</v>
      </c>
      <c r="M89">
        <v>1</v>
      </c>
      <c r="N89">
        <v>1</v>
      </c>
      <c r="O89">
        <v>1</v>
      </c>
    </row>
    <row r="90" spans="1:16">
      <c r="A90" t="str">
        <f t="shared" si="0"/>
        <v>BLOUNTSTOWNCPSZ</v>
      </c>
      <c r="B90" t="s">
        <v>603</v>
      </c>
      <c r="C90" t="s">
        <v>169</v>
      </c>
      <c r="D90">
        <v>1</v>
      </c>
      <c r="E90">
        <v>1</v>
      </c>
      <c r="F90">
        <v>1</v>
      </c>
      <c r="G90">
        <v>1</v>
      </c>
      <c r="H90">
        <v>1</v>
      </c>
      <c r="I90">
        <v>1</v>
      </c>
      <c r="J90">
        <v>1</v>
      </c>
      <c r="K90">
        <v>1</v>
      </c>
      <c r="L90">
        <v>1</v>
      </c>
      <c r="M90">
        <v>1</v>
      </c>
      <c r="N90">
        <v>1</v>
      </c>
      <c r="O90">
        <v>1</v>
      </c>
    </row>
    <row r="91" spans="1:16">
      <c r="A91" t="str">
        <f t="shared" si="0"/>
        <v/>
      </c>
    </row>
    <row r="92" spans="1:16" ht="14.4">
      <c r="A92" t="str">
        <f t="shared" si="0"/>
        <v>NOTE:     Sales line does not match sales in the Rate and Revenue Report due to billing lag.</v>
      </c>
      <c r="B92" s="301" t="s">
        <v>608</v>
      </c>
    </row>
    <row r="93" spans="1:16">
      <c r="A93" t="str">
        <f t="shared" si="0"/>
        <v xml:space="preserve">                 In addition, the City of Blountstown, FKEC, City of Wauchula and Lee County are classified as Rate Code 940. The sales for the contracts are reported combined in the Rate &amp; Revenue Report.</v>
      </c>
      <c r="B93" s="302" t="s">
        <v>609</v>
      </c>
    </row>
    <row r="94" spans="1:16">
      <c r="A94" t="str">
        <f t="shared" si="0"/>
        <v xml:space="preserve">CILC1D Commercial/Industrial Load Control - Distribution (54) </v>
      </c>
      <c r="B94" t="s">
        <v>120</v>
      </c>
      <c r="C94" t="s">
        <v>121</v>
      </c>
    </row>
    <row r="95" spans="1:16">
      <c r="A95" t="str">
        <f t="shared" si="0"/>
        <v xml:space="preserve">CILC1DMONTH </v>
      </c>
      <c r="B95" t="s">
        <v>122</v>
      </c>
      <c r="C95" t="s">
        <v>123</v>
      </c>
      <c r="D95" s="4">
        <v>41640</v>
      </c>
      <c r="E95" s="4">
        <v>41671</v>
      </c>
      <c r="F95" s="4">
        <v>41699</v>
      </c>
      <c r="G95" s="4">
        <v>41730</v>
      </c>
      <c r="H95" s="4">
        <v>41760</v>
      </c>
      <c r="I95" s="4">
        <v>41791</v>
      </c>
      <c r="J95" s="4">
        <v>41821</v>
      </c>
      <c r="K95" s="4">
        <v>41852</v>
      </c>
      <c r="L95" s="4">
        <v>41883</v>
      </c>
      <c r="M95" s="4">
        <v>41913</v>
      </c>
      <c r="N95" s="4">
        <v>41944</v>
      </c>
      <c r="O95" s="4">
        <v>41974</v>
      </c>
      <c r="P95" s="4"/>
    </row>
    <row r="96" spans="1:16">
      <c r="A96" t="str">
        <f t="shared" si="0"/>
        <v xml:space="preserve">CILC1DCUSTOMERS </v>
      </c>
      <c r="B96" t="s">
        <v>122</v>
      </c>
      <c r="C96" t="s">
        <v>124</v>
      </c>
      <c r="D96">
        <v>313</v>
      </c>
      <c r="E96">
        <v>313</v>
      </c>
      <c r="F96">
        <v>313</v>
      </c>
      <c r="G96">
        <v>294</v>
      </c>
      <c r="H96">
        <v>292</v>
      </c>
      <c r="I96">
        <v>290</v>
      </c>
      <c r="J96">
        <v>291</v>
      </c>
      <c r="K96">
        <v>291</v>
      </c>
      <c r="L96">
        <v>291</v>
      </c>
      <c r="M96">
        <v>291</v>
      </c>
      <c r="N96">
        <v>291</v>
      </c>
      <c r="O96">
        <v>287</v>
      </c>
    </row>
    <row r="97" spans="1:20">
      <c r="A97" t="str">
        <f t="shared" si="0"/>
        <v xml:space="preserve">CILC1DSALES </v>
      </c>
      <c r="B97" t="s">
        <v>122</v>
      </c>
      <c r="C97" t="s">
        <v>125</v>
      </c>
      <c r="D97">
        <v>236373858</v>
      </c>
      <c r="E97">
        <v>221147094</v>
      </c>
      <c r="F97">
        <v>212538839</v>
      </c>
      <c r="G97">
        <v>229852165</v>
      </c>
      <c r="H97">
        <v>228681330</v>
      </c>
      <c r="I97">
        <v>231558838</v>
      </c>
      <c r="J97">
        <v>240684459</v>
      </c>
      <c r="K97">
        <v>241882294</v>
      </c>
      <c r="L97">
        <v>247186911</v>
      </c>
      <c r="M97">
        <v>228733040</v>
      </c>
      <c r="N97">
        <v>219509265</v>
      </c>
      <c r="O97">
        <v>216001677</v>
      </c>
    </row>
    <row r="98" spans="1:20">
      <c r="A98" t="str">
        <f t="shared" si="0"/>
        <v>CILC1DKW</v>
      </c>
      <c r="B98" t="s">
        <v>122</v>
      </c>
      <c r="C98" t="s">
        <v>126</v>
      </c>
    </row>
    <row r="99" spans="1:20">
      <c r="A99" t="str">
        <f t="shared" si="0"/>
        <v>CILC1DN</v>
      </c>
      <c r="B99" t="s">
        <v>122</v>
      </c>
      <c r="C99" t="s">
        <v>127</v>
      </c>
      <c r="D99">
        <v>313</v>
      </c>
      <c r="E99">
        <v>313</v>
      </c>
      <c r="F99">
        <v>313</v>
      </c>
      <c r="G99">
        <v>313</v>
      </c>
      <c r="H99">
        <v>291</v>
      </c>
      <c r="I99">
        <v>290</v>
      </c>
      <c r="J99">
        <v>290</v>
      </c>
      <c r="K99">
        <v>291</v>
      </c>
      <c r="L99">
        <v>291</v>
      </c>
      <c r="M99">
        <v>291</v>
      </c>
      <c r="N99">
        <v>291</v>
      </c>
      <c r="O99">
        <v>290</v>
      </c>
    </row>
    <row r="100" spans="1:20">
      <c r="A100" t="str">
        <f t="shared" si="0"/>
        <v>CILC1DRLR ENERGY:</v>
      </c>
      <c r="B100" t="s">
        <v>122</v>
      </c>
      <c r="C100" t="s">
        <v>61</v>
      </c>
    </row>
    <row r="101" spans="1:20">
      <c r="A101" t="str">
        <f t="shared" si="0"/>
        <v>CILC1DKWH</v>
      </c>
      <c r="B101" t="s">
        <v>122</v>
      </c>
      <c r="C101" t="s">
        <v>128</v>
      </c>
      <c r="D101">
        <v>238235898</v>
      </c>
      <c r="E101">
        <v>220275876</v>
      </c>
      <c r="F101">
        <v>216599087</v>
      </c>
      <c r="G101">
        <v>226528203</v>
      </c>
      <c r="H101">
        <v>229739269</v>
      </c>
      <c r="I101">
        <v>233369529</v>
      </c>
      <c r="J101">
        <v>239223253</v>
      </c>
      <c r="K101">
        <v>243426000</v>
      </c>
      <c r="L101">
        <v>243580177</v>
      </c>
      <c r="M101">
        <v>229570625</v>
      </c>
      <c r="N101">
        <v>219350081</v>
      </c>
      <c r="O101">
        <v>216857105</v>
      </c>
    </row>
    <row r="102" spans="1:20">
      <c r="A102" t="str">
        <f t="shared" si="0"/>
        <v>CILC1DKWH ONPK</v>
      </c>
      <c r="B102" t="s">
        <v>122</v>
      </c>
      <c r="C102" t="s">
        <v>129</v>
      </c>
      <c r="D102">
        <v>58320068</v>
      </c>
      <c r="E102">
        <v>54311150</v>
      </c>
      <c r="F102">
        <v>50984203</v>
      </c>
      <c r="G102">
        <v>66168305</v>
      </c>
      <c r="H102">
        <v>62013281</v>
      </c>
      <c r="I102">
        <v>64835892</v>
      </c>
      <c r="J102">
        <v>67525654</v>
      </c>
      <c r="K102">
        <v>65554295</v>
      </c>
      <c r="L102">
        <v>67824755</v>
      </c>
      <c r="M102">
        <v>67862474</v>
      </c>
      <c r="N102">
        <v>48190040</v>
      </c>
      <c r="O102">
        <v>52959070</v>
      </c>
    </row>
    <row r="103" spans="1:20">
      <c r="A103" t="str">
        <f t="shared" si="0"/>
        <v>CILC1DKWH OFFPK</v>
      </c>
      <c r="B103" t="s">
        <v>122</v>
      </c>
      <c r="C103" t="s">
        <v>130</v>
      </c>
      <c r="D103">
        <v>179915830</v>
      </c>
      <c r="E103">
        <v>165964726</v>
      </c>
      <c r="F103">
        <v>165614884</v>
      </c>
      <c r="G103">
        <v>160359899</v>
      </c>
      <c r="H103">
        <v>167725988</v>
      </c>
      <c r="I103">
        <v>168533636</v>
      </c>
      <c r="J103">
        <v>171697599</v>
      </c>
      <c r="K103">
        <v>177871705</v>
      </c>
      <c r="L103">
        <v>175755423</v>
      </c>
      <c r="M103">
        <v>161708151</v>
      </c>
      <c r="N103">
        <v>171160042</v>
      </c>
      <c r="O103">
        <v>163898034</v>
      </c>
    </row>
    <row r="104" spans="1:20">
      <c r="A104" t="str">
        <f t="shared" si="0"/>
        <v>CILC1DKWH ONPK%</v>
      </c>
      <c r="B104" t="s">
        <v>122</v>
      </c>
      <c r="C104" t="s">
        <v>131</v>
      </c>
      <c r="D104" s="5">
        <v>0.24479999999999999</v>
      </c>
      <c r="E104" s="5">
        <v>0.24656</v>
      </c>
      <c r="F104" s="5">
        <v>0.23538999999999999</v>
      </c>
      <c r="G104" s="5">
        <v>0.29210000000000003</v>
      </c>
      <c r="H104" s="5">
        <v>0.26993</v>
      </c>
      <c r="I104" s="5">
        <v>0.27783000000000002</v>
      </c>
      <c r="J104" s="5">
        <v>0.28227000000000002</v>
      </c>
      <c r="K104" s="5">
        <v>0.26929999999999998</v>
      </c>
      <c r="L104" s="5">
        <v>0.27844999999999998</v>
      </c>
      <c r="M104" s="5">
        <v>0.29560999999999998</v>
      </c>
      <c r="N104" s="5">
        <v>0.21969</v>
      </c>
      <c r="O104" s="5">
        <v>0.24421000000000001</v>
      </c>
      <c r="P104" s="5"/>
    </row>
    <row r="105" spans="1:20">
      <c r="A105" t="str">
        <f t="shared" si="0"/>
        <v>CILC1DKWH OFFPK%</v>
      </c>
      <c r="B105" t="s">
        <v>122</v>
      </c>
      <c r="C105" t="s">
        <v>132</v>
      </c>
      <c r="D105" s="5">
        <v>0.75519999999999998</v>
      </c>
      <c r="E105" s="5">
        <v>0.75344</v>
      </c>
      <c r="F105" s="5">
        <v>0.76461000000000001</v>
      </c>
      <c r="G105" s="5">
        <v>0.70789999999999997</v>
      </c>
      <c r="H105" s="5">
        <v>0.73007</v>
      </c>
      <c r="I105" s="5">
        <v>0.72216999999999998</v>
      </c>
      <c r="J105" s="5">
        <v>0.71772999999999998</v>
      </c>
      <c r="K105" s="5">
        <v>0.73070000000000002</v>
      </c>
      <c r="L105" s="5">
        <v>0.72155000000000002</v>
      </c>
      <c r="M105" s="5">
        <v>0.70438999999999996</v>
      </c>
      <c r="N105" s="5">
        <v>0.78030999999999995</v>
      </c>
      <c r="O105" s="5">
        <v>0.75578999999999996</v>
      </c>
      <c r="P105" s="5"/>
    </row>
    <row r="106" spans="1:20">
      <c r="A106" t="str">
        <f t="shared" si="0"/>
        <v>CILC1DDEMAND (KW):</v>
      </c>
      <c r="B106" t="s">
        <v>122</v>
      </c>
      <c r="C106" t="s">
        <v>62</v>
      </c>
      <c r="T106" s="6"/>
    </row>
    <row r="107" spans="1:20">
      <c r="A107" t="str">
        <f t="shared" si="0"/>
        <v>CILC1DNCP</v>
      </c>
      <c r="B107" t="s">
        <v>122</v>
      </c>
      <c r="C107" t="s">
        <v>133</v>
      </c>
      <c r="D107">
        <v>458243</v>
      </c>
      <c r="E107">
        <v>459732</v>
      </c>
      <c r="F107">
        <v>413518</v>
      </c>
      <c r="G107">
        <v>443271</v>
      </c>
      <c r="H107">
        <v>431321</v>
      </c>
      <c r="I107">
        <v>450407</v>
      </c>
      <c r="J107">
        <v>441994</v>
      </c>
      <c r="K107">
        <v>448459</v>
      </c>
      <c r="L107">
        <v>463776</v>
      </c>
      <c r="M107">
        <v>435039</v>
      </c>
      <c r="N107">
        <v>452544</v>
      </c>
      <c r="O107">
        <v>420066</v>
      </c>
    </row>
    <row r="108" spans="1:20">
      <c r="A108" t="str">
        <f t="shared" si="0"/>
        <v>CILC1DNCP ONPK</v>
      </c>
      <c r="B108" t="s">
        <v>122</v>
      </c>
      <c r="C108" t="s">
        <v>134</v>
      </c>
      <c r="D108">
        <v>442529</v>
      </c>
      <c r="E108">
        <v>438731</v>
      </c>
      <c r="F108">
        <v>397789</v>
      </c>
      <c r="G108">
        <v>426621</v>
      </c>
      <c r="H108">
        <v>412899</v>
      </c>
      <c r="I108">
        <v>434116</v>
      </c>
      <c r="J108">
        <v>424623</v>
      </c>
      <c r="K108">
        <v>429420</v>
      </c>
      <c r="L108">
        <v>444510</v>
      </c>
      <c r="M108">
        <v>417772</v>
      </c>
      <c r="N108">
        <v>431318</v>
      </c>
      <c r="O108">
        <v>405654</v>
      </c>
      <c r="Q108" s="493"/>
    </row>
    <row r="109" spans="1:20">
      <c r="A109" t="str">
        <f t="shared" si="0"/>
        <v>CILC1DNCP OFFPK</v>
      </c>
      <c r="B109" t="s">
        <v>122</v>
      </c>
      <c r="C109" t="s">
        <v>135</v>
      </c>
      <c r="D109">
        <v>454566</v>
      </c>
      <c r="E109">
        <v>457338</v>
      </c>
      <c r="F109">
        <v>411551</v>
      </c>
      <c r="G109">
        <v>437835</v>
      </c>
      <c r="H109">
        <v>426601</v>
      </c>
      <c r="I109">
        <v>443582</v>
      </c>
      <c r="J109">
        <v>437541</v>
      </c>
      <c r="K109">
        <v>445059</v>
      </c>
      <c r="L109">
        <v>457991</v>
      </c>
      <c r="M109">
        <v>430363</v>
      </c>
      <c r="N109">
        <v>450923</v>
      </c>
      <c r="O109">
        <v>417153</v>
      </c>
      <c r="Q109" s="493"/>
    </row>
    <row r="110" spans="1:20">
      <c r="A110" t="str">
        <f t="shared" si="0"/>
        <v>CILC1DGCP DATE</v>
      </c>
      <c r="B110" t="s">
        <v>122</v>
      </c>
      <c r="C110" t="s">
        <v>136</v>
      </c>
      <c r="D110" t="s">
        <v>610</v>
      </c>
      <c r="E110" t="s">
        <v>611</v>
      </c>
      <c r="F110" t="s">
        <v>286</v>
      </c>
      <c r="G110" t="s">
        <v>264</v>
      </c>
      <c r="H110" t="s">
        <v>254</v>
      </c>
      <c r="I110" t="s">
        <v>292</v>
      </c>
      <c r="J110" t="s">
        <v>612</v>
      </c>
      <c r="K110" t="s">
        <v>270</v>
      </c>
      <c r="L110" t="s">
        <v>272</v>
      </c>
      <c r="M110" t="s">
        <v>607</v>
      </c>
      <c r="N110" t="s">
        <v>613</v>
      </c>
      <c r="O110" t="s">
        <v>315</v>
      </c>
      <c r="Q110" s="493"/>
    </row>
    <row r="111" spans="1:20">
      <c r="A111" t="str">
        <f t="shared" ref="A111:A174" si="1">B111&amp;C111</f>
        <v>CILC1DGCP TIME</v>
      </c>
      <c r="B111" t="s">
        <v>122</v>
      </c>
      <c r="C111" t="s">
        <v>142</v>
      </c>
      <c r="D111" t="s">
        <v>143</v>
      </c>
      <c r="E111" t="s">
        <v>143</v>
      </c>
      <c r="F111" t="s">
        <v>189</v>
      </c>
      <c r="G111" t="s">
        <v>146</v>
      </c>
      <c r="H111" t="s">
        <v>146</v>
      </c>
      <c r="I111" t="s">
        <v>144</v>
      </c>
      <c r="J111" t="s">
        <v>189</v>
      </c>
      <c r="K111" t="s">
        <v>189</v>
      </c>
      <c r="L111" t="s">
        <v>146</v>
      </c>
      <c r="M111" t="s">
        <v>146</v>
      </c>
      <c r="N111" t="s">
        <v>146</v>
      </c>
      <c r="O111" t="s">
        <v>143</v>
      </c>
      <c r="Q111" s="493"/>
    </row>
    <row r="112" spans="1:20">
      <c r="A112" t="str">
        <f t="shared" si="1"/>
        <v>CILC1DGCP</v>
      </c>
      <c r="B112" t="s">
        <v>122</v>
      </c>
      <c r="C112" t="s">
        <v>147</v>
      </c>
      <c r="D112">
        <v>379547</v>
      </c>
      <c r="E112">
        <v>382269</v>
      </c>
      <c r="F112">
        <v>344528</v>
      </c>
      <c r="G112">
        <v>375042</v>
      </c>
      <c r="H112">
        <v>362582</v>
      </c>
      <c r="I112">
        <v>372897</v>
      </c>
      <c r="J112">
        <v>368770</v>
      </c>
      <c r="K112">
        <v>376342</v>
      </c>
      <c r="L112">
        <v>387428</v>
      </c>
      <c r="M112">
        <v>363279</v>
      </c>
      <c r="N112">
        <v>379131</v>
      </c>
      <c r="O112">
        <v>345387</v>
      </c>
      <c r="Q112" s="493"/>
    </row>
    <row r="113" spans="1:22">
      <c r="A113" t="str">
        <f t="shared" si="1"/>
        <v>CILC1DGCP ONPK</v>
      </c>
      <c r="B113" t="s">
        <v>122</v>
      </c>
      <c r="C113" t="s">
        <v>63</v>
      </c>
      <c r="D113">
        <v>365600</v>
      </c>
      <c r="E113">
        <v>368020</v>
      </c>
      <c r="F113">
        <v>334017</v>
      </c>
      <c r="G113">
        <v>370024</v>
      </c>
      <c r="H113">
        <v>357781</v>
      </c>
      <c r="I113">
        <v>372897</v>
      </c>
      <c r="J113">
        <v>362361</v>
      </c>
      <c r="K113">
        <v>368393</v>
      </c>
      <c r="L113">
        <v>382792</v>
      </c>
      <c r="M113">
        <v>358389</v>
      </c>
      <c r="N113">
        <v>366049</v>
      </c>
      <c r="O113">
        <v>337360</v>
      </c>
      <c r="Q113" s="493"/>
    </row>
    <row r="114" spans="1:22">
      <c r="A114" t="str">
        <f t="shared" si="1"/>
        <v>CILC1DGCP OFFPK</v>
      </c>
      <c r="B114" t="s">
        <v>122</v>
      </c>
      <c r="C114" t="s">
        <v>64</v>
      </c>
      <c r="D114">
        <v>379547</v>
      </c>
      <c r="E114">
        <v>382269</v>
      </c>
      <c r="F114">
        <v>344528</v>
      </c>
      <c r="G114">
        <v>375042</v>
      </c>
      <c r="H114">
        <v>362582</v>
      </c>
      <c r="I114">
        <v>372456</v>
      </c>
      <c r="J114">
        <v>368770</v>
      </c>
      <c r="K114">
        <v>376342</v>
      </c>
      <c r="L114">
        <v>387428</v>
      </c>
      <c r="M114">
        <v>363279</v>
      </c>
      <c r="N114">
        <v>379131</v>
      </c>
      <c r="O114">
        <v>345387</v>
      </c>
      <c r="Q114" s="493"/>
      <c r="S114" s="491"/>
      <c r="T114" s="491"/>
      <c r="U114" s="491"/>
      <c r="V114" s="491"/>
    </row>
    <row r="115" spans="1:22">
      <c r="A115" t="str">
        <f t="shared" si="1"/>
        <v>CILC1DCP</v>
      </c>
      <c r="B115" t="s">
        <v>122</v>
      </c>
      <c r="C115" t="s">
        <v>148</v>
      </c>
      <c r="D115">
        <v>323588</v>
      </c>
      <c r="E115">
        <v>364544</v>
      </c>
      <c r="F115">
        <v>290522</v>
      </c>
      <c r="G115">
        <v>350991</v>
      </c>
      <c r="H115">
        <v>324593</v>
      </c>
      <c r="I115">
        <v>362640</v>
      </c>
      <c r="J115">
        <v>350324</v>
      </c>
      <c r="K115">
        <v>351877</v>
      </c>
      <c r="L115">
        <v>369087</v>
      </c>
      <c r="M115">
        <v>341846</v>
      </c>
      <c r="N115">
        <v>375563</v>
      </c>
      <c r="O115">
        <v>314053</v>
      </c>
      <c r="Q115" s="493"/>
      <c r="R115" s="491"/>
      <c r="S115" s="491"/>
      <c r="T115" s="491"/>
      <c r="U115" s="491"/>
      <c r="V115" s="491"/>
    </row>
    <row r="116" spans="1:22">
      <c r="A116" t="str">
        <f t="shared" si="1"/>
        <v>CILC1DPERIOD START</v>
      </c>
      <c r="B116" t="s">
        <v>122</v>
      </c>
      <c r="C116" t="s">
        <v>149</v>
      </c>
      <c r="D116" s="1">
        <v>41640</v>
      </c>
      <c r="E116" s="1">
        <v>41671</v>
      </c>
      <c r="F116" s="1">
        <v>41699</v>
      </c>
      <c r="G116" s="1">
        <v>41730</v>
      </c>
      <c r="H116" s="1">
        <v>41760</v>
      </c>
      <c r="I116" s="1">
        <v>41791</v>
      </c>
      <c r="J116" s="1">
        <v>41821</v>
      </c>
      <c r="K116" s="1">
        <v>41852</v>
      </c>
      <c r="L116" s="1">
        <v>41883</v>
      </c>
      <c r="M116" s="1">
        <v>41913</v>
      </c>
      <c r="N116" s="1">
        <v>41944</v>
      </c>
      <c r="O116" s="1">
        <v>41974</v>
      </c>
      <c r="P116" s="1"/>
      <c r="Q116" s="493"/>
    </row>
    <row r="117" spans="1:22">
      <c r="A117" t="str">
        <f t="shared" si="1"/>
        <v>CILC1DNCP LF</v>
      </c>
      <c r="B117" t="s">
        <v>122</v>
      </c>
      <c r="C117" t="s">
        <v>150</v>
      </c>
      <c r="D117" s="5">
        <v>0.69879999999999998</v>
      </c>
      <c r="E117" s="5">
        <v>0.71299999999999997</v>
      </c>
      <c r="F117" s="5">
        <v>0.70399999999999996</v>
      </c>
      <c r="G117" s="5">
        <v>0.70979999999999999</v>
      </c>
      <c r="H117" s="5">
        <v>0.71589999999999998</v>
      </c>
      <c r="I117" s="5">
        <v>0.71960000000000002</v>
      </c>
      <c r="J117" s="5">
        <v>0.72750000000000004</v>
      </c>
      <c r="K117" s="5">
        <v>0.72960000000000003</v>
      </c>
      <c r="L117" s="5">
        <v>0.72950000000000004</v>
      </c>
      <c r="M117" s="5">
        <v>0.70930000000000004</v>
      </c>
      <c r="N117" s="5">
        <v>0.67320000000000002</v>
      </c>
      <c r="O117" s="5">
        <v>0.69389999999999996</v>
      </c>
      <c r="P117" s="5"/>
      <c r="Q117" s="493"/>
    </row>
    <row r="118" spans="1:22">
      <c r="A118" t="str">
        <f t="shared" si="1"/>
        <v>CILC1DNCP LF ONPK</v>
      </c>
      <c r="B118" t="s">
        <v>122</v>
      </c>
      <c r="C118" t="s">
        <v>151</v>
      </c>
      <c r="D118" s="5">
        <v>0.74880000000000002</v>
      </c>
      <c r="E118" s="5">
        <v>0.77370000000000005</v>
      </c>
      <c r="F118" s="5">
        <v>0.76290000000000002</v>
      </c>
      <c r="G118" s="5">
        <v>0.7833</v>
      </c>
      <c r="H118" s="5">
        <v>0.79469999999999996</v>
      </c>
      <c r="I118" s="5">
        <v>0.79020000000000001</v>
      </c>
      <c r="J118" s="5">
        <v>0.80320000000000003</v>
      </c>
      <c r="K118" s="5">
        <v>0.80769999999999997</v>
      </c>
      <c r="L118" s="5">
        <v>0.80730000000000002</v>
      </c>
      <c r="M118" s="5">
        <v>0.78469999999999995</v>
      </c>
      <c r="N118" s="5">
        <v>0.73499999999999999</v>
      </c>
      <c r="O118" s="5">
        <v>0.74180000000000001</v>
      </c>
      <c r="P118" s="5"/>
      <c r="Q118" s="493"/>
    </row>
    <row r="119" spans="1:22">
      <c r="A119" t="str">
        <f t="shared" si="1"/>
        <v>CILC1DNCP LF OFFPK</v>
      </c>
      <c r="B119" t="s">
        <v>122</v>
      </c>
      <c r="C119" t="s">
        <v>152</v>
      </c>
      <c r="D119" s="5">
        <v>0.69679999999999997</v>
      </c>
      <c r="E119" s="5">
        <v>0.70879999999999999</v>
      </c>
      <c r="F119" s="5">
        <v>0.6986</v>
      </c>
      <c r="G119" s="5">
        <v>0.7016</v>
      </c>
      <c r="H119" s="5">
        <v>0.70840000000000003</v>
      </c>
      <c r="I119" s="5">
        <v>0.71550000000000002</v>
      </c>
      <c r="J119" s="5">
        <v>0.71870000000000001</v>
      </c>
      <c r="K119" s="5">
        <v>0.72009999999999996</v>
      </c>
      <c r="L119" s="5">
        <v>0.72270000000000001</v>
      </c>
      <c r="M119" s="5">
        <v>0.69969999999999999</v>
      </c>
      <c r="N119" s="5">
        <v>0.66830000000000001</v>
      </c>
      <c r="O119" s="5">
        <v>0.69169999999999998</v>
      </c>
      <c r="P119" s="5"/>
      <c r="Q119" s="493"/>
    </row>
    <row r="120" spans="1:22">
      <c r="A120" t="str">
        <f t="shared" si="1"/>
        <v>CILC1DGCP CF</v>
      </c>
      <c r="B120" t="s">
        <v>122</v>
      </c>
      <c r="C120" t="s">
        <v>153</v>
      </c>
      <c r="D120" s="5">
        <v>0.82830000000000004</v>
      </c>
      <c r="E120" s="5">
        <v>0.83150000000000002</v>
      </c>
      <c r="F120" s="5">
        <v>0.83320000000000005</v>
      </c>
      <c r="G120" s="5">
        <v>0.84609999999999996</v>
      </c>
      <c r="H120" s="5">
        <v>0.84060000000000001</v>
      </c>
      <c r="I120" s="5">
        <v>0.82789999999999997</v>
      </c>
      <c r="J120" s="5">
        <v>0.83430000000000004</v>
      </c>
      <c r="K120" s="5">
        <v>0.83919999999999995</v>
      </c>
      <c r="L120" s="5">
        <v>0.83540000000000003</v>
      </c>
      <c r="M120" s="5">
        <v>0.83499999999999996</v>
      </c>
      <c r="N120" s="5">
        <v>0.83779999999999999</v>
      </c>
      <c r="O120" s="5">
        <v>0.82220000000000004</v>
      </c>
      <c r="P120" s="5"/>
      <c r="Q120" s="493"/>
    </row>
    <row r="121" spans="1:22">
      <c r="A121" t="str">
        <f t="shared" si="1"/>
        <v>CILC1DCP CF</v>
      </c>
      <c r="B121" t="s">
        <v>122</v>
      </c>
      <c r="C121" t="s">
        <v>154</v>
      </c>
      <c r="D121" s="5">
        <v>0.70609999999999995</v>
      </c>
      <c r="E121" s="5">
        <v>0.79290000000000005</v>
      </c>
      <c r="F121" s="5">
        <v>0.7026</v>
      </c>
      <c r="G121" s="5">
        <v>0.79179999999999995</v>
      </c>
      <c r="H121" s="5">
        <v>0.75260000000000005</v>
      </c>
      <c r="I121" s="5">
        <v>0.80510000000000004</v>
      </c>
      <c r="J121" s="5">
        <v>0.79259999999999997</v>
      </c>
      <c r="K121" s="5">
        <v>0.78459999999999996</v>
      </c>
      <c r="L121" s="5">
        <v>0.79579999999999995</v>
      </c>
      <c r="M121" s="5">
        <v>0.78580000000000005</v>
      </c>
      <c r="N121" s="5">
        <v>0.82989999999999997</v>
      </c>
      <c r="O121" s="5">
        <v>0.74760000000000004</v>
      </c>
      <c r="P121" s="5"/>
      <c r="Q121" s="493"/>
    </row>
    <row r="122" spans="1:22">
      <c r="A122" t="str">
        <f t="shared" si="1"/>
        <v>CILC1DGCP LF</v>
      </c>
      <c r="B122" t="s">
        <v>122</v>
      </c>
      <c r="C122" t="s">
        <v>155</v>
      </c>
      <c r="D122" s="5">
        <v>0.84370000000000001</v>
      </c>
      <c r="E122" s="5">
        <v>0.85750000000000004</v>
      </c>
      <c r="F122" s="5">
        <v>0.84499999999999997</v>
      </c>
      <c r="G122" s="5">
        <v>0.83889999999999998</v>
      </c>
      <c r="H122" s="5">
        <v>0.85160000000000002</v>
      </c>
      <c r="I122" s="5">
        <v>0.86919999999999997</v>
      </c>
      <c r="J122" s="5">
        <v>0.87190000000000001</v>
      </c>
      <c r="K122" s="5">
        <v>0.86939999999999995</v>
      </c>
      <c r="L122" s="5">
        <v>0.87319999999999998</v>
      </c>
      <c r="M122" s="5">
        <v>0.84940000000000004</v>
      </c>
      <c r="N122" s="5">
        <v>0.80359999999999998</v>
      </c>
      <c r="O122" s="5">
        <v>0.84389999999999998</v>
      </c>
      <c r="P122" s="5"/>
      <c r="Q122" s="493"/>
    </row>
    <row r="123" spans="1:22">
      <c r="A123" t="str">
        <f t="shared" si="1"/>
        <v>CILC1DGCP LF ONPK</v>
      </c>
      <c r="B123" t="s">
        <v>122</v>
      </c>
      <c r="C123" t="s">
        <v>156</v>
      </c>
      <c r="D123" s="5">
        <v>0.90639999999999998</v>
      </c>
      <c r="E123" s="5">
        <v>0.9224</v>
      </c>
      <c r="F123" s="5">
        <v>0.90859999999999996</v>
      </c>
      <c r="G123" s="5">
        <v>0.90310000000000001</v>
      </c>
      <c r="H123" s="5">
        <v>0.91710000000000003</v>
      </c>
      <c r="I123" s="5">
        <v>0.92</v>
      </c>
      <c r="J123" s="5">
        <v>0.94120000000000004</v>
      </c>
      <c r="K123" s="5">
        <v>0.9415</v>
      </c>
      <c r="L123" s="5">
        <v>0.9375</v>
      </c>
      <c r="M123" s="5">
        <v>0.91479999999999995</v>
      </c>
      <c r="N123" s="5">
        <v>0.86609999999999998</v>
      </c>
      <c r="O123" s="5">
        <v>0.89190000000000003</v>
      </c>
      <c r="P123" s="5"/>
      <c r="Q123" s="493"/>
    </row>
    <row r="124" spans="1:22">
      <c r="A124" t="str">
        <f t="shared" si="1"/>
        <v>CILC1DGCP LF OFFPK</v>
      </c>
      <c r="B124" t="s">
        <v>122</v>
      </c>
      <c r="C124" t="s">
        <v>157</v>
      </c>
      <c r="D124" s="5">
        <v>0.83460000000000001</v>
      </c>
      <c r="E124" s="5">
        <v>0.84799999999999998</v>
      </c>
      <c r="F124" s="5">
        <v>0.83460000000000001</v>
      </c>
      <c r="G124" s="5">
        <v>0.81910000000000005</v>
      </c>
      <c r="H124" s="5">
        <v>0.83350000000000002</v>
      </c>
      <c r="I124" s="5">
        <v>0.85219999999999996</v>
      </c>
      <c r="J124" s="5">
        <v>0.85270000000000001</v>
      </c>
      <c r="K124" s="5">
        <v>0.85160000000000002</v>
      </c>
      <c r="L124" s="5">
        <v>0.85429999999999995</v>
      </c>
      <c r="M124" s="5">
        <v>0.82889999999999997</v>
      </c>
      <c r="N124" s="5">
        <v>0.79479999999999995</v>
      </c>
      <c r="O124" s="5">
        <v>0.83540000000000003</v>
      </c>
      <c r="P124" s="5"/>
      <c r="Q124" s="493"/>
    </row>
    <row r="125" spans="1:22">
      <c r="A125" t="str">
        <f t="shared" si="1"/>
        <v>CILC1DCP LF</v>
      </c>
      <c r="B125" t="s">
        <v>122</v>
      </c>
      <c r="C125" t="s">
        <v>158</v>
      </c>
      <c r="D125" s="5">
        <v>0.98960000000000004</v>
      </c>
      <c r="E125" s="5">
        <v>0.8992</v>
      </c>
      <c r="F125" s="5">
        <v>1.0021</v>
      </c>
      <c r="G125" s="5">
        <v>0.89639999999999997</v>
      </c>
      <c r="H125" s="5">
        <v>0.95130000000000003</v>
      </c>
      <c r="I125" s="5">
        <v>0.89380000000000004</v>
      </c>
      <c r="J125" s="5">
        <v>0.91779999999999995</v>
      </c>
      <c r="K125" s="5">
        <v>0.92979999999999996</v>
      </c>
      <c r="L125" s="5">
        <v>0.91659999999999997</v>
      </c>
      <c r="M125" s="5">
        <v>0.90259999999999996</v>
      </c>
      <c r="N125" s="5">
        <v>0.81120000000000003</v>
      </c>
      <c r="O125" s="5">
        <v>0.92810000000000004</v>
      </c>
      <c r="P125" s="5"/>
      <c r="Q125" s="493"/>
    </row>
    <row r="126" spans="1:22">
      <c r="A126" t="str">
        <f t="shared" si="1"/>
        <v>CILC1DREL PREC:</v>
      </c>
      <c r="B126" t="s">
        <v>122</v>
      </c>
      <c r="C126" t="s">
        <v>65</v>
      </c>
      <c r="Q126" s="493"/>
    </row>
    <row r="127" spans="1:22">
      <c r="A127" t="str">
        <f t="shared" si="1"/>
        <v>CILC1DNCP RP</v>
      </c>
      <c r="B127" t="s">
        <v>122</v>
      </c>
      <c r="C127" t="s">
        <v>159</v>
      </c>
      <c r="D127" s="5">
        <v>1.9E-3</v>
      </c>
      <c r="E127" s="5">
        <v>3.3E-3</v>
      </c>
      <c r="F127" s="5">
        <v>0</v>
      </c>
      <c r="G127" s="5">
        <v>3.3999999999999998E-3</v>
      </c>
      <c r="H127" s="5">
        <v>3.0000000000000001E-3</v>
      </c>
      <c r="I127" s="5">
        <v>2E-3</v>
      </c>
      <c r="J127" s="5">
        <v>3.0999999999999999E-3</v>
      </c>
      <c r="K127" s="5">
        <v>4.3E-3</v>
      </c>
      <c r="L127" s="5">
        <v>4.0000000000000001E-3</v>
      </c>
      <c r="M127" s="5">
        <v>5.0000000000000001E-3</v>
      </c>
      <c r="N127" s="5">
        <v>4.0000000000000001E-3</v>
      </c>
      <c r="O127" s="5">
        <v>3.3E-3</v>
      </c>
      <c r="P127" s="5"/>
      <c r="Q127" s="493"/>
    </row>
    <row r="128" spans="1:22">
      <c r="A128" t="str">
        <f t="shared" si="1"/>
        <v>CILC1DNCP RP ONPK</v>
      </c>
      <c r="B128" t="s">
        <v>122</v>
      </c>
      <c r="C128" t="s">
        <v>160</v>
      </c>
      <c r="D128" s="5">
        <v>1.9E-3</v>
      </c>
      <c r="E128" s="5">
        <v>3.2000000000000002E-3</v>
      </c>
      <c r="F128" s="5">
        <v>0</v>
      </c>
      <c r="G128" s="5">
        <v>3.2000000000000002E-3</v>
      </c>
      <c r="H128" s="5">
        <v>2.7000000000000001E-3</v>
      </c>
      <c r="I128" s="5">
        <v>1.9E-3</v>
      </c>
      <c r="J128" s="5">
        <v>2.8999999999999998E-3</v>
      </c>
      <c r="K128" s="5">
        <v>4.0000000000000001E-3</v>
      </c>
      <c r="L128" s="5">
        <v>3.8E-3</v>
      </c>
      <c r="M128" s="5">
        <v>4.7000000000000002E-3</v>
      </c>
      <c r="N128" s="5">
        <v>3.8E-3</v>
      </c>
      <c r="O128" s="5">
        <v>3.0999999999999999E-3</v>
      </c>
      <c r="P128" s="5"/>
      <c r="Q128" s="493"/>
    </row>
    <row r="129" spans="1:17">
      <c r="A129" t="str">
        <f t="shared" si="1"/>
        <v>CILC1DNCP RP OFFPK</v>
      </c>
      <c r="B129" t="s">
        <v>122</v>
      </c>
      <c r="C129" t="s">
        <v>161</v>
      </c>
      <c r="D129" s="5">
        <v>1.9E-3</v>
      </c>
      <c r="E129" s="5">
        <v>3.3E-3</v>
      </c>
      <c r="F129" s="5">
        <v>0</v>
      </c>
      <c r="G129" s="5">
        <v>3.3999999999999998E-3</v>
      </c>
      <c r="H129" s="5">
        <v>3.0000000000000001E-3</v>
      </c>
      <c r="I129" s="5">
        <v>1.9E-3</v>
      </c>
      <c r="J129" s="5">
        <v>3.0000000000000001E-3</v>
      </c>
      <c r="K129" s="5">
        <v>4.3E-3</v>
      </c>
      <c r="L129" s="5">
        <v>4.0000000000000001E-3</v>
      </c>
      <c r="M129" s="5">
        <v>5.0000000000000001E-3</v>
      </c>
      <c r="N129" s="5">
        <v>4.0000000000000001E-3</v>
      </c>
      <c r="O129" s="5">
        <v>3.2000000000000002E-3</v>
      </c>
      <c r="P129" s="5"/>
      <c r="Q129" s="493"/>
    </row>
    <row r="130" spans="1:17">
      <c r="A130" t="str">
        <f t="shared" si="1"/>
        <v>CILC1DGCP RP</v>
      </c>
      <c r="B130" t="s">
        <v>122</v>
      </c>
      <c r="C130" t="s">
        <v>162</v>
      </c>
      <c r="D130" s="5">
        <v>1.5E-3</v>
      </c>
      <c r="E130" s="5">
        <v>3.5000000000000001E-3</v>
      </c>
      <c r="F130" s="5">
        <v>0</v>
      </c>
      <c r="G130" s="5">
        <v>3.3E-3</v>
      </c>
      <c r="H130" s="5">
        <v>2.3E-3</v>
      </c>
      <c r="I130" s="5">
        <v>1.8E-3</v>
      </c>
      <c r="J130" s="5">
        <v>2.5999999999999999E-3</v>
      </c>
      <c r="K130" s="5">
        <v>4.1000000000000003E-3</v>
      </c>
      <c r="L130" s="5">
        <v>3.3E-3</v>
      </c>
      <c r="M130" s="5">
        <v>3.5999999999999999E-3</v>
      </c>
      <c r="N130" s="5">
        <v>3.0999999999999999E-3</v>
      </c>
      <c r="O130" s="5">
        <v>3.0999999999999999E-3</v>
      </c>
      <c r="P130" s="5"/>
      <c r="Q130" s="493"/>
    </row>
    <row r="131" spans="1:17">
      <c r="A131" t="str">
        <f t="shared" si="1"/>
        <v>CILC1DGCP RP ONPK</v>
      </c>
      <c r="B131" t="s">
        <v>122</v>
      </c>
      <c r="C131" t="s">
        <v>163</v>
      </c>
      <c r="D131" s="5">
        <v>1.8E-3</v>
      </c>
      <c r="E131" s="5">
        <v>2E-3</v>
      </c>
      <c r="F131" s="5">
        <v>0</v>
      </c>
      <c r="G131" s="5">
        <v>3.0000000000000001E-3</v>
      </c>
      <c r="H131" s="5">
        <v>2.3E-3</v>
      </c>
      <c r="I131" s="5">
        <v>1.8E-3</v>
      </c>
      <c r="J131" s="5">
        <v>2.3999999999999998E-3</v>
      </c>
      <c r="K131" s="5">
        <v>3.2000000000000002E-3</v>
      </c>
      <c r="L131" s="5">
        <v>3.3E-3</v>
      </c>
      <c r="M131" s="5">
        <v>3.5000000000000001E-3</v>
      </c>
      <c r="N131" s="5">
        <v>3.5000000000000001E-3</v>
      </c>
      <c r="O131" s="5">
        <v>2.8999999999999998E-3</v>
      </c>
      <c r="P131" s="5"/>
      <c r="Q131" s="493"/>
    </row>
    <row r="132" spans="1:17">
      <c r="A132" t="str">
        <f t="shared" si="1"/>
        <v>CILC1DGCP RP OFFPK</v>
      </c>
      <c r="B132" t="s">
        <v>122</v>
      </c>
      <c r="C132" t="s">
        <v>164</v>
      </c>
      <c r="D132" s="5">
        <v>1.5E-3</v>
      </c>
      <c r="E132" s="5">
        <v>3.5000000000000001E-3</v>
      </c>
      <c r="F132" s="5">
        <v>0</v>
      </c>
      <c r="G132" s="5">
        <v>3.3E-3</v>
      </c>
      <c r="H132" s="5">
        <v>2.3E-3</v>
      </c>
      <c r="I132" s="5">
        <v>1.5E-3</v>
      </c>
      <c r="J132" s="5">
        <v>2.5999999999999999E-3</v>
      </c>
      <c r="K132" s="5">
        <v>4.1000000000000003E-3</v>
      </c>
      <c r="L132" s="5">
        <v>3.3E-3</v>
      </c>
      <c r="M132" s="5">
        <v>3.5999999999999999E-3</v>
      </c>
      <c r="N132" s="5">
        <v>3.0999999999999999E-3</v>
      </c>
      <c r="O132" s="5">
        <v>3.0999999999999999E-3</v>
      </c>
      <c r="P132" s="5"/>
      <c r="Q132" s="493"/>
    </row>
    <row r="133" spans="1:17">
      <c r="A133" t="str">
        <f t="shared" si="1"/>
        <v>CILC1DCP RP</v>
      </c>
      <c r="B133" t="s">
        <v>122</v>
      </c>
      <c r="C133" t="s">
        <v>165</v>
      </c>
      <c r="D133" s="5">
        <v>1.5E-3</v>
      </c>
      <c r="E133" s="5">
        <v>3.7000000000000002E-3</v>
      </c>
      <c r="F133" s="5">
        <v>0</v>
      </c>
      <c r="G133" s="5">
        <v>2.2000000000000001E-3</v>
      </c>
      <c r="H133" s="5">
        <v>1.8E-3</v>
      </c>
      <c r="I133" s="5">
        <v>1.6999999999999999E-3</v>
      </c>
      <c r="J133" s="5">
        <v>2E-3</v>
      </c>
      <c r="K133" s="5">
        <v>2.3E-3</v>
      </c>
      <c r="L133" s="5">
        <v>2.0999999999999999E-3</v>
      </c>
      <c r="M133" s="5">
        <v>3.2000000000000002E-3</v>
      </c>
      <c r="N133" s="5">
        <v>4.5999999999999999E-3</v>
      </c>
      <c r="O133" s="5">
        <v>2.5000000000000001E-3</v>
      </c>
      <c r="P133" s="5"/>
      <c r="Q133" s="493"/>
    </row>
    <row r="134" spans="1:17">
      <c r="A134" t="str">
        <f t="shared" si="1"/>
        <v>CILC1DSAMPLE SIZE:</v>
      </c>
      <c r="B134" t="s">
        <v>122</v>
      </c>
      <c r="C134" t="s">
        <v>66</v>
      </c>
      <c r="Q134" s="493"/>
    </row>
    <row r="135" spans="1:17">
      <c r="A135" t="str">
        <f t="shared" si="1"/>
        <v>CILC1DGCPSZ</v>
      </c>
      <c r="B135" t="s">
        <v>122</v>
      </c>
      <c r="C135" t="s">
        <v>166</v>
      </c>
      <c r="D135">
        <v>312</v>
      </c>
      <c r="E135">
        <v>310</v>
      </c>
      <c r="F135">
        <v>313</v>
      </c>
      <c r="G135">
        <v>309</v>
      </c>
      <c r="H135">
        <v>289</v>
      </c>
      <c r="I135">
        <v>289</v>
      </c>
      <c r="J135">
        <v>288</v>
      </c>
      <c r="K135">
        <v>286</v>
      </c>
      <c r="L135">
        <v>287</v>
      </c>
      <c r="M135">
        <v>286</v>
      </c>
      <c r="N135">
        <v>288</v>
      </c>
      <c r="O135">
        <v>288</v>
      </c>
      <c r="Q135" s="493"/>
    </row>
    <row r="136" spans="1:17">
      <c r="A136" t="str">
        <f t="shared" si="1"/>
        <v>CILC1DGCPSZ ONPK</v>
      </c>
      <c r="B136" t="s">
        <v>122</v>
      </c>
      <c r="C136" t="s">
        <v>167</v>
      </c>
      <c r="D136">
        <v>312</v>
      </c>
      <c r="E136">
        <v>310</v>
      </c>
      <c r="F136">
        <v>313</v>
      </c>
      <c r="G136">
        <v>310</v>
      </c>
      <c r="H136">
        <v>289</v>
      </c>
      <c r="I136">
        <v>289</v>
      </c>
      <c r="J136">
        <v>288</v>
      </c>
      <c r="K136">
        <v>287</v>
      </c>
      <c r="L136">
        <v>287</v>
      </c>
      <c r="M136">
        <v>286</v>
      </c>
      <c r="N136">
        <v>288</v>
      </c>
      <c r="O136">
        <v>288</v>
      </c>
      <c r="Q136" s="493"/>
    </row>
    <row r="137" spans="1:17">
      <c r="A137" t="str">
        <f t="shared" si="1"/>
        <v>CILC1DGCPSZ OFFPK</v>
      </c>
      <c r="B137" t="s">
        <v>122</v>
      </c>
      <c r="C137" t="s">
        <v>168</v>
      </c>
      <c r="D137">
        <v>312</v>
      </c>
      <c r="E137">
        <v>310</v>
      </c>
      <c r="F137">
        <v>313</v>
      </c>
      <c r="G137">
        <v>309</v>
      </c>
      <c r="H137">
        <v>289</v>
      </c>
      <c r="I137">
        <v>289</v>
      </c>
      <c r="J137">
        <v>288</v>
      </c>
      <c r="K137">
        <v>286</v>
      </c>
      <c r="L137">
        <v>287</v>
      </c>
      <c r="M137">
        <v>286</v>
      </c>
      <c r="N137">
        <v>288</v>
      </c>
      <c r="O137">
        <v>288</v>
      </c>
      <c r="Q137" s="493"/>
    </row>
    <row r="138" spans="1:17">
      <c r="A138" t="str">
        <f t="shared" si="1"/>
        <v>CILC1DCPSZ</v>
      </c>
      <c r="B138" t="s">
        <v>122</v>
      </c>
      <c r="C138" t="s">
        <v>169</v>
      </c>
      <c r="D138">
        <v>312</v>
      </c>
      <c r="E138">
        <v>309</v>
      </c>
      <c r="F138">
        <v>313</v>
      </c>
      <c r="G138">
        <v>310</v>
      </c>
      <c r="H138">
        <v>289</v>
      </c>
      <c r="I138">
        <v>289</v>
      </c>
      <c r="J138">
        <v>288</v>
      </c>
      <c r="K138">
        <v>287</v>
      </c>
      <c r="L138">
        <v>286</v>
      </c>
      <c r="M138">
        <v>286</v>
      </c>
      <c r="N138">
        <v>286</v>
      </c>
      <c r="O138">
        <v>288</v>
      </c>
      <c r="Q138" s="493"/>
    </row>
    <row r="139" spans="1:17">
      <c r="A139" t="str">
        <f t="shared" si="1"/>
        <v>CILC1DSTD DEV OF R</v>
      </c>
      <c r="B139" t="s">
        <v>122</v>
      </c>
      <c r="C139" t="s">
        <v>170</v>
      </c>
      <c r="Q139" s="493"/>
    </row>
    <row r="140" spans="1:17">
      <c r="A140" t="str">
        <f t="shared" si="1"/>
        <v>CILC1DSDR GCP</v>
      </c>
      <c r="B140" t="s">
        <v>122</v>
      </c>
      <c r="C140" t="s">
        <v>171</v>
      </c>
      <c r="D140">
        <v>336.827</v>
      </c>
      <c r="E140">
        <v>463.68099999999998</v>
      </c>
      <c r="F140">
        <v>341.45600000000002</v>
      </c>
      <c r="G140">
        <v>377.03199999999998</v>
      </c>
      <c r="H140">
        <v>363.35599999999999</v>
      </c>
      <c r="I140">
        <v>412.661</v>
      </c>
      <c r="J140">
        <v>416.58600000000001</v>
      </c>
      <c r="K140">
        <v>413.23500000000001</v>
      </c>
      <c r="L140">
        <v>381.851</v>
      </c>
      <c r="M140">
        <v>357.01499999999999</v>
      </c>
      <c r="N140">
        <v>414.67599999999999</v>
      </c>
      <c r="O140">
        <v>464.50599999999997</v>
      </c>
      <c r="Q140" s="493"/>
    </row>
    <row r="141" spans="1:17">
      <c r="A141" t="str">
        <f t="shared" si="1"/>
        <v>CILC1DSDR GCP ONPK</v>
      </c>
      <c r="B141" t="s">
        <v>122</v>
      </c>
      <c r="C141" t="s">
        <v>172</v>
      </c>
      <c r="D141">
        <v>392.02</v>
      </c>
      <c r="E141">
        <v>253.887</v>
      </c>
      <c r="F141">
        <v>310.09199999999998</v>
      </c>
      <c r="G141">
        <v>383.20400000000001</v>
      </c>
      <c r="H141">
        <v>352.91199999999998</v>
      </c>
      <c r="I141">
        <v>412.661</v>
      </c>
      <c r="J141">
        <v>374.03399999999999</v>
      </c>
      <c r="K141">
        <v>353.01799999999997</v>
      </c>
      <c r="L141">
        <v>383.84199999999998</v>
      </c>
      <c r="M141">
        <v>334.45400000000001</v>
      </c>
      <c r="N141">
        <v>447.38</v>
      </c>
      <c r="O141">
        <v>419.572</v>
      </c>
      <c r="Q141" s="493"/>
    </row>
    <row r="142" spans="1:17">
      <c r="A142" t="str">
        <f t="shared" si="1"/>
        <v>CILC1DSDR GCP OFFPK</v>
      </c>
      <c r="B142" t="s">
        <v>122</v>
      </c>
      <c r="C142" t="s">
        <v>173</v>
      </c>
      <c r="D142">
        <v>336.827</v>
      </c>
      <c r="E142">
        <v>463.68099999999998</v>
      </c>
      <c r="F142">
        <v>341.45600000000002</v>
      </c>
      <c r="G142">
        <v>377.03199999999998</v>
      </c>
      <c r="H142">
        <v>363.35599999999999</v>
      </c>
      <c r="I142">
        <v>343.31</v>
      </c>
      <c r="J142">
        <v>416.58600000000001</v>
      </c>
      <c r="K142">
        <v>413.23500000000001</v>
      </c>
      <c r="L142">
        <v>381.851</v>
      </c>
      <c r="M142">
        <v>357.01499999999999</v>
      </c>
      <c r="N142">
        <v>414.67599999999999</v>
      </c>
      <c r="O142">
        <v>464.50599999999997</v>
      </c>
      <c r="Q142" s="493"/>
    </row>
    <row r="143" spans="1:17">
      <c r="A143" t="str">
        <f t="shared" si="1"/>
        <v>CILC1DSDR CP</v>
      </c>
      <c r="B143" t="s">
        <v>122</v>
      </c>
      <c r="C143" t="s">
        <v>174</v>
      </c>
      <c r="D143">
        <v>303.48099999999999</v>
      </c>
      <c r="E143">
        <v>410.363</v>
      </c>
      <c r="F143">
        <v>303.71800000000002</v>
      </c>
      <c r="G143">
        <v>265.72899999999998</v>
      </c>
      <c r="H143">
        <v>244.04599999999999</v>
      </c>
      <c r="I143">
        <v>382.37599999999998</v>
      </c>
      <c r="J143">
        <v>304.858</v>
      </c>
      <c r="K143">
        <v>244.441</v>
      </c>
      <c r="L143">
        <v>204.024</v>
      </c>
      <c r="M143">
        <v>295.00099999999998</v>
      </c>
      <c r="N143">
        <v>467.37200000000001</v>
      </c>
      <c r="O143">
        <v>334.96499999999997</v>
      </c>
      <c r="Q143" s="493"/>
    </row>
    <row r="144" spans="1:17">
      <c r="A144" t="str">
        <f t="shared" si="1"/>
        <v/>
      </c>
      <c r="Q144" s="493"/>
    </row>
    <row r="145" spans="1:17">
      <c r="A145" t="str">
        <f t="shared" si="1"/>
        <v/>
      </c>
      <c r="Q145" s="493"/>
    </row>
    <row r="146" spans="1:17">
      <c r="A146" t="str">
        <f t="shared" si="1"/>
        <v/>
      </c>
      <c r="Q146" s="493"/>
    </row>
    <row r="147" spans="1:17">
      <c r="A147" t="str">
        <f t="shared" si="1"/>
        <v xml:space="preserve">CILC1G Commercial/Industrial Load Control - General (56) </v>
      </c>
      <c r="B147" t="s">
        <v>175</v>
      </c>
      <c r="C147" t="s">
        <v>176</v>
      </c>
      <c r="Q147" s="493"/>
    </row>
    <row r="148" spans="1:17">
      <c r="A148" t="str">
        <f t="shared" si="1"/>
        <v xml:space="preserve">CILC1GMONTH </v>
      </c>
      <c r="B148" t="s">
        <v>177</v>
      </c>
      <c r="C148" t="s">
        <v>123</v>
      </c>
      <c r="D148" s="4">
        <v>41640</v>
      </c>
      <c r="E148" s="4">
        <v>41671</v>
      </c>
      <c r="F148" s="4">
        <v>41699</v>
      </c>
      <c r="G148" s="4">
        <v>41730</v>
      </c>
      <c r="H148" s="4">
        <v>41760</v>
      </c>
      <c r="I148" s="4">
        <v>41791</v>
      </c>
      <c r="J148" s="4">
        <v>41821</v>
      </c>
      <c r="K148" s="4">
        <v>41852</v>
      </c>
      <c r="L148" s="4">
        <v>41883</v>
      </c>
      <c r="M148" s="4">
        <v>41913</v>
      </c>
      <c r="N148" s="4">
        <v>41944</v>
      </c>
      <c r="O148" s="4">
        <v>41974</v>
      </c>
      <c r="P148" s="4"/>
      <c r="Q148" s="493"/>
    </row>
    <row r="149" spans="1:17">
      <c r="A149" t="str">
        <f t="shared" si="1"/>
        <v xml:space="preserve">CILC1GCUSTOMERS </v>
      </c>
      <c r="B149" t="s">
        <v>177</v>
      </c>
      <c r="C149" t="s">
        <v>124</v>
      </c>
      <c r="D149">
        <v>105</v>
      </c>
      <c r="E149">
        <v>105</v>
      </c>
      <c r="F149">
        <v>105</v>
      </c>
      <c r="G149">
        <v>83</v>
      </c>
      <c r="H149">
        <v>76</v>
      </c>
      <c r="I149">
        <v>78</v>
      </c>
      <c r="J149">
        <v>78</v>
      </c>
      <c r="K149">
        <v>78</v>
      </c>
      <c r="L149">
        <v>77</v>
      </c>
      <c r="M149">
        <v>73</v>
      </c>
      <c r="N149">
        <v>73</v>
      </c>
      <c r="O149">
        <v>66</v>
      </c>
      <c r="Q149" s="493"/>
    </row>
    <row r="150" spans="1:17">
      <c r="A150" t="str">
        <f t="shared" si="1"/>
        <v xml:space="preserve">CILC1GSALES </v>
      </c>
      <c r="B150" t="s">
        <v>177</v>
      </c>
      <c r="C150" t="s">
        <v>125</v>
      </c>
      <c r="D150">
        <v>16455300</v>
      </c>
      <c r="E150">
        <v>15228340</v>
      </c>
      <c r="F150">
        <v>14838540</v>
      </c>
      <c r="G150">
        <v>15501700</v>
      </c>
      <c r="H150">
        <v>10838220</v>
      </c>
      <c r="I150">
        <v>11201160</v>
      </c>
      <c r="J150">
        <v>10918220</v>
      </c>
      <c r="K150">
        <v>11448020</v>
      </c>
      <c r="L150">
        <v>11157200</v>
      </c>
      <c r="M150">
        <v>10027282</v>
      </c>
      <c r="N150">
        <v>9772200</v>
      </c>
      <c r="O150">
        <v>9551020</v>
      </c>
      <c r="Q150" s="493"/>
    </row>
    <row r="151" spans="1:17">
      <c r="A151" t="str">
        <f t="shared" si="1"/>
        <v>CILC1GKW</v>
      </c>
      <c r="B151" t="s">
        <v>177</v>
      </c>
      <c r="C151" t="s">
        <v>126</v>
      </c>
      <c r="Q151" s="493"/>
    </row>
    <row r="152" spans="1:17">
      <c r="A152" t="str">
        <f t="shared" si="1"/>
        <v>CILC1GN</v>
      </c>
      <c r="B152" t="s">
        <v>177</v>
      </c>
      <c r="C152" t="s">
        <v>127</v>
      </c>
      <c r="D152">
        <v>105</v>
      </c>
      <c r="E152">
        <v>105</v>
      </c>
      <c r="F152">
        <v>105</v>
      </c>
      <c r="G152">
        <v>105</v>
      </c>
      <c r="H152">
        <v>77</v>
      </c>
      <c r="I152">
        <v>78</v>
      </c>
      <c r="J152">
        <v>78</v>
      </c>
      <c r="K152">
        <v>77</v>
      </c>
      <c r="L152">
        <v>76</v>
      </c>
      <c r="M152">
        <v>74</v>
      </c>
      <c r="N152">
        <v>73</v>
      </c>
      <c r="O152">
        <v>71</v>
      </c>
      <c r="Q152" s="493"/>
    </row>
    <row r="153" spans="1:17">
      <c r="A153" t="str">
        <f t="shared" si="1"/>
        <v>CILC1GRLR ENERGY:</v>
      </c>
      <c r="B153" t="s">
        <v>177</v>
      </c>
      <c r="C153" t="s">
        <v>61</v>
      </c>
      <c r="Q153" s="493"/>
    </row>
    <row r="154" spans="1:17">
      <c r="A154" t="str">
        <f t="shared" si="1"/>
        <v>CILC1GKWH</v>
      </c>
      <c r="B154" t="s">
        <v>177</v>
      </c>
      <c r="C154" t="s">
        <v>128</v>
      </c>
      <c r="D154">
        <v>16458096</v>
      </c>
      <c r="E154">
        <v>15228781</v>
      </c>
      <c r="F154">
        <v>14841558</v>
      </c>
      <c r="G154">
        <v>15503259</v>
      </c>
      <c r="H154">
        <v>10841278</v>
      </c>
      <c r="I154">
        <v>11205019</v>
      </c>
      <c r="J154">
        <v>11145752</v>
      </c>
      <c r="K154">
        <v>11213008</v>
      </c>
      <c r="L154">
        <v>10949823</v>
      </c>
      <c r="M154">
        <v>10250246</v>
      </c>
      <c r="N154">
        <v>9772609</v>
      </c>
      <c r="O154">
        <v>9551446</v>
      </c>
      <c r="Q154" s="493"/>
    </row>
    <row r="155" spans="1:17">
      <c r="A155" t="str">
        <f t="shared" si="1"/>
        <v>CILC1GKWH ONPK</v>
      </c>
      <c r="B155" t="s">
        <v>177</v>
      </c>
      <c r="C155" t="s">
        <v>129</v>
      </c>
      <c r="D155">
        <v>4022807</v>
      </c>
      <c r="E155">
        <v>3750281</v>
      </c>
      <c r="F155">
        <v>3485470</v>
      </c>
      <c r="G155">
        <v>4567025</v>
      </c>
      <c r="H155">
        <v>3018154</v>
      </c>
      <c r="I155">
        <v>3198839</v>
      </c>
      <c r="J155">
        <v>3215050</v>
      </c>
      <c r="K155">
        <v>3106022</v>
      </c>
      <c r="L155">
        <v>3172555</v>
      </c>
      <c r="M155">
        <v>3138676</v>
      </c>
      <c r="N155">
        <v>2198739</v>
      </c>
      <c r="O155">
        <v>2379391</v>
      </c>
      <c r="Q155" s="493"/>
    </row>
    <row r="156" spans="1:17">
      <c r="A156" t="str">
        <f t="shared" si="1"/>
        <v>CILC1GKWH OFFPK</v>
      </c>
      <c r="B156" t="s">
        <v>177</v>
      </c>
      <c r="C156" t="s">
        <v>130</v>
      </c>
      <c r="D156">
        <v>12435289</v>
      </c>
      <c r="E156">
        <v>11478500</v>
      </c>
      <c r="F156">
        <v>11356088</v>
      </c>
      <c r="G156">
        <v>10936234</v>
      </c>
      <c r="H156">
        <v>7823123</v>
      </c>
      <c r="I156">
        <v>8006180</v>
      </c>
      <c r="J156">
        <v>7930702</v>
      </c>
      <c r="K156">
        <v>8106986</v>
      </c>
      <c r="L156">
        <v>7777268</v>
      </c>
      <c r="M156">
        <v>7111570</v>
      </c>
      <c r="N156">
        <v>7573870</v>
      </c>
      <c r="O156">
        <v>7172054</v>
      </c>
      <c r="Q156" s="493"/>
    </row>
    <row r="157" spans="1:17">
      <c r="A157" t="str">
        <f t="shared" si="1"/>
        <v>CILC1GKWH ONPK%</v>
      </c>
      <c r="B157" t="s">
        <v>177</v>
      </c>
      <c r="C157" t="s">
        <v>131</v>
      </c>
      <c r="D157" s="5">
        <v>0.24443000000000001</v>
      </c>
      <c r="E157" s="5">
        <v>0.24626000000000001</v>
      </c>
      <c r="F157" s="5">
        <v>0.23485</v>
      </c>
      <c r="G157" s="5">
        <v>0.29458000000000001</v>
      </c>
      <c r="H157" s="5">
        <v>0.27839000000000003</v>
      </c>
      <c r="I157" s="5">
        <v>0.28548000000000001</v>
      </c>
      <c r="J157" s="5">
        <v>0.28845999999999999</v>
      </c>
      <c r="K157" s="5">
        <v>0.27700000000000002</v>
      </c>
      <c r="L157" s="5">
        <v>0.28974</v>
      </c>
      <c r="M157" s="5">
        <v>0.30620000000000003</v>
      </c>
      <c r="N157" s="5">
        <v>0.22499</v>
      </c>
      <c r="O157" s="5">
        <v>0.24911</v>
      </c>
      <c r="P157" s="5"/>
      <c r="Q157" s="493"/>
    </row>
    <row r="158" spans="1:17">
      <c r="A158" t="str">
        <f t="shared" si="1"/>
        <v>CILC1GKWH OFFPK%</v>
      </c>
      <c r="B158" t="s">
        <v>177</v>
      </c>
      <c r="C158" t="s">
        <v>132</v>
      </c>
      <c r="D158" s="5">
        <v>0.75556999999999996</v>
      </c>
      <c r="E158" s="5">
        <v>0.75373999999999997</v>
      </c>
      <c r="F158" s="5">
        <v>0.76515</v>
      </c>
      <c r="G158" s="5">
        <v>0.70542000000000005</v>
      </c>
      <c r="H158" s="5">
        <v>0.72160999999999997</v>
      </c>
      <c r="I158" s="5">
        <v>0.71452000000000004</v>
      </c>
      <c r="J158" s="5">
        <v>0.71153999999999995</v>
      </c>
      <c r="K158" s="5">
        <v>0.72299999999999998</v>
      </c>
      <c r="L158" s="5">
        <v>0.71026</v>
      </c>
      <c r="M158" s="5">
        <v>0.69379999999999997</v>
      </c>
      <c r="N158" s="5">
        <v>0.77500999999999998</v>
      </c>
      <c r="O158" s="5">
        <v>0.75088999999999995</v>
      </c>
      <c r="P158" s="5"/>
      <c r="Q158" s="493"/>
    </row>
    <row r="159" spans="1:17">
      <c r="A159" t="str">
        <f t="shared" si="1"/>
        <v>CILC1GDEMAND (KW):</v>
      </c>
      <c r="B159" t="s">
        <v>177</v>
      </c>
      <c r="C159" t="s">
        <v>62</v>
      </c>
      <c r="Q159" s="493"/>
    </row>
    <row r="160" spans="1:17">
      <c r="A160" t="str">
        <f t="shared" si="1"/>
        <v>CILC1GNCP</v>
      </c>
      <c r="B160" t="s">
        <v>177</v>
      </c>
      <c r="C160" t="s">
        <v>133</v>
      </c>
      <c r="D160">
        <v>32282</v>
      </c>
      <c r="E160">
        <v>32547</v>
      </c>
      <c r="F160">
        <v>28670</v>
      </c>
      <c r="G160">
        <v>30998</v>
      </c>
      <c r="H160">
        <v>22757</v>
      </c>
      <c r="I160">
        <v>24700</v>
      </c>
      <c r="J160">
        <v>23339</v>
      </c>
      <c r="K160">
        <v>23168</v>
      </c>
      <c r="L160">
        <v>23532</v>
      </c>
      <c r="M160">
        <v>21299</v>
      </c>
      <c r="N160">
        <v>21898</v>
      </c>
      <c r="O160">
        <v>20323</v>
      </c>
      <c r="Q160" s="493"/>
    </row>
    <row r="161" spans="1:17">
      <c r="A161" t="str">
        <f t="shared" si="1"/>
        <v>CILC1GNCP ONPK</v>
      </c>
      <c r="B161" t="s">
        <v>177</v>
      </c>
      <c r="C161" t="s">
        <v>134</v>
      </c>
      <c r="D161">
        <v>30378</v>
      </c>
      <c r="E161">
        <v>30669</v>
      </c>
      <c r="F161">
        <v>27127</v>
      </c>
      <c r="G161">
        <v>29389</v>
      </c>
      <c r="H161">
        <v>21278</v>
      </c>
      <c r="I161">
        <v>23294</v>
      </c>
      <c r="J161">
        <v>22055</v>
      </c>
      <c r="K161">
        <v>21937</v>
      </c>
      <c r="L161">
        <v>22186</v>
      </c>
      <c r="M161">
        <v>20172</v>
      </c>
      <c r="N161">
        <v>20445</v>
      </c>
      <c r="O161">
        <v>19153</v>
      </c>
      <c r="Q161" s="493"/>
    </row>
    <row r="162" spans="1:17">
      <c r="A162" t="str">
        <f t="shared" si="1"/>
        <v>CILC1GNCP OFFPK</v>
      </c>
      <c r="B162" t="s">
        <v>177</v>
      </c>
      <c r="C162" t="s">
        <v>135</v>
      </c>
      <c r="D162">
        <v>31720</v>
      </c>
      <c r="E162">
        <v>32220</v>
      </c>
      <c r="F162">
        <v>28452</v>
      </c>
      <c r="G162">
        <v>30361</v>
      </c>
      <c r="H162">
        <v>22474</v>
      </c>
      <c r="I162">
        <v>24226</v>
      </c>
      <c r="J162">
        <v>22920</v>
      </c>
      <c r="K162">
        <v>22848</v>
      </c>
      <c r="L162">
        <v>23073</v>
      </c>
      <c r="M162">
        <v>20947</v>
      </c>
      <c r="N162">
        <v>21691</v>
      </c>
      <c r="O162">
        <v>20225</v>
      </c>
      <c r="Q162" s="493"/>
    </row>
    <row r="163" spans="1:17">
      <c r="A163" t="str">
        <f t="shared" si="1"/>
        <v>CILC1GGCP DATE</v>
      </c>
      <c r="B163" t="s">
        <v>177</v>
      </c>
      <c r="C163" t="s">
        <v>136</v>
      </c>
      <c r="D163" t="s">
        <v>614</v>
      </c>
      <c r="E163" t="s">
        <v>615</v>
      </c>
      <c r="F163" t="s">
        <v>616</v>
      </c>
      <c r="G163" t="s">
        <v>264</v>
      </c>
      <c r="H163" t="s">
        <v>263</v>
      </c>
      <c r="I163" t="s">
        <v>296</v>
      </c>
      <c r="J163" t="s">
        <v>617</v>
      </c>
      <c r="K163" t="s">
        <v>618</v>
      </c>
      <c r="L163" t="s">
        <v>619</v>
      </c>
      <c r="M163" t="s">
        <v>607</v>
      </c>
      <c r="N163" t="s">
        <v>613</v>
      </c>
      <c r="O163" t="s">
        <v>315</v>
      </c>
      <c r="Q163" s="493"/>
    </row>
    <row r="164" spans="1:17">
      <c r="A164" t="str">
        <f t="shared" si="1"/>
        <v>CILC1GGCP TIME</v>
      </c>
      <c r="B164" t="s">
        <v>177</v>
      </c>
      <c r="C164" t="s">
        <v>142</v>
      </c>
      <c r="D164" t="s">
        <v>146</v>
      </c>
      <c r="E164" t="s">
        <v>143</v>
      </c>
      <c r="F164" t="s">
        <v>146</v>
      </c>
      <c r="G164" t="s">
        <v>144</v>
      </c>
      <c r="H164" t="s">
        <v>146</v>
      </c>
      <c r="I164" t="s">
        <v>189</v>
      </c>
      <c r="J164" t="s">
        <v>143</v>
      </c>
      <c r="K164" t="s">
        <v>182</v>
      </c>
      <c r="L164" t="s">
        <v>189</v>
      </c>
      <c r="M164" t="s">
        <v>144</v>
      </c>
      <c r="N164" t="s">
        <v>189</v>
      </c>
      <c r="O164" t="s">
        <v>146</v>
      </c>
      <c r="Q164" s="493"/>
    </row>
    <row r="165" spans="1:17">
      <c r="A165" t="str">
        <f t="shared" si="1"/>
        <v>CILC1GGCP</v>
      </c>
      <c r="B165" t="s">
        <v>177</v>
      </c>
      <c r="C165" t="s">
        <v>147</v>
      </c>
      <c r="D165">
        <v>25511</v>
      </c>
      <c r="E165">
        <v>26507</v>
      </c>
      <c r="F165">
        <v>23547</v>
      </c>
      <c r="G165">
        <v>25426</v>
      </c>
      <c r="H165">
        <v>17549</v>
      </c>
      <c r="I165">
        <v>18673</v>
      </c>
      <c r="J165">
        <v>18246</v>
      </c>
      <c r="K165">
        <v>17883</v>
      </c>
      <c r="L165">
        <v>18434</v>
      </c>
      <c r="M165">
        <v>17067</v>
      </c>
      <c r="N165">
        <v>17204</v>
      </c>
      <c r="O165">
        <v>15812</v>
      </c>
      <c r="Q165" s="493"/>
    </row>
    <row r="166" spans="1:17">
      <c r="A166" t="str">
        <f t="shared" si="1"/>
        <v>CILC1GGCP ONPK</v>
      </c>
      <c r="B166" t="s">
        <v>177</v>
      </c>
      <c r="C166" t="s">
        <v>63</v>
      </c>
      <c r="D166">
        <v>24903</v>
      </c>
      <c r="E166">
        <v>25677</v>
      </c>
      <c r="F166">
        <v>23014</v>
      </c>
      <c r="G166">
        <v>25426</v>
      </c>
      <c r="H166">
        <v>17515</v>
      </c>
      <c r="I166">
        <v>18622</v>
      </c>
      <c r="J166">
        <v>18246</v>
      </c>
      <c r="K166">
        <v>17883</v>
      </c>
      <c r="L166">
        <v>18375</v>
      </c>
      <c r="M166">
        <v>17067</v>
      </c>
      <c r="N166">
        <v>16902</v>
      </c>
      <c r="O166">
        <v>15572</v>
      </c>
      <c r="Q166" s="493"/>
    </row>
    <row r="167" spans="1:17">
      <c r="A167" t="str">
        <f t="shared" si="1"/>
        <v>CILC1GGCP OFFPK</v>
      </c>
      <c r="B167" t="s">
        <v>177</v>
      </c>
      <c r="C167" t="s">
        <v>64</v>
      </c>
      <c r="D167">
        <v>25511</v>
      </c>
      <c r="E167">
        <v>26507</v>
      </c>
      <c r="F167">
        <v>23547</v>
      </c>
      <c r="G167">
        <v>25262</v>
      </c>
      <c r="H167">
        <v>17549</v>
      </c>
      <c r="I167">
        <v>18673</v>
      </c>
      <c r="J167">
        <v>17923</v>
      </c>
      <c r="K167">
        <v>17795</v>
      </c>
      <c r="L167">
        <v>18434</v>
      </c>
      <c r="M167">
        <v>16884</v>
      </c>
      <c r="N167">
        <v>17204</v>
      </c>
      <c r="O167">
        <v>15812</v>
      </c>
      <c r="Q167" s="493"/>
    </row>
    <row r="168" spans="1:17">
      <c r="A168" t="str">
        <f t="shared" si="1"/>
        <v>CILC1GCP</v>
      </c>
      <c r="B168" t="s">
        <v>177</v>
      </c>
      <c r="C168" t="s">
        <v>148</v>
      </c>
      <c r="D168">
        <v>23400</v>
      </c>
      <c r="E168">
        <v>25496</v>
      </c>
      <c r="F168">
        <v>20253</v>
      </c>
      <c r="G168">
        <v>24417</v>
      </c>
      <c r="H168">
        <v>16151</v>
      </c>
      <c r="I168">
        <v>17984</v>
      </c>
      <c r="J168">
        <v>16615</v>
      </c>
      <c r="K168">
        <v>16941</v>
      </c>
      <c r="L168">
        <v>17285</v>
      </c>
      <c r="M168">
        <v>15990</v>
      </c>
      <c r="N168">
        <v>16716</v>
      </c>
      <c r="O168">
        <v>13987</v>
      </c>
      <c r="Q168" s="493"/>
    </row>
    <row r="169" spans="1:17">
      <c r="A169" t="str">
        <f t="shared" si="1"/>
        <v>CILC1GPERIOD START</v>
      </c>
      <c r="B169" t="s">
        <v>177</v>
      </c>
      <c r="C169" t="s">
        <v>149</v>
      </c>
      <c r="D169" s="1">
        <v>41640</v>
      </c>
      <c r="E169" s="1">
        <v>41671</v>
      </c>
      <c r="F169" s="1">
        <v>41699</v>
      </c>
      <c r="G169" s="1">
        <v>41730</v>
      </c>
      <c r="H169" s="1">
        <v>41760</v>
      </c>
      <c r="I169" s="1">
        <v>41791</v>
      </c>
      <c r="J169" s="1">
        <v>41821</v>
      </c>
      <c r="K169" s="1">
        <v>41852</v>
      </c>
      <c r="L169" s="1">
        <v>41883</v>
      </c>
      <c r="M169" s="1">
        <v>41913</v>
      </c>
      <c r="N169" s="1">
        <v>41944</v>
      </c>
      <c r="O169" s="1">
        <v>41974</v>
      </c>
      <c r="P169" s="1"/>
      <c r="Q169" s="493"/>
    </row>
    <row r="170" spans="1:17">
      <c r="A170" t="str">
        <f t="shared" si="1"/>
        <v>CILC1GNCP LF</v>
      </c>
      <c r="B170" t="s">
        <v>177</v>
      </c>
      <c r="C170" t="s">
        <v>150</v>
      </c>
      <c r="D170" s="5">
        <v>0.68520000000000003</v>
      </c>
      <c r="E170" s="5">
        <v>0.69630000000000003</v>
      </c>
      <c r="F170" s="5">
        <v>0.69579999999999997</v>
      </c>
      <c r="G170" s="5">
        <v>0.6946</v>
      </c>
      <c r="H170" s="5">
        <v>0.64029999999999998</v>
      </c>
      <c r="I170" s="5">
        <v>0.63009999999999999</v>
      </c>
      <c r="J170" s="5">
        <v>0.64190000000000003</v>
      </c>
      <c r="K170" s="5">
        <v>0.65049999999999997</v>
      </c>
      <c r="L170" s="5">
        <v>0.64629999999999999</v>
      </c>
      <c r="M170" s="5">
        <v>0.64680000000000004</v>
      </c>
      <c r="N170" s="5">
        <v>0.61980000000000002</v>
      </c>
      <c r="O170" s="5">
        <v>0.63170000000000004</v>
      </c>
      <c r="P170" s="5"/>
      <c r="Q170" s="493"/>
    </row>
    <row r="171" spans="1:17">
      <c r="A171" t="str">
        <f t="shared" si="1"/>
        <v>CILC1GNCP LF ONPK</v>
      </c>
      <c r="B171" t="s">
        <v>177</v>
      </c>
      <c r="C171" t="s">
        <v>151</v>
      </c>
      <c r="D171" s="5">
        <v>0.75239999999999996</v>
      </c>
      <c r="E171" s="5">
        <v>0.76429999999999998</v>
      </c>
      <c r="F171" s="5">
        <v>0.76480000000000004</v>
      </c>
      <c r="G171" s="5">
        <v>0.78480000000000005</v>
      </c>
      <c r="H171" s="5">
        <v>0.75049999999999994</v>
      </c>
      <c r="I171" s="5">
        <v>0.72660000000000002</v>
      </c>
      <c r="J171" s="5">
        <v>0.73619999999999997</v>
      </c>
      <c r="K171" s="5">
        <v>0.74909999999999999</v>
      </c>
      <c r="L171" s="5">
        <v>0.75660000000000005</v>
      </c>
      <c r="M171" s="5">
        <v>0.75170000000000003</v>
      </c>
      <c r="N171" s="5">
        <v>0.70750000000000002</v>
      </c>
      <c r="O171" s="5">
        <v>0.70579999999999998</v>
      </c>
      <c r="P171" s="5"/>
      <c r="Q171" s="493"/>
    </row>
    <row r="172" spans="1:17">
      <c r="A172" t="str">
        <f t="shared" si="1"/>
        <v>CILC1GNCP LF OFFPK</v>
      </c>
      <c r="B172" t="s">
        <v>177</v>
      </c>
      <c r="C172" t="s">
        <v>152</v>
      </c>
      <c r="D172" s="5">
        <v>0.69020000000000004</v>
      </c>
      <c r="E172" s="5">
        <v>0.69579999999999997</v>
      </c>
      <c r="F172" s="5">
        <v>0.69289999999999996</v>
      </c>
      <c r="G172" s="5">
        <v>0.69010000000000005</v>
      </c>
      <c r="H172" s="5">
        <v>0.62719999999999998</v>
      </c>
      <c r="I172" s="5">
        <v>0.62239999999999995</v>
      </c>
      <c r="J172" s="5">
        <v>0.63370000000000004</v>
      </c>
      <c r="K172" s="5">
        <v>0.63929999999999998</v>
      </c>
      <c r="L172" s="5">
        <v>0.63480000000000003</v>
      </c>
      <c r="M172" s="5">
        <v>0.63219999999999998</v>
      </c>
      <c r="N172" s="5">
        <v>0.61470000000000002</v>
      </c>
      <c r="O172" s="5">
        <v>0.62429999999999997</v>
      </c>
      <c r="P172" s="5"/>
      <c r="Q172" s="493"/>
    </row>
    <row r="173" spans="1:17">
      <c r="A173" t="str">
        <f t="shared" si="1"/>
        <v>CILC1GGCP CF</v>
      </c>
      <c r="B173" t="s">
        <v>177</v>
      </c>
      <c r="C173" t="s">
        <v>153</v>
      </c>
      <c r="D173" s="5">
        <v>0.79020000000000001</v>
      </c>
      <c r="E173" s="5">
        <v>0.81440000000000001</v>
      </c>
      <c r="F173" s="5">
        <v>0.82130000000000003</v>
      </c>
      <c r="G173" s="5">
        <v>0.82030000000000003</v>
      </c>
      <c r="H173" s="5">
        <v>0.77110000000000001</v>
      </c>
      <c r="I173" s="5">
        <v>0.75600000000000001</v>
      </c>
      <c r="J173" s="5">
        <v>0.78180000000000005</v>
      </c>
      <c r="K173" s="5">
        <v>0.77190000000000003</v>
      </c>
      <c r="L173" s="5">
        <v>0.7833</v>
      </c>
      <c r="M173" s="5">
        <v>0.80130000000000001</v>
      </c>
      <c r="N173" s="5">
        <v>0.78559999999999997</v>
      </c>
      <c r="O173" s="5">
        <v>0.77810000000000001</v>
      </c>
      <c r="P173" s="5"/>
      <c r="Q173" s="493"/>
    </row>
    <row r="174" spans="1:17">
      <c r="A174" t="str">
        <f t="shared" si="1"/>
        <v>CILC1GCP CF</v>
      </c>
      <c r="B174" t="s">
        <v>177</v>
      </c>
      <c r="C174" t="s">
        <v>154</v>
      </c>
      <c r="D174" s="5">
        <v>0.72489999999999999</v>
      </c>
      <c r="E174" s="5">
        <v>0.78339999999999999</v>
      </c>
      <c r="F174" s="5">
        <v>0.70640000000000003</v>
      </c>
      <c r="G174" s="5">
        <v>0.78769999999999996</v>
      </c>
      <c r="H174" s="5">
        <v>0.7097</v>
      </c>
      <c r="I174" s="5">
        <v>0.72809999999999997</v>
      </c>
      <c r="J174" s="5">
        <v>0.71189999999999998</v>
      </c>
      <c r="K174" s="5">
        <v>0.73119999999999996</v>
      </c>
      <c r="L174" s="5">
        <v>0.73450000000000004</v>
      </c>
      <c r="M174" s="5">
        <v>0.75070000000000003</v>
      </c>
      <c r="N174" s="5">
        <v>0.76329999999999998</v>
      </c>
      <c r="O174" s="5">
        <v>0.68820000000000003</v>
      </c>
      <c r="P174" s="5"/>
      <c r="Q174" s="493"/>
    </row>
    <row r="175" spans="1:17">
      <c r="A175" t="str">
        <f t="shared" ref="A175:A238" si="2">B175&amp;C175</f>
        <v>CILC1GGCP LF</v>
      </c>
      <c r="B175" t="s">
        <v>177</v>
      </c>
      <c r="C175" t="s">
        <v>155</v>
      </c>
      <c r="D175" s="5">
        <v>0.86709999999999998</v>
      </c>
      <c r="E175" s="5">
        <v>0.85489999999999999</v>
      </c>
      <c r="F175" s="5">
        <v>0.84719999999999995</v>
      </c>
      <c r="G175" s="5">
        <v>0.84689999999999999</v>
      </c>
      <c r="H175" s="5">
        <v>0.83030000000000004</v>
      </c>
      <c r="I175" s="5">
        <v>0.83340000000000003</v>
      </c>
      <c r="J175" s="5">
        <v>0.82110000000000005</v>
      </c>
      <c r="K175" s="5">
        <v>0.84279999999999999</v>
      </c>
      <c r="L175" s="5">
        <v>0.82499999999999996</v>
      </c>
      <c r="M175" s="5">
        <v>0.80730000000000002</v>
      </c>
      <c r="N175" s="5">
        <v>0.78900000000000003</v>
      </c>
      <c r="O175" s="5">
        <v>0.81189999999999996</v>
      </c>
      <c r="P175" s="5"/>
      <c r="Q175" s="493"/>
    </row>
    <row r="176" spans="1:17">
      <c r="A176" t="str">
        <f t="shared" si="2"/>
        <v>CILC1GGCP LF ONPK</v>
      </c>
      <c r="B176" t="s">
        <v>177</v>
      </c>
      <c r="C176" t="s">
        <v>156</v>
      </c>
      <c r="D176" s="5">
        <v>0.91779999999999995</v>
      </c>
      <c r="E176" s="5">
        <v>0.91279999999999994</v>
      </c>
      <c r="F176" s="5">
        <v>0.90149999999999997</v>
      </c>
      <c r="G176" s="5">
        <v>0.90720000000000001</v>
      </c>
      <c r="H176" s="5">
        <v>0.91180000000000005</v>
      </c>
      <c r="I176" s="5">
        <v>0.90890000000000004</v>
      </c>
      <c r="J176" s="5">
        <v>0.88990000000000002</v>
      </c>
      <c r="K176" s="5">
        <v>0.91900000000000004</v>
      </c>
      <c r="L176" s="5">
        <v>0.91349999999999998</v>
      </c>
      <c r="M176" s="5">
        <v>0.88839999999999997</v>
      </c>
      <c r="N176" s="5">
        <v>0.85580000000000001</v>
      </c>
      <c r="O176" s="5">
        <v>0.86819999999999997</v>
      </c>
      <c r="P176" s="5"/>
      <c r="Q176" s="493"/>
    </row>
    <row r="177" spans="1:17">
      <c r="A177" t="str">
        <f t="shared" si="2"/>
        <v>CILC1GGCP LF OFFPK</v>
      </c>
      <c r="B177" t="s">
        <v>177</v>
      </c>
      <c r="C177" t="s">
        <v>157</v>
      </c>
      <c r="D177" s="5">
        <v>0.85819999999999996</v>
      </c>
      <c r="E177" s="5">
        <v>0.8458</v>
      </c>
      <c r="F177" s="5">
        <v>0.83730000000000004</v>
      </c>
      <c r="G177" s="5">
        <v>0.82930000000000004</v>
      </c>
      <c r="H177" s="5">
        <v>0.80320000000000003</v>
      </c>
      <c r="I177" s="5">
        <v>0.80740000000000001</v>
      </c>
      <c r="J177" s="5">
        <v>0.81040000000000001</v>
      </c>
      <c r="K177" s="5">
        <v>0.82089999999999996</v>
      </c>
      <c r="L177" s="5">
        <v>0.79449999999999998</v>
      </c>
      <c r="M177" s="5">
        <v>0.7843</v>
      </c>
      <c r="N177" s="5">
        <v>0.77510000000000001</v>
      </c>
      <c r="O177" s="5">
        <v>0.79849999999999999</v>
      </c>
      <c r="P177" s="5"/>
      <c r="Q177" s="493"/>
    </row>
    <row r="178" spans="1:17">
      <c r="A178" t="str">
        <f t="shared" si="2"/>
        <v>CILC1GCP LF</v>
      </c>
      <c r="B178" t="s">
        <v>177</v>
      </c>
      <c r="C178" t="s">
        <v>158</v>
      </c>
      <c r="D178" s="5">
        <v>0.94530000000000003</v>
      </c>
      <c r="E178" s="5">
        <v>0.88880000000000003</v>
      </c>
      <c r="F178" s="5">
        <v>0.98499999999999999</v>
      </c>
      <c r="G178" s="5">
        <v>0.88190000000000002</v>
      </c>
      <c r="H178" s="5">
        <v>0.9022</v>
      </c>
      <c r="I178" s="5">
        <v>0.86539999999999995</v>
      </c>
      <c r="J178" s="5">
        <v>0.90169999999999995</v>
      </c>
      <c r="K178" s="5">
        <v>0.88959999999999995</v>
      </c>
      <c r="L178" s="5">
        <v>0.87980000000000003</v>
      </c>
      <c r="M178" s="5">
        <v>0.86160000000000003</v>
      </c>
      <c r="N178" s="5">
        <v>0.81200000000000006</v>
      </c>
      <c r="O178" s="5">
        <v>0.91790000000000005</v>
      </c>
      <c r="P178" s="5"/>
      <c r="Q178" s="493"/>
    </row>
    <row r="179" spans="1:17">
      <c r="A179" t="str">
        <f t="shared" si="2"/>
        <v>CILC1GREL PREC:</v>
      </c>
      <c r="B179" t="s">
        <v>177</v>
      </c>
      <c r="C179" t="s">
        <v>65</v>
      </c>
      <c r="Q179" s="493"/>
    </row>
    <row r="180" spans="1:17">
      <c r="A180" t="str">
        <f t="shared" si="2"/>
        <v>CILC1GNCP RP</v>
      </c>
      <c r="B180" t="s">
        <v>177</v>
      </c>
      <c r="C180" t="s">
        <v>159</v>
      </c>
      <c r="D180" s="5">
        <v>0</v>
      </c>
      <c r="E180" s="5">
        <v>0</v>
      </c>
      <c r="F180" s="5">
        <v>0</v>
      </c>
      <c r="G180" s="5">
        <v>0</v>
      </c>
      <c r="H180" s="5">
        <v>6.7999999999999996E-3</v>
      </c>
      <c r="I180" s="5">
        <v>9.4999999999999998E-3</v>
      </c>
      <c r="J180" s="5">
        <v>0</v>
      </c>
      <c r="K180" s="5">
        <v>6.4999999999999997E-3</v>
      </c>
      <c r="L180" s="5">
        <v>8.3000000000000001E-3</v>
      </c>
      <c r="M180" s="5">
        <v>6.4000000000000003E-3</v>
      </c>
      <c r="N180" s="5">
        <v>9.1000000000000004E-3</v>
      </c>
      <c r="O180" s="5">
        <v>9.2999999999999992E-3</v>
      </c>
      <c r="P180" s="5"/>
      <c r="Q180" s="493"/>
    </row>
    <row r="181" spans="1:17">
      <c r="A181" t="str">
        <f t="shared" si="2"/>
        <v>CILC1GNCP RP ONPK</v>
      </c>
      <c r="B181" t="s">
        <v>177</v>
      </c>
      <c r="C181" t="s">
        <v>160</v>
      </c>
      <c r="D181" s="5">
        <v>0</v>
      </c>
      <c r="E181" s="5">
        <v>0</v>
      </c>
      <c r="F181" s="5">
        <v>0</v>
      </c>
      <c r="G181" s="5">
        <v>0</v>
      </c>
      <c r="H181" s="5">
        <v>5.8999999999999999E-3</v>
      </c>
      <c r="I181" s="5">
        <v>8.6E-3</v>
      </c>
      <c r="J181" s="5">
        <v>0</v>
      </c>
      <c r="K181" s="5">
        <v>6.0000000000000001E-3</v>
      </c>
      <c r="L181" s="5">
        <v>7.1000000000000004E-3</v>
      </c>
      <c r="M181" s="5">
        <v>5.4999999999999997E-3</v>
      </c>
      <c r="N181" s="5">
        <v>8.6999999999999994E-3</v>
      </c>
      <c r="O181" s="5">
        <v>8.6E-3</v>
      </c>
      <c r="P181" s="5"/>
      <c r="Q181" s="493"/>
    </row>
    <row r="182" spans="1:17">
      <c r="A182" t="str">
        <f t="shared" si="2"/>
        <v>CILC1GNCP RP OFFPK</v>
      </c>
      <c r="B182" t="s">
        <v>177</v>
      </c>
      <c r="C182" t="s">
        <v>161</v>
      </c>
      <c r="D182" s="5">
        <v>0</v>
      </c>
      <c r="E182" s="5">
        <v>0</v>
      </c>
      <c r="F182" s="5">
        <v>0</v>
      </c>
      <c r="G182" s="5">
        <v>0</v>
      </c>
      <c r="H182" s="5">
        <v>7.0000000000000001E-3</v>
      </c>
      <c r="I182" s="5">
        <v>9.7000000000000003E-3</v>
      </c>
      <c r="J182" s="5">
        <v>0</v>
      </c>
      <c r="K182" s="5">
        <v>6.6E-3</v>
      </c>
      <c r="L182" s="5">
        <v>8.3000000000000001E-3</v>
      </c>
      <c r="M182" s="5">
        <v>6.4999999999999997E-3</v>
      </c>
      <c r="N182" s="5">
        <v>8.8999999999999999E-3</v>
      </c>
      <c r="O182" s="5">
        <v>9.1999999999999998E-3</v>
      </c>
      <c r="P182" s="5"/>
      <c r="Q182" s="493"/>
    </row>
    <row r="183" spans="1:17">
      <c r="A183" t="str">
        <f t="shared" si="2"/>
        <v>CILC1GGCP RP</v>
      </c>
      <c r="B183" t="s">
        <v>177</v>
      </c>
      <c r="C183" t="s">
        <v>162</v>
      </c>
      <c r="D183" s="5">
        <v>0</v>
      </c>
      <c r="E183" s="5">
        <v>0</v>
      </c>
      <c r="F183" s="5">
        <v>3.5999999999999999E-3</v>
      </c>
      <c r="G183" s="5">
        <v>0</v>
      </c>
      <c r="H183" s="5">
        <v>6.1000000000000004E-3</v>
      </c>
      <c r="I183" s="5">
        <v>9.5999999999999992E-3</v>
      </c>
      <c r="J183" s="5">
        <v>0</v>
      </c>
      <c r="K183" s="5">
        <v>6.0000000000000001E-3</v>
      </c>
      <c r="L183" s="5">
        <v>7.7000000000000002E-3</v>
      </c>
      <c r="M183" s="5">
        <v>5.4000000000000003E-3</v>
      </c>
      <c r="N183" s="5">
        <v>8.6999999999999994E-3</v>
      </c>
      <c r="O183" s="5">
        <v>7.3000000000000001E-3</v>
      </c>
      <c r="P183" s="5"/>
      <c r="Q183" s="493"/>
    </row>
    <row r="184" spans="1:17">
      <c r="A184" t="str">
        <f t="shared" si="2"/>
        <v>CILC1GGCP RP ONPK</v>
      </c>
      <c r="B184" t="s">
        <v>177</v>
      </c>
      <c r="C184" t="s">
        <v>163</v>
      </c>
      <c r="D184" s="5">
        <v>0</v>
      </c>
      <c r="E184" s="5">
        <v>0</v>
      </c>
      <c r="F184" s="5">
        <v>4.1000000000000003E-3</v>
      </c>
      <c r="G184" s="5">
        <v>0</v>
      </c>
      <c r="H184" s="5">
        <v>6.1999999999999998E-3</v>
      </c>
      <c r="I184" s="5">
        <v>8.9999999999999993E-3</v>
      </c>
      <c r="J184" s="5">
        <v>0</v>
      </c>
      <c r="K184" s="5">
        <v>6.0000000000000001E-3</v>
      </c>
      <c r="L184" s="5">
        <v>6.6E-3</v>
      </c>
      <c r="M184" s="5">
        <v>5.4000000000000003E-3</v>
      </c>
      <c r="N184" s="5">
        <v>1.03E-2</v>
      </c>
      <c r="O184" s="5">
        <v>7.7999999999999996E-3</v>
      </c>
      <c r="P184" s="5"/>
      <c r="Q184" s="493"/>
    </row>
    <row r="185" spans="1:17">
      <c r="A185" t="str">
        <f t="shared" si="2"/>
        <v>CILC1GGCP RP OFFPK</v>
      </c>
      <c r="B185" t="s">
        <v>177</v>
      </c>
      <c r="C185" t="s">
        <v>164</v>
      </c>
      <c r="D185" s="5">
        <v>0</v>
      </c>
      <c r="E185" s="5">
        <v>0</v>
      </c>
      <c r="F185" s="5">
        <v>3.5999999999999999E-3</v>
      </c>
      <c r="G185" s="5">
        <v>0</v>
      </c>
      <c r="H185" s="5">
        <v>6.1000000000000004E-3</v>
      </c>
      <c r="I185" s="5">
        <v>9.5999999999999992E-3</v>
      </c>
      <c r="J185" s="5">
        <v>0</v>
      </c>
      <c r="K185" s="5">
        <v>4.3E-3</v>
      </c>
      <c r="L185" s="5">
        <v>7.7000000000000002E-3</v>
      </c>
      <c r="M185" s="5">
        <v>5.1999999999999998E-3</v>
      </c>
      <c r="N185" s="5">
        <v>8.6999999999999994E-3</v>
      </c>
      <c r="O185" s="5">
        <v>7.3000000000000001E-3</v>
      </c>
      <c r="P185" s="5"/>
      <c r="Q185" s="493"/>
    </row>
    <row r="186" spans="1:17">
      <c r="A186" t="str">
        <f t="shared" si="2"/>
        <v>CILC1GCP RP</v>
      </c>
      <c r="B186" t="s">
        <v>177</v>
      </c>
      <c r="C186" t="s">
        <v>165</v>
      </c>
      <c r="D186" s="5">
        <v>0</v>
      </c>
      <c r="E186" s="5">
        <v>0</v>
      </c>
      <c r="F186" s="5">
        <v>0</v>
      </c>
      <c r="G186" s="5">
        <v>0</v>
      </c>
      <c r="H186" s="5">
        <v>4.1000000000000003E-3</v>
      </c>
      <c r="I186" s="5">
        <v>7.1000000000000004E-3</v>
      </c>
      <c r="J186" s="5">
        <v>0</v>
      </c>
      <c r="K186" s="5">
        <v>4.3E-3</v>
      </c>
      <c r="L186" s="5">
        <v>6.0000000000000001E-3</v>
      </c>
      <c r="M186" s="5">
        <v>4.7999999999999996E-3</v>
      </c>
      <c r="N186" s="5">
        <v>8.2000000000000007E-3</v>
      </c>
      <c r="O186" s="5">
        <v>7.9000000000000008E-3</v>
      </c>
      <c r="P186" s="5"/>
      <c r="Q186" s="493"/>
    </row>
    <row r="187" spans="1:17">
      <c r="A187" t="str">
        <f t="shared" si="2"/>
        <v>CILC1GSAMPLE SIZE:</v>
      </c>
      <c r="B187" t="s">
        <v>177</v>
      </c>
      <c r="C187" t="s">
        <v>66</v>
      </c>
      <c r="Q187" s="493"/>
    </row>
    <row r="188" spans="1:17">
      <c r="A188" t="str">
        <f t="shared" si="2"/>
        <v>CILC1GGCPSZ</v>
      </c>
      <c r="B188" t="s">
        <v>177</v>
      </c>
      <c r="C188" t="s">
        <v>166</v>
      </c>
      <c r="D188">
        <v>105</v>
      </c>
      <c r="E188">
        <v>105</v>
      </c>
      <c r="F188">
        <v>104</v>
      </c>
      <c r="G188">
        <v>105</v>
      </c>
      <c r="H188">
        <v>76</v>
      </c>
      <c r="I188">
        <v>76</v>
      </c>
      <c r="J188">
        <v>78</v>
      </c>
      <c r="K188">
        <v>76</v>
      </c>
      <c r="L188">
        <v>74</v>
      </c>
      <c r="M188">
        <v>73</v>
      </c>
      <c r="N188">
        <v>71</v>
      </c>
      <c r="O188">
        <v>69</v>
      </c>
      <c r="Q188" s="493"/>
    </row>
    <row r="189" spans="1:17">
      <c r="A189" t="str">
        <f t="shared" si="2"/>
        <v>CILC1GGCPSZ ONPK</v>
      </c>
      <c r="B189" t="s">
        <v>177</v>
      </c>
      <c r="C189" t="s">
        <v>167</v>
      </c>
      <c r="D189">
        <v>105</v>
      </c>
      <c r="E189">
        <v>105</v>
      </c>
      <c r="F189">
        <v>104</v>
      </c>
      <c r="G189">
        <v>105</v>
      </c>
      <c r="H189">
        <v>76</v>
      </c>
      <c r="I189">
        <v>76</v>
      </c>
      <c r="J189">
        <v>78</v>
      </c>
      <c r="K189">
        <v>76</v>
      </c>
      <c r="L189">
        <v>74</v>
      </c>
      <c r="M189">
        <v>73</v>
      </c>
      <c r="N189">
        <v>71</v>
      </c>
      <c r="O189">
        <v>69</v>
      </c>
      <c r="Q189" s="493"/>
    </row>
    <row r="190" spans="1:17">
      <c r="A190" t="str">
        <f t="shared" si="2"/>
        <v>CILC1GGCPSZ OFFPK</v>
      </c>
      <c r="B190" t="s">
        <v>177</v>
      </c>
      <c r="C190" t="s">
        <v>168</v>
      </c>
      <c r="D190">
        <v>105</v>
      </c>
      <c r="E190">
        <v>105</v>
      </c>
      <c r="F190">
        <v>104</v>
      </c>
      <c r="G190">
        <v>105</v>
      </c>
      <c r="H190">
        <v>76</v>
      </c>
      <c r="I190">
        <v>76</v>
      </c>
      <c r="J190">
        <v>78</v>
      </c>
      <c r="K190">
        <v>76</v>
      </c>
      <c r="L190">
        <v>74</v>
      </c>
      <c r="M190">
        <v>73</v>
      </c>
      <c r="N190">
        <v>71</v>
      </c>
      <c r="O190">
        <v>69</v>
      </c>
      <c r="Q190" s="493"/>
    </row>
    <row r="191" spans="1:17">
      <c r="A191" t="str">
        <f t="shared" si="2"/>
        <v>CILC1GCPSZ</v>
      </c>
      <c r="B191" t="s">
        <v>177</v>
      </c>
      <c r="C191" t="s">
        <v>169</v>
      </c>
      <c r="D191">
        <v>105</v>
      </c>
      <c r="E191">
        <v>105</v>
      </c>
      <c r="F191">
        <v>105</v>
      </c>
      <c r="G191">
        <v>105</v>
      </c>
      <c r="H191">
        <v>76</v>
      </c>
      <c r="I191">
        <v>76</v>
      </c>
      <c r="J191">
        <v>78</v>
      </c>
      <c r="K191">
        <v>76</v>
      </c>
      <c r="L191">
        <v>74</v>
      </c>
      <c r="M191">
        <v>73</v>
      </c>
      <c r="N191">
        <v>71</v>
      </c>
      <c r="O191">
        <v>69</v>
      </c>
      <c r="Q191" s="493"/>
    </row>
    <row r="192" spans="1:17">
      <c r="A192" t="str">
        <f t="shared" si="2"/>
        <v>CILC1GSTD DEV OF R</v>
      </c>
      <c r="B192" t="s">
        <v>177</v>
      </c>
      <c r="C192" t="s">
        <v>170</v>
      </c>
      <c r="Q192" s="493"/>
    </row>
    <row r="193" spans="1:17">
      <c r="A193" t="str">
        <f t="shared" si="2"/>
        <v>CILC1GSDR GCP</v>
      </c>
      <c r="B193" t="s">
        <v>177</v>
      </c>
      <c r="C193" t="s">
        <v>171</v>
      </c>
      <c r="D193">
        <v>51.747</v>
      </c>
      <c r="E193">
        <v>49.65</v>
      </c>
      <c r="F193">
        <v>50.607999999999997</v>
      </c>
      <c r="G193">
        <v>52.213999999999999</v>
      </c>
      <c r="H193">
        <v>64.600999999999999</v>
      </c>
      <c r="I193">
        <v>75.671000000000006</v>
      </c>
      <c r="J193">
        <v>68.268000000000001</v>
      </c>
      <c r="K193">
        <v>65.3</v>
      </c>
      <c r="L193">
        <v>60.000999999999998</v>
      </c>
      <c r="M193">
        <v>55.264000000000003</v>
      </c>
      <c r="N193">
        <v>63.512999999999998</v>
      </c>
      <c r="O193">
        <v>49.131999999999998</v>
      </c>
      <c r="Q193" s="493"/>
    </row>
    <row r="194" spans="1:17">
      <c r="A194" t="str">
        <f t="shared" si="2"/>
        <v>CILC1GSDR GCP ONPK</v>
      </c>
      <c r="B194" t="s">
        <v>177</v>
      </c>
      <c r="C194" t="s">
        <v>172</v>
      </c>
      <c r="D194">
        <v>44.357999999999997</v>
      </c>
      <c r="E194">
        <v>35.787999999999997</v>
      </c>
      <c r="F194">
        <v>56.585000000000001</v>
      </c>
      <c r="G194">
        <v>52.213999999999999</v>
      </c>
      <c r="H194">
        <v>65.650999999999996</v>
      </c>
      <c r="I194">
        <v>70.89</v>
      </c>
      <c r="J194">
        <v>68.268000000000001</v>
      </c>
      <c r="K194">
        <v>65.3</v>
      </c>
      <c r="L194">
        <v>51.122999999999998</v>
      </c>
      <c r="M194">
        <v>55.264000000000003</v>
      </c>
      <c r="N194">
        <v>73.77</v>
      </c>
      <c r="O194">
        <v>51.534999999999997</v>
      </c>
      <c r="Q194" s="493"/>
    </row>
    <row r="195" spans="1:17">
      <c r="A195" t="str">
        <f t="shared" si="2"/>
        <v>CILC1GSDR GCP OFFPK</v>
      </c>
      <c r="B195" t="s">
        <v>177</v>
      </c>
      <c r="C195" t="s">
        <v>173</v>
      </c>
      <c r="D195">
        <v>51.747</v>
      </c>
      <c r="E195">
        <v>49.65</v>
      </c>
      <c r="F195">
        <v>50.607999999999997</v>
      </c>
      <c r="G195">
        <v>55.210999999999999</v>
      </c>
      <c r="H195">
        <v>64.600999999999999</v>
      </c>
      <c r="I195">
        <v>75.671000000000006</v>
      </c>
      <c r="J195">
        <v>66.084999999999994</v>
      </c>
      <c r="K195">
        <v>46.734000000000002</v>
      </c>
      <c r="L195">
        <v>60.000999999999998</v>
      </c>
      <c r="M195">
        <v>53.258000000000003</v>
      </c>
      <c r="N195">
        <v>63.512999999999998</v>
      </c>
      <c r="O195">
        <v>49.131999999999998</v>
      </c>
      <c r="Q195" s="493"/>
    </row>
    <row r="196" spans="1:17">
      <c r="A196" t="str">
        <f t="shared" si="2"/>
        <v>CILC1GSDR CP</v>
      </c>
      <c r="B196" t="s">
        <v>177</v>
      </c>
      <c r="C196" t="s">
        <v>174</v>
      </c>
      <c r="D196">
        <v>51.481999999999999</v>
      </c>
      <c r="E196">
        <v>44.185000000000002</v>
      </c>
      <c r="F196">
        <v>45.936999999999998</v>
      </c>
      <c r="G196">
        <v>46.081000000000003</v>
      </c>
      <c r="H196">
        <v>39.606999999999999</v>
      </c>
      <c r="I196">
        <v>54.131</v>
      </c>
      <c r="J196">
        <v>62.031999999999996</v>
      </c>
      <c r="K196">
        <v>44.393000000000001</v>
      </c>
      <c r="L196">
        <v>43.835000000000001</v>
      </c>
      <c r="M196">
        <v>46.655999999999999</v>
      </c>
      <c r="N196">
        <v>58.027999999999999</v>
      </c>
      <c r="O196">
        <v>46.54</v>
      </c>
      <c r="Q196" s="493"/>
    </row>
    <row r="197" spans="1:17">
      <c r="A197" t="str">
        <f t="shared" si="2"/>
        <v/>
      </c>
      <c r="Q197" s="493"/>
    </row>
    <row r="198" spans="1:17">
      <c r="A198" t="str">
        <f t="shared" si="2"/>
        <v/>
      </c>
      <c r="Q198" s="493"/>
    </row>
    <row r="199" spans="1:17">
      <c r="A199" t="str">
        <f t="shared" si="2"/>
        <v/>
      </c>
      <c r="Q199" s="493"/>
    </row>
    <row r="200" spans="1:17">
      <c r="A200" t="str">
        <f t="shared" si="2"/>
        <v xml:space="preserve">CILC1T Commercial/Industrial Load Control - Transmission (55) </v>
      </c>
      <c r="B200" t="s">
        <v>183</v>
      </c>
      <c r="C200" t="s">
        <v>184</v>
      </c>
      <c r="Q200" s="493"/>
    </row>
    <row r="201" spans="1:17">
      <c r="A201" t="str">
        <f t="shared" si="2"/>
        <v xml:space="preserve">CILC1TMONTH </v>
      </c>
      <c r="B201" t="s">
        <v>185</v>
      </c>
      <c r="C201" t="s">
        <v>123</v>
      </c>
      <c r="D201" s="4">
        <v>41640</v>
      </c>
      <c r="E201" s="4">
        <v>41671</v>
      </c>
      <c r="F201" s="4">
        <v>41699</v>
      </c>
      <c r="G201" s="4">
        <v>41730</v>
      </c>
      <c r="H201" s="4">
        <v>41760</v>
      </c>
      <c r="I201" s="4">
        <v>41791</v>
      </c>
      <c r="J201" s="4">
        <v>41821</v>
      </c>
      <c r="K201" s="4">
        <v>41852</v>
      </c>
      <c r="L201" s="4">
        <v>41883</v>
      </c>
      <c r="M201" s="4">
        <v>41913</v>
      </c>
      <c r="N201" s="4">
        <v>41944</v>
      </c>
      <c r="O201" s="4">
        <v>41974</v>
      </c>
      <c r="P201" s="4"/>
      <c r="Q201" s="493"/>
    </row>
    <row r="202" spans="1:17">
      <c r="A202" t="str">
        <f t="shared" si="2"/>
        <v xml:space="preserve">CILC1TCUSTOMERS </v>
      </c>
      <c r="B202" t="s">
        <v>185</v>
      </c>
      <c r="C202" t="s">
        <v>124</v>
      </c>
      <c r="D202">
        <v>17</v>
      </c>
      <c r="E202">
        <v>17</v>
      </c>
      <c r="F202">
        <v>17</v>
      </c>
      <c r="G202">
        <v>17</v>
      </c>
      <c r="H202">
        <v>17</v>
      </c>
      <c r="I202">
        <v>17</v>
      </c>
      <c r="J202">
        <v>17</v>
      </c>
      <c r="K202">
        <v>17</v>
      </c>
      <c r="L202">
        <v>17</v>
      </c>
      <c r="M202">
        <v>17</v>
      </c>
      <c r="N202">
        <v>17</v>
      </c>
      <c r="O202">
        <v>17</v>
      </c>
      <c r="Q202" s="493"/>
    </row>
    <row r="203" spans="1:17">
      <c r="A203" t="str">
        <f t="shared" si="2"/>
        <v xml:space="preserve">CILC1TSALES </v>
      </c>
      <c r="B203" t="s">
        <v>185</v>
      </c>
      <c r="C203" t="s">
        <v>125</v>
      </c>
      <c r="D203">
        <v>109806259</v>
      </c>
      <c r="E203">
        <v>104593250</v>
      </c>
      <c r="F203">
        <v>98403588</v>
      </c>
      <c r="G203">
        <v>111019519</v>
      </c>
      <c r="H203">
        <v>116594265</v>
      </c>
      <c r="I203">
        <v>124092000</v>
      </c>
      <c r="J203">
        <v>120024097</v>
      </c>
      <c r="K203">
        <v>118257780</v>
      </c>
      <c r="L203">
        <v>124184091</v>
      </c>
      <c r="M203">
        <v>113652829</v>
      </c>
      <c r="N203">
        <v>111207117</v>
      </c>
      <c r="O203">
        <v>114819200</v>
      </c>
      <c r="Q203" s="493"/>
    </row>
    <row r="204" spans="1:17">
      <c r="A204" t="str">
        <f t="shared" si="2"/>
        <v>CILC1TKW</v>
      </c>
      <c r="B204" t="s">
        <v>185</v>
      </c>
      <c r="C204" t="s">
        <v>126</v>
      </c>
      <c r="Q204" s="493"/>
    </row>
    <row r="205" spans="1:17">
      <c r="A205" t="str">
        <f t="shared" si="2"/>
        <v>CILC1TN</v>
      </c>
      <c r="B205" t="s">
        <v>185</v>
      </c>
      <c r="C205" t="s">
        <v>127</v>
      </c>
      <c r="D205">
        <v>17</v>
      </c>
      <c r="E205">
        <v>17</v>
      </c>
      <c r="F205">
        <v>17</v>
      </c>
      <c r="G205">
        <v>17</v>
      </c>
      <c r="H205">
        <v>17</v>
      </c>
      <c r="I205">
        <v>17</v>
      </c>
      <c r="J205">
        <v>17</v>
      </c>
      <c r="K205">
        <v>17</v>
      </c>
      <c r="L205">
        <v>17</v>
      </c>
      <c r="M205">
        <v>17</v>
      </c>
      <c r="N205">
        <v>17</v>
      </c>
      <c r="O205">
        <v>17</v>
      </c>
      <c r="Q205" s="493"/>
    </row>
    <row r="206" spans="1:17">
      <c r="A206" t="str">
        <f t="shared" si="2"/>
        <v>CILC1TRLR ENERGY:</v>
      </c>
      <c r="B206" t="s">
        <v>185</v>
      </c>
      <c r="C206" t="s">
        <v>61</v>
      </c>
      <c r="Q206" s="493"/>
    </row>
    <row r="207" spans="1:17">
      <c r="A207" t="str">
        <f t="shared" si="2"/>
        <v>CILC1TKWH</v>
      </c>
      <c r="B207" t="s">
        <v>185</v>
      </c>
      <c r="C207" t="s">
        <v>128</v>
      </c>
      <c r="D207">
        <v>109657117</v>
      </c>
      <c r="E207">
        <v>95153741</v>
      </c>
      <c r="F207">
        <v>110728089</v>
      </c>
      <c r="G207">
        <v>113416446</v>
      </c>
      <c r="H207">
        <v>123313348</v>
      </c>
      <c r="I207">
        <v>113817995</v>
      </c>
      <c r="J207">
        <v>122098242</v>
      </c>
      <c r="K207">
        <v>123729891</v>
      </c>
      <c r="L207">
        <v>116624196</v>
      </c>
      <c r="M207">
        <v>119058539</v>
      </c>
      <c r="N207">
        <v>109270227</v>
      </c>
      <c r="O207">
        <v>116793866</v>
      </c>
      <c r="Q207" s="493"/>
    </row>
    <row r="208" spans="1:17">
      <c r="A208" t="str">
        <f t="shared" si="2"/>
        <v>CILC1TKWH ONPK</v>
      </c>
      <c r="B208" t="s">
        <v>185</v>
      </c>
      <c r="C208" t="s">
        <v>129</v>
      </c>
      <c r="D208">
        <v>26215980</v>
      </c>
      <c r="E208">
        <v>23236798</v>
      </c>
      <c r="F208">
        <v>25142357</v>
      </c>
      <c r="G208">
        <v>31549928</v>
      </c>
      <c r="H208">
        <v>31816691</v>
      </c>
      <c r="I208">
        <v>30154653</v>
      </c>
      <c r="J208">
        <v>32858836</v>
      </c>
      <c r="K208">
        <v>31816830</v>
      </c>
      <c r="L208">
        <v>30761962</v>
      </c>
      <c r="M208">
        <v>33661346</v>
      </c>
      <c r="N208">
        <v>23101680</v>
      </c>
      <c r="O208">
        <v>27912836</v>
      </c>
      <c r="Q208" s="493"/>
    </row>
    <row r="209" spans="1:17">
      <c r="A209" t="str">
        <f t="shared" si="2"/>
        <v>CILC1TKWH OFFPK</v>
      </c>
      <c r="B209" t="s">
        <v>185</v>
      </c>
      <c r="C209" t="s">
        <v>130</v>
      </c>
      <c r="D209">
        <v>83441137</v>
      </c>
      <c r="E209">
        <v>71916943</v>
      </c>
      <c r="F209">
        <v>85585732</v>
      </c>
      <c r="G209">
        <v>81866518</v>
      </c>
      <c r="H209">
        <v>91496657</v>
      </c>
      <c r="I209">
        <v>83663342</v>
      </c>
      <c r="J209">
        <v>89239406</v>
      </c>
      <c r="K209">
        <v>91913062</v>
      </c>
      <c r="L209">
        <v>85862234</v>
      </c>
      <c r="M209">
        <v>85397194</v>
      </c>
      <c r="N209">
        <v>86168548</v>
      </c>
      <c r="O209">
        <v>88881030</v>
      </c>
      <c r="Q209" s="493"/>
    </row>
    <row r="210" spans="1:17">
      <c r="A210" t="str">
        <f t="shared" si="2"/>
        <v>CILC1TKWH ONPK%</v>
      </c>
      <c r="B210" t="s">
        <v>185</v>
      </c>
      <c r="C210" t="s">
        <v>131</v>
      </c>
      <c r="D210" s="5">
        <v>0.23907</v>
      </c>
      <c r="E210" s="5">
        <v>0.2442</v>
      </c>
      <c r="F210" s="5">
        <v>0.22706000000000001</v>
      </c>
      <c r="G210" s="5">
        <v>0.27817999999999998</v>
      </c>
      <c r="H210" s="5">
        <v>0.25801000000000002</v>
      </c>
      <c r="I210" s="5">
        <v>0.26494000000000001</v>
      </c>
      <c r="J210" s="5">
        <v>0.26912000000000003</v>
      </c>
      <c r="K210" s="5">
        <v>0.25714999999999999</v>
      </c>
      <c r="L210" s="5">
        <v>0.26377</v>
      </c>
      <c r="M210" s="5">
        <v>0.28272999999999998</v>
      </c>
      <c r="N210" s="5">
        <v>0.21142</v>
      </c>
      <c r="O210" s="5">
        <v>0.23899000000000001</v>
      </c>
      <c r="P210" s="5"/>
      <c r="Q210" s="493"/>
    </row>
    <row r="211" spans="1:17">
      <c r="A211" t="str">
        <f t="shared" si="2"/>
        <v>CILC1TKWH OFFPK%</v>
      </c>
      <c r="B211" t="s">
        <v>185</v>
      </c>
      <c r="C211" t="s">
        <v>132</v>
      </c>
      <c r="D211" s="5">
        <v>0.76093</v>
      </c>
      <c r="E211" s="5">
        <v>0.75580000000000003</v>
      </c>
      <c r="F211" s="5">
        <v>0.77293999999999996</v>
      </c>
      <c r="G211" s="5">
        <v>0.72182000000000002</v>
      </c>
      <c r="H211" s="5">
        <v>0.74199000000000004</v>
      </c>
      <c r="I211" s="5">
        <v>0.73506000000000005</v>
      </c>
      <c r="J211" s="5">
        <v>0.73087999999999997</v>
      </c>
      <c r="K211" s="5">
        <v>0.74285000000000001</v>
      </c>
      <c r="L211" s="5">
        <v>0.73623000000000005</v>
      </c>
      <c r="M211" s="5">
        <v>0.71726999999999996</v>
      </c>
      <c r="N211" s="5">
        <v>0.78857999999999995</v>
      </c>
      <c r="O211" s="5">
        <v>0.76100999999999996</v>
      </c>
      <c r="P211" s="5"/>
      <c r="Q211" s="493"/>
    </row>
    <row r="212" spans="1:17">
      <c r="A212" t="str">
        <f t="shared" si="2"/>
        <v>CILC1TDEMAND (KW):</v>
      </c>
      <c r="B212" t="s">
        <v>185</v>
      </c>
      <c r="C212" t="s">
        <v>62</v>
      </c>
      <c r="Q212" s="493"/>
    </row>
    <row r="213" spans="1:17">
      <c r="A213" t="str">
        <f t="shared" si="2"/>
        <v>CILC1TNCP</v>
      </c>
      <c r="B213" t="s">
        <v>185</v>
      </c>
      <c r="C213" t="s">
        <v>133</v>
      </c>
      <c r="D213">
        <v>196499</v>
      </c>
      <c r="E213">
        <v>199166</v>
      </c>
      <c r="F213">
        <v>202415</v>
      </c>
      <c r="G213">
        <v>212940</v>
      </c>
      <c r="H213">
        <v>217041</v>
      </c>
      <c r="I213">
        <v>223592</v>
      </c>
      <c r="J213">
        <v>217914</v>
      </c>
      <c r="K213">
        <v>217506</v>
      </c>
      <c r="L213">
        <v>219527</v>
      </c>
      <c r="M213">
        <v>216229</v>
      </c>
      <c r="N213">
        <v>211240</v>
      </c>
      <c r="O213">
        <v>204465</v>
      </c>
      <c r="Q213" s="493"/>
    </row>
    <row r="214" spans="1:17">
      <c r="A214" t="str">
        <f t="shared" si="2"/>
        <v>CILC1TNCP ONPK</v>
      </c>
      <c r="B214" t="s">
        <v>185</v>
      </c>
      <c r="C214" t="s">
        <v>134</v>
      </c>
      <c r="D214">
        <v>192399</v>
      </c>
      <c r="E214">
        <v>194679</v>
      </c>
      <c r="F214">
        <v>198144</v>
      </c>
      <c r="G214">
        <v>208509</v>
      </c>
      <c r="H214">
        <v>215659</v>
      </c>
      <c r="I214">
        <v>216795</v>
      </c>
      <c r="J214">
        <v>214928</v>
      </c>
      <c r="K214">
        <v>213280</v>
      </c>
      <c r="L214">
        <v>215080</v>
      </c>
      <c r="M214">
        <v>210796</v>
      </c>
      <c r="N214">
        <v>207125</v>
      </c>
      <c r="O214">
        <v>200564</v>
      </c>
      <c r="Q214" s="493"/>
    </row>
    <row r="215" spans="1:17">
      <c r="A215" t="str">
        <f t="shared" si="2"/>
        <v>CILC1TNCP OFFPK</v>
      </c>
      <c r="B215" t="s">
        <v>185</v>
      </c>
      <c r="C215" t="s">
        <v>135</v>
      </c>
      <c r="D215">
        <v>196218</v>
      </c>
      <c r="E215">
        <v>198593</v>
      </c>
      <c r="F215">
        <v>202204</v>
      </c>
      <c r="G215">
        <v>211348</v>
      </c>
      <c r="H215">
        <v>213290</v>
      </c>
      <c r="I215">
        <v>220750</v>
      </c>
      <c r="J215">
        <v>216978</v>
      </c>
      <c r="K215">
        <v>214219</v>
      </c>
      <c r="L215">
        <v>216005</v>
      </c>
      <c r="M215">
        <v>213795</v>
      </c>
      <c r="N215">
        <v>209904</v>
      </c>
      <c r="O215">
        <v>204019</v>
      </c>
      <c r="Q215" s="493"/>
    </row>
    <row r="216" spans="1:17">
      <c r="A216" t="str">
        <f t="shared" si="2"/>
        <v>CILC1TGCP DATE</v>
      </c>
      <c r="B216" t="s">
        <v>185</v>
      </c>
      <c r="C216" t="s">
        <v>136</v>
      </c>
      <c r="D216" t="s">
        <v>620</v>
      </c>
      <c r="E216" t="s">
        <v>605</v>
      </c>
      <c r="F216" t="s">
        <v>286</v>
      </c>
      <c r="G216" t="s">
        <v>621</v>
      </c>
      <c r="H216" t="s">
        <v>622</v>
      </c>
      <c r="I216" t="s">
        <v>273</v>
      </c>
      <c r="J216" t="s">
        <v>262</v>
      </c>
      <c r="K216" t="s">
        <v>302</v>
      </c>
      <c r="L216" t="s">
        <v>272</v>
      </c>
      <c r="M216" t="s">
        <v>311</v>
      </c>
      <c r="N216" t="s">
        <v>623</v>
      </c>
      <c r="O216" t="s">
        <v>315</v>
      </c>
      <c r="Q216" s="493"/>
    </row>
    <row r="217" spans="1:17">
      <c r="A217" t="str">
        <f t="shared" si="2"/>
        <v>CILC1TGCP TIME</v>
      </c>
      <c r="B217" t="s">
        <v>185</v>
      </c>
      <c r="C217" t="s">
        <v>142</v>
      </c>
      <c r="D217" t="s">
        <v>202</v>
      </c>
      <c r="E217" t="s">
        <v>143</v>
      </c>
      <c r="F217" t="s">
        <v>194</v>
      </c>
      <c r="G217" t="s">
        <v>189</v>
      </c>
      <c r="H217" t="s">
        <v>182</v>
      </c>
      <c r="I217" t="s">
        <v>194</v>
      </c>
      <c r="J217" t="s">
        <v>144</v>
      </c>
      <c r="K217" t="s">
        <v>182</v>
      </c>
      <c r="L217" t="s">
        <v>189</v>
      </c>
      <c r="M217" t="s">
        <v>143</v>
      </c>
      <c r="N217" t="s">
        <v>203</v>
      </c>
      <c r="O217" t="s">
        <v>143</v>
      </c>
      <c r="Q217" s="493"/>
    </row>
    <row r="218" spans="1:17">
      <c r="A218" t="str">
        <f t="shared" si="2"/>
        <v>CILC1TGCP</v>
      </c>
      <c r="B218" t="s">
        <v>185</v>
      </c>
      <c r="C218" t="s">
        <v>147</v>
      </c>
      <c r="D218">
        <v>170267</v>
      </c>
      <c r="E218">
        <v>171842</v>
      </c>
      <c r="F218">
        <v>178811</v>
      </c>
      <c r="G218">
        <v>187233</v>
      </c>
      <c r="H218">
        <v>191114</v>
      </c>
      <c r="I218">
        <v>185371</v>
      </c>
      <c r="J218">
        <v>189900</v>
      </c>
      <c r="K218">
        <v>185458</v>
      </c>
      <c r="L218">
        <v>190694</v>
      </c>
      <c r="M218">
        <v>193326</v>
      </c>
      <c r="N218">
        <v>178305</v>
      </c>
      <c r="O218">
        <v>184525</v>
      </c>
      <c r="Q218" s="493"/>
    </row>
    <row r="219" spans="1:17">
      <c r="A219" t="str">
        <f t="shared" si="2"/>
        <v>CILC1TGCP ONPK</v>
      </c>
      <c r="B219" t="s">
        <v>185</v>
      </c>
      <c r="C219" t="s">
        <v>63</v>
      </c>
      <c r="D219">
        <v>170267</v>
      </c>
      <c r="E219">
        <v>164807</v>
      </c>
      <c r="F219">
        <v>178811</v>
      </c>
      <c r="G219">
        <v>180194</v>
      </c>
      <c r="H219">
        <v>191114</v>
      </c>
      <c r="I219">
        <v>181658</v>
      </c>
      <c r="J219">
        <v>189900</v>
      </c>
      <c r="K219">
        <v>185458</v>
      </c>
      <c r="L219">
        <v>180676</v>
      </c>
      <c r="M219">
        <v>193326</v>
      </c>
      <c r="N219">
        <v>178305</v>
      </c>
      <c r="O219">
        <v>183027</v>
      </c>
      <c r="Q219" s="493"/>
    </row>
    <row r="220" spans="1:17">
      <c r="A220" t="str">
        <f t="shared" si="2"/>
        <v>CILC1TGCP OFFPK</v>
      </c>
      <c r="B220" t="s">
        <v>185</v>
      </c>
      <c r="C220" t="s">
        <v>64</v>
      </c>
      <c r="D220">
        <v>169068</v>
      </c>
      <c r="E220">
        <v>171842</v>
      </c>
      <c r="F220">
        <v>171584</v>
      </c>
      <c r="G220">
        <v>187233</v>
      </c>
      <c r="H220">
        <v>189787</v>
      </c>
      <c r="I220">
        <v>185371</v>
      </c>
      <c r="J220">
        <v>187095</v>
      </c>
      <c r="K220">
        <v>185359</v>
      </c>
      <c r="L220">
        <v>190694</v>
      </c>
      <c r="M220">
        <v>189747</v>
      </c>
      <c r="N220">
        <v>176945</v>
      </c>
      <c r="O220">
        <v>184525</v>
      </c>
      <c r="Q220" s="493"/>
    </row>
    <row r="221" spans="1:17">
      <c r="A221" t="str">
        <f t="shared" si="2"/>
        <v>CILC1TCP</v>
      </c>
      <c r="B221" t="s">
        <v>185</v>
      </c>
      <c r="C221" t="s">
        <v>148</v>
      </c>
      <c r="D221">
        <v>160829</v>
      </c>
      <c r="E221">
        <v>135945</v>
      </c>
      <c r="F221">
        <v>150750</v>
      </c>
      <c r="G221">
        <v>167741</v>
      </c>
      <c r="H221">
        <v>184273</v>
      </c>
      <c r="I221">
        <v>170480</v>
      </c>
      <c r="J221">
        <v>180279</v>
      </c>
      <c r="K221">
        <v>167317</v>
      </c>
      <c r="L221">
        <v>168288</v>
      </c>
      <c r="M221">
        <v>160680</v>
      </c>
      <c r="N221">
        <v>163485</v>
      </c>
      <c r="O221">
        <v>154874</v>
      </c>
      <c r="Q221" s="493"/>
    </row>
    <row r="222" spans="1:17">
      <c r="A222" t="str">
        <f t="shared" si="2"/>
        <v>CILC1TPERIOD START</v>
      </c>
      <c r="B222" t="s">
        <v>185</v>
      </c>
      <c r="C222" t="s">
        <v>149</v>
      </c>
      <c r="D222" s="1">
        <v>41640</v>
      </c>
      <c r="E222" s="1">
        <v>41671</v>
      </c>
      <c r="F222" s="1">
        <v>41699</v>
      </c>
      <c r="G222" s="1">
        <v>41730</v>
      </c>
      <c r="H222" s="1">
        <v>41760</v>
      </c>
      <c r="I222" s="1">
        <v>41791</v>
      </c>
      <c r="J222" s="1">
        <v>41821</v>
      </c>
      <c r="K222" s="1">
        <v>41852</v>
      </c>
      <c r="L222" s="1">
        <v>41883</v>
      </c>
      <c r="M222" s="1">
        <v>41913</v>
      </c>
      <c r="N222" s="1">
        <v>41944</v>
      </c>
      <c r="O222" s="1">
        <v>41974</v>
      </c>
      <c r="P222" s="1"/>
      <c r="Q222" s="493"/>
    </row>
    <row r="223" spans="1:17">
      <c r="A223" t="str">
        <f t="shared" si="2"/>
        <v>CILC1TNCP LF</v>
      </c>
      <c r="B223" t="s">
        <v>185</v>
      </c>
      <c r="C223" t="s">
        <v>150</v>
      </c>
      <c r="D223" s="5">
        <v>0.75009999999999999</v>
      </c>
      <c r="E223" s="5">
        <v>0.71099999999999997</v>
      </c>
      <c r="F223" s="5">
        <v>0.73629999999999995</v>
      </c>
      <c r="G223" s="5">
        <v>0.73980000000000001</v>
      </c>
      <c r="H223" s="5">
        <v>0.76370000000000005</v>
      </c>
      <c r="I223" s="5">
        <v>0.70699999999999996</v>
      </c>
      <c r="J223" s="5">
        <v>0.75309999999999999</v>
      </c>
      <c r="K223" s="5">
        <v>0.76459999999999995</v>
      </c>
      <c r="L223" s="5">
        <v>0.73780000000000001</v>
      </c>
      <c r="M223" s="5">
        <v>0.74009999999999998</v>
      </c>
      <c r="N223" s="5">
        <v>0.71840000000000004</v>
      </c>
      <c r="O223" s="5">
        <v>0.76780000000000004</v>
      </c>
      <c r="P223" s="5"/>
      <c r="Q223" s="493"/>
    </row>
    <row r="224" spans="1:17">
      <c r="A224" t="str">
        <f t="shared" si="2"/>
        <v>CILC1TNCP LF ONPK</v>
      </c>
      <c r="B224" t="s">
        <v>185</v>
      </c>
      <c r="C224" t="s">
        <v>151</v>
      </c>
      <c r="D224" s="5">
        <v>0.7742</v>
      </c>
      <c r="E224" s="5">
        <v>0.746</v>
      </c>
      <c r="F224" s="5">
        <v>0.75529999999999997</v>
      </c>
      <c r="G224" s="5">
        <v>0.76419999999999999</v>
      </c>
      <c r="H224" s="5">
        <v>0.78059999999999996</v>
      </c>
      <c r="I224" s="5">
        <v>0.7359</v>
      </c>
      <c r="J224" s="5">
        <v>0.77210000000000001</v>
      </c>
      <c r="K224" s="5">
        <v>0.7893</v>
      </c>
      <c r="L224" s="5">
        <v>0.75670000000000004</v>
      </c>
      <c r="M224" s="5">
        <v>0.77139999999999997</v>
      </c>
      <c r="N224" s="5">
        <v>0.73380000000000001</v>
      </c>
      <c r="O224" s="5">
        <v>0.79079999999999995</v>
      </c>
      <c r="P224" s="5"/>
      <c r="Q224" s="493"/>
    </row>
    <row r="225" spans="1:17">
      <c r="A225" t="str">
        <f t="shared" si="2"/>
        <v>CILC1TNCP LF OFFPK</v>
      </c>
      <c r="B225" t="s">
        <v>185</v>
      </c>
      <c r="C225" t="s">
        <v>152</v>
      </c>
      <c r="D225" s="5">
        <v>0.74870000000000003</v>
      </c>
      <c r="E225" s="5">
        <v>0.70730000000000004</v>
      </c>
      <c r="F225" s="5">
        <v>0.73609999999999998</v>
      </c>
      <c r="G225" s="5">
        <v>0.74209999999999998</v>
      </c>
      <c r="H225" s="5">
        <v>0.77290000000000003</v>
      </c>
      <c r="I225" s="5">
        <v>0.7137</v>
      </c>
      <c r="J225" s="5">
        <v>0.75329999999999997</v>
      </c>
      <c r="K225" s="5">
        <v>0.77310000000000001</v>
      </c>
      <c r="L225" s="5">
        <v>0.74860000000000004</v>
      </c>
      <c r="M225" s="5">
        <v>0.74380000000000002</v>
      </c>
      <c r="N225" s="5">
        <v>0.72270000000000001</v>
      </c>
      <c r="O225" s="5">
        <v>0.76700000000000002</v>
      </c>
      <c r="P225" s="5"/>
      <c r="Q225" s="493"/>
    </row>
    <row r="226" spans="1:17">
      <c r="A226" t="str">
        <f t="shared" si="2"/>
        <v>CILC1TGCP CF</v>
      </c>
      <c r="B226" t="s">
        <v>185</v>
      </c>
      <c r="C226" t="s">
        <v>153</v>
      </c>
      <c r="D226" s="5">
        <v>0.86650000000000005</v>
      </c>
      <c r="E226" s="5">
        <v>0.86280000000000001</v>
      </c>
      <c r="F226" s="5">
        <v>0.88339999999999996</v>
      </c>
      <c r="G226" s="5">
        <v>0.87929999999999997</v>
      </c>
      <c r="H226" s="5">
        <v>0.88049999999999995</v>
      </c>
      <c r="I226" s="5">
        <v>0.82909999999999995</v>
      </c>
      <c r="J226" s="5">
        <v>0.87139999999999995</v>
      </c>
      <c r="K226" s="5">
        <v>0.85270000000000001</v>
      </c>
      <c r="L226" s="5">
        <v>0.86870000000000003</v>
      </c>
      <c r="M226" s="5">
        <v>0.89410000000000001</v>
      </c>
      <c r="N226" s="5">
        <v>0.84409999999999996</v>
      </c>
      <c r="O226" s="5">
        <v>0.90249999999999997</v>
      </c>
      <c r="P226" s="5"/>
      <c r="Q226" s="493"/>
    </row>
    <row r="227" spans="1:17">
      <c r="A227" t="str">
        <f t="shared" si="2"/>
        <v>CILC1TCP CF</v>
      </c>
      <c r="B227" t="s">
        <v>185</v>
      </c>
      <c r="C227" t="s">
        <v>154</v>
      </c>
      <c r="D227" s="5">
        <v>0.81850000000000001</v>
      </c>
      <c r="E227" s="5">
        <v>0.68259999999999998</v>
      </c>
      <c r="F227" s="5">
        <v>0.74480000000000002</v>
      </c>
      <c r="G227" s="5">
        <v>0.78769999999999996</v>
      </c>
      <c r="H227" s="5">
        <v>0.84899999999999998</v>
      </c>
      <c r="I227" s="5">
        <v>0.76249999999999996</v>
      </c>
      <c r="J227" s="5">
        <v>0.82730000000000004</v>
      </c>
      <c r="K227" s="5">
        <v>0.76929999999999998</v>
      </c>
      <c r="L227" s="5">
        <v>0.76659999999999995</v>
      </c>
      <c r="M227" s="5">
        <v>0.74309999999999998</v>
      </c>
      <c r="N227" s="5">
        <v>0.77390000000000003</v>
      </c>
      <c r="O227" s="5">
        <v>0.75749999999999995</v>
      </c>
      <c r="P227" s="5"/>
      <c r="Q227" s="493"/>
    </row>
    <row r="228" spans="1:17">
      <c r="A228" t="str">
        <f t="shared" si="2"/>
        <v>CILC1TGCP LF</v>
      </c>
      <c r="B228" t="s">
        <v>185</v>
      </c>
      <c r="C228" t="s">
        <v>155</v>
      </c>
      <c r="D228" s="5">
        <v>0.86560000000000004</v>
      </c>
      <c r="E228" s="5">
        <v>0.82399999999999995</v>
      </c>
      <c r="F228" s="5">
        <v>0.83340000000000003</v>
      </c>
      <c r="G228" s="5">
        <v>0.84130000000000005</v>
      </c>
      <c r="H228" s="5">
        <v>0.86729999999999996</v>
      </c>
      <c r="I228" s="5">
        <v>0.8528</v>
      </c>
      <c r="J228" s="5">
        <v>0.86419999999999997</v>
      </c>
      <c r="K228" s="5">
        <v>0.89670000000000005</v>
      </c>
      <c r="L228" s="5">
        <v>0.84940000000000004</v>
      </c>
      <c r="M228" s="5">
        <v>0.82769999999999999</v>
      </c>
      <c r="N228" s="5">
        <v>0.85109999999999997</v>
      </c>
      <c r="O228" s="5">
        <v>0.85070000000000001</v>
      </c>
      <c r="P228" s="5"/>
      <c r="Q228" s="493"/>
    </row>
    <row r="229" spans="1:17">
      <c r="A229" t="str">
        <f t="shared" si="2"/>
        <v>CILC1TGCP LF ONPK</v>
      </c>
      <c r="B229" t="s">
        <v>185</v>
      </c>
      <c r="C229" t="s">
        <v>156</v>
      </c>
      <c r="D229" s="5">
        <v>0.87480000000000002</v>
      </c>
      <c r="E229" s="5">
        <v>0.88119999999999998</v>
      </c>
      <c r="F229" s="5">
        <v>0.83699999999999997</v>
      </c>
      <c r="G229" s="5">
        <v>0.88429999999999997</v>
      </c>
      <c r="H229" s="5">
        <v>0.88080000000000003</v>
      </c>
      <c r="I229" s="5">
        <v>0.87829999999999997</v>
      </c>
      <c r="J229" s="5">
        <v>0.87390000000000001</v>
      </c>
      <c r="K229" s="5">
        <v>0.90769999999999995</v>
      </c>
      <c r="L229" s="5">
        <v>0.90080000000000005</v>
      </c>
      <c r="M229" s="5">
        <v>0.84109999999999996</v>
      </c>
      <c r="N229" s="5">
        <v>0.85240000000000005</v>
      </c>
      <c r="O229" s="5">
        <v>0.86650000000000005</v>
      </c>
      <c r="P229" s="5"/>
      <c r="Q229" s="493"/>
    </row>
    <row r="230" spans="1:17">
      <c r="A230" t="str">
        <f t="shared" si="2"/>
        <v>CILC1TGCP LF OFFPK</v>
      </c>
      <c r="B230" t="s">
        <v>185</v>
      </c>
      <c r="C230" t="s">
        <v>157</v>
      </c>
      <c r="D230" s="5">
        <v>0.86890000000000001</v>
      </c>
      <c r="E230" s="5">
        <v>0.81740000000000002</v>
      </c>
      <c r="F230" s="5">
        <v>0.86750000000000005</v>
      </c>
      <c r="G230" s="5">
        <v>0.83760000000000001</v>
      </c>
      <c r="H230" s="5">
        <v>0.86860000000000004</v>
      </c>
      <c r="I230" s="5">
        <v>0.85</v>
      </c>
      <c r="J230" s="5">
        <v>0.87360000000000004</v>
      </c>
      <c r="K230" s="5">
        <v>0.89349999999999996</v>
      </c>
      <c r="L230" s="5">
        <v>0.84799999999999998</v>
      </c>
      <c r="M230" s="5">
        <v>0.83809999999999996</v>
      </c>
      <c r="N230" s="5">
        <v>0.85740000000000005</v>
      </c>
      <c r="O230" s="5">
        <v>0.84799999999999998</v>
      </c>
      <c r="P230" s="5"/>
      <c r="Q230" s="493"/>
    </row>
    <row r="231" spans="1:17">
      <c r="A231" t="str">
        <f t="shared" si="2"/>
        <v>CILC1TCP LF</v>
      </c>
      <c r="B231" t="s">
        <v>185</v>
      </c>
      <c r="C231" t="s">
        <v>158</v>
      </c>
      <c r="D231" s="5">
        <v>0.91639999999999999</v>
      </c>
      <c r="E231" s="5">
        <v>1.0416000000000001</v>
      </c>
      <c r="F231" s="5">
        <v>0.98860000000000003</v>
      </c>
      <c r="G231" s="5">
        <v>0.93910000000000005</v>
      </c>
      <c r="H231" s="5">
        <v>0.89939999999999998</v>
      </c>
      <c r="I231" s="5">
        <v>0.92730000000000001</v>
      </c>
      <c r="J231" s="5">
        <v>0.9103</v>
      </c>
      <c r="K231" s="5">
        <v>0.99390000000000001</v>
      </c>
      <c r="L231" s="5">
        <v>0.96250000000000002</v>
      </c>
      <c r="M231" s="5">
        <v>0.99590000000000001</v>
      </c>
      <c r="N231" s="5">
        <v>0.92830000000000001</v>
      </c>
      <c r="O231" s="5">
        <v>1.0136000000000001</v>
      </c>
      <c r="P231" s="5"/>
      <c r="Q231" s="493"/>
    </row>
    <row r="232" spans="1:17">
      <c r="A232" t="str">
        <f t="shared" si="2"/>
        <v>CILC1TREL PREC:</v>
      </c>
      <c r="B232" t="s">
        <v>185</v>
      </c>
      <c r="C232" t="s">
        <v>65</v>
      </c>
      <c r="Q232" s="493"/>
    </row>
    <row r="233" spans="1:17">
      <c r="A233" t="str">
        <f t="shared" si="2"/>
        <v>CILC1TNCP RP</v>
      </c>
      <c r="B233" t="s">
        <v>185</v>
      </c>
      <c r="C233" t="s">
        <v>159</v>
      </c>
      <c r="D233" s="5">
        <v>0</v>
      </c>
      <c r="E233" s="5">
        <v>0</v>
      </c>
      <c r="F233" s="5">
        <v>0</v>
      </c>
      <c r="G233" s="5">
        <v>0</v>
      </c>
      <c r="H233" s="5">
        <v>0</v>
      </c>
      <c r="I233" s="5">
        <v>0</v>
      </c>
      <c r="J233" s="5">
        <v>0</v>
      </c>
      <c r="K233" s="5">
        <v>0</v>
      </c>
      <c r="L233" s="5">
        <v>0</v>
      </c>
      <c r="M233" s="5">
        <v>0</v>
      </c>
      <c r="N233" s="5">
        <v>0</v>
      </c>
      <c r="O233" s="5">
        <v>0</v>
      </c>
      <c r="P233" s="5"/>
      <c r="Q233" s="493"/>
    </row>
    <row r="234" spans="1:17">
      <c r="A234" t="str">
        <f t="shared" si="2"/>
        <v>CILC1TNCP RP ONPK</v>
      </c>
      <c r="B234" t="s">
        <v>185</v>
      </c>
      <c r="C234" t="s">
        <v>160</v>
      </c>
      <c r="D234" s="5">
        <v>0</v>
      </c>
      <c r="E234" s="5">
        <v>0</v>
      </c>
      <c r="F234" s="5">
        <v>0</v>
      </c>
      <c r="G234" s="5">
        <v>0</v>
      </c>
      <c r="H234" s="5">
        <v>0</v>
      </c>
      <c r="I234" s="5">
        <v>0</v>
      </c>
      <c r="J234" s="5">
        <v>0</v>
      </c>
      <c r="K234" s="5">
        <v>0</v>
      </c>
      <c r="L234" s="5">
        <v>0</v>
      </c>
      <c r="M234" s="5">
        <v>0</v>
      </c>
      <c r="N234" s="5">
        <v>0</v>
      </c>
      <c r="O234" s="5">
        <v>0</v>
      </c>
      <c r="P234" s="5"/>
      <c r="Q234" s="493"/>
    </row>
    <row r="235" spans="1:17">
      <c r="A235" t="str">
        <f t="shared" si="2"/>
        <v>CILC1TNCP RP OFFPK</v>
      </c>
      <c r="B235" t="s">
        <v>185</v>
      </c>
      <c r="C235" t="s">
        <v>161</v>
      </c>
      <c r="D235" s="5">
        <v>0</v>
      </c>
      <c r="E235" s="5">
        <v>0</v>
      </c>
      <c r="F235" s="5">
        <v>0</v>
      </c>
      <c r="G235" s="5">
        <v>0</v>
      </c>
      <c r="H235" s="5">
        <v>0</v>
      </c>
      <c r="I235" s="5">
        <v>0</v>
      </c>
      <c r="J235" s="5">
        <v>0</v>
      </c>
      <c r="K235" s="5">
        <v>0</v>
      </c>
      <c r="L235" s="5">
        <v>0</v>
      </c>
      <c r="M235" s="5">
        <v>0</v>
      </c>
      <c r="N235" s="5">
        <v>0</v>
      </c>
      <c r="O235" s="5">
        <v>0</v>
      </c>
      <c r="P235" s="5"/>
      <c r="Q235" s="493"/>
    </row>
    <row r="236" spans="1:17">
      <c r="A236" t="str">
        <f t="shared" si="2"/>
        <v>CILC1TGCP RP</v>
      </c>
      <c r="B236" t="s">
        <v>185</v>
      </c>
      <c r="C236" t="s">
        <v>162</v>
      </c>
      <c r="D236" s="5">
        <v>0</v>
      </c>
      <c r="E236" s="5">
        <v>0</v>
      </c>
      <c r="F236" s="5">
        <v>0</v>
      </c>
      <c r="G236" s="5">
        <v>6.8400000000000002E-2</v>
      </c>
      <c r="H236" s="5">
        <v>0</v>
      </c>
      <c r="I236" s="5">
        <v>0</v>
      </c>
      <c r="J236" s="5">
        <v>0</v>
      </c>
      <c r="K236" s="5">
        <v>0</v>
      </c>
      <c r="L236" s="5">
        <v>6.6100000000000006E-2</v>
      </c>
      <c r="M236" s="5">
        <v>6.8000000000000005E-2</v>
      </c>
      <c r="N236" s="5">
        <v>0</v>
      </c>
      <c r="O236" s="5">
        <v>0</v>
      </c>
      <c r="P236" s="5"/>
      <c r="Q236" s="493"/>
    </row>
    <row r="237" spans="1:17">
      <c r="A237" t="str">
        <f t="shared" si="2"/>
        <v>CILC1TGCP RP ONPK</v>
      </c>
      <c r="B237" t="s">
        <v>185</v>
      </c>
      <c r="C237" t="s">
        <v>163</v>
      </c>
      <c r="D237" s="5">
        <v>0</v>
      </c>
      <c r="E237" s="5">
        <v>0</v>
      </c>
      <c r="F237" s="5">
        <v>0</v>
      </c>
      <c r="G237" s="5">
        <v>0</v>
      </c>
      <c r="H237" s="5">
        <v>0</v>
      </c>
      <c r="I237" s="5">
        <v>0</v>
      </c>
      <c r="J237" s="5">
        <v>0</v>
      </c>
      <c r="K237" s="5">
        <v>0</v>
      </c>
      <c r="L237" s="5">
        <v>0</v>
      </c>
      <c r="M237" s="5">
        <v>6.8000000000000005E-2</v>
      </c>
      <c r="N237" s="5">
        <v>0</v>
      </c>
      <c r="O237" s="5">
        <v>0</v>
      </c>
      <c r="P237" s="5"/>
      <c r="Q237" s="493"/>
    </row>
    <row r="238" spans="1:17">
      <c r="A238" t="str">
        <f t="shared" si="2"/>
        <v>CILC1TGCP RP OFFPK</v>
      </c>
      <c r="B238" t="s">
        <v>185</v>
      </c>
      <c r="C238" t="s">
        <v>164</v>
      </c>
      <c r="D238" s="5">
        <v>0</v>
      </c>
      <c r="E238" s="5">
        <v>0</v>
      </c>
      <c r="F238" s="5">
        <v>0</v>
      </c>
      <c r="G238" s="5">
        <v>6.8400000000000002E-2</v>
      </c>
      <c r="H238" s="5">
        <v>0</v>
      </c>
      <c r="I238" s="5">
        <v>0</v>
      </c>
      <c r="J238" s="5">
        <v>0</v>
      </c>
      <c r="K238" s="5">
        <v>0</v>
      </c>
      <c r="L238" s="5">
        <v>6.6100000000000006E-2</v>
      </c>
      <c r="M238" s="5">
        <v>6.5500000000000003E-2</v>
      </c>
      <c r="N238" s="5">
        <v>0</v>
      </c>
      <c r="O238" s="5">
        <v>0</v>
      </c>
      <c r="P238" s="5"/>
      <c r="Q238" s="493"/>
    </row>
    <row r="239" spans="1:17">
      <c r="A239" t="str">
        <f t="shared" ref="A239:A302" si="3">B239&amp;C239</f>
        <v>CILC1TCP RP</v>
      </c>
      <c r="B239" t="s">
        <v>185</v>
      </c>
      <c r="C239" t="s">
        <v>165</v>
      </c>
      <c r="D239" s="5">
        <v>0</v>
      </c>
      <c r="E239" s="5">
        <v>0</v>
      </c>
      <c r="F239" s="5">
        <v>0</v>
      </c>
      <c r="G239" s="5">
        <v>0</v>
      </c>
      <c r="H239" s="5">
        <v>0</v>
      </c>
      <c r="I239" s="5">
        <v>0</v>
      </c>
      <c r="J239" s="5">
        <v>0</v>
      </c>
      <c r="K239" s="5">
        <v>0</v>
      </c>
      <c r="L239" s="5">
        <v>0</v>
      </c>
      <c r="M239" s="5">
        <v>0</v>
      </c>
      <c r="N239" s="5">
        <v>0</v>
      </c>
      <c r="O239" s="5">
        <v>0</v>
      </c>
      <c r="P239" s="5"/>
      <c r="Q239" s="493"/>
    </row>
    <row r="240" spans="1:17">
      <c r="A240" t="str">
        <f t="shared" si="3"/>
        <v>CILC1TSAMPLE SIZE:</v>
      </c>
      <c r="B240" t="s">
        <v>185</v>
      </c>
      <c r="C240" t="s">
        <v>66</v>
      </c>
      <c r="Q240" s="493"/>
    </row>
    <row r="241" spans="1:17">
      <c r="A241" t="str">
        <f t="shared" si="3"/>
        <v>CILC1TGCPSZ</v>
      </c>
      <c r="B241" t="s">
        <v>185</v>
      </c>
      <c r="C241" t="s">
        <v>166</v>
      </c>
      <c r="D241">
        <v>17</v>
      </c>
      <c r="E241">
        <v>17</v>
      </c>
      <c r="F241">
        <v>17</v>
      </c>
      <c r="G241">
        <v>16</v>
      </c>
      <c r="H241">
        <v>17</v>
      </c>
      <c r="I241">
        <v>17</v>
      </c>
      <c r="J241">
        <v>17</v>
      </c>
      <c r="K241">
        <v>17</v>
      </c>
      <c r="L241">
        <v>16</v>
      </c>
      <c r="M241">
        <v>16</v>
      </c>
      <c r="N241">
        <v>17</v>
      </c>
      <c r="O241">
        <v>17</v>
      </c>
      <c r="Q241" s="493"/>
    </row>
    <row r="242" spans="1:17">
      <c r="A242" t="str">
        <f t="shared" si="3"/>
        <v>CILC1TGCPSZ ONPK</v>
      </c>
      <c r="B242" t="s">
        <v>185</v>
      </c>
      <c r="C242" t="s">
        <v>167</v>
      </c>
      <c r="D242">
        <v>17</v>
      </c>
      <c r="E242">
        <v>17</v>
      </c>
      <c r="F242">
        <v>17</v>
      </c>
      <c r="G242">
        <v>17</v>
      </c>
      <c r="H242">
        <v>17</v>
      </c>
      <c r="I242">
        <v>17</v>
      </c>
      <c r="J242">
        <v>17</v>
      </c>
      <c r="K242">
        <v>17</v>
      </c>
      <c r="L242">
        <v>17</v>
      </c>
      <c r="M242">
        <v>16</v>
      </c>
      <c r="N242">
        <v>17</v>
      </c>
      <c r="O242">
        <v>17</v>
      </c>
      <c r="Q242" s="493"/>
    </row>
    <row r="243" spans="1:17">
      <c r="A243" t="str">
        <f t="shared" si="3"/>
        <v>CILC1TGCPSZ OFFPK</v>
      </c>
      <c r="B243" t="s">
        <v>185</v>
      </c>
      <c r="C243" t="s">
        <v>168</v>
      </c>
      <c r="D243">
        <v>17</v>
      </c>
      <c r="E243">
        <v>17</v>
      </c>
      <c r="F243">
        <v>17</v>
      </c>
      <c r="G243">
        <v>16</v>
      </c>
      <c r="H243">
        <v>17</v>
      </c>
      <c r="I243">
        <v>17</v>
      </c>
      <c r="J243">
        <v>17</v>
      </c>
      <c r="K243">
        <v>17</v>
      </c>
      <c r="L243">
        <v>16</v>
      </c>
      <c r="M243">
        <v>16</v>
      </c>
      <c r="N243">
        <v>17</v>
      </c>
      <c r="O243">
        <v>17</v>
      </c>
      <c r="Q243" s="493"/>
    </row>
    <row r="244" spans="1:17">
      <c r="A244" t="str">
        <f t="shared" si="3"/>
        <v>CILC1TCPSZ</v>
      </c>
      <c r="B244" t="s">
        <v>185</v>
      </c>
      <c r="C244" t="s">
        <v>169</v>
      </c>
      <c r="D244">
        <v>17</v>
      </c>
      <c r="E244">
        <v>17</v>
      </c>
      <c r="F244">
        <v>17</v>
      </c>
      <c r="G244">
        <v>17</v>
      </c>
      <c r="H244">
        <v>17</v>
      </c>
      <c r="I244">
        <v>17</v>
      </c>
      <c r="J244">
        <v>17</v>
      </c>
      <c r="K244">
        <v>17</v>
      </c>
      <c r="L244">
        <v>17</v>
      </c>
      <c r="M244">
        <v>17</v>
      </c>
      <c r="N244">
        <v>17</v>
      </c>
      <c r="O244">
        <v>17</v>
      </c>
      <c r="Q244" s="493"/>
    </row>
    <row r="245" spans="1:17">
      <c r="A245" t="str">
        <f t="shared" si="3"/>
        <v/>
      </c>
      <c r="Q245" s="493"/>
    </row>
    <row r="246" spans="1:17">
      <c r="A246" t="str">
        <f t="shared" si="3"/>
        <v/>
      </c>
      <c r="Q246" s="493"/>
    </row>
    <row r="247" spans="1:17">
      <c r="A247" t="str">
        <f t="shared" si="3"/>
        <v/>
      </c>
      <c r="Q247" s="493"/>
    </row>
    <row r="248" spans="1:17">
      <c r="A248" t="str">
        <f t="shared" si="3"/>
        <v xml:space="preserve">CNTRFK Wholesale - Contract Rate (FKEC) </v>
      </c>
      <c r="B248" t="s">
        <v>247</v>
      </c>
      <c r="C248" t="s">
        <v>246</v>
      </c>
      <c r="Q248" s="493"/>
    </row>
    <row r="249" spans="1:17">
      <c r="A249" t="str">
        <f t="shared" si="3"/>
        <v xml:space="preserve">CNTRFKMONTH </v>
      </c>
      <c r="B249" t="s">
        <v>245</v>
      </c>
      <c r="C249" t="s">
        <v>123</v>
      </c>
      <c r="D249" s="4">
        <v>41640</v>
      </c>
      <c r="E249" s="4">
        <v>41671</v>
      </c>
      <c r="F249" s="4">
        <v>41699</v>
      </c>
      <c r="G249" s="4">
        <v>41730</v>
      </c>
      <c r="H249" s="4">
        <v>41760</v>
      </c>
      <c r="I249" s="4">
        <v>41791</v>
      </c>
      <c r="J249" s="4">
        <v>41821</v>
      </c>
      <c r="K249" s="4">
        <v>41852</v>
      </c>
      <c r="L249" s="4">
        <v>41883</v>
      </c>
      <c r="M249" s="4">
        <v>41913</v>
      </c>
      <c r="N249" s="4">
        <v>41944</v>
      </c>
      <c r="O249" s="4">
        <v>41974</v>
      </c>
      <c r="P249" s="4"/>
      <c r="Q249" s="493"/>
    </row>
    <row r="250" spans="1:17">
      <c r="A250" t="str">
        <f t="shared" si="3"/>
        <v xml:space="preserve">CNTRFKCUSTOMERS </v>
      </c>
      <c r="B250" t="s">
        <v>245</v>
      </c>
      <c r="C250" t="s">
        <v>124</v>
      </c>
      <c r="D250">
        <v>5</v>
      </c>
      <c r="E250">
        <v>6</v>
      </c>
      <c r="F250">
        <v>7</v>
      </c>
      <c r="G250">
        <v>7</v>
      </c>
      <c r="H250">
        <v>7</v>
      </c>
      <c r="I250">
        <v>7</v>
      </c>
      <c r="J250">
        <v>7</v>
      </c>
      <c r="K250">
        <v>7</v>
      </c>
      <c r="L250">
        <v>7</v>
      </c>
      <c r="M250">
        <v>7</v>
      </c>
      <c r="N250">
        <v>7</v>
      </c>
      <c r="O250">
        <v>7</v>
      </c>
      <c r="Q250" s="493"/>
    </row>
    <row r="251" spans="1:17">
      <c r="A251" t="str">
        <f t="shared" si="3"/>
        <v xml:space="preserve">CNTRFKSALES </v>
      </c>
      <c r="B251" t="s">
        <v>245</v>
      </c>
      <c r="C251" t="s">
        <v>125</v>
      </c>
      <c r="D251">
        <v>65718983</v>
      </c>
      <c r="E251">
        <v>363393801</v>
      </c>
      <c r="F251">
        <v>320951303</v>
      </c>
      <c r="G251">
        <v>347436900</v>
      </c>
      <c r="H251">
        <v>372411170</v>
      </c>
      <c r="I251">
        <v>423074060</v>
      </c>
      <c r="J251">
        <v>444647562</v>
      </c>
      <c r="K251">
        <v>469005158</v>
      </c>
      <c r="L251">
        <v>502571938</v>
      </c>
      <c r="M251">
        <v>416168345</v>
      </c>
      <c r="N251">
        <v>395833111</v>
      </c>
      <c r="O251">
        <v>317966615</v>
      </c>
      <c r="Q251" s="493"/>
    </row>
    <row r="252" spans="1:17">
      <c r="A252" t="str">
        <f t="shared" si="3"/>
        <v>CNTRFKKW</v>
      </c>
      <c r="B252" t="s">
        <v>245</v>
      </c>
      <c r="C252" t="s">
        <v>126</v>
      </c>
      <c r="Q252" s="493"/>
    </row>
    <row r="253" spans="1:17">
      <c r="A253" t="str">
        <f t="shared" si="3"/>
        <v>CNTRFKN</v>
      </c>
      <c r="B253" t="s">
        <v>245</v>
      </c>
      <c r="C253" t="s">
        <v>127</v>
      </c>
      <c r="D253">
        <v>1</v>
      </c>
      <c r="E253">
        <v>1</v>
      </c>
      <c r="F253">
        <v>1</v>
      </c>
      <c r="G253">
        <v>1</v>
      </c>
      <c r="H253">
        <v>1</v>
      </c>
      <c r="I253">
        <v>1</v>
      </c>
      <c r="J253">
        <v>1</v>
      </c>
      <c r="K253">
        <v>1</v>
      </c>
      <c r="L253">
        <v>1</v>
      </c>
      <c r="M253">
        <v>1</v>
      </c>
      <c r="N253">
        <v>1</v>
      </c>
      <c r="O253">
        <v>1</v>
      </c>
      <c r="Q253" s="493"/>
    </row>
    <row r="254" spans="1:17">
      <c r="A254" t="str">
        <f t="shared" si="3"/>
        <v>CNTRFKRLR ENERGY:</v>
      </c>
      <c r="B254" t="s">
        <v>245</v>
      </c>
      <c r="C254" t="s">
        <v>61</v>
      </c>
      <c r="Q254" s="493"/>
    </row>
    <row r="255" spans="1:17">
      <c r="A255" t="str">
        <f t="shared" si="3"/>
        <v>CNTRFKKWH</v>
      </c>
      <c r="B255" t="s">
        <v>245</v>
      </c>
      <c r="C255" t="s">
        <v>128</v>
      </c>
      <c r="D255">
        <v>53908077</v>
      </c>
      <c r="E255">
        <v>55149873</v>
      </c>
      <c r="F255">
        <v>59094648</v>
      </c>
      <c r="G255">
        <v>63568647</v>
      </c>
      <c r="H255">
        <v>69356881</v>
      </c>
      <c r="I255">
        <v>72738909</v>
      </c>
      <c r="J255">
        <v>84671098</v>
      </c>
      <c r="K255">
        <v>85515076</v>
      </c>
      <c r="L255">
        <v>68248488</v>
      </c>
      <c r="M255">
        <v>64111841</v>
      </c>
      <c r="N255">
        <v>50236552</v>
      </c>
      <c r="O255">
        <v>53858177</v>
      </c>
      <c r="Q255" s="493"/>
    </row>
    <row r="256" spans="1:17">
      <c r="A256" t="str">
        <f t="shared" si="3"/>
        <v>CNTRFKKWH ONPK</v>
      </c>
      <c r="B256" t="s">
        <v>245</v>
      </c>
      <c r="C256" t="s">
        <v>129</v>
      </c>
      <c r="D256">
        <v>13604776</v>
      </c>
      <c r="E256">
        <v>13733641</v>
      </c>
      <c r="F256">
        <v>13928287</v>
      </c>
      <c r="G256">
        <v>21185230</v>
      </c>
      <c r="H256">
        <v>21071683</v>
      </c>
      <c r="I256">
        <v>22527888</v>
      </c>
      <c r="J256">
        <v>26638718</v>
      </c>
      <c r="K256">
        <v>26025359</v>
      </c>
      <c r="L256">
        <v>21037355</v>
      </c>
      <c r="M256">
        <v>21420494</v>
      </c>
      <c r="N256">
        <v>11111808</v>
      </c>
      <c r="O256">
        <v>13466759</v>
      </c>
      <c r="Q256" s="493"/>
    </row>
    <row r="257" spans="1:17">
      <c r="A257" t="str">
        <f t="shared" si="3"/>
        <v>CNTRFKKWH OFFPK</v>
      </c>
      <c r="B257" t="s">
        <v>245</v>
      </c>
      <c r="C257" t="s">
        <v>130</v>
      </c>
      <c r="D257">
        <v>40303301</v>
      </c>
      <c r="E257">
        <v>41416232</v>
      </c>
      <c r="F257">
        <v>45166361</v>
      </c>
      <c r="G257">
        <v>42383417</v>
      </c>
      <c r="H257">
        <v>48285198</v>
      </c>
      <c r="I257">
        <v>50211022</v>
      </c>
      <c r="J257">
        <v>58032381</v>
      </c>
      <c r="K257">
        <v>59489716</v>
      </c>
      <c r="L257">
        <v>47211133</v>
      </c>
      <c r="M257">
        <v>42691346</v>
      </c>
      <c r="N257">
        <v>39124745</v>
      </c>
      <c r="O257">
        <v>40391418</v>
      </c>
      <c r="Q257" s="493"/>
    </row>
    <row r="258" spans="1:17">
      <c r="A258" t="str">
        <f t="shared" si="3"/>
        <v>CNTRFKKWH ONPK%</v>
      </c>
      <c r="B258" t="s">
        <v>245</v>
      </c>
      <c r="C258" t="s">
        <v>131</v>
      </c>
      <c r="D258" s="5">
        <v>0.25236999999999998</v>
      </c>
      <c r="E258" s="5">
        <v>0.24901999999999999</v>
      </c>
      <c r="F258" s="5">
        <v>0.23569000000000001</v>
      </c>
      <c r="G258" s="5">
        <v>0.33327000000000001</v>
      </c>
      <c r="H258" s="5">
        <v>0.30381999999999998</v>
      </c>
      <c r="I258" s="5">
        <v>0.30970999999999999</v>
      </c>
      <c r="J258" s="5">
        <v>0.31461</v>
      </c>
      <c r="K258" s="5">
        <v>0.30434</v>
      </c>
      <c r="L258" s="5">
        <v>0.30825000000000002</v>
      </c>
      <c r="M258" s="5">
        <v>0.33411000000000002</v>
      </c>
      <c r="N258" s="5">
        <v>0.22119</v>
      </c>
      <c r="O258" s="5">
        <v>0.25003999999999998</v>
      </c>
      <c r="P258" s="5"/>
      <c r="Q258" s="493"/>
    </row>
    <row r="259" spans="1:17">
      <c r="A259" t="str">
        <f t="shared" si="3"/>
        <v>CNTRFKKWH OFFPK%</v>
      </c>
      <c r="B259" t="s">
        <v>245</v>
      </c>
      <c r="C259" t="s">
        <v>132</v>
      </c>
      <c r="D259" s="5">
        <v>0.74763000000000002</v>
      </c>
      <c r="E259" s="5">
        <v>0.75097999999999998</v>
      </c>
      <c r="F259" s="5">
        <v>0.76431000000000004</v>
      </c>
      <c r="G259" s="5">
        <v>0.66673000000000004</v>
      </c>
      <c r="H259" s="5">
        <v>0.69618000000000002</v>
      </c>
      <c r="I259" s="5">
        <v>0.69028999999999996</v>
      </c>
      <c r="J259" s="5">
        <v>0.68539000000000005</v>
      </c>
      <c r="K259" s="5">
        <v>0.69565999999999995</v>
      </c>
      <c r="L259" s="5">
        <v>0.69174999999999998</v>
      </c>
      <c r="M259" s="5">
        <v>0.66588999999999998</v>
      </c>
      <c r="N259" s="5">
        <v>0.77881</v>
      </c>
      <c r="O259" s="5">
        <v>0.74995999999999996</v>
      </c>
      <c r="P259" s="5"/>
      <c r="Q259" s="493"/>
    </row>
    <row r="260" spans="1:17">
      <c r="A260" t="str">
        <f t="shared" si="3"/>
        <v>CNTRFKDEMAND (KW):</v>
      </c>
      <c r="B260" t="s">
        <v>245</v>
      </c>
      <c r="C260" t="s">
        <v>62</v>
      </c>
      <c r="Q260" s="493"/>
    </row>
    <row r="261" spans="1:17">
      <c r="A261" t="str">
        <f t="shared" si="3"/>
        <v>CNTRFKNCP</v>
      </c>
      <c r="B261" t="s">
        <v>245</v>
      </c>
      <c r="C261" t="s">
        <v>133</v>
      </c>
      <c r="D261">
        <v>119648</v>
      </c>
      <c r="E261">
        <v>118724</v>
      </c>
      <c r="F261">
        <v>124969</v>
      </c>
      <c r="G261">
        <v>130649</v>
      </c>
      <c r="H261">
        <v>135618</v>
      </c>
      <c r="I261">
        <v>144202</v>
      </c>
      <c r="J261">
        <v>158706</v>
      </c>
      <c r="K261">
        <v>156563</v>
      </c>
      <c r="L261">
        <v>143516</v>
      </c>
      <c r="M261">
        <v>136857</v>
      </c>
      <c r="N261">
        <v>115289</v>
      </c>
      <c r="O261">
        <v>118302</v>
      </c>
      <c r="Q261" s="493"/>
    </row>
    <row r="262" spans="1:17">
      <c r="A262" t="str">
        <f t="shared" si="3"/>
        <v>CNTRFKNCP ONPK</v>
      </c>
      <c r="B262" t="s">
        <v>245</v>
      </c>
      <c r="C262" t="s">
        <v>134</v>
      </c>
      <c r="D262">
        <v>116339</v>
      </c>
      <c r="E262">
        <v>111866</v>
      </c>
      <c r="F262">
        <v>112653</v>
      </c>
      <c r="G262">
        <v>130649</v>
      </c>
      <c r="H262">
        <v>129272</v>
      </c>
      <c r="I262">
        <v>144202</v>
      </c>
      <c r="J262">
        <v>158706</v>
      </c>
      <c r="K262">
        <v>156563</v>
      </c>
      <c r="L262">
        <v>141684</v>
      </c>
      <c r="M262">
        <v>136857</v>
      </c>
      <c r="N262">
        <v>110957</v>
      </c>
      <c r="O262">
        <v>118302</v>
      </c>
      <c r="Q262" s="493"/>
    </row>
    <row r="263" spans="1:17">
      <c r="A263" t="str">
        <f t="shared" si="3"/>
        <v>CNTRFKNCP OFFPK</v>
      </c>
      <c r="B263" t="s">
        <v>245</v>
      </c>
      <c r="C263" t="s">
        <v>135</v>
      </c>
      <c r="D263">
        <v>119648</v>
      </c>
      <c r="E263">
        <v>118724</v>
      </c>
      <c r="F263">
        <v>124969</v>
      </c>
      <c r="G263">
        <v>127904</v>
      </c>
      <c r="H263">
        <v>135618</v>
      </c>
      <c r="I263">
        <v>143799</v>
      </c>
      <c r="J263">
        <v>158259</v>
      </c>
      <c r="K263">
        <v>156275</v>
      </c>
      <c r="L263">
        <v>143516</v>
      </c>
      <c r="M263">
        <v>133405</v>
      </c>
      <c r="N263">
        <v>115289</v>
      </c>
      <c r="O263">
        <v>114580</v>
      </c>
      <c r="Q263" s="493"/>
    </row>
    <row r="264" spans="1:17">
      <c r="A264" t="str">
        <f t="shared" si="3"/>
        <v>CNTRFKGCP DATE</v>
      </c>
      <c r="B264" t="s">
        <v>245</v>
      </c>
      <c r="C264" t="s">
        <v>136</v>
      </c>
      <c r="D264" t="s">
        <v>624</v>
      </c>
      <c r="E264" t="s">
        <v>625</v>
      </c>
      <c r="F264" t="s">
        <v>626</v>
      </c>
      <c r="G264" t="s">
        <v>621</v>
      </c>
      <c r="H264" t="s">
        <v>304</v>
      </c>
      <c r="I264" t="s">
        <v>290</v>
      </c>
      <c r="J264" t="s">
        <v>262</v>
      </c>
      <c r="K264" t="s">
        <v>627</v>
      </c>
      <c r="L264" t="s">
        <v>628</v>
      </c>
      <c r="M264" t="s">
        <v>322</v>
      </c>
      <c r="N264" t="s">
        <v>629</v>
      </c>
      <c r="O264" t="s">
        <v>321</v>
      </c>
      <c r="Q264" s="493"/>
    </row>
    <row r="265" spans="1:17">
      <c r="A265" t="str">
        <f t="shared" si="3"/>
        <v>CNTRFKGCP TIME</v>
      </c>
      <c r="B265" t="s">
        <v>245</v>
      </c>
      <c r="C265" t="s">
        <v>142</v>
      </c>
      <c r="D265" t="s">
        <v>193</v>
      </c>
      <c r="E265" t="s">
        <v>195</v>
      </c>
      <c r="F265" t="s">
        <v>196</v>
      </c>
      <c r="G265" t="s">
        <v>195</v>
      </c>
      <c r="H265" t="s">
        <v>196</v>
      </c>
      <c r="I265" t="s">
        <v>195</v>
      </c>
      <c r="J265" t="s">
        <v>195</v>
      </c>
      <c r="K265" t="s">
        <v>195</v>
      </c>
      <c r="L265" t="s">
        <v>145</v>
      </c>
      <c r="M265" t="s">
        <v>145</v>
      </c>
      <c r="N265" t="s">
        <v>144</v>
      </c>
      <c r="O265" t="s">
        <v>193</v>
      </c>
      <c r="Q265" s="493"/>
    </row>
    <row r="266" spans="1:17">
      <c r="A266" t="str">
        <f t="shared" si="3"/>
        <v>CNTRFKGCP</v>
      </c>
      <c r="B266" t="s">
        <v>245</v>
      </c>
      <c r="C266" t="s">
        <v>147</v>
      </c>
      <c r="D266">
        <v>119648</v>
      </c>
      <c r="E266">
        <v>118724</v>
      </c>
      <c r="F266">
        <v>124969</v>
      </c>
      <c r="G266">
        <v>130649</v>
      </c>
      <c r="H266">
        <v>135618</v>
      </c>
      <c r="I266">
        <v>144202</v>
      </c>
      <c r="J266">
        <v>158706</v>
      </c>
      <c r="K266">
        <v>156563</v>
      </c>
      <c r="L266">
        <v>143516</v>
      </c>
      <c r="M266">
        <v>136857</v>
      </c>
      <c r="N266">
        <v>115289</v>
      </c>
      <c r="O266">
        <v>118302</v>
      </c>
      <c r="Q266" s="493"/>
    </row>
    <row r="267" spans="1:17">
      <c r="A267" t="str">
        <f t="shared" si="3"/>
        <v>CNTRFKGCP ONPK</v>
      </c>
      <c r="B267" t="s">
        <v>245</v>
      </c>
      <c r="C267" t="s">
        <v>63</v>
      </c>
      <c r="D267">
        <v>116339</v>
      </c>
      <c r="E267">
        <v>111866</v>
      </c>
      <c r="F267">
        <v>112653</v>
      </c>
      <c r="G267">
        <v>130649</v>
      </c>
      <c r="H267">
        <v>129272</v>
      </c>
      <c r="I267">
        <v>144202</v>
      </c>
      <c r="J267">
        <v>158706</v>
      </c>
      <c r="K267">
        <v>156563</v>
      </c>
      <c r="L267">
        <v>141684</v>
      </c>
      <c r="M267">
        <v>136857</v>
      </c>
      <c r="N267">
        <v>110957</v>
      </c>
      <c r="O267">
        <v>118302</v>
      </c>
      <c r="Q267" s="493"/>
    </row>
    <row r="268" spans="1:17">
      <c r="A268" t="str">
        <f t="shared" si="3"/>
        <v>CNTRFKGCP OFFPK</v>
      </c>
      <c r="B268" t="s">
        <v>245</v>
      </c>
      <c r="C268" t="s">
        <v>64</v>
      </c>
      <c r="D268">
        <v>119648</v>
      </c>
      <c r="E268">
        <v>118724</v>
      </c>
      <c r="F268">
        <v>124969</v>
      </c>
      <c r="G268">
        <v>127904</v>
      </c>
      <c r="H268">
        <v>135618</v>
      </c>
      <c r="I268">
        <v>143799</v>
      </c>
      <c r="J268">
        <v>158259</v>
      </c>
      <c r="K268">
        <v>156275</v>
      </c>
      <c r="L268">
        <v>143516</v>
      </c>
      <c r="M268">
        <v>133405</v>
      </c>
      <c r="N268">
        <v>115289</v>
      </c>
      <c r="O268">
        <v>114580</v>
      </c>
      <c r="Q268" s="493"/>
    </row>
    <row r="269" spans="1:17">
      <c r="A269" t="str">
        <f t="shared" si="3"/>
        <v>CNTRFKCP</v>
      </c>
      <c r="B269" t="s">
        <v>245</v>
      </c>
      <c r="C269" t="s">
        <v>148</v>
      </c>
      <c r="D269">
        <v>87751</v>
      </c>
      <c r="E269">
        <v>111326</v>
      </c>
      <c r="F269">
        <v>123018</v>
      </c>
      <c r="G269">
        <v>128551</v>
      </c>
      <c r="H269">
        <v>122592</v>
      </c>
      <c r="I269">
        <v>140109</v>
      </c>
      <c r="J269">
        <v>150640</v>
      </c>
      <c r="K269">
        <v>146084</v>
      </c>
      <c r="L269">
        <v>128297</v>
      </c>
      <c r="M269">
        <v>136857</v>
      </c>
      <c r="N269">
        <v>115289</v>
      </c>
      <c r="O269">
        <v>105411</v>
      </c>
      <c r="Q269" s="493"/>
    </row>
    <row r="270" spans="1:17">
      <c r="A270" t="str">
        <f t="shared" si="3"/>
        <v>CNTRFKPERIOD START</v>
      </c>
      <c r="B270" t="s">
        <v>245</v>
      </c>
      <c r="C270" t="s">
        <v>149</v>
      </c>
      <c r="D270" s="1">
        <v>41640</v>
      </c>
      <c r="E270" s="1">
        <v>41671</v>
      </c>
      <c r="F270" s="1">
        <v>41699</v>
      </c>
      <c r="G270" s="1">
        <v>41730</v>
      </c>
      <c r="H270" s="1">
        <v>41760</v>
      </c>
      <c r="I270" s="1">
        <v>41791</v>
      </c>
      <c r="J270" s="1">
        <v>41821</v>
      </c>
      <c r="K270" s="1">
        <v>41852</v>
      </c>
      <c r="L270" s="1">
        <v>41883</v>
      </c>
      <c r="M270" s="1">
        <v>41913</v>
      </c>
      <c r="N270" s="1">
        <v>41944</v>
      </c>
      <c r="O270" s="1">
        <v>41974</v>
      </c>
      <c r="P270" s="1"/>
      <c r="Q270" s="493"/>
    </row>
    <row r="271" spans="1:17">
      <c r="A271" t="str">
        <f t="shared" si="3"/>
        <v>CNTRFKNCP LF</v>
      </c>
      <c r="B271" t="s">
        <v>245</v>
      </c>
      <c r="C271" t="s">
        <v>150</v>
      </c>
      <c r="D271" s="5">
        <v>0.60560000000000003</v>
      </c>
      <c r="E271" s="5">
        <v>0.69120000000000004</v>
      </c>
      <c r="F271" s="5">
        <v>0.63639999999999997</v>
      </c>
      <c r="G271" s="5">
        <v>0.67579999999999996</v>
      </c>
      <c r="H271" s="5">
        <v>0.68740000000000001</v>
      </c>
      <c r="I271" s="5">
        <v>0.7006</v>
      </c>
      <c r="J271" s="5">
        <v>0.71709999999999996</v>
      </c>
      <c r="K271" s="5">
        <v>0.73409999999999997</v>
      </c>
      <c r="L271" s="5">
        <v>0.66049999999999998</v>
      </c>
      <c r="M271" s="5">
        <v>0.62960000000000005</v>
      </c>
      <c r="N271" s="5">
        <v>0.60519999999999996</v>
      </c>
      <c r="O271" s="5">
        <v>0.6119</v>
      </c>
      <c r="P271" s="5"/>
      <c r="Q271" s="493"/>
    </row>
    <row r="272" spans="1:17">
      <c r="A272" t="str">
        <f t="shared" si="3"/>
        <v>CNTRFKNCP LF ONPK</v>
      </c>
      <c r="B272" t="s">
        <v>245</v>
      </c>
      <c r="C272" t="s">
        <v>151</v>
      </c>
      <c r="D272" s="5">
        <v>0.66439999999999999</v>
      </c>
      <c r="E272" s="5">
        <v>0.76729999999999998</v>
      </c>
      <c r="F272" s="5">
        <v>0.7359</v>
      </c>
      <c r="G272" s="5">
        <v>0.81899999999999995</v>
      </c>
      <c r="H272" s="5">
        <v>0.86240000000000006</v>
      </c>
      <c r="I272" s="5">
        <v>0.8266</v>
      </c>
      <c r="J272" s="5">
        <v>0.84770000000000001</v>
      </c>
      <c r="K272" s="5">
        <v>0.87949999999999995</v>
      </c>
      <c r="L272" s="5">
        <v>0.78559999999999997</v>
      </c>
      <c r="M272" s="5">
        <v>0.75609999999999999</v>
      </c>
      <c r="N272" s="5">
        <v>0.65880000000000005</v>
      </c>
      <c r="O272" s="5">
        <v>0.64680000000000004</v>
      </c>
      <c r="P272" s="5"/>
      <c r="Q272" s="493"/>
    </row>
    <row r="273" spans="1:17">
      <c r="A273" t="str">
        <f t="shared" si="3"/>
        <v>CNTRFKNCP LF OFFPK</v>
      </c>
      <c r="B273" t="s">
        <v>245</v>
      </c>
      <c r="C273" t="s">
        <v>152</v>
      </c>
      <c r="D273" s="5">
        <v>0.59299999999999997</v>
      </c>
      <c r="E273" s="5">
        <v>0.68130000000000002</v>
      </c>
      <c r="F273" s="5">
        <v>0.62860000000000005</v>
      </c>
      <c r="G273" s="5">
        <v>0.63480000000000003</v>
      </c>
      <c r="H273" s="5">
        <v>0.64149999999999996</v>
      </c>
      <c r="I273" s="5">
        <v>0.65759999999999996</v>
      </c>
      <c r="J273" s="5">
        <v>0.67159999999999997</v>
      </c>
      <c r="K273" s="5">
        <v>0.68589999999999995</v>
      </c>
      <c r="L273" s="5">
        <v>0.61950000000000005</v>
      </c>
      <c r="M273" s="5">
        <v>0.59589999999999999</v>
      </c>
      <c r="N273" s="5">
        <v>0.59750000000000003</v>
      </c>
      <c r="O273" s="5">
        <v>0.62060000000000004</v>
      </c>
      <c r="P273" s="5"/>
      <c r="Q273" s="493"/>
    </row>
    <row r="274" spans="1:17">
      <c r="A274" t="str">
        <f t="shared" si="3"/>
        <v>CNTRFKGCP CF</v>
      </c>
      <c r="B274" t="s">
        <v>245</v>
      </c>
      <c r="C274" t="s">
        <v>153</v>
      </c>
      <c r="D274" s="5">
        <v>1</v>
      </c>
      <c r="E274" s="5">
        <v>1</v>
      </c>
      <c r="F274" s="5">
        <v>1</v>
      </c>
      <c r="G274" s="5">
        <v>1</v>
      </c>
      <c r="H274" s="5">
        <v>1</v>
      </c>
      <c r="I274" s="5">
        <v>1</v>
      </c>
      <c r="J274" s="5">
        <v>1</v>
      </c>
      <c r="K274" s="5">
        <v>1</v>
      </c>
      <c r="L274" s="5">
        <v>1</v>
      </c>
      <c r="M274" s="5">
        <v>1</v>
      </c>
      <c r="N274" s="5">
        <v>1</v>
      </c>
      <c r="O274" s="5">
        <v>1</v>
      </c>
      <c r="P274" s="5"/>
      <c r="Q274" s="493"/>
    </row>
    <row r="275" spans="1:17">
      <c r="A275" t="str">
        <f t="shared" si="3"/>
        <v>CNTRFKCP CF</v>
      </c>
      <c r="B275" t="s">
        <v>245</v>
      </c>
      <c r="C275" t="s">
        <v>154</v>
      </c>
      <c r="D275" s="5">
        <v>0.73340000000000005</v>
      </c>
      <c r="E275" s="5">
        <v>0.93769999999999998</v>
      </c>
      <c r="F275" s="5">
        <v>0.98440000000000005</v>
      </c>
      <c r="G275" s="5">
        <v>0.9839</v>
      </c>
      <c r="H275" s="5">
        <v>0.90400000000000003</v>
      </c>
      <c r="I275" s="5">
        <v>0.97160000000000002</v>
      </c>
      <c r="J275" s="5">
        <v>0.94920000000000004</v>
      </c>
      <c r="K275" s="5">
        <v>0.93310000000000004</v>
      </c>
      <c r="L275" s="5">
        <v>0.89400000000000002</v>
      </c>
      <c r="M275" s="5">
        <v>1</v>
      </c>
      <c r="N275" s="5">
        <v>1</v>
      </c>
      <c r="O275" s="5">
        <v>0.89100000000000001</v>
      </c>
      <c r="P275" s="5"/>
      <c r="Q275" s="493"/>
    </row>
    <row r="276" spans="1:17">
      <c r="A276" t="str">
        <f t="shared" si="3"/>
        <v>CNTRFKGCP LF</v>
      </c>
      <c r="B276" t="s">
        <v>245</v>
      </c>
      <c r="C276" t="s">
        <v>155</v>
      </c>
      <c r="D276" s="5">
        <v>0.60560000000000003</v>
      </c>
      <c r="E276" s="5">
        <v>0.69120000000000004</v>
      </c>
      <c r="F276" s="5">
        <v>0.63639999999999997</v>
      </c>
      <c r="G276" s="5">
        <v>0.67579999999999996</v>
      </c>
      <c r="H276" s="5">
        <v>0.68740000000000001</v>
      </c>
      <c r="I276" s="5">
        <v>0.7006</v>
      </c>
      <c r="J276" s="5">
        <v>0.71709999999999996</v>
      </c>
      <c r="K276" s="5">
        <v>0.73409999999999997</v>
      </c>
      <c r="L276" s="5">
        <v>0.66049999999999998</v>
      </c>
      <c r="M276" s="5">
        <v>0.62960000000000005</v>
      </c>
      <c r="N276" s="5">
        <v>0.60519999999999996</v>
      </c>
      <c r="O276" s="5">
        <v>0.6119</v>
      </c>
      <c r="P276" s="5"/>
      <c r="Q276" s="493"/>
    </row>
    <row r="277" spans="1:17">
      <c r="A277" t="str">
        <f t="shared" si="3"/>
        <v>CNTRFKGCP LF ONPK</v>
      </c>
      <c r="B277" t="s">
        <v>245</v>
      </c>
      <c r="C277" t="s">
        <v>156</v>
      </c>
      <c r="D277" s="5">
        <v>0.66439999999999999</v>
      </c>
      <c r="E277" s="5">
        <v>0.76729999999999998</v>
      </c>
      <c r="F277" s="5">
        <v>0.7359</v>
      </c>
      <c r="G277" s="5">
        <v>0.81899999999999995</v>
      </c>
      <c r="H277" s="5">
        <v>0.86240000000000006</v>
      </c>
      <c r="I277" s="5">
        <v>0.8266</v>
      </c>
      <c r="J277" s="5">
        <v>0.84770000000000001</v>
      </c>
      <c r="K277" s="5">
        <v>0.87949999999999995</v>
      </c>
      <c r="L277" s="5">
        <v>0.78559999999999997</v>
      </c>
      <c r="M277" s="5">
        <v>0.75609999999999999</v>
      </c>
      <c r="N277" s="5">
        <v>0.65880000000000005</v>
      </c>
      <c r="O277" s="5">
        <v>0.64680000000000004</v>
      </c>
      <c r="P277" s="5"/>
      <c r="Q277" s="493"/>
    </row>
    <row r="278" spans="1:17">
      <c r="A278" t="str">
        <f t="shared" si="3"/>
        <v>CNTRFKGCP LF OFFPK</v>
      </c>
      <c r="B278" t="s">
        <v>245</v>
      </c>
      <c r="C278" t="s">
        <v>157</v>
      </c>
      <c r="D278" s="5">
        <v>0.59299999999999997</v>
      </c>
      <c r="E278" s="5">
        <v>0.68130000000000002</v>
      </c>
      <c r="F278" s="5">
        <v>0.62860000000000005</v>
      </c>
      <c r="G278" s="5">
        <v>0.63480000000000003</v>
      </c>
      <c r="H278" s="5">
        <v>0.64149999999999996</v>
      </c>
      <c r="I278" s="5">
        <v>0.65759999999999996</v>
      </c>
      <c r="J278" s="5">
        <v>0.67159999999999997</v>
      </c>
      <c r="K278" s="5">
        <v>0.68589999999999995</v>
      </c>
      <c r="L278" s="5">
        <v>0.61950000000000005</v>
      </c>
      <c r="M278" s="5">
        <v>0.59589999999999999</v>
      </c>
      <c r="N278" s="5">
        <v>0.59750000000000003</v>
      </c>
      <c r="O278" s="5">
        <v>0.62060000000000004</v>
      </c>
      <c r="P278" s="5"/>
      <c r="Q278" s="493"/>
    </row>
    <row r="279" spans="1:17">
      <c r="A279" t="str">
        <f t="shared" si="3"/>
        <v>CNTRFKCP LF</v>
      </c>
      <c r="B279" t="s">
        <v>245</v>
      </c>
      <c r="C279" t="s">
        <v>158</v>
      </c>
      <c r="D279" s="5">
        <v>0.82569999999999999</v>
      </c>
      <c r="E279" s="5">
        <v>0.73719999999999997</v>
      </c>
      <c r="F279" s="5">
        <v>0.64649999999999996</v>
      </c>
      <c r="G279" s="5">
        <v>0.68679999999999997</v>
      </c>
      <c r="H279" s="5">
        <v>0.76039999999999996</v>
      </c>
      <c r="I279" s="5">
        <v>0.72109999999999996</v>
      </c>
      <c r="J279" s="5">
        <v>0.75549999999999995</v>
      </c>
      <c r="K279" s="5">
        <v>0.78680000000000005</v>
      </c>
      <c r="L279" s="5">
        <v>0.73880000000000001</v>
      </c>
      <c r="M279" s="5">
        <v>0.62960000000000005</v>
      </c>
      <c r="N279" s="5">
        <v>0.60519999999999996</v>
      </c>
      <c r="O279" s="5">
        <v>0.68669999999999998</v>
      </c>
      <c r="P279" s="5"/>
      <c r="Q279" s="493"/>
    </row>
    <row r="280" spans="1:17">
      <c r="A280" t="str">
        <f t="shared" si="3"/>
        <v>CNTRFKREL PREC:</v>
      </c>
      <c r="B280" t="s">
        <v>245</v>
      </c>
      <c r="C280" t="s">
        <v>65</v>
      </c>
      <c r="Q280" s="493"/>
    </row>
    <row r="281" spans="1:17">
      <c r="A281" t="str">
        <f t="shared" si="3"/>
        <v>CNTRFKNCP RP</v>
      </c>
      <c r="B281" t="s">
        <v>245</v>
      </c>
      <c r="C281" t="s">
        <v>159</v>
      </c>
      <c r="D281" s="5">
        <v>0</v>
      </c>
      <c r="E281" s="5">
        <v>0</v>
      </c>
      <c r="F281" s="5">
        <v>0</v>
      </c>
      <c r="G281" s="5">
        <v>0</v>
      </c>
      <c r="H281" s="5">
        <v>0</v>
      </c>
      <c r="I281" s="5">
        <v>0</v>
      </c>
      <c r="J281" s="5">
        <v>0</v>
      </c>
      <c r="K281" s="5">
        <v>0</v>
      </c>
      <c r="L281" s="5">
        <v>0</v>
      </c>
      <c r="M281" s="5">
        <v>0</v>
      </c>
      <c r="N281" s="5">
        <v>0</v>
      </c>
      <c r="O281" s="5">
        <v>0</v>
      </c>
      <c r="P281" s="5"/>
      <c r="Q281" s="493"/>
    </row>
    <row r="282" spans="1:17">
      <c r="A282" t="str">
        <f t="shared" si="3"/>
        <v>CNTRFKNCP RP ONPK</v>
      </c>
      <c r="B282" t="s">
        <v>245</v>
      </c>
      <c r="C282" t="s">
        <v>160</v>
      </c>
      <c r="D282" s="5">
        <v>0</v>
      </c>
      <c r="E282" s="5">
        <v>0</v>
      </c>
      <c r="F282" s="5">
        <v>0</v>
      </c>
      <c r="G282" s="5">
        <v>0</v>
      </c>
      <c r="H282" s="5">
        <v>0</v>
      </c>
      <c r="I282" s="5">
        <v>0</v>
      </c>
      <c r="J282" s="5">
        <v>0</v>
      </c>
      <c r="K282" s="5">
        <v>0</v>
      </c>
      <c r="L282" s="5">
        <v>0</v>
      </c>
      <c r="M282" s="5">
        <v>0</v>
      </c>
      <c r="N282" s="5">
        <v>0</v>
      </c>
      <c r="O282" s="5">
        <v>0</v>
      </c>
      <c r="P282" s="5"/>
      <c r="Q282" s="493"/>
    </row>
    <row r="283" spans="1:17">
      <c r="A283" t="str">
        <f t="shared" si="3"/>
        <v>CNTRFKNCP RP OFFPK</v>
      </c>
      <c r="B283" t="s">
        <v>245</v>
      </c>
      <c r="C283" t="s">
        <v>161</v>
      </c>
      <c r="D283" s="5">
        <v>0</v>
      </c>
      <c r="E283" s="5">
        <v>0</v>
      </c>
      <c r="F283" s="5">
        <v>0</v>
      </c>
      <c r="G283" s="5">
        <v>0</v>
      </c>
      <c r="H283" s="5">
        <v>0</v>
      </c>
      <c r="I283" s="5">
        <v>0</v>
      </c>
      <c r="J283" s="5">
        <v>0</v>
      </c>
      <c r="K283" s="5">
        <v>0</v>
      </c>
      <c r="L283" s="5">
        <v>0</v>
      </c>
      <c r="M283" s="5">
        <v>0</v>
      </c>
      <c r="N283" s="5">
        <v>0</v>
      </c>
      <c r="O283" s="5">
        <v>0</v>
      </c>
      <c r="P283" s="5"/>
      <c r="Q283" s="493"/>
    </row>
    <row r="284" spans="1:17">
      <c r="A284" t="str">
        <f t="shared" si="3"/>
        <v>CNTRFKGCP RP</v>
      </c>
      <c r="B284" t="s">
        <v>245</v>
      </c>
      <c r="C284" t="s">
        <v>162</v>
      </c>
      <c r="D284" s="5">
        <v>0</v>
      </c>
      <c r="E284" s="5">
        <v>0</v>
      </c>
      <c r="F284" s="5">
        <v>0</v>
      </c>
      <c r="G284" s="5">
        <v>0</v>
      </c>
      <c r="H284" s="5">
        <v>0</v>
      </c>
      <c r="I284" s="5">
        <v>0</v>
      </c>
      <c r="J284" s="5">
        <v>0</v>
      </c>
      <c r="K284" s="5">
        <v>0</v>
      </c>
      <c r="L284" s="5">
        <v>0</v>
      </c>
      <c r="M284" s="5">
        <v>0</v>
      </c>
      <c r="N284" s="5">
        <v>0</v>
      </c>
      <c r="O284" s="5">
        <v>0</v>
      </c>
      <c r="P284" s="5"/>
      <c r="Q284" s="493"/>
    </row>
    <row r="285" spans="1:17">
      <c r="A285" t="str">
        <f t="shared" si="3"/>
        <v>CNTRFKGCP RP ONPK</v>
      </c>
      <c r="B285" t="s">
        <v>245</v>
      </c>
      <c r="C285" t="s">
        <v>163</v>
      </c>
      <c r="D285" s="5">
        <v>0</v>
      </c>
      <c r="E285" s="5">
        <v>0</v>
      </c>
      <c r="F285" s="5">
        <v>0</v>
      </c>
      <c r="G285" s="5">
        <v>0</v>
      </c>
      <c r="H285" s="5">
        <v>0</v>
      </c>
      <c r="I285" s="5">
        <v>0</v>
      </c>
      <c r="J285" s="5">
        <v>0</v>
      </c>
      <c r="K285" s="5">
        <v>0</v>
      </c>
      <c r="L285" s="5">
        <v>0</v>
      </c>
      <c r="M285" s="5">
        <v>0</v>
      </c>
      <c r="N285" s="5">
        <v>0</v>
      </c>
      <c r="O285" s="5">
        <v>0</v>
      </c>
      <c r="P285" s="5"/>
      <c r="Q285" s="493"/>
    </row>
    <row r="286" spans="1:17">
      <c r="A286" t="str">
        <f t="shared" si="3"/>
        <v>CNTRFKGCP RP OFFPK</v>
      </c>
      <c r="B286" t="s">
        <v>245</v>
      </c>
      <c r="C286" t="s">
        <v>164</v>
      </c>
      <c r="D286" s="5">
        <v>0</v>
      </c>
      <c r="E286" s="5">
        <v>0</v>
      </c>
      <c r="F286" s="5">
        <v>0</v>
      </c>
      <c r="G286" s="5">
        <v>0</v>
      </c>
      <c r="H286" s="5">
        <v>0</v>
      </c>
      <c r="I286" s="5">
        <v>0</v>
      </c>
      <c r="J286" s="5">
        <v>0</v>
      </c>
      <c r="K286" s="5">
        <v>0</v>
      </c>
      <c r="L286" s="5">
        <v>0</v>
      </c>
      <c r="M286" s="5">
        <v>0</v>
      </c>
      <c r="N286" s="5">
        <v>0</v>
      </c>
      <c r="O286" s="5">
        <v>0</v>
      </c>
      <c r="P286" s="5"/>
      <c r="Q286" s="493"/>
    </row>
    <row r="287" spans="1:17">
      <c r="A287" t="str">
        <f t="shared" si="3"/>
        <v>CNTRFKCP RP</v>
      </c>
      <c r="B287" t="s">
        <v>245</v>
      </c>
      <c r="C287" t="s">
        <v>165</v>
      </c>
      <c r="D287" s="5">
        <v>0</v>
      </c>
      <c r="E287" s="5">
        <v>0</v>
      </c>
      <c r="F287" s="5">
        <v>0</v>
      </c>
      <c r="G287" s="5">
        <v>0</v>
      </c>
      <c r="H287" s="5">
        <v>0</v>
      </c>
      <c r="I287" s="5">
        <v>0</v>
      </c>
      <c r="J287" s="5">
        <v>0</v>
      </c>
      <c r="K287" s="5">
        <v>0</v>
      </c>
      <c r="L287" s="5">
        <v>0</v>
      </c>
      <c r="M287" s="5">
        <v>0</v>
      </c>
      <c r="N287" s="5">
        <v>0</v>
      </c>
      <c r="O287" s="5">
        <v>0</v>
      </c>
      <c r="P287" s="5"/>
      <c r="Q287" s="493"/>
    </row>
    <row r="288" spans="1:17">
      <c r="A288" t="str">
        <f t="shared" si="3"/>
        <v>CNTRFKSAMPLE SIZE:</v>
      </c>
      <c r="B288" t="s">
        <v>245</v>
      </c>
      <c r="C288" t="s">
        <v>66</v>
      </c>
      <c r="Q288" s="493"/>
    </row>
    <row r="289" spans="1:17">
      <c r="A289" t="str">
        <f t="shared" si="3"/>
        <v>CNTRFKGCPSZ</v>
      </c>
      <c r="B289" t="s">
        <v>245</v>
      </c>
      <c r="C289" t="s">
        <v>166</v>
      </c>
      <c r="D289">
        <v>1</v>
      </c>
      <c r="E289">
        <v>1</v>
      </c>
      <c r="F289">
        <v>1</v>
      </c>
      <c r="G289">
        <v>1</v>
      </c>
      <c r="H289">
        <v>1</v>
      </c>
      <c r="I289">
        <v>1</v>
      </c>
      <c r="J289">
        <v>1</v>
      </c>
      <c r="K289">
        <v>1</v>
      </c>
      <c r="L289">
        <v>1</v>
      </c>
      <c r="M289">
        <v>1</v>
      </c>
      <c r="N289">
        <v>1</v>
      </c>
      <c r="O289">
        <v>1</v>
      </c>
      <c r="Q289" s="493"/>
    </row>
    <row r="290" spans="1:17">
      <c r="A290" t="str">
        <f t="shared" si="3"/>
        <v>CNTRFKGCPSZ ONPK</v>
      </c>
      <c r="B290" t="s">
        <v>245</v>
      </c>
      <c r="C290" t="s">
        <v>167</v>
      </c>
      <c r="D290">
        <v>1</v>
      </c>
      <c r="E290">
        <v>1</v>
      </c>
      <c r="F290">
        <v>1</v>
      </c>
      <c r="G290">
        <v>1</v>
      </c>
      <c r="H290">
        <v>1</v>
      </c>
      <c r="I290">
        <v>1</v>
      </c>
      <c r="J290">
        <v>1</v>
      </c>
      <c r="K290">
        <v>1</v>
      </c>
      <c r="L290">
        <v>1</v>
      </c>
      <c r="M290">
        <v>1</v>
      </c>
      <c r="N290">
        <v>1</v>
      </c>
      <c r="O290">
        <v>1</v>
      </c>
      <c r="Q290" s="493"/>
    </row>
    <row r="291" spans="1:17">
      <c r="A291" t="str">
        <f t="shared" si="3"/>
        <v>CNTRFKGCPSZ OFFPK</v>
      </c>
      <c r="B291" t="s">
        <v>245</v>
      </c>
      <c r="C291" t="s">
        <v>168</v>
      </c>
      <c r="D291">
        <v>1</v>
      </c>
      <c r="E291">
        <v>1</v>
      </c>
      <c r="F291">
        <v>1</v>
      </c>
      <c r="G291">
        <v>1</v>
      </c>
      <c r="H291">
        <v>1</v>
      </c>
      <c r="I291">
        <v>1</v>
      </c>
      <c r="J291">
        <v>1</v>
      </c>
      <c r="K291">
        <v>1</v>
      </c>
      <c r="L291">
        <v>1</v>
      </c>
      <c r="M291">
        <v>1</v>
      </c>
      <c r="N291">
        <v>1</v>
      </c>
      <c r="O291">
        <v>1</v>
      </c>
      <c r="Q291" s="493"/>
    </row>
    <row r="292" spans="1:17">
      <c r="A292" t="str">
        <f t="shared" si="3"/>
        <v>CNTRFKCPSZ</v>
      </c>
      <c r="B292" t="s">
        <v>245</v>
      </c>
      <c r="C292" t="s">
        <v>169</v>
      </c>
      <c r="D292">
        <v>1</v>
      </c>
      <c r="E292">
        <v>1</v>
      </c>
      <c r="F292">
        <v>1</v>
      </c>
      <c r="G292">
        <v>1</v>
      </c>
      <c r="H292">
        <v>1</v>
      </c>
      <c r="I292">
        <v>1</v>
      </c>
      <c r="J292">
        <v>1</v>
      </c>
      <c r="K292">
        <v>1</v>
      </c>
      <c r="L292">
        <v>1</v>
      </c>
      <c r="M292">
        <v>1</v>
      </c>
      <c r="N292">
        <v>1</v>
      </c>
      <c r="O292">
        <v>1</v>
      </c>
      <c r="Q292" s="493"/>
    </row>
    <row r="293" spans="1:17">
      <c r="A293" t="str">
        <f t="shared" si="3"/>
        <v/>
      </c>
      <c r="Q293" s="493"/>
    </row>
    <row r="294" spans="1:17" ht="14.4">
      <c r="A294" t="str">
        <f t="shared" si="3"/>
        <v>NOTE:     Sales line does not match sales in the Rate and Revenue Report due to billing lag.</v>
      </c>
      <c r="B294" s="301" t="s">
        <v>608</v>
      </c>
      <c r="Q294" s="493"/>
    </row>
    <row r="295" spans="1:17">
      <c r="A295" t="str">
        <f t="shared" si="3"/>
        <v xml:space="preserve">                 In addition, the City of Blountstown, FKEC, City of Wauchula and Lee County are classified as Rate Code 940. The sales for the contracts are reported combined in the Rate &amp; Revenue Report.</v>
      </c>
      <c r="B295" s="302" t="s">
        <v>609</v>
      </c>
      <c r="Q295" s="493"/>
    </row>
    <row r="296" spans="1:17">
      <c r="A296" t="str">
        <f t="shared" si="3"/>
        <v/>
      </c>
      <c r="Q296" s="493"/>
    </row>
    <row r="297" spans="1:17">
      <c r="A297" t="str">
        <f t="shared" si="3"/>
        <v xml:space="preserve">GS12 GS(T)-1 General Service Non Demand including TOU (0-20 kW)  (Sampled) </v>
      </c>
      <c r="B297" t="s">
        <v>630</v>
      </c>
      <c r="C297" t="s">
        <v>631</v>
      </c>
      <c r="Q297" s="493"/>
    </row>
    <row r="298" spans="1:17">
      <c r="A298" t="str">
        <f t="shared" si="3"/>
        <v xml:space="preserve">GS12MONTH </v>
      </c>
      <c r="B298" t="s">
        <v>632</v>
      </c>
      <c r="C298" t="s">
        <v>123</v>
      </c>
      <c r="D298" s="4">
        <v>41640</v>
      </c>
      <c r="E298" s="4">
        <v>41671</v>
      </c>
      <c r="F298" s="4">
        <v>41699</v>
      </c>
      <c r="G298" s="4">
        <v>41730</v>
      </c>
      <c r="H298" s="4">
        <v>41760</v>
      </c>
      <c r="I298" s="4">
        <v>41791</v>
      </c>
      <c r="J298" s="4">
        <v>41821</v>
      </c>
      <c r="K298" s="4">
        <v>41852</v>
      </c>
      <c r="L298" s="4">
        <v>41883</v>
      </c>
      <c r="M298" s="4">
        <v>41913</v>
      </c>
      <c r="N298" s="4">
        <v>41944</v>
      </c>
      <c r="O298" s="4">
        <v>41974</v>
      </c>
      <c r="P298" s="4"/>
      <c r="Q298" s="493"/>
    </row>
    <row r="299" spans="1:17">
      <c r="A299" t="str">
        <f t="shared" si="3"/>
        <v xml:space="preserve">GS12CUSTOMERS </v>
      </c>
      <c r="B299" t="s">
        <v>632</v>
      </c>
      <c r="C299" t="s">
        <v>124</v>
      </c>
      <c r="D299">
        <v>418701</v>
      </c>
      <c r="E299">
        <v>419169</v>
      </c>
      <c r="F299">
        <v>418708</v>
      </c>
      <c r="G299">
        <v>420049</v>
      </c>
      <c r="H299">
        <v>420656</v>
      </c>
      <c r="I299">
        <v>420732</v>
      </c>
      <c r="J299">
        <v>410407</v>
      </c>
      <c r="K299">
        <v>410443</v>
      </c>
      <c r="L299">
        <v>411492</v>
      </c>
      <c r="M299">
        <v>412090</v>
      </c>
      <c r="N299">
        <v>412857</v>
      </c>
      <c r="O299">
        <v>413270</v>
      </c>
      <c r="Q299" s="493"/>
    </row>
    <row r="300" spans="1:17">
      <c r="A300" t="str">
        <f t="shared" si="3"/>
        <v xml:space="preserve">GS12SALES </v>
      </c>
      <c r="B300" t="s">
        <v>632</v>
      </c>
      <c r="C300" t="s">
        <v>125</v>
      </c>
      <c r="D300">
        <v>461380132</v>
      </c>
      <c r="E300">
        <v>426918154</v>
      </c>
      <c r="F300">
        <v>429132026</v>
      </c>
      <c r="G300">
        <v>452779463</v>
      </c>
      <c r="H300">
        <v>518885327</v>
      </c>
      <c r="I300">
        <v>532379575</v>
      </c>
      <c r="J300">
        <v>512601461</v>
      </c>
      <c r="K300">
        <v>575389721</v>
      </c>
      <c r="L300">
        <v>577047383</v>
      </c>
      <c r="M300">
        <v>514570202</v>
      </c>
      <c r="N300">
        <v>462022193</v>
      </c>
      <c r="O300">
        <v>428584046</v>
      </c>
      <c r="Q300" s="493"/>
    </row>
    <row r="301" spans="1:17">
      <c r="A301" t="str">
        <f t="shared" si="3"/>
        <v>GS12KW</v>
      </c>
      <c r="B301" t="s">
        <v>632</v>
      </c>
      <c r="C301" t="s">
        <v>126</v>
      </c>
      <c r="Q301" s="493"/>
    </row>
    <row r="302" spans="1:17">
      <c r="A302" t="str">
        <f t="shared" si="3"/>
        <v>GS12N</v>
      </c>
      <c r="B302" t="s">
        <v>632</v>
      </c>
      <c r="C302" t="s">
        <v>127</v>
      </c>
      <c r="D302">
        <v>412508</v>
      </c>
      <c r="E302">
        <v>413012</v>
      </c>
      <c r="F302">
        <v>412301</v>
      </c>
      <c r="G302">
        <v>413473</v>
      </c>
      <c r="H302">
        <v>414258</v>
      </c>
      <c r="I302">
        <v>414551</v>
      </c>
      <c r="J302">
        <v>414564</v>
      </c>
      <c r="K302">
        <v>410444</v>
      </c>
      <c r="L302">
        <v>411492</v>
      </c>
      <c r="M302">
        <v>412090</v>
      </c>
      <c r="N302">
        <v>412856</v>
      </c>
      <c r="O302">
        <v>413271</v>
      </c>
      <c r="Q302" s="493"/>
    </row>
    <row r="303" spans="1:17">
      <c r="A303" t="str">
        <f t="shared" ref="A303:A366" si="4">B303&amp;C303</f>
        <v>GS12RLR ENERGY:</v>
      </c>
      <c r="B303" t="s">
        <v>632</v>
      </c>
      <c r="C303" t="s">
        <v>61</v>
      </c>
      <c r="Q303" s="493"/>
    </row>
    <row r="304" spans="1:17">
      <c r="A304" t="str">
        <f t="shared" si="4"/>
        <v>GS12KWH</v>
      </c>
      <c r="B304" t="s">
        <v>632</v>
      </c>
      <c r="C304" t="s">
        <v>128</v>
      </c>
      <c r="D304">
        <v>560170537</v>
      </c>
      <c r="E304">
        <v>522254320</v>
      </c>
      <c r="F304">
        <v>524996218</v>
      </c>
      <c r="G304">
        <v>554272429</v>
      </c>
      <c r="H304">
        <v>634324590</v>
      </c>
      <c r="I304">
        <v>654238466</v>
      </c>
      <c r="J304">
        <v>680895353</v>
      </c>
      <c r="K304">
        <v>575471479</v>
      </c>
      <c r="L304">
        <v>577054559</v>
      </c>
      <c r="M304">
        <v>514571404</v>
      </c>
      <c r="N304">
        <v>462042952</v>
      </c>
      <c r="O304">
        <v>428706486</v>
      </c>
      <c r="Q304" s="493"/>
    </row>
    <row r="305" spans="1:17">
      <c r="A305" t="str">
        <f t="shared" si="4"/>
        <v>GS12KWH ONPK</v>
      </c>
      <c r="B305" t="s">
        <v>632</v>
      </c>
      <c r="C305" t="s">
        <v>129</v>
      </c>
      <c r="D305">
        <v>134045250</v>
      </c>
      <c r="E305">
        <v>123772247</v>
      </c>
      <c r="F305">
        <v>118975754</v>
      </c>
      <c r="G305">
        <v>201752240</v>
      </c>
      <c r="H305">
        <v>218780512</v>
      </c>
      <c r="I305">
        <v>229820837</v>
      </c>
      <c r="J305">
        <v>238967602</v>
      </c>
      <c r="K305">
        <v>194830668</v>
      </c>
      <c r="L305">
        <v>202116865</v>
      </c>
      <c r="M305">
        <v>191143009</v>
      </c>
      <c r="N305">
        <v>99321127</v>
      </c>
      <c r="O305">
        <v>102512249</v>
      </c>
      <c r="Q305" s="493"/>
    </row>
    <row r="306" spans="1:17">
      <c r="A306" t="str">
        <f t="shared" si="4"/>
        <v>GS12KWH OFFPK</v>
      </c>
      <c r="B306" t="s">
        <v>632</v>
      </c>
      <c r="C306" t="s">
        <v>130</v>
      </c>
      <c r="D306">
        <v>426125287</v>
      </c>
      <c r="E306">
        <v>398482073</v>
      </c>
      <c r="F306">
        <v>406020464</v>
      </c>
      <c r="G306">
        <v>352520189</v>
      </c>
      <c r="H306">
        <v>415544078</v>
      </c>
      <c r="I306">
        <v>424417628</v>
      </c>
      <c r="J306">
        <v>441927751</v>
      </c>
      <c r="K306">
        <v>380640812</v>
      </c>
      <c r="L306">
        <v>374937694</v>
      </c>
      <c r="M306">
        <v>323428395</v>
      </c>
      <c r="N306">
        <v>362721825</v>
      </c>
      <c r="O306">
        <v>326194237</v>
      </c>
      <c r="Q306" s="493"/>
    </row>
    <row r="307" spans="1:17">
      <c r="A307" t="str">
        <f t="shared" si="4"/>
        <v>GS12KWH ONPK%</v>
      </c>
      <c r="B307" t="s">
        <v>632</v>
      </c>
      <c r="C307" t="s">
        <v>131</v>
      </c>
      <c r="D307" s="5">
        <v>0.23929</v>
      </c>
      <c r="E307" s="5">
        <v>0.23699999999999999</v>
      </c>
      <c r="F307" s="5">
        <v>0.22661999999999999</v>
      </c>
      <c r="G307" s="5">
        <v>0.36398999999999998</v>
      </c>
      <c r="H307" s="5">
        <v>0.34489999999999998</v>
      </c>
      <c r="I307" s="5">
        <v>0.35127999999999998</v>
      </c>
      <c r="J307" s="5">
        <v>0.35095999999999999</v>
      </c>
      <c r="K307" s="5">
        <v>0.33856000000000003</v>
      </c>
      <c r="L307" s="5">
        <v>0.35026000000000002</v>
      </c>
      <c r="M307" s="5">
        <v>0.37146000000000001</v>
      </c>
      <c r="N307" s="5">
        <v>0.21496000000000001</v>
      </c>
      <c r="O307" s="5">
        <v>0.23912</v>
      </c>
      <c r="P307" s="5"/>
      <c r="Q307" s="493"/>
    </row>
    <row r="308" spans="1:17">
      <c r="A308" t="str">
        <f t="shared" si="4"/>
        <v>GS12KWH OFFPK%</v>
      </c>
      <c r="B308" t="s">
        <v>632</v>
      </c>
      <c r="C308" t="s">
        <v>132</v>
      </c>
      <c r="D308" s="5">
        <v>0.76071</v>
      </c>
      <c r="E308" s="5">
        <v>0.76300000000000001</v>
      </c>
      <c r="F308" s="5">
        <v>0.77337999999999996</v>
      </c>
      <c r="G308" s="5">
        <v>0.63600999999999996</v>
      </c>
      <c r="H308" s="5">
        <v>0.65510000000000002</v>
      </c>
      <c r="I308" s="5">
        <v>0.64871999999999996</v>
      </c>
      <c r="J308" s="5">
        <v>0.64903999999999995</v>
      </c>
      <c r="K308" s="5">
        <v>0.66144000000000003</v>
      </c>
      <c r="L308" s="5">
        <v>0.64973999999999998</v>
      </c>
      <c r="M308" s="5">
        <v>0.62853999999999999</v>
      </c>
      <c r="N308" s="5">
        <v>0.78503999999999996</v>
      </c>
      <c r="O308" s="5">
        <v>0.76088</v>
      </c>
      <c r="P308" s="5"/>
      <c r="Q308" s="493"/>
    </row>
    <row r="309" spans="1:17">
      <c r="A309" t="str">
        <f t="shared" si="4"/>
        <v>GS12DEMAND (KW):</v>
      </c>
      <c r="B309" t="s">
        <v>632</v>
      </c>
      <c r="C309" t="s">
        <v>62</v>
      </c>
      <c r="Q309" s="493"/>
    </row>
    <row r="310" spans="1:17">
      <c r="A310" t="str">
        <f t="shared" si="4"/>
        <v>GS12NCP</v>
      </c>
      <c r="B310" t="s">
        <v>632</v>
      </c>
      <c r="C310" t="s">
        <v>133</v>
      </c>
      <c r="D310">
        <v>2544592</v>
      </c>
      <c r="E310">
        <v>2358162</v>
      </c>
      <c r="F310">
        <v>2153780</v>
      </c>
      <c r="G310">
        <v>2253607</v>
      </c>
      <c r="H310">
        <v>2375819</v>
      </c>
      <c r="I310">
        <v>2591468</v>
      </c>
      <c r="J310">
        <v>2452926</v>
      </c>
      <c r="K310">
        <v>2081883</v>
      </c>
      <c r="L310">
        <v>2202357</v>
      </c>
      <c r="M310">
        <v>1999212</v>
      </c>
      <c r="N310">
        <v>2120300</v>
      </c>
      <c r="O310">
        <v>1905819</v>
      </c>
      <c r="Q310" s="493"/>
    </row>
    <row r="311" spans="1:17">
      <c r="A311" t="str">
        <f t="shared" si="4"/>
        <v>GS12NCP ONPK</v>
      </c>
      <c r="B311" t="s">
        <v>632</v>
      </c>
      <c r="C311" t="s">
        <v>134</v>
      </c>
      <c r="D311">
        <v>2162075</v>
      </c>
      <c r="E311">
        <v>1992059</v>
      </c>
      <c r="F311">
        <v>1851713</v>
      </c>
      <c r="G311">
        <v>2125517</v>
      </c>
      <c r="H311">
        <v>2278361</v>
      </c>
      <c r="I311">
        <v>2450736</v>
      </c>
      <c r="J311">
        <v>2343515</v>
      </c>
      <c r="K311">
        <v>1986834</v>
      </c>
      <c r="L311">
        <v>2077347</v>
      </c>
      <c r="M311">
        <v>1897320</v>
      </c>
      <c r="N311">
        <v>1803435</v>
      </c>
      <c r="O311">
        <v>1653334</v>
      </c>
      <c r="Q311" s="493"/>
    </row>
    <row r="312" spans="1:17">
      <c r="A312" t="str">
        <f t="shared" si="4"/>
        <v>GS12NCP OFFPK</v>
      </c>
      <c r="B312" t="s">
        <v>632</v>
      </c>
      <c r="C312" t="s">
        <v>135</v>
      </c>
      <c r="D312">
        <v>2472837</v>
      </c>
      <c r="E312">
        <v>2313434</v>
      </c>
      <c r="F312">
        <v>2114102</v>
      </c>
      <c r="G312">
        <v>2124986</v>
      </c>
      <c r="H312">
        <v>2242039</v>
      </c>
      <c r="I312">
        <v>2467597</v>
      </c>
      <c r="J312">
        <v>2327855</v>
      </c>
      <c r="K312">
        <v>1970248</v>
      </c>
      <c r="L312">
        <v>2103789</v>
      </c>
      <c r="M312">
        <v>1889090</v>
      </c>
      <c r="N312">
        <v>2084268</v>
      </c>
      <c r="O312">
        <v>1849718</v>
      </c>
      <c r="Q312" s="493"/>
    </row>
    <row r="313" spans="1:17">
      <c r="A313" t="str">
        <f t="shared" si="4"/>
        <v>GS12GCP DATE</v>
      </c>
      <c r="B313" t="s">
        <v>632</v>
      </c>
      <c r="C313" t="s">
        <v>136</v>
      </c>
      <c r="D313" t="s">
        <v>633</v>
      </c>
      <c r="E313" t="s">
        <v>634</v>
      </c>
      <c r="F313" t="s">
        <v>286</v>
      </c>
      <c r="G313" t="s">
        <v>264</v>
      </c>
      <c r="H313" t="s">
        <v>635</v>
      </c>
      <c r="I313" t="s">
        <v>294</v>
      </c>
      <c r="J313" t="s">
        <v>253</v>
      </c>
      <c r="K313" t="s">
        <v>636</v>
      </c>
      <c r="L313" t="s">
        <v>281</v>
      </c>
      <c r="M313" t="s">
        <v>607</v>
      </c>
      <c r="N313" t="s">
        <v>629</v>
      </c>
      <c r="O313" t="s">
        <v>313</v>
      </c>
      <c r="Q313" s="493"/>
    </row>
    <row r="314" spans="1:17">
      <c r="A314" t="str">
        <f t="shared" si="4"/>
        <v>GS12GCP TIME</v>
      </c>
      <c r="B314" t="s">
        <v>632</v>
      </c>
      <c r="C314" t="s">
        <v>142</v>
      </c>
      <c r="D314" t="s">
        <v>144</v>
      </c>
      <c r="E314" t="s">
        <v>145</v>
      </c>
      <c r="F314" t="s">
        <v>144</v>
      </c>
      <c r="G314" t="s">
        <v>145</v>
      </c>
      <c r="H314" t="s">
        <v>145</v>
      </c>
      <c r="I314" t="s">
        <v>144</v>
      </c>
      <c r="J314" t="s">
        <v>145</v>
      </c>
      <c r="K314" t="s">
        <v>145</v>
      </c>
      <c r="L314" t="s">
        <v>144</v>
      </c>
      <c r="M314" t="s">
        <v>145</v>
      </c>
      <c r="N314" t="s">
        <v>143</v>
      </c>
      <c r="O314" t="s">
        <v>144</v>
      </c>
      <c r="Q314" s="493"/>
    </row>
    <row r="315" spans="1:17">
      <c r="A315" t="str">
        <f t="shared" si="4"/>
        <v>GS12GCP</v>
      </c>
      <c r="B315" t="s">
        <v>632</v>
      </c>
      <c r="C315" t="s">
        <v>147</v>
      </c>
      <c r="D315">
        <v>1231551</v>
      </c>
      <c r="E315">
        <v>1313378</v>
      </c>
      <c r="F315">
        <v>1182539</v>
      </c>
      <c r="G315">
        <v>1384291</v>
      </c>
      <c r="H315">
        <v>1434550</v>
      </c>
      <c r="I315">
        <v>1605649</v>
      </c>
      <c r="J315">
        <v>1543768</v>
      </c>
      <c r="K315">
        <v>1293480</v>
      </c>
      <c r="L315">
        <v>1398431</v>
      </c>
      <c r="M315">
        <v>1241796</v>
      </c>
      <c r="N315">
        <v>1211747</v>
      </c>
      <c r="O315">
        <v>954068</v>
      </c>
      <c r="Q315" s="493"/>
    </row>
    <row r="316" spans="1:17">
      <c r="A316" t="str">
        <f t="shared" si="4"/>
        <v>GS12GCP ONPK</v>
      </c>
      <c r="B316" t="s">
        <v>632</v>
      </c>
      <c r="C316" t="s">
        <v>63</v>
      </c>
      <c r="D316">
        <v>1015931</v>
      </c>
      <c r="E316">
        <v>1073481</v>
      </c>
      <c r="F316">
        <v>985755</v>
      </c>
      <c r="G316">
        <v>1384291</v>
      </c>
      <c r="H316">
        <v>1434550</v>
      </c>
      <c r="I316">
        <v>1605649</v>
      </c>
      <c r="J316">
        <v>1543768</v>
      </c>
      <c r="K316">
        <v>1293480</v>
      </c>
      <c r="L316">
        <v>1398431</v>
      </c>
      <c r="M316">
        <v>1241796</v>
      </c>
      <c r="N316">
        <v>1070613</v>
      </c>
      <c r="O316">
        <v>820253</v>
      </c>
      <c r="Q316" s="493"/>
    </row>
    <row r="317" spans="1:17">
      <c r="A317" t="str">
        <f t="shared" si="4"/>
        <v>GS12GCP OFFPK</v>
      </c>
      <c r="B317" t="s">
        <v>632</v>
      </c>
      <c r="C317" t="s">
        <v>64</v>
      </c>
      <c r="D317">
        <v>1231551</v>
      </c>
      <c r="E317">
        <v>1313378</v>
      </c>
      <c r="F317">
        <v>1182539</v>
      </c>
      <c r="G317">
        <v>1305352</v>
      </c>
      <c r="H317">
        <v>1413630</v>
      </c>
      <c r="I317">
        <v>1527690</v>
      </c>
      <c r="J317">
        <v>1487384</v>
      </c>
      <c r="K317">
        <v>1234972</v>
      </c>
      <c r="L317">
        <v>1334862</v>
      </c>
      <c r="M317">
        <v>1185068</v>
      </c>
      <c r="N317">
        <v>1211747</v>
      </c>
      <c r="O317">
        <v>954068</v>
      </c>
      <c r="Q317" s="493"/>
    </row>
    <row r="318" spans="1:17">
      <c r="A318" t="str">
        <f t="shared" si="4"/>
        <v>GS12CP</v>
      </c>
      <c r="B318" t="s">
        <v>632</v>
      </c>
      <c r="C318" t="s">
        <v>148</v>
      </c>
      <c r="D318">
        <v>640150</v>
      </c>
      <c r="E318">
        <v>1270152</v>
      </c>
      <c r="F318">
        <v>663577</v>
      </c>
      <c r="G318">
        <v>1273390</v>
      </c>
      <c r="H318">
        <v>1274265</v>
      </c>
      <c r="I318">
        <v>1595520</v>
      </c>
      <c r="J318">
        <v>1462737</v>
      </c>
      <c r="K318">
        <v>1210875</v>
      </c>
      <c r="L318">
        <v>1286582</v>
      </c>
      <c r="M318">
        <v>1154527</v>
      </c>
      <c r="N318">
        <v>1201871</v>
      </c>
      <c r="O318">
        <v>688842</v>
      </c>
      <c r="Q318" s="493"/>
    </row>
    <row r="319" spans="1:17">
      <c r="A319" t="str">
        <f t="shared" si="4"/>
        <v>GS12PERIOD START</v>
      </c>
      <c r="B319" t="s">
        <v>632</v>
      </c>
      <c r="C319" t="s">
        <v>149</v>
      </c>
      <c r="D319" s="1">
        <v>41640</v>
      </c>
      <c r="E319" s="1">
        <v>41671</v>
      </c>
      <c r="F319" s="1">
        <v>41699</v>
      </c>
      <c r="G319" s="1">
        <v>41730</v>
      </c>
      <c r="H319" s="1">
        <v>41760</v>
      </c>
      <c r="I319" s="1">
        <v>41791</v>
      </c>
      <c r="J319" s="1">
        <v>41821</v>
      </c>
      <c r="K319" s="1">
        <v>41852</v>
      </c>
      <c r="L319" s="1">
        <v>41883</v>
      </c>
      <c r="M319" s="1">
        <v>41913</v>
      </c>
      <c r="N319" s="1">
        <v>41944</v>
      </c>
      <c r="O319" s="1">
        <v>41974</v>
      </c>
      <c r="P319" s="1"/>
      <c r="Q319" s="493"/>
    </row>
    <row r="320" spans="1:17">
      <c r="A320" t="str">
        <f t="shared" si="4"/>
        <v>GS12NCP LF</v>
      </c>
      <c r="B320" t="s">
        <v>632</v>
      </c>
      <c r="C320" t="s">
        <v>150</v>
      </c>
      <c r="D320" s="5">
        <v>0.2959</v>
      </c>
      <c r="E320" s="5">
        <v>0.3296</v>
      </c>
      <c r="F320" s="5">
        <v>0.3276</v>
      </c>
      <c r="G320" s="5">
        <v>0.34160000000000001</v>
      </c>
      <c r="H320" s="5">
        <v>0.3589</v>
      </c>
      <c r="I320" s="5">
        <v>0.35060000000000002</v>
      </c>
      <c r="J320" s="5">
        <v>0.37309999999999999</v>
      </c>
      <c r="K320" s="5">
        <v>0.3715</v>
      </c>
      <c r="L320" s="5">
        <v>0.3639</v>
      </c>
      <c r="M320" s="5">
        <v>0.34599999999999997</v>
      </c>
      <c r="N320" s="5">
        <v>0.30270000000000002</v>
      </c>
      <c r="O320" s="5">
        <v>0.30230000000000001</v>
      </c>
      <c r="P320" s="5"/>
      <c r="Q320" s="493"/>
    </row>
    <row r="321" spans="1:17">
      <c r="A321" t="str">
        <f t="shared" si="4"/>
        <v>GS12NCP LF ONPK</v>
      </c>
      <c r="B321" t="s">
        <v>632</v>
      </c>
      <c r="C321" t="s">
        <v>151</v>
      </c>
      <c r="D321" s="5">
        <v>0.3523</v>
      </c>
      <c r="E321" s="5">
        <v>0.38829999999999998</v>
      </c>
      <c r="F321" s="5">
        <v>0.38250000000000001</v>
      </c>
      <c r="G321" s="5">
        <v>0.47939999999999999</v>
      </c>
      <c r="H321" s="5">
        <v>0.5081</v>
      </c>
      <c r="I321" s="5">
        <v>0.49619999999999997</v>
      </c>
      <c r="J321" s="5">
        <v>0.51500000000000001</v>
      </c>
      <c r="K321" s="5">
        <v>0.51880000000000004</v>
      </c>
      <c r="L321" s="5">
        <v>0.51480000000000004</v>
      </c>
      <c r="M321" s="5">
        <v>0.48670000000000002</v>
      </c>
      <c r="N321" s="5">
        <v>0.36230000000000001</v>
      </c>
      <c r="O321" s="5">
        <v>0.3523</v>
      </c>
      <c r="P321" s="5"/>
      <c r="Q321" s="493"/>
    </row>
    <row r="322" spans="1:17">
      <c r="A322" t="str">
        <f t="shared" si="4"/>
        <v>GS12NCP LF OFFPK</v>
      </c>
      <c r="B322" t="s">
        <v>632</v>
      </c>
      <c r="C322" t="s">
        <v>152</v>
      </c>
      <c r="D322" s="5">
        <v>0.3034</v>
      </c>
      <c r="E322" s="5">
        <v>0.33639999999999998</v>
      </c>
      <c r="F322" s="5">
        <v>0.33339999999999997</v>
      </c>
      <c r="G322" s="5">
        <v>0.31780000000000003</v>
      </c>
      <c r="H322" s="5">
        <v>0.33389999999999997</v>
      </c>
      <c r="I322" s="5">
        <v>0.32390000000000002</v>
      </c>
      <c r="J322" s="5">
        <v>0.34770000000000001</v>
      </c>
      <c r="K322" s="5">
        <v>0.34810000000000002</v>
      </c>
      <c r="L322" s="5">
        <v>0.33560000000000001</v>
      </c>
      <c r="M322" s="5">
        <v>0.31879999999999997</v>
      </c>
      <c r="N322" s="5">
        <v>0.30640000000000001</v>
      </c>
      <c r="O322" s="5">
        <v>0.3105</v>
      </c>
      <c r="P322" s="5"/>
      <c r="Q322" s="493"/>
    </row>
    <row r="323" spans="1:17">
      <c r="A323" t="str">
        <f t="shared" si="4"/>
        <v>GS12GCP CF</v>
      </c>
      <c r="B323" t="s">
        <v>632</v>
      </c>
      <c r="C323" t="s">
        <v>153</v>
      </c>
      <c r="D323" s="5">
        <v>0.48399999999999999</v>
      </c>
      <c r="E323" s="5">
        <v>0.55689999999999995</v>
      </c>
      <c r="F323" s="5">
        <v>0.54910000000000003</v>
      </c>
      <c r="G323" s="5">
        <v>0.61429999999999996</v>
      </c>
      <c r="H323" s="5">
        <v>0.6038</v>
      </c>
      <c r="I323" s="5">
        <v>0.61960000000000004</v>
      </c>
      <c r="J323" s="5">
        <v>0.62939999999999996</v>
      </c>
      <c r="K323" s="5">
        <v>0.62129999999999996</v>
      </c>
      <c r="L323" s="5">
        <v>0.63500000000000001</v>
      </c>
      <c r="M323" s="5">
        <v>0.62109999999999999</v>
      </c>
      <c r="N323" s="5">
        <v>0.57150000000000001</v>
      </c>
      <c r="O323" s="5">
        <v>0.50060000000000004</v>
      </c>
      <c r="P323" s="5"/>
      <c r="Q323" s="493"/>
    </row>
    <row r="324" spans="1:17">
      <c r="A324" t="str">
        <f t="shared" si="4"/>
        <v>GS12CP CF</v>
      </c>
      <c r="B324" t="s">
        <v>632</v>
      </c>
      <c r="C324" t="s">
        <v>154</v>
      </c>
      <c r="D324" s="5">
        <v>0.25159999999999999</v>
      </c>
      <c r="E324" s="5">
        <v>0.53859999999999997</v>
      </c>
      <c r="F324" s="5">
        <v>0.30809999999999998</v>
      </c>
      <c r="G324" s="5">
        <v>0.56499999999999995</v>
      </c>
      <c r="H324" s="5">
        <v>0.5363</v>
      </c>
      <c r="I324" s="5">
        <v>0.61570000000000003</v>
      </c>
      <c r="J324" s="5">
        <v>0.59630000000000005</v>
      </c>
      <c r="K324" s="5">
        <v>0.58160000000000001</v>
      </c>
      <c r="L324" s="5">
        <v>0.58420000000000005</v>
      </c>
      <c r="M324" s="5">
        <v>0.57750000000000001</v>
      </c>
      <c r="N324" s="5">
        <v>0.56679999999999997</v>
      </c>
      <c r="O324" s="5">
        <v>0.3614</v>
      </c>
      <c r="P324" s="5"/>
      <c r="Q324" s="493"/>
    </row>
    <row r="325" spans="1:17">
      <c r="A325" t="str">
        <f t="shared" si="4"/>
        <v>GS12GCP LF</v>
      </c>
      <c r="B325" t="s">
        <v>632</v>
      </c>
      <c r="C325" t="s">
        <v>155</v>
      </c>
      <c r="D325" s="5">
        <v>0.61140000000000005</v>
      </c>
      <c r="E325" s="5">
        <v>0.5917</v>
      </c>
      <c r="F325" s="5">
        <v>0.59670000000000001</v>
      </c>
      <c r="G325" s="5">
        <v>0.55610000000000004</v>
      </c>
      <c r="H325" s="5">
        <v>0.59430000000000005</v>
      </c>
      <c r="I325" s="5">
        <v>0.56589999999999996</v>
      </c>
      <c r="J325" s="5">
        <v>0.59279999999999999</v>
      </c>
      <c r="K325" s="5">
        <v>0.59799999999999998</v>
      </c>
      <c r="L325" s="5">
        <v>0.57310000000000005</v>
      </c>
      <c r="M325" s="5">
        <v>0.55700000000000005</v>
      </c>
      <c r="N325" s="5">
        <v>0.52959999999999996</v>
      </c>
      <c r="O325" s="5">
        <v>0.60399999999999998</v>
      </c>
      <c r="P325" s="5"/>
      <c r="Q325" s="493"/>
    </row>
    <row r="326" spans="1:17">
      <c r="A326" t="str">
        <f t="shared" si="4"/>
        <v>GS12GCP LF ONPK</v>
      </c>
      <c r="B326" t="s">
        <v>632</v>
      </c>
      <c r="C326" t="s">
        <v>156</v>
      </c>
      <c r="D326" s="5">
        <v>0.74970000000000003</v>
      </c>
      <c r="E326" s="5">
        <v>0.72060000000000002</v>
      </c>
      <c r="F326" s="5">
        <v>0.71840000000000004</v>
      </c>
      <c r="G326" s="5">
        <v>0.73609999999999998</v>
      </c>
      <c r="H326" s="5">
        <v>0.80689999999999995</v>
      </c>
      <c r="I326" s="5">
        <v>0.75729999999999997</v>
      </c>
      <c r="J326" s="5">
        <v>0.78180000000000005</v>
      </c>
      <c r="K326" s="5">
        <v>0.79700000000000004</v>
      </c>
      <c r="L326" s="5">
        <v>0.76470000000000005</v>
      </c>
      <c r="M326" s="5">
        <v>0.74360000000000004</v>
      </c>
      <c r="N326" s="5">
        <v>0.61029999999999995</v>
      </c>
      <c r="O326" s="5">
        <v>0.71009999999999995</v>
      </c>
      <c r="P326" s="5"/>
      <c r="Q326" s="493"/>
    </row>
    <row r="327" spans="1:17">
      <c r="A327" t="str">
        <f t="shared" si="4"/>
        <v>GS12GCP LF OFFPK</v>
      </c>
      <c r="B327" t="s">
        <v>632</v>
      </c>
      <c r="C327" t="s">
        <v>157</v>
      </c>
      <c r="D327" s="5">
        <v>0.60919999999999996</v>
      </c>
      <c r="E327" s="5">
        <v>0.59260000000000002</v>
      </c>
      <c r="F327" s="5">
        <v>0.59609999999999996</v>
      </c>
      <c r="G327" s="5">
        <v>0.51739999999999997</v>
      </c>
      <c r="H327" s="5">
        <v>0.52959999999999996</v>
      </c>
      <c r="I327" s="5">
        <v>0.5232</v>
      </c>
      <c r="J327" s="5">
        <v>0.54420000000000002</v>
      </c>
      <c r="K327" s="5">
        <v>0.55530000000000002</v>
      </c>
      <c r="L327" s="5">
        <v>0.52900000000000003</v>
      </c>
      <c r="M327" s="5">
        <v>0.50819999999999999</v>
      </c>
      <c r="N327" s="5">
        <v>0.52700000000000002</v>
      </c>
      <c r="O327" s="5">
        <v>0.60189999999999999</v>
      </c>
      <c r="P327" s="5"/>
      <c r="Q327" s="493"/>
    </row>
    <row r="328" spans="1:17">
      <c r="A328" t="str">
        <f t="shared" si="4"/>
        <v>GS12CP LF</v>
      </c>
      <c r="B328" t="s">
        <v>632</v>
      </c>
      <c r="C328" t="s">
        <v>158</v>
      </c>
      <c r="D328" s="5">
        <v>1.1761999999999999</v>
      </c>
      <c r="E328" s="5">
        <v>0.6119</v>
      </c>
      <c r="F328" s="5">
        <v>1.0633999999999999</v>
      </c>
      <c r="G328" s="5">
        <v>0.60450000000000004</v>
      </c>
      <c r="H328" s="5">
        <v>0.66910000000000003</v>
      </c>
      <c r="I328" s="5">
        <v>0.56950000000000001</v>
      </c>
      <c r="J328" s="5">
        <v>0.62570000000000003</v>
      </c>
      <c r="K328" s="5">
        <v>0.63880000000000003</v>
      </c>
      <c r="L328" s="5">
        <v>0.62290000000000001</v>
      </c>
      <c r="M328" s="5">
        <v>0.59909999999999997</v>
      </c>
      <c r="N328" s="5">
        <v>0.53390000000000004</v>
      </c>
      <c r="O328" s="5">
        <v>0.83650000000000002</v>
      </c>
      <c r="P328" s="5"/>
      <c r="Q328" s="493"/>
    </row>
    <row r="329" spans="1:17">
      <c r="A329" t="str">
        <f t="shared" si="4"/>
        <v>GS12REL PREC:</v>
      </c>
      <c r="B329" t="s">
        <v>632</v>
      </c>
      <c r="C329" t="s">
        <v>65</v>
      </c>
      <c r="Q329" s="493"/>
    </row>
    <row r="330" spans="1:17">
      <c r="A330" t="str">
        <f t="shared" si="4"/>
        <v>GS12NCP RP</v>
      </c>
      <c r="B330" t="s">
        <v>632</v>
      </c>
      <c r="C330" t="s">
        <v>159</v>
      </c>
      <c r="D330" s="5">
        <v>4.2500000000000003E-2</v>
      </c>
      <c r="E330" s="5">
        <v>3.9699999999999999E-2</v>
      </c>
      <c r="F330" s="5">
        <v>4.3700000000000003E-2</v>
      </c>
      <c r="G330" s="5">
        <v>4.1099999999999998E-2</v>
      </c>
      <c r="H330" s="5">
        <v>3.7400000000000003E-2</v>
      </c>
      <c r="I330" s="5">
        <v>3.44E-2</v>
      </c>
      <c r="J330" s="5">
        <v>3.5200000000000002E-2</v>
      </c>
      <c r="K330" s="5">
        <v>4.2999999999999997E-2</v>
      </c>
      <c r="L330" s="5">
        <v>3.6499999999999998E-2</v>
      </c>
      <c r="M330" s="5">
        <v>4.7899999999999998E-2</v>
      </c>
      <c r="N330" s="5">
        <v>5.0500000000000003E-2</v>
      </c>
      <c r="O330" s="5">
        <v>5.6000000000000001E-2</v>
      </c>
      <c r="P330" s="5"/>
      <c r="Q330" s="493"/>
    </row>
    <row r="331" spans="1:17">
      <c r="A331" t="str">
        <f t="shared" si="4"/>
        <v>GS12NCP RP ONPK</v>
      </c>
      <c r="B331" t="s">
        <v>632</v>
      </c>
      <c r="C331" t="s">
        <v>160</v>
      </c>
      <c r="D331" s="5">
        <v>4.1099999999999998E-2</v>
      </c>
      <c r="E331" s="5">
        <v>3.7999999999999999E-2</v>
      </c>
      <c r="F331" s="5">
        <v>4.1300000000000003E-2</v>
      </c>
      <c r="G331" s="5">
        <v>3.9399999999999998E-2</v>
      </c>
      <c r="H331" s="5">
        <v>3.6900000000000002E-2</v>
      </c>
      <c r="I331" s="5">
        <v>3.3799999999999997E-2</v>
      </c>
      <c r="J331" s="5">
        <v>3.5099999999999999E-2</v>
      </c>
      <c r="K331" s="5">
        <v>4.2599999999999999E-2</v>
      </c>
      <c r="L331" s="5">
        <v>3.5099999999999999E-2</v>
      </c>
      <c r="M331" s="5">
        <v>4.7199999999999999E-2</v>
      </c>
      <c r="N331" s="5">
        <v>4.7600000000000003E-2</v>
      </c>
      <c r="O331" s="5">
        <v>5.4899999999999997E-2</v>
      </c>
      <c r="P331" s="5"/>
      <c r="Q331" s="493"/>
    </row>
    <row r="332" spans="1:17">
      <c r="A332" t="str">
        <f t="shared" si="4"/>
        <v>GS12NCP RP OFFPK</v>
      </c>
      <c r="B332" t="s">
        <v>632</v>
      </c>
      <c r="C332" t="s">
        <v>161</v>
      </c>
      <c r="D332" s="5">
        <v>4.2099999999999999E-2</v>
      </c>
      <c r="E332" s="5">
        <v>3.9800000000000002E-2</v>
      </c>
      <c r="F332" s="5">
        <v>4.3700000000000003E-2</v>
      </c>
      <c r="G332" s="5">
        <v>4.0500000000000001E-2</v>
      </c>
      <c r="H332" s="5">
        <v>3.5799999999999998E-2</v>
      </c>
      <c r="I332" s="5">
        <v>3.4000000000000002E-2</v>
      </c>
      <c r="J332" s="5">
        <v>3.4599999999999999E-2</v>
      </c>
      <c r="K332" s="5">
        <v>4.1300000000000003E-2</v>
      </c>
      <c r="L332" s="5">
        <v>3.6499999999999998E-2</v>
      </c>
      <c r="M332" s="5">
        <v>4.6399999999999997E-2</v>
      </c>
      <c r="N332" s="5">
        <v>4.99E-2</v>
      </c>
      <c r="O332" s="5">
        <v>5.4899999999999997E-2</v>
      </c>
      <c r="P332" s="5"/>
      <c r="Q332" s="493"/>
    </row>
    <row r="333" spans="1:17">
      <c r="A333" t="str">
        <f t="shared" si="4"/>
        <v>GS12GCP RP</v>
      </c>
      <c r="B333" t="s">
        <v>632</v>
      </c>
      <c r="C333" t="s">
        <v>162</v>
      </c>
      <c r="D333" s="5">
        <v>5.8799999999999998E-2</v>
      </c>
      <c r="E333" s="5">
        <v>5.33E-2</v>
      </c>
      <c r="F333" s="5">
        <v>5.57E-2</v>
      </c>
      <c r="G333" s="5">
        <v>5.1799999999999999E-2</v>
      </c>
      <c r="H333" s="5">
        <v>4.7100000000000003E-2</v>
      </c>
      <c r="I333" s="5">
        <v>4.3299999999999998E-2</v>
      </c>
      <c r="J333" s="5">
        <v>4.5100000000000001E-2</v>
      </c>
      <c r="K333" s="5">
        <v>5.0200000000000002E-2</v>
      </c>
      <c r="L333" s="5">
        <v>4.7300000000000002E-2</v>
      </c>
      <c r="M333" s="5">
        <v>5.6399999999999999E-2</v>
      </c>
      <c r="N333" s="5">
        <v>6.4199999999999993E-2</v>
      </c>
      <c r="O333" s="5">
        <v>7.46E-2</v>
      </c>
      <c r="P333" s="5"/>
      <c r="Q333" s="493"/>
    </row>
    <row r="334" spans="1:17">
      <c r="A334" t="str">
        <f t="shared" si="4"/>
        <v>GS12GCP RP ONPK</v>
      </c>
      <c r="B334" t="s">
        <v>632</v>
      </c>
      <c r="C334" t="s">
        <v>163</v>
      </c>
      <c r="D334" s="5">
        <v>6.2899999999999998E-2</v>
      </c>
      <c r="E334" s="5">
        <v>5.2499999999999998E-2</v>
      </c>
      <c r="F334" s="5">
        <v>6.0100000000000001E-2</v>
      </c>
      <c r="G334" s="5">
        <v>5.1799999999999999E-2</v>
      </c>
      <c r="H334" s="5">
        <v>4.7100000000000003E-2</v>
      </c>
      <c r="I334" s="5">
        <v>4.3299999999999998E-2</v>
      </c>
      <c r="J334" s="5">
        <v>4.5100000000000001E-2</v>
      </c>
      <c r="K334" s="5">
        <v>5.0200000000000002E-2</v>
      </c>
      <c r="L334" s="5">
        <v>4.7300000000000002E-2</v>
      </c>
      <c r="M334" s="5">
        <v>5.6399999999999999E-2</v>
      </c>
      <c r="N334" s="5">
        <v>6.8199999999999997E-2</v>
      </c>
      <c r="O334" s="5">
        <v>7.7399999999999997E-2</v>
      </c>
      <c r="P334" s="5"/>
      <c r="Q334" s="493"/>
    </row>
    <row r="335" spans="1:17">
      <c r="A335" t="str">
        <f t="shared" si="4"/>
        <v>GS12GCP RP OFFPK</v>
      </c>
      <c r="B335" t="s">
        <v>632</v>
      </c>
      <c r="C335" t="s">
        <v>164</v>
      </c>
      <c r="D335" s="5">
        <v>5.8799999999999998E-2</v>
      </c>
      <c r="E335" s="5">
        <v>5.33E-2</v>
      </c>
      <c r="F335" s="5">
        <v>5.57E-2</v>
      </c>
      <c r="G335" s="5">
        <v>5.1400000000000001E-2</v>
      </c>
      <c r="H335" s="5">
        <v>5.04E-2</v>
      </c>
      <c r="I335" s="5">
        <v>4.3999999999999997E-2</v>
      </c>
      <c r="J335" s="5">
        <v>4.3900000000000002E-2</v>
      </c>
      <c r="K335" s="5">
        <v>5.3699999999999998E-2</v>
      </c>
      <c r="L335" s="5">
        <v>4.9200000000000001E-2</v>
      </c>
      <c r="M335" s="5">
        <v>6.0100000000000001E-2</v>
      </c>
      <c r="N335" s="5">
        <v>6.4199999999999993E-2</v>
      </c>
      <c r="O335" s="5">
        <v>7.46E-2</v>
      </c>
      <c r="P335" s="5"/>
      <c r="Q335" s="493"/>
    </row>
    <row r="336" spans="1:17">
      <c r="A336" t="str">
        <f t="shared" si="4"/>
        <v>GS12CP RP</v>
      </c>
      <c r="B336" t="s">
        <v>632</v>
      </c>
      <c r="C336" t="s">
        <v>165</v>
      </c>
      <c r="D336" s="5">
        <v>6.4899999999999999E-2</v>
      </c>
      <c r="E336" s="5">
        <v>5.1400000000000001E-2</v>
      </c>
      <c r="F336" s="5">
        <v>6.2300000000000001E-2</v>
      </c>
      <c r="G336" s="5">
        <v>5.5800000000000002E-2</v>
      </c>
      <c r="H336" s="5">
        <v>4.5199999999999997E-2</v>
      </c>
      <c r="I336" s="5">
        <v>4.2599999999999999E-2</v>
      </c>
      <c r="J336" s="5">
        <v>4.65E-2</v>
      </c>
      <c r="K336" s="5">
        <v>4.99E-2</v>
      </c>
      <c r="L336" s="5">
        <v>4.7800000000000002E-2</v>
      </c>
      <c r="M336" s="5">
        <v>5.62E-2</v>
      </c>
      <c r="N336" s="5">
        <v>6.7100000000000007E-2</v>
      </c>
      <c r="O336" s="5">
        <v>7.9100000000000004E-2</v>
      </c>
      <c r="P336" s="5"/>
      <c r="Q336" s="493"/>
    </row>
    <row r="337" spans="1:17">
      <c r="A337" t="str">
        <f t="shared" si="4"/>
        <v>GS12SAMPLE SIZE:</v>
      </c>
      <c r="B337" t="s">
        <v>632</v>
      </c>
      <c r="C337" t="s">
        <v>66</v>
      </c>
      <c r="Q337" s="493"/>
    </row>
    <row r="338" spans="1:17">
      <c r="A338" t="str">
        <f t="shared" si="4"/>
        <v>GS12GCPSZ</v>
      </c>
      <c r="B338" t="s">
        <v>632</v>
      </c>
      <c r="C338" t="s">
        <v>166</v>
      </c>
      <c r="D338">
        <v>357</v>
      </c>
      <c r="E338">
        <v>353</v>
      </c>
      <c r="F338">
        <v>353</v>
      </c>
      <c r="G338">
        <v>327</v>
      </c>
      <c r="H338">
        <v>342</v>
      </c>
      <c r="I338">
        <v>348</v>
      </c>
      <c r="J338">
        <v>327</v>
      </c>
      <c r="K338">
        <v>341</v>
      </c>
      <c r="L338">
        <v>353</v>
      </c>
      <c r="M338">
        <v>356</v>
      </c>
      <c r="N338">
        <v>346</v>
      </c>
      <c r="O338">
        <v>356</v>
      </c>
      <c r="Q338" s="493"/>
    </row>
    <row r="339" spans="1:17">
      <c r="A339" t="str">
        <f t="shared" si="4"/>
        <v>GS12GCPSZ ONPK</v>
      </c>
      <c r="B339" t="s">
        <v>632</v>
      </c>
      <c r="C339" t="s">
        <v>167</v>
      </c>
      <c r="D339">
        <v>357</v>
      </c>
      <c r="E339">
        <v>353</v>
      </c>
      <c r="F339">
        <v>353</v>
      </c>
      <c r="G339">
        <v>327</v>
      </c>
      <c r="H339">
        <v>342</v>
      </c>
      <c r="I339">
        <v>348</v>
      </c>
      <c r="J339">
        <v>327</v>
      </c>
      <c r="K339">
        <v>341</v>
      </c>
      <c r="L339">
        <v>353</v>
      </c>
      <c r="M339">
        <v>356</v>
      </c>
      <c r="N339">
        <v>346</v>
      </c>
      <c r="O339">
        <v>356</v>
      </c>
      <c r="Q339" s="493"/>
    </row>
    <row r="340" spans="1:17">
      <c r="A340" t="str">
        <f t="shared" si="4"/>
        <v>GS12GCPSZ OFFPK</v>
      </c>
      <c r="B340" t="s">
        <v>632</v>
      </c>
      <c r="C340" t="s">
        <v>168</v>
      </c>
      <c r="D340">
        <v>357</v>
      </c>
      <c r="E340">
        <v>353</v>
      </c>
      <c r="F340">
        <v>353</v>
      </c>
      <c r="G340">
        <v>327</v>
      </c>
      <c r="H340">
        <v>342</v>
      </c>
      <c r="I340">
        <v>348</v>
      </c>
      <c r="J340">
        <v>327</v>
      </c>
      <c r="K340">
        <v>341</v>
      </c>
      <c r="L340">
        <v>353</v>
      </c>
      <c r="M340">
        <v>356</v>
      </c>
      <c r="N340">
        <v>346</v>
      </c>
      <c r="O340">
        <v>356</v>
      </c>
      <c r="Q340" s="493"/>
    </row>
    <row r="341" spans="1:17">
      <c r="A341" t="str">
        <f t="shared" si="4"/>
        <v>GS12CPSZ</v>
      </c>
      <c r="B341" t="s">
        <v>632</v>
      </c>
      <c r="C341" t="s">
        <v>169</v>
      </c>
      <c r="D341">
        <v>357</v>
      </c>
      <c r="E341">
        <v>353</v>
      </c>
      <c r="F341">
        <v>353</v>
      </c>
      <c r="G341">
        <v>327</v>
      </c>
      <c r="H341">
        <v>342</v>
      </c>
      <c r="I341">
        <v>348</v>
      </c>
      <c r="J341">
        <v>327</v>
      </c>
      <c r="K341">
        <v>341</v>
      </c>
      <c r="L341">
        <v>353</v>
      </c>
      <c r="M341">
        <v>356</v>
      </c>
      <c r="N341">
        <v>346</v>
      </c>
      <c r="O341">
        <v>356</v>
      </c>
      <c r="Q341" s="493"/>
    </row>
    <row r="342" spans="1:17">
      <c r="A342" t="str">
        <f t="shared" si="4"/>
        <v/>
      </c>
    </row>
    <row r="343" spans="1:17">
      <c r="A343" t="str">
        <f t="shared" si="4"/>
        <v>NOTE:  In July 2014, a cancel replace was done for Comcast.  Customer Service's data warehouse was utilized for CUSTOMER and SALES from January through July 2014.</v>
      </c>
      <c r="B343" s="616" t="s">
        <v>637</v>
      </c>
      <c r="C343" s="616"/>
      <c r="D343" s="616"/>
      <c r="E343" s="616"/>
      <c r="F343" s="616"/>
      <c r="G343" s="616"/>
      <c r="H343" s="616"/>
      <c r="I343" s="616"/>
      <c r="J343" s="616"/>
      <c r="K343" s="616"/>
      <c r="L343" s="616"/>
      <c r="M343" s="616"/>
      <c r="N343" s="616"/>
      <c r="O343" s="616"/>
      <c r="P343" s="616"/>
      <c r="Q343" s="616"/>
    </row>
    <row r="344" spans="1:17">
      <c r="A344" t="str">
        <f t="shared" si="4"/>
        <v/>
      </c>
    </row>
    <row r="345" spans="1:17">
      <c r="A345" t="str">
        <f t="shared" si="4"/>
        <v xml:space="preserve">GS12 GS(T)-1 General Service Non Demand including TOU (0-20 kW)  (Sampled) </v>
      </c>
      <c r="B345" t="s">
        <v>630</v>
      </c>
      <c r="C345" t="s">
        <v>631</v>
      </c>
    </row>
    <row r="346" spans="1:17">
      <c r="A346" t="str">
        <f t="shared" si="4"/>
        <v xml:space="preserve">GS12MONTH </v>
      </c>
      <c r="B346" t="s">
        <v>632</v>
      </c>
      <c r="C346" t="s">
        <v>123</v>
      </c>
      <c r="D346" s="4">
        <v>41640</v>
      </c>
      <c r="E346" s="4">
        <v>41671</v>
      </c>
      <c r="F346" s="4">
        <v>41699</v>
      </c>
      <c r="G346" s="4">
        <v>41730</v>
      </c>
      <c r="H346" s="4">
        <v>41760</v>
      </c>
      <c r="I346" s="4">
        <v>41791</v>
      </c>
      <c r="J346" s="4">
        <v>41821</v>
      </c>
      <c r="K346" s="4">
        <v>41852</v>
      </c>
      <c r="L346" s="4">
        <v>41883</v>
      </c>
      <c r="M346" s="4">
        <v>41913</v>
      </c>
      <c r="N346" s="4">
        <v>41944</v>
      </c>
      <c r="O346" s="4">
        <v>41974</v>
      </c>
      <c r="P346" s="4"/>
    </row>
    <row r="347" spans="1:17">
      <c r="A347" t="str">
        <f t="shared" si="4"/>
        <v/>
      </c>
    </row>
    <row r="348" spans="1:17">
      <c r="A348" t="str">
        <f t="shared" si="4"/>
        <v>GS12SDR GCP</v>
      </c>
      <c r="B348" t="s">
        <v>632</v>
      </c>
      <c r="C348" t="s">
        <v>171</v>
      </c>
      <c r="D348">
        <v>0.94199999999999995</v>
      </c>
      <c r="E348">
        <v>0.95899999999999996</v>
      </c>
      <c r="F348">
        <v>0.89400000000000002</v>
      </c>
      <c r="G348">
        <v>0.97399999999999998</v>
      </c>
      <c r="H348">
        <v>0.90500000000000003</v>
      </c>
      <c r="I348">
        <v>0.95699999999999996</v>
      </c>
      <c r="J348">
        <v>0.91100000000000003</v>
      </c>
      <c r="K348">
        <v>0.92300000000000004</v>
      </c>
      <c r="L348">
        <v>0.94299999999999995</v>
      </c>
      <c r="M348">
        <v>1.0009999999999999</v>
      </c>
      <c r="N348">
        <v>1.002</v>
      </c>
      <c r="O348">
        <v>0.96299999999999997</v>
      </c>
    </row>
    <row r="349" spans="1:17">
      <c r="A349" t="str">
        <f t="shared" si="4"/>
        <v>GS12SDR GCP ONPK</v>
      </c>
      <c r="B349" t="s">
        <v>632</v>
      </c>
      <c r="C349" t="s">
        <v>172</v>
      </c>
      <c r="D349">
        <v>0.83399999999999996</v>
      </c>
      <c r="E349">
        <v>0.755</v>
      </c>
      <c r="F349">
        <v>0.78</v>
      </c>
      <c r="G349">
        <v>0.97399999999999998</v>
      </c>
      <c r="H349">
        <v>0.90500000000000003</v>
      </c>
      <c r="I349">
        <v>0.95699999999999996</v>
      </c>
      <c r="J349">
        <v>0.91100000000000003</v>
      </c>
      <c r="K349">
        <v>0.92300000000000004</v>
      </c>
      <c r="L349">
        <v>0.94299999999999995</v>
      </c>
      <c r="M349">
        <v>1.0009999999999999</v>
      </c>
      <c r="N349">
        <v>0.97799999999999998</v>
      </c>
      <c r="O349">
        <v>0.85799999999999998</v>
      </c>
    </row>
    <row r="350" spans="1:17">
      <c r="A350" t="str">
        <f t="shared" si="4"/>
        <v>GS12SDR GCP OFFP</v>
      </c>
      <c r="B350" t="s">
        <v>632</v>
      </c>
      <c r="C350" t="s">
        <v>219</v>
      </c>
      <c r="D350">
        <v>0.94199999999999995</v>
      </c>
      <c r="E350">
        <v>0.95899999999999996</v>
      </c>
      <c r="F350">
        <v>0.89400000000000002</v>
      </c>
      <c r="G350">
        <v>0.88800000000000001</v>
      </c>
      <c r="H350">
        <v>0.96899999999999997</v>
      </c>
      <c r="I350">
        <v>0.90600000000000003</v>
      </c>
      <c r="J350">
        <v>0.86899999999999999</v>
      </c>
      <c r="K350">
        <v>0.92900000000000005</v>
      </c>
      <c r="L350">
        <v>0.93100000000000005</v>
      </c>
      <c r="M350">
        <v>1.006</v>
      </c>
      <c r="N350">
        <v>1.002</v>
      </c>
      <c r="O350">
        <v>0.96299999999999997</v>
      </c>
    </row>
    <row r="351" spans="1:17">
      <c r="A351" t="str">
        <f t="shared" si="4"/>
        <v>GS12SDR CP</v>
      </c>
      <c r="B351" t="s">
        <v>632</v>
      </c>
      <c r="C351" t="s">
        <v>174</v>
      </c>
      <c r="D351">
        <v>0.62</v>
      </c>
      <c r="E351">
        <v>0.86899999999999999</v>
      </c>
      <c r="F351">
        <v>0.52900000000000003</v>
      </c>
      <c r="G351">
        <v>0.92800000000000005</v>
      </c>
      <c r="H351">
        <v>0.77900000000000003</v>
      </c>
      <c r="I351">
        <v>0.92800000000000005</v>
      </c>
      <c r="J351">
        <v>0.88100000000000001</v>
      </c>
      <c r="K351">
        <v>0.85</v>
      </c>
      <c r="L351">
        <v>0.89</v>
      </c>
      <c r="M351">
        <v>0.91500000000000004</v>
      </c>
      <c r="N351">
        <v>1.046</v>
      </c>
      <c r="O351">
        <v>0.71499999999999997</v>
      </c>
    </row>
    <row r="352" spans="1:17">
      <c r="A352" t="str">
        <f t="shared" si="4"/>
        <v/>
      </c>
    </row>
    <row r="353" spans="1:15">
      <c r="A353" t="str">
        <f t="shared" si="4"/>
        <v>GS12I   SDR GCP</v>
      </c>
      <c r="B353" t="s">
        <v>632</v>
      </c>
      <c r="C353" t="s">
        <v>220</v>
      </c>
      <c r="D353">
        <v>0.86</v>
      </c>
      <c r="E353">
        <v>0.91600000000000004</v>
      </c>
      <c r="F353">
        <v>0.69899999999999995</v>
      </c>
      <c r="G353">
        <v>0.82499999999999996</v>
      </c>
      <c r="H353">
        <v>0.86399999999999999</v>
      </c>
      <c r="I353">
        <v>1.1539999999999999</v>
      </c>
      <c r="J353">
        <v>0.89500000000000002</v>
      </c>
      <c r="K353">
        <v>0.995</v>
      </c>
      <c r="L353">
        <v>0.98199999999999998</v>
      </c>
      <c r="M353">
        <v>1.1559999999999999</v>
      </c>
      <c r="N353">
        <v>0.88</v>
      </c>
      <c r="O353">
        <v>0.89700000000000002</v>
      </c>
    </row>
    <row r="354" spans="1:15">
      <c r="A354" t="str">
        <f t="shared" si="4"/>
        <v>GS12I   SDR GCP ONPK</v>
      </c>
      <c r="B354" t="s">
        <v>632</v>
      </c>
      <c r="C354" t="s">
        <v>221</v>
      </c>
      <c r="D354">
        <v>0.78700000000000003</v>
      </c>
      <c r="E354">
        <v>0.57799999999999996</v>
      </c>
      <c r="F354">
        <v>0.61299999999999999</v>
      </c>
      <c r="G354">
        <v>0.82499999999999996</v>
      </c>
      <c r="H354">
        <v>0.86399999999999999</v>
      </c>
      <c r="I354">
        <v>1.1539999999999999</v>
      </c>
      <c r="J354">
        <v>0.89500000000000002</v>
      </c>
      <c r="K354">
        <v>0.995</v>
      </c>
      <c r="L354">
        <v>0.98199999999999998</v>
      </c>
      <c r="M354">
        <v>1.1559999999999999</v>
      </c>
      <c r="N354">
        <v>0.96</v>
      </c>
      <c r="O354">
        <v>0.878</v>
      </c>
    </row>
    <row r="355" spans="1:15">
      <c r="A355" t="str">
        <f t="shared" si="4"/>
        <v>GS12I   SDR GCP OFFPK</v>
      </c>
      <c r="B355" t="s">
        <v>632</v>
      </c>
      <c r="C355" t="s">
        <v>222</v>
      </c>
      <c r="D355">
        <v>0.86</v>
      </c>
      <c r="E355">
        <v>0.91600000000000004</v>
      </c>
      <c r="F355">
        <v>0.69899999999999995</v>
      </c>
      <c r="G355">
        <v>0.749</v>
      </c>
      <c r="H355">
        <v>1.1679999999999999</v>
      </c>
      <c r="I355">
        <v>0.99199999999999999</v>
      </c>
      <c r="J355">
        <v>0.94399999999999995</v>
      </c>
      <c r="K355">
        <v>1.0369999999999999</v>
      </c>
      <c r="L355">
        <v>1.0860000000000001</v>
      </c>
      <c r="M355">
        <v>1.3420000000000001</v>
      </c>
      <c r="N355">
        <v>0.88</v>
      </c>
      <c r="O355">
        <v>0.89700000000000002</v>
      </c>
    </row>
    <row r="356" spans="1:15">
      <c r="A356" t="str">
        <f t="shared" si="4"/>
        <v>GS12I   SDR CP</v>
      </c>
      <c r="B356" t="s">
        <v>632</v>
      </c>
      <c r="C356" t="s">
        <v>638</v>
      </c>
      <c r="D356">
        <v>0.64600000000000002</v>
      </c>
      <c r="E356">
        <v>0.68200000000000005</v>
      </c>
      <c r="F356">
        <v>0.36699999999999999</v>
      </c>
      <c r="G356">
        <v>0.85199999999999998</v>
      </c>
      <c r="H356">
        <v>0.77600000000000002</v>
      </c>
      <c r="I356">
        <v>0.94699999999999995</v>
      </c>
      <c r="J356">
        <v>0.77700000000000002</v>
      </c>
      <c r="K356">
        <v>0.86499999999999999</v>
      </c>
      <c r="L356">
        <v>1.056</v>
      </c>
      <c r="M356">
        <v>0.96899999999999997</v>
      </c>
      <c r="N356">
        <v>0.91300000000000003</v>
      </c>
      <c r="O356">
        <v>0.64500000000000002</v>
      </c>
    </row>
    <row r="357" spans="1:15">
      <c r="A357" t="str">
        <f t="shared" si="4"/>
        <v/>
      </c>
    </row>
    <row r="358" spans="1:15">
      <c r="A358" t="str">
        <f t="shared" si="4"/>
        <v>GS12II  SDR GCP</v>
      </c>
      <c r="B358" t="s">
        <v>632</v>
      </c>
      <c r="C358" t="s">
        <v>223</v>
      </c>
      <c r="D358">
        <v>1.746</v>
      </c>
      <c r="E358">
        <v>1.9139999999999999</v>
      </c>
      <c r="F358">
        <v>1.742</v>
      </c>
      <c r="G358">
        <v>2.0409999999999999</v>
      </c>
      <c r="H358">
        <v>1.86</v>
      </c>
      <c r="I358">
        <v>1.7889999999999999</v>
      </c>
      <c r="J358">
        <v>1.895</v>
      </c>
      <c r="K358">
        <v>1.9319999999999999</v>
      </c>
      <c r="L358">
        <v>1.907</v>
      </c>
      <c r="M358">
        <v>1.9610000000000001</v>
      </c>
      <c r="N358">
        <v>1.9430000000000001</v>
      </c>
      <c r="O358">
        <v>1.923</v>
      </c>
    </row>
    <row r="359" spans="1:15">
      <c r="A359" t="str">
        <f t="shared" si="4"/>
        <v>GS12II  SDR GCP ONPK</v>
      </c>
      <c r="B359" t="s">
        <v>632</v>
      </c>
      <c r="C359" t="s">
        <v>224</v>
      </c>
      <c r="D359">
        <v>1.6679999999999999</v>
      </c>
      <c r="E359">
        <v>1.7190000000000001</v>
      </c>
      <c r="F359">
        <v>1.5629999999999999</v>
      </c>
      <c r="G359">
        <v>2.0409999999999999</v>
      </c>
      <c r="H359">
        <v>1.86</v>
      </c>
      <c r="I359">
        <v>1.7889999999999999</v>
      </c>
      <c r="J359">
        <v>1.895</v>
      </c>
      <c r="K359">
        <v>1.9319999999999999</v>
      </c>
      <c r="L359">
        <v>1.907</v>
      </c>
      <c r="M359">
        <v>1.9610000000000001</v>
      </c>
      <c r="N359">
        <v>2.0449999999999999</v>
      </c>
      <c r="O359">
        <v>1.665</v>
      </c>
    </row>
    <row r="360" spans="1:15">
      <c r="A360" t="str">
        <f t="shared" si="4"/>
        <v>GS12II  SDR GCP OFFPK</v>
      </c>
      <c r="B360" t="s">
        <v>632</v>
      </c>
      <c r="C360" t="s">
        <v>225</v>
      </c>
      <c r="D360">
        <v>1.746</v>
      </c>
      <c r="E360">
        <v>1.9139999999999999</v>
      </c>
      <c r="F360">
        <v>1.742</v>
      </c>
      <c r="G360">
        <v>1.919</v>
      </c>
      <c r="H360">
        <v>1.915</v>
      </c>
      <c r="I360">
        <v>1.8240000000000001</v>
      </c>
      <c r="J360">
        <v>1.823</v>
      </c>
      <c r="K360">
        <v>1.923</v>
      </c>
      <c r="L360">
        <v>1.76</v>
      </c>
      <c r="M360">
        <v>1.796</v>
      </c>
      <c r="N360">
        <v>1.9430000000000001</v>
      </c>
      <c r="O360">
        <v>1.923</v>
      </c>
    </row>
    <row r="361" spans="1:15">
      <c r="A361" t="str">
        <f t="shared" si="4"/>
        <v>GS12II  SDR CP</v>
      </c>
      <c r="B361" t="s">
        <v>632</v>
      </c>
      <c r="C361" t="s">
        <v>226</v>
      </c>
      <c r="D361">
        <v>1.5669999999999999</v>
      </c>
      <c r="E361">
        <v>1.8320000000000001</v>
      </c>
      <c r="F361">
        <v>1.054</v>
      </c>
      <c r="G361">
        <v>1.9219999999999999</v>
      </c>
      <c r="H361">
        <v>1.627</v>
      </c>
      <c r="I361">
        <v>1.9079999999999999</v>
      </c>
      <c r="J361">
        <v>1.885</v>
      </c>
      <c r="K361">
        <v>1.74</v>
      </c>
      <c r="L361">
        <v>1.7549999999999999</v>
      </c>
      <c r="M361">
        <v>1.796</v>
      </c>
      <c r="N361">
        <v>2.0950000000000002</v>
      </c>
      <c r="O361">
        <v>1.4850000000000001</v>
      </c>
    </row>
    <row r="362" spans="1:15">
      <c r="A362" t="str">
        <f t="shared" si="4"/>
        <v/>
      </c>
    </row>
    <row r="363" spans="1:15">
      <c r="A363" t="str">
        <f t="shared" si="4"/>
        <v>GS12III SDR GCP</v>
      </c>
      <c r="B363" t="s">
        <v>632</v>
      </c>
      <c r="C363" t="s">
        <v>227</v>
      </c>
      <c r="D363">
        <v>3.335</v>
      </c>
      <c r="E363">
        <v>3.3119999999999998</v>
      </c>
      <c r="F363">
        <v>3.35</v>
      </c>
      <c r="G363">
        <v>3.4780000000000002</v>
      </c>
      <c r="H363">
        <v>2.9449999999999998</v>
      </c>
      <c r="I363">
        <v>2.9780000000000002</v>
      </c>
      <c r="J363">
        <v>2.9630000000000001</v>
      </c>
      <c r="K363">
        <v>2.9409999999999998</v>
      </c>
      <c r="L363">
        <v>3.161</v>
      </c>
      <c r="M363">
        <v>3.1659999999999999</v>
      </c>
      <c r="N363">
        <v>3.52</v>
      </c>
      <c r="O363">
        <v>3.2879999999999998</v>
      </c>
    </row>
    <row r="364" spans="1:15">
      <c r="A364" t="str">
        <f t="shared" si="4"/>
        <v>GS12III SDR GCP ONPK</v>
      </c>
      <c r="B364" t="s">
        <v>632</v>
      </c>
      <c r="C364" t="s">
        <v>228</v>
      </c>
      <c r="D364">
        <v>2.661</v>
      </c>
      <c r="E364">
        <v>2.4300000000000002</v>
      </c>
      <c r="F364">
        <v>2.786</v>
      </c>
      <c r="G364">
        <v>3.4780000000000002</v>
      </c>
      <c r="H364">
        <v>2.9449999999999998</v>
      </c>
      <c r="I364">
        <v>2.9780000000000002</v>
      </c>
      <c r="J364">
        <v>2.9630000000000001</v>
      </c>
      <c r="K364">
        <v>2.9409999999999998</v>
      </c>
      <c r="L364">
        <v>3.161</v>
      </c>
      <c r="M364">
        <v>3.1659999999999999</v>
      </c>
      <c r="N364">
        <v>3.129</v>
      </c>
      <c r="O364">
        <v>2.867</v>
      </c>
    </row>
    <row r="365" spans="1:15">
      <c r="A365" t="str">
        <f t="shared" si="4"/>
        <v>GS12III SDR GCP OFFPK</v>
      </c>
      <c r="B365" t="s">
        <v>632</v>
      </c>
      <c r="C365" t="s">
        <v>229</v>
      </c>
      <c r="D365">
        <v>3.335</v>
      </c>
      <c r="E365">
        <v>3.3119999999999998</v>
      </c>
      <c r="F365">
        <v>3.35</v>
      </c>
      <c r="G365">
        <v>2.952</v>
      </c>
      <c r="H365">
        <v>2.7170000000000001</v>
      </c>
      <c r="I365">
        <v>2.7989999999999999</v>
      </c>
      <c r="J365">
        <v>2.641</v>
      </c>
      <c r="K365">
        <v>2.8519999999999999</v>
      </c>
      <c r="L365">
        <v>3.0510000000000002</v>
      </c>
      <c r="M365">
        <v>2.895</v>
      </c>
      <c r="N365">
        <v>3.52</v>
      </c>
      <c r="O365">
        <v>3.2879999999999998</v>
      </c>
    </row>
    <row r="366" spans="1:15">
      <c r="A366" t="str">
        <f t="shared" si="4"/>
        <v>GS12III SDR CP</v>
      </c>
      <c r="B366" t="s">
        <v>632</v>
      </c>
      <c r="C366" t="s">
        <v>230</v>
      </c>
      <c r="D366">
        <v>1.468</v>
      </c>
      <c r="E366">
        <v>3.0289999999999999</v>
      </c>
      <c r="F366">
        <v>1.92</v>
      </c>
      <c r="G366">
        <v>3.105</v>
      </c>
      <c r="H366">
        <v>2.544</v>
      </c>
      <c r="I366">
        <v>3.0089999999999999</v>
      </c>
      <c r="J366">
        <v>2.9340000000000002</v>
      </c>
      <c r="K366">
        <v>2.8769999999999998</v>
      </c>
      <c r="L366">
        <v>2.8029999999999999</v>
      </c>
      <c r="M366">
        <v>3.0630000000000002</v>
      </c>
      <c r="N366">
        <v>3.613</v>
      </c>
      <c r="O366">
        <v>2.3250000000000002</v>
      </c>
    </row>
    <row r="367" spans="1:15">
      <c r="A367" t="str">
        <f t="shared" ref="A367:A430" si="5">B367&amp;C367</f>
        <v/>
      </c>
    </row>
    <row r="368" spans="1:15">
      <c r="A368" t="str">
        <f t="shared" si="5"/>
        <v>GS12IV  SDR GCP</v>
      </c>
      <c r="B368" t="s">
        <v>632</v>
      </c>
      <c r="C368" t="s">
        <v>231</v>
      </c>
      <c r="D368">
        <v>5.5590000000000002</v>
      </c>
      <c r="E368">
        <v>4.7130000000000001</v>
      </c>
      <c r="F368">
        <v>4.7770000000000001</v>
      </c>
      <c r="G368">
        <v>4.3940000000000001</v>
      </c>
      <c r="H368">
        <v>4.8369999999999997</v>
      </c>
      <c r="I368">
        <v>4.4420000000000002</v>
      </c>
      <c r="J368">
        <v>4.4539999999999997</v>
      </c>
      <c r="K368">
        <v>3.621</v>
      </c>
      <c r="L368">
        <v>3.9620000000000002</v>
      </c>
      <c r="M368">
        <v>4.3250000000000002</v>
      </c>
      <c r="N368">
        <v>5.7329999999999997</v>
      </c>
      <c r="O368">
        <v>5.1040000000000001</v>
      </c>
    </row>
    <row r="369" spans="1:15">
      <c r="A369" t="str">
        <f t="shared" si="5"/>
        <v>GS12IV  SDR GCP ONPK</v>
      </c>
      <c r="B369" t="s">
        <v>632</v>
      </c>
      <c r="C369" t="s">
        <v>232</v>
      </c>
      <c r="D369">
        <v>5.0750000000000002</v>
      </c>
      <c r="E369">
        <v>4.016</v>
      </c>
      <c r="F369">
        <v>4.4640000000000004</v>
      </c>
      <c r="G369">
        <v>4.3940000000000001</v>
      </c>
      <c r="H369">
        <v>4.8369999999999997</v>
      </c>
      <c r="I369">
        <v>4.4420000000000002</v>
      </c>
      <c r="J369">
        <v>4.4539999999999997</v>
      </c>
      <c r="K369">
        <v>3.621</v>
      </c>
      <c r="L369">
        <v>3.9620000000000002</v>
      </c>
      <c r="M369">
        <v>4.3250000000000002</v>
      </c>
      <c r="N369">
        <v>4.9379999999999997</v>
      </c>
      <c r="O369">
        <v>4.4180000000000001</v>
      </c>
    </row>
    <row r="370" spans="1:15">
      <c r="A370" t="str">
        <f t="shared" si="5"/>
        <v>GS12IV  SDR GCP OFFPK</v>
      </c>
      <c r="B370" t="s">
        <v>632</v>
      </c>
      <c r="C370" t="s">
        <v>233</v>
      </c>
      <c r="D370">
        <v>5.5590000000000002</v>
      </c>
      <c r="E370">
        <v>4.7130000000000001</v>
      </c>
      <c r="F370">
        <v>4.7770000000000001</v>
      </c>
      <c r="G370">
        <v>4.625</v>
      </c>
      <c r="H370">
        <v>4.9800000000000004</v>
      </c>
      <c r="I370">
        <v>4.5119999999999996</v>
      </c>
      <c r="J370">
        <v>3.9729999999999999</v>
      </c>
      <c r="K370">
        <v>3.9969999999999999</v>
      </c>
      <c r="L370">
        <v>3.8730000000000002</v>
      </c>
      <c r="M370">
        <v>4.5860000000000003</v>
      </c>
      <c r="N370">
        <v>5.7329999999999997</v>
      </c>
      <c r="O370">
        <v>5.1040000000000001</v>
      </c>
    </row>
    <row r="371" spans="1:15">
      <c r="A371" t="str">
        <f t="shared" si="5"/>
        <v>GS12IV  SDR CP</v>
      </c>
      <c r="B371" t="s">
        <v>632</v>
      </c>
      <c r="C371" t="s">
        <v>234</v>
      </c>
      <c r="D371">
        <v>2.1360000000000001</v>
      </c>
      <c r="E371">
        <v>4.673</v>
      </c>
      <c r="F371">
        <v>3.2650000000000001</v>
      </c>
      <c r="G371">
        <v>4.7969999999999997</v>
      </c>
      <c r="H371">
        <v>3.605</v>
      </c>
      <c r="I371">
        <v>4.3710000000000004</v>
      </c>
      <c r="J371">
        <v>4.4059999999999997</v>
      </c>
      <c r="K371">
        <v>3.4809999999999999</v>
      </c>
      <c r="L371">
        <v>3.3639999999999999</v>
      </c>
      <c r="M371">
        <v>4.1680000000000001</v>
      </c>
      <c r="N371">
        <v>5.84</v>
      </c>
      <c r="O371">
        <v>4.0380000000000003</v>
      </c>
    </row>
    <row r="372" spans="1:15">
      <c r="A372" t="str">
        <f t="shared" si="5"/>
        <v/>
      </c>
    </row>
    <row r="373" spans="1:15">
      <c r="A373" t="str">
        <f t="shared" si="5"/>
        <v/>
      </c>
    </row>
    <row r="374" spans="1:15">
      <c r="A374" t="str">
        <f t="shared" si="5"/>
        <v/>
      </c>
    </row>
    <row r="375" spans="1:15">
      <c r="A375" t="str">
        <f t="shared" si="5"/>
        <v/>
      </c>
    </row>
    <row r="376" spans="1:15">
      <c r="A376" t="str">
        <f t="shared" si="5"/>
        <v/>
      </c>
    </row>
    <row r="377" spans="1:15">
      <c r="A377" t="str">
        <f t="shared" si="5"/>
        <v/>
      </c>
    </row>
    <row r="378" spans="1:15">
      <c r="A378" t="str">
        <f t="shared" si="5"/>
        <v/>
      </c>
    </row>
    <row r="379" spans="1:15">
      <c r="A379" t="str">
        <f t="shared" si="5"/>
        <v/>
      </c>
    </row>
    <row r="380" spans="1:15">
      <c r="A380" t="str">
        <f t="shared" si="5"/>
        <v/>
      </c>
    </row>
    <row r="381" spans="1:15">
      <c r="A381" t="str">
        <f t="shared" si="5"/>
        <v/>
      </c>
    </row>
    <row r="382" spans="1:15">
      <c r="A382" t="str">
        <f t="shared" si="5"/>
        <v/>
      </c>
    </row>
    <row r="383" spans="1:15">
      <c r="A383" t="str">
        <f t="shared" si="5"/>
        <v/>
      </c>
    </row>
    <row r="384" spans="1:15">
      <c r="A384" t="str">
        <f t="shared" si="5"/>
        <v/>
      </c>
    </row>
    <row r="385" spans="1:16">
      <c r="A385" t="str">
        <f t="shared" si="5"/>
        <v/>
      </c>
    </row>
    <row r="386" spans="1:16">
      <c r="A386" t="str">
        <f t="shared" si="5"/>
        <v/>
      </c>
    </row>
    <row r="387" spans="1:16">
      <c r="A387" t="str">
        <f t="shared" si="5"/>
        <v/>
      </c>
    </row>
    <row r="388" spans="1:16">
      <c r="A388" t="str">
        <f t="shared" si="5"/>
        <v/>
      </c>
    </row>
    <row r="389" spans="1:16">
      <c r="A389" t="str">
        <f t="shared" si="5"/>
        <v/>
      </c>
    </row>
    <row r="390" spans="1:16">
      <c r="A390" t="str">
        <f t="shared" si="5"/>
        <v/>
      </c>
    </row>
    <row r="391" spans="1:16">
      <c r="A391" t="str">
        <f t="shared" si="5"/>
        <v/>
      </c>
    </row>
    <row r="392" spans="1:16">
      <c r="A392" t="str">
        <f t="shared" si="5"/>
        <v/>
      </c>
    </row>
    <row r="393" spans="1:16">
      <c r="A393" t="str">
        <f t="shared" si="5"/>
        <v xml:space="preserve">GSCU12 GSCU-1 General Service Constant Usage (0-20 kW) (Sampled) </v>
      </c>
      <c r="B393" t="s">
        <v>639</v>
      </c>
      <c r="C393" t="s">
        <v>297</v>
      </c>
    </row>
    <row r="394" spans="1:16">
      <c r="A394" t="str">
        <f t="shared" si="5"/>
        <v xml:space="preserve">GSCU12MONTH </v>
      </c>
      <c r="B394" t="s">
        <v>640</v>
      </c>
      <c r="C394" t="s">
        <v>123</v>
      </c>
      <c r="D394" s="4">
        <v>41640</v>
      </c>
      <c r="E394" s="4">
        <v>41671</v>
      </c>
      <c r="F394" s="4">
        <v>41699</v>
      </c>
      <c r="G394" s="4">
        <v>41730</v>
      </c>
      <c r="H394" s="4">
        <v>41760</v>
      </c>
      <c r="I394" s="4">
        <v>41791</v>
      </c>
      <c r="J394" s="4">
        <v>41821</v>
      </c>
      <c r="K394" s="4">
        <v>41852</v>
      </c>
      <c r="L394" s="4">
        <v>41883</v>
      </c>
      <c r="M394" s="4">
        <v>41913</v>
      </c>
      <c r="N394" s="4">
        <v>41944</v>
      </c>
      <c r="O394" s="4">
        <v>41974</v>
      </c>
      <c r="P394" s="4"/>
    </row>
    <row r="395" spans="1:16">
      <c r="A395" t="str">
        <f t="shared" si="5"/>
        <v xml:space="preserve">GSCU12CUSTOMERS </v>
      </c>
      <c r="B395" t="s">
        <v>640</v>
      </c>
      <c r="C395" t="s">
        <v>124</v>
      </c>
      <c r="D395">
        <v>663</v>
      </c>
      <c r="E395">
        <v>647</v>
      </c>
      <c r="F395">
        <v>2255</v>
      </c>
      <c r="G395">
        <v>2215</v>
      </c>
      <c r="H395">
        <v>2169</v>
      </c>
      <c r="I395">
        <v>2126</v>
      </c>
      <c r="J395">
        <v>12601</v>
      </c>
      <c r="K395">
        <v>12411</v>
      </c>
      <c r="L395">
        <v>12238</v>
      </c>
      <c r="M395">
        <v>12135</v>
      </c>
      <c r="N395">
        <v>11991</v>
      </c>
      <c r="O395">
        <v>11865</v>
      </c>
    </row>
    <row r="396" spans="1:16">
      <c r="A396" t="str">
        <f t="shared" si="5"/>
        <v xml:space="preserve">GSCU12SALES </v>
      </c>
      <c r="B396" t="s">
        <v>640</v>
      </c>
      <c r="C396" t="s">
        <v>125</v>
      </c>
      <c r="D396">
        <v>918671</v>
      </c>
      <c r="E396">
        <v>804725</v>
      </c>
      <c r="F396">
        <v>1792597</v>
      </c>
      <c r="G396">
        <v>1929316</v>
      </c>
      <c r="H396">
        <v>1958441</v>
      </c>
      <c r="I396">
        <v>1924211</v>
      </c>
      <c r="J396">
        <v>41787537</v>
      </c>
      <c r="K396">
        <v>6819776</v>
      </c>
      <c r="L396">
        <v>6727169</v>
      </c>
      <c r="M396">
        <v>6411761</v>
      </c>
      <c r="N396">
        <v>6377984</v>
      </c>
      <c r="O396">
        <v>6431428</v>
      </c>
    </row>
    <row r="397" spans="1:16">
      <c r="A397" t="str">
        <f t="shared" si="5"/>
        <v>GSCU12KW</v>
      </c>
      <c r="B397" t="s">
        <v>640</v>
      </c>
      <c r="C397" t="s">
        <v>126</v>
      </c>
    </row>
    <row r="398" spans="1:16">
      <c r="A398" t="str">
        <f t="shared" si="5"/>
        <v>GSCU12N</v>
      </c>
      <c r="B398" t="s">
        <v>640</v>
      </c>
      <c r="C398" t="s">
        <v>127</v>
      </c>
      <c r="D398">
        <v>11255</v>
      </c>
      <c r="E398">
        <v>11234</v>
      </c>
      <c r="F398">
        <v>12648</v>
      </c>
      <c r="G398">
        <v>12795</v>
      </c>
      <c r="H398">
        <v>12743</v>
      </c>
      <c r="I398">
        <v>12708</v>
      </c>
      <c r="J398">
        <v>12451</v>
      </c>
      <c r="K398">
        <v>12411</v>
      </c>
      <c r="L398">
        <v>12238</v>
      </c>
      <c r="M398">
        <v>12135</v>
      </c>
      <c r="N398">
        <v>11991</v>
      </c>
      <c r="O398">
        <v>11865</v>
      </c>
    </row>
    <row r="399" spans="1:16">
      <c r="A399" t="str">
        <f t="shared" si="5"/>
        <v>GSCU12RLR ENERGY:</v>
      </c>
      <c r="B399" t="s">
        <v>640</v>
      </c>
      <c r="C399" t="s">
        <v>61</v>
      </c>
    </row>
    <row r="400" spans="1:16">
      <c r="A400" t="str">
        <f t="shared" si="5"/>
        <v>GSCU12KWH</v>
      </c>
      <c r="B400" t="s">
        <v>640</v>
      </c>
      <c r="C400" t="s">
        <v>128</v>
      </c>
      <c r="D400">
        <v>8299373</v>
      </c>
      <c r="E400">
        <v>7512177</v>
      </c>
      <c r="F400">
        <v>7365548</v>
      </c>
      <c r="G400">
        <v>7584222</v>
      </c>
      <c r="H400">
        <v>7893259</v>
      </c>
      <c r="I400">
        <v>7880822</v>
      </c>
      <c r="J400">
        <v>7911843</v>
      </c>
      <c r="K400">
        <v>6823391</v>
      </c>
      <c r="L400">
        <v>6727914</v>
      </c>
      <c r="M400">
        <v>6414178</v>
      </c>
      <c r="N400">
        <v>6378240</v>
      </c>
      <c r="O400">
        <v>6431428</v>
      </c>
    </row>
    <row r="401" spans="1:16">
      <c r="A401" t="str">
        <f t="shared" si="5"/>
        <v>GSCU12KWH ONPK</v>
      </c>
      <c r="B401" t="s">
        <v>640</v>
      </c>
      <c r="C401" t="s">
        <v>129</v>
      </c>
      <c r="D401">
        <v>1960001</v>
      </c>
      <c r="E401">
        <v>1783717</v>
      </c>
      <c r="F401">
        <v>1663710</v>
      </c>
      <c r="G401">
        <v>2091260</v>
      </c>
      <c r="H401">
        <v>2010878</v>
      </c>
      <c r="I401">
        <v>2068768</v>
      </c>
      <c r="J401">
        <v>2109375</v>
      </c>
      <c r="K401">
        <v>1735493</v>
      </c>
      <c r="L401">
        <v>1768299</v>
      </c>
      <c r="M401">
        <v>1786979</v>
      </c>
      <c r="N401">
        <v>1346140</v>
      </c>
      <c r="O401">
        <v>1518841</v>
      </c>
    </row>
    <row r="402" spans="1:16">
      <c r="A402" t="str">
        <f t="shared" si="5"/>
        <v>GSCU12KWH OFFPK</v>
      </c>
      <c r="B402" t="s">
        <v>640</v>
      </c>
      <c r="C402" t="s">
        <v>130</v>
      </c>
      <c r="D402">
        <v>6339372</v>
      </c>
      <c r="E402">
        <v>5728461</v>
      </c>
      <c r="F402">
        <v>5701838</v>
      </c>
      <c r="G402">
        <v>5492962</v>
      </c>
      <c r="H402">
        <v>5882381</v>
      </c>
      <c r="I402">
        <v>5812054</v>
      </c>
      <c r="J402">
        <v>5802468</v>
      </c>
      <c r="K402">
        <v>5087899</v>
      </c>
      <c r="L402">
        <v>4959615</v>
      </c>
      <c r="M402">
        <v>4627199</v>
      </c>
      <c r="N402">
        <v>5032100</v>
      </c>
      <c r="O402">
        <v>4912587</v>
      </c>
    </row>
    <row r="403" spans="1:16">
      <c r="A403" t="str">
        <f t="shared" si="5"/>
        <v>GSCU12KWH ONPK%</v>
      </c>
      <c r="B403" t="s">
        <v>640</v>
      </c>
      <c r="C403" t="s">
        <v>131</v>
      </c>
      <c r="D403" s="5">
        <v>0.23616000000000001</v>
      </c>
      <c r="E403" s="5">
        <v>0.23744000000000001</v>
      </c>
      <c r="F403" s="5">
        <v>0.22588</v>
      </c>
      <c r="G403" s="5">
        <v>0.27573999999999999</v>
      </c>
      <c r="H403" s="5">
        <v>0.25475999999999999</v>
      </c>
      <c r="I403" s="5">
        <v>0.26251000000000002</v>
      </c>
      <c r="J403" s="5">
        <v>0.26661000000000001</v>
      </c>
      <c r="K403" s="5">
        <v>0.25434000000000001</v>
      </c>
      <c r="L403" s="5">
        <v>0.26283000000000001</v>
      </c>
      <c r="M403" s="5">
        <v>0.27860000000000001</v>
      </c>
      <c r="N403" s="5">
        <v>0.21104999999999999</v>
      </c>
      <c r="O403" s="5">
        <v>0.23616000000000001</v>
      </c>
      <c r="P403" s="5"/>
    </row>
    <row r="404" spans="1:16">
      <c r="A404" t="str">
        <f t="shared" si="5"/>
        <v>GSCU12KWH OFFPK%</v>
      </c>
      <c r="B404" t="s">
        <v>640</v>
      </c>
      <c r="C404" t="s">
        <v>132</v>
      </c>
      <c r="D404" s="5">
        <v>0.76383999999999996</v>
      </c>
      <c r="E404" s="5">
        <v>0.76256000000000002</v>
      </c>
      <c r="F404" s="5">
        <v>0.77412000000000003</v>
      </c>
      <c r="G404" s="5">
        <v>0.72426000000000001</v>
      </c>
      <c r="H404" s="5">
        <v>0.74524000000000001</v>
      </c>
      <c r="I404" s="5">
        <v>0.73748999999999998</v>
      </c>
      <c r="J404" s="5">
        <v>0.73338999999999999</v>
      </c>
      <c r="K404" s="5">
        <v>0.74565999999999999</v>
      </c>
      <c r="L404" s="5">
        <v>0.73716999999999999</v>
      </c>
      <c r="M404" s="5">
        <v>0.72140000000000004</v>
      </c>
      <c r="N404" s="5">
        <v>0.78895000000000004</v>
      </c>
      <c r="O404" s="5">
        <v>0.76383999999999996</v>
      </c>
      <c r="P404" s="5"/>
    </row>
    <row r="405" spans="1:16">
      <c r="A405" t="str">
        <f t="shared" si="5"/>
        <v>GSCU12DEMAND (KW):</v>
      </c>
      <c r="B405" t="s">
        <v>640</v>
      </c>
      <c r="C405" t="s">
        <v>62</v>
      </c>
    </row>
    <row r="406" spans="1:16">
      <c r="A406" t="str">
        <f t="shared" si="5"/>
        <v>GSCU12NCP</v>
      </c>
      <c r="B406" t="s">
        <v>640</v>
      </c>
      <c r="C406" t="s">
        <v>133</v>
      </c>
      <c r="D406">
        <v>12264</v>
      </c>
      <c r="E406">
        <v>11976</v>
      </c>
      <c r="F406">
        <v>10536</v>
      </c>
      <c r="G406">
        <v>11033</v>
      </c>
      <c r="H406">
        <v>10960</v>
      </c>
      <c r="I406">
        <v>12039</v>
      </c>
      <c r="J406">
        <v>11202</v>
      </c>
      <c r="K406">
        <v>10094</v>
      </c>
      <c r="L406">
        <v>10387</v>
      </c>
      <c r="M406">
        <v>9892</v>
      </c>
      <c r="N406">
        <v>9425</v>
      </c>
      <c r="O406">
        <v>9746</v>
      </c>
    </row>
    <row r="407" spans="1:16">
      <c r="A407" t="str">
        <f t="shared" si="5"/>
        <v>GSCU12NCP ONPK</v>
      </c>
      <c r="B407" t="s">
        <v>640</v>
      </c>
      <c r="C407" t="s">
        <v>134</v>
      </c>
      <c r="D407">
        <v>11612</v>
      </c>
      <c r="E407">
        <v>11683</v>
      </c>
      <c r="F407">
        <v>10124</v>
      </c>
      <c r="G407">
        <v>10915</v>
      </c>
      <c r="H407">
        <v>10908</v>
      </c>
      <c r="I407">
        <v>11819</v>
      </c>
      <c r="J407">
        <v>11061</v>
      </c>
      <c r="K407">
        <v>9676</v>
      </c>
      <c r="L407">
        <v>9877</v>
      </c>
      <c r="M407">
        <v>9380</v>
      </c>
      <c r="N407">
        <v>9124</v>
      </c>
      <c r="O407">
        <v>9034</v>
      </c>
    </row>
    <row r="408" spans="1:16">
      <c r="A408" t="str">
        <f t="shared" si="5"/>
        <v>GSCU12NCP OFFPK</v>
      </c>
      <c r="B408" t="s">
        <v>640</v>
      </c>
      <c r="C408" t="s">
        <v>135</v>
      </c>
      <c r="D408">
        <v>12244</v>
      </c>
      <c r="E408">
        <v>11885</v>
      </c>
      <c r="F408">
        <v>10532</v>
      </c>
      <c r="G408">
        <v>10838</v>
      </c>
      <c r="H408">
        <v>10809</v>
      </c>
      <c r="I408">
        <v>11546</v>
      </c>
      <c r="J408">
        <v>10981</v>
      </c>
      <c r="K408">
        <v>9914</v>
      </c>
      <c r="L408">
        <v>10074</v>
      </c>
      <c r="M408">
        <v>9608</v>
      </c>
      <c r="N408">
        <v>9371</v>
      </c>
      <c r="O408">
        <v>9665</v>
      </c>
    </row>
    <row r="409" spans="1:16">
      <c r="A409" t="str">
        <f t="shared" si="5"/>
        <v>GSCU12GCP DATE</v>
      </c>
      <c r="B409" t="s">
        <v>640</v>
      </c>
      <c r="C409" t="s">
        <v>136</v>
      </c>
      <c r="D409" t="s">
        <v>641</v>
      </c>
      <c r="E409" t="s">
        <v>642</v>
      </c>
      <c r="F409" t="s">
        <v>643</v>
      </c>
      <c r="G409" t="s">
        <v>644</v>
      </c>
      <c r="H409" t="s">
        <v>645</v>
      </c>
      <c r="I409" t="s">
        <v>285</v>
      </c>
      <c r="J409" t="s">
        <v>282</v>
      </c>
      <c r="K409" t="s">
        <v>278</v>
      </c>
      <c r="L409" t="s">
        <v>646</v>
      </c>
      <c r="M409" t="s">
        <v>647</v>
      </c>
      <c r="N409" t="s">
        <v>648</v>
      </c>
      <c r="O409" t="s">
        <v>321</v>
      </c>
    </row>
    <row r="410" spans="1:16">
      <c r="A410" t="str">
        <f t="shared" si="5"/>
        <v>GSCU12GCP TIME</v>
      </c>
      <c r="B410" t="s">
        <v>640</v>
      </c>
      <c r="C410" t="s">
        <v>142</v>
      </c>
      <c r="D410" t="s">
        <v>196</v>
      </c>
      <c r="E410" t="s">
        <v>196</v>
      </c>
      <c r="F410" t="s">
        <v>146</v>
      </c>
      <c r="G410" t="s">
        <v>143</v>
      </c>
      <c r="H410" t="s">
        <v>182</v>
      </c>
      <c r="I410" t="s">
        <v>182</v>
      </c>
      <c r="J410" t="s">
        <v>145</v>
      </c>
      <c r="K410" t="s">
        <v>200</v>
      </c>
      <c r="L410" t="s">
        <v>144</v>
      </c>
      <c r="M410" t="s">
        <v>195</v>
      </c>
      <c r="N410" t="s">
        <v>143</v>
      </c>
      <c r="O410" t="s">
        <v>196</v>
      </c>
    </row>
    <row r="411" spans="1:16">
      <c r="A411" t="str">
        <f t="shared" si="5"/>
        <v>GSCU12GCP</v>
      </c>
      <c r="B411" t="s">
        <v>640</v>
      </c>
      <c r="C411" t="s">
        <v>147</v>
      </c>
      <c r="D411">
        <v>11473</v>
      </c>
      <c r="E411">
        <v>11409</v>
      </c>
      <c r="F411">
        <v>10046</v>
      </c>
      <c r="G411">
        <v>10666</v>
      </c>
      <c r="H411">
        <v>10712</v>
      </c>
      <c r="I411">
        <v>11291</v>
      </c>
      <c r="J411">
        <v>10819</v>
      </c>
      <c r="K411">
        <v>9338</v>
      </c>
      <c r="L411">
        <v>9488</v>
      </c>
      <c r="M411">
        <v>8854</v>
      </c>
      <c r="N411">
        <v>8999</v>
      </c>
      <c r="O411">
        <v>9115</v>
      </c>
    </row>
    <row r="412" spans="1:16">
      <c r="A412" t="str">
        <f t="shared" si="5"/>
        <v>GSCU12GCP ONPK</v>
      </c>
      <c r="B412" t="s">
        <v>640</v>
      </c>
      <c r="C412" t="s">
        <v>63</v>
      </c>
      <c r="D412">
        <v>11337</v>
      </c>
      <c r="E412">
        <v>11382</v>
      </c>
      <c r="F412">
        <v>9976</v>
      </c>
      <c r="G412">
        <v>10648</v>
      </c>
      <c r="H412">
        <v>10712</v>
      </c>
      <c r="I412">
        <v>11291</v>
      </c>
      <c r="J412">
        <v>10819</v>
      </c>
      <c r="K412">
        <v>9278</v>
      </c>
      <c r="L412">
        <v>9488</v>
      </c>
      <c r="M412">
        <v>8854</v>
      </c>
      <c r="N412">
        <v>8939</v>
      </c>
      <c r="O412">
        <v>8798</v>
      </c>
    </row>
    <row r="413" spans="1:16">
      <c r="A413" t="str">
        <f t="shared" si="5"/>
        <v>GSCU12GCP OFFPK</v>
      </c>
      <c r="B413" t="s">
        <v>640</v>
      </c>
      <c r="C413" t="s">
        <v>64</v>
      </c>
      <c r="D413">
        <v>11473</v>
      </c>
      <c r="E413">
        <v>11409</v>
      </c>
      <c r="F413">
        <v>10046</v>
      </c>
      <c r="G413">
        <v>10666</v>
      </c>
      <c r="H413">
        <v>10662</v>
      </c>
      <c r="I413">
        <v>11117</v>
      </c>
      <c r="J413">
        <v>10779</v>
      </c>
      <c r="K413">
        <v>9338</v>
      </c>
      <c r="L413">
        <v>9482</v>
      </c>
      <c r="M413">
        <v>8801</v>
      </c>
      <c r="N413">
        <v>8999</v>
      </c>
      <c r="O413">
        <v>9115</v>
      </c>
    </row>
    <row r="414" spans="1:16">
      <c r="A414" t="str">
        <f t="shared" si="5"/>
        <v>GSCU12CP</v>
      </c>
      <c r="B414" t="s">
        <v>640</v>
      </c>
      <c r="C414" t="s">
        <v>148</v>
      </c>
      <c r="D414">
        <v>10834</v>
      </c>
      <c r="E414">
        <v>11332</v>
      </c>
      <c r="F414">
        <v>9990</v>
      </c>
      <c r="G414">
        <v>10062</v>
      </c>
      <c r="H414">
        <v>10660</v>
      </c>
      <c r="I414">
        <v>10992</v>
      </c>
      <c r="J414">
        <v>10653</v>
      </c>
      <c r="K414">
        <v>9201</v>
      </c>
      <c r="L414">
        <v>9381</v>
      </c>
      <c r="M414">
        <v>8673</v>
      </c>
      <c r="N414">
        <v>8945</v>
      </c>
      <c r="O414">
        <v>8689</v>
      </c>
    </row>
    <row r="415" spans="1:16">
      <c r="A415" t="str">
        <f t="shared" si="5"/>
        <v>GSCU12PERIOD START</v>
      </c>
      <c r="B415" t="s">
        <v>640</v>
      </c>
      <c r="C415" t="s">
        <v>149</v>
      </c>
      <c r="D415" s="1">
        <v>41640</v>
      </c>
      <c r="E415" s="1">
        <v>41671</v>
      </c>
      <c r="F415" s="1">
        <v>41699</v>
      </c>
      <c r="G415" s="1">
        <v>41730</v>
      </c>
      <c r="H415" s="1">
        <v>41760</v>
      </c>
      <c r="I415" s="1">
        <v>41791</v>
      </c>
      <c r="J415" s="1">
        <v>41821</v>
      </c>
      <c r="K415" s="1">
        <v>41852</v>
      </c>
      <c r="L415" s="1">
        <v>41883</v>
      </c>
      <c r="M415" s="1">
        <v>41913</v>
      </c>
      <c r="N415" s="1">
        <v>41944</v>
      </c>
      <c r="O415" s="1">
        <v>41974</v>
      </c>
      <c r="P415" s="1"/>
    </row>
    <row r="416" spans="1:16">
      <c r="A416" t="str">
        <f t="shared" si="5"/>
        <v>GSCU12NCP LF</v>
      </c>
      <c r="B416" t="s">
        <v>640</v>
      </c>
      <c r="C416" t="s">
        <v>150</v>
      </c>
      <c r="D416" s="5">
        <v>0.90959999999999996</v>
      </c>
      <c r="E416" s="5">
        <v>0.93340000000000001</v>
      </c>
      <c r="F416" s="5">
        <v>0.93959999999999999</v>
      </c>
      <c r="G416" s="5">
        <v>0.95469999999999999</v>
      </c>
      <c r="H416" s="5">
        <v>0.96799999999999997</v>
      </c>
      <c r="I416" s="5">
        <v>0.90920000000000001</v>
      </c>
      <c r="J416" s="5">
        <v>0.94930000000000003</v>
      </c>
      <c r="K416" s="5">
        <v>0.90859999999999996</v>
      </c>
      <c r="L416" s="5">
        <v>0.89959999999999996</v>
      </c>
      <c r="M416" s="5">
        <v>0.87150000000000005</v>
      </c>
      <c r="N416" s="5">
        <v>0.93989999999999996</v>
      </c>
      <c r="O416" s="5">
        <v>0.88700000000000001</v>
      </c>
      <c r="P416" s="5"/>
    </row>
    <row r="417" spans="1:16">
      <c r="A417" t="str">
        <f t="shared" si="5"/>
        <v>GSCU12NCP LF ONPK</v>
      </c>
      <c r="B417" t="s">
        <v>640</v>
      </c>
      <c r="C417" t="s">
        <v>151</v>
      </c>
      <c r="D417" s="5">
        <v>0.95899999999999996</v>
      </c>
      <c r="E417" s="5">
        <v>0.95420000000000005</v>
      </c>
      <c r="F417" s="5">
        <v>0.97819999999999996</v>
      </c>
      <c r="G417" s="5">
        <v>0.96760000000000002</v>
      </c>
      <c r="H417" s="5">
        <v>0.97540000000000004</v>
      </c>
      <c r="I417" s="5">
        <v>0.92610000000000003</v>
      </c>
      <c r="J417" s="5">
        <v>0.96309999999999996</v>
      </c>
      <c r="K417" s="5">
        <v>0.94899999999999995</v>
      </c>
      <c r="L417" s="5">
        <v>0.94730000000000003</v>
      </c>
      <c r="M417" s="5">
        <v>0.9204</v>
      </c>
      <c r="N417" s="5">
        <v>0.97060000000000002</v>
      </c>
      <c r="O417" s="5">
        <v>0.95530000000000004</v>
      </c>
      <c r="P417" s="5"/>
    </row>
    <row r="418" spans="1:16">
      <c r="A418" t="str">
        <f t="shared" si="5"/>
        <v>GSCU12NCP LF OFFPK</v>
      </c>
      <c r="B418" t="s">
        <v>640</v>
      </c>
      <c r="C418" t="s">
        <v>152</v>
      </c>
      <c r="D418" s="5">
        <v>0.91149999999999998</v>
      </c>
      <c r="E418" s="5">
        <v>0.94140000000000001</v>
      </c>
      <c r="F418" s="5">
        <v>0.93989999999999996</v>
      </c>
      <c r="G418" s="5">
        <v>0.97089999999999999</v>
      </c>
      <c r="H418" s="5">
        <v>0.98060000000000003</v>
      </c>
      <c r="I418" s="5">
        <v>0.94799999999999995</v>
      </c>
      <c r="J418" s="5">
        <v>0.96779999999999999</v>
      </c>
      <c r="K418" s="5">
        <v>0.92469999999999997</v>
      </c>
      <c r="L418" s="5">
        <v>0.92720000000000002</v>
      </c>
      <c r="M418" s="5">
        <v>0.89680000000000004</v>
      </c>
      <c r="N418" s="5">
        <v>0.94540000000000002</v>
      </c>
      <c r="O418" s="5">
        <v>0.89490000000000003</v>
      </c>
      <c r="P418" s="5"/>
    </row>
    <row r="419" spans="1:16">
      <c r="A419" t="str">
        <f t="shared" si="5"/>
        <v>GSCU12GCP CF</v>
      </c>
      <c r="B419" t="s">
        <v>640</v>
      </c>
      <c r="C419" t="s">
        <v>153</v>
      </c>
      <c r="D419" s="5">
        <v>0.9355</v>
      </c>
      <c r="E419" s="5">
        <v>0.9526</v>
      </c>
      <c r="F419" s="5">
        <v>0.95350000000000001</v>
      </c>
      <c r="G419" s="5">
        <v>0.9667</v>
      </c>
      <c r="H419" s="5">
        <v>0.97740000000000005</v>
      </c>
      <c r="I419" s="5">
        <v>0.93779999999999997</v>
      </c>
      <c r="J419" s="5">
        <v>0.96589999999999998</v>
      </c>
      <c r="K419" s="5">
        <v>0.92510000000000003</v>
      </c>
      <c r="L419" s="5">
        <v>0.91339999999999999</v>
      </c>
      <c r="M419" s="5">
        <v>0.89500000000000002</v>
      </c>
      <c r="N419" s="5">
        <v>0.95479999999999998</v>
      </c>
      <c r="O419" s="5">
        <v>0.93530000000000002</v>
      </c>
      <c r="P419" s="5"/>
    </row>
    <row r="420" spans="1:16">
      <c r="A420" t="str">
        <f t="shared" si="5"/>
        <v>GSCU12CP CF</v>
      </c>
      <c r="B420" t="s">
        <v>640</v>
      </c>
      <c r="C420" t="s">
        <v>154</v>
      </c>
      <c r="D420" s="5">
        <v>0.88339999999999996</v>
      </c>
      <c r="E420" s="5">
        <v>0.94620000000000004</v>
      </c>
      <c r="F420" s="5">
        <v>0.94820000000000004</v>
      </c>
      <c r="G420" s="5">
        <v>0.91200000000000003</v>
      </c>
      <c r="H420" s="5">
        <v>0.97260000000000002</v>
      </c>
      <c r="I420" s="5">
        <v>0.91310000000000002</v>
      </c>
      <c r="J420" s="5">
        <v>0.95109999999999995</v>
      </c>
      <c r="K420" s="5">
        <v>0.91149999999999998</v>
      </c>
      <c r="L420" s="5">
        <v>0.90310000000000001</v>
      </c>
      <c r="M420" s="5">
        <v>0.87670000000000003</v>
      </c>
      <c r="N420" s="5">
        <v>0.94910000000000005</v>
      </c>
      <c r="O420" s="5">
        <v>0.89149999999999996</v>
      </c>
      <c r="P420" s="5"/>
    </row>
    <row r="421" spans="1:16">
      <c r="A421" t="str">
        <f t="shared" si="5"/>
        <v>GSCU12GCP LF</v>
      </c>
      <c r="B421" t="s">
        <v>640</v>
      </c>
      <c r="C421" t="s">
        <v>155</v>
      </c>
      <c r="D421" s="5">
        <v>0.97230000000000005</v>
      </c>
      <c r="E421" s="5">
        <v>0.9798</v>
      </c>
      <c r="F421" s="5">
        <v>0.98540000000000005</v>
      </c>
      <c r="G421" s="5">
        <v>0.98760000000000003</v>
      </c>
      <c r="H421" s="5">
        <v>0.99039999999999995</v>
      </c>
      <c r="I421" s="5">
        <v>0.96940000000000004</v>
      </c>
      <c r="J421" s="5">
        <v>0.9829</v>
      </c>
      <c r="K421" s="5">
        <v>0.98219999999999996</v>
      </c>
      <c r="L421" s="5">
        <v>0.9849</v>
      </c>
      <c r="M421" s="5">
        <v>0.97370000000000001</v>
      </c>
      <c r="N421" s="5">
        <v>0.98440000000000005</v>
      </c>
      <c r="O421" s="5">
        <v>0.94840000000000002</v>
      </c>
      <c r="P421" s="5"/>
    </row>
    <row r="422" spans="1:16">
      <c r="A422" t="str">
        <f t="shared" si="5"/>
        <v>GSCU12GCP LF ONPK</v>
      </c>
      <c r="B422" t="s">
        <v>640</v>
      </c>
      <c r="C422" t="s">
        <v>156</v>
      </c>
      <c r="D422" s="5">
        <v>0.98229999999999995</v>
      </c>
      <c r="E422" s="5">
        <v>0.97940000000000005</v>
      </c>
      <c r="F422" s="5">
        <v>0.99260000000000004</v>
      </c>
      <c r="G422" s="5">
        <v>0.99199999999999999</v>
      </c>
      <c r="H422" s="5">
        <v>0.99319999999999997</v>
      </c>
      <c r="I422" s="5">
        <v>0.96950000000000003</v>
      </c>
      <c r="J422" s="5">
        <v>0.98470000000000002</v>
      </c>
      <c r="K422" s="5">
        <v>0.98970000000000002</v>
      </c>
      <c r="L422" s="5">
        <v>0.98609999999999998</v>
      </c>
      <c r="M422" s="5">
        <v>0.97499999999999998</v>
      </c>
      <c r="N422" s="5">
        <v>0.99080000000000001</v>
      </c>
      <c r="O422" s="5">
        <v>0.98089999999999999</v>
      </c>
      <c r="P422" s="5"/>
    </row>
    <row r="423" spans="1:16">
      <c r="A423" t="str">
        <f t="shared" si="5"/>
        <v>GSCU12GCP LF OFFPK</v>
      </c>
      <c r="B423" t="s">
        <v>640</v>
      </c>
      <c r="C423" t="s">
        <v>157</v>
      </c>
      <c r="D423" s="5">
        <v>0.9728</v>
      </c>
      <c r="E423" s="5">
        <v>0.98070000000000002</v>
      </c>
      <c r="F423" s="5">
        <v>0.98529999999999995</v>
      </c>
      <c r="G423" s="5">
        <v>0.98660000000000003</v>
      </c>
      <c r="H423" s="5">
        <v>0.99409999999999998</v>
      </c>
      <c r="I423" s="5">
        <v>0.98460000000000003</v>
      </c>
      <c r="J423" s="5">
        <v>0.98599999999999999</v>
      </c>
      <c r="K423" s="5">
        <v>0.98180000000000001</v>
      </c>
      <c r="L423" s="5">
        <v>0.98499999999999999</v>
      </c>
      <c r="M423" s="5">
        <v>0.97909999999999997</v>
      </c>
      <c r="N423" s="5">
        <v>0.98450000000000004</v>
      </c>
      <c r="O423" s="5">
        <v>0.94889999999999997</v>
      </c>
      <c r="P423" s="5"/>
    </row>
    <row r="424" spans="1:16">
      <c r="A424" t="str">
        <f t="shared" si="5"/>
        <v>GSCU12CP LF</v>
      </c>
      <c r="B424" t="s">
        <v>640</v>
      </c>
      <c r="C424" t="s">
        <v>158</v>
      </c>
      <c r="D424" s="5">
        <v>1.0296000000000001</v>
      </c>
      <c r="E424" s="5">
        <v>0.98640000000000005</v>
      </c>
      <c r="F424" s="5">
        <v>0.9909</v>
      </c>
      <c r="G424" s="5">
        <v>1.0468</v>
      </c>
      <c r="H424" s="5">
        <v>0.99519999999999997</v>
      </c>
      <c r="I424" s="5">
        <v>0.99570000000000003</v>
      </c>
      <c r="J424" s="5">
        <v>0.99819999999999998</v>
      </c>
      <c r="K424" s="5">
        <v>0.99680000000000002</v>
      </c>
      <c r="L424" s="5">
        <v>0.99609999999999999</v>
      </c>
      <c r="M424" s="5">
        <v>0.99399999999999999</v>
      </c>
      <c r="N424" s="5">
        <v>0.99029999999999996</v>
      </c>
      <c r="O424" s="5">
        <v>0.99490000000000001</v>
      </c>
      <c r="P424" s="5"/>
    </row>
    <row r="425" spans="1:16">
      <c r="A425" t="str">
        <f t="shared" si="5"/>
        <v>GSCU12REL PREC:</v>
      </c>
      <c r="B425" t="s">
        <v>640</v>
      </c>
      <c r="C425" t="s">
        <v>65</v>
      </c>
    </row>
    <row r="426" spans="1:16">
      <c r="A426" t="str">
        <f t="shared" si="5"/>
        <v>GSCU12NCP RP</v>
      </c>
      <c r="B426" t="s">
        <v>640</v>
      </c>
      <c r="C426" t="s">
        <v>159</v>
      </c>
      <c r="D426" s="5">
        <v>3.8199999999999998E-2</v>
      </c>
      <c r="E426" s="5">
        <v>1.8700000000000001E-2</v>
      </c>
      <c r="F426" s="5">
        <v>2.1499999999999998E-2</v>
      </c>
      <c r="G426" s="5">
        <v>2.06E-2</v>
      </c>
      <c r="H426" s="5">
        <v>1.66E-2</v>
      </c>
      <c r="I426" s="5">
        <v>5.5E-2</v>
      </c>
      <c r="J426" s="5">
        <v>3.1800000000000002E-2</v>
      </c>
      <c r="K426" s="5">
        <v>4.9099999999999998E-2</v>
      </c>
      <c r="L426" s="5">
        <v>5.0099999999999999E-2</v>
      </c>
      <c r="M426" s="5">
        <v>7.3499999999999996E-2</v>
      </c>
      <c r="N426" s="5">
        <v>2.7300000000000001E-2</v>
      </c>
      <c r="O426" s="5">
        <v>9.7799999999999998E-2</v>
      </c>
      <c r="P426" s="5"/>
    </row>
    <row r="427" spans="1:16">
      <c r="A427" t="str">
        <f t="shared" si="5"/>
        <v>GSCU12NCP RP ONPK</v>
      </c>
      <c r="B427" t="s">
        <v>640</v>
      </c>
      <c r="C427" t="s">
        <v>160</v>
      </c>
      <c r="D427" s="5">
        <v>1.09E-2</v>
      </c>
      <c r="E427" s="5">
        <v>1.5599999999999999E-2</v>
      </c>
      <c r="F427" s="5">
        <v>0.01</v>
      </c>
      <c r="G427" s="5">
        <v>1.77E-2</v>
      </c>
      <c r="H427" s="5">
        <v>1.5800000000000002E-2</v>
      </c>
      <c r="I427" s="5">
        <v>5.5399999999999998E-2</v>
      </c>
      <c r="J427" s="5">
        <v>2.3400000000000001E-2</v>
      </c>
      <c r="K427" s="5">
        <v>3.1899999999999998E-2</v>
      </c>
      <c r="L427" s="5">
        <v>3.85E-2</v>
      </c>
      <c r="M427" s="5">
        <v>5.67E-2</v>
      </c>
      <c r="N427" s="5">
        <v>1.2999999999999999E-2</v>
      </c>
      <c r="O427" s="5">
        <v>2.7300000000000001E-2</v>
      </c>
      <c r="P427" s="5"/>
    </row>
    <row r="428" spans="1:16">
      <c r="A428" t="str">
        <f t="shared" si="5"/>
        <v>GSCU12NCP RP OFFPK</v>
      </c>
      <c r="B428" t="s">
        <v>640</v>
      </c>
      <c r="C428" t="s">
        <v>161</v>
      </c>
      <c r="D428" s="5">
        <v>3.8199999999999998E-2</v>
      </c>
      <c r="E428" s="5">
        <v>1.84E-2</v>
      </c>
      <c r="F428" s="5">
        <v>2.1499999999999998E-2</v>
      </c>
      <c r="G428" s="5">
        <v>1.4999999999999999E-2</v>
      </c>
      <c r="H428" s="5">
        <v>7.0000000000000001E-3</v>
      </c>
      <c r="I428" s="5">
        <v>3.04E-2</v>
      </c>
      <c r="J428" s="5">
        <v>2.5399999999999999E-2</v>
      </c>
      <c r="K428" s="5">
        <v>4.3499999999999997E-2</v>
      </c>
      <c r="L428" s="5">
        <v>4.0099999999999997E-2</v>
      </c>
      <c r="M428" s="5">
        <v>6.4000000000000001E-2</v>
      </c>
      <c r="N428" s="5">
        <v>2.6499999999999999E-2</v>
      </c>
      <c r="O428" s="5">
        <v>9.8900000000000002E-2</v>
      </c>
      <c r="P428" s="5"/>
    </row>
    <row r="429" spans="1:16">
      <c r="A429" t="str">
        <f t="shared" si="5"/>
        <v>GSCU12GCP RP</v>
      </c>
      <c r="B429" t="s">
        <v>640</v>
      </c>
      <c r="C429" t="s">
        <v>162</v>
      </c>
      <c r="D429" s="5">
        <v>3.95E-2</v>
      </c>
      <c r="E429" s="5">
        <v>1.6799999999999999E-2</v>
      </c>
      <c r="F429" s="5">
        <v>8.0000000000000002E-3</v>
      </c>
      <c r="G429" s="5">
        <v>1.0699999999999999E-2</v>
      </c>
      <c r="H429" s="5">
        <v>1.2699999999999999E-2</v>
      </c>
      <c r="I429" s="5">
        <v>4.7800000000000002E-2</v>
      </c>
      <c r="J429" s="5">
        <v>2.2599999999999999E-2</v>
      </c>
      <c r="K429" s="5">
        <v>3.95E-2</v>
      </c>
      <c r="L429" s="5">
        <v>3.49E-2</v>
      </c>
      <c r="M429" s="5">
        <v>4.6399999999999997E-2</v>
      </c>
      <c r="N429" s="5">
        <v>1.35E-2</v>
      </c>
      <c r="O429" s="5">
        <v>9.8000000000000004E-2</v>
      </c>
      <c r="P429" s="5"/>
    </row>
    <row r="430" spans="1:16">
      <c r="A430" t="str">
        <f t="shared" si="5"/>
        <v>GSCU12GCP RP ONPK</v>
      </c>
      <c r="B430" t="s">
        <v>640</v>
      </c>
      <c r="C430" t="s">
        <v>163</v>
      </c>
      <c r="D430" s="5">
        <v>8.5000000000000006E-3</v>
      </c>
      <c r="E430" s="5">
        <v>1.4200000000000001E-2</v>
      </c>
      <c r="F430" s="5">
        <v>2.8E-3</v>
      </c>
      <c r="G430" s="5">
        <v>1.09E-2</v>
      </c>
      <c r="H430" s="5">
        <v>1.2699999999999999E-2</v>
      </c>
      <c r="I430" s="5">
        <v>4.7800000000000002E-2</v>
      </c>
      <c r="J430" s="5">
        <v>2.2599999999999999E-2</v>
      </c>
      <c r="K430" s="5">
        <v>2.5600000000000001E-2</v>
      </c>
      <c r="L430" s="5">
        <v>3.49E-2</v>
      </c>
      <c r="M430" s="5">
        <v>4.6399999999999997E-2</v>
      </c>
      <c r="N430" s="5">
        <v>3.5999999999999999E-3</v>
      </c>
      <c r="O430" s="5">
        <v>2.6700000000000002E-2</v>
      </c>
      <c r="P430" s="5"/>
    </row>
    <row r="431" spans="1:16">
      <c r="A431" t="str">
        <f t="shared" ref="A431:A494" si="6">B431&amp;C431</f>
        <v>GSCU12GCP RP OFFPK</v>
      </c>
      <c r="B431" t="s">
        <v>640</v>
      </c>
      <c r="C431" t="s">
        <v>164</v>
      </c>
      <c r="D431" s="5">
        <v>3.95E-2</v>
      </c>
      <c r="E431" s="5">
        <v>1.6799999999999999E-2</v>
      </c>
      <c r="F431" s="5">
        <v>8.0000000000000002E-3</v>
      </c>
      <c r="G431" s="5">
        <v>1.0699999999999999E-2</v>
      </c>
      <c r="H431" s="5">
        <v>2.8999999999999998E-3</v>
      </c>
      <c r="I431" s="5">
        <v>2.6599999999999999E-2</v>
      </c>
      <c r="J431" s="5">
        <v>2.6200000000000001E-2</v>
      </c>
      <c r="K431" s="5">
        <v>3.95E-2</v>
      </c>
      <c r="L431" s="5">
        <v>2.6599999999999999E-2</v>
      </c>
      <c r="M431" s="5">
        <v>4.5400000000000003E-2</v>
      </c>
      <c r="N431" s="5">
        <v>1.35E-2</v>
      </c>
      <c r="O431" s="5">
        <v>9.8000000000000004E-2</v>
      </c>
      <c r="P431" s="5"/>
    </row>
    <row r="432" spans="1:16">
      <c r="A432" t="str">
        <f t="shared" si="6"/>
        <v>GSCU12CP RP</v>
      </c>
      <c r="B432" t="s">
        <v>640</v>
      </c>
      <c r="C432" t="s">
        <v>165</v>
      </c>
      <c r="D432" s="5">
        <v>1.0800000000000001E-2</v>
      </c>
      <c r="E432" s="5">
        <v>4.0000000000000001E-3</v>
      </c>
      <c r="F432" s="5">
        <v>3.8E-3</v>
      </c>
      <c r="G432" s="5">
        <v>7.1099999999999997E-2</v>
      </c>
      <c r="H432" s="5">
        <v>2.8999999999999998E-3</v>
      </c>
      <c r="I432" s="5">
        <v>5.7000000000000002E-3</v>
      </c>
      <c r="J432" s="5">
        <v>7.9000000000000008E-3</v>
      </c>
      <c r="K432" s="5">
        <v>3.3E-3</v>
      </c>
      <c r="L432" s="5">
        <v>2.7000000000000001E-3</v>
      </c>
      <c r="M432" s="5">
        <v>2.5999999999999999E-3</v>
      </c>
      <c r="N432" s="5">
        <v>4.8999999999999998E-3</v>
      </c>
      <c r="O432" s="5">
        <v>4.1999999999999997E-3</v>
      </c>
      <c r="P432" s="5"/>
    </row>
    <row r="433" spans="1:17">
      <c r="A433" t="str">
        <f t="shared" si="6"/>
        <v>GSCU12SAMPLE SIZE:</v>
      </c>
      <c r="B433" t="s">
        <v>640</v>
      </c>
      <c r="C433" t="s">
        <v>66</v>
      </c>
    </row>
    <row r="434" spans="1:17">
      <c r="A434" t="str">
        <f t="shared" si="6"/>
        <v>GSCU12GCPSZ</v>
      </c>
      <c r="B434" t="s">
        <v>640</v>
      </c>
      <c r="C434" t="s">
        <v>166</v>
      </c>
      <c r="D434">
        <v>60</v>
      </c>
      <c r="E434">
        <v>59</v>
      </c>
      <c r="F434">
        <v>56</v>
      </c>
      <c r="G434">
        <v>34</v>
      </c>
      <c r="H434">
        <v>39</v>
      </c>
      <c r="I434">
        <v>47</v>
      </c>
      <c r="J434">
        <v>36</v>
      </c>
      <c r="K434">
        <v>50</v>
      </c>
      <c r="L434">
        <v>58</v>
      </c>
      <c r="M434">
        <v>58</v>
      </c>
      <c r="N434">
        <v>50</v>
      </c>
      <c r="O434">
        <v>59</v>
      </c>
    </row>
    <row r="435" spans="1:17">
      <c r="A435" t="str">
        <f t="shared" si="6"/>
        <v>GSCU12GCPSZ ONPK</v>
      </c>
      <c r="B435" t="s">
        <v>640</v>
      </c>
      <c r="C435" t="s">
        <v>167</v>
      </c>
      <c r="D435">
        <v>60</v>
      </c>
      <c r="E435">
        <v>59</v>
      </c>
      <c r="F435">
        <v>56</v>
      </c>
      <c r="G435">
        <v>34</v>
      </c>
      <c r="H435">
        <v>39</v>
      </c>
      <c r="I435">
        <v>47</v>
      </c>
      <c r="J435">
        <v>36</v>
      </c>
      <c r="K435">
        <v>50</v>
      </c>
      <c r="L435">
        <v>58</v>
      </c>
      <c r="M435">
        <v>58</v>
      </c>
      <c r="N435">
        <v>50</v>
      </c>
      <c r="O435">
        <v>59</v>
      </c>
    </row>
    <row r="436" spans="1:17">
      <c r="A436" t="str">
        <f t="shared" si="6"/>
        <v>GSCU12GCPSZ OFFPK</v>
      </c>
      <c r="B436" t="s">
        <v>640</v>
      </c>
      <c r="C436" t="s">
        <v>168</v>
      </c>
      <c r="D436">
        <v>60</v>
      </c>
      <c r="E436">
        <v>59</v>
      </c>
      <c r="F436">
        <v>56</v>
      </c>
      <c r="G436">
        <v>34</v>
      </c>
      <c r="H436">
        <v>39</v>
      </c>
      <c r="I436">
        <v>47</v>
      </c>
      <c r="J436">
        <v>36</v>
      </c>
      <c r="K436">
        <v>50</v>
      </c>
      <c r="L436">
        <v>58</v>
      </c>
      <c r="M436">
        <v>58</v>
      </c>
      <c r="N436">
        <v>50</v>
      </c>
      <c r="O436">
        <v>59</v>
      </c>
    </row>
    <row r="437" spans="1:17">
      <c r="A437" t="str">
        <f t="shared" si="6"/>
        <v>GSCU12CPSZ</v>
      </c>
      <c r="B437" t="s">
        <v>640</v>
      </c>
      <c r="C437" t="s">
        <v>169</v>
      </c>
      <c r="D437">
        <v>60</v>
      </c>
      <c r="E437">
        <v>59</v>
      </c>
      <c r="F437">
        <v>56</v>
      </c>
      <c r="G437">
        <v>34</v>
      </c>
      <c r="H437">
        <v>39</v>
      </c>
      <c r="I437">
        <v>47</v>
      </c>
      <c r="J437">
        <v>36</v>
      </c>
      <c r="K437">
        <v>50</v>
      </c>
      <c r="L437">
        <v>58</v>
      </c>
      <c r="M437">
        <v>58</v>
      </c>
      <c r="N437">
        <v>50</v>
      </c>
      <c r="O437">
        <v>59</v>
      </c>
    </row>
    <row r="438" spans="1:17">
      <c r="A438" t="str">
        <f t="shared" si="6"/>
        <v/>
      </c>
    </row>
    <row r="439" spans="1:17">
      <c r="A439" t="str">
        <f t="shared" si="6"/>
        <v>NOTE:  In July 2014, a cancel replace was done for Comcast.  Customer Service's data warehouse was utilized for CUSTOMER and SALES from January through July 2014.</v>
      </c>
      <c r="B439" s="616" t="s">
        <v>637</v>
      </c>
      <c r="C439" s="616"/>
      <c r="D439" s="616"/>
      <c r="E439" s="616"/>
      <c r="F439" s="616"/>
      <c r="G439" s="616"/>
      <c r="H439" s="616"/>
      <c r="I439" s="616"/>
      <c r="J439" s="616"/>
      <c r="K439" s="616"/>
      <c r="L439" s="616"/>
      <c r="M439" s="616"/>
      <c r="N439" s="616"/>
      <c r="O439" s="616"/>
      <c r="P439" s="616"/>
      <c r="Q439" s="616"/>
    </row>
    <row r="440" spans="1:17">
      <c r="A440" t="str">
        <f t="shared" si="6"/>
        <v/>
      </c>
    </row>
    <row r="441" spans="1:17">
      <c r="A441" t="str">
        <f t="shared" si="6"/>
        <v xml:space="preserve">GSCU12 GSCU-1 General Service Constant Usage (0-20 kW) (Sampled) </v>
      </c>
      <c r="B441" t="s">
        <v>639</v>
      </c>
      <c r="C441" t="s">
        <v>297</v>
      </c>
    </row>
    <row r="442" spans="1:17">
      <c r="A442" t="str">
        <f t="shared" si="6"/>
        <v xml:space="preserve">GSCU12MONTH </v>
      </c>
      <c r="B442" t="s">
        <v>640</v>
      </c>
      <c r="C442" t="s">
        <v>123</v>
      </c>
      <c r="D442" s="4">
        <v>41640</v>
      </c>
      <c r="E442" s="4">
        <v>41671</v>
      </c>
      <c r="F442" s="4">
        <v>41699</v>
      </c>
      <c r="G442" s="4">
        <v>41730</v>
      </c>
      <c r="H442" s="4">
        <v>41760</v>
      </c>
      <c r="I442" s="4">
        <v>41791</v>
      </c>
      <c r="J442" s="4">
        <v>41821</v>
      </c>
      <c r="K442" s="4">
        <v>41852</v>
      </c>
      <c r="L442" s="4">
        <v>41883</v>
      </c>
      <c r="M442" s="4">
        <v>41913</v>
      </c>
      <c r="N442" s="4">
        <v>41944</v>
      </c>
      <c r="O442" s="4">
        <v>41974</v>
      </c>
      <c r="P442" s="4"/>
    </row>
    <row r="443" spans="1:17">
      <c r="A443" t="str">
        <f t="shared" si="6"/>
        <v/>
      </c>
    </row>
    <row r="444" spans="1:17">
      <c r="A444" t="str">
        <f t="shared" si="6"/>
        <v>GSCU12SDR GCP</v>
      </c>
      <c r="B444" t="s">
        <v>640</v>
      </c>
      <c r="C444" t="s">
        <v>171</v>
      </c>
      <c r="D444">
        <v>0.13700000000000001</v>
      </c>
      <c r="E444">
        <v>5.8000000000000003E-2</v>
      </c>
      <c r="F444">
        <v>2.1000000000000001E-2</v>
      </c>
      <c r="G444">
        <v>2.1999999999999999E-2</v>
      </c>
      <c r="H444">
        <v>0.03</v>
      </c>
      <c r="I444">
        <v>0.125</v>
      </c>
      <c r="J444">
        <v>5.0999999999999997E-2</v>
      </c>
      <c r="K444">
        <v>9.4E-2</v>
      </c>
      <c r="L444">
        <v>0.09</v>
      </c>
      <c r="M444">
        <v>0.114</v>
      </c>
      <c r="N444">
        <v>0.03</v>
      </c>
      <c r="O444">
        <v>0.249</v>
      </c>
    </row>
    <row r="445" spans="1:17">
      <c r="A445" t="str">
        <f t="shared" si="6"/>
        <v>GSCU12SDR GCP ONPK</v>
      </c>
      <c r="B445" t="s">
        <v>640</v>
      </c>
      <c r="C445" t="s">
        <v>172</v>
      </c>
      <c r="D445">
        <v>0.03</v>
      </c>
      <c r="E445">
        <v>4.9000000000000002E-2</v>
      </c>
      <c r="F445">
        <v>7.0000000000000001E-3</v>
      </c>
      <c r="G445">
        <v>2.1999999999999999E-2</v>
      </c>
      <c r="H445">
        <v>0.03</v>
      </c>
      <c r="I445">
        <v>0.125</v>
      </c>
      <c r="J445">
        <v>5.0999999999999997E-2</v>
      </c>
      <c r="K445">
        <v>5.8000000000000003E-2</v>
      </c>
      <c r="L445">
        <v>0.09</v>
      </c>
      <c r="M445">
        <v>0.114</v>
      </c>
      <c r="N445">
        <v>8.9999999999999993E-3</v>
      </c>
      <c r="O445">
        <v>6.5000000000000002E-2</v>
      </c>
    </row>
    <row r="446" spans="1:17">
      <c r="A446" t="str">
        <f t="shared" si="6"/>
        <v>GSCU12SDR GCP OFFP</v>
      </c>
      <c r="B446" t="s">
        <v>640</v>
      </c>
      <c r="C446" t="s">
        <v>219</v>
      </c>
      <c r="D446">
        <v>0.13700000000000001</v>
      </c>
      <c r="E446">
        <v>5.8000000000000003E-2</v>
      </c>
      <c r="F446">
        <v>2.1000000000000001E-2</v>
      </c>
      <c r="G446">
        <v>2.1999999999999999E-2</v>
      </c>
      <c r="H446">
        <v>6.0000000000000001E-3</v>
      </c>
      <c r="I446">
        <v>6.9000000000000006E-2</v>
      </c>
      <c r="J446">
        <v>5.8999999999999997E-2</v>
      </c>
      <c r="K446">
        <v>9.4E-2</v>
      </c>
      <c r="L446">
        <v>6.9000000000000006E-2</v>
      </c>
      <c r="M446">
        <v>0.108</v>
      </c>
      <c r="N446">
        <v>0.03</v>
      </c>
      <c r="O446">
        <v>0.249</v>
      </c>
    </row>
    <row r="447" spans="1:17">
      <c r="A447" t="str">
        <f t="shared" si="6"/>
        <v>GSCU12SDR CP</v>
      </c>
      <c r="B447" t="s">
        <v>640</v>
      </c>
      <c r="C447" t="s">
        <v>174</v>
      </c>
      <c r="D447">
        <v>3.5999999999999997E-2</v>
      </c>
      <c r="E447">
        <v>1.4E-2</v>
      </c>
      <c r="F447">
        <v>0.01</v>
      </c>
      <c r="G447">
        <v>0.14099999999999999</v>
      </c>
      <c r="H447">
        <v>6.0000000000000001E-3</v>
      </c>
      <c r="I447">
        <v>1.4999999999999999E-2</v>
      </c>
      <c r="J447">
        <v>1.7999999999999999E-2</v>
      </c>
      <c r="K447">
        <v>8.0000000000000002E-3</v>
      </c>
      <c r="L447">
        <v>7.0000000000000001E-3</v>
      </c>
      <c r="M447">
        <v>6.0000000000000001E-3</v>
      </c>
      <c r="N447">
        <v>1.0999999999999999E-2</v>
      </c>
      <c r="O447">
        <v>0.01</v>
      </c>
    </row>
    <row r="448" spans="1:17">
      <c r="A448" t="str">
        <f t="shared" si="6"/>
        <v/>
      </c>
    </row>
    <row r="449" spans="1:15">
      <c r="A449" t="str">
        <f t="shared" si="6"/>
        <v>GSCU12I   SDR GCP</v>
      </c>
      <c r="B449" t="s">
        <v>640</v>
      </c>
      <c r="C449" t="s">
        <v>220</v>
      </c>
      <c r="D449">
        <v>1.9E-2</v>
      </c>
      <c r="E449">
        <v>1.2E-2</v>
      </c>
      <c r="F449">
        <v>2.5000000000000001E-2</v>
      </c>
      <c r="G449">
        <v>2.4E-2</v>
      </c>
      <c r="H449">
        <v>7.0000000000000001E-3</v>
      </c>
      <c r="I449">
        <v>0.154</v>
      </c>
      <c r="J449">
        <v>6.3E-2</v>
      </c>
      <c r="K449">
        <v>1.4E-2</v>
      </c>
      <c r="L449">
        <v>0.11</v>
      </c>
      <c r="M449">
        <v>0.14099999999999999</v>
      </c>
      <c r="N449">
        <v>3.6999999999999998E-2</v>
      </c>
      <c r="O449">
        <v>0.308</v>
      </c>
    </row>
    <row r="450" spans="1:15">
      <c r="A450" t="str">
        <f t="shared" si="6"/>
        <v>GSCU12I   SDR GCP ONPK</v>
      </c>
      <c r="B450" t="s">
        <v>640</v>
      </c>
      <c r="C450" t="s">
        <v>221</v>
      </c>
      <c r="D450">
        <v>0.01</v>
      </c>
      <c r="E450">
        <v>1.0999999999999999E-2</v>
      </c>
      <c r="F450">
        <v>5.0000000000000001E-3</v>
      </c>
      <c r="G450">
        <v>2.5000000000000001E-2</v>
      </c>
      <c r="H450">
        <v>7.0000000000000001E-3</v>
      </c>
      <c r="I450">
        <v>0.154</v>
      </c>
      <c r="J450">
        <v>6.3E-2</v>
      </c>
      <c r="K450">
        <v>7.0999999999999994E-2</v>
      </c>
      <c r="L450">
        <v>0.11</v>
      </c>
      <c r="M450">
        <v>0.14099999999999999</v>
      </c>
      <c r="N450">
        <v>5.0000000000000001E-3</v>
      </c>
      <c r="O450">
        <v>0.08</v>
      </c>
    </row>
    <row r="451" spans="1:15">
      <c r="A451" t="str">
        <f t="shared" si="6"/>
        <v>GSCU12I   SDR GCP OFFPK</v>
      </c>
      <c r="B451" t="s">
        <v>640</v>
      </c>
      <c r="C451" t="s">
        <v>222</v>
      </c>
      <c r="D451">
        <v>1.9E-2</v>
      </c>
      <c r="E451">
        <v>1.2E-2</v>
      </c>
      <c r="F451">
        <v>2.5000000000000001E-2</v>
      </c>
      <c r="G451">
        <v>2.4E-2</v>
      </c>
      <c r="H451">
        <v>7.0000000000000001E-3</v>
      </c>
      <c r="I451">
        <v>8.4000000000000005E-2</v>
      </c>
      <c r="J451">
        <v>7.2999999999999995E-2</v>
      </c>
      <c r="K451">
        <v>1.4E-2</v>
      </c>
      <c r="L451">
        <v>8.9999999999999993E-3</v>
      </c>
      <c r="M451">
        <v>1.4999999999999999E-2</v>
      </c>
      <c r="N451">
        <v>3.6999999999999998E-2</v>
      </c>
      <c r="O451">
        <v>0.308</v>
      </c>
    </row>
    <row r="452" spans="1:15">
      <c r="A452" t="str">
        <f t="shared" si="6"/>
        <v>GSCU12I   SDR CP</v>
      </c>
      <c r="B452" t="s">
        <v>640</v>
      </c>
      <c r="C452" t="s">
        <v>638</v>
      </c>
      <c r="D452">
        <v>2.8000000000000001E-2</v>
      </c>
      <c r="E452">
        <v>8.9999999999999993E-3</v>
      </c>
      <c r="F452">
        <v>8.9999999999999993E-3</v>
      </c>
      <c r="G452">
        <v>0.11799999999999999</v>
      </c>
      <c r="H452">
        <v>7.0000000000000001E-3</v>
      </c>
      <c r="I452">
        <v>7.0000000000000001E-3</v>
      </c>
      <c r="J452">
        <v>0.01</v>
      </c>
      <c r="K452">
        <v>7.0000000000000001E-3</v>
      </c>
      <c r="L452">
        <v>3.0000000000000001E-3</v>
      </c>
      <c r="M452">
        <v>4.0000000000000001E-3</v>
      </c>
      <c r="N452">
        <v>8.0000000000000002E-3</v>
      </c>
      <c r="O452">
        <v>6.0000000000000001E-3</v>
      </c>
    </row>
    <row r="453" spans="1:15">
      <c r="A453" t="str">
        <f t="shared" si="6"/>
        <v/>
      </c>
    </row>
    <row r="454" spans="1:15">
      <c r="A454" t="str">
        <f t="shared" si="6"/>
        <v>GSCU12II  SDR GCP</v>
      </c>
      <c r="B454" t="s">
        <v>640</v>
      </c>
      <c r="C454" t="s">
        <v>223</v>
      </c>
      <c r="D454">
        <v>0.69799999999999995</v>
      </c>
      <c r="E454">
        <v>0.29599999999999999</v>
      </c>
      <c r="F454">
        <v>3.4000000000000002E-2</v>
      </c>
      <c r="G454">
        <v>5.2999999999999999E-2</v>
      </c>
      <c r="H454">
        <v>0.153</v>
      </c>
      <c r="I454">
        <v>8.5000000000000006E-2</v>
      </c>
      <c r="J454">
        <v>4.3999999999999997E-2</v>
      </c>
      <c r="K454">
        <v>0.47799999999999998</v>
      </c>
      <c r="L454">
        <v>6.8000000000000005E-2</v>
      </c>
      <c r="M454">
        <v>5.8000000000000003E-2</v>
      </c>
      <c r="N454">
        <v>3.9E-2</v>
      </c>
      <c r="O454">
        <v>0.12</v>
      </c>
    </row>
    <row r="455" spans="1:15">
      <c r="A455" t="str">
        <f t="shared" si="6"/>
        <v>GSCU12II  SDR GCP ONPK</v>
      </c>
      <c r="B455" t="s">
        <v>640</v>
      </c>
      <c r="C455" t="s">
        <v>224</v>
      </c>
      <c r="D455">
        <v>0.14799999999999999</v>
      </c>
      <c r="E455">
        <v>0.249</v>
      </c>
      <c r="F455">
        <v>3.3000000000000002E-2</v>
      </c>
      <c r="G455">
        <v>4.5999999999999999E-2</v>
      </c>
      <c r="H455">
        <v>0.153</v>
      </c>
      <c r="I455">
        <v>8.5000000000000006E-2</v>
      </c>
      <c r="J455">
        <v>4.3999999999999997E-2</v>
      </c>
      <c r="K455">
        <v>4.2000000000000003E-2</v>
      </c>
      <c r="L455">
        <v>6.8000000000000005E-2</v>
      </c>
      <c r="M455">
        <v>5.8000000000000003E-2</v>
      </c>
      <c r="N455">
        <v>0.04</v>
      </c>
      <c r="O455">
        <v>3.4000000000000002E-2</v>
      </c>
    </row>
    <row r="456" spans="1:15">
      <c r="A456" t="str">
        <f t="shared" si="6"/>
        <v>GSCU12II  SDR GCP OFFPK</v>
      </c>
      <c r="B456" t="s">
        <v>640</v>
      </c>
      <c r="C456" t="s">
        <v>225</v>
      </c>
      <c r="D456">
        <v>0.69799999999999995</v>
      </c>
      <c r="E456">
        <v>0.29599999999999999</v>
      </c>
      <c r="F456">
        <v>3.4000000000000002E-2</v>
      </c>
      <c r="G456">
        <v>5.2999999999999999E-2</v>
      </c>
      <c r="H456">
        <v>1.6E-2</v>
      </c>
      <c r="I456">
        <v>5.8000000000000003E-2</v>
      </c>
      <c r="J456">
        <v>3.6999999999999998E-2</v>
      </c>
      <c r="K456">
        <v>0.47799999999999998</v>
      </c>
      <c r="L456">
        <v>0.35099999999999998</v>
      </c>
      <c r="M456">
        <v>0.55100000000000005</v>
      </c>
      <c r="N456">
        <v>3.9E-2</v>
      </c>
      <c r="O456">
        <v>0.12</v>
      </c>
    </row>
    <row r="457" spans="1:15">
      <c r="A457" t="str">
        <f t="shared" si="6"/>
        <v>GSCU12II  SDR CP</v>
      </c>
      <c r="B457" t="s">
        <v>640</v>
      </c>
      <c r="C457" t="s">
        <v>226</v>
      </c>
      <c r="D457">
        <v>0.14299999999999999</v>
      </c>
      <c r="E457">
        <v>6.4000000000000001E-2</v>
      </c>
      <c r="F457">
        <v>3.3000000000000002E-2</v>
      </c>
      <c r="G457">
        <v>0.53500000000000003</v>
      </c>
      <c r="H457">
        <v>1.4999999999999999E-2</v>
      </c>
      <c r="I457">
        <v>7.0000000000000007E-2</v>
      </c>
      <c r="J457">
        <v>8.2000000000000003E-2</v>
      </c>
      <c r="K457">
        <v>2.7E-2</v>
      </c>
      <c r="L457">
        <v>3.3000000000000002E-2</v>
      </c>
      <c r="M457">
        <v>2.8000000000000001E-2</v>
      </c>
      <c r="N457">
        <v>4.7E-2</v>
      </c>
      <c r="O457">
        <v>4.7E-2</v>
      </c>
    </row>
    <row r="458" spans="1:15">
      <c r="A458" t="str">
        <f t="shared" si="6"/>
        <v/>
      </c>
    </row>
    <row r="459" spans="1:15">
      <c r="A459" t="str">
        <f t="shared" si="6"/>
        <v/>
      </c>
    </row>
    <row r="460" spans="1:15">
      <c r="A460" t="str">
        <f t="shared" si="6"/>
        <v/>
      </c>
    </row>
    <row r="461" spans="1:15">
      <c r="A461" t="str">
        <f t="shared" si="6"/>
        <v/>
      </c>
    </row>
    <row r="462" spans="1:15">
      <c r="A462" t="str">
        <f t="shared" si="6"/>
        <v/>
      </c>
    </row>
    <row r="463" spans="1:15">
      <c r="A463" t="str">
        <f t="shared" si="6"/>
        <v/>
      </c>
    </row>
    <row r="464" spans="1:15">
      <c r="A464" t="str">
        <f t="shared" si="6"/>
        <v/>
      </c>
    </row>
    <row r="465" spans="1:1">
      <c r="A465" t="str">
        <f t="shared" si="6"/>
        <v/>
      </c>
    </row>
    <row r="466" spans="1:1">
      <c r="A466" t="str">
        <f t="shared" si="6"/>
        <v/>
      </c>
    </row>
    <row r="467" spans="1:1">
      <c r="A467" t="str">
        <f t="shared" si="6"/>
        <v/>
      </c>
    </row>
    <row r="468" spans="1:1">
      <c r="A468" t="str">
        <f t="shared" si="6"/>
        <v/>
      </c>
    </row>
    <row r="469" spans="1:1">
      <c r="A469" t="str">
        <f t="shared" si="6"/>
        <v/>
      </c>
    </row>
    <row r="470" spans="1:1">
      <c r="A470" t="str">
        <f t="shared" si="6"/>
        <v/>
      </c>
    </row>
    <row r="471" spans="1:1">
      <c r="A471" t="str">
        <f t="shared" si="6"/>
        <v/>
      </c>
    </row>
    <row r="472" spans="1:1">
      <c r="A472" t="str">
        <f t="shared" si="6"/>
        <v/>
      </c>
    </row>
    <row r="473" spans="1:1">
      <c r="A473" t="str">
        <f t="shared" si="6"/>
        <v/>
      </c>
    </row>
    <row r="474" spans="1:1">
      <c r="A474" t="str">
        <f t="shared" si="6"/>
        <v/>
      </c>
    </row>
    <row r="475" spans="1:1">
      <c r="A475" t="str">
        <f t="shared" si="6"/>
        <v/>
      </c>
    </row>
    <row r="476" spans="1:1">
      <c r="A476" t="str">
        <f t="shared" si="6"/>
        <v/>
      </c>
    </row>
    <row r="477" spans="1:1">
      <c r="A477" t="str">
        <f t="shared" si="6"/>
        <v/>
      </c>
    </row>
    <row r="478" spans="1:1">
      <c r="A478" t="str">
        <f t="shared" si="6"/>
        <v/>
      </c>
    </row>
    <row r="479" spans="1:1">
      <c r="A479" t="str">
        <f t="shared" si="6"/>
        <v/>
      </c>
    </row>
    <row r="480" spans="1:1">
      <c r="A480" t="str">
        <f t="shared" si="6"/>
        <v/>
      </c>
    </row>
    <row r="481" spans="1:16">
      <c r="A481" t="str">
        <f t="shared" si="6"/>
        <v/>
      </c>
    </row>
    <row r="482" spans="1:16">
      <c r="A482" t="str">
        <f t="shared" si="6"/>
        <v/>
      </c>
    </row>
    <row r="483" spans="1:16">
      <c r="A483" t="str">
        <f t="shared" si="6"/>
        <v/>
      </c>
    </row>
    <row r="484" spans="1:16">
      <c r="A484" t="str">
        <f t="shared" si="6"/>
        <v/>
      </c>
    </row>
    <row r="485" spans="1:16">
      <c r="A485" t="str">
        <f t="shared" si="6"/>
        <v/>
      </c>
    </row>
    <row r="486" spans="1:16">
      <c r="A486" t="str">
        <f t="shared" si="6"/>
        <v/>
      </c>
    </row>
    <row r="487" spans="1:16">
      <c r="A487" t="str">
        <f t="shared" si="6"/>
        <v/>
      </c>
    </row>
    <row r="488" spans="1:16">
      <c r="A488" t="str">
        <f t="shared" si="6"/>
        <v/>
      </c>
    </row>
    <row r="489" spans="1:16">
      <c r="A489" t="str">
        <f t="shared" si="6"/>
        <v xml:space="preserve">GSD13 GSD(T)-1 General Service Demand 1 including TOU (21-499 kW)  (Sampled) </v>
      </c>
      <c r="B489" t="s">
        <v>649</v>
      </c>
      <c r="C489" t="s">
        <v>650</v>
      </c>
    </row>
    <row r="490" spans="1:16">
      <c r="A490" t="str">
        <f t="shared" si="6"/>
        <v xml:space="preserve">GSD13MONTH </v>
      </c>
      <c r="B490" t="s">
        <v>651</v>
      </c>
      <c r="C490" t="s">
        <v>123</v>
      </c>
      <c r="D490" s="4">
        <v>41640</v>
      </c>
      <c r="E490" s="4">
        <v>41671</v>
      </c>
      <c r="F490" s="4">
        <v>41699</v>
      </c>
      <c r="G490" s="4">
        <v>41730</v>
      </c>
      <c r="H490" s="4">
        <v>41760</v>
      </c>
      <c r="I490" s="4">
        <v>41791</v>
      </c>
      <c r="J490" s="4">
        <v>41821</v>
      </c>
      <c r="K490" s="4">
        <v>41852</v>
      </c>
      <c r="L490" s="4">
        <v>41883</v>
      </c>
      <c r="M490" s="4">
        <v>41913</v>
      </c>
      <c r="N490" s="4">
        <v>41944</v>
      </c>
      <c r="O490" s="4">
        <v>41974</v>
      </c>
      <c r="P490" s="4"/>
    </row>
    <row r="491" spans="1:16">
      <c r="A491" t="str">
        <f t="shared" si="6"/>
        <v xml:space="preserve">GSD13CUSTOMERS </v>
      </c>
      <c r="B491" t="s">
        <v>651</v>
      </c>
      <c r="C491" t="s">
        <v>124</v>
      </c>
      <c r="D491">
        <v>100751</v>
      </c>
      <c r="E491">
        <v>100994</v>
      </c>
      <c r="F491">
        <v>100724</v>
      </c>
      <c r="G491">
        <v>100637</v>
      </c>
      <c r="H491">
        <v>100877</v>
      </c>
      <c r="I491">
        <v>101107</v>
      </c>
      <c r="J491">
        <v>101528</v>
      </c>
      <c r="K491">
        <v>101948</v>
      </c>
      <c r="L491">
        <v>102150</v>
      </c>
      <c r="M491">
        <v>102284</v>
      </c>
      <c r="N491">
        <v>102317</v>
      </c>
      <c r="O491">
        <v>102471</v>
      </c>
    </row>
    <row r="492" spans="1:16">
      <c r="A492" t="str">
        <f t="shared" si="6"/>
        <v xml:space="preserve">GSD13SALES </v>
      </c>
      <c r="B492" t="s">
        <v>651</v>
      </c>
      <c r="C492" t="s">
        <v>125</v>
      </c>
      <c r="D492">
        <v>2000117663</v>
      </c>
      <c r="E492">
        <v>1838272468</v>
      </c>
      <c r="F492">
        <v>1838899437</v>
      </c>
      <c r="G492">
        <v>1923738577</v>
      </c>
      <c r="H492">
        <v>2168347085</v>
      </c>
      <c r="I492">
        <v>2211446323</v>
      </c>
      <c r="J492">
        <v>2276701478</v>
      </c>
      <c r="K492">
        <v>2371227987</v>
      </c>
      <c r="L492">
        <v>2403292537</v>
      </c>
      <c r="M492">
        <v>2187709175</v>
      </c>
      <c r="N492">
        <v>2008961779</v>
      </c>
      <c r="O492">
        <v>1908349382</v>
      </c>
    </row>
    <row r="493" spans="1:16">
      <c r="A493" t="str">
        <f t="shared" si="6"/>
        <v>GSD13KW</v>
      </c>
      <c r="B493" t="s">
        <v>651</v>
      </c>
      <c r="C493" t="s">
        <v>126</v>
      </c>
    </row>
    <row r="494" spans="1:16">
      <c r="A494" t="str">
        <f t="shared" si="6"/>
        <v>GSD13N</v>
      </c>
      <c r="B494" t="s">
        <v>651</v>
      </c>
      <c r="C494" t="s">
        <v>127</v>
      </c>
      <c r="D494">
        <v>100751</v>
      </c>
      <c r="E494">
        <v>100993</v>
      </c>
      <c r="F494">
        <v>100724</v>
      </c>
      <c r="G494">
        <v>100636</v>
      </c>
      <c r="H494">
        <v>100877</v>
      </c>
      <c r="I494">
        <v>101107</v>
      </c>
      <c r="J494">
        <v>101528</v>
      </c>
      <c r="K494">
        <v>101949</v>
      </c>
      <c r="L494">
        <v>102150</v>
      </c>
      <c r="M494">
        <v>102285</v>
      </c>
      <c r="N494">
        <v>102317</v>
      </c>
      <c r="O494">
        <v>102471</v>
      </c>
    </row>
    <row r="495" spans="1:16">
      <c r="A495" t="str">
        <f t="shared" ref="A495:A558" si="7">B495&amp;C495</f>
        <v>GSD13RLR ENERGY:</v>
      </c>
      <c r="B495" t="s">
        <v>651</v>
      </c>
      <c r="C495" t="s">
        <v>61</v>
      </c>
    </row>
    <row r="496" spans="1:16">
      <c r="A496" t="str">
        <f t="shared" si="7"/>
        <v>GSD13KWH</v>
      </c>
      <c r="B496" t="s">
        <v>651</v>
      </c>
      <c r="C496" t="s">
        <v>128</v>
      </c>
      <c r="D496">
        <v>2001000026</v>
      </c>
      <c r="E496">
        <v>1839017721</v>
      </c>
      <c r="F496">
        <v>1838909820</v>
      </c>
      <c r="G496">
        <v>1923967245</v>
      </c>
      <c r="H496">
        <v>2168776144</v>
      </c>
      <c r="I496">
        <v>2211587289</v>
      </c>
      <c r="J496">
        <v>2278750115</v>
      </c>
      <c r="K496">
        <v>2372078435</v>
      </c>
      <c r="L496">
        <v>2403312101</v>
      </c>
      <c r="M496">
        <v>2187709174</v>
      </c>
      <c r="N496">
        <v>2009129688</v>
      </c>
      <c r="O496">
        <v>1908976896</v>
      </c>
    </row>
    <row r="497" spans="1:16">
      <c r="A497" t="str">
        <f t="shared" si="7"/>
        <v>GSD13KWH ONPK</v>
      </c>
      <c r="B497" t="s">
        <v>651</v>
      </c>
      <c r="C497" t="s">
        <v>129</v>
      </c>
      <c r="D497">
        <v>511467401</v>
      </c>
      <c r="E497">
        <v>469027654</v>
      </c>
      <c r="F497">
        <v>446282034</v>
      </c>
      <c r="G497">
        <v>647343076</v>
      </c>
      <c r="H497">
        <v>677837142</v>
      </c>
      <c r="I497">
        <v>700096691</v>
      </c>
      <c r="J497">
        <v>728962419</v>
      </c>
      <c r="K497">
        <v>732089894</v>
      </c>
      <c r="L497">
        <v>764283724</v>
      </c>
      <c r="M497">
        <v>740772510</v>
      </c>
      <c r="N497">
        <v>462823985</v>
      </c>
      <c r="O497">
        <v>482062694</v>
      </c>
    </row>
    <row r="498" spans="1:16">
      <c r="A498" t="str">
        <f t="shared" si="7"/>
        <v>GSD13KWH OFFPK</v>
      </c>
      <c r="B498" t="s">
        <v>651</v>
      </c>
      <c r="C498" t="s">
        <v>130</v>
      </c>
      <c r="D498">
        <v>1489532625</v>
      </c>
      <c r="E498">
        <v>1369990067</v>
      </c>
      <c r="F498">
        <v>1392627787</v>
      </c>
      <c r="G498">
        <v>1276624169</v>
      </c>
      <c r="H498">
        <v>1490939002</v>
      </c>
      <c r="I498">
        <v>1511490598</v>
      </c>
      <c r="J498">
        <v>1549787696</v>
      </c>
      <c r="K498">
        <v>1639988541</v>
      </c>
      <c r="L498">
        <v>1639028378</v>
      </c>
      <c r="M498">
        <v>1446936664</v>
      </c>
      <c r="N498">
        <v>1546305703</v>
      </c>
      <c r="O498">
        <v>1426914203</v>
      </c>
    </row>
    <row r="499" spans="1:16">
      <c r="A499" t="str">
        <f t="shared" si="7"/>
        <v>GSD13KWH ONPK%</v>
      </c>
      <c r="B499" t="s">
        <v>651</v>
      </c>
      <c r="C499" t="s">
        <v>131</v>
      </c>
      <c r="D499" s="5">
        <v>0.25561</v>
      </c>
      <c r="E499" s="5">
        <v>0.25503999999999999</v>
      </c>
      <c r="F499" s="5">
        <v>0.24268999999999999</v>
      </c>
      <c r="G499" s="5">
        <v>0.33645999999999998</v>
      </c>
      <c r="H499" s="5">
        <v>0.31253999999999998</v>
      </c>
      <c r="I499" s="5">
        <v>0.31656000000000001</v>
      </c>
      <c r="J499" s="5">
        <v>0.31990000000000002</v>
      </c>
      <c r="K499" s="5">
        <v>0.30863000000000002</v>
      </c>
      <c r="L499" s="5">
        <v>0.31801000000000001</v>
      </c>
      <c r="M499" s="5">
        <v>0.33861000000000002</v>
      </c>
      <c r="N499" s="5">
        <v>0.23036000000000001</v>
      </c>
      <c r="O499" s="5">
        <v>0.25252000000000002</v>
      </c>
      <c r="P499" s="5"/>
    </row>
    <row r="500" spans="1:16">
      <c r="A500" t="str">
        <f t="shared" si="7"/>
        <v>GSD13KWH OFFPK%</v>
      </c>
      <c r="B500" t="s">
        <v>651</v>
      </c>
      <c r="C500" t="s">
        <v>132</v>
      </c>
      <c r="D500" s="5">
        <v>0.74439</v>
      </c>
      <c r="E500" s="5">
        <v>0.74495999999999996</v>
      </c>
      <c r="F500" s="5">
        <v>0.75731000000000004</v>
      </c>
      <c r="G500" s="5">
        <v>0.66354000000000002</v>
      </c>
      <c r="H500" s="5">
        <v>0.68745999999999996</v>
      </c>
      <c r="I500" s="5">
        <v>0.68344000000000005</v>
      </c>
      <c r="J500" s="5">
        <v>0.68010000000000004</v>
      </c>
      <c r="K500" s="5">
        <v>0.69137000000000004</v>
      </c>
      <c r="L500" s="5">
        <v>0.68198999999999999</v>
      </c>
      <c r="M500" s="5">
        <v>0.66139000000000003</v>
      </c>
      <c r="N500" s="5">
        <v>0.76963999999999999</v>
      </c>
      <c r="O500" s="5">
        <v>0.74748000000000003</v>
      </c>
      <c r="P500" s="5"/>
    </row>
    <row r="501" spans="1:16">
      <c r="A501" t="str">
        <f t="shared" si="7"/>
        <v>GSD13DEMAND (KW):</v>
      </c>
      <c r="B501" t="s">
        <v>651</v>
      </c>
      <c r="C501" t="s">
        <v>62</v>
      </c>
    </row>
    <row r="502" spans="1:16">
      <c r="A502" t="str">
        <f t="shared" si="7"/>
        <v>GSD13NCP</v>
      </c>
      <c r="B502" t="s">
        <v>651</v>
      </c>
      <c r="C502" t="s">
        <v>133</v>
      </c>
      <c r="D502">
        <v>6282120</v>
      </c>
      <c r="E502">
        <v>5938173</v>
      </c>
      <c r="F502">
        <v>5366713</v>
      </c>
      <c r="G502">
        <v>5693067</v>
      </c>
      <c r="H502">
        <v>5852618</v>
      </c>
      <c r="I502">
        <v>6123182</v>
      </c>
      <c r="J502">
        <v>6001395</v>
      </c>
      <c r="K502">
        <v>6107329</v>
      </c>
      <c r="L502">
        <v>6484783</v>
      </c>
      <c r="M502">
        <v>6038095</v>
      </c>
      <c r="N502">
        <v>6298926</v>
      </c>
      <c r="O502">
        <v>5503340</v>
      </c>
    </row>
    <row r="503" spans="1:16">
      <c r="A503" t="str">
        <f t="shared" si="7"/>
        <v>GSD13NCP ONPK</v>
      </c>
      <c r="B503" t="s">
        <v>651</v>
      </c>
      <c r="C503" t="s">
        <v>134</v>
      </c>
      <c r="D503">
        <v>5716501</v>
      </c>
      <c r="E503">
        <v>5376733</v>
      </c>
      <c r="F503">
        <v>4949407</v>
      </c>
      <c r="G503">
        <v>5359575</v>
      </c>
      <c r="H503">
        <v>5534741</v>
      </c>
      <c r="I503">
        <v>5746465</v>
      </c>
      <c r="J503">
        <v>5670898</v>
      </c>
      <c r="K503">
        <v>5798934</v>
      </c>
      <c r="L503">
        <v>6114629</v>
      </c>
      <c r="M503">
        <v>5696449</v>
      </c>
      <c r="N503">
        <v>5770478</v>
      </c>
      <c r="O503">
        <v>5081223</v>
      </c>
    </row>
    <row r="504" spans="1:16">
      <c r="A504" t="str">
        <f t="shared" si="7"/>
        <v>GSD13NCP OFFPK</v>
      </c>
      <c r="B504" t="s">
        <v>651</v>
      </c>
      <c r="C504" t="s">
        <v>135</v>
      </c>
      <c r="D504">
        <v>6125258</v>
      </c>
      <c r="E504">
        <v>5760370</v>
      </c>
      <c r="F504">
        <v>5198574</v>
      </c>
      <c r="G504">
        <v>5513810</v>
      </c>
      <c r="H504">
        <v>5684372</v>
      </c>
      <c r="I504">
        <v>5927542</v>
      </c>
      <c r="J504">
        <v>5774277</v>
      </c>
      <c r="K504">
        <v>5892780</v>
      </c>
      <c r="L504">
        <v>6283138</v>
      </c>
      <c r="M504">
        <v>5688946</v>
      </c>
      <c r="N504">
        <v>6199934</v>
      </c>
      <c r="O504">
        <v>5405462</v>
      </c>
    </row>
    <row r="505" spans="1:16">
      <c r="A505" t="str">
        <f t="shared" si="7"/>
        <v>GSD13GCP DATE</v>
      </c>
      <c r="B505" t="s">
        <v>651</v>
      </c>
      <c r="C505" t="s">
        <v>136</v>
      </c>
      <c r="D505" t="s">
        <v>652</v>
      </c>
      <c r="E505" t="s">
        <v>615</v>
      </c>
      <c r="F505" t="s">
        <v>286</v>
      </c>
      <c r="G505" t="s">
        <v>264</v>
      </c>
      <c r="H505" t="s">
        <v>254</v>
      </c>
      <c r="I505" t="s">
        <v>292</v>
      </c>
      <c r="J505" t="s">
        <v>253</v>
      </c>
      <c r="K505" t="s">
        <v>636</v>
      </c>
      <c r="L505" t="s">
        <v>619</v>
      </c>
      <c r="M505" t="s">
        <v>607</v>
      </c>
      <c r="N505" t="s">
        <v>629</v>
      </c>
      <c r="O505" t="s">
        <v>653</v>
      </c>
    </row>
    <row r="506" spans="1:16">
      <c r="A506" t="str">
        <f t="shared" si="7"/>
        <v>GSD13GCP TIME</v>
      </c>
      <c r="B506" t="s">
        <v>651</v>
      </c>
      <c r="C506" t="s">
        <v>142</v>
      </c>
      <c r="D506" t="s">
        <v>143</v>
      </c>
      <c r="E506" t="s">
        <v>143</v>
      </c>
      <c r="F506" t="s">
        <v>143</v>
      </c>
      <c r="G506" t="s">
        <v>144</v>
      </c>
      <c r="H506" t="s">
        <v>143</v>
      </c>
      <c r="I506" t="s">
        <v>144</v>
      </c>
      <c r="J506" t="s">
        <v>143</v>
      </c>
      <c r="K506" t="s">
        <v>144</v>
      </c>
      <c r="L506" t="s">
        <v>144</v>
      </c>
      <c r="M506" t="s">
        <v>144</v>
      </c>
      <c r="N506" t="s">
        <v>144</v>
      </c>
      <c r="O506" t="s">
        <v>144</v>
      </c>
    </row>
    <row r="507" spans="1:16">
      <c r="A507" t="str">
        <f t="shared" si="7"/>
        <v>GSD13GCP</v>
      </c>
      <c r="B507" t="s">
        <v>651</v>
      </c>
      <c r="C507" t="s">
        <v>147</v>
      </c>
      <c r="D507">
        <v>3888033</v>
      </c>
      <c r="E507">
        <v>3967306</v>
      </c>
      <c r="F507">
        <v>3590660</v>
      </c>
      <c r="G507">
        <v>4103300</v>
      </c>
      <c r="H507">
        <v>4223266</v>
      </c>
      <c r="I507">
        <v>4442457</v>
      </c>
      <c r="J507">
        <v>4347017</v>
      </c>
      <c r="K507">
        <v>4508362</v>
      </c>
      <c r="L507">
        <v>4772110</v>
      </c>
      <c r="M507">
        <v>4327672</v>
      </c>
      <c r="N507">
        <v>4453263</v>
      </c>
      <c r="O507">
        <v>3712640</v>
      </c>
    </row>
    <row r="508" spans="1:16">
      <c r="A508" t="str">
        <f t="shared" si="7"/>
        <v>GSD13GCP ONPK</v>
      </c>
      <c r="B508" t="s">
        <v>651</v>
      </c>
      <c r="C508" t="s">
        <v>63</v>
      </c>
      <c r="D508">
        <v>3610080</v>
      </c>
      <c r="E508">
        <v>3597358</v>
      </c>
      <c r="F508">
        <v>3188690</v>
      </c>
      <c r="G508">
        <v>4103300</v>
      </c>
      <c r="H508">
        <v>4223266</v>
      </c>
      <c r="I508">
        <v>4442457</v>
      </c>
      <c r="J508">
        <v>4347017</v>
      </c>
      <c r="K508">
        <v>4508362</v>
      </c>
      <c r="L508">
        <v>4772110</v>
      </c>
      <c r="M508">
        <v>4327672</v>
      </c>
      <c r="N508">
        <v>4001086</v>
      </c>
      <c r="O508">
        <v>3338749</v>
      </c>
    </row>
    <row r="509" spans="1:16">
      <c r="A509" t="str">
        <f t="shared" si="7"/>
        <v>GSD13GCP OFFPK</v>
      </c>
      <c r="B509" t="s">
        <v>651</v>
      </c>
      <c r="C509" t="s">
        <v>64</v>
      </c>
      <c r="D509">
        <v>3888033</v>
      </c>
      <c r="E509">
        <v>3967306</v>
      </c>
      <c r="F509">
        <v>3590660</v>
      </c>
      <c r="G509">
        <v>4016363</v>
      </c>
      <c r="H509">
        <v>4068812</v>
      </c>
      <c r="I509">
        <v>4265869</v>
      </c>
      <c r="J509">
        <v>4174360</v>
      </c>
      <c r="K509">
        <v>4365804</v>
      </c>
      <c r="L509">
        <v>4625678</v>
      </c>
      <c r="M509">
        <v>4149786</v>
      </c>
      <c r="N509">
        <v>4453263</v>
      </c>
      <c r="O509">
        <v>3712640</v>
      </c>
    </row>
    <row r="510" spans="1:16">
      <c r="A510" t="str">
        <f t="shared" si="7"/>
        <v>GSD13CP</v>
      </c>
      <c r="B510" t="s">
        <v>651</v>
      </c>
      <c r="C510" t="s">
        <v>148</v>
      </c>
      <c r="D510">
        <v>2794071</v>
      </c>
      <c r="E510">
        <v>3877250</v>
      </c>
      <c r="F510">
        <v>2873867</v>
      </c>
      <c r="G510">
        <v>3602331</v>
      </c>
      <c r="H510">
        <v>3815983</v>
      </c>
      <c r="I510">
        <v>4336638</v>
      </c>
      <c r="J510">
        <v>4134365</v>
      </c>
      <c r="K510">
        <v>4169735</v>
      </c>
      <c r="L510">
        <v>4428678</v>
      </c>
      <c r="M510">
        <v>4188243</v>
      </c>
      <c r="N510">
        <v>4453263</v>
      </c>
      <c r="O510">
        <v>3240267</v>
      </c>
    </row>
    <row r="511" spans="1:16">
      <c r="A511" t="str">
        <f t="shared" si="7"/>
        <v>GSD13PERIOD START</v>
      </c>
      <c r="B511" t="s">
        <v>651</v>
      </c>
      <c r="C511" t="s">
        <v>149</v>
      </c>
      <c r="D511" s="1">
        <v>41640</v>
      </c>
      <c r="E511" s="1">
        <v>41671</v>
      </c>
      <c r="F511" s="1">
        <v>41699</v>
      </c>
      <c r="G511" s="1">
        <v>41730</v>
      </c>
      <c r="H511" s="1">
        <v>41760</v>
      </c>
      <c r="I511" s="1">
        <v>41791</v>
      </c>
      <c r="J511" s="1">
        <v>41821</v>
      </c>
      <c r="K511" s="1">
        <v>41852</v>
      </c>
      <c r="L511" s="1">
        <v>41883</v>
      </c>
      <c r="M511" s="1">
        <v>41913</v>
      </c>
      <c r="N511" s="1">
        <v>41944</v>
      </c>
      <c r="O511" s="1">
        <v>41974</v>
      </c>
      <c r="P511" s="1"/>
    </row>
    <row r="512" spans="1:16">
      <c r="A512" t="str">
        <f t="shared" si="7"/>
        <v>GSD13NCP LF</v>
      </c>
      <c r="B512" t="s">
        <v>651</v>
      </c>
      <c r="C512" t="s">
        <v>150</v>
      </c>
      <c r="D512" s="5">
        <v>0.42809999999999998</v>
      </c>
      <c r="E512" s="5">
        <v>0.46089999999999998</v>
      </c>
      <c r="F512" s="5">
        <v>0.46060000000000001</v>
      </c>
      <c r="G512" s="5">
        <v>0.46939999999999998</v>
      </c>
      <c r="H512" s="5">
        <v>0.49809999999999999</v>
      </c>
      <c r="I512" s="5">
        <v>0.50160000000000005</v>
      </c>
      <c r="J512" s="5">
        <v>0.51039999999999996</v>
      </c>
      <c r="K512" s="5">
        <v>0.52200000000000002</v>
      </c>
      <c r="L512" s="5">
        <v>0.51470000000000005</v>
      </c>
      <c r="M512" s="5">
        <v>0.48699999999999999</v>
      </c>
      <c r="N512" s="5">
        <v>0.443</v>
      </c>
      <c r="O512" s="5">
        <v>0.4662</v>
      </c>
      <c r="P512" s="5"/>
    </row>
    <row r="513" spans="1:16">
      <c r="A513" t="str">
        <f t="shared" si="7"/>
        <v>GSD13NCP LF ONPK</v>
      </c>
      <c r="B513" t="s">
        <v>651</v>
      </c>
      <c r="C513" t="s">
        <v>151</v>
      </c>
      <c r="D513" s="5">
        <v>0.50839999999999996</v>
      </c>
      <c r="E513" s="5">
        <v>0.54520000000000002</v>
      </c>
      <c r="F513" s="5">
        <v>0.53669999999999995</v>
      </c>
      <c r="G513" s="5">
        <v>0.61</v>
      </c>
      <c r="H513" s="5">
        <v>0.64800000000000002</v>
      </c>
      <c r="I513" s="5">
        <v>0.64459999999999995</v>
      </c>
      <c r="J513" s="5">
        <v>0.6492</v>
      </c>
      <c r="K513" s="5">
        <v>0.66800000000000004</v>
      </c>
      <c r="L513" s="5">
        <v>0.6613</v>
      </c>
      <c r="M513" s="5">
        <v>0.62819999999999998</v>
      </c>
      <c r="N513" s="5">
        <v>0.52769999999999995</v>
      </c>
      <c r="O513" s="5">
        <v>0.53900000000000003</v>
      </c>
      <c r="P513" s="5"/>
    </row>
    <row r="514" spans="1:16">
      <c r="A514" t="str">
        <f t="shared" si="7"/>
        <v>GSD13NCP LF OFFPK</v>
      </c>
      <c r="B514" t="s">
        <v>651</v>
      </c>
      <c r="C514" t="s">
        <v>152</v>
      </c>
      <c r="D514" s="5">
        <v>0.42809999999999998</v>
      </c>
      <c r="E514" s="5">
        <v>0.46450000000000002</v>
      </c>
      <c r="F514" s="5">
        <v>0.46510000000000001</v>
      </c>
      <c r="G514" s="5">
        <v>0.44350000000000001</v>
      </c>
      <c r="H514" s="5">
        <v>0.47260000000000002</v>
      </c>
      <c r="I514" s="5">
        <v>0.48020000000000002</v>
      </c>
      <c r="J514" s="5">
        <v>0.49159999999999998</v>
      </c>
      <c r="K514" s="5">
        <v>0.50139999999999996</v>
      </c>
      <c r="L514" s="5">
        <v>0.49130000000000001</v>
      </c>
      <c r="M514" s="5">
        <v>0.47360000000000002</v>
      </c>
      <c r="N514" s="5">
        <v>0.43909999999999999</v>
      </c>
      <c r="O514" s="5">
        <v>0.4647</v>
      </c>
      <c r="P514" s="5"/>
    </row>
    <row r="515" spans="1:16">
      <c r="A515" t="str">
        <f t="shared" si="7"/>
        <v>GSD13GCP CF</v>
      </c>
      <c r="B515" t="s">
        <v>651</v>
      </c>
      <c r="C515" t="s">
        <v>153</v>
      </c>
      <c r="D515" s="5">
        <v>0.61890000000000001</v>
      </c>
      <c r="E515" s="5">
        <v>0.66810000000000003</v>
      </c>
      <c r="F515" s="5">
        <v>0.66910000000000003</v>
      </c>
      <c r="G515" s="5">
        <v>0.7208</v>
      </c>
      <c r="H515" s="5">
        <v>0.72160000000000002</v>
      </c>
      <c r="I515" s="5">
        <v>0.72550000000000003</v>
      </c>
      <c r="J515" s="5">
        <v>0.72430000000000005</v>
      </c>
      <c r="K515" s="5">
        <v>0.73819999999999997</v>
      </c>
      <c r="L515" s="5">
        <v>0.7359</v>
      </c>
      <c r="M515" s="5">
        <v>0.7167</v>
      </c>
      <c r="N515" s="5">
        <v>0.70699999999999996</v>
      </c>
      <c r="O515" s="5">
        <v>0.67459999999999998</v>
      </c>
      <c r="P515" s="5"/>
    </row>
    <row r="516" spans="1:16">
      <c r="A516" t="str">
        <f t="shared" si="7"/>
        <v>GSD13CP CF</v>
      </c>
      <c r="B516" t="s">
        <v>651</v>
      </c>
      <c r="C516" t="s">
        <v>154</v>
      </c>
      <c r="D516" s="5">
        <v>0.44479999999999997</v>
      </c>
      <c r="E516" s="5">
        <v>0.65290000000000004</v>
      </c>
      <c r="F516" s="5">
        <v>0.53549999999999998</v>
      </c>
      <c r="G516" s="5">
        <v>0.63280000000000003</v>
      </c>
      <c r="H516" s="5">
        <v>0.65200000000000002</v>
      </c>
      <c r="I516" s="5">
        <v>0.70820000000000005</v>
      </c>
      <c r="J516" s="5">
        <v>0.68889999999999996</v>
      </c>
      <c r="K516" s="5">
        <v>0.68269999999999997</v>
      </c>
      <c r="L516" s="5">
        <v>0.68289999999999995</v>
      </c>
      <c r="M516" s="5">
        <v>0.69359999999999999</v>
      </c>
      <c r="N516" s="5">
        <v>0.70699999999999996</v>
      </c>
      <c r="O516" s="5">
        <v>0.58879999999999999</v>
      </c>
      <c r="P516" s="5"/>
    </row>
    <row r="517" spans="1:16">
      <c r="A517" t="str">
        <f t="shared" si="7"/>
        <v>GSD13GCP LF</v>
      </c>
      <c r="B517" t="s">
        <v>651</v>
      </c>
      <c r="C517" t="s">
        <v>155</v>
      </c>
      <c r="D517" s="5">
        <v>0.69169999999999998</v>
      </c>
      <c r="E517" s="5">
        <v>0.68979999999999997</v>
      </c>
      <c r="F517" s="5">
        <v>0.68840000000000001</v>
      </c>
      <c r="G517" s="5">
        <v>0.6512</v>
      </c>
      <c r="H517" s="5">
        <v>0.69020000000000004</v>
      </c>
      <c r="I517" s="5">
        <v>0.69140000000000001</v>
      </c>
      <c r="J517" s="5">
        <v>0.7046</v>
      </c>
      <c r="K517" s="5">
        <v>0.70720000000000005</v>
      </c>
      <c r="L517" s="5">
        <v>0.69950000000000001</v>
      </c>
      <c r="M517" s="5">
        <v>0.67949999999999999</v>
      </c>
      <c r="N517" s="5">
        <v>0.62660000000000005</v>
      </c>
      <c r="O517" s="5">
        <v>0.69110000000000005</v>
      </c>
      <c r="P517" s="5"/>
    </row>
    <row r="518" spans="1:16">
      <c r="A518" t="str">
        <f t="shared" si="7"/>
        <v>GSD13GCP LF ONPK</v>
      </c>
      <c r="B518" t="s">
        <v>651</v>
      </c>
      <c r="C518" t="s">
        <v>156</v>
      </c>
      <c r="D518" s="5">
        <v>0.80500000000000005</v>
      </c>
      <c r="E518" s="5">
        <v>0.81489999999999996</v>
      </c>
      <c r="F518" s="5">
        <v>0.83309999999999995</v>
      </c>
      <c r="G518" s="5">
        <v>0.79679999999999995</v>
      </c>
      <c r="H518" s="5">
        <v>0.84919999999999995</v>
      </c>
      <c r="I518" s="5">
        <v>0.83379999999999999</v>
      </c>
      <c r="J518" s="5">
        <v>0.84689999999999999</v>
      </c>
      <c r="K518" s="5">
        <v>0.85919999999999996</v>
      </c>
      <c r="L518" s="5">
        <v>0.84740000000000004</v>
      </c>
      <c r="M518" s="5">
        <v>0.82689999999999997</v>
      </c>
      <c r="N518" s="5">
        <v>0.76100000000000001</v>
      </c>
      <c r="O518" s="5">
        <v>0.82040000000000002</v>
      </c>
      <c r="P518" s="5"/>
    </row>
    <row r="519" spans="1:16">
      <c r="A519" t="str">
        <f t="shared" si="7"/>
        <v>GSD13GCP LF OFFPK</v>
      </c>
      <c r="B519" t="s">
        <v>651</v>
      </c>
      <c r="C519" t="s">
        <v>157</v>
      </c>
      <c r="D519" s="5">
        <v>0.67449999999999999</v>
      </c>
      <c r="E519" s="5">
        <v>0.67449999999999999</v>
      </c>
      <c r="F519" s="5">
        <v>0.67330000000000001</v>
      </c>
      <c r="G519" s="5">
        <v>0.6089</v>
      </c>
      <c r="H519" s="5">
        <v>0.66020000000000001</v>
      </c>
      <c r="I519" s="5">
        <v>0.6673</v>
      </c>
      <c r="J519" s="5">
        <v>0.68</v>
      </c>
      <c r="K519" s="5">
        <v>0.67679999999999996</v>
      </c>
      <c r="L519" s="5">
        <v>0.6673</v>
      </c>
      <c r="M519" s="5">
        <v>0.64929999999999999</v>
      </c>
      <c r="N519" s="5">
        <v>0.61129999999999995</v>
      </c>
      <c r="O519" s="5">
        <v>0.67669999999999997</v>
      </c>
      <c r="P519" s="5"/>
    </row>
    <row r="520" spans="1:16">
      <c r="A520" t="str">
        <f t="shared" si="7"/>
        <v>GSD13CP LF</v>
      </c>
      <c r="B520" t="s">
        <v>651</v>
      </c>
      <c r="C520" t="s">
        <v>158</v>
      </c>
      <c r="D520" s="5">
        <v>0.96260000000000001</v>
      </c>
      <c r="E520" s="5">
        <v>0.70579999999999998</v>
      </c>
      <c r="F520" s="5">
        <v>0.86</v>
      </c>
      <c r="G520" s="5">
        <v>0.74180000000000001</v>
      </c>
      <c r="H520" s="5">
        <v>0.76390000000000002</v>
      </c>
      <c r="I520" s="5">
        <v>0.70830000000000004</v>
      </c>
      <c r="J520" s="5">
        <v>0.74080000000000001</v>
      </c>
      <c r="K520" s="5">
        <v>0.76459999999999995</v>
      </c>
      <c r="L520" s="5">
        <v>0.75370000000000004</v>
      </c>
      <c r="M520" s="5">
        <v>0.70209999999999995</v>
      </c>
      <c r="N520" s="5">
        <v>0.62660000000000005</v>
      </c>
      <c r="O520" s="5">
        <v>0.79190000000000005</v>
      </c>
      <c r="P520" s="5"/>
    </row>
    <row r="521" spans="1:16">
      <c r="A521" t="str">
        <f t="shared" si="7"/>
        <v>GSD13REL PREC:</v>
      </c>
      <c r="B521" t="s">
        <v>651</v>
      </c>
      <c r="C521" t="s">
        <v>65</v>
      </c>
    </row>
    <row r="522" spans="1:16">
      <c r="A522" t="str">
        <f t="shared" si="7"/>
        <v>GSD13NCP RP</v>
      </c>
      <c r="B522" t="s">
        <v>651</v>
      </c>
      <c r="C522" t="s">
        <v>159</v>
      </c>
      <c r="D522" s="5">
        <v>4.07E-2</v>
      </c>
      <c r="E522" s="5">
        <v>4.1799999999999997E-2</v>
      </c>
      <c r="F522" s="5">
        <v>4.36E-2</v>
      </c>
      <c r="G522" s="5">
        <v>4.1500000000000002E-2</v>
      </c>
      <c r="H522" s="5">
        <v>3.6999999999999998E-2</v>
      </c>
      <c r="I522" s="5">
        <v>3.8300000000000001E-2</v>
      </c>
      <c r="J522" s="5">
        <v>4.4299999999999999E-2</v>
      </c>
      <c r="K522" s="5">
        <v>4.1200000000000001E-2</v>
      </c>
      <c r="L522" s="5">
        <v>3.6400000000000002E-2</v>
      </c>
      <c r="M522" s="5">
        <v>4.2700000000000002E-2</v>
      </c>
      <c r="N522" s="5">
        <v>4.07E-2</v>
      </c>
      <c r="O522" s="5">
        <v>4.1799999999999997E-2</v>
      </c>
      <c r="P522" s="5"/>
    </row>
    <row r="523" spans="1:16">
      <c r="A523" t="str">
        <f t="shared" si="7"/>
        <v>GSD13NCP RP ONPK</v>
      </c>
      <c r="B523" t="s">
        <v>651</v>
      </c>
      <c r="C523" t="s">
        <v>160</v>
      </c>
      <c r="D523" s="5">
        <v>4.1000000000000002E-2</v>
      </c>
      <c r="E523" s="5">
        <v>4.1500000000000002E-2</v>
      </c>
      <c r="F523" s="5">
        <v>4.4900000000000002E-2</v>
      </c>
      <c r="G523" s="5">
        <v>3.7199999999999997E-2</v>
      </c>
      <c r="H523" s="5">
        <v>3.3099999999999997E-2</v>
      </c>
      <c r="I523" s="5">
        <v>3.1199999999999999E-2</v>
      </c>
      <c r="J523" s="5">
        <v>3.6999999999999998E-2</v>
      </c>
      <c r="K523" s="5">
        <v>3.5700000000000003E-2</v>
      </c>
      <c r="L523" s="5">
        <v>3.04E-2</v>
      </c>
      <c r="M523" s="5">
        <v>3.8300000000000001E-2</v>
      </c>
      <c r="N523" s="5">
        <v>4.0899999999999999E-2</v>
      </c>
      <c r="O523" s="5">
        <v>4.1799999999999997E-2</v>
      </c>
      <c r="P523" s="5"/>
    </row>
    <row r="524" spans="1:16">
      <c r="A524" t="str">
        <f t="shared" si="7"/>
        <v>GSD13NCP RP OFFPK</v>
      </c>
      <c r="B524" t="s">
        <v>651</v>
      </c>
      <c r="C524" t="s">
        <v>161</v>
      </c>
      <c r="D524" s="5">
        <v>3.7199999999999997E-2</v>
      </c>
      <c r="E524" s="5">
        <v>3.6299999999999999E-2</v>
      </c>
      <c r="F524" s="5">
        <v>3.7699999999999997E-2</v>
      </c>
      <c r="G524" s="5">
        <v>4.2900000000000001E-2</v>
      </c>
      <c r="H524" s="5">
        <v>3.7699999999999997E-2</v>
      </c>
      <c r="I524" s="5">
        <v>3.6799999999999999E-2</v>
      </c>
      <c r="J524" s="5">
        <v>4.0399999999999998E-2</v>
      </c>
      <c r="K524" s="5">
        <v>3.7999999999999999E-2</v>
      </c>
      <c r="L524" s="5">
        <v>3.49E-2</v>
      </c>
      <c r="M524" s="5">
        <v>3.6799999999999999E-2</v>
      </c>
      <c r="N524" s="5">
        <v>3.9699999999999999E-2</v>
      </c>
      <c r="O524" s="5">
        <v>4.07E-2</v>
      </c>
      <c r="P524" s="5"/>
    </row>
    <row r="525" spans="1:16">
      <c r="A525" t="str">
        <f t="shared" si="7"/>
        <v>GSD13GCP RP</v>
      </c>
      <c r="B525" t="s">
        <v>651</v>
      </c>
      <c r="C525" t="s">
        <v>162</v>
      </c>
      <c r="D525" s="5">
        <v>3.1800000000000002E-2</v>
      </c>
      <c r="E525" s="5">
        <v>2.9000000000000001E-2</v>
      </c>
      <c r="F525" s="5">
        <v>3.4599999999999999E-2</v>
      </c>
      <c r="G525" s="5">
        <v>3.6999999999999998E-2</v>
      </c>
      <c r="H525" s="5">
        <v>3.27E-2</v>
      </c>
      <c r="I525" s="5">
        <v>2.7300000000000001E-2</v>
      </c>
      <c r="J525" s="5">
        <v>3.0099999999999998E-2</v>
      </c>
      <c r="K525" s="5">
        <v>2.93E-2</v>
      </c>
      <c r="L525" s="5">
        <v>2.5100000000000001E-2</v>
      </c>
      <c r="M525" s="5">
        <v>2.81E-2</v>
      </c>
      <c r="N525" s="5">
        <v>3.1899999999999998E-2</v>
      </c>
      <c r="O525" s="5">
        <v>3.2599999999999997E-2</v>
      </c>
      <c r="P525" s="5"/>
    </row>
    <row r="526" spans="1:16">
      <c r="A526" t="str">
        <f t="shared" si="7"/>
        <v>GSD13GCP RP ONPK</v>
      </c>
      <c r="B526" t="s">
        <v>651</v>
      </c>
      <c r="C526" t="s">
        <v>163</v>
      </c>
      <c r="D526" s="5">
        <v>4.8399999999999999E-2</v>
      </c>
      <c r="E526" s="5">
        <v>3.1699999999999999E-2</v>
      </c>
      <c r="F526" s="5">
        <v>3.6600000000000001E-2</v>
      </c>
      <c r="G526" s="5">
        <v>3.6999999999999998E-2</v>
      </c>
      <c r="H526" s="5">
        <v>3.27E-2</v>
      </c>
      <c r="I526" s="5">
        <v>2.7300000000000001E-2</v>
      </c>
      <c r="J526" s="5">
        <v>3.0099999999999998E-2</v>
      </c>
      <c r="K526" s="5">
        <v>2.93E-2</v>
      </c>
      <c r="L526" s="5">
        <v>2.5100000000000001E-2</v>
      </c>
      <c r="M526" s="5">
        <v>2.81E-2</v>
      </c>
      <c r="N526" s="5">
        <v>3.6499999999999998E-2</v>
      </c>
      <c r="O526" s="5">
        <v>4.6800000000000001E-2</v>
      </c>
      <c r="P526" s="5"/>
    </row>
    <row r="527" spans="1:16">
      <c r="A527" t="str">
        <f t="shared" si="7"/>
        <v>GSD13GCP RP OFFPK</v>
      </c>
      <c r="B527" t="s">
        <v>651</v>
      </c>
      <c r="C527" t="s">
        <v>164</v>
      </c>
      <c r="D527" s="5">
        <v>3.1800000000000002E-2</v>
      </c>
      <c r="E527" s="5">
        <v>2.9000000000000001E-2</v>
      </c>
      <c r="F527" s="5">
        <v>3.4599999999999999E-2</v>
      </c>
      <c r="G527" s="5">
        <v>3.6600000000000001E-2</v>
      </c>
      <c r="H527" s="5">
        <v>3.2300000000000002E-2</v>
      </c>
      <c r="I527" s="5">
        <v>2.7699999999999999E-2</v>
      </c>
      <c r="J527" s="5">
        <v>2.9499999999999998E-2</v>
      </c>
      <c r="K527" s="5">
        <v>0.03</v>
      </c>
      <c r="L527" s="5">
        <v>2.5899999999999999E-2</v>
      </c>
      <c r="M527" s="5">
        <v>2.8799999999999999E-2</v>
      </c>
      <c r="N527" s="5">
        <v>3.1899999999999998E-2</v>
      </c>
      <c r="O527" s="5">
        <v>3.2599999999999997E-2</v>
      </c>
      <c r="P527" s="5"/>
    </row>
    <row r="528" spans="1:16">
      <c r="A528" t="str">
        <f t="shared" si="7"/>
        <v>GSD13CP RP</v>
      </c>
      <c r="B528" t="s">
        <v>651</v>
      </c>
      <c r="C528" t="s">
        <v>165</v>
      </c>
      <c r="D528" s="5">
        <v>4.2299999999999997E-2</v>
      </c>
      <c r="E528" s="5">
        <v>2.93E-2</v>
      </c>
      <c r="F528" s="5">
        <v>4.02E-2</v>
      </c>
      <c r="G528" s="5">
        <v>3.8300000000000001E-2</v>
      </c>
      <c r="H528" s="5">
        <v>2.6599999999999999E-2</v>
      </c>
      <c r="I528" s="5">
        <v>2.6800000000000001E-2</v>
      </c>
      <c r="J528" s="5">
        <v>2.5999999999999999E-2</v>
      </c>
      <c r="K528" s="5">
        <v>2.3900000000000001E-2</v>
      </c>
      <c r="L528" s="5">
        <v>2.1299999999999999E-2</v>
      </c>
      <c r="M528" s="5">
        <v>2.7199999999999998E-2</v>
      </c>
      <c r="N528" s="5">
        <v>3.1899999999999998E-2</v>
      </c>
      <c r="O528" s="5">
        <v>3.5400000000000001E-2</v>
      </c>
      <c r="P528" s="5"/>
    </row>
    <row r="529" spans="1:16">
      <c r="A529" t="str">
        <f t="shared" si="7"/>
        <v>GSD13SAMPLE SIZE:</v>
      </c>
      <c r="B529" t="s">
        <v>651</v>
      </c>
      <c r="C529" t="s">
        <v>66</v>
      </c>
    </row>
    <row r="530" spans="1:16">
      <c r="A530" t="str">
        <f t="shared" si="7"/>
        <v>GSD13GCPSZ</v>
      </c>
      <c r="B530" t="s">
        <v>651</v>
      </c>
      <c r="C530" t="s">
        <v>166</v>
      </c>
      <c r="D530">
        <v>393</v>
      </c>
      <c r="E530">
        <v>398</v>
      </c>
      <c r="F530">
        <v>394</v>
      </c>
      <c r="G530">
        <v>311</v>
      </c>
      <c r="H530">
        <v>354</v>
      </c>
      <c r="I530">
        <v>385</v>
      </c>
      <c r="J530">
        <v>343</v>
      </c>
      <c r="K530">
        <v>397</v>
      </c>
      <c r="L530">
        <v>397</v>
      </c>
      <c r="M530">
        <v>391</v>
      </c>
      <c r="N530">
        <v>356</v>
      </c>
      <c r="O530">
        <v>398</v>
      </c>
    </row>
    <row r="531" spans="1:16">
      <c r="A531" t="str">
        <f t="shared" si="7"/>
        <v>GSD13GCPSZ ONPK</v>
      </c>
      <c r="B531" t="s">
        <v>651</v>
      </c>
      <c r="C531" t="s">
        <v>167</v>
      </c>
      <c r="D531">
        <v>393</v>
      </c>
      <c r="E531">
        <v>398</v>
      </c>
      <c r="F531">
        <v>394</v>
      </c>
      <c r="G531">
        <v>311</v>
      </c>
      <c r="H531">
        <v>354</v>
      </c>
      <c r="I531">
        <v>385</v>
      </c>
      <c r="J531">
        <v>343</v>
      </c>
      <c r="K531">
        <v>397</v>
      </c>
      <c r="L531">
        <v>397</v>
      </c>
      <c r="M531">
        <v>391</v>
      </c>
      <c r="N531">
        <v>356</v>
      </c>
      <c r="O531">
        <v>398</v>
      </c>
    </row>
    <row r="532" spans="1:16">
      <c r="A532" t="str">
        <f t="shared" si="7"/>
        <v>GSD13GCPSZ OFFPK</v>
      </c>
      <c r="B532" t="s">
        <v>651</v>
      </c>
      <c r="C532" t="s">
        <v>168</v>
      </c>
      <c r="D532">
        <v>393</v>
      </c>
      <c r="E532">
        <v>398</v>
      </c>
      <c r="F532">
        <v>394</v>
      </c>
      <c r="G532">
        <v>311</v>
      </c>
      <c r="H532">
        <v>354</v>
      </c>
      <c r="I532">
        <v>385</v>
      </c>
      <c r="J532">
        <v>343</v>
      </c>
      <c r="K532">
        <v>397</v>
      </c>
      <c r="L532">
        <v>397</v>
      </c>
      <c r="M532">
        <v>391</v>
      </c>
      <c r="N532">
        <v>356</v>
      </c>
      <c r="O532">
        <v>398</v>
      </c>
    </row>
    <row r="533" spans="1:16">
      <c r="A533" t="str">
        <f t="shared" si="7"/>
        <v>GSD13CPSZ</v>
      </c>
      <c r="B533" t="s">
        <v>651</v>
      </c>
      <c r="C533" t="s">
        <v>169</v>
      </c>
      <c r="D533">
        <v>393</v>
      </c>
      <c r="E533">
        <v>398</v>
      </c>
      <c r="F533">
        <v>394</v>
      </c>
      <c r="G533">
        <v>311</v>
      </c>
      <c r="H533">
        <v>354</v>
      </c>
      <c r="I533">
        <v>385</v>
      </c>
      <c r="J533">
        <v>343</v>
      </c>
      <c r="K533">
        <v>397</v>
      </c>
      <c r="L533">
        <v>397</v>
      </c>
      <c r="M533">
        <v>391</v>
      </c>
      <c r="N533">
        <v>356</v>
      </c>
      <c r="O533">
        <v>398</v>
      </c>
    </row>
    <row r="534" spans="1:16">
      <c r="A534" t="str">
        <f t="shared" si="7"/>
        <v/>
      </c>
    </row>
    <row r="535" spans="1:16">
      <c r="A535" t="str">
        <f t="shared" si="7"/>
        <v xml:space="preserve">Note: In 2014, the GSD13 rate class includes the GSD-1, GSDT-1, HLFT-1, SDTR-1A and SDTR-1B rate schedules. CUSTOMERS and SALES lines reflects the total of the aggregated rate schedules. </v>
      </c>
      <c r="B535" t="s">
        <v>654</v>
      </c>
    </row>
    <row r="536" spans="1:16">
      <c r="A536" t="str">
        <f t="shared" si="7"/>
        <v/>
      </c>
    </row>
    <row r="537" spans="1:16">
      <c r="A537" t="str">
        <f t="shared" si="7"/>
        <v xml:space="preserve">GSD13 GSD(T)-1 General Service Demand 1 including TOU (21-499 kW)  (Sampled) </v>
      </c>
      <c r="B537" t="s">
        <v>649</v>
      </c>
      <c r="C537" t="s">
        <v>650</v>
      </c>
    </row>
    <row r="538" spans="1:16">
      <c r="A538" t="str">
        <f t="shared" si="7"/>
        <v xml:space="preserve">GSD13MONTH </v>
      </c>
      <c r="B538" t="s">
        <v>651</v>
      </c>
      <c r="C538" t="s">
        <v>123</v>
      </c>
      <c r="D538" s="4">
        <v>41640</v>
      </c>
      <c r="E538" s="4">
        <v>41671</v>
      </c>
      <c r="F538" s="4">
        <v>41699</v>
      </c>
      <c r="G538" s="4">
        <v>41730</v>
      </c>
      <c r="H538" s="4">
        <v>41760</v>
      </c>
      <c r="I538" s="4">
        <v>41791</v>
      </c>
      <c r="J538" s="4">
        <v>41821</v>
      </c>
      <c r="K538" s="4">
        <v>41852</v>
      </c>
      <c r="L538" s="4">
        <v>41883</v>
      </c>
      <c r="M538" s="4">
        <v>41913</v>
      </c>
      <c r="N538" s="4">
        <v>41944</v>
      </c>
      <c r="O538" s="4">
        <v>41974</v>
      </c>
      <c r="P538" s="4"/>
    </row>
    <row r="539" spans="1:16">
      <c r="A539" t="str">
        <f t="shared" si="7"/>
        <v/>
      </c>
    </row>
    <row r="540" spans="1:16">
      <c r="A540" t="str">
        <f t="shared" si="7"/>
        <v>GSD13SDR GCP</v>
      </c>
      <c r="B540" t="s">
        <v>651</v>
      </c>
      <c r="C540" t="s">
        <v>171</v>
      </c>
      <c r="D540">
        <v>8.8559999999999999</v>
      </c>
      <c r="E540">
        <v>8.1750000000000007</v>
      </c>
      <c r="F540">
        <v>8.9290000000000003</v>
      </c>
      <c r="G540">
        <v>9.8829999999999991</v>
      </c>
      <c r="H540">
        <v>9.44</v>
      </c>
      <c r="I540">
        <v>8.6050000000000004</v>
      </c>
      <c r="J540">
        <v>8.7089999999999996</v>
      </c>
      <c r="K540">
        <v>9.5779999999999994</v>
      </c>
      <c r="L540">
        <v>8.5630000000000006</v>
      </c>
      <c r="M540">
        <v>8.8070000000000004</v>
      </c>
      <c r="N540">
        <v>9.5589999999999993</v>
      </c>
      <c r="O540">
        <v>8.6419999999999995</v>
      </c>
    </row>
    <row r="541" spans="1:16">
      <c r="A541" t="str">
        <f t="shared" si="7"/>
        <v>GSD13SDR GCP ONPK</v>
      </c>
      <c r="B541" t="s">
        <v>651</v>
      </c>
      <c r="C541" t="s">
        <v>172</v>
      </c>
      <c r="D541">
        <v>12.301</v>
      </c>
      <c r="E541">
        <v>8.1159999999999997</v>
      </c>
      <c r="F541">
        <v>8.3439999999999994</v>
      </c>
      <c r="G541">
        <v>9.8829999999999991</v>
      </c>
      <c r="H541">
        <v>9.44</v>
      </c>
      <c r="I541">
        <v>8.6050000000000004</v>
      </c>
      <c r="J541">
        <v>8.7089999999999996</v>
      </c>
      <c r="K541">
        <v>9.5779999999999994</v>
      </c>
      <c r="L541">
        <v>8.5630000000000006</v>
      </c>
      <c r="M541">
        <v>8.8070000000000004</v>
      </c>
      <c r="N541">
        <v>9.7089999999999996</v>
      </c>
      <c r="O541">
        <v>11.058999999999999</v>
      </c>
    </row>
    <row r="542" spans="1:16">
      <c r="A542" t="str">
        <f t="shared" si="7"/>
        <v>GSD13SDR GCP OFFP</v>
      </c>
      <c r="B542" t="s">
        <v>651</v>
      </c>
      <c r="C542" t="s">
        <v>219</v>
      </c>
      <c r="D542">
        <v>8.8559999999999999</v>
      </c>
      <c r="E542">
        <v>8.1750000000000007</v>
      </c>
      <c r="F542">
        <v>8.9290000000000003</v>
      </c>
      <c r="G542">
        <v>9.27</v>
      </c>
      <c r="H542">
        <v>8.7680000000000007</v>
      </c>
      <c r="I542">
        <v>8.1829999999999998</v>
      </c>
      <c r="J542">
        <v>8.0269999999999992</v>
      </c>
      <c r="K542">
        <v>9.1219999999999999</v>
      </c>
      <c r="L542">
        <v>8.2840000000000007</v>
      </c>
      <c r="M542">
        <v>8.3670000000000009</v>
      </c>
      <c r="N542">
        <v>9.5589999999999993</v>
      </c>
      <c r="O542">
        <v>8.6419999999999995</v>
      </c>
    </row>
    <row r="543" spans="1:16">
      <c r="A543" t="str">
        <f t="shared" si="7"/>
        <v>GSD13SDR CP</v>
      </c>
      <c r="B543" t="s">
        <v>651</v>
      </c>
      <c r="C543" t="s">
        <v>174</v>
      </c>
      <c r="D543">
        <v>8.3970000000000002</v>
      </c>
      <c r="E543">
        <v>8.3309999999999995</v>
      </c>
      <c r="F543">
        <v>8.2460000000000004</v>
      </c>
      <c r="G543">
        <v>8.6370000000000005</v>
      </c>
      <c r="H543">
        <v>6.8810000000000002</v>
      </c>
      <c r="I543">
        <v>8.0510000000000002</v>
      </c>
      <c r="J543">
        <v>7.1630000000000003</v>
      </c>
      <c r="K543">
        <v>7.1020000000000003</v>
      </c>
      <c r="L543">
        <v>6.8380000000000001</v>
      </c>
      <c r="M543">
        <v>8.1379999999999999</v>
      </c>
      <c r="N543">
        <v>9.5589999999999993</v>
      </c>
      <c r="O543">
        <v>8.2349999999999994</v>
      </c>
    </row>
    <row r="544" spans="1:16">
      <c r="A544" t="str">
        <f t="shared" si="7"/>
        <v/>
      </c>
    </row>
    <row r="545" spans="1:15">
      <c r="A545" t="str">
        <f t="shared" si="7"/>
        <v>GSD13I   SDR GCP</v>
      </c>
      <c r="B545" t="s">
        <v>651</v>
      </c>
      <c r="C545" t="s">
        <v>220</v>
      </c>
      <c r="D545">
        <v>7.6139999999999999</v>
      </c>
      <c r="E545">
        <v>8.0109999999999992</v>
      </c>
      <c r="F545">
        <v>7.9279999999999999</v>
      </c>
      <c r="G545">
        <v>8.0670000000000002</v>
      </c>
      <c r="H545">
        <v>8.9459999999999997</v>
      </c>
      <c r="I545">
        <v>8.4190000000000005</v>
      </c>
      <c r="J545">
        <v>9.391</v>
      </c>
      <c r="K545">
        <v>8.7129999999999992</v>
      </c>
      <c r="L545">
        <v>7.6310000000000002</v>
      </c>
      <c r="M545">
        <v>8.4600000000000009</v>
      </c>
      <c r="N545">
        <v>7.9889999999999999</v>
      </c>
      <c r="O545">
        <v>7.34</v>
      </c>
    </row>
    <row r="546" spans="1:15">
      <c r="A546" t="str">
        <f t="shared" si="7"/>
        <v>GSD13I   SDR GCP ONPK</v>
      </c>
      <c r="B546" t="s">
        <v>651</v>
      </c>
      <c r="C546" t="s">
        <v>221</v>
      </c>
      <c r="D546">
        <v>16.838000000000001</v>
      </c>
      <c r="E546">
        <v>7.36</v>
      </c>
      <c r="F546">
        <v>7.15</v>
      </c>
      <c r="G546">
        <v>8.0670000000000002</v>
      </c>
      <c r="H546">
        <v>8.9459999999999997</v>
      </c>
      <c r="I546">
        <v>8.4190000000000005</v>
      </c>
      <c r="J546">
        <v>9.391</v>
      </c>
      <c r="K546">
        <v>8.7129999999999992</v>
      </c>
      <c r="L546">
        <v>7.6310000000000002</v>
      </c>
      <c r="M546">
        <v>8.4600000000000009</v>
      </c>
      <c r="N546">
        <v>8.5030000000000001</v>
      </c>
      <c r="O546">
        <v>14.106</v>
      </c>
    </row>
    <row r="547" spans="1:15">
      <c r="A547" t="str">
        <f t="shared" si="7"/>
        <v>GSD13I   SDR GCP OFFPK</v>
      </c>
      <c r="B547" t="s">
        <v>651</v>
      </c>
      <c r="C547" t="s">
        <v>222</v>
      </c>
      <c r="D547">
        <v>7.6139999999999999</v>
      </c>
      <c r="E547">
        <v>8.0109999999999992</v>
      </c>
      <c r="F547">
        <v>7.9279999999999999</v>
      </c>
      <c r="G547">
        <v>8.5879999999999992</v>
      </c>
      <c r="H547">
        <v>8.6720000000000006</v>
      </c>
      <c r="I547">
        <v>8.1739999999999995</v>
      </c>
      <c r="J547">
        <v>8.5670000000000002</v>
      </c>
      <c r="K547">
        <v>8.9710000000000001</v>
      </c>
      <c r="L547">
        <v>8.3030000000000008</v>
      </c>
      <c r="M547">
        <v>8.4450000000000003</v>
      </c>
      <c r="N547">
        <v>7.9889999999999999</v>
      </c>
      <c r="O547">
        <v>7.34</v>
      </c>
    </row>
    <row r="548" spans="1:15">
      <c r="A548" t="str">
        <f t="shared" si="7"/>
        <v>GSD13I   SDR CP</v>
      </c>
      <c r="B548" t="s">
        <v>651</v>
      </c>
      <c r="C548" t="s">
        <v>638</v>
      </c>
      <c r="D548">
        <v>8.4600000000000009</v>
      </c>
      <c r="E548">
        <v>8.1750000000000007</v>
      </c>
      <c r="F548">
        <v>8.3940000000000001</v>
      </c>
      <c r="G548">
        <v>7.1550000000000002</v>
      </c>
      <c r="H548">
        <v>6.1139999999999999</v>
      </c>
      <c r="I548">
        <v>7.9909999999999997</v>
      </c>
      <c r="J548">
        <v>6.9829999999999997</v>
      </c>
      <c r="K548">
        <v>7.0460000000000003</v>
      </c>
      <c r="L548">
        <v>6.9809999999999999</v>
      </c>
      <c r="M548">
        <v>8.42</v>
      </c>
      <c r="N548">
        <v>7.9889999999999999</v>
      </c>
      <c r="O548">
        <v>6.5389999999999997</v>
      </c>
    </row>
    <row r="549" spans="1:15">
      <c r="A549" t="str">
        <f t="shared" si="7"/>
        <v/>
      </c>
    </row>
    <row r="550" spans="1:15">
      <c r="A550" t="str">
        <f t="shared" si="7"/>
        <v>GSD13II  SDR GCP</v>
      </c>
      <c r="B550" t="s">
        <v>651</v>
      </c>
      <c r="C550" t="s">
        <v>223</v>
      </c>
      <c r="D550">
        <v>23.454000000000001</v>
      </c>
      <c r="E550">
        <v>19.431999999999999</v>
      </c>
      <c r="F550">
        <v>23.164999999999999</v>
      </c>
      <c r="G550">
        <v>26.783000000000001</v>
      </c>
      <c r="H550">
        <v>23.26</v>
      </c>
      <c r="I550">
        <v>20.355</v>
      </c>
      <c r="J550">
        <v>18.451000000000001</v>
      </c>
      <c r="K550">
        <v>24.622</v>
      </c>
      <c r="L550">
        <v>21.634</v>
      </c>
      <c r="M550">
        <v>22.004999999999999</v>
      </c>
      <c r="N550">
        <v>25.545000000000002</v>
      </c>
      <c r="O550">
        <v>23.148</v>
      </c>
    </row>
    <row r="551" spans="1:15">
      <c r="A551" t="str">
        <f t="shared" si="7"/>
        <v>GSD13II  SDR GCP ONPK</v>
      </c>
      <c r="B551" t="s">
        <v>651</v>
      </c>
      <c r="C551" t="s">
        <v>224</v>
      </c>
      <c r="D551">
        <v>16.295999999999999</v>
      </c>
      <c r="E551">
        <v>20.347999999999999</v>
      </c>
      <c r="F551">
        <v>21.79</v>
      </c>
      <c r="G551">
        <v>26.783000000000001</v>
      </c>
      <c r="H551">
        <v>23.26</v>
      </c>
      <c r="I551">
        <v>20.355</v>
      </c>
      <c r="J551">
        <v>18.451000000000001</v>
      </c>
      <c r="K551">
        <v>24.622</v>
      </c>
      <c r="L551">
        <v>21.634</v>
      </c>
      <c r="M551">
        <v>22.004999999999999</v>
      </c>
      <c r="N551">
        <v>24.913</v>
      </c>
      <c r="O551">
        <v>19.722000000000001</v>
      </c>
    </row>
    <row r="552" spans="1:15">
      <c r="A552" t="str">
        <f t="shared" si="7"/>
        <v>GSD13II  SDR GCP OFFPK</v>
      </c>
      <c r="B552" t="s">
        <v>651</v>
      </c>
      <c r="C552" t="s">
        <v>225</v>
      </c>
      <c r="D552">
        <v>23.454000000000001</v>
      </c>
      <c r="E552">
        <v>19.431999999999999</v>
      </c>
      <c r="F552">
        <v>23.164999999999999</v>
      </c>
      <c r="G552">
        <v>22.526</v>
      </c>
      <c r="H552">
        <v>20.216999999999999</v>
      </c>
      <c r="I552">
        <v>18.536999999999999</v>
      </c>
      <c r="J552">
        <v>16.891999999999999</v>
      </c>
      <c r="K552">
        <v>20.899000000000001</v>
      </c>
      <c r="L552">
        <v>18.135000000000002</v>
      </c>
      <c r="M552">
        <v>19.32</v>
      </c>
      <c r="N552">
        <v>25.545000000000002</v>
      </c>
      <c r="O552">
        <v>23.148</v>
      </c>
    </row>
    <row r="553" spans="1:15">
      <c r="A553" t="str">
        <f t="shared" si="7"/>
        <v>GSD13II  SDR CP</v>
      </c>
      <c r="B553" t="s">
        <v>651</v>
      </c>
      <c r="C553" t="s">
        <v>226</v>
      </c>
      <c r="D553">
        <v>19.396000000000001</v>
      </c>
      <c r="E553">
        <v>20.873999999999999</v>
      </c>
      <c r="F553">
        <v>19.326000000000001</v>
      </c>
      <c r="G553">
        <v>22.074000000000002</v>
      </c>
      <c r="H553">
        <v>17.425000000000001</v>
      </c>
      <c r="I553">
        <v>17.629000000000001</v>
      </c>
      <c r="J553">
        <v>17.059999999999999</v>
      </c>
      <c r="K553">
        <v>16.803999999999998</v>
      </c>
      <c r="L553">
        <v>15.933999999999999</v>
      </c>
      <c r="M553">
        <v>18.600999999999999</v>
      </c>
      <c r="N553">
        <v>25.545000000000002</v>
      </c>
      <c r="O553">
        <v>22.815000000000001</v>
      </c>
    </row>
    <row r="554" spans="1:15">
      <c r="A554" t="str">
        <f t="shared" si="7"/>
        <v/>
      </c>
    </row>
    <row r="555" spans="1:15">
      <c r="A555" t="str">
        <f t="shared" si="7"/>
        <v>GSD13III SDR GCP</v>
      </c>
      <c r="B555" t="s">
        <v>651</v>
      </c>
      <c r="C555" t="s">
        <v>227</v>
      </c>
      <c r="D555">
        <v>57.036000000000001</v>
      </c>
      <c r="E555">
        <v>53.948</v>
      </c>
      <c r="F555">
        <v>57.502000000000002</v>
      </c>
      <c r="G555">
        <v>65.317999999999998</v>
      </c>
      <c r="H555">
        <v>61.238</v>
      </c>
      <c r="I555">
        <v>57.896999999999998</v>
      </c>
      <c r="J555">
        <v>57.287999999999997</v>
      </c>
      <c r="K555">
        <v>59.795000000000002</v>
      </c>
      <c r="L555">
        <v>59.936999999999998</v>
      </c>
      <c r="M555">
        <v>51.749000000000002</v>
      </c>
      <c r="N555">
        <v>63.448</v>
      </c>
      <c r="O555">
        <v>54.722999999999999</v>
      </c>
    </row>
    <row r="556" spans="1:15">
      <c r="A556" t="str">
        <f t="shared" si="7"/>
        <v>GSD13III SDR GCP ONPK</v>
      </c>
      <c r="B556" t="s">
        <v>651</v>
      </c>
      <c r="C556" t="s">
        <v>228</v>
      </c>
      <c r="D556">
        <v>39.744999999999997</v>
      </c>
      <c r="E556">
        <v>55.831000000000003</v>
      </c>
      <c r="F556">
        <v>57.064</v>
      </c>
      <c r="G556">
        <v>65.317999999999998</v>
      </c>
      <c r="H556">
        <v>61.238</v>
      </c>
      <c r="I556">
        <v>57.896999999999998</v>
      </c>
      <c r="J556">
        <v>57.287999999999997</v>
      </c>
      <c r="K556">
        <v>59.795000000000002</v>
      </c>
      <c r="L556">
        <v>59.936999999999998</v>
      </c>
      <c r="M556">
        <v>51.749000000000002</v>
      </c>
      <c r="N556">
        <v>67.173000000000002</v>
      </c>
      <c r="O556">
        <v>35.874000000000002</v>
      </c>
    </row>
    <row r="557" spans="1:15">
      <c r="A557" t="str">
        <f t="shared" si="7"/>
        <v>GSD13III SDR GCP OFFPK</v>
      </c>
      <c r="B557" t="s">
        <v>651</v>
      </c>
      <c r="C557" t="s">
        <v>229</v>
      </c>
      <c r="D557">
        <v>57.036000000000001</v>
      </c>
      <c r="E557">
        <v>53.948</v>
      </c>
      <c r="F557">
        <v>57.502000000000002</v>
      </c>
      <c r="G557">
        <v>66.516000000000005</v>
      </c>
      <c r="H557">
        <v>61.396000000000001</v>
      </c>
      <c r="I557">
        <v>58.253</v>
      </c>
      <c r="J557">
        <v>55.639000000000003</v>
      </c>
      <c r="K557">
        <v>65.855000000000004</v>
      </c>
      <c r="L557">
        <v>63.029000000000003</v>
      </c>
      <c r="M557">
        <v>54.923000000000002</v>
      </c>
      <c r="N557">
        <v>63.448</v>
      </c>
      <c r="O557">
        <v>54.722999999999999</v>
      </c>
    </row>
    <row r="558" spans="1:15">
      <c r="A558" t="str">
        <f t="shared" si="7"/>
        <v>GSD13III SDR CP</v>
      </c>
      <c r="B558" t="s">
        <v>651</v>
      </c>
      <c r="C558" t="s">
        <v>230</v>
      </c>
      <c r="D558">
        <v>55.387999999999998</v>
      </c>
      <c r="E558">
        <v>44.249000000000002</v>
      </c>
      <c r="F558">
        <v>50.052999999999997</v>
      </c>
      <c r="G558">
        <v>67.061000000000007</v>
      </c>
      <c r="H558">
        <v>48.115000000000002</v>
      </c>
      <c r="I558">
        <v>62.622999999999998</v>
      </c>
      <c r="J558">
        <v>47.716000000000001</v>
      </c>
      <c r="K558">
        <v>45.704000000000001</v>
      </c>
      <c r="L558">
        <v>41.853000000000002</v>
      </c>
      <c r="M558">
        <v>50.496000000000002</v>
      </c>
      <c r="N558">
        <v>63.448</v>
      </c>
      <c r="O558">
        <v>52.503999999999998</v>
      </c>
    </row>
    <row r="559" spans="1:15">
      <c r="A559" t="str">
        <f t="shared" ref="A559:A622" si="8">B559&amp;C559</f>
        <v/>
      </c>
    </row>
    <row r="560" spans="1:15">
      <c r="A560" t="str">
        <f t="shared" si="8"/>
        <v/>
      </c>
    </row>
    <row r="561" spans="1:1">
      <c r="A561" t="str">
        <f t="shared" si="8"/>
        <v/>
      </c>
    </row>
    <row r="562" spans="1:1">
      <c r="A562" t="str">
        <f t="shared" si="8"/>
        <v/>
      </c>
    </row>
    <row r="563" spans="1:1">
      <c r="A563" t="str">
        <f t="shared" si="8"/>
        <v/>
      </c>
    </row>
    <row r="564" spans="1:1">
      <c r="A564" t="str">
        <f t="shared" si="8"/>
        <v/>
      </c>
    </row>
    <row r="565" spans="1:1">
      <c r="A565" t="str">
        <f t="shared" si="8"/>
        <v/>
      </c>
    </row>
    <row r="566" spans="1:1">
      <c r="A566" t="str">
        <f t="shared" si="8"/>
        <v/>
      </c>
    </row>
    <row r="567" spans="1:1">
      <c r="A567" t="str">
        <f t="shared" si="8"/>
        <v/>
      </c>
    </row>
    <row r="568" spans="1:1">
      <c r="A568" t="str">
        <f t="shared" si="8"/>
        <v/>
      </c>
    </row>
    <row r="569" spans="1:1">
      <c r="A569" t="str">
        <f t="shared" si="8"/>
        <v/>
      </c>
    </row>
    <row r="570" spans="1:1">
      <c r="A570" t="str">
        <f t="shared" si="8"/>
        <v/>
      </c>
    </row>
    <row r="571" spans="1:1">
      <c r="A571" t="str">
        <f t="shared" si="8"/>
        <v/>
      </c>
    </row>
    <row r="572" spans="1:1">
      <c r="A572" t="str">
        <f t="shared" si="8"/>
        <v/>
      </c>
    </row>
    <row r="573" spans="1:1">
      <c r="A573" t="str">
        <f t="shared" si="8"/>
        <v/>
      </c>
    </row>
    <row r="574" spans="1:1">
      <c r="A574" t="str">
        <f t="shared" si="8"/>
        <v/>
      </c>
    </row>
    <row r="575" spans="1:1">
      <c r="A575" t="str">
        <f t="shared" si="8"/>
        <v/>
      </c>
    </row>
    <row r="576" spans="1:1">
      <c r="A576" t="str">
        <f t="shared" si="8"/>
        <v/>
      </c>
    </row>
    <row r="577" spans="1:16">
      <c r="A577" t="str">
        <f t="shared" si="8"/>
        <v/>
      </c>
    </row>
    <row r="578" spans="1:16">
      <c r="A578" t="str">
        <f t="shared" si="8"/>
        <v/>
      </c>
    </row>
    <row r="579" spans="1:16">
      <c r="A579" t="str">
        <f t="shared" si="8"/>
        <v/>
      </c>
    </row>
    <row r="580" spans="1:16">
      <c r="A580" t="str">
        <f t="shared" si="8"/>
        <v/>
      </c>
    </row>
    <row r="581" spans="1:16">
      <c r="A581" t="str">
        <f t="shared" si="8"/>
        <v/>
      </c>
    </row>
    <row r="582" spans="1:16">
      <c r="A582" t="str">
        <f t="shared" si="8"/>
        <v/>
      </c>
    </row>
    <row r="583" spans="1:16">
      <c r="A583" t="str">
        <f t="shared" si="8"/>
        <v/>
      </c>
    </row>
    <row r="584" spans="1:16">
      <c r="A584" t="str">
        <f t="shared" si="8"/>
        <v/>
      </c>
    </row>
    <row r="585" spans="1:16">
      <c r="A585" t="str">
        <f t="shared" si="8"/>
        <v xml:space="preserve">GSLD13 GSLD(T)-1 General Service Large Demand 1 including TOU (Sampled) </v>
      </c>
      <c r="B585" t="s">
        <v>655</v>
      </c>
      <c r="C585" t="s">
        <v>239</v>
      </c>
    </row>
    <row r="586" spans="1:16">
      <c r="A586" t="str">
        <f t="shared" si="8"/>
        <v xml:space="preserve">GSLD13MONTH </v>
      </c>
      <c r="B586" t="s">
        <v>656</v>
      </c>
      <c r="C586" t="s">
        <v>123</v>
      </c>
      <c r="D586" s="4">
        <v>41640</v>
      </c>
      <c r="E586" s="4">
        <v>41671</v>
      </c>
      <c r="F586" s="4">
        <v>41699</v>
      </c>
      <c r="G586" s="4">
        <v>41730</v>
      </c>
      <c r="H586" s="4">
        <v>41760</v>
      </c>
      <c r="I586" s="4">
        <v>41791</v>
      </c>
      <c r="J586" s="4">
        <v>41821</v>
      </c>
      <c r="K586" s="4">
        <v>41852</v>
      </c>
      <c r="L586" s="4">
        <v>41883</v>
      </c>
      <c r="M586" s="4">
        <v>41913</v>
      </c>
      <c r="N586" s="4">
        <v>41944</v>
      </c>
      <c r="O586" s="4">
        <v>41974</v>
      </c>
      <c r="P586" s="4"/>
    </row>
    <row r="587" spans="1:16">
      <c r="A587" t="str">
        <f t="shared" si="8"/>
        <v xml:space="preserve">GSLD13CUSTOMERS </v>
      </c>
      <c r="B587" t="s">
        <v>656</v>
      </c>
      <c r="C587" t="s">
        <v>124</v>
      </c>
      <c r="D587">
        <v>2949</v>
      </c>
      <c r="E587">
        <v>2952</v>
      </c>
      <c r="F587">
        <v>2954</v>
      </c>
      <c r="G587">
        <v>2962</v>
      </c>
      <c r="H587">
        <v>2970</v>
      </c>
      <c r="I587">
        <v>2985</v>
      </c>
      <c r="J587">
        <v>2988</v>
      </c>
      <c r="K587">
        <v>3005</v>
      </c>
      <c r="L587">
        <v>3020</v>
      </c>
      <c r="M587">
        <v>3006</v>
      </c>
      <c r="N587">
        <v>3005</v>
      </c>
      <c r="O587">
        <v>3015</v>
      </c>
    </row>
    <row r="588" spans="1:16">
      <c r="A588" t="str">
        <f t="shared" si="8"/>
        <v xml:space="preserve">GSLD13SALES </v>
      </c>
      <c r="B588" t="s">
        <v>656</v>
      </c>
      <c r="C588" t="s">
        <v>125</v>
      </c>
      <c r="D588">
        <v>825040161</v>
      </c>
      <c r="E588">
        <v>777645814</v>
      </c>
      <c r="F588">
        <v>775754262</v>
      </c>
      <c r="G588">
        <v>796817158</v>
      </c>
      <c r="H588">
        <v>897950180</v>
      </c>
      <c r="I588">
        <v>897160050</v>
      </c>
      <c r="J588">
        <v>914500346</v>
      </c>
      <c r="K588">
        <v>955841870</v>
      </c>
      <c r="L588">
        <v>979002639</v>
      </c>
      <c r="M588">
        <v>907467424</v>
      </c>
      <c r="N588">
        <v>832631085</v>
      </c>
      <c r="O588">
        <v>811273094</v>
      </c>
    </row>
    <row r="589" spans="1:16">
      <c r="A589" t="str">
        <f t="shared" si="8"/>
        <v>GSLD13KW</v>
      </c>
      <c r="B589" t="s">
        <v>656</v>
      </c>
      <c r="C589" t="s">
        <v>126</v>
      </c>
    </row>
    <row r="590" spans="1:16">
      <c r="A590" t="str">
        <f t="shared" si="8"/>
        <v>GSLD13N</v>
      </c>
      <c r="B590" t="s">
        <v>656</v>
      </c>
      <c r="C590" t="s">
        <v>127</v>
      </c>
      <c r="D590">
        <v>2949</v>
      </c>
      <c r="E590">
        <v>2952</v>
      </c>
      <c r="F590">
        <v>2954</v>
      </c>
      <c r="G590">
        <v>2962</v>
      </c>
      <c r="H590">
        <v>2970</v>
      </c>
      <c r="I590">
        <v>2985</v>
      </c>
      <c r="J590">
        <v>2988</v>
      </c>
      <c r="K590">
        <v>3005</v>
      </c>
      <c r="L590">
        <v>3020</v>
      </c>
      <c r="M590">
        <v>3006</v>
      </c>
      <c r="N590">
        <v>3005</v>
      </c>
      <c r="O590">
        <v>3015</v>
      </c>
    </row>
    <row r="591" spans="1:16">
      <c r="A591" t="str">
        <f t="shared" si="8"/>
        <v>GSLD13RLR ENERGY:</v>
      </c>
      <c r="B591" t="s">
        <v>656</v>
      </c>
      <c r="C591" t="s">
        <v>61</v>
      </c>
    </row>
    <row r="592" spans="1:16">
      <c r="A592" t="str">
        <f t="shared" si="8"/>
        <v>GSLD13KWH</v>
      </c>
      <c r="B592" t="s">
        <v>656</v>
      </c>
      <c r="C592" t="s">
        <v>128</v>
      </c>
      <c r="D592">
        <v>825276840</v>
      </c>
      <c r="E592">
        <v>777777567</v>
      </c>
      <c r="F592">
        <v>775789256</v>
      </c>
      <c r="G592">
        <v>796837650</v>
      </c>
      <c r="H592">
        <v>898034703</v>
      </c>
      <c r="I592">
        <v>897229483</v>
      </c>
      <c r="J592">
        <v>914651298</v>
      </c>
      <c r="K592">
        <v>955904779</v>
      </c>
      <c r="L592">
        <v>979055653</v>
      </c>
      <c r="M592">
        <v>907475688</v>
      </c>
      <c r="N592">
        <v>832671147</v>
      </c>
      <c r="O592">
        <v>811384088</v>
      </c>
    </row>
    <row r="593" spans="1:16">
      <c r="A593" t="str">
        <f t="shared" si="8"/>
        <v>GSLD13KWH ONPK</v>
      </c>
      <c r="B593" t="s">
        <v>656</v>
      </c>
      <c r="C593" t="s">
        <v>129</v>
      </c>
      <c r="D593">
        <v>212623086</v>
      </c>
      <c r="E593">
        <v>201091161</v>
      </c>
      <c r="F593">
        <v>190633236</v>
      </c>
      <c r="G593">
        <v>261384204</v>
      </c>
      <c r="H593">
        <v>274034068</v>
      </c>
      <c r="I593">
        <v>276390037</v>
      </c>
      <c r="J593">
        <v>283128058</v>
      </c>
      <c r="K593">
        <v>291614063</v>
      </c>
      <c r="L593">
        <v>308534076</v>
      </c>
      <c r="M593">
        <v>303868543</v>
      </c>
      <c r="N593">
        <v>197495860</v>
      </c>
      <c r="O593">
        <v>210403012</v>
      </c>
    </row>
    <row r="594" spans="1:16">
      <c r="A594" t="str">
        <f t="shared" si="8"/>
        <v>GSLD13KWH OFFPK</v>
      </c>
      <c r="B594" t="s">
        <v>656</v>
      </c>
      <c r="C594" t="s">
        <v>130</v>
      </c>
      <c r="D594">
        <v>612653754</v>
      </c>
      <c r="E594">
        <v>576686407</v>
      </c>
      <c r="F594">
        <v>585156020</v>
      </c>
      <c r="G594">
        <v>535453447</v>
      </c>
      <c r="H594">
        <v>624000635</v>
      </c>
      <c r="I594">
        <v>620839445</v>
      </c>
      <c r="J594">
        <v>631523240</v>
      </c>
      <c r="K594">
        <v>664290716</v>
      </c>
      <c r="L594">
        <v>670521577</v>
      </c>
      <c r="M594">
        <v>603607145</v>
      </c>
      <c r="N594">
        <v>635175287</v>
      </c>
      <c r="O594">
        <v>600981076</v>
      </c>
    </row>
    <row r="595" spans="1:16">
      <c r="A595" t="str">
        <f t="shared" si="8"/>
        <v>GSLD13KWH ONPK%</v>
      </c>
      <c r="B595" t="s">
        <v>656</v>
      </c>
      <c r="C595" t="s">
        <v>131</v>
      </c>
      <c r="D595" s="5">
        <v>0.25763999999999998</v>
      </c>
      <c r="E595" s="5">
        <v>0.25855</v>
      </c>
      <c r="F595" s="5">
        <v>0.24573</v>
      </c>
      <c r="G595" s="5">
        <v>0.32802999999999999</v>
      </c>
      <c r="H595" s="5">
        <v>0.30514999999999998</v>
      </c>
      <c r="I595" s="5">
        <v>0.30804999999999999</v>
      </c>
      <c r="J595" s="5">
        <v>0.30954999999999999</v>
      </c>
      <c r="K595" s="5">
        <v>0.30507000000000001</v>
      </c>
      <c r="L595" s="5">
        <v>0.31513000000000002</v>
      </c>
      <c r="M595" s="5">
        <v>0.33484999999999998</v>
      </c>
      <c r="N595" s="5">
        <v>0.23718</v>
      </c>
      <c r="O595" s="5">
        <v>0.25930999999999998</v>
      </c>
      <c r="P595" s="5"/>
    </row>
    <row r="596" spans="1:16">
      <c r="A596" t="str">
        <f t="shared" si="8"/>
        <v>GSLD13KWH OFFPK%</v>
      </c>
      <c r="B596" t="s">
        <v>656</v>
      </c>
      <c r="C596" t="s">
        <v>132</v>
      </c>
      <c r="D596" s="5">
        <v>0.74236000000000002</v>
      </c>
      <c r="E596" s="5">
        <v>0.74145000000000005</v>
      </c>
      <c r="F596" s="5">
        <v>0.75427</v>
      </c>
      <c r="G596" s="5">
        <v>0.67196999999999996</v>
      </c>
      <c r="H596" s="5">
        <v>0.69484999999999997</v>
      </c>
      <c r="I596" s="5">
        <v>0.69194999999999995</v>
      </c>
      <c r="J596" s="5">
        <v>0.69045000000000001</v>
      </c>
      <c r="K596" s="5">
        <v>0.69493000000000005</v>
      </c>
      <c r="L596" s="5">
        <v>0.68486999999999998</v>
      </c>
      <c r="M596" s="5">
        <v>0.66515000000000002</v>
      </c>
      <c r="N596" s="5">
        <v>0.76282000000000005</v>
      </c>
      <c r="O596" s="5">
        <v>0.74068999999999996</v>
      </c>
      <c r="P596" s="5"/>
    </row>
    <row r="597" spans="1:16">
      <c r="A597" t="str">
        <f t="shared" si="8"/>
        <v>GSLD13DEMAND (KW):</v>
      </c>
      <c r="B597" t="s">
        <v>656</v>
      </c>
      <c r="C597" t="s">
        <v>62</v>
      </c>
    </row>
    <row r="598" spans="1:16">
      <c r="A598" t="str">
        <f t="shared" si="8"/>
        <v>GSLD13NCP</v>
      </c>
      <c r="B598" t="s">
        <v>656</v>
      </c>
      <c r="C598" t="s">
        <v>133</v>
      </c>
      <c r="D598">
        <v>1901308</v>
      </c>
      <c r="E598">
        <v>1892253</v>
      </c>
      <c r="F598">
        <v>1729101</v>
      </c>
      <c r="G598">
        <v>1830157</v>
      </c>
      <c r="H598">
        <v>1965224</v>
      </c>
      <c r="I598">
        <v>2049263</v>
      </c>
      <c r="J598">
        <v>1987275</v>
      </c>
      <c r="K598">
        <v>2078038</v>
      </c>
      <c r="L598">
        <v>2198142</v>
      </c>
      <c r="M598">
        <v>2013645</v>
      </c>
      <c r="N598">
        <v>2074129</v>
      </c>
      <c r="O598">
        <v>1879991</v>
      </c>
    </row>
    <row r="599" spans="1:16">
      <c r="A599" t="str">
        <f t="shared" si="8"/>
        <v>GSLD13NCP ONPK</v>
      </c>
      <c r="B599" t="s">
        <v>656</v>
      </c>
      <c r="C599" t="s">
        <v>134</v>
      </c>
      <c r="D599">
        <v>1790175</v>
      </c>
      <c r="E599">
        <v>1769283</v>
      </c>
      <c r="F599">
        <v>1620032</v>
      </c>
      <c r="G599">
        <v>1772133</v>
      </c>
      <c r="H599">
        <v>1888051</v>
      </c>
      <c r="I599">
        <v>1973350</v>
      </c>
      <c r="J599">
        <v>1888617</v>
      </c>
      <c r="K599">
        <v>2010001</v>
      </c>
      <c r="L599">
        <v>2121214</v>
      </c>
      <c r="M599">
        <v>1952370</v>
      </c>
      <c r="N599">
        <v>1963133</v>
      </c>
      <c r="O599">
        <v>1783906</v>
      </c>
    </row>
    <row r="600" spans="1:16">
      <c r="A600" t="str">
        <f t="shared" si="8"/>
        <v>GSLD13NCP OFFPK</v>
      </c>
      <c r="B600" t="s">
        <v>656</v>
      </c>
      <c r="C600" t="s">
        <v>135</v>
      </c>
      <c r="D600">
        <v>1869183</v>
      </c>
      <c r="E600">
        <v>1872378</v>
      </c>
      <c r="F600">
        <v>1712054</v>
      </c>
      <c r="G600">
        <v>1792432</v>
      </c>
      <c r="H600">
        <v>1933096</v>
      </c>
      <c r="I600">
        <v>2023801</v>
      </c>
      <c r="J600">
        <v>1955923</v>
      </c>
      <c r="K600">
        <v>2049458</v>
      </c>
      <c r="L600">
        <v>2171901</v>
      </c>
      <c r="M600">
        <v>1979623</v>
      </c>
      <c r="N600">
        <v>2055291</v>
      </c>
      <c r="O600">
        <v>1864376</v>
      </c>
    </row>
    <row r="601" spans="1:16">
      <c r="A601" t="str">
        <f t="shared" si="8"/>
        <v>GSLD13GCP DATE</v>
      </c>
      <c r="B601" t="s">
        <v>656</v>
      </c>
      <c r="C601" t="s">
        <v>136</v>
      </c>
      <c r="D601" t="s">
        <v>657</v>
      </c>
      <c r="E601" t="s">
        <v>615</v>
      </c>
      <c r="F601" t="s">
        <v>286</v>
      </c>
      <c r="G601" t="s">
        <v>264</v>
      </c>
      <c r="H601" t="s">
        <v>254</v>
      </c>
      <c r="I601" t="s">
        <v>294</v>
      </c>
      <c r="J601" t="s">
        <v>262</v>
      </c>
      <c r="K601" t="s">
        <v>270</v>
      </c>
      <c r="L601" t="s">
        <v>619</v>
      </c>
      <c r="M601" t="s">
        <v>322</v>
      </c>
      <c r="N601" t="s">
        <v>613</v>
      </c>
      <c r="O601" t="s">
        <v>653</v>
      </c>
    </row>
    <row r="602" spans="1:16">
      <c r="A602" t="str">
        <f t="shared" si="8"/>
        <v>GSLD13GCP TIME</v>
      </c>
      <c r="B602" t="s">
        <v>656</v>
      </c>
      <c r="C602" t="s">
        <v>142</v>
      </c>
      <c r="D602" t="s">
        <v>143</v>
      </c>
      <c r="E602" t="s">
        <v>143</v>
      </c>
      <c r="F602" t="s">
        <v>143</v>
      </c>
      <c r="G602" t="s">
        <v>146</v>
      </c>
      <c r="H602" t="s">
        <v>146</v>
      </c>
      <c r="I602" t="s">
        <v>146</v>
      </c>
      <c r="J602" t="s">
        <v>189</v>
      </c>
      <c r="K602" t="s">
        <v>146</v>
      </c>
      <c r="L602" t="s">
        <v>146</v>
      </c>
      <c r="M602" t="s">
        <v>146</v>
      </c>
      <c r="N602" t="s">
        <v>143</v>
      </c>
      <c r="O602" t="s">
        <v>182</v>
      </c>
    </row>
    <row r="603" spans="1:16">
      <c r="A603" t="str">
        <f t="shared" si="8"/>
        <v>GSLD13GCP</v>
      </c>
      <c r="B603" t="s">
        <v>656</v>
      </c>
      <c r="C603" t="s">
        <v>147</v>
      </c>
      <c r="D603">
        <v>1587181</v>
      </c>
      <c r="E603">
        <v>1635866</v>
      </c>
      <c r="F603">
        <v>1481351</v>
      </c>
      <c r="G603">
        <v>1607753</v>
      </c>
      <c r="H603">
        <v>1696002</v>
      </c>
      <c r="I603">
        <v>1685675</v>
      </c>
      <c r="J603">
        <v>1675900</v>
      </c>
      <c r="K603">
        <v>1801163</v>
      </c>
      <c r="L603">
        <v>1892928</v>
      </c>
      <c r="M603">
        <v>1755255</v>
      </c>
      <c r="N603">
        <v>1810063</v>
      </c>
      <c r="O603">
        <v>1614253</v>
      </c>
    </row>
    <row r="604" spans="1:16">
      <c r="A604" t="str">
        <f t="shared" si="8"/>
        <v>GSLD13GCP ONPK</v>
      </c>
      <c r="B604" t="s">
        <v>656</v>
      </c>
      <c r="C604" t="s">
        <v>63</v>
      </c>
      <c r="D604">
        <v>1521419</v>
      </c>
      <c r="E604">
        <v>1540151</v>
      </c>
      <c r="F604">
        <v>1389076</v>
      </c>
      <c r="G604">
        <v>1585868</v>
      </c>
      <c r="H604">
        <v>1680941</v>
      </c>
      <c r="I604">
        <v>1667693</v>
      </c>
      <c r="J604">
        <v>1646164</v>
      </c>
      <c r="K604">
        <v>1788826</v>
      </c>
      <c r="L604">
        <v>1887240</v>
      </c>
      <c r="M604">
        <v>1740166</v>
      </c>
      <c r="N604">
        <v>1695838</v>
      </c>
      <c r="O604">
        <v>1538916</v>
      </c>
    </row>
    <row r="605" spans="1:16">
      <c r="A605" t="str">
        <f t="shared" si="8"/>
        <v>GSLD13GCP OFFPK</v>
      </c>
      <c r="B605" t="s">
        <v>656</v>
      </c>
      <c r="C605" t="s">
        <v>64</v>
      </c>
      <c r="D605">
        <v>1587181</v>
      </c>
      <c r="E605">
        <v>1635866</v>
      </c>
      <c r="F605">
        <v>1481351</v>
      </c>
      <c r="G605">
        <v>1607753</v>
      </c>
      <c r="H605">
        <v>1696002</v>
      </c>
      <c r="I605">
        <v>1685675</v>
      </c>
      <c r="J605">
        <v>1675900</v>
      </c>
      <c r="K605">
        <v>1801163</v>
      </c>
      <c r="L605">
        <v>1892928</v>
      </c>
      <c r="M605">
        <v>1755255</v>
      </c>
      <c r="N605">
        <v>1810063</v>
      </c>
      <c r="O605">
        <v>1614253</v>
      </c>
    </row>
    <row r="606" spans="1:16">
      <c r="A606" t="str">
        <f t="shared" si="8"/>
        <v>GSLD13CP</v>
      </c>
      <c r="B606" t="s">
        <v>656</v>
      </c>
      <c r="C606" t="s">
        <v>148</v>
      </c>
      <c r="D606">
        <v>1177783</v>
      </c>
      <c r="E606">
        <v>1541580</v>
      </c>
      <c r="F606">
        <v>1086605</v>
      </c>
      <c r="G606">
        <v>1432104</v>
      </c>
      <c r="H606">
        <v>1478147</v>
      </c>
      <c r="I606">
        <v>1628458</v>
      </c>
      <c r="J606">
        <v>1588464</v>
      </c>
      <c r="K606">
        <v>1649246</v>
      </c>
      <c r="L606">
        <v>1745649</v>
      </c>
      <c r="M606">
        <v>1667874</v>
      </c>
      <c r="N606">
        <v>1781884</v>
      </c>
      <c r="O606">
        <v>1285620</v>
      </c>
    </row>
    <row r="607" spans="1:16">
      <c r="A607" t="str">
        <f t="shared" si="8"/>
        <v>GSLD13PERIOD START</v>
      </c>
      <c r="B607" t="s">
        <v>656</v>
      </c>
      <c r="C607" t="s">
        <v>149</v>
      </c>
      <c r="D607" s="1">
        <v>41640</v>
      </c>
      <c r="E607" s="1">
        <v>41671</v>
      </c>
      <c r="F607" s="1">
        <v>41699</v>
      </c>
      <c r="G607" s="1">
        <v>41730</v>
      </c>
      <c r="H607" s="1">
        <v>41760</v>
      </c>
      <c r="I607" s="1">
        <v>41791</v>
      </c>
      <c r="J607" s="1">
        <v>41821</v>
      </c>
      <c r="K607" s="1">
        <v>41852</v>
      </c>
      <c r="L607" s="1">
        <v>41883</v>
      </c>
      <c r="M607" s="1">
        <v>41913</v>
      </c>
      <c r="N607" s="1">
        <v>41944</v>
      </c>
      <c r="O607" s="1">
        <v>41974</v>
      </c>
      <c r="P607" s="1"/>
    </row>
    <row r="608" spans="1:16">
      <c r="A608" t="str">
        <f t="shared" si="8"/>
        <v>GSLD13NCP LF</v>
      </c>
      <c r="B608" t="s">
        <v>656</v>
      </c>
      <c r="C608" t="s">
        <v>150</v>
      </c>
      <c r="D608" s="5">
        <v>0.58340000000000003</v>
      </c>
      <c r="E608" s="5">
        <v>0.61170000000000002</v>
      </c>
      <c r="F608" s="5">
        <v>0.60299999999999998</v>
      </c>
      <c r="G608" s="5">
        <v>0.60470000000000002</v>
      </c>
      <c r="H608" s="5">
        <v>0.61419999999999997</v>
      </c>
      <c r="I608" s="5">
        <v>0.60809999999999997</v>
      </c>
      <c r="J608" s="5">
        <v>0.61860000000000004</v>
      </c>
      <c r="K608" s="5">
        <v>0.61829999999999996</v>
      </c>
      <c r="L608" s="5">
        <v>0.61860000000000004</v>
      </c>
      <c r="M608" s="5">
        <v>0.60570000000000002</v>
      </c>
      <c r="N608" s="5">
        <v>0.55759999999999998</v>
      </c>
      <c r="O608" s="5">
        <v>0.58009999999999995</v>
      </c>
      <c r="P608" s="5"/>
    </row>
    <row r="609" spans="1:16">
      <c r="A609" t="str">
        <f t="shared" si="8"/>
        <v>GSLD13NCP LF ONPK</v>
      </c>
      <c r="B609" t="s">
        <v>656</v>
      </c>
      <c r="C609" t="s">
        <v>151</v>
      </c>
      <c r="D609" s="5">
        <v>0.67479999999999996</v>
      </c>
      <c r="E609" s="5">
        <v>0.71040000000000003</v>
      </c>
      <c r="F609" s="5">
        <v>0.70040000000000002</v>
      </c>
      <c r="G609" s="5">
        <v>0.74490000000000001</v>
      </c>
      <c r="H609" s="5">
        <v>0.76790000000000003</v>
      </c>
      <c r="I609" s="5">
        <v>0.74109999999999998</v>
      </c>
      <c r="J609" s="5">
        <v>0.7571</v>
      </c>
      <c r="K609" s="5">
        <v>0.76759999999999995</v>
      </c>
      <c r="L609" s="5">
        <v>0.76959999999999995</v>
      </c>
      <c r="M609" s="5">
        <v>0.75190000000000001</v>
      </c>
      <c r="N609" s="5">
        <v>0.66190000000000004</v>
      </c>
      <c r="O609" s="5">
        <v>0.67010000000000003</v>
      </c>
      <c r="P609" s="5"/>
    </row>
    <row r="610" spans="1:16">
      <c r="A610" t="str">
        <f t="shared" si="8"/>
        <v>GSLD13NCP LF OFFPK</v>
      </c>
      <c r="B610" t="s">
        <v>656</v>
      </c>
      <c r="C610" t="s">
        <v>152</v>
      </c>
      <c r="D610" s="5">
        <v>0.57709999999999995</v>
      </c>
      <c r="E610" s="5">
        <v>0.60160000000000002</v>
      </c>
      <c r="F610" s="5">
        <v>0.59340000000000004</v>
      </c>
      <c r="G610" s="5">
        <v>0.57230000000000003</v>
      </c>
      <c r="H610" s="5">
        <v>0.58160000000000001</v>
      </c>
      <c r="I610" s="5">
        <v>0.57769999999999999</v>
      </c>
      <c r="J610" s="5">
        <v>0.59140000000000004</v>
      </c>
      <c r="K610" s="5">
        <v>0.58399999999999996</v>
      </c>
      <c r="L610" s="5">
        <v>0.58140000000000003</v>
      </c>
      <c r="M610" s="5">
        <v>0.56779999999999997</v>
      </c>
      <c r="N610" s="5">
        <v>0.54410000000000003</v>
      </c>
      <c r="O610" s="5">
        <v>0.5675</v>
      </c>
      <c r="P610" s="5"/>
    </row>
    <row r="611" spans="1:16">
      <c r="A611" t="str">
        <f t="shared" si="8"/>
        <v>GSLD13GCP CF</v>
      </c>
      <c r="B611" t="s">
        <v>656</v>
      </c>
      <c r="C611" t="s">
        <v>153</v>
      </c>
      <c r="D611" s="5">
        <v>0.83479999999999999</v>
      </c>
      <c r="E611" s="5">
        <v>0.86450000000000005</v>
      </c>
      <c r="F611" s="5">
        <v>0.85670000000000002</v>
      </c>
      <c r="G611" s="5">
        <v>0.87849999999999995</v>
      </c>
      <c r="H611" s="5">
        <v>0.86299999999999999</v>
      </c>
      <c r="I611" s="5">
        <v>0.8226</v>
      </c>
      <c r="J611" s="5">
        <v>0.84330000000000005</v>
      </c>
      <c r="K611" s="5">
        <v>0.86680000000000001</v>
      </c>
      <c r="L611" s="5">
        <v>0.86109999999999998</v>
      </c>
      <c r="M611" s="5">
        <v>0.87170000000000003</v>
      </c>
      <c r="N611" s="5">
        <v>0.87270000000000003</v>
      </c>
      <c r="O611" s="5">
        <v>0.85860000000000003</v>
      </c>
      <c r="P611" s="5"/>
    </row>
    <row r="612" spans="1:16">
      <c r="A612" t="str">
        <f t="shared" si="8"/>
        <v>GSLD13CP CF</v>
      </c>
      <c r="B612" t="s">
        <v>656</v>
      </c>
      <c r="C612" t="s">
        <v>154</v>
      </c>
      <c r="D612" s="5">
        <v>0.61950000000000005</v>
      </c>
      <c r="E612" s="5">
        <v>0.81469999999999998</v>
      </c>
      <c r="F612" s="5">
        <v>0.62839999999999996</v>
      </c>
      <c r="G612" s="5">
        <v>0.78249999999999997</v>
      </c>
      <c r="H612" s="5">
        <v>0.75219999999999998</v>
      </c>
      <c r="I612" s="5">
        <v>0.79469999999999996</v>
      </c>
      <c r="J612" s="5">
        <v>0.79930000000000001</v>
      </c>
      <c r="K612" s="5">
        <v>0.79369999999999996</v>
      </c>
      <c r="L612" s="5">
        <v>0.79410000000000003</v>
      </c>
      <c r="M612" s="5">
        <v>0.82830000000000004</v>
      </c>
      <c r="N612" s="5">
        <v>0.85909999999999997</v>
      </c>
      <c r="O612" s="5">
        <v>0.68379999999999996</v>
      </c>
      <c r="P612" s="5"/>
    </row>
    <row r="613" spans="1:16">
      <c r="A613" t="str">
        <f t="shared" si="8"/>
        <v>GSLD13GCP LF</v>
      </c>
      <c r="B613" t="s">
        <v>656</v>
      </c>
      <c r="C613" t="s">
        <v>155</v>
      </c>
      <c r="D613" s="5">
        <v>0.69889999999999997</v>
      </c>
      <c r="E613" s="5">
        <v>0.70750000000000002</v>
      </c>
      <c r="F613" s="5">
        <v>0.70389999999999997</v>
      </c>
      <c r="G613" s="5">
        <v>0.68840000000000001</v>
      </c>
      <c r="H613" s="5">
        <v>0.7117</v>
      </c>
      <c r="I613" s="5">
        <v>0.73929999999999996</v>
      </c>
      <c r="J613" s="5">
        <v>0.73360000000000003</v>
      </c>
      <c r="K613" s="5">
        <v>0.71330000000000005</v>
      </c>
      <c r="L613" s="5">
        <v>0.71840000000000004</v>
      </c>
      <c r="M613" s="5">
        <v>0.69489999999999996</v>
      </c>
      <c r="N613" s="5">
        <v>0.63890000000000002</v>
      </c>
      <c r="O613" s="5">
        <v>0.67559999999999998</v>
      </c>
      <c r="P613" s="5"/>
    </row>
    <row r="614" spans="1:16">
      <c r="A614" t="str">
        <f t="shared" si="8"/>
        <v>GSLD13GCP LF ONPK</v>
      </c>
      <c r="B614" t="s">
        <v>656</v>
      </c>
      <c r="C614" t="s">
        <v>156</v>
      </c>
      <c r="D614" s="5">
        <v>0.79410000000000003</v>
      </c>
      <c r="E614" s="5">
        <v>0.81599999999999995</v>
      </c>
      <c r="F614" s="5">
        <v>0.81689999999999996</v>
      </c>
      <c r="G614" s="5">
        <v>0.83240000000000003</v>
      </c>
      <c r="H614" s="5">
        <v>0.86260000000000003</v>
      </c>
      <c r="I614" s="5">
        <v>0.87690000000000001</v>
      </c>
      <c r="J614" s="5">
        <v>0.86860000000000004</v>
      </c>
      <c r="K614" s="5">
        <v>0.86250000000000004</v>
      </c>
      <c r="L614" s="5">
        <v>0.86499999999999999</v>
      </c>
      <c r="M614" s="5">
        <v>0.84360000000000002</v>
      </c>
      <c r="N614" s="5">
        <v>0.76619999999999999</v>
      </c>
      <c r="O614" s="5">
        <v>0.77680000000000005</v>
      </c>
      <c r="P614" s="5"/>
    </row>
    <row r="615" spans="1:16">
      <c r="A615" t="str">
        <f t="shared" si="8"/>
        <v>GSLD13GCP LF OFFPK</v>
      </c>
      <c r="B615" t="s">
        <v>656</v>
      </c>
      <c r="C615" t="s">
        <v>157</v>
      </c>
      <c r="D615" s="5">
        <v>0.67959999999999998</v>
      </c>
      <c r="E615" s="5">
        <v>0.6885</v>
      </c>
      <c r="F615" s="5">
        <v>0.68579999999999997</v>
      </c>
      <c r="G615" s="5">
        <v>0.63800000000000001</v>
      </c>
      <c r="H615" s="5">
        <v>0.66290000000000004</v>
      </c>
      <c r="I615" s="5">
        <v>0.69359999999999999</v>
      </c>
      <c r="J615" s="5">
        <v>0.69020000000000004</v>
      </c>
      <c r="K615" s="5">
        <v>0.66449999999999998</v>
      </c>
      <c r="L615" s="5">
        <v>0.66710000000000003</v>
      </c>
      <c r="M615" s="5">
        <v>0.64039999999999997</v>
      </c>
      <c r="N615" s="5">
        <v>0.61780000000000002</v>
      </c>
      <c r="O615" s="5">
        <v>0.65549999999999997</v>
      </c>
      <c r="P615" s="5"/>
    </row>
    <row r="616" spans="1:16">
      <c r="A616" t="str">
        <f t="shared" si="8"/>
        <v>GSLD13CP LF</v>
      </c>
      <c r="B616" t="s">
        <v>656</v>
      </c>
      <c r="C616" t="s">
        <v>158</v>
      </c>
      <c r="D616" s="5">
        <v>0.94179999999999997</v>
      </c>
      <c r="E616" s="5">
        <v>0.75080000000000002</v>
      </c>
      <c r="F616" s="5">
        <v>0.95960000000000001</v>
      </c>
      <c r="G616" s="5">
        <v>0.77280000000000004</v>
      </c>
      <c r="H616" s="5">
        <v>0.81659999999999999</v>
      </c>
      <c r="I616" s="5">
        <v>0.76519999999999999</v>
      </c>
      <c r="J616" s="5">
        <v>0.77390000000000003</v>
      </c>
      <c r="K616" s="5">
        <v>0.77900000000000003</v>
      </c>
      <c r="L616" s="5">
        <v>0.77900000000000003</v>
      </c>
      <c r="M616" s="5">
        <v>0.73129999999999995</v>
      </c>
      <c r="N616" s="5">
        <v>0.64900000000000002</v>
      </c>
      <c r="O616" s="5">
        <v>0.84830000000000005</v>
      </c>
      <c r="P616" s="5"/>
    </row>
    <row r="617" spans="1:16">
      <c r="A617" t="str">
        <f t="shared" si="8"/>
        <v>GSLD13REL PREC:</v>
      </c>
      <c r="B617" t="s">
        <v>656</v>
      </c>
      <c r="C617" t="s">
        <v>65</v>
      </c>
    </row>
    <row r="618" spans="1:16">
      <c r="A618" t="str">
        <f t="shared" si="8"/>
        <v>GSLD13NCP RP</v>
      </c>
      <c r="B618" t="s">
        <v>656</v>
      </c>
      <c r="C618" t="s">
        <v>159</v>
      </c>
      <c r="D618" s="5">
        <v>2.8199999999999999E-2</v>
      </c>
      <c r="E618" s="5">
        <v>2.7099999999999999E-2</v>
      </c>
      <c r="F618" s="5">
        <v>2.98E-2</v>
      </c>
      <c r="G618" s="5">
        <v>3.0200000000000001E-2</v>
      </c>
      <c r="H618" s="5">
        <v>2.87E-2</v>
      </c>
      <c r="I618" s="5">
        <v>2.98E-2</v>
      </c>
      <c r="J618" s="5">
        <v>3.27E-2</v>
      </c>
      <c r="K618" s="5">
        <v>3.0499999999999999E-2</v>
      </c>
      <c r="L618" s="5">
        <v>2.7199999999999998E-2</v>
      </c>
      <c r="M618" s="5">
        <v>2.6700000000000002E-2</v>
      </c>
      <c r="N618" s="5">
        <v>2.9000000000000001E-2</v>
      </c>
      <c r="O618" s="5">
        <v>2.8299999999999999E-2</v>
      </c>
      <c r="P618" s="5"/>
    </row>
    <row r="619" spans="1:16">
      <c r="A619" t="str">
        <f t="shared" si="8"/>
        <v>GSLD13NCP RP ONPK</v>
      </c>
      <c r="B619" t="s">
        <v>656</v>
      </c>
      <c r="C619" t="s">
        <v>160</v>
      </c>
      <c r="D619" s="5">
        <v>2.8299999999999999E-2</v>
      </c>
      <c r="E619" s="5">
        <v>2.7099999999999999E-2</v>
      </c>
      <c r="F619" s="5">
        <v>2.8899999999999999E-2</v>
      </c>
      <c r="G619" s="5">
        <v>3.0300000000000001E-2</v>
      </c>
      <c r="H619" s="5">
        <v>2.86E-2</v>
      </c>
      <c r="I619" s="5">
        <v>2.9399999999999999E-2</v>
      </c>
      <c r="J619" s="5">
        <v>3.1199999999999999E-2</v>
      </c>
      <c r="K619" s="5">
        <v>3.04E-2</v>
      </c>
      <c r="L619" s="5">
        <v>2.6599999999999999E-2</v>
      </c>
      <c r="M619" s="5">
        <v>2.6599999999999999E-2</v>
      </c>
      <c r="N619" s="5">
        <v>2.8899999999999999E-2</v>
      </c>
      <c r="O619" s="5">
        <v>2.8199999999999999E-2</v>
      </c>
      <c r="P619" s="5"/>
    </row>
    <row r="620" spans="1:16">
      <c r="A620" t="str">
        <f t="shared" si="8"/>
        <v>GSLD13NCP RP OFFPK</v>
      </c>
      <c r="B620" t="s">
        <v>656</v>
      </c>
      <c r="C620" t="s">
        <v>161</v>
      </c>
      <c r="D620" s="5">
        <v>2.6700000000000002E-2</v>
      </c>
      <c r="E620" s="5">
        <v>2.6499999999999999E-2</v>
      </c>
      <c r="F620" s="5">
        <v>2.93E-2</v>
      </c>
      <c r="G620" s="5">
        <v>3.0300000000000001E-2</v>
      </c>
      <c r="H620" s="5">
        <v>2.86E-2</v>
      </c>
      <c r="I620" s="5">
        <v>2.9600000000000001E-2</v>
      </c>
      <c r="J620" s="5">
        <v>3.27E-2</v>
      </c>
      <c r="K620" s="5">
        <v>3.0300000000000001E-2</v>
      </c>
      <c r="L620" s="5">
        <v>2.7400000000000001E-2</v>
      </c>
      <c r="M620" s="5">
        <v>2.6800000000000001E-2</v>
      </c>
      <c r="N620" s="5">
        <v>2.86E-2</v>
      </c>
      <c r="O620" s="5">
        <v>2.7699999999999999E-2</v>
      </c>
      <c r="P620" s="5"/>
    </row>
    <row r="621" spans="1:16">
      <c r="A621" t="str">
        <f t="shared" si="8"/>
        <v>GSLD13GCP RP</v>
      </c>
      <c r="B621" t="s">
        <v>656</v>
      </c>
      <c r="C621" t="s">
        <v>162</v>
      </c>
      <c r="D621" s="5">
        <v>2.7799999999999998E-2</v>
      </c>
      <c r="E621" s="5">
        <v>2.63E-2</v>
      </c>
      <c r="F621" s="5">
        <v>2.9100000000000001E-2</v>
      </c>
      <c r="G621" s="5">
        <v>3.09E-2</v>
      </c>
      <c r="H621" s="5">
        <v>2.8199999999999999E-2</v>
      </c>
      <c r="I621" s="5">
        <v>2.52E-2</v>
      </c>
      <c r="J621" s="5">
        <v>2.9000000000000001E-2</v>
      </c>
      <c r="K621" s="5">
        <v>3.2399999999999998E-2</v>
      </c>
      <c r="L621" s="5">
        <v>2.5499999999999998E-2</v>
      </c>
      <c r="M621" s="5">
        <v>2.7699999999999999E-2</v>
      </c>
      <c r="N621" s="5">
        <v>2.98E-2</v>
      </c>
      <c r="O621" s="5">
        <v>0.03</v>
      </c>
      <c r="P621" s="5"/>
    </row>
    <row r="622" spans="1:16">
      <c r="A622" t="str">
        <f t="shared" si="8"/>
        <v>GSLD13GCP RP ONPK</v>
      </c>
      <c r="B622" t="s">
        <v>656</v>
      </c>
      <c r="C622" t="s">
        <v>163</v>
      </c>
      <c r="D622" s="5">
        <v>2.7E-2</v>
      </c>
      <c r="E622" s="5">
        <v>2.5399999999999999E-2</v>
      </c>
      <c r="F622" s="5">
        <v>2.9499999999999998E-2</v>
      </c>
      <c r="G622" s="5">
        <v>3.1699999999999999E-2</v>
      </c>
      <c r="H622" s="5">
        <v>2.8199999999999999E-2</v>
      </c>
      <c r="I622" s="5">
        <v>2.6499999999999999E-2</v>
      </c>
      <c r="J622" s="5">
        <v>2.8199999999999999E-2</v>
      </c>
      <c r="K622" s="5">
        <v>3.0300000000000001E-2</v>
      </c>
      <c r="L622" s="5">
        <v>2.6200000000000001E-2</v>
      </c>
      <c r="M622" s="5">
        <v>2.76E-2</v>
      </c>
      <c r="N622" s="5">
        <v>3.1399999999999997E-2</v>
      </c>
      <c r="O622" s="5">
        <v>3.0099999999999998E-2</v>
      </c>
      <c r="P622" s="5"/>
    </row>
    <row r="623" spans="1:16">
      <c r="A623" t="str">
        <f t="shared" ref="A623:A686" si="9">B623&amp;C623</f>
        <v>GSLD13GCP RP OFFPK</v>
      </c>
      <c r="B623" t="s">
        <v>656</v>
      </c>
      <c r="C623" t="s">
        <v>164</v>
      </c>
      <c r="D623" s="5">
        <v>2.7799999999999998E-2</v>
      </c>
      <c r="E623" s="5">
        <v>2.63E-2</v>
      </c>
      <c r="F623" s="5">
        <v>2.9100000000000001E-2</v>
      </c>
      <c r="G623" s="5">
        <v>3.09E-2</v>
      </c>
      <c r="H623" s="5">
        <v>2.8199999999999999E-2</v>
      </c>
      <c r="I623" s="5">
        <v>2.52E-2</v>
      </c>
      <c r="J623" s="5">
        <v>2.9000000000000001E-2</v>
      </c>
      <c r="K623" s="5">
        <v>3.2399999999999998E-2</v>
      </c>
      <c r="L623" s="5">
        <v>2.5499999999999998E-2</v>
      </c>
      <c r="M623" s="5">
        <v>2.7699999999999999E-2</v>
      </c>
      <c r="N623" s="5">
        <v>2.98E-2</v>
      </c>
      <c r="O623" s="5">
        <v>0.03</v>
      </c>
      <c r="P623" s="5"/>
    </row>
    <row r="624" spans="1:16">
      <c r="A624" t="str">
        <f t="shared" si="9"/>
        <v>GSLD13CP RP</v>
      </c>
      <c r="B624" t="s">
        <v>656</v>
      </c>
      <c r="C624" t="s">
        <v>165</v>
      </c>
      <c r="D624" s="5">
        <v>3.73E-2</v>
      </c>
      <c r="E624" s="5">
        <v>2.5000000000000001E-2</v>
      </c>
      <c r="F624" s="5">
        <v>3.5799999999999998E-2</v>
      </c>
      <c r="G624" s="5">
        <v>3.1899999999999998E-2</v>
      </c>
      <c r="H624" s="5">
        <v>2.2800000000000001E-2</v>
      </c>
      <c r="I624" s="5">
        <v>2.3800000000000002E-2</v>
      </c>
      <c r="J624" s="5">
        <v>2.6800000000000001E-2</v>
      </c>
      <c r="K624" s="5">
        <v>2.4899999999999999E-2</v>
      </c>
      <c r="L624" s="5">
        <v>2.29E-2</v>
      </c>
      <c r="M624" s="5">
        <v>2.6100000000000002E-2</v>
      </c>
      <c r="N624" s="5">
        <v>3.1099999999999999E-2</v>
      </c>
      <c r="O624" s="5">
        <v>2.9499999999999998E-2</v>
      </c>
      <c r="P624" s="5"/>
    </row>
    <row r="625" spans="1:16">
      <c r="A625" t="str">
        <f t="shared" si="9"/>
        <v>GSLD13SAMPLE SIZE:</v>
      </c>
      <c r="B625" t="s">
        <v>656</v>
      </c>
      <c r="C625" t="s">
        <v>66</v>
      </c>
    </row>
    <row r="626" spans="1:16">
      <c r="A626" t="str">
        <f t="shared" si="9"/>
        <v>GSLD13GCPSZ</v>
      </c>
      <c r="B626" t="s">
        <v>656</v>
      </c>
      <c r="C626" t="s">
        <v>166</v>
      </c>
      <c r="D626">
        <v>226</v>
      </c>
      <c r="E626">
        <v>226</v>
      </c>
      <c r="F626">
        <v>224</v>
      </c>
      <c r="G626">
        <v>214</v>
      </c>
      <c r="H626">
        <v>222</v>
      </c>
      <c r="I626">
        <v>221</v>
      </c>
      <c r="J626">
        <v>217</v>
      </c>
      <c r="K626">
        <v>226</v>
      </c>
      <c r="L626">
        <v>225</v>
      </c>
      <c r="M626">
        <v>227</v>
      </c>
      <c r="N626">
        <v>218</v>
      </c>
      <c r="O626">
        <v>227</v>
      </c>
    </row>
    <row r="627" spans="1:16">
      <c r="A627" t="str">
        <f t="shared" si="9"/>
        <v>GSLD13GCPSZ ONPK</v>
      </c>
      <c r="B627" t="s">
        <v>656</v>
      </c>
      <c r="C627" t="s">
        <v>167</v>
      </c>
      <c r="D627">
        <v>226</v>
      </c>
      <c r="E627">
        <v>226</v>
      </c>
      <c r="F627">
        <v>224</v>
      </c>
      <c r="G627">
        <v>214</v>
      </c>
      <c r="H627">
        <v>222</v>
      </c>
      <c r="I627">
        <v>221</v>
      </c>
      <c r="J627">
        <v>217</v>
      </c>
      <c r="K627">
        <v>226</v>
      </c>
      <c r="L627">
        <v>225</v>
      </c>
      <c r="M627">
        <v>227</v>
      </c>
      <c r="N627">
        <v>218</v>
      </c>
      <c r="O627">
        <v>227</v>
      </c>
    </row>
    <row r="628" spans="1:16">
      <c r="A628" t="str">
        <f t="shared" si="9"/>
        <v>GSLD13GCPSZ OFFPK</v>
      </c>
      <c r="B628" t="s">
        <v>656</v>
      </c>
      <c r="C628" t="s">
        <v>168</v>
      </c>
      <c r="D628">
        <v>226</v>
      </c>
      <c r="E628">
        <v>226</v>
      </c>
      <c r="F628">
        <v>224</v>
      </c>
      <c r="G628">
        <v>214</v>
      </c>
      <c r="H628">
        <v>222</v>
      </c>
      <c r="I628">
        <v>221</v>
      </c>
      <c r="J628">
        <v>217</v>
      </c>
      <c r="K628">
        <v>226</v>
      </c>
      <c r="L628">
        <v>225</v>
      </c>
      <c r="M628">
        <v>227</v>
      </c>
      <c r="N628">
        <v>218</v>
      </c>
      <c r="O628">
        <v>227</v>
      </c>
    </row>
    <row r="629" spans="1:16">
      <c r="A629" t="str">
        <f t="shared" si="9"/>
        <v>GSLD13CPSZ</v>
      </c>
      <c r="B629" t="s">
        <v>656</v>
      </c>
      <c r="C629" t="s">
        <v>169</v>
      </c>
      <c r="D629">
        <v>226</v>
      </c>
      <c r="E629">
        <v>226</v>
      </c>
      <c r="F629">
        <v>224</v>
      </c>
      <c r="G629">
        <v>214</v>
      </c>
      <c r="H629">
        <v>222</v>
      </c>
      <c r="I629">
        <v>221</v>
      </c>
      <c r="J629">
        <v>217</v>
      </c>
      <c r="K629">
        <v>226</v>
      </c>
      <c r="L629">
        <v>225</v>
      </c>
      <c r="M629">
        <v>227</v>
      </c>
      <c r="N629">
        <v>218</v>
      </c>
      <c r="O629">
        <v>227</v>
      </c>
    </row>
    <row r="630" spans="1:16">
      <c r="A630" t="str">
        <f t="shared" si="9"/>
        <v/>
      </c>
    </row>
    <row r="631" spans="1:16">
      <c r="A631" t="str">
        <f t="shared" si="9"/>
        <v xml:space="preserve">Note: In 2014, the GSLD13 rate class includes the GSLD-1, GSLDT-1, CS-1, CST-1, HLFT-2, SDTR-2A and SDTR-2B rate schedules. CUSTOMERS and SALES lines reflects the total of the aggregated rate schedules. </v>
      </c>
      <c r="B631" t="s">
        <v>658</v>
      </c>
    </row>
    <row r="632" spans="1:16">
      <c r="A632" t="str">
        <f t="shared" si="9"/>
        <v/>
      </c>
    </row>
    <row r="633" spans="1:16">
      <c r="A633" t="str">
        <f t="shared" si="9"/>
        <v xml:space="preserve">GSLD13 GSLD(T)-1 General Service Large Demand 1 including TOU (Sampled) </v>
      </c>
      <c r="B633" t="s">
        <v>655</v>
      </c>
      <c r="C633" t="s">
        <v>239</v>
      </c>
    </row>
    <row r="634" spans="1:16">
      <c r="A634" t="str">
        <f t="shared" si="9"/>
        <v xml:space="preserve">GSLD13MONTH </v>
      </c>
      <c r="B634" t="s">
        <v>656</v>
      </c>
      <c r="C634" t="s">
        <v>123</v>
      </c>
      <c r="D634" s="4">
        <v>41640</v>
      </c>
      <c r="E634" s="4">
        <v>41671</v>
      </c>
      <c r="F634" s="4">
        <v>41699</v>
      </c>
      <c r="G634" s="4">
        <v>41730</v>
      </c>
      <c r="H634" s="4">
        <v>41760</v>
      </c>
      <c r="I634" s="4">
        <v>41791</v>
      </c>
      <c r="J634" s="4">
        <v>41821</v>
      </c>
      <c r="K634" s="4">
        <v>41852</v>
      </c>
      <c r="L634" s="4">
        <v>41883</v>
      </c>
      <c r="M634" s="4">
        <v>41913</v>
      </c>
      <c r="N634" s="4">
        <v>41944</v>
      </c>
      <c r="O634" s="4">
        <v>41974</v>
      </c>
      <c r="P634" s="4"/>
    </row>
    <row r="635" spans="1:16">
      <c r="A635" t="str">
        <f t="shared" si="9"/>
        <v/>
      </c>
    </row>
    <row r="636" spans="1:16">
      <c r="A636" t="str">
        <f t="shared" si="9"/>
        <v>GSLD13SDR GCP</v>
      </c>
      <c r="B636" t="s">
        <v>656</v>
      </c>
      <c r="C636" t="s">
        <v>171</v>
      </c>
      <c r="D636">
        <v>112.779</v>
      </c>
      <c r="E636">
        <v>110.669</v>
      </c>
      <c r="F636">
        <v>112.414</v>
      </c>
      <c r="G636">
        <v>124.428</v>
      </c>
      <c r="H636">
        <v>120.958</v>
      </c>
      <c r="I636">
        <v>103.98699999999999</v>
      </c>
      <c r="J636">
        <v>121.47499999999999</v>
      </c>
      <c r="K636">
        <v>148.196</v>
      </c>
      <c r="L636">
        <v>123.17100000000001</v>
      </c>
      <c r="M636">
        <v>126.355</v>
      </c>
      <c r="N636">
        <v>140.24700000000001</v>
      </c>
      <c r="O636">
        <v>125.953</v>
      </c>
    </row>
    <row r="637" spans="1:16">
      <c r="A637" t="str">
        <f t="shared" si="9"/>
        <v>GSLD13SDR GCP ONPK</v>
      </c>
      <c r="B637" t="s">
        <v>656</v>
      </c>
      <c r="C637" t="s">
        <v>172</v>
      </c>
      <c r="D637">
        <v>103.595</v>
      </c>
      <c r="E637">
        <v>99.492999999999995</v>
      </c>
      <c r="F637">
        <v>105.36799999999999</v>
      </c>
      <c r="G637">
        <v>124.014</v>
      </c>
      <c r="H637">
        <v>118.869</v>
      </c>
      <c r="I637">
        <v>107.258</v>
      </c>
      <c r="J637">
        <v>112.28</v>
      </c>
      <c r="K637">
        <v>137.93100000000001</v>
      </c>
      <c r="L637">
        <v>125.005</v>
      </c>
      <c r="M637">
        <v>122.758</v>
      </c>
      <c r="N637">
        <v>131.208</v>
      </c>
      <c r="O637">
        <v>117.867</v>
      </c>
    </row>
    <row r="638" spans="1:16">
      <c r="A638" t="str">
        <f t="shared" si="9"/>
        <v>GSLD13SDR GCP OFFP</v>
      </c>
      <c r="B638" t="s">
        <v>656</v>
      </c>
      <c r="C638" t="s">
        <v>219</v>
      </c>
      <c r="D638">
        <v>112.779</v>
      </c>
      <c r="E638">
        <v>110.669</v>
      </c>
      <c r="F638">
        <v>112.414</v>
      </c>
      <c r="G638">
        <v>124.428</v>
      </c>
      <c r="H638">
        <v>120.958</v>
      </c>
      <c r="I638">
        <v>103.98699999999999</v>
      </c>
      <c r="J638">
        <v>121.47499999999999</v>
      </c>
      <c r="K638">
        <v>148.196</v>
      </c>
      <c r="L638">
        <v>123.17100000000001</v>
      </c>
      <c r="M638">
        <v>126.355</v>
      </c>
      <c r="N638">
        <v>140.24700000000001</v>
      </c>
      <c r="O638">
        <v>125.953</v>
      </c>
    </row>
    <row r="639" spans="1:16">
      <c r="A639" t="str">
        <f t="shared" si="9"/>
        <v>GSLD13SDR CP</v>
      </c>
      <c r="B639" t="s">
        <v>656</v>
      </c>
      <c r="C639" t="s">
        <v>174</v>
      </c>
      <c r="D639">
        <v>101.996</v>
      </c>
      <c r="E639">
        <v>95.584000000000003</v>
      </c>
      <c r="F639">
        <v>89.834999999999994</v>
      </c>
      <c r="G639">
        <v>103.095</v>
      </c>
      <c r="H639">
        <v>79.015000000000001</v>
      </c>
      <c r="I639">
        <v>92.308000000000007</v>
      </c>
      <c r="J639">
        <v>97.576999999999998</v>
      </c>
      <c r="K639">
        <v>98.015000000000001</v>
      </c>
      <c r="L639">
        <v>93.606999999999999</v>
      </c>
      <c r="M639">
        <v>107.738</v>
      </c>
      <c r="N639">
        <v>139.226</v>
      </c>
      <c r="O639">
        <v>85.820999999999998</v>
      </c>
    </row>
    <row r="640" spans="1:16">
      <c r="A640" t="str">
        <f t="shared" si="9"/>
        <v/>
      </c>
    </row>
    <row r="641" spans="1:15">
      <c r="A641" t="str">
        <f t="shared" si="9"/>
        <v>GSLD13I   SDR GCP</v>
      </c>
      <c r="B641" t="s">
        <v>656</v>
      </c>
      <c r="C641" t="s">
        <v>220</v>
      </c>
      <c r="D641">
        <v>134.49100000000001</v>
      </c>
      <c r="E641">
        <v>135.577</v>
      </c>
      <c r="F641">
        <v>139.506</v>
      </c>
      <c r="G641">
        <v>152.32300000000001</v>
      </c>
      <c r="H641">
        <v>147.697</v>
      </c>
      <c r="I641">
        <v>124.29900000000001</v>
      </c>
      <c r="J641">
        <v>150.16</v>
      </c>
      <c r="K641">
        <v>189.285</v>
      </c>
      <c r="L641">
        <v>151.095</v>
      </c>
      <c r="M641">
        <v>156.05799999999999</v>
      </c>
      <c r="N641">
        <v>170.452</v>
      </c>
      <c r="O641">
        <v>153.18700000000001</v>
      </c>
    </row>
    <row r="642" spans="1:15">
      <c r="A642" t="str">
        <f t="shared" si="9"/>
        <v>GSLD13I   SDR GCP ONPK</v>
      </c>
      <c r="B642" t="s">
        <v>656</v>
      </c>
      <c r="C642" t="s">
        <v>221</v>
      </c>
      <c r="D642">
        <v>129.86699999999999</v>
      </c>
      <c r="E642">
        <v>127.663</v>
      </c>
      <c r="F642">
        <v>139.011</v>
      </c>
      <c r="G642">
        <v>156.20599999999999</v>
      </c>
      <c r="H642">
        <v>149.71799999999999</v>
      </c>
      <c r="I642">
        <v>133.79</v>
      </c>
      <c r="J642">
        <v>139.64400000000001</v>
      </c>
      <c r="K642">
        <v>177.785</v>
      </c>
      <c r="L642">
        <v>157.28200000000001</v>
      </c>
      <c r="M642">
        <v>155.935</v>
      </c>
      <c r="N642">
        <v>163.36099999999999</v>
      </c>
      <c r="O642">
        <v>148.53399999999999</v>
      </c>
    </row>
    <row r="643" spans="1:15">
      <c r="A643" t="str">
        <f t="shared" si="9"/>
        <v>GSLD13I   SDR GCP OFFPK</v>
      </c>
      <c r="B643" t="s">
        <v>656</v>
      </c>
      <c r="C643" t="s">
        <v>222</v>
      </c>
      <c r="D643">
        <v>134.49100000000001</v>
      </c>
      <c r="E643">
        <v>135.577</v>
      </c>
      <c r="F643">
        <v>139.506</v>
      </c>
      <c r="G643">
        <v>152.32300000000001</v>
      </c>
      <c r="H643">
        <v>147.697</v>
      </c>
      <c r="I643">
        <v>124.29900000000001</v>
      </c>
      <c r="J643">
        <v>150.16</v>
      </c>
      <c r="K643">
        <v>189.285</v>
      </c>
      <c r="L643">
        <v>151.095</v>
      </c>
      <c r="M643">
        <v>156.05799999999999</v>
      </c>
      <c r="N643">
        <v>170.452</v>
      </c>
      <c r="O643">
        <v>153.18700000000001</v>
      </c>
    </row>
    <row r="644" spans="1:15">
      <c r="A644" t="str">
        <f t="shared" si="9"/>
        <v>GSLD13I   SDR CP</v>
      </c>
      <c r="B644" t="s">
        <v>656</v>
      </c>
      <c r="C644" t="s">
        <v>638</v>
      </c>
      <c r="D644">
        <v>129.054</v>
      </c>
      <c r="E644">
        <v>112.65600000000001</v>
      </c>
      <c r="F644">
        <v>115.962</v>
      </c>
      <c r="G644">
        <v>125.167</v>
      </c>
      <c r="H644">
        <v>99.781999999999996</v>
      </c>
      <c r="I644">
        <v>113.54600000000001</v>
      </c>
      <c r="J644">
        <v>118.727</v>
      </c>
      <c r="K644">
        <v>121.74299999999999</v>
      </c>
      <c r="L644">
        <v>117.709</v>
      </c>
      <c r="M644">
        <v>135.74100000000001</v>
      </c>
      <c r="N644">
        <v>159.29599999999999</v>
      </c>
      <c r="O644">
        <v>109.72</v>
      </c>
    </row>
    <row r="645" spans="1:15">
      <c r="A645" t="str">
        <f t="shared" si="9"/>
        <v/>
      </c>
    </row>
    <row r="646" spans="1:15">
      <c r="A646" t="str">
        <f t="shared" si="9"/>
        <v>GSLD13II  SDR GCP</v>
      </c>
      <c r="B646" t="s">
        <v>656</v>
      </c>
      <c r="C646" t="s">
        <v>223</v>
      </c>
      <c r="D646">
        <v>203.14500000000001</v>
      </c>
      <c r="E646">
        <v>191.114</v>
      </c>
      <c r="F646">
        <v>189.815</v>
      </c>
      <c r="G646">
        <v>215.136</v>
      </c>
      <c r="H646">
        <v>210.024</v>
      </c>
      <c r="I646">
        <v>186.66</v>
      </c>
      <c r="J646">
        <v>206.554</v>
      </c>
      <c r="K646">
        <v>236.50299999999999</v>
      </c>
      <c r="L646">
        <v>212.226</v>
      </c>
      <c r="M646">
        <v>215.17699999999999</v>
      </c>
      <c r="N646">
        <v>245.375</v>
      </c>
      <c r="O646">
        <v>220.12</v>
      </c>
    </row>
    <row r="647" spans="1:15">
      <c r="A647" t="str">
        <f t="shared" si="9"/>
        <v>GSLD13II  SDR GCP ONPK</v>
      </c>
      <c r="B647" t="s">
        <v>656</v>
      </c>
      <c r="C647" t="s">
        <v>224</v>
      </c>
      <c r="D647">
        <v>171.68299999999999</v>
      </c>
      <c r="E647">
        <v>157.20599999999999</v>
      </c>
      <c r="F647">
        <v>155.67599999999999</v>
      </c>
      <c r="G647">
        <v>203.63399999999999</v>
      </c>
      <c r="H647">
        <v>195.20699999999999</v>
      </c>
      <c r="I647">
        <v>179.42599999999999</v>
      </c>
      <c r="J647">
        <v>188.84100000000001</v>
      </c>
      <c r="K647">
        <v>215.75800000000001</v>
      </c>
      <c r="L647">
        <v>205.702</v>
      </c>
      <c r="M647">
        <v>198.178</v>
      </c>
      <c r="N647">
        <v>220.24100000000001</v>
      </c>
      <c r="O647">
        <v>193.36099999999999</v>
      </c>
    </row>
    <row r="648" spans="1:15">
      <c r="A648" t="str">
        <f t="shared" si="9"/>
        <v>GSLD13II  SDR GCP OFFPK</v>
      </c>
      <c r="B648" t="s">
        <v>656</v>
      </c>
      <c r="C648" t="s">
        <v>225</v>
      </c>
      <c r="D648">
        <v>203.14500000000001</v>
      </c>
      <c r="E648">
        <v>191.114</v>
      </c>
      <c r="F648">
        <v>189.815</v>
      </c>
      <c r="G648">
        <v>215.136</v>
      </c>
      <c r="H648">
        <v>210.024</v>
      </c>
      <c r="I648">
        <v>186.66</v>
      </c>
      <c r="J648">
        <v>206.554</v>
      </c>
      <c r="K648">
        <v>236.50299999999999</v>
      </c>
      <c r="L648">
        <v>212.226</v>
      </c>
      <c r="M648">
        <v>215.17699999999999</v>
      </c>
      <c r="N648">
        <v>245.375</v>
      </c>
      <c r="O648">
        <v>220.12</v>
      </c>
    </row>
    <row r="649" spans="1:15">
      <c r="A649" t="str">
        <f t="shared" si="9"/>
        <v>GSLD13II  SDR CP</v>
      </c>
      <c r="B649" t="s">
        <v>656</v>
      </c>
      <c r="C649" t="s">
        <v>226</v>
      </c>
      <c r="D649">
        <v>165.983</v>
      </c>
      <c r="E649">
        <v>175.06399999999999</v>
      </c>
      <c r="F649">
        <v>140.054</v>
      </c>
      <c r="G649">
        <v>180.679</v>
      </c>
      <c r="H649">
        <v>129.08799999999999</v>
      </c>
      <c r="I649">
        <v>158.309</v>
      </c>
      <c r="J649">
        <v>170.40899999999999</v>
      </c>
      <c r="K649">
        <v>165.24199999999999</v>
      </c>
      <c r="L649">
        <v>154.209</v>
      </c>
      <c r="M649">
        <v>176.82</v>
      </c>
      <c r="N649">
        <v>264.94600000000003</v>
      </c>
      <c r="O649">
        <v>136.678</v>
      </c>
    </row>
    <row r="650" spans="1:15">
      <c r="A650" t="str">
        <f t="shared" si="9"/>
        <v/>
      </c>
    </row>
    <row r="651" spans="1:15">
      <c r="A651" t="str">
        <f t="shared" si="9"/>
        <v/>
      </c>
    </row>
    <row r="652" spans="1:15">
      <c r="A652" t="str">
        <f t="shared" si="9"/>
        <v/>
      </c>
    </row>
    <row r="653" spans="1:15">
      <c r="A653" t="str">
        <f t="shared" si="9"/>
        <v/>
      </c>
    </row>
    <row r="654" spans="1:15">
      <c r="A654" t="str">
        <f t="shared" si="9"/>
        <v/>
      </c>
    </row>
    <row r="655" spans="1:15">
      <c r="A655" t="str">
        <f t="shared" si="9"/>
        <v/>
      </c>
    </row>
    <row r="656" spans="1:15">
      <c r="A656" t="str">
        <f t="shared" si="9"/>
        <v/>
      </c>
    </row>
    <row r="657" spans="1:1">
      <c r="A657" t="str">
        <f t="shared" si="9"/>
        <v/>
      </c>
    </row>
    <row r="658" spans="1:1">
      <c r="A658" t="str">
        <f t="shared" si="9"/>
        <v/>
      </c>
    </row>
    <row r="659" spans="1:1">
      <c r="A659" t="str">
        <f t="shared" si="9"/>
        <v/>
      </c>
    </row>
    <row r="660" spans="1:1">
      <c r="A660" t="str">
        <f t="shared" si="9"/>
        <v/>
      </c>
    </row>
    <row r="661" spans="1:1">
      <c r="A661" t="str">
        <f t="shared" si="9"/>
        <v/>
      </c>
    </row>
    <row r="662" spans="1:1">
      <c r="A662" t="str">
        <f t="shared" si="9"/>
        <v/>
      </c>
    </row>
    <row r="663" spans="1:1">
      <c r="A663" t="str">
        <f t="shared" si="9"/>
        <v/>
      </c>
    </row>
    <row r="664" spans="1:1">
      <c r="A664" t="str">
        <f t="shared" si="9"/>
        <v/>
      </c>
    </row>
    <row r="665" spans="1:1">
      <c r="A665" t="str">
        <f t="shared" si="9"/>
        <v/>
      </c>
    </row>
    <row r="666" spans="1:1">
      <c r="A666" t="str">
        <f t="shared" si="9"/>
        <v/>
      </c>
    </row>
    <row r="667" spans="1:1">
      <c r="A667" t="str">
        <f t="shared" si="9"/>
        <v/>
      </c>
    </row>
    <row r="668" spans="1:1">
      <c r="A668" t="str">
        <f t="shared" si="9"/>
        <v/>
      </c>
    </row>
    <row r="669" spans="1:1">
      <c r="A669" t="str">
        <f t="shared" si="9"/>
        <v/>
      </c>
    </row>
    <row r="670" spans="1:1">
      <c r="A670" t="str">
        <f t="shared" si="9"/>
        <v/>
      </c>
    </row>
    <row r="671" spans="1:1">
      <c r="A671" t="str">
        <f t="shared" si="9"/>
        <v/>
      </c>
    </row>
    <row r="672" spans="1:1">
      <c r="A672" t="str">
        <f t="shared" si="9"/>
        <v/>
      </c>
    </row>
    <row r="673" spans="1:16">
      <c r="A673" t="str">
        <f t="shared" si="9"/>
        <v/>
      </c>
    </row>
    <row r="674" spans="1:16">
      <c r="A674" t="str">
        <f t="shared" si="9"/>
        <v/>
      </c>
    </row>
    <row r="675" spans="1:16">
      <c r="A675" t="str">
        <f t="shared" si="9"/>
        <v/>
      </c>
    </row>
    <row r="676" spans="1:16">
      <c r="A676" t="str">
        <f t="shared" si="9"/>
        <v/>
      </c>
    </row>
    <row r="677" spans="1:16">
      <c r="A677" t="str">
        <f t="shared" si="9"/>
        <v/>
      </c>
    </row>
    <row r="678" spans="1:16">
      <c r="A678" t="str">
        <f t="shared" si="9"/>
        <v/>
      </c>
    </row>
    <row r="679" spans="1:16">
      <c r="A679" t="str">
        <f t="shared" si="9"/>
        <v/>
      </c>
    </row>
    <row r="680" spans="1:16">
      <c r="A680" t="str">
        <f t="shared" si="9"/>
        <v/>
      </c>
    </row>
    <row r="681" spans="1:16">
      <c r="A681" t="str">
        <f t="shared" si="9"/>
        <v xml:space="preserve">LEE Wholesale Lee County Electric Cooperative </v>
      </c>
      <c r="B681" t="s">
        <v>659</v>
      </c>
      <c r="C681" t="s">
        <v>660</v>
      </c>
    </row>
    <row r="682" spans="1:16">
      <c r="A682" t="str">
        <f t="shared" si="9"/>
        <v xml:space="preserve">LEEMONTH </v>
      </c>
      <c r="B682" t="s">
        <v>661</v>
      </c>
      <c r="C682" t="s">
        <v>123</v>
      </c>
      <c r="D682" s="4">
        <v>41640</v>
      </c>
      <c r="E682" s="4">
        <v>41671</v>
      </c>
      <c r="F682" s="4">
        <v>41699</v>
      </c>
      <c r="G682" s="4">
        <v>41730</v>
      </c>
      <c r="H682" s="4">
        <v>41760</v>
      </c>
      <c r="I682" s="4">
        <v>41791</v>
      </c>
      <c r="J682" s="4">
        <v>41821</v>
      </c>
      <c r="K682" s="4">
        <v>41852</v>
      </c>
      <c r="L682" s="4">
        <v>41883</v>
      </c>
      <c r="M682" s="4">
        <v>41913</v>
      </c>
      <c r="N682" s="4">
        <v>41944</v>
      </c>
      <c r="O682" s="4">
        <v>41974</v>
      </c>
      <c r="P682" s="4"/>
    </row>
    <row r="683" spans="1:16">
      <c r="A683" t="str">
        <f t="shared" si="9"/>
        <v xml:space="preserve">LEECUSTOMERS </v>
      </c>
      <c r="B683" t="s">
        <v>661</v>
      </c>
      <c r="C683" t="s">
        <v>124</v>
      </c>
      <c r="D683">
        <v>5</v>
      </c>
      <c r="E683">
        <v>6</v>
      </c>
      <c r="F683">
        <v>7</v>
      </c>
      <c r="G683">
        <v>7</v>
      </c>
      <c r="H683">
        <v>7</v>
      </c>
      <c r="I683">
        <v>7</v>
      </c>
      <c r="J683">
        <v>7</v>
      </c>
      <c r="K683">
        <v>7</v>
      </c>
      <c r="L683">
        <v>7</v>
      </c>
      <c r="M683">
        <v>7</v>
      </c>
      <c r="N683">
        <v>7</v>
      </c>
      <c r="O683">
        <v>7</v>
      </c>
    </row>
    <row r="684" spans="1:16">
      <c r="A684" t="str">
        <f t="shared" si="9"/>
        <v xml:space="preserve">LEESALES </v>
      </c>
      <c r="B684" t="s">
        <v>661</v>
      </c>
      <c r="C684" t="s">
        <v>125</v>
      </c>
      <c r="D684">
        <v>65718983</v>
      </c>
      <c r="E684">
        <v>363393801</v>
      </c>
      <c r="F684">
        <v>320951303</v>
      </c>
      <c r="G684">
        <v>347436900</v>
      </c>
      <c r="H684">
        <v>372411170</v>
      </c>
      <c r="I684">
        <v>423074060</v>
      </c>
      <c r="J684">
        <v>444647562</v>
      </c>
      <c r="K684">
        <v>469005158</v>
      </c>
      <c r="L684">
        <v>502571938</v>
      </c>
      <c r="M684">
        <v>416168345</v>
      </c>
      <c r="N684">
        <v>395833111</v>
      </c>
      <c r="O684">
        <v>317966615</v>
      </c>
    </row>
    <row r="685" spans="1:16">
      <c r="A685" t="str">
        <f t="shared" si="9"/>
        <v>LEEKW</v>
      </c>
      <c r="B685" t="s">
        <v>661</v>
      </c>
      <c r="C685" t="s">
        <v>126</v>
      </c>
    </row>
    <row r="686" spans="1:16">
      <c r="A686" t="str">
        <f t="shared" si="9"/>
        <v>LEEN</v>
      </c>
      <c r="B686" t="s">
        <v>661</v>
      </c>
      <c r="C686" t="s">
        <v>127</v>
      </c>
      <c r="D686">
        <v>1</v>
      </c>
      <c r="E686">
        <v>1</v>
      </c>
      <c r="F686">
        <v>1</v>
      </c>
      <c r="G686">
        <v>1</v>
      </c>
      <c r="H686">
        <v>1</v>
      </c>
      <c r="I686">
        <v>1</v>
      </c>
      <c r="J686">
        <v>1</v>
      </c>
      <c r="K686">
        <v>1</v>
      </c>
      <c r="L686">
        <v>1</v>
      </c>
      <c r="M686">
        <v>1</v>
      </c>
      <c r="N686">
        <v>1</v>
      </c>
      <c r="O686">
        <v>1</v>
      </c>
    </row>
    <row r="687" spans="1:16">
      <c r="A687" t="str">
        <f t="shared" ref="A687:A750" si="10">B687&amp;C687</f>
        <v>LEERLR ENERGY:</v>
      </c>
      <c r="B687" t="s">
        <v>661</v>
      </c>
      <c r="C687" t="s">
        <v>61</v>
      </c>
    </row>
    <row r="688" spans="1:16">
      <c r="A688" t="str">
        <f t="shared" si="10"/>
        <v>LEEKWH</v>
      </c>
      <c r="B688" t="s">
        <v>661</v>
      </c>
      <c r="C688" t="s">
        <v>128</v>
      </c>
      <c r="D688">
        <v>303248253</v>
      </c>
      <c r="E688">
        <v>259023403</v>
      </c>
      <c r="F688">
        <v>278686789</v>
      </c>
      <c r="G688">
        <v>301213415</v>
      </c>
      <c r="H688">
        <v>344687920</v>
      </c>
      <c r="I688">
        <v>353502093</v>
      </c>
      <c r="J688">
        <v>382786469</v>
      </c>
      <c r="K688">
        <v>406624217</v>
      </c>
      <c r="L688">
        <v>338360635</v>
      </c>
      <c r="M688">
        <v>323498944</v>
      </c>
      <c r="N688">
        <v>260316137</v>
      </c>
      <c r="O688">
        <v>280529780</v>
      </c>
    </row>
    <row r="689" spans="1:16">
      <c r="A689" t="str">
        <f t="shared" si="10"/>
        <v>LEEKWH ONPK</v>
      </c>
      <c r="B689" t="s">
        <v>661</v>
      </c>
      <c r="C689" t="s">
        <v>129</v>
      </c>
      <c r="D689">
        <v>79835071</v>
      </c>
      <c r="E689">
        <v>66111883</v>
      </c>
      <c r="F689">
        <v>66853447</v>
      </c>
      <c r="G689">
        <v>106381120</v>
      </c>
      <c r="H689">
        <v>117060460</v>
      </c>
      <c r="I689">
        <v>120653720</v>
      </c>
      <c r="J689">
        <v>130526742</v>
      </c>
      <c r="K689">
        <v>134566019</v>
      </c>
      <c r="L689">
        <v>116843705</v>
      </c>
      <c r="M689">
        <v>120140551</v>
      </c>
      <c r="N689">
        <v>59708762</v>
      </c>
      <c r="O689">
        <v>72222524</v>
      </c>
    </row>
    <row r="690" spans="1:16">
      <c r="A690" t="str">
        <f t="shared" si="10"/>
        <v>LEEKWH OFFPK</v>
      </c>
      <c r="B690" t="s">
        <v>661</v>
      </c>
      <c r="C690" t="s">
        <v>130</v>
      </c>
      <c r="D690">
        <v>223413181</v>
      </c>
      <c r="E690">
        <v>192911520</v>
      </c>
      <c r="F690">
        <v>211833342</v>
      </c>
      <c r="G690">
        <v>194832295</v>
      </c>
      <c r="H690">
        <v>227627460</v>
      </c>
      <c r="I690">
        <v>232848373</v>
      </c>
      <c r="J690">
        <v>252259727</v>
      </c>
      <c r="K690">
        <v>272058198</v>
      </c>
      <c r="L690">
        <v>221516931</v>
      </c>
      <c r="M690">
        <v>203358393</v>
      </c>
      <c r="N690">
        <v>200607375</v>
      </c>
      <c r="O690">
        <v>208307256</v>
      </c>
    </row>
    <row r="691" spans="1:16">
      <c r="A691" t="str">
        <f t="shared" si="10"/>
        <v>LEEKWH ONPK%</v>
      </c>
      <c r="B691" t="s">
        <v>661</v>
      </c>
      <c r="C691" t="s">
        <v>131</v>
      </c>
      <c r="D691" s="5">
        <v>0.26327</v>
      </c>
      <c r="E691" s="5">
        <v>0.25524000000000002</v>
      </c>
      <c r="F691" s="5">
        <v>0.23988999999999999</v>
      </c>
      <c r="G691" s="5">
        <v>0.35317999999999999</v>
      </c>
      <c r="H691" s="5">
        <v>0.33961000000000002</v>
      </c>
      <c r="I691" s="5">
        <v>0.34131</v>
      </c>
      <c r="J691" s="5">
        <v>0.34099000000000002</v>
      </c>
      <c r="K691" s="5">
        <v>0.33093</v>
      </c>
      <c r="L691" s="5">
        <v>0.34532000000000002</v>
      </c>
      <c r="M691" s="5">
        <v>0.37137999999999999</v>
      </c>
      <c r="N691" s="5">
        <v>0.22936999999999999</v>
      </c>
      <c r="O691" s="5">
        <v>0.25745000000000001</v>
      </c>
      <c r="P691" s="5"/>
    </row>
    <row r="692" spans="1:16">
      <c r="A692" t="str">
        <f t="shared" si="10"/>
        <v>LEEKWH OFFPK%</v>
      </c>
      <c r="B692" t="s">
        <v>661</v>
      </c>
      <c r="C692" t="s">
        <v>132</v>
      </c>
      <c r="D692" s="5">
        <v>0.73673</v>
      </c>
      <c r="E692" s="5">
        <v>0.74475999999999998</v>
      </c>
      <c r="F692" s="5">
        <v>0.76010999999999995</v>
      </c>
      <c r="G692" s="5">
        <v>0.64681999999999995</v>
      </c>
      <c r="H692" s="5">
        <v>0.66039000000000003</v>
      </c>
      <c r="I692" s="5">
        <v>0.65869</v>
      </c>
      <c r="J692" s="5">
        <v>0.65900999999999998</v>
      </c>
      <c r="K692" s="5">
        <v>0.66907000000000005</v>
      </c>
      <c r="L692" s="5">
        <v>0.65468000000000004</v>
      </c>
      <c r="M692" s="5">
        <v>0.62861999999999996</v>
      </c>
      <c r="N692" s="5">
        <v>0.77063000000000004</v>
      </c>
      <c r="O692" s="5">
        <v>0.74255000000000004</v>
      </c>
      <c r="P692" s="5"/>
    </row>
    <row r="693" spans="1:16">
      <c r="A693" t="str">
        <f t="shared" si="10"/>
        <v>LEEDEMAND (KW):</v>
      </c>
      <c r="B693" t="s">
        <v>661</v>
      </c>
      <c r="C693" t="s">
        <v>62</v>
      </c>
    </row>
    <row r="694" spans="1:16">
      <c r="A694" t="str">
        <f t="shared" si="10"/>
        <v>LEENCP</v>
      </c>
      <c r="B694" t="s">
        <v>661</v>
      </c>
      <c r="C694" t="s">
        <v>133</v>
      </c>
      <c r="D694">
        <v>759818</v>
      </c>
      <c r="E694">
        <v>607977</v>
      </c>
      <c r="F694">
        <v>587761</v>
      </c>
      <c r="G694">
        <v>720832</v>
      </c>
      <c r="H694">
        <v>754990</v>
      </c>
      <c r="I694">
        <v>810713</v>
      </c>
      <c r="J694">
        <v>805670</v>
      </c>
      <c r="K694">
        <v>837392</v>
      </c>
      <c r="L694">
        <v>788046</v>
      </c>
      <c r="M694">
        <v>761167</v>
      </c>
      <c r="N694">
        <v>598817</v>
      </c>
      <c r="O694">
        <v>561480</v>
      </c>
    </row>
    <row r="695" spans="1:16">
      <c r="A695" t="str">
        <f t="shared" si="10"/>
        <v>LEENCP ONPK</v>
      </c>
      <c r="B695" t="s">
        <v>661</v>
      </c>
      <c r="C695" t="s">
        <v>134</v>
      </c>
      <c r="D695">
        <v>759818</v>
      </c>
      <c r="E695">
        <v>537921</v>
      </c>
      <c r="F695">
        <v>537710</v>
      </c>
      <c r="G695">
        <v>720832</v>
      </c>
      <c r="H695">
        <v>729301</v>
      </c>
      <c r="I695">
        <v>810713</v>
      </c>
      <c r="J695">
        <v>793641</v>
      </c>
      <c r="K695">
        <v>836336</v>
      </c>
      <c r="L695">
        <v>768510</v>
      </c>
      <c r="M695">
        <v>761167</v>
      </c>
      <c r="N695">
        <v>562147</v>
      </c>
      <c r="O695">
        <v>539994</v>
      </c>
    </row>
    <row r="696" spans="1:16">
      <c r="A696" t="str">
        <f t="shared" si="10"/>
        <v>LEENCP OFFPK</v>
      </c>
      <c r="B696" t="s">
        <v>661</v>
      </c>
      <c r="C696" t="s">
        <v>135</v>
      </c>
      <c r="D696">
        <v>736778</v>
      </c>
      <c r="E696">
        <v>607977</v>
      </c>
      <c r="F696">
        <v>587761</v>
      </c>
      <c r="G696">
        <v>707253</v>
      </c>
      <c r="H696">
        <v>754990</v>
      </c>
      <c r="I696">
        <v>798589</v>
      </c>
      <c r="J696">
        <v>805670</v>
      </c>
      <c r="K696">
        <v>837392</v>
      </c>
      <c r="L696">
        <v>788046</v>
      </c>
      <c r="M696">
        <v>740972</v>
      </c>
      <c r="N696">
        <v>598817</v>
      </c>
      <c r="O696">
        <v>561480</v>
      </c>
    </row>
    <row r="697" spans="1:16">
      <c r="A697" t="str">
        <f t="shared" si="10"/>
        <v>LEEGCP DATE</v>
      </c>
      <c r="B697" t="s">
        <v>661</v>
      </c>
      <c r="C697" t="s">
        <v>136</v>
      </c>
      <c r="D697" t="s">
        <v>662</v>
      </c>
      <c r="E697" t="s">
        <v>663</v>
      </c>
      <c r="F697" t="s">
        <v>626</v>
      </c>
      <c r="G697" t="s">
        <v>264</v>
      </c>
      <c r="H697" t="s">
        <v>664</v>
      </c>
      <c r="I697" t="s">
        <v>294</v>
      </c>
      <c r="J697" t="s">
        <v>665</v>
      </c>
      <c r="K697" t="s">
        <v>666</v>
      </c>
      <c r="L697" t="s">
        <v>628</v>
      </c>
      <c r="M697" t="s">
        <v>607</v>
      </c>
      <c r="N697" t="s">
        <v>317</v>
      </c>
      <c r="O697" t="s">
        <v>318</v>
      </c>
    </row>
    <row r="698" spans="1:16">
      <c r="A698" t="str">
        <f t="shared" si="10"/>
        <v>LEEGCP TIME</v>
      </c>
      <c r="B698" t="s">
        <v>661</v>
      </c>
      <c r="C698" t="s">
        <v>142</v>
      </c>
      <c r="D698" t="s">
        <v>203</v>
      </c>
      <c r="E698" t="s">
        <v>145</v>
      </c>
      <c r="F698" t="s">
        <v>145</v>
      </c>
      <c r="G698" t="s">
        <v>145</v>
      </c>
      <c r="H698" t="s">
        <v>145</v>
      </c>
      <c r="I698" t="s">
        <v>195</v>
      </c>
      <c r="J698" t="s">
        <v>144</v>
      </c>
      <c r="K698" t="s">
        <v>145</v>
      </c>
      <c r="L698" t="s">
        <v>144</v>
      </c>
      <c r="M698" t="s">
        <v>195</v>
      </c>
      <c r="N698" t="s">
        <v>143</v>
      </c>
      <c r="O698" t="s">
        <v>182</v>
      </c>
    </row>
    <row r="699" spans="1:16">
      <c r="A699" t="str">
        <f t="shared" si="10"/>
        <v>LEEGCP</v>
      </c>
      <c r="B699" t="s">
        <v>661</v>
      </c>
      <c r="C699" t="s">
        <v>147</v>
      </c>
      <c r="D699">
        <v>759818</v>
      </c>
      <c r="E699">
        <v>607977</v>
      </c>
      <c r="F699">
        <v>587761</v>
      </c>
      <c r="G699">
        <v>720832</v>
      </c>
      <c r="H699">
        <v>754990</v>
      </c>
      <c r="I699">
        <v>810713</v>
      </c>
      <c r="J699">
        <v>805670</v>
      </c>
      <c r="K699">
        <v>837392</v>
      </c>
      <c r="L699">
        <v>788046</v>
      </c>
      <c r="M699">
        <v>761167</v>
      </c>
      <c r="N699">
        <v>598817</v>
      </c>
      <c r="O699">
        <v>561480</v>
      </c>
    </row>
    <row r="700" spans="1:16">
      <c r="A700" t="str">
        <f t="shared" si="10"/>
        <v>LEEGCP ONPK</v>
      </c>
      <c r="B700" t="s">
        <v>661</v>
      </c>
      <c r="C700" t="s">
        <v>63</v>
      </c>
      <c r="D700">
        <v>759818</v>
      </c>
      <c r="E700">
        <v>537921</v>
      </c>
      <c r="F700">
        <v>537710</v>
      </c>
      <c r="G700">
        <v>720832</v>
      </c>
      <c r="H700">
        <v>729301</v>
      </c>
      <c r="I700">
        <v>810713</v>
      </c>
      <c r="J700">
        <v>793641</v>
      </c>
      <c r="K700">
        <v>836336</v>
      </c>
      <c r="L700">
        <v>768510</v>
      </c>
      <c r="M700">
        <v>761167</v>
      </c>
      <c r="N700">
        <v>562147</v>
      </c>
      <c r="O700">
        <v>539994</v>
      </c>
    </row>
    <row r="701" spans="1:16">
      <c r="A701" t="str">
        <f t="shared" si="10"/>
        <v>LEEGCP OFFPK</v>
      </c>
      <c r="B701" t="s">
        <v>661</v>
      </c>
      <c r="C701" t="s">
        <v>64</v>
      </c>
      <c r="D701">
        <v>736778</v>
      </c>
      <c r="E701">
        <v>607977</v>
      </c>
      <c r="F701">
        <v>587761</v>
      </c>
      <c r="G701">
        <v>707253</v>
      </c>
      <c r="H701">
        <v>754990</v>
      </c>
      <c r="I701">
        <v>798589</v>
      </c>
      <c r="J701">
        <v>805670</v>
      </c>
      <c r="K701">
        <v>837392</v>
      </c>
      <c r="L701">
        <v>788046</v>
      </c>
      <c r="M701">
        <v>740972</v>
      </c>
      <c r="N701">
        <v>598817</v>
      </c>
      <c r="O701">
        <v>561480</v>
      </c>
    </row>
    <row r="702" spans="1:16">
      <c r="A702" t="str">
        <f t="shared" si="10"/>
        <v>LEECP</v>
      </c>
      <c r="B702" t="s">
        <v>661</v>
      </c>
      <c r="C702" t="s">
        <v>148</v>
      </c>
      <c r="D702">
        <v>759818</v>
      </c>
      <c r="E702">
        <v>555405</v>
      </c>
      <c r="F702">
        <v>585861</v>
      </c>
      <c r="G702">
        <v>710173</v>
      </c>
      <c r="H702">
        <v>728052</v>
      </c>
      <c r="I702">
        <v>780103</v>
      </c>
      <c r="J702">
        <v>725301</v>
      </c>
      <c r="K702">
        <v>829055</v>
      </c>
      <c r="L702">
        <v>701642</v>
      </c>
      <c r="M702">
        <v>760590</v>
      </c>
      <c r="N702">
        <v>597790</v>
      </c>
      <c r="O702">
        <v>556950</v>
      </c>
    </row>
    <row r="703" spans="1:16">
      <c r="A703" t="str">
        <f t="shared" si="10"/>
        <v>LEEPERIOD START</v>
      </c>
      <c r="B703" t="s">
        <v>661</v>
      </c>
      <c r="C703" t="s">
        <v>149</v>
      </c>
      <c r="D703" s="1">
        <v>41640</v>
      </c>
      <c r="E703" s="1">
        <v>41671</v>
      </c>
      <c r="F703" s="1">
        <v>41699</v>
      </c>
      <c r="G703" s="1">
        <v>41730</v>
      </c>
      <c r="H703" s="1">
        <v>41760</v>
      </c>
      <c r="I703" s="1">
        <v>41791</v>
      </c>
      <c r="J703" s="1">
        <v>41821</v>
      </c>
      <c r="K703" s="1">
        <v>41852</v>
      </c>
      <c r="L703" s="1">
        <v>41883</v>
      </c>
      <c r="M703" s="1">
        <v>41913</v>
      </c>
      <c r="N703" s="1">
        <v>41944</v>
      </c>
      <c r="O703" s="1">
        <v>41974</v>
      </c>
      <c r="P703" s="1"/>
    </row>
    <row r="704" spans="1:16">
      <c r="A704" t="str">
        <f t="shared" si="10"/>
        <v>LEENCP LF</v>
      </c>
      <c r="B704" t="s">
        <v>661</v>
      </c>
      <c r="C704" t="s">
        <v>150</v>
      </c>
      <c r="D704" s="5">
        <v>0.53639999999999999</v>
      </c>
      <c r="E704" s="5">
        <v>0.63400000000000001</v>
      </c>
      <c r="F704" s="5">
        <v>0.63819999999999999</v>
      </c>
      <c r="G704" s="5">
        <v>0.58040000000000003</v>
      </c>
      <c r="H704" s="5">
        <v>0.61360000000000003</v>
      </c>
      <c r="I704" s="5">
        <v>0.60560000000000003</v>
      </c>
      <c r="J704" s="5">
        <v>0.63859999999999995</v>
      </c>
      <c r="K704" s="5">
        <v>0.65269999999999995</v>
      </c>
      <c r="L704" s="5">
        <v>0.59630000000000005</v>
      </c>
      <c r="M704" s="5">
        <v>0.57120000000000004</v>
      </c>
      <c r="N704" s="5">
        <v>0.6038</v>
      </c>
      <c r="O704" s="5">
        <v>0.67149999999999999</v>
      </c>
      <c r="P704" s="5"/>
    </row>
    <row r="705" spans="1:16">
      <c r="A705" t="str">
        <f t="shared" si="10"/>
        <v>LEENCP LF ONPK</v>
      </c>
      <c r="B705" t="s">
        <v>661</v>
      </c>
      <c r="C705" t="s">
        <v>151</v>
      </c>
      <c r="D705" s="5">
        <v>0.59699999999999998</v>
      </c>
      <c r="E705" s="5">
        <v>0.7681</v>
      </c>
      <c r="F705" s="5">
        <v>0.74009999999999998</v>
      </c>
      <c r="G705" s="5">
        <v>0.74539999999999995</v>
      </c>
      <c r="H705" s="5">
        <v>0.84930000000000005</v>
      </c>
      <c r="I705" s="5">
        <v>0.78739999999999999</v>
      </c>
      <c r="J705" s="5">
        <v>0.8306</v>
      </c>
      <c r="K705" s="5">
        <v>0.85129999999999995</v>
      </c>
      <c r="L705" s="5">
        <v>0.8044</v>
      </c>
      <c r="M705" s="5">
        <v>0.76249999999999996</v>
      </c>
      <c r="N705" s="5">
        <v>0.69879999999999998</v>
      </c>
      <c r="O705" s="5">
        <v>0.75990000000000002</v>
      </c>
      <c r="P705" s="5"/>
    </row>
    <row r="706" spans="1:16">
      <c r="A706" t="str">
        <f t="shared" si="10"/>
        <v>LEENCP LF OFFPK</v>
      </c>
      <c r="B706" t="s">
        <v>661</v>
      </c>
      <c r="C706" t="s">
        <v>152</v>
      </c>
      <c r="D706" s="5">
        <v>0.53390000000000004</v>
      </c>
      <c r="E706" s="5">
        <v>0.61970000000000003</v>
      </c>
      <c r="F706" s="5">
        <v>0.62680000000000002</v>
      </c>
      <c r="G706" s="5">
        <v>0.52769999999999995</v>
      </c>
      <c r="H706" s="5">
        <v>0.54320000000000002</v>
      </c>
      <c r="I706" s="5">
        <v>0.54910000000000003</v>
      </c>
      <c r="J706" s="5">
        <v>0.57350000000000001</v>
      </c>
      <c r="K706" s="5">
        <v>0.58540000000000003</v>
      </c>
      <c r="L706" s="5">
        <v>0.52939999999999998</v>
      </c>
      <c r="M706" s="5">
        <v>0.5111</v>
      </c>
      <c r="N706" s="5">
        <v>0.58979999999999999</v>
      </c>
      <c r="O706" s="5">
        <v>0.6532</v>
      </c>
      <c r="P706" s="5"/>
    </row>
    <row r="707" spans="1:16">
      <c r="A707" t="str">
        <f t="shared" si="10"/>
        <v>LEEGCP CF</v>
      </c>
      <c r="B707" t="s">
        <v>661</v>
      </c>
      <c r="C707" t="s">
        <v>153</v>
      </c>
      <c r="D707" s="5">
        <v>1</v>
      </c>
      <c r="E707" s="5">
        <v>1</v>
      </c>
      <c r="F707" s="5">
        <v>1</v>
      </c>
      <c r="G707" s="5">
        <v>1</v>
      </c>
      <c r="H707" s="5">
        <v>1</v>
      </c>
      <c r="I707" s="5">
        <v>1</v>
      </c>
      <c r="J707" s="5">
        <v>1</v>
      </c>
      <c r="K707" s="5">
        <v>1</v>
      </c>
      <c r="L707" s="5">
        <v>1</v>
      </c>
      <c r="M707" s="5">
        <v>1</v>
      </c>
      <c r="N707" s="5">
        <v>1</v>
      </c>
      <c r="O707" s="5">
        <v>1</v>
      </c>
      <c r="P707" s="5"/>
    </row>
    <row r="708" spans="1:16">
      <c r="A708" t="str">
        <f t="shared" si="10"/>
        <v>LEECP CF</v>
      </c>
      <c r="B708" t="s">
        <v>661</v>
      </c>
      <c r="C708" t="s">
        <v>154</v>
      </c>
      <c r="D708" s="5">
        <v>1</v>
      </c>
      <c r="E708" s="5">
        <v>0.91349999999999998</v>
      </c>
      <c r="F708" s="5">
        <v>0.99680000000000002</v>
      </c>
      <c r="G708" s="5">
        <v>0.98519999999999996</v>
      </c>
      <c r="H708" s="5">
        <v>0.96430000000000005</v>
      </c>
      <c r="I708" s="5">
        <v>0.96220000000000006</v>
      </c>
      <c r="J708" s="5">
        <v>0.9002</v>
      </c>
      <c r="K708" s="5">
        <v>0.99</v>
      </c>
      <c r="L708" s="5">
        <v>0.89039999999999997</v>
      </c>
      <c r="M708" s="5">
        <v>0.99919999999999998</v>
      </c>
      <c r="N708" s="5">
        <v>0.99829999999999997</v>
      </c>
      <c r="O708" s="5">
        <v>0.9919</v>
      </c>
      <c r="P708" s="5"/>
    </row>
    <row r="709" spans="1:16">
      <c r="A709" t="str">
        <f t="shared" si="10"/>
        <v>LEEGCP LF</v>
      </c>
      <c r="B709" t="s">
        <v>661</v>
      </c>
      <c r="C709" t="s">
        <v>155</v>
      </c>
      <c r="D709" s="5">
        <v>0.53639999999999999</v>
      </c>
      <c r="E709" s="5">
        <v>0.63400000000000001</v>
      </c>
      <c r="F709" s="5">
        <v>0.63819999999999999</v>
      </c>
      <c r="G709" s="5">
        <v>0.58040000000000003</v>
      </c>
      <c r="H709" s="5">
        <v>0.61360000000000003</v>
      </c>
      <c r="I709" s="5">
        <v>0.60560000000000003</v>
      </c>
      <c r="J709" s="5">
        <v>0.63859999999999995</v>
      </c>
      <c r="K709" s="5">
        <v>0.65269999999999995</v>
      </c>
      <c r="L709" s="5">
        <v>0.59630000000000005</v>
      </c>
      <c r="M709" s="5">
        <v>0.57120000000000004</v>
      </c>
      <c r="N709" s="5">
        <v>0.6038</v>
      </c>
      <c r="O709" s="5">
        <v>0.67149999999999999</v>
      </c>
      <c r="P709" s="5"/>
    </row>
    <row r="710" spans="1:16">
      <c r="A710" t="str">
        <f t="shared" si="10"/>
        <v>LEEGCP LF ONPK</v>
      </c>
      <c r="B710" t="s">
        <v>661</v>
      </c>
      <c r="C710" t="s">
        <v>156</v>
      </c>
      <c r="D710" s="5">
        <v>0.59699999999999998</v>
      </c>
      <c r="E710" s="5">
        <v>0.7681</v>
      </c>
      <c r="F710" s="5">
        <v>0.74009999999999998</v>
      </c>
      <c r="G710" s="5">
        <v>0.74539999999999995</v>
      </c>
      <c r="H710" s="5">
        <v>0.84930000000000005</v>
      </c>
      <c r="I710" s="5">
        <v>0.78739999999999999</v>
      </c>
      <c r="J710" s="5">
        <v>0.8306</v>
      </c>
      <c r="K710" s="5">
        <v>0.85129999999999995</v>
      </c>
      <c r="L710" s="5">
        <v>0.8044</v>
      </c>
      <c r="M710" s="5">
        <v>0.76249999999999996</v>
      </c>
      <c r="N710" s="5">
        <v>0.69879999999999998</v>
      </c>
      <c r="O710" s="5">
        <v>0.75990000000000002</v>
      </c>
      <c r="P710" s="5"/>
    </row>
    <row r="711" spans="1:16">
      <c r="A711" t="str">
        <f t="shared" si="10"/>
        <v>LEEGCP LF OFFPK</v>
      </c>
      <c r="B711" t="s">
        <v>661</v>
      </c>
      <c r="C711" t="s">
        <v>157</v>
      </c>
      <c r="D711" s="5">
        <v>0.53390000000000004</v>
      </c>
      <c r="E711" s="5">
        <v>0.61970000000000003</v>
      </c>
      <c r="F711" s="5">
        <v>0.62680000000000002</v>
      </c>
      <c r="G711" s="5">
        <v>0.52769999999999995</v>
      </c>
      <c r="H711" s="5">
        <v>0.54320000000000002</v>
      </c>
      <c r="I711" s="5">
        <v>0.54910000000000003</v>
      </c>
      <c r="J711" s="5">
        <v>0.57350000000000001</v>
      </c>
      <c r="K711" s="5">
        <v>0.58540000000000003</v>
      </c>
      <c r="L711" s="5">
        <v>0.52939999999999998</v>
      </c>
      <c r="M711" s="5">
        <v>0.5111</v>
      </c>
      <c r="N711" s="5">
        <v>0.58979999999999999</v>
      </c>
      <c r="O711" s="5">
        <v>0.6532</v>
      </c>
      <c r="P711" s="5"/>
    </row>
    <row r="712" spans="1:16">
      <c r="A712" t="str">
        <f t="shared" si="10"/>
        <v>LEECP LF</v>
      </c>
      <c r="B712" t="s">
        <v>661</v>
      </c>
      <c r="C712" t="s">
        <v>158</v>
      </c>
      <c r="D712" s="5">
        <v>0.53639999999999999</v>
      </c>
      <c r="E712" s="5">
        <v>0.69399999999999995</v>
      </c>
      <c r="F712" s="5">
        <v>0.64019999999999999</v>
      </c>
      <c r="G712" s="5">
        <v>0.58909999999999996</v>
      </c>
      <c r="H712" s="5">
        <v>0.63629999999999998</v>
      </c>
      <c r="I712" s="5">
        <v>0.62939999999999996</v>
      </c>
      <c r="J712" s="5">
        <v>0.70940000000000003</v>
      </c>
      <c r="K712" s="5">
        <v>0.65920000000000001</v>
      </c>
      <c r="L712" s="5">
        <v>0.66979999999999995</v>
      </c>
      <c r="M712" s="5">
        <v>0.57169999999999999</v>
      </c>
      <c r="N712" s="5">
        <v>0.6048</v>
      </c>
      <c r="O712" s="5">
        <v>0.67700000000000005</v>
      </c>
      <c r="P712" s="5"/>
    </row>
    <row r="713" spans="1:16">
      <c r="A713" t="str">
        <f t="shared" si="10"/>
        <v>LEEREL PREC:</v>
      </c>
      <c r="B713" t="s">
        <v>661</v>
      </c>
      <c r="C713" t="s">
        <v>65</v>
      </c>
    </row>
    <row r="714" spans="1:16">
      <c r="A714" t="str">
        <f t="shared" si="10"/>
        <v>LEENCP RP</v>
      </c>
      <c r="B714" t="s">
        <v>661</v>
      </c>
      <c r="C714" t="s">
        <v>159</v>
      </c>
      <c r="D714" s="5">
        <v>0</v>
      </c>
      <c r="E714" s="5">
        <v>0</v>
      </c>
      <c r="F714" s="5">
        <v>0</v>
      </c>
      <c r="G714" s="5">
        <v>0</v>
      </c>
      <c r="H714" s="5">
        <v>0</v>
      </c>
      <c r="I714" s="5">
        <v>0</v>
      </c>
      <c r="J714" s="5">
        <v>0</v>
      </c>
      <c r="K714" s="5">
        <v>0</v>
      </c>
      <c r="L714" s="5">
        <v>0</v>
      </c>
      <c r="M714" s="5">
        <v>0</v>
      </c>
      <c r="N714" s="5">
        <v>0</v>
      </c>
      <c r="O714" s="5">
        <v>0</v>
      </c>
      <c r="P714" s="5"/>
    </row>
    <row r="715" spans="1:16">
      <c r="A715" t="str">
        <f t="shared" si="10"/>
        <v>LEENCP RP ONPK</v>
      </c>
      <c r="B715" t="s">
        <v>661</v>
      </c>
      <c r="C715" t="s">
        <v>160</v>
      </c>
      <c r="D715" s="5">
        <v>0</v>
      </c>
      <c r="E715" s="5">
        <v>0</v>
      </c>
      <c r="F715" s="5">
        <v>0</v>
      </c>
      <c r="G715" s="5">
        <v>0</v>
      </c>
      <c r="H715" s="5">
        <v>0</v>
      </c>
      <c r="I715" s="5">
        <v>0</v>
      </c>
      <c r="J715" s="5">
        <v>0</v>
      </c>
      <c r="K715" s="5">
        <v>0</v>
      </c>
      <c r="L715" s="5">
        <v>0</v>
      </c>
      <c r="M715" s="5">
        <v>0</v>
      </c>
      <c r="N715" s="5">
        <v>0</v>
      </c>
      <c r="O715" s="5">
        <v>0</v>
      </c>
      <c r="P715" s="5"/>
    </row>
    <row r="716" spans="1:16">
      <c r="A716" t="str">
        <f t="shared" si="10"/>
        <v>LEENCP RP OFFPK</v>
      </c>
      <c r="B716" t="s">
        <v>661</v>
      </c>
      <c r="C716" t="s">
        <v>161</v>
      </c>
      <c r="D716" s="5">
        <v>0</v>
      </c>
      <c r="E716" s="5">
        <v>0</v>
      </c>
      <c r="F716" s="5">
        <v>0</v>
      </c>
      <c r="G716" s="5">
        <v>0</v>
      </c>
      <c r="H716" s="5">
        <v>0</v>
      </c>
      <c r="I716" s="5">
        <v>0</v>
      </c>
      <c r="J716" s="5">
        <v>0</v>
      </c>
      <c r="K716" s="5">
        <v>0</v>
      </c>
      <c r="L716" s="5">
        <v>0</v>
      </c>
      <c r="M716" s="5">
        <v>0</v>
      </c>
      <c r="N716" s="5">
        <v>0</v>
      </c>
      <c r="O716" s="5">
        <v>0</v>
      </c>
      <c r="P716" s="5"/>
    </row>
    <row r="717" spans="1:16">
      <c r="A717" t="str">
        <f t="shared" si="10"/>
        <v>LEEGCP RP</v>
      </c>
      <c r="B717" t="s">
        <v>661</v>
      </c>
      <c r="C717" t="s">
        <v>162</v>
      </c>
      <c r="D717" s="5">
        <v>0</v>
      </c>
      <c r="E717" s="5">
        <v>0</v>
      </c>
      <c r="F717" s="5">
        <v>0</v>
      </c>
      <c r="G717" s="5">
        <v>0</v>
      </c>
      <c r="H717" s="5">
        <v>0</v>
      </c>
      <c r="I717" s="5">
        <v>0</v>
      </c>
      <c r="J717" s="5">
        <v>0</v>
      </c>
      <c r="K717" s="5">
        <v>0</v>
      </c>
      <c r="L717" s="5">
        <v>0</v>
      </c>
      <c r="M717" s="5">
        <v>0</v>
      </c>
      <c r="N717" s="5">
        <v>0</v>
      </c>
      <c r="O717" s="5">
        <v>0</v>
      </c>
      <c r="P717" s="5"/>
    </row>
    <row r="718" spans="1:16">
      <c r="A718" t="str">
        <f t="shared" si="10"/>
        <v>LEEGCP RP ONPK</v>
      </c>
      <c r="B718" t="s">
        <v>661</v>
      </c>
      <c r="C718" t="s">
        <v>163</v>
      </c>
      <c r="D718" s="5">
        <v>0</v>
      </c>
      <c r="E718" s="5">
        <v>0</v>
      </c>
      <c r="F718" s="5">
        <v>0</v>
      </c>
      <c r="G718" s="5">
        <v>0</v>
      </c>
      <c r="H718" s="5">
        <v>0</v>
      </c>
      <c r="I718" s="5">
        <v>0</v>
      </c>
      <c r="J718" s="5">
        <v>0</v>
      </c>
      <c r="K718" s="5">
        <v>0</v>
      </c>
      <c r="L718" s="5">
        <v>0</v>
      </c>
      <c r="M718" s="5">
        <v>0</v>
      </c>
      <c r="N718" s="5">
        <v>0</v>
      </c>
      <c r="O718" s="5">
        <v>0</v>
      </c>
      <c r="P718" s="5"/>
    </row>
    <row r="719" spans="1:16">
      <c r="A719" t="str">
        <f t="shared" si="10"/>
        <v>LEEGCP RP OFFPK</v>
      </c>
      <c r="B719" t="s">
        <v>661</v>
      </c>
      <c r="C719" t="s">
        <v>164</v>
      </c>
      <c r="D719" s="5">
        <v>0</v>
      </c>
      <c r="E719" s="5">
        <v>0</v>
      </c>
      <c r="F719" s="5">
        <v>0</v>
      </c>
      <c r="G719" s="5">
        <v>0</v>
      </c>
      <c r="H719" s="5">
        <v>0</v>
      </c>
      <c r="I719" s="5">
        <v>0</v>
      </c>
      <c r="J719" s="5">
        <v>0</v>
      </c>
      <c r="K719" s="5">
        <v>0</v>
      </c>
      <c r="L719" s="5">
        <v>0</v>
      </c>
      <c r="M719" s="5">
        <v>0</v>
      </c>
      <c r="N719" s="5">
        <v>0</v>
      </c>
      <c r="O719" s="5">
        <v>0</v>
      </c>
      <c r="P719" s="5"/>
    </row>
    <row r="720" spans="1:16">
      <c r="A720" t="str">
        <f t="shared" si="10"/>
        <v>LEECP RP</v>
      </c>
      <c r="B720" t="s">
        <v>661</v>
      </c>
      <c r="C720" t="s">
        <v>165</v>
      </c>
      <c r="D720" s="5">
        <v>0</v>
      </c>
      <c r="E720" s="5">
        <v>0</v>
      </c>
      <c r="F720" s="5">
        <v>0</v>
      </c>
      <c r="G720" s="5">
        <v>0</v>
      </c>
      <c r="H720" s="5">
        <v>0</v>
      </c>
      <c r="I720" s="5">
        <v>0</v>
      </c>
      <c r="J720" s="5">
        <v>0</v>
      </c>
      <c r="K720" s="5">
        <v>0</v>
      </c>
      <c r="L720" s="5">
        <v>0</v>
      </c>
      <c r="M720" s="5">
        <v>0</v>
      </c>
      <c r="N720" s="5">
        <v>0</v>
      </c>
      <c r="O720" s="5">
        <v>0</v>
      </c>
      <c r="P720" s="5"/>
    </row>
    <row r="721" spans="1:16">
      <c r="A721" t="str">
        <f t="shared" si="10"/>
        <v>LEESAMPLE SIZE:</v>
      </c>
      <c r="B721" t="s">
        <v>661</v>
      </c>
      <c r="C721" t="s">
        <v>66</v>
      </c>
    </row>
    <row r="722" spans="1:16">
      <c r="A722" t="str">
        <f t="shared" si="10"/>
        <v>LEEGCPSZ</v>
      </c>
      <c r="B722" t="s">
        <v>661</v>
      </c>
      <c r="C722" t="s">
        <v>166</v>
      </c>
      <c r="D722">
        <v>1</v>
      </c>
      <c r="E722">
        <v>1</v>
      </c>
      <c r="F722">
        <v>1</v>
      </c>
      <c r="G722">
        <v>1</v>
      </c>
      <c r="H722">
        <v>1</v>
      </c>
      <c r="I722">
        <v>1</v>
      </c>
      <c r="J722">
        <v>1</v>
      </c>
      <c r="K722">
        <v>1</v>
      </c>
      <c r="L722">
        <v>1</v>
      </c>
      <c r="M722">
        <v>1</v>
      </c>
      <c r="N722">
        <v>1</v>
      </c>
      <c r="O722">
        <v>1</v>
      </c>
    </row>
    <row r="723" spans="1:16">
      <c r="A723" t="str">
        <f t="shared" si="10"/>
        <v>LEEGCPSZ ONPK</v>
      </c>
      <c r="B723" t="s">
        <v>661</v>
      </c>
      <c r="C723" t="s">
        <v>167</v>
      </c>
      <c r="D723">
        <v>1</v>
      </c>
      <c r="E723">
        <v>1</v>
      </c>
      <c r="F723">
        <v>1</v>
      </c>
      <c r="G723">
        <v>1</v>
      </c>
      <c r="H723">
        <v>1</v>
      </c>
      <c r="I723">
        <v>1</v>
      </c>
      <c r="J723">
        <v>1</v>
      </c>
      <c r="K723">
        <v>1</v>
      </c>
      <c r="L723">
        <v>1</v>
      </c>
      <c r="M723">
        <v>1</v>
      </c>
      <c r="N723">
        <v>1</v>
      </c>
      <c r="O723">
        <v>1</v>
      </c>
    </row>
    <row r="724" spans="1:16">
      <c r="A724" t="str">
        <f t="shared" si="10"/>
        <v>LEEGCPSZ OFFPK</v>
      </c>
      <c r="B724" t="s">
        <v>661</v>
      </c>
      <c r="C724" t="s">
        <v>168</v>
      </c>
      <c r="D724">
        <v>1</v>
      </c>
      <c r="E724">
        <v>1</v>
      </c>
      <c r="F724">
        <v>1</v>
      </c>
      <c r="G724">
        <v>1</v>
      </c>
      <c r="H724">
        <v>1</v>
      </c>
      <c r="I724">
        <v>1</v>
      </c>
      <c r="J724">
        <v>1</v>
      </c>
      <c r="K724">
        <v>1</v>
      </c>
      <c r="L724">
        <v>1</v>
      </c>
      <c r="M724">
        <v>1</v>
      </c>
      <c r="N724">
        <v>1</v>
      </c>
      <c r="O724">
        <v>1</v>
      </c>
    </row>
    <row r="725" spans="1:16">
      <c r="A725" t="str">
        <f t="shared" si="10"/>
        <v>LEECPSZ</v>
      </c>
      <c r="B725" t="s">
        <v>661</v>
      </c>
      <c r="C725" t="s">
        <v>169</v>
      </c>
      <c r="D725">
        <v>1</v>
      </c>
      <c r="E725">
        <v>1</v>
      </c>
      <c r="F725">
        <v>1</v>
      </c>
      <c r="G725">
        <v>1</v>
      </c>
      <c r="H725">
        <v>1</v>
      </c>
      <c r="I725">
        <v>1</v>
      </c>
      <c r="J725">
        <v>1</v>
      </c>
      <c r="K725">
        <v>1</v>
      </c>
      <c r="L725">
        <v>1</v>
      </c>
      <c r="M725">
        <v>1</v>
      </c>
      <c r="N725">
        <v>1</v>
      </c>
      <c r="O725">
        <v>1</v>
      </c>
    </row>
    <row r="726" spans="1:16">
      <c r="A726" t="str">
        <f t="shared" si="10"/>
        <v/>
      </c>
    </row>
    <row r="727" spans="1:16" ht="14.4">
      <c r="A727" t="str">
        <f t="shared" si="10"/>
        <v>NOTE:      January 2014 billing for Lee County changed from partial requirements (rate code 840) to full requirements (rate code 940).  Sales line does not match sales in the Rate and Revenue Report due to billing lag.</v>
      </c>
      <c r="B727" s="301" t="s">
        <v>667</v>
      </c>
    </row>
    <row r="728" spans="1:16">
      <c r="A728" t="str">
        <f t="shared" si="10"/>
        <v xml:space="preserve">                 In addition, the City of Blountstown, FKEC, City of Wauchula and Lee County are classified as Rate Code 940. The sales for the contracts are reported combined in the Rate &amp; Revenue Report.</v>
      </c>
      <c r="B728" s="302" t="s">
        <v>609</v>
      </c>
    </row>
    <row r="729" spans="1:16">
      <c r="A729" t="str">
        <f t="shared" si="10"/>
        <v/>
      </c>
    </row>
    <row r="730" spans="1:16">
      <c r="A730" t="str">
        <f t="shared" si="10"/>
        <v xml:space="preserve">METRO MET Metropolitan Transit Service (Metrorail) </v>
      </c>
      <c r="B730" t="s">
        <v>13</v>
      </c>
      <c r="C730" t="s">
        <v>14</v>
      </c>
    </row>
    <row r="731" spans="1:16">
      <c r="A731" t="str">
        <f t="shared" si="10"/>
        <v xml:space="preserve">METROMONTH </v>
      </c>
      <c r="B731" t="s">
        <v>15</v>
      </c>
      <c r="C731" t="s">
        <v>123</v>
      </c>
      <c r="D731" s="4">
        <v>41640</v>
      </c>
      <c r="E731" s="4">
        <v>41671</v>
      </c>
      <c r="F731" s="4">
        <v>41699</v>
      </c>
      <c r="G731" s="4">
        <v>41730</v>
      </c>
      <c r="H731" s="4">
        <v>41760</v>
      </c>
      <c r="I731" s="4">
        <v>41791</v>
      </c>
      <c r="J731" s="4">
        <v>41821</v>
      </c>
      <c r="K731" s="4">
        <v>41852</v>
      </c>
      <c r="L731" s="4">
        <v>41883</v>
      </c>
      <c r="M731" s="4">
        <v>41913</v>
      </c>
      <c r="N731" s="4">
        <v>41944</v>
      </c>
      <c r="O731" s="4">
        <v>41974</v>
      </c>
      <c r="P731" s="4"/>
    </row>
    <row r="732" spans="1:16">
      <c r="A732" t="str">
        <f t="shared" si="10"/>
        <v xml:space="preserve">METROCUSTOMERS </v>
      </c>
      <c r="B732" t="s">
        <v>15</v>
      </c>
      <c r="C732" t="s">
        <v>124</v>
      </c>
      <c r="D732">
        <v>27</v>
      </c>
      <c r="E732">
        <v>27</v>
      </c>
      <c r="F732">
        <v>27</v>
      </c>
      <c r="G732">
        <v>27</v>
      </c>
      <c r="H732">
        <v>27</v>
      </c>
      <c r="I732">
        <v>27</v>
      </c>
      <c r="J732">
        <v>27</v>
      </c>
      <c r="K732">
        <v>27</v>
      </c>
      <c r="L732">
        <v>27</v>
      </c>
      <c r="M732">
        <v>27</v>
      </c>
      <c r="N732">
        <v>27</v>
      </c>
      <c r="O732">
        <v>27</v>
      </c>
    </row>
    <row r="733" spans="1:16">
      <c r="A733" t="str">
        <f t="shared" si="10"/>
        <v xml:space="preserve">METROSALES </v>
      </c>
      <c r="B733" t="s">
        <v>15</v>
      </c>
      <c r="C733" t="s">
        <v>125</v>
      </c>
      <c r="D733">
        <v>7818300</v>
      </c>
      <c r="E733">
        <v>7222950</v>
      </c>
      <c r="F733">
        <v>6524700</v>
      </c>
      <c r="G733">
        <v>7231000</v>
      </c>
      <c r="H733">
        <v>8336650</v>
      </c>
      <c r="I733">
        <v>7799750</v>
      </c>
      <c r="J733">
        <v>8283532</v>
      </c>
      <c r="K733">
        <v>7994350</v>
      </c>
      <c r="L733">
        <v>7991200</v>
      </c>
      <c r="M733">
        <v>7990150</v>
      </c>
      <c r="N733">
        <v>7327950</v>
      </c>
      <c r="O733">
        <v>6884850</v>
      </c>
    </row>
    <row r="734" spans="1:16">
      <c r="A734" t="str">
        <f t="shared" si="10"/>
        <v>METROKW</v>
      </c>
      <c r="B734" t="s">
        <v>15</v>
      </c>
      <c r="C734" t="s">
        <v>126</v>
      </c>
    </row>
    <row r="735" spans="1:16">
      <c r="A735" t="str">
        <f t="shared" si="10"/>
        <v>METRON</v>
      </c>
      <c r="B735" t="s">
        <v>15</v>
      </c>
      <c r="C735" t="s">
        <v>127</v>
      </c>
      <c r="D735">
        <v>27</v>
      </c>
      <c r="E735">
        <v>27</v>
      </c>
      <c r="F735">
        <v>27</v>
      </c>
      <c r="G735">
        <v>27</v>
      </c>
      <c r="H735">
        <v>27</v>
      </c>
      <c r="I735">
        <v>27</v>
      </c>
      <c r="J735">
        <v>27</v>
      </c>
      <c r="K735">
        <v>27</v>
      </c>
      <c r="L735">
        <v>27</v>
      </c>
      <c r="M735">
        <v>27</v>
      </c>
      <c r="N735">
        <v>27</v>
      </c>
      <c r="O735">
        <v>27</v>
      </c>
    </row>
    <row r="736" spans="1:16">
      <c r="A736" t="str">
        <f t="shared" si="10"/>
        <v>METRORLR ENERGY:</v>
      </c>
      <c r="B736" t="s">
        <v>15</v>
      </c>
      <c r="C736" t="s">
        <v>61</v>
      </c>
    </row>
    <row r="737" spans="1:16">
      <c r="A737" t="str">
        <f t="shared" si="10"/>
        <v>METROKWH</v>
      </c>
      <c r="B737" t="s">
        <v>15</v>
      </c>
      <c r="C737" t="s">
        <v>128</v>
      </c>
      <c r="D737">
        <v>7275924</v>
      </c>
      <c r="E737">
        <v>6622690</v>
      </c>
      <c r="F737">
        <v>7513756</v>
      </c>
      <c r="G737">
        <v>7607478</v>
      </c>
      <c r="H737">
        <v>8025867</v>
      </c>
      <c r="I737">
        <v>7866068</v>
      </c>
      <c r="J737">
        <v>8226378</v>
      </c>
      <c r="K737">
        <v>8192948</v>
      </c>
      <c r="L737">
        <v>7839607</v>
      </c>
      <c r="M737">
        <v>7899957</v>
      </c>
      <c r="N737">
        <v>6955280</v>
      </c>
      <c r="O737">
        <v>7354672</v>
      </c>
    </row>
    <row r="738" spans="1:16">
      <c r="A738" t="str">
        <f t="shared" si="10"/>
        <v>METROKWH ONPK</v>
      </c>
      <c r="B738" t="s">
        <v>15</v>
      </c>
      <c r="C738" t="s">
        <v>129</v>
      </c>
      <c r="D738">
        <v>2111680</v>
      </c>
      <c r="E738">
        <v>1936655</v>
      </c>
      <c r="F738">
        <v>2119953</v>
      </c>
      <c r="G738">
        <v>2553107</v>
      </c>
      <c r="H738">
        <v>2477699</v>
      </c>
      <c r="I738">
        <v>2519719</v>
      </c>
      <c r="J738">
        <v>2668123</v>
      </c>
      <c r="K738">
        <v>2598023</v>
      </c>
      <c r="L738">
        <v>2555012</v>
      </c>
      <c r="M738">
        <v>2725108</v>
      </c>
      <c r="N738">
        <v>1888865</v>
      </c>
      <c r="O738">
        <v>2177165</v>
      </c>
    </row>
    <row r="739" spans="1:16">
      <c r="A739" t="str">
        <f t="shared" si="10"/>
        <v>METROKWH OFFPK</v>
      </c>
      <c r="B739" t="s">
        <v>15</v>
      </c>
      <c r="C739" t="s">
        <v>130</v>
      </c>
      <c r="D739">
        <v>5164244</v>
      </c>
      <c r="E739">
        <v>4686034</v>
      </c>
      <c r="F739">
        <v>5393802</v>
      </c>
      <c r="G739">
        <v>5054371</v>
      </c>
      <c r="H739">
        <v>5548168</v>
      </c>
      <c r="I739">
        <v>5346349</v>
      </c>
      <c r="J739">
        <v>5558255</v>
      </c>
      <c r="K739">
        <v>5594925</v>
      </c>
      <c r="L739">
        <v>5284595</v>
      </c>
      <c r="M739">
        <v>5174849</v>
      </c>
      <c r="N739">
        <v>5066415</v>
      </c>
      <c r="O739">
        <v>5177507</v>
      </c>
    </row>
    <row r="740" spans="1:16">
      <c r="A740" t="str">
        <f t="shared" si="10"/>
        <v>METROKWH ONPK%</v>
      </c>
      <c r="B740" t="s">
        <v>15</v>
      </c>
      <c r="C740" t="s">
        <v>131</v>
      </c>
      <c r="D740" s="5">
        <v>0.29022999999999999</v>
      </c>
      <c r="E740" s="5">
        <v>0.29243000000000002</v>
      </c>
      <c r="F740" s="5">
        <v>0.28214</v>
      </c>
      <c r="G740" s="5">
        <v>0.33560000000000001</v>
      </c>
      <c r="H740" s="5">
        <v>0.30870999999999998</v>
      </c>
      <c r="I740" s="5">
        <v>0.32033</v>
      </c>
      <c r="J740" s="5">
        <v>0.32434000000000002</v>
      </c>
      <c r="K740" s="5">
        <v>0.31709999999999999</v>
      </c>
      <c r="L740" s="5">
        <v>0.32590999999999998</v>
      </c>
      <c r="M740" s="5">
        <v>0.34494999999999998</v>
      </c>
      <c r="N740" s="5">
        <v>0.27156999999999998</v>
      </c>
      <c r="O740" s="5">
        <v>0.29602000000000001</v>
      </c>
      <c r="P740" s="5"/>
    </row>
    <row r="741" spans="1:16">
      <c r="A741" t="str">
        <f t="shared" si="10"/>
        <v>METROKWH OFFPK%</v>
      </c>
      <c r="B741" t="s">
        <v>15</v>
      </c>
      <c r="C741" t="s">
        <v>132</v>
      </c>
      <c r="D741" s="5">
        <v>0.70977000000000001</v>
      </c>
      <c r="E741" s="5">
        <v>0.70757000000000003</v>
      </c>
      <c r="F741" s="5">
        <v>0.71786000000000005</v>
      </c>
      <c r="G741" s="5">
        <v>0.66439999999999999</v>
      </c>
      <c r="H741" s="5">
        <v>0.69128999999999996</v>
      </c>
      <c r="I741" s="5">
        <v>0.67967</v>
      </c>
      <c r="J741" s="5">
        <v>0.67566000000000004</v>
      </c>
      <c r="K741" s="5">
        <v>0.68289999999999995</v>
      </c>
      <c r="L741" s="5">
        <v>0.67408999999999997</v>
      </c>
      <c r="M741" s="5">
        <v>0.65505000000000002</v>
      </c>
      <c r="N741" s="5">
        <v>0.72843000000000002</v>
      </c>
      <c r="O741" s="5">
        <v>0.70398000000000005</v>
      </c>
      <c r="P741" s="5"/>
    </row>
    <row r="742" spans="1:16">
      <c r="A742" t="str">
        <f t="shared" si="10"/>
        <v>METRODEMAND (KW):</v>
      </c>
      <c r="B742" t="s">
        <v>15</v>
      </c>
      <c r="C742" t="s">
        <v>62</v>
      </c>
    </row>
    <row r="743" spans="1:16">
      <c r="A743" t="str">
        <f t="shared" si="10"/>
        <v>METRONCP</v>
      </c>
      <c r="B743" t="s">
        <v>15</v>
      </c>
      <c r="C743" t="s">
        <v>133</v>
      </c>
      <c r="D743">
        <v>18217</v>
      </c>
      <c r="E743">
        <v>19529</v>
      </c>
      <c r="F743">
        <v>18333</v>
      </c>
      <c r="G743">
        <v>19636</v>
      </c>
      <c r="H743">
        <v>19302</v>
      </c>
      <c r="I743">
        <v>19589</v>
      </c>
      <c r="J743">
        <v>20575</v>
      </c>
      <c r="K743">
        <v>20749</v>
      </c>
      <c r="L743">
        <v>20366</v>
      </c>
      <c r="M743">
        <v>19748</v>
      </c>
      <c r="N743">
        <v>18832</v>
      </c>
      <c r="O743">
        <v>17805</v>
      </c>
    </row>
    <row r="744" spans="1:16">
      <c r="A744" t="str">
        <f t="shared" si="10"/>
        <v>METRONCP ONPK</v>
      </c>
      <c r="B744" t="s">
        <v>15</v>
      </c>
      <c r="C744" t="s">
        <v>134</v>
      </c>
      <c r="D744">
        <v>17207</v>
      </c>
      <c r="E744">
        <v>18749</v>
      </c>
      <c r="F744">
        <v>17294</v>
      </c>
      <c r="G744">
        <v>18560</v>
      </c>
      <c r="H744">
        <v>18548</v>
      </c>
      <c r="I744">
        <v>18834</v>
      </c>
      <c r="J744">
        <v>19608</v>
      </c>
      <c r="K744">
        <v>19812</v>
      </c>
      <c r="L744">
        <v>19364</v>
      </c>
      <c r="M744">
        <v>19004</v>
      </c>
      <c r="N744">
        <v>18071</v>
      </c>
      <c r="O744">
        <v>16823</v>
      </c>
    </row>
    <row r="745" spans="1:16">
      <c r="A745" t="str">
        <f t="shared" si="10"/>
        <v>METRONCP OFFPK</v>
      </c>
      <c r="B745" t="s">
        <v>15</v>
      </c>
      <c r="C745" t="s">
        <v>135</v>
      </c>
      <c r="D745">
        <v>18026</v>
      </c>
      <c r="E745">
        <v>19313</v>
      </c>
      <c r="F745">
        <v>18124</v>
      </c>
      <c r="G745">
        <v>18791</v>
      </c>
      <c r="H745">
        <v>18144</v>
      </c>
      <c r="I745">
        <v>18824</v>
      </c>
      <c r="J745">
        <v>19803</v>
      </c>
      <c r="K745">
        <v>20101</v>
      </c>
      <c r="L745">
        <v>19739</v>
      </c>
      <c r="M745">
        <v>19133</v>
      </c>
      <c r="N745">
        <v>18402</v>
      </c>
      <c r="O745">
        <v>17666</v>
      </c>
    </row>
    <row r="746" spans="1:16">
      <c r="A746" t="str">
        <f t="shared" si="10"/>
        <v>METROGCP DATE</v>
      </c>
      <c r="B746" t="s">
        <v>15</v>
      </c>
      <c r="C746" t="s">
        <v>136</v>
      </c>
      <c r="D746" t="s">
        <v>610</v>
      </c>
      <c r="E746" t="s">
        <v>615</v>
      </c>
      <c r="F746" t="s">
        <v>668</v>
      </c>
      <c r="G746" t="s">
        <v>303</v>
      </c>
      <c r="H746" t="s">
        <v>669</v>
      </c>
      <c r="I746" t="s">
        <v>670</v>
      </c>
      <c r="J746" t="s">
        <v>253</v>
      </c>
      <c r="K746" t="s">
        <v>258</v>
      </c>
      <c r="L746" t="s">
        <v>281</v>
      </c>
      <c r="M746" t="s">
        <v>607</v>
      </c>
      <c r="N746" t="s">
        <v>317</v>
      </c>
      <c r="O746" t="s">
        <v>315</v>
      </c>
    </row>
    <row r="747" spans="1:16">
      <c r="A747" t="str">
        <f t="shared" si="10"/>
        <v>METROGCP TIME</v>
      </c>
      <c r="B747" t="s">
        <v>15</v>
      </c>
      <c r="C747" t="s">
        <v>142</v>
      </c>
      <c r="D747" t="s">
        <v>196</v>
      </c>
      <c r="E747" t="s">
        <v>196</v>
      </c>
      <c r="F747" t="s">
        <v>196</v>
      </c>
      <c r="G747" t="s">
        <v>196</v>
      </c>
      <c r="H747" t="s">
        <v>203</v>
      </c>
      <c r="I747" t="s">
        <v>196</v>
      </c>
      <c r="J747" t="s">
        <v>196</v>
      </c>
      <c r="K747" t="s">
        <v>196</v>
      </c>
      <c r="L747" t="s">
        <v>196</v>
      </c>
      <c r="M747" t="s">
        <v>196</v>
      </c>
      <c r="N747" t="s">
        <v>196</v>
      </c>
      <c r="O747" t="s">
        <v>196</v>
      </c>
    </row>
    <row r="748" spans="1:16">
      <c r="A748" t="str">
        <f t="shared" si="10"/>
        <v>METROGCP</v>
      </c>
      <c r="B748" t="s">
        <v>15</v>
      </c>
      <c r="C748" t="s">
        <v>147</v>
      </c>
      <c r="D748">
        <v>15931</v>
      </c>
      <c r="E748">
        <v>16334</v>
      </c>
      <c r="F748">
        <v>16009</v>
      </c>
      <c r="G748">
        <v>15901</v>
      </c>
      <c r="H748">
        <v>16016</v>
      </c>
      <c r="I748">
        <v>16493</v>
      </c>
      <c r="J748">
        <v>16494</v>
      </c>
      <c r="K748">
        <v>16573</v>
      </c>
      <c r="L748">
        <v>16315</v>
      </c>
      <c r="M748">
        <v>16308</v>
      </c>
      <c r="N748">
        <v>16525</v>
      </c>
      <c r="O748">
        <v>15723</v>
      </c>
    </row>
    <row r="749" spans="1:16">
      <c r="A749" t="str">
        <f t="shared" si="10"/>
        <v>METROGCP ONPK</v>
      </c>
      <c r="B749" t="s">
        <v>15</v>
      </c>
      <c r="C749" t="s">
        <v>63</v>
      </c>
      <c r="D749">
        <v>14485</v>
      </c>
      <c r="E749">
        <v>15505</v>
      </c>
      <c r="F749">
        <v>14988</v>
      </c>
      <c r="G749">
        <v>15901</v>
      </c>
      <c r="H749">
        <v>15942</v>
      </c>
      <c r="I749">
        <v>16493</v>
      </c>
      <c r="J749">
        <v>16494</v>
      </c>
      <c r="K749">
        <v>16573</v>
      </c>
      <c r="L749">
        <v>16315</v>
      </c>
      <c r="M749">
        <v>16308</v>
      </c>
      <c r="N749">
        <v>15718</v>
      </c>
      <c r="O749">
        <v>15003</v>
      </c>
    </row>
    <row r="750" spans="1:16">
      <c r="A750" t="str">
        <f t="shared" si="10"/>
        <v>METROGCP OFFPK</v>
      </c>
      <c r="B750" t="s">
        <v>15</v>
      </c>
      <c r="C750" t="s">
        <v>64</v>
      </c>
      <c r="D750">
        <v>15931</v>
      </c>
      <c r="E750">
        <v>16334</v>
      </c>
      <c r="F750">
        <v>16009</v>
      </c>
      <c r="G750">
        <v>15852</v>
      </c>
      <c r="H750">
        <v>16016</v>
      </c>
      <c r="I750">
        <v>15931</v>
      </c>
      <c r="J750">
        <v>16147</v>
      </c>
      <c r="K750">
        <v>16351</v>
      </c>
      <c r="L750">
        <v>16253</v>
      </c>
      <c r="M750">
        <v>16195</v>
      </c>
      <c r="N750">
        <v>16525</v>
      </c>
      <c r="O750">
        <v>15723</v>
      </c>
    </row>
    <row r="751" spans="1:16">
      <c r="A751" t="str">
        <f t="shared" ref="A751:A814" si="11">B751&amp;C751</f>
        <v>METROCP</v>
      </c>
      <c r="B751" t="s">
        <v>15</v>
      </c>
      <c r="C751" t="s">
        <v>148</v>
      </c>
      <c r="D751">
        <v>12924</v>
      </c>
      <c r="E751">
        <v>12611</v>
      </c>
      <c r="F751">
        <v>9034</v>
      </c>
      <c r="G751">
        <v>13327</v>
      </c>
      <c r="H751">
        <v>15147</v>
      </c>
      <c r="I751">
        <v>13525</v>
      </c>
      <c r="J751">
        <v>15710</v>
      </c>
      <c r="K751">
        <v>15115</v>
      </c>
      <c r="L751">
        <v>15833</v>
      </c>
      <c r="M751">
        <v>14209</v>
      </c>
      <c r="N751">
        <v>12357</v>
      </c>
      <c r="O751">
        <v>11987</v>
      </c>
    </row>
    <row r="752" spans="1:16">
      <c r="A752" t="str">
        <f t="shared" si="11"/>
        <v>METROPERIOD START</v>
      </c>
      <c r="B752" t="s">
        <v>15</v>
      </c>
      <c r="C752" t="s">
        <v>149</v>
      </c>
      <c r="D752" s="1">
        <v>41640</v>
      </c>
      <c r="E752" s="1">
        <v>41671</v>
      </c>
      <c r="F752" s="1">
        <v>41699</v>
      </c>
      <c r="G752" s="1">
        <v>41730</v>
      </c>
      <c r="H752" s="1">
        <v>41760</v>
      </c>
      <c r="I752" s="1">
        <v>41791</v>
      </c>
      <c r="J752" s="1">
        <v>41821</v>
      </c>
      <c r="K752" s="1">
        <v>41852</v>
      </c>
      <c r="L752" s="1">
        <v>41883</v>
      </c>
      <c r="M752" s="1">
        <v>41913</v>
      </c>
      <c r="N752" s="1">
        <v>41944</v>
      </c>
      <c r="O752" s="1">
        <v>41974</v>
      </c>
      <c r="P752" s="1"/>
    </row>
    <row r="753" spans="1:16">
      <c r="A753" t="str">
        <f t="shared" si="11"/>
        <v>METRONCP LF</v>
      </c>
      <c r="B753" t="s">
        <v>15</v>
      </c>
      <c r="C753" t="s">
        <v>150</v>
      </c>
      <c r="D753" s="5">
        <v>0.53680000000000005</v>
      </c>
      <c r="E753" s="5">
        <v>0.50460000000000005</v>
      </c>
      <c r="F753" s="5">
        <v>0.55159999999999998</v>
      </c>
      <c r="G753" s="5">
        <v>0.53810000000000002</v>
      </c>
      <c r="H753" s="5">
        <v>0.55889999999999995</v>
      </c>
      <c r="I753" s="5">
        <v>0.55769999999999997</v>
      </c>
      <c r="J753" s="5">
        <v>0.53739999999999999</v>
      </c>
      <c r="K753" s="5">
        <v>0.53069999999999995</v>
      </c>
      <c r="L753" s="5">
        <v>0.53459999999999996</v>
      </c>
      <c r="M753" s="5">
        <v>0.53769999999999996</v>
      </c>
      <c r="N753" s="5">
        <v>0.51300000000000001</v>
      </c>
      <c r="O753" s="5">
        <v>0.55520000000000003</v>
      </c>
      <c r="P753" s="5"/>
    </row>
    <row r="754" spans="1:16">
      <c r="A754" t="str">
        <f t="shared" si="11"/>
        <v>METRONCP LF ONPK</v>
      </c>
      <c r="B754" t="s">
        <v>15</v>
      </c>
      <c r="C754" t="s">
        <v>151</v>
      </c>
      <c r="D754" s="5">
        <v>0.69730000000000003</v>
      </c>
      <c r="E754" s="5">
        <v>0.64559999999999995</v>
      </c>
      <c r="F754" s="5">
        <v>0.72970000000000002</v>
      </c>
      <c r="G754" s="5">
        <v>0.69469999999999998</v>
      </c>
      <c r="H754" s="5">
        <v>0.70679999999999998</v>
      </c>
      <c r="I754" s="5">
        <v>0.70789999999999997</v>
      </c>
      <c r="J754" s="5">
        <v>0.68720000000000003</v>
      </c>
      <c r="K754" s="5">
        <v>0.69379999999999997</v>
      </c>
      <c r="L754" s="5">
        <v>0.69810000000000005</v>
      </c>
      <c r="M754" s="5">
        <v>0.69269999999999998</v>
      </c>
      <c r="N754" s="5">
        <v>0.68769999999999998</v>
      </c>
      <c r="O754" s="5">
        <v>0.73529999999999995</v>
      </c>
      <c r="P754" s="5"/>
    </row>
    <row r="755" spans="1:16">
      <c r="A755" t="str">
        <f t="shared" si="11"/>
        <v>METRONCP LF OFFPK</v>
      </c>
      <c r="B755" t="s">
        <v>15</v>
      </c>
      <c r="C755" t="s">
        <v>152</v>
      </c>
      <c r="D755" s="5">
        <v>0.50439999999999996</v>
      </c>
      <c r="E755" s="5">
        <v>0.47389999999999999</v>
      </c>
      <c r="F755" s="5">
        <v>0.51759999999999995</v>
      </c>
      <c r="G755" s="5">
        <v>0.51529999999999998</v>
      </c>
      <c r="H755" s="5">
        <v>0.55100000000000005</v>
      </c>
      <c r="I755" s="5">
        <v>0.53490000000000004</v>
      </c>
      <c r="J755" s="5">
        <v>0.5141</v>
      </c>
      <c r="K755" s="5">
        <v>0.50149999999999995</v>
      </c>
      <c r="L755" s="5">
        <v>0.50419999999999998</v>
      </c>
      <c r="M755" s="5">
        <v>0.50370000000000004</v>
      </c>
      <c r="N755" s="5">
        <v>0.48470000000000002</v>
      </c>
      <c r="O755" s="5">
        <v>0.51600000000000001</v>
      </c>
      <c r="P755" s="5"/>
    </row>
    <row r="756" spans="1:16">
      <c r="A756" t="str">
        <f t="shared" si="11"/>
        <v>METROGCP CF</v>
      </c>
      <c r="B756" t="s">
        <v>15</v>
      </c>
      <c r="C756" t="s">
        <v>153</v>
      </c>
      <c r="D756" s="5">
        <v>0.87450000000000006</v>
      </c>
      <c r="E756" s="5">
        <v>0.83640000000000003</v>
      </c>
      <c r="F756" s="5">
        <v>0.87319999999999998</v>
      </c>
      <c r="G756" s="5">
        <v>0.80979999999999996</v>
      </c>
      <c r="H756" s="5">
        <v>0.82969999999999999</v>
      </c>
      <c r="I756" s="5">
        <v>0.84189999999999998</v>
      </c>
      <c r="J756" s="5">
        <v>0.80159999999999998</v>
      </c>
      <c r="K756" s="5">
        <v>0.79869999999999997</v>
      </c>
      <c r="L756" s="5">
        <v>0.80110000000000003</v>
      </c>
      <c r="M756" s="5">
        <v>0.82579999999999998</v>
      </c>
      <c r="N756" s="5">
        <v>0.87749999999999995</v>
      </c>
      <c r="O756" s="5">
        <v>0.8831</v>
      </c>
      <c r="P756" s="5"/>
    </row>
    <row r="757" spans="1:16">
      <c r="A757" t="str">
        <f t="shared" si="11"/>
        <v>METROCP CF</v>
      </c>
      <c r="B757" t="s">
        <v>15</v>
      </c>
      <c r="C757" t="s">
        <v>154</v>
      </c>
      <c r="D757" s="5">
        <v>0.70940000000000003</v>
      </c>
      <c r="E757" s="5">
        <v>0.64570000000000005</v>
      </c>
      <c r="F757" s="5">
        <v>0.49270000000000003</v>
      </c>
      <c r="G757" s="5">
        <v>0.67869999999999997</v>
      </c>
      <c r="H757" s="5">
        <v>0.78469999999999995</v>
      </c>
      <c r="I757" s="5">
        <v>0.69040000000000001</v>
      </c>
      <c r="J757" s="5">
        <v>0.76349999999999996</v>
      </c>
      <c r="K757" s="5">
        <v>0.72850000000000004</v>
      </c>
      <c r="L757" s="5">
        <v>0.77739999999999998</v>
      </c>
      <c r="M757" s="5">
        <v>0.71950000000000003</v>
      </c>
      <c r="N757" s="5">
        <v>0.65610000000000002</v>
      </c>
      <c r="O757" s="5">
        <v>0.67330000000000001</v>
      </c>
      <c r="P757" s="5"/>
    </row>
    <row r="758" spans="1:16">
      <c r="A758" t="str">
        <f t="shared" si="11"/>
        <v>METROGCP LF</v>
      </c>
      <c r="B758" t="s">
        <v>15</v>
      </c>
      <c r="C758" t="s">
        <v>155</v>
      </c>
      <c r="D758" s="5">
        <v>0.6139</v>
      </c>
      <c r="E758" s="5">
        <v>0.60340000000000005</v>
      </c>
      <c r="F758" s="5">
        <v>0.63170000000000004</v>
      </c>
      <c r="G758" s="5">
        <v>0.66449999999999998</v>
      </c>
      <c r="H758" s="5">
        <v>0.67349999999999999</v>
      </c>
      <c r="I758" s="5">
        <v>0.66239999999999999</v>
      </c>
      <c r="J758" s="5">
        <v>0.6704</v>
      </c>
      <c r="K758" s="5">
        <v>0.66449999999999998</v>
      </c>
      <c r="L758" s="5">
        <v>0.66739999999999999</v>
      </c>
      <c r="M758" s="5">
        <v>0.65110000000000001</v>
      </c>
      <c r="N758" s="5">
        <v>0.58460000000000001</v>
      </c>
      <c r="O758" s="5">
        <v>0.62870000000000004</v>
      </c>
      <c r="P758" s="5"/>
    </row>
    <row r="759" spans="1:16">
      <c r="A759" t="str">
        <f t="shared" si="11"/>
        <v>METROGCP LF ONPK</v>
      </c>
      <c r="B759" t="s">
        <v>15</v>
      </c>
      <c r="C759" t="s">
        <v>156</v>
      </c>
      <c r="D759" s="5">
        <v>0.82830000000000004</v>
      </c>
      <c r="E759" s="5">
        <v>0.78069999999999995</v>
      </c>
      <c r="F759" s="5">
        <v>0.84189999999999998</v>
      </c>
      <c r="G759" s="5">
        <v>0.81089999999999995</v>
      </c>
      <c r="H759" s="5">
        <v>0.82230000000000003</v>
      </c>
      <c r="I759" s="5">
        <v>0.80830000000000002</v>
      </c>
      <c r="J759" s="5">
        <v>0.81699999999999995</v>
      </c>
      <c r="K759" s="5">
        <v>0.82950000000000002</v>
      </c>
      <c r="L759" s="5">
        <v>0.8286</v>
      </c>
      <c r="M759" s="5">
        <v>0.80730000000000002</v>
      </c>
      <c r="N759" s="5">
        <v>0.79059999999999997</v>
      </c>
      <c r="O759" s="5">
        <v>0.82450000000000001</v>
      </c>
      <c r="P759" s="5"/>
    </row>
    <row r="760" spans="1:16">
      <c r="A760" t="str">
        <f t="shared" si="11"/>
        <v>METROGCP LF OFFPK</v>
      </c>
      <c r="B760" t="s">
        <v>15</v>
      </c>
      <c r="C760" t="s">
        <v>157</v>
      </c>
      <c r="D760" s="5">
        <v>0.57069999999999999</v>
      </c>
      <c r="E760" s="5">
        <v>0.56030000000000002</v>
      </c>
      <c r="F760" s="5">
        <v>0.58589999999999998</v>
      </c>
      <c r="G760" s="5">
        <v>0.61080000000000001</v>
      </c>
      <c r="H760" s="5">
        <v>0.62419999999999998</v>
      </c>
      <c r="I760" s="5">
        <v>0.63200000000000001</v>
      </c>
      <c r="J760" s="5">
        <v>0.63039999999999996</v>
      </c>
      <c r="K760" s="5">
        <v>0.61650000000000005</v>
      </c>
      <c r="L760" s="5">
        <v>0.61229999999999996</v>
      </c>
      <c r="M760" s="5">
        <v>0.59499999999999997</v>
      </c>
      <c r="N760" s="5">
        <v>0.53979999999999995</v>
      </c>
      <c r="O760" s="5">
        <v>0.57969999999999999</v>
      </c>
      <c r="P760" s="5"/>
    </row>
    <row r="761" spans="1:16">
      <c r="A761" t="str">
        <f t="shared" si="11"/>
        <v>METROCP LF</v>
      </c>
      <c r="B761" t="s">
        <v>15</v>
      </c>
      <c r="C761" t="s">
        <v>158</v>
      </c>
      <c r="D761" s="5">
        <v>0.75670000000000004</v>
      </c>
      <c r="E761" s="5">
        <v>0.78149999999999997</v>
      </c>
      <c r="F761" s="5">
        <v>1.1194</v>
      </c>
      <c r="G761" s="5">
        <v>0.79279999999999995</v>
      </c>
      <c r="H761" s="5">
        <v>0.71220000000000006</v>
      </c>
      <c r="I761" s="5">
        <v>0.80779999999999996</v>
      </c>
      <c r="J761" s="5">
        <v>0.70379999999999998</v>
      </c>
      <c r="K761" s="5">
        <v>0.72850000000000004</v>
      </c>
      <c r="L761" s="5">
        <v>0.68769999999999998</v>
      </c>
      <c r="M761" s="5">
        <v>0.74729999999999996</v>
      </c>
      <c r="N761" s="5">
        <v>0.78180000000000005</v>
      </c>
      <c r="O761" s="5">
        <v>0.82469999999999999</v>
      </c>
      <c r="P761" s="5"/>
    </row>
    <row r="762" spans="1:16">
      <c r="A762" t="str">
        <f t="shared" si="11"/>
        <v>METROREL PREC:</v>
      </c>
      <c r="B762" t="s">
        <v>15</v>
      </c>
      <c r="C762" t="s">
        <v>65</v>
      </c>
    </row>
    <row r="763" spans="1:16">
      <c r="A763" t="str">
        <f t="shared" si="11"/>
        <v>METRONCP RP</v>
      </c>
      <c r="B763" t="s">
        <v>15</v>
      </c>
      <c r="C763" t="s">
        <v>159</v>
      </c>
      <c r="D763" s="5">
        <v>5.4399999999999997E-2</v>
      </c>
      <c r="E763" s="5">
        <v>0</v>
      </c>
      <c r="F763" s="5">
        <v>0</v>
      </c>
      <c r="G763" s="5">
        <v>6.4000000000000001E-2</v>
      </c>
      <c r="H763" s="5">
        <v>7.3200000000000001E-2</v>
      </c>
      <c r="I763" s="5">
        <v>4.0300000000000002E-2</v>
      </c>
      <c r="J763" s="5">
        <v>0</v>
      </c>
      <c r="K763" s="5">
        <v>0</v>
      </c>
      <c r="L763" s="5">
        <v>0</v>
      </c>
      <c r="M763" s="5">
        <v>0</v>
      </c>
      <c r="N763" s="5">
        <v>0</v>
      </c>
      <c r="O763" s="5">
        <v>0</v>
      </c>
      <c r="P763" s="5"/>
    </row>
    <row r="764" spans="1:16">
      <c r="A764" t="str">
        <f t="shared" si="11"/>
        <v>METRONCP RP ONPK</v>
      </c>
      <c r="B764" t="s">
        <v>15</v>
      </c>
      <c r="C764" t="s">
        <v>160</v>
      </c>
      <c r="D764" s="5">
        <v>5.33E-2</v>
      </c>
      <c r="E764" s="5">
        <v>0</v>
      </c>
      <c r="F764" s="5">
        <v>0</v>
      </c>
      <c r="G764" s="5">
        <v>6.2899999999999998E-2</v>
      </c>
      <c r="H764" s="5">
        <v>6.6500000000000004E-2</v>
      </c>
      <c r="I764" s="5">
        <v>3.6499999999999998E-2</v>
      </c>
      <c r="J764" s="5">
        <v>0</v>
      </c>
      <c r="K764" s="5">
        <v>0</v>
      </c>
      <c r="L764" s="5">
        <v>0</v>
      </c>
      <c r="M764" s="5">
        <v>0</v>
      </c>
      <c r="N764" s="5">
        <v>0</v>
      </c>
      <c r="O764" s="5">
        <v>0</v>
      </c>
      <c r="P764" s="5"/>
    </row>
    <row r="765" spans="1:16">
      <c r="A765" t="str">
        <f t="shared" si="11"/>
        <v>METRONCP RP OFFPK</v>
      </c>
      <c r="B765" t="s">
        <v>15</v>
      </c>
      <c r="C765" t="s">
        <v>161</v>
      </c>
      <c r="D765" s="5">
        <v>5.4899999999999997E-2</v>
      </c>
      <c r="E765" s="5">
        <v>0</v>
      </c>
      <c r="F765" s="5">
        <v>0</v>
      </c>
      <c r="G765" s="5">
        <v>6.4699999999999994E-2</v>
      </c>
      <c r="H765" s="5">
        <v>7.7899999999999997E-2</v>
      </c>
      <c r="I765" s="5">
        <v>4.1700000000000001E-2</v>
      </c>
      <c r="J765" s="5">
        <v>0</v>
      </c>
      <c r="K765" s="5">
        <v>0</v>
      </c>
      <c r="L765" s="5">
        <v>0</v>
      </c>
      <c r="M765" s="5">
        <v>0</v>
      </c>
      <c r="N765" s="5">
        <v>0</v>
      </c>
      <c r="O765" s="5">
        <v>0</v>
      </c>
      <c r="P765" s="5"/>
    </row>
    <row r="766" spans="1:16">
      <c r="A766" t="str">
        <f t="shared" si="11"/>
        <v>METROGCP RP</v>
      </c>
      <c r="B766" t="s">
        <v>15</v>
      </c>
      <c r="C766" t="s">
        <v>162</v>
      </c>
      <c r="D766" s="5">
        <v>5.1799999999999999E-2</v>
      </c>
      <c r="E766" s="5">
        <v>0</v>
      </c>
      <c r="F766" s="5">
        <v>0</v>
      </c>
      <c r="G766" s="5">
        <v>7.0599999999999996E-2</v>
      </c>
      <c r="H766" s="5">
        <v>6.7400000000000002E-2</v>
      </c>
      <c r="I766" s="5">
        <v>3.5999999999999997E-2</v>
      </c>
      <c r="J766" s="5">
        <v>0</v>
      </c>
      <c r="K766" s="5">
        <v>0</v>
      </c>
      <c r="L766" s="5">
        <v>0</v>
      </c>
      <c r="M766" s="5">
        <v>0</v>
      </c>
      <c r="N766" s="5">
        <v>0</v>
      </c>
      <c r="O766" s="5">
        <v>0</v>
      </c>
      <c r="P766" s="5"/>
    </row>
    <row r="767" spans="1:16">
      <c r="A767" t="str">
        <f t="shared" si="11"/>
        <v>METROGCP RP ONPK</v>
      </c>
      <c r="B767" t="s">
        <v>15</v>
      </c>
      <c r="C767" t="s">
        <v>163</v>
      </c>
      <c r="D767" s="5">
        <v>5.04E-2</v>
      </c>
      <c r="E767" s="5">
        <v>0</v>
      </c>
      <c r="F767" s="5">
        <v>0</v>
      </c>
      <c r="G767" s="5">
        <v>7.0599999999999996E-2</v>
      </c>
      <c r="H767" s="5">
        <v>6.6400000000000001E-2</v>
      </c>
      <c r="I767" s="5">
        <v>3.5999999999999997E-2</v>
      </c>
      <c r="J767" s="5">
        <v>0</v>
      </c>
      <c r="K767" s="5">
        <v>0</v>
      </c>
      <c r="L767" s="5">
        <v>0</v>
      </c>
      <c r="M767" s="5">
        <v>0</v>
      </c>
      <c r="N767" s="5">
        <v>0</v>
      </c>
      <c r="O767" s="5">
        <v>0</v>
      </c>
      <c r="P767" s="5"/>
    </row>
    <row r="768" spans="1:16">
      <c r="A768" t="str">
        <f t="shared" si="11"/>
        <v>METROGCP RP OFFPK</v>
      </c>
      <c r="B768" t="s">
        <v>15</v>
      </c>
      <c r="C768" t="s">
        <v>164</v>
      </c>
      <c r="D768" s="5">
        <v>5.1799999999999999E-2</v>
      </c>
      <c r="E768" s="5">
        <v>0</v>
      </c>
      <c r="F768" s="5">
        <v>0</v>
      </c>
      <c r="G768" s="5">
        <v>6.3500000000000001E-2</v>
      </c>
      <c r="H768" s="5">
        <v>6.7400000000000002E-2</v>
      </c>
      <c r="I768" s="5">
        <v>3.6600000000000001E-2</v>
      </c>
      <c r="J768" s="5">
        <v>0</v>
      </c>
      <c r="K768" s="5">
        <v>0</v>
      </c>
      <c r="L768" s="5">
        <v>0</v>
      </c>
      <c r="M768" s="5">
        <v>0</v>
      </c>
      <c r="N768" s="5">
        <v>0</v>
      </c>
      <c r="O768" s="5">
        <v>0</v>
      </c>
      <c r="P768" s="5"/>
    </row>
    <row r="769" spans="1:16">
      <c r="A769" t="str">
        <f t="shared" si="11"/>
        <v>METROCP RP</v>
      </c>
      <c r="B769" t="s">
        <v>15</v>
      </c>
      <c r="C769" t="s">
        <v>165</v>
      </c>
      <c r="D769" s="5">
        <v>5.0500000000000003E-2</v>
      </c>
      <c r="E769" s="5">
        <v>0</v>
      </c>
      <c r="F769" s="5">
        <v>0</v>
      </c>
      <c r="G769" s="5">
        <v>6.2399999999999997E-2</v>
      </c>
      <c r="H769" s="5">
        <v>7.5600000000000001E-2</v>
      </c>
      <c r="I769" s="5">
        <v>4.4999999999999998E-2</v>
      </c>
      <c r="J769" s="5">
        <v>0</v>
      </c>
      <c r="K769" s="5">
        <v>0</v>
      </c>
      <c r="L769" s="5">
        <v>0</v>
      </c>
      <c r="M769" s="5">
        <v>0</v>
      </c>
      <c r="N769" s="5">
        <v>0</v>
      </c>
      <c r="O769" s="5">
        <v>0</v>
      </c>
      <c r="P769" s="5"/>
    </row>
    <row r="770" spans="1:16">
      <c r="A770" t="str">
        <f t="shared" si="11"/>
        <v>METROSAMPLE SIZE:</v>
      </c>
      <c r="B770" t="s">
        <v>15</v>
      </c>
      <c r="C770" t="s">
        <v>66</v>
      </c>
    </row>
    <row r="771" spans="1:16">
      <c r="A771" t="str">
        <f t="shared" si="11"/>
        <v>METROGCPSZ</v>
      </c>
      <c r="B771" t="s">
        <v>15</v>
      </c>
      <c r="C771" t="s">
        <v>166</v>
      </c>
      <c r="D771">
        <v>25</v>
      </c>
      <c r="E771">
        <v>27</v>
      </c>
      <c r="F771">
        <v>27</v>
      </c>
      <c r="G771">
        <v>25</v>
      </c>
      <c r="H771">
        <v>24</v>
      </c>
      <c r="I771">
        <v>26</v>
      </c>
      <c r="J771">
        <v>27</v>
      </c>
      <c r="K771">
        <v>27</v>
      </c>
      <c r="L771">
        <v>27</v>
      </c>
      <c r="M771">
        <v>27</v>
      </c>
      <c r="N771">
        <v>27</v>
      </c>
      <c r="O771">
        <v>27</v>
      </c>
    </row>
    <row r="772" spans="1:16">
      <c r="A772" t="str">
        <f t="shared" si="11"/>
        <v>METROGCPSZ ONPK</v>
      </c>
      <c r="B772" t="s">
        <v>15</v>
      </c>
      <c r="C772" t="s">
        <v>167</v>
      </c>
      <c r="D772">
        <v>25</v>
      </c>
      <c r="E772">
        <v>27</v>
      </c>
      <c r="F772">
        <v>27</v>
      </c>
      <c r="G772">
        <v>25</v>
      </c>
      <c r="H772">
        <v>24</v>
      </c>
      <c r="I772">
        <v>26</v>
      </c>
      <c r="J772">
        <v>27</v>
      </c>
      <c r="K772">
        <v>27</v>
      </c>
      <c r="L772">
        <v>27</v>
      </c>
      <c r="M772">
        <v>27</v>
      </c>
      <c r="N772">
        <v>27</v>
      </c>
      <c r="O772">
        <v>27</v>
      </c>
    </row>
    <row r="773" spans="1:16">
      <c r="A773" t="str">
        <f t="shared" si="11"/>
        <v>METROGCPSZ OFFPK</v>
      </c>
      <c r="B773" t="s">
        <v>15</v>
      </c>
      <c r="C773" t="s">
        <v>168</v>
      </c>
      <c r="D773">
        <v>25</v>
      </c>
      <c r="E773">
        <v>27</v>
      </c>
      <c r="F773">
        <v>27</v>
      </c>
      <c r="G773">
        <v>25</v>
      </c>
      <c r="H773">
        <v>24</v>
      </c>
      <c r="I773">
        <v>26</v>
      </c>
      <c r="J773">
        <v>27</v>
      </c>
      <c r="K773">
        <v>27</v>
      </c>
      <c r="L773">
        <v>27</v>
      </c>
      <c r="M773">
        <v>27</v>
      </c>
      <c r="N773">
        <v>27</v>
      </c>
      <c r="O773">
        <v>27</v>
      </c>
    </row>
    <row r="774" spans="1:16">
      <c r="A774" t="str">
        <f t="shared" si="11"/>
        <v>METROCPSZ</v>
      </c>
      <c r="B774" t="s">
        <v>15</v>
      </c>
      <c r="C774" t="s">
        <v>169</v>
      </c>
      <c r="D774">
        <v>25</v>
      </c>
      <c r="E774">
        <v>27</v>
      </c>
      <c r="F774">
        <v>27</v>
      </c>
      <c r="G774">
        <v>25</v>
      </c>
      <c r="H774">
        <v>24</v>
      </c>
      <c r="I774">
        <v>26</v>
      </c>
      <c r="J774">
        <v>27</v>
      </c>
      <c r="K774">
        <v>27</v>
      </c>
      <c r="L774">
        <v>27</v>
      </c>
      <c r="M774">
        <v>27</v>
      </c>
      <c r="N774">
        <v>27</v>
      </c>
      <c r="O774">
        <v>27</v>
      </c>
    </row>
    <row r="775" spans="1:16">
      <c r="A775" t="str">
        <f t="shared" si="11"/>
        <v/>
      </c>
    </row>
    <row r="776" spans="1:16">
      <c r="A776" t="str">
        <f t="shared" si="11"/>
        <v/>
      </c>
    </row>
    <row r="777" spans="1:16">
      <c r="A777" t="str">
        <f t="shared" si="11"/>
        <v/>
      </c>
    </row>
    <row r="778" spans="1:16">
      <c r="A778" t="str">
        <f t="shared" si="11"/>
        <v xml:space="preserve">NEWSMYRNA Wholesale Utilities Commission. City of New Smyrna Beach </v>
      </c>
      <c r="B778" t="s">
        <v>671</v>
      </c>
      <c r="C778" t="s">
        <v>672</v>
      </c>
    </row>
    <row r="779" spans="1:16">
      <c r="A779" t="str">
        <f t="shared" si="11"/>
        <v xml:space="preserve">NEWSMYRNAMONTH </v>
      </c>
      <c r="B779" t="s">
        <v>673</v>
      </c>
      <c r="C779" t="s">
        <v>123</v>
      </c>
      <c r="D779" s="4">
        <v>41640</v>
      </c>
      <c r="E779" s="4">
        <v>41671</v>
      </c>
      <c r="F779" s="4">
        <v>41699</v>
      </c>
      <c r="G779" s="4">
        <v>41730</v>
      </c>
      <c r="H779" s="4">
        <v>41760</v>
      </c>
      <c r="I779" s="4">
        <v>41791</v>
      </c>
      <c r="J779" s="4">
        <v>41821</v>
      </c>
      <c r="K779" s="4">
        <v>41852</v>
      </c>
      <c r="L779" s="4">
        <v>41883</v>
      </c>
      <c r="M779" s="4">
        <v>41913</v>
      </c>
      <c r="N779" s="4">
        <v>41944</v>
      </c>
      <c r="O779" s="4">
        <v>41974</v>
      </c>
      <c r="P779" s="4"/>
    </row>
    <row r="780" spans="1:16">
      <c r="A780" t="str">
        <f t="shared" si="11"/>
        <v xml:space="preserve">NEWSMYRNACUSTOMERS </v>
      </c>
      <c r="B780" t="s">
        <v>673</v>
      </c>
      <c r="C780" t="s">
        <v>124</v>
      </c>
      <c r="E780">
        <v>3</v>
      </c>
      <c r="F780">
        <v>3</v>
      </c>
      <c r="G780">
        <v>3</v>
      </c>
      <c r="H780">
        <v>3</v>
      </c>
      <c r="I780">
        <v>3</v>
      </c>
      <c r="J780">
        <v>2</v>
      </c>
      <c r="K780">
        <v>2</v>
      </c>
      <c r="L780">
        <v>2</v>
      </c>
      <c r="M780">
        <v>2</v>
      </c>
      <c r="N780">
        <v>2</v>
      </c>
      <c r="O780">
        <v>2</v>
      </c>
    </row>
    <row r="781" spans="1:16">
      <c r="A781" t="str">
        <f t="shared" si="11"/>
        <v xml:space="preserve">NEWSMYRNASALES </v>
      </c>
      <c r="B781" t="s">
        <v>673</v>
      </c>
      <c r="C781" t="s">
        <v>125</v>
      </c>
      <c r="E781">
        <v>16537000</v>
      </c>
      <c r="F781">
        <v>34099000</v>
      </c>
      <c r="G781">
        <v>31857000</v>
      </c>
      <c r="H781">
        <v>22587000</v>
      </c>
      <c r="I781">
        <v>31565000</v>
      </c>
      <c r="J781">
        <v>39650000</v>
      </c>
      <c r="K781">
        <v>41742000</v>
      </c>
      <c r="L781">
        <v>42082000</v>
      </c>
      <c r="M781">
        <v>34460000</v>
      </c>
      <c r="N781">
        <v>31168000</v>
      </c>
      <c r="O781">
        <v>23287000</v>
      </c>
    </row>
    <row r="782" spans="1:16">
      <c r="A782" t="str">
        <f t="shared" si="11"/>
        <v>NEWSMYRNAKW</v>
      </c>
      <c r="B782" t="s">
        <v>673</v>
      </c>
      <c r="C782" t="s">
        <v>126</v>
      </c>
    </row>
    <row r="783" spans="1:16">
      <c r="A783" t="str">
        <f t="shared" si="11"/>
        <v>NEWSMYRNAN</v>
      </c>
      <c r="B783" t="s">
        <v>673</v>
      </c>
      <c r="C783" t="s">
        <v>127</v>
      </c>
      <c r="E783">
        <v>1</v>
      </c>
      <c r="F783">
        <v>1</v>
      </c>
      <c r="G783">
        <v>1</v>
      </c>
      <c r="H783">
        <v>1</v>
      </c>
      <c r="I783">
        <v>1</v>
      </c>
      <c r="J783">
        <v>1</v>
      </c>
      <c r="K783">
        <v>1</v>
      </c>
      <c r="L783">
        <v>1</v>
      </c>
      <c r="M783">
        <v>1</v>
      </c>
      <c r="N783">
        <v>1</v>
      </c>
      <c r="O783">
        <v>1</v>
      </c>
    </row>
    <row r="784" spans="1:16">
      <c r="A784" t="str">
        <f t="shared" si="11"/>
        <v>NEWSMYRNARLR ENERGY:</v>
      </c>
      <c r="B784" t="s">
        <v>673</v>
      </c>
      <c r="C784" t="s">
        <v>61</v>
      </c>
    </row>
    <row r="785" spans="1:16">
      <c r="A785" t="str">
        <f t="shared" si="11"/>
        <v>NEWSMYRNAKWH</v>
      </c>
      <c r="B785" t="s">
        <v>673</v>
      </c>
      <c r="C785" t="s">
        <v>128</v>
      </c>
      <c r="E785">
        <v>18643000</v>
      </c>
      <c r="F785">
        <v>14860000</v>
      </c>
      <c r="G785">
        <v>7200000</v>
      </c>
      <c r="H785">
        <v>14775000</v>
      </c>
      <c r="I785">
        <v>23090000</v>
      </c>
      <c r="J785">
        <v>24630000</v>
      </c>
      <c r="K785">
        <v>24970000</v>
      </c>
      <c r="L785">
        <v>17900000</v>
      </c>
      <c r="M785">
        <v>14585000</v>
      </c>
      <c r="N785">
        <v>7190000</v>
      </c>
      <c r="O785">
        <v>14375000</v>
      </c>
    </row>
    <row r="786" spans="1:16">
      <c r="A786" t="str">
        <f t="shared" si="11"/>
        <v>NEWSMYRNAKWH ONPK</v>
      </c>
      <c r="B786" t="s">
        <v>673</v>
      </c>
      <c r="C786" t="s">
        <v>129</v>
      </c>
      <c r="E786">
        <v>4960000</v>
      </c>
      <c r="F786">
        <v>3360000</v>
      </c>
      <c r="G786">
        <v>1980000</v>
      </c>
      <c r="H786">
        <v>3780000</v>
      </c>
      <c r="I786">
        <v>6615000</v>
      </c>
      <c r="J786">
        <v>6930000</v>
      </c>
      <c r="K786">
        <v>6615000</v>
      </c>
      <c r="L786">
        <v>4725000</v>
      </c>
      <c r="M786">
        <v>4140000</v>
      </c>
      <c r="N786">
        <v>1520000</v>
      </c>
      <c r="O786">
        <v>3520000</v>
      </c>
    </row>
    <row r="787" spans="1:16">
      <c r="A787" t="str">
        <f t="shared" si="11"/>
        <v>NEWSMYRNAKWH OFFPK</v>
      </c>
      <c r="B787" t="s">
        <v>673</v>
      </c>
      <c r="C787" t="s">
        <v>130</v>
      </c>
      <c r="E787">
        <v>13683000</v>
      </c>
      <c r="F787">
        <v>11500000</v>
      </c>
      <c r="G787">
        <v>5220000</v>
      </c>
      <c r="H787">
        <v>10995000</v>
      </c>
      <c r="I787">
        <v>16475000</v>
      </c>
      <c r="J787">
        <v>17700000</v>
      </c>
      <c r="K787">
        <v>18355000</v>
      </c>
      <c r="L787">
        <v>13175000</v>
      </c>
      <c r="M787">
        <v>10445000</v>
      </c>
      <c r="N787">
        <v>5670000</v>
      </c>
      <c r="O787">
        <v>10855000</v>
      </c>
    </row>
    <row r="788" spans="1:16">
      <c r="A788" t="str">
        <f t="shared" si="11"/>
        <v>NEWSMYRNAKWH ONPK%</v>
      </c>
      <c r="B788" t="s">
        <v>673</v>
      </c>
      <c r="C788" t="s">
        <v>131</v>
      </c>
      <c r="D788" s="5"/>
      <c r="E788" s="5">
        <v>0.26605000000000001</v>
      </c>
      <c r="F788" s="5">
        <v>0.22611000000000001</v>
      </c>
      <c r="G788" s="5">
        <v>0.27500000000000002</v>
      </c>
      <c r="H788" s="5">
        <v>0.25584000000000001</v>
      </c>
      <c r="I788" s="5">
        <v>0.28649000000000002</v>
      </c>
      <c r="J788" s="5">
        <v>0.28136</v>
      </c>
      <c r="K788" s="5">
        <v>0.26491999999999999</v>
      </c>
      <c r="L788" s="5">
        <v>0.26396999999999998</v>
      </c>
      <c r="M788" s="5">
        <v>0.28384999999999999</v>
      </c>
      <c r="N788" s="5">
        <v>0.2114</v>
      </c>
      <c r="O788" s="5">
        <v>0.24487</v>
      </c>
      <c r="P788" s="5"/>
    </row>
    <row r="789" spans="1:16">
      <c r="A789" t="str">
        <f t="shared" si="11"/>
        <v>NEWSMYRNAKWH OFFPK%</v>
      </c>
      <c r="B789" t="s">
        <v>673</v>
      </c>
      <c r="C789" t="s">
        <v>132</v>
      </c>
      <c r="D789" s="5"/>
      <c r="E789" s="5">
        <v>0.73394999999999999</v>
      </c>
      <c r="F789" s="5">
        <v>0.77388999999999997</v>
      </c>
      <c r="G789" s="5">
        <v>0.72499999999999998</v>
      </c>
      <c r="H789" s="5">
        <v>0.74416000000000004</v>
      </c>
      <c r="I789" s="5">
        <v>0.71350999999999998</v>
      </c>
      <c r="J789" s="5">
        <v>0.71863999999999995</v>
      </c>
      <c r="K789" s="5">
        <v>0.73507999999999996</v>
      </c>
      <c r="L789" s="5">
        <v>0.73602999999999996</v>
      </c>
      <c r="M789" s="5">
        <v>0.71614999999999995</v>
      </c>
      <c r="N789" s="5">
        <v>0.78859999999999997</v>
      </c>
      <c r="O789" s="5">
        <v>0.75512999999999997</v>
      </c>
      <c r="P789" s="5"/>
    </row>
    <row r="790" spans="1:16">
      <c r="A790" t="str">
        <f t="shared" si="11"/>
        <v>NEWSMYRNADEMAND (KW):</v>
      </c>
      <c r="B790" t="s">
        <v>673</v>
      </c>
      <c r="C790" t="s">
        <v>62</v>
      </c>
    </row>
    <row r="791" spans="1:16">
      <c r="A791" t="str">
        <f t="shared" si="11"/>
        <v>NEWSMYRNANCP</v>
      </c>
      <c r="B791" t="s">
        <v>673</v>
      </c>
      <c r="C791" t="s">
        <v>133</v>
      </c>
      <c r="E791">
        <v>35000</v>
      </c>
      <c r="F791">
        <v>20000</v>
      </c>
      <c r="G791">
        <v>10000</v>
      </c>
      <c r="H791">
        <v>20000</v>
      </c>
      <c r="I791">
        <v>35000</v>
      </c>
      <c r="J791">
        <v>35000</v>
      </c>
      <c r="K791">
        <v>35000</v>
      </c>
      <c r="L791">
        <v>25000</v>
      </c>
      <c r="M791">
        <v>20000</v>
      </c>
      <c r="N791">
        <v>10000</v>
      </c>
      <c r="O791">
        <v>20000</v>
      </c>
    </row>
    <row r="792" spans="1:16">
      <c r="A792" t="str">
        <f t="shared" si="11"/>
        <v>NEWSMYRNANCP ONPK</v>
      </c>
      <c r="B792" t="s">
        <v>673</v>
      </c>
      <c r="C792" t="s">
        <v>134</v>
      </c>
      <c r="E792">
        <v>35000</v>
      </c>
      <c r="F792">
        <v>20000</v>
      </c>
      <c r="G792">
        <v>10000</v>
      </c>
      <c r="H792">
        <v>20000</v>
      </c>
      <c r="I792">
        <v>35000</v>
      </c>
      <c r="J792">
        <v>35000</v>
      </c>
      <c r="K792">
        <v>35000</v>
      </c>
      <c r="L792">
        <v>25000</v>
      </c>
      <c r="M792">
        <v>20000</v>
      </c>
      <c r="N792">
        <v>10000</v>
      </c>
      <c r="O792">
        <v>20000</v>
      </c>
    </row>
    <row r="793" spans="1:16">
      <c r="A793" t="str">
        <f t="shared" si="11"/>
        <v>NEWSMYRNANCP OFFPK</v>
      </c>
      <c r="B793" t="s">
        <v>673</v>
      </c>
      <c r="C793" t="s">
        <v>135</v>
      </c>
      <c r="E793">
        <v>35000</v>
      </c>
      <c r="F793">
        <v>20000</v>
      </c>
      <c r="G793">
        <v>10000</v>
      </c>
      <c r="H793">
        <v>20000</v>
      </c>
      <c r="I793">
        <v>35000</v>
      </c>
      <c r="J793">
        <v>35000</v>
      </c>
      <c r="K793">
        <v>35000</v>
      </c>
      <c r="L793">
        <v>25000</v>
      </c>
      <c r="M793">
        <v>20000</v>
      </c>
      <c r="N793">
        <v>10000</v>
      </c>
      <c r="O793">
        <v>20000</v>
      </c>
    </row>
    <row r="794" spans="1:16">
      <c r="A794" t="str">
        <f t="shared" si="11"/>
        <v>NEWSMYRNAGCP DATE</v>
      </c>
      <c r="B794" t="s">
        <v>673</v>
      </c>
      <c r="C794" t="s">
        <v>136</v>
      </c>
      <c r="E794" t="s">
        <v>611</v>
      </c>
      <c r="F794" t="s">
        <v>674</v>
      </c>
      <c r="G794" t="s">
        <v>306</v>
      </c>
      <c r="H794" t="s">
        <v>254</v>
      </c>
      <c r="I794" t="s">
        <v>675</v>
      </c>
      <c r="J794" t="s">
        <v>676</v>
      </c>
      <c r="K794" t="s">
        <v>677</v>
      </c>
      <c r="L794" t="s">
        <v>628</v>
      </c>
      <c r="M794" t="s">
        <v>678</v>
      </c>
      <c r="N794" t="s">
        <v>679</v>
      </c>
      <c r="O794" t="s">
        <v>680</v>
      </c>
    </row>
    <row r="795" spans="1:16">
      <c r="A795" t="str">
        <f t="shared" si="11"/>
        <v>NEWSMYRNAGCP TIME</v>
      </c>
      <c r="B795" t="s">
        <v>673</v>
      </c>
      <c r="C795" t="s">
        <v>142</v>
      </c>
      <c r="E795" t="s">
        <v>146</v>
      </c>
      <c r="F795" t="s">
        <v>201</v>
      </c>
      <c r="G795" t="s">
        <v>201</v>
      </c>
      <c r="H795" t="s">
        <v>201</v>
      </c>
      <c r="I795" t="s">
        <v>194</v>
      </c>
      <c r="J795" t="s">
        <v>203</v>
      </c>
      <c r="K795" t="s">
        <v>201</v>
      </c>
      <c r="L795" t="s">
        <v>201</v>
      </c>
      <c r="M795" t="s">
        <v>201</v>
      </c>
      <c r="N795" t="s">
        <v>201</v>
      </c>
      <c r="O795" t="s">
        <v>201</v>
      </c>
    </row>
    <row r="796" spans="1:16">
      <c r="A796" t="str">
        <f t="shared" si="11"/>
        <v>NEWSMYRNAGCP</v>
      </c>
      <c r="B796" t="s">
        <v>673</v>
      </c>
      <c r="C796" t="s">
        <v>147</v>
      </c>
      <c r="E796">
        <v>35000</v>
      </c>
      <c r="F796">
        <v>20000</v>
      </c>
      <c r="G796">
        <v>10000</v>
      </c>
      <c r="H796">
        <v>20000</v>
      </c>
      <c r="I796">
        <v>35000</v>
      </c>
      <c r="J796">
        <v>35000</v>
      </c>
      <c r="K796">
        <v>35000</v>
      </c>
      <c r="L796">
        <v>25000</v>
      </c>
      <c r="M796">
        <v>20000</v>
      </c>
      <c r="N796">
        <v>10000</v>
      </c>
      <c r="O796">
        <v>20000</v>
      </c>
    </row>
    <row r="797" spans="1:16">
      <c r="A797" t="str">
        <f t="shared" si="11"/>
        <v>NEWSMYRNAGCP ONPK</v>
      </c>
      <c r="B797" t="s">
        <v>673</v>
      </c>
      <c r="C797" t="s">
        <v>63</v>
      </c>
      <c r="E797">
        <v>35000</v>
      </c>
      <c r="F797">
        <v>20000</v>
      </c>
      <c r="G797">
        <v>10000</v>
      </c>
      <c r="H797">
        <v>20000</v>
      </c>
      <c r="I797">
        <v>35000</v>
      </c>
      <c r="J797">
        <v>35000</v>
      </c>
      <c r="K797">
        <v>35000</v>
      </c>
      <c r="L797">
        <v>25000</v>
      </c>
      <c r="M797">
        <v>20000</v>
      </c>
      <c r="N797">
        <v>10000</v>
      </c>
      <c r="O797">
        <v>20000</v>
      </c>
    </row>
    <row r="798" spans="1:16">
      <c r="A798" t="str">
        <f t="shared" si="11"/>
        <v>NEWSMYRNAGCP OFFPK</v>
      </c>
      <c r="B798" t="s">
        <v>673</v>
      </c>
      <c r="C798" t="s">
        <v>64</v>
      </c>
      <c r="E798">
        <v>35000</v>
      </c>
      <c r="F798">
        <v>20000</v>
      </c>
      <c r="G798">
        <v>10000</v>
      </c>
      <c r="H798">
        <v>20000</v>
      </c>
      <c r="I798">
        <v>35000</v>
      </c>
      <c r="J798">
        <v>35000</v>
      </c>
      <c r="K798">
        <v>35000</v>
      </c>
      <c r="L798">
        <v>25000</v>
      </c>
      <c r="M798">
        <v>20000</v>
      </c>
      <c r="N798">
        <v>10000</v>
      </c>
      <c r="O798">
        <v>20000</v>
      </c>
    </row>
    <row r="799" spans="1:16">
      <c r="A799" t="str">
        <f t="shared" si="11"/>
        <v>NEWSMYRNACP</v>
      </c>
      <c r="B799" t="s">
        <v>673</v>
      </c>
      <c r="C799" t="s">
        <v>148</v>
      </c>
      <c r="E799">
        <v>30000</v>
      </c>
      <c r="F799">
        <v>20000</v>
      </c>
      <c r="G799">
        <v>10000</v>
      </c>
      <c r="H799">
        <v>20000</v>
      </c>
      <c r="I799">
        <v>35000</v>
      </c>
      <c r="J799">
        <v>35000</v>
      </c>
      <c r="K799">
        <v>35000</v>
      </c>
      <c r="L799">
        <v>25000</v>
      </c>
      <c r="M799">
        <v>20000</v>
      </c>
      <c r="N799">
        <v>10000</v>
      </c>
      <c r="O799">
        <v>20000</v>
      </c>
    </row>
    <row r="800" spans="1:16">
      <c r="A800" t="str">
        <f t="shared" si="11"/>
        <v>NEWSMYRNAPERIOD START</v>
      </c>
      <c r="B800" t="s">
        <v>673</v>
      </c>
      <c r="C800" t="s">
        <v>149</v>
      </c>
      <c r="D800" s="1"/>
      <c r="E800" s="1">
        <v>41671</v>
      </c>
      <c r="F800" s="1">
        <v>41699</v>
      </c>
      <c r="G800" s="1">
        <v>41730</v>
      </c>
      <c r="H800" s="1">
        <v>41760</v>
      </c>
      <c r="I800" s="1">
        <v>41791</v>
      </c>
      <c r="J800" s="1">
        <v>41821</v>
      </c>
      <c r="K800" s="1">
        <v>41852</v>
      </c>
      <c r="L800" s="1">
        <v>41883</v>
      </c>
      <c r="M800" s="1">
        <v>41913</v>
      </c>
      <c r="N800" s="1">
        <v>41944</v>
      </c>
      <c r="O800" s="1">
        <v>41974</v>
      </c>
      <c r="P800" s="1"/>
    </row>
    <row r="801" spans="1:16">
      <c r="A801" t="str">
        <f t="shared" si="11"/>
        <v>NEWSMYRNANCP LF</v>
      </c>
      <c r="B801" t="s">
        <v>673</v>
      </c>
      <c r="C801" t="s">
        <v>150</v>
      </c>
      <c r="E801" s="5">
        <v>0.79259999999999997</v>
      </c>
      <c r="F801" s="5">
        <v>1</v>
      </c>
      <c r="G801" s="5">
        <v>1</v>
      </c>
      <c r="H801" s="5">
        <v>0.9929</v>
      </c>
      <c r="I801" s="5">
        <v>0.9163</v>
      </c>
      <c r="J801" s="5">
        <v>0.94589999999999996</v>
      </c>
      <c r="K801" s="5">
        <v>0.95889999999999997</v>
      </c>
      <c r="L801" s="5">
        <v>0.99439999999999995</v>
      </c>
      <c r="M801" s="5">
        <v>0.98019999999999996</v>
      </c>
      <c r="N801" s="5">
        <v>0.99860000000000004</v>
      </c>
      <c r="O801" s="5">
        <v>0.96609999999999996</v>
      </c>
      <c r="P801" s="5"/>
    </row>
    <row r="802" spans="1:16">
      <c r="A802" t="str">
        <f t="shared" si="11"/>
        <v>NEWSMYRNANCP LF ONPK</v>
      </c>
      <c r="B802" t="s">
        <v>673</v>
      </c>
      <c r="C802" t="s">
        <v>151</v>
      </c>
      <c r="E802" s="5">
        <v>0.88570000000000004</v>
      </c>
      <c r="F802" s="5">
        <v>1</v>
      </c>
      <c r="G802" s="5">
        <v>1</v>
      </c>
      <c r="H802" s="5">
        <v>1</v>
      </c>
      <c r="I802" s="5">
        <v>1</v>
      </c>
      <c r="J802" s="5">
        <v>1</v>
      </c>
      <c r="K802" s="5">
        <v>1</v>
      </c>
      <c r="L802" s="5">
        <v>1</v>
      </c>
      <c r="M802" s="5">
        <v>1</v>
      </c>
      <c r="N802" s="5">
        <v>1</v>
      </c>
      <c r="O802" s="5">
        <v>1</v>
      </c>
      <c r="P802" s="5"/>
    </row>
    <row r="803" spans="1:16">
      <c r="A803" t="str">
        <f t="shared" si="11"/>
        <v>NEWSMYRNANCP LF OFFPK</v>
      </c>
      <c r="B803" t="s">
        <v>673</v>
      </c>
      <c r="C803" t="s">
        <v>152</v>
      </c>
      <c r="D803" t="s">
        <v>539</v>
      </c>
      <c r="E803" s="5">
        <v>0.76359999999999995</v>
      </c>
      <c r="F803" s="5">
        <v>1</v>
      </c>
      <c r="G803" s="5">
        <v>1</v>
      </c>
      <c r="H803" s="5">
        <v>0.99050000000000005</v>
      </c>
      <c r="I803" s="5">
        <v>0.88649999999999995</v>
      </c>
      <c r="J803" s="5">
        <v>0.92620000000000002</v>
      </c>
      <c r="K803" s="5">
        <v>0.94489999999999996</v>
      </c>
      <c r="L803" s="5">
        <v>0.99250000000000005</v>
      </c>
      <c r="M803" s="5">
        <v>0.97250000000000003</v>
      </c>
      <c r="N803" s="5">
        <v>0.99819999999999998</v>
      </c>
      <c r="O803" s="5">
        <v>0.95550000000000002</v>
      </c>
      <c r="P803" s="5"/>
    </row>
    <row r="804" spans="1:16">
      <c r="A804" t="str">
        <f t="shared" si="11"/>
        <v>NEWSMYRNAGCP CF</v>
      </c>
      <c r="B804" t="s">
        <v>673</v>
      </c>
      <c r="C804" t="s">
        <v>153</v>
      </c>
      <c r="D804" t="s">
        <v>539</v>
      </c>
      <c r="E804" s="5">
        <v>1</v>
      </c>
      <c r="F804" s="5">
        <v>1</v>
      </c>
      <c r="G804" s="5">
        <v>1</v>
      </c>
      <c r="H804" s="5">
        <v>1</v>
      </c>
      <c r="I804" s="5">
        <v>1</v>
      </c>
      <c r="J804" s="5">
        <v>1</v>
      </c>
      <c r="K804" s="5">
        <v>1</v>
      </c>
      <c r="L804" s="5">
        <v>1</v>
      </c>
      <c r="M804" s="5">
        <v>1</v>
      </c>
      <c r="N804" s="5">
        <v>1</v>
      </c>
      <c r="O804" s="5">
        <v>1</v>
      </c>
      <c r="P804" s="5"/>
    </row>
    <row r="805" spans="1:16">
      <c r="A805" t="str">
        <f t="shared" si="11"/>
        <v>NEWSMYRNACP CF</v>
      </c>
      <c r="B805" t="s">
        <v>673</v>
      </c>
      <c r="C805" t="s">
        <v>154</v>
      </c>
      <c r="D805" t="s">
        <v>539</v>
      </c>
      <c r="E805" s="5">
        <v>0.85709999999999997</v>
      </c>
      <c r="F805" s="5">
        <v>1</v>
      </c>
      <c r="G805" s="5">
        <v>1</v>
      </c>
      <c r="H805" s="5">
        <v>1</v>
      </c>
      <c r="I805" s="5">
        <v>1</v>
      </c>
      <c r="J805" s="5">
        <v>1</v>
      </c>
      <c r="K805" s="5">
        <v>1</v>
      </c>
      <c r="L805" s="5">
        <v>1</v>
      </c>
      <c r="M805" s="5">
        <v>1</v>
      </c>
      <c r="N805" s="5">
        <v>1</v>
      </c>
      <c r="O805" s="5">
        <v>1</v>
      </c>
      <c r="P805" s="5"/>
    </row>
    <row r="806" spans="1:16">
      <c r="A806" t="str">
        <f t="shared" si="11"/>
        <v>NEWSMYRNAGCP LF</v>
      </c>
      <c r="B806" t="s">
        <v>673</v>
      </c>
      <c r="C806" t="s">
        <v>155</v>
      </c>
      <c r="D806" t="s">
        <v>539</v>
      </c>
      <c r="E806" s="5">
        <v>0.79259999999999997</v>
      </c>
      <c r="F806" s="5">
        <v>1</v>
      </c>
      <c r="G806" s="5">
        <v>1</v>
      </c>
      <c r="H806" s="5">
        <v>0.9929</v>
      </c>
      <c r="I806" s="5">
        <v>0.9163</v>
      </c>
      <c r="J806" s="5">
        <v>0.94589999999999996</v>
      </c>
      <c r="K806" s="5">
        <v>0.95889999999999997</v>
      </c>
      <c r="L806" s="5">
        <v>0.99439999999999995</v>
      </c>
      <c r="M806" s="5">
        <v>0.98019999999999996</v>
      </c>
      <c r="N806" s="5">
        <v>0.99860000000000004</v>
      </c>
      <c r="O806" s="5">
        <v>0.96609999999999996</v>
      </c>
      <c r="P806" s="5"/>
    </row>
    <row r="807" spans="1:16">
      <c r="A807" t="str">
        <f t="shared" si="11"/>
        <v>NEWSMYRNAGCP LF ONPK</v>
      </c>
      <c r="B807" t="s">
        <v>673</v>
      </c>
      <c r="C807" t="s">
        <v>156</v>
      </c>
      <c r="D807" t="s">
        <v>539</v>
      </c>
      <c r="E807" s="5">
        <v>0.88570000000000004</v>
      </c>
      <c r="F807" s="5">
        <v>1</v>
      </c>
      <c r="G807" s="5">
        <v>1</v>
      </c>
      <c r="H807" s="5">
        <v>1</v>
      </c>
      <c r="I807" s="5">
        <v>1</v>
      </c>
      <c r="J807" s="5">
        <v>1</v>
      </c>
      <c r="K807" s="5">
        <v>1</v>
      </c>
      <c r="L807" s="5">
        <v>1</v>
      </c>
      <c r="M807" s="5">
        <v>1</v>
      </c>
      <c r="N807" s="5">
        <v>1</v>
      </c>
      <c r="O807" s="5">
        <v>1</v>
      </c>
      <c r="P807" s="5"/>
    </row>
    <row r="808" spans="1:16">
      <c r="A808" t="str">
        <f t="shared" si="11"/>
        <v>NEWSMYRNAGCP LF OFFPK</v>
      </c>
      <c r="B808" t="s">
        <v>673</v>
      </c>
      <c r="C808" t="s">
        <v>157</v>
      </c>
      <c r="D808" t="s">
        <v>539</v>
      </c>
      <c r="E808" s="5">
        <v>0.76359999999999995</v>
      </c>
      <c r="F808" s="5">
        <v>1</v>
      </c>
      <c r="G808" s="5">
        <v>1</v>
      </c>
      <c r="H808" s="5">
        <v>0.99050000000000005</v>
      </c>
      <c r="I808" s="5">
        <v>0.88649999999999995</v>
      </c>
      <c r="J808" s="5">
        <v>0.92620000000000002</v>
      </c>
      <c r="K808" s="5">
        <v>0.94489999999999996</v>
      </c>
      <c r="L808" s="5">
        <v>0.99250000000000005</v>
      </c>
      <c r="M808" s="5">
        <v>0.97250000000000003</v>
      </c>
      <c r="N808" s="5">
        <v>0.99819999999999998</v>
      </c>
      <c r="O808" s="5">
        <v>0.95550000000000002</v>
      </c>
      <c r="P808" s="5"/>
    </row>
    <row r="809" spans="1:16">
      <c r="A809" t="str">
        <f t="shared" si="11"/>
        <v>NEWSMYRNACP LF</v>
      </c>
      <c r="B809" t="s">
        <v>673</v>
      </c>
      <c r="C809" t="s">
        <v>158</v>
      </c>
      <c r="D809" t="s">
        <v>539</v>
      </c>
      <c r="E809" s="5">
        <v>0.92479999999999996</v>
      </c>
      <c r="F809" s="5">
        <v>1</v>
      </c>
      <c r="G809" s="5">
        <v>1</v>
      </c>
      <c r="H809" s="5">
        <v>0.9929</v>
      </c>
      <c r="I809" s="5">
        <v>0.9163</v>
      </c>
      <c r="J809" s="5">
        <v>0.94589999999999996</v>
      </c>
      <c r="K809" s="5">
        <v>0.95889999999999997</v>
      </c>
      <c r="L809" s="5">
        <v>0.99439999999999995</v>
      </c>
      <c r="M809" s="5">
        <v>0.98019999999999996</v>
      </c>
      <c r="N809" s="5">
        <v>0.99860000000000004</v>
      </c>
      <c r="O809" s="5">
        <v>0.96609999999999996</v>
      </c>
      <c r="P809" s="5"/>
    </row>
    <row r="810" spans="1:16">
      <c r="A810" t="str">
        <f t="shared" si="11"/>
        <v>NEWSMYRNAREL PREC:</v>
      </c>
      <c r="B810" t="s">
        <v>673</v>
      </c>
      <c r="C810" t="s">
        <v>65</v>
      </c>
    </row>
    <row r="811" spans="1:16">
      <c r="A811" t="str">
        <f t="shared" si="11"/>
        <v>NEWSMYRNANCP RP</v>
      </c>
      <c r="B811" t="s">
        <v>673</v>
      </c>
      <c r="C811" t="s">
        <v>159</v>
      </c>
      <c r="D811" t="s">
        <v>539</v>
      </c>
      <c r="E811" s="5">
        <v>0</v>
      </c>
      <c r="F811" s="5">
        <v>0</v>
      </c>
      <c r="G811" s="5">
        <v>0</v>
      </c>
      <c r="H811" s="5">
        <v>0</v>
      </c>
      <c r="I811" s="5">
        <v>0</v>
      </c>
      <c r="J811" s="5">
        <v>0</v>
      </c>
      <c r="K811" s="5">
        <v>0</v>
      </c>
      <c r="L811" s="5">
        <v>0</v>
      </c>
      <c r="M811" s="5">
        <v>0</v>
      </c>
      <c r="N811" s="5">
        <v>0</v>
      </c>
      <c r="O811" s="5">
        <v>0</v>
      </c>
      <c r="P811" s="5"/>
    </row>
    <row r="812" spans="1:16">
      <c r="A812" t="str">
        <f t="shared" si="11"/>
        <v>NEWSMYRNANCP RP ONPK</v>
      </c>
      <c r="B812" t="s">
        <v>673</v>
      </c>
      <c r="C812" t="s">
        <v>160</v>
      </c>
      <c r="D812" t="s">
        <v>539</v>
      </c>
      <c r="E812" s="5">
        <v>0</v>
      </c>
      <c r="F812" s="5">
        <v>0</v>
      </c>
      <c r="G812" s="5">
        <v>0</v>
      </c>
      <c r="H812" s="5">
        <v>0</v>
      </c>
      <c r="I812" s="5">
        <v>0</v>
      </c>
      <c r="J812" s="5">
        <v>0</v>
      </c>
      <c r="K812" s="5">
        <v>0</v>
      </c>
      <c r="L812" s="5">
        <v>0</v>
      </c>
      <c r="M812" s="5">
        <v>0</v>
      </c>
      <c r="N812" s="5">
        <v>0</v>
      </c>
      <c r="O812" s="5">
        <v>0</v>
      </c>
      <c r="P812" s="5"/>
    </row>
    <row r="813" spans="1:16">
      <c r="A813" t="str">
        <f t="shared" si="11"/>
        <v>NEWSMYRNANCP RP OFFPK</v>
      </c>
      <c r="B813" t="s">
        <v>673</v>
      </c>
      <c r="C813" t="s">
        <v>161</v>
      </c>
      <c r="D813" t="s">
        <v>539</v>
      </c>
      <c r="E813" s="5">
        <v>0</v>
      </c>
      <c r="F813" s="5">
        <v>0</v>
      </c>
      <c r="G813" s="5">
        <v>0</v>
      </c>
      <c r="H813" s="5">
        <v>0</v>
      </c>
      <c r="I813" s="5">
        <v>0</v>
      </c>
      <c r="J813" s="5">
        <v>0</v>
      </c>
      <c r="K813" s="5">
        <v>0</v>
      </c>
      <c r="L813" s="5">
        <v>0</v>
      </c>
      <c r="M813" s="5">
        <v>0</v>
      </c>
      <c r="N813" s="5">
        <v>0</v>
      </c>
      <c r="O813" s="5">
        <v>0</v>
      </c>
      <c r="P813" s="5"/>
    </row>
    <row r="814" spans="1:16">
      <c r="A814" t="str">
        <f t="shared" si="11"/>
        <v>NEWSMYRNAGCP RP</v>
      </c>
      <c r="B814" t="s">
        <v>673</v>
      </c>
      <c r="C814" t="s">
        <v>162</v>
      </c>
      <c r="D814" t="s">
        <v>539</v>
      </c>
      <c r="E814" s="5">
        <v>0</v>
      </c>
      <c r="F814" s="5">
        <v>0</v>
      </c>
      <c r="G814" s="5">
        <v>0</v>
      </c>
      <c r="H814" s="5">
        <v>0</v>
      </c>
      <c r="I814" s="5">
        <v>0</v>
      </c>
      <c r="J814" s="5">
        <v>0</v>
      </c>
      <c r="K814" s="5">
        <v>0</v>
      </c>
      <c r="L814" s="5">
        <v>0</v>
      </c>
      <c r="M814" s="5">
        <v>0</v>
      </c>
      <c r="N814" s="5">
        <v>0</v>
      </c>
      <c r="O814" s="5">
        <v>0</v>
      </c>
      <c r="P814" s="5"/>
    </row>
    <row r="815" spans="1:16">
      <c r="A815" t="str">
        <f t="shared" ref="A815:A878" si="12">B815&amp;C815</f>
        <v>NEWSMYRNAGCP RP ONPK</v>
      </c>
      <c r="B815" t="s">
        <v>673</v>
      </c>
      <c r="C815" t="s">
        <v>163</v>
      </c>
      <c r="D815" t="s">
        <v>539</v>
      </c>
      <c r="E815" s="5">
        <v>0</v>
      </c>
      <c r="F815" s="5">
        <v>0</v>
      </c>
      <c r="G815" s="5">
        <v>0</v>
      </c>
      <c r="H815" s="5">
        <v>0</v>
      </c>
      <c r="I815" s="5">
        <v>0</v>
      </c>
      <c r="J815" s="5">
        <v>0</v>
      </c>
      <c r="K815" s="5">
        <v>0</v>
      </c>
      <c r="L815" s="5">
        <v>0</v>
      </c>
      <c r="M815" s="5">
        <v>0</v>
      </c>
      <c r="N815" s="5">
        <v>0</v>
      </c>
      <c r="O815" s="5">
        <v>0</v>
      </c>
      <c r="P815" s="5"/>
    </row>
    <row r="816" spans="1:16">
      <c r="A816" t="str">
        <f t="shared" si="12"/>
        <v>NEWSMYRNAGCP RP OFFPK</v>
      </c>
      <c r="B816" t="s">
        <v>673</v>
      </c>
      <c r="C816" t="s">
        <v>164</v>
      </c>
      <c r="D816" t="s">
        <v>539</v>
      </c>
      <c r="E816" s="5">
        <v>0</v>
      </c>
      <c r="F816" s="5">
        <v>0</v>
      </c>
      <c r="G816" s="5">
        <v>0</v>
      </c>
      <c r="H816" s="5">
        <v>0</v>
      </c>
      <c r="I816" s="5">
        <v>0</v>
      </c>
      <c r="J816" s="5">
        <v>0</v>
      </c>
      <c r="K816" s="5">
        <v>0</v>
      </c>
      <c r="L816" s="5">
        <v>0</v>
      </c>
      <c r="M816" s="5">
        <v>0</v>
      </c>
      <c r="N816" s="5">
        <v>0</v>
      </c>
      <c r="O816" s="5">
        <v>0</v>
      </c>
      <c r="P816" s="5"/>
    </row>
    <row r="817" spans="1:16">
      <c r="A817" t="str">
        <f t="shared" si="12"/>
        <v>NEWSMYRNACP RP</v>
      </c>
      <c r="B817" t="s">
        <v>673</v>
      </c>
      <c r="C817" t="s">
        <v>165</v>
      </c>
      <c r="D817" t="s">
        <v>539</v>
      </c>
      <c r="E817" s="5">
        <v>0</v>
      </c>
      <c r="F817" s="5">
        <v>0</v>
      </c>
      <c r="G817" s="5">
        <v>0</v>
      </c>
      <c r="H817" s="5">
        <v>0</v>
      </c>
      <c r="I817" s="5">
        <v>0</v>
      </c>
      <c r="J817" s="5">
        <v>0</v>
      </c>
      <c r="K817" s="5">
        <v>0</v>
      </c>
      <c r="L817" s="5">
        <v>0</v>
      </c>
      <c r="M817" s="5">
        <v>0</v>
      </c>
      <c r="N817" s="5">
        <v>0</v>
      </c>
      <c r="O817" s="5">
        <v>0</v>
      </c>
      <c r="P817" s="5"/>
    </row>
    <row r="818" spans="1:16">
      <c r="A818" t="str">
        <f t="shared" si="12"/>
        <v>NEWSMYRNASAMPLE SIZE:</v>
      </c>
      <c r="B818" t="s">
        <v>673</v>
      </c>
      <c r="C818" t="s">
        <v>66</v>
      </c>
    </row>
    <row r="819" spans="1:16">
      <c r="A819" t="str">
        <f t="shared" si="12"/>
        <v>NEWSMYRNAGCPSZ</v>
      </c>
      <c r="B819" t="s">
        <v>673</v>
      </c>
      <c r="C819" t="s">
        <v>166</v>
      </c>
      <c r="D819" t="s">
        <v>539</v>
      </c>
      <c r="E819">
        <v>1</v>
      </c>
      <c r="F819">
        <v>1</v>
      </c>
      <c r="G819">
        <v>1</v>
      </c>
      <c r="H819">
        <v>1</v>
      </c>
      <c r="I819">
        <v>1</v>
      </c>
      <c r="J819">
        <v>1</v>
      </c>
      <c r="K819">
        <v>1</v>
      </c>
      <c r="L819">
        <v>1</v>
      </c>
      <c r="M819">
        <v>1</v>
      </c>
      <c r="N819">
        <v>1</v>
      </c>
      <c r="O819">
        <v>1</v>
      </c>
    </row>
    <row r="820" spans="1:16">
      <c r="A820" t="str">
        <f t="shared" si="12"/>
        <v>NEWSMYRNAGCPSZ ONPK</v>
      </c>
      <c r="B820" t="s">
        <v>673</v>
      </c>
      <c r="C820" t="s">
        <v>167</v>
      </c>
      <c r="D820" t="s">
        <v>539</v>
      </c>
      <c r="E820">
        <v>1</v>
      </c>
      <c r="F820">
        <v>1</v>
      </c>
      <c r="G820">
        <v>1</v>
      </c>
      <c r="H820">
        <v>1</v>
      </c>
      <c r="I820">
        <v>1</v>
      </c>
      <c r="J820">
        <v>1</v>
      </c>
      <c r="K820">
        <v>1</v>
      </c>
      <c r="L820">
        <v>1</v>
      </c>
      <c r="M820">
        <v>1</v>
      </c>
      <c r="N820">
        <v>1</v>
      </c>
      <c r="O820">
        <v>1</v>
      </c>
    </row>
    <row r="821" spans="1:16">
      <c r="A821" t="str">
        <f t="shared" si="12"/>
        <v>NEWSMYRNAGCPSZ OFFPK</v>
      </c>
      <c r="B821" t="s">
        <v>673</v>
      </c>
      <c r="C821" t="s">
        <v>168</v>
      </c>
      <c r="D821" t="s">
        <v>539</v>
      </c>
      <c r="E821">
        <v>1</v>
      </c>
      <c r="F821">
        <v>1</v>
      </c>
      <c r="G821">
        <v>1</v>
      </c>
      <c r="H821">
        <v>1</v>
      </c>
      <c r="I821">
        <v>1</v>
      </c>
      <c r="J821">
        <v>1</v>
      </c>
      <c r="K821">
        <v>1</v>
      </c>
      <c r="L821">
        <v>1</v>
      </c>
      <c r="M821">
        <v>1</v>
      </c>
      <c r="N821">
        <v>1</v>
      </c>
      <c r="O821">
        <v>1</v>
      </c>
    </row>
    <row r="822" spans="1:16">
      <c r="A822" t="str">
        <f t="shared" si="12"/>
        <v>NEWSMYRNACPSZ</v>
      </c>
      <c r="B822" t="s">
        <v>673</v>
      </c>
      <c r="C822" t="s">
        <v>169</v>
      </c>
      <c r="D822" t="s">
        <v>539</v>
      </c>
      <c r="E822">
        <v>1</v>
      </c>
      <c r="F822">
        <v>1</v>
      </c>
      <c r="G822">
        <v>1</v>
      </c>
      <c r="H822">
        <v>1</v>
      </c>
      <c r="I822">
        <v>1</v>
      </c>
      <c r="J822">
        <v>1</v>
      </c>
      <c r="K822">
        <v>1</v>
      </c>
      <c r="L822">
        <v>1</v>
      </c>
      <c r="M822">
        <v>1</v>
      </c>
      <c r="N822">
        <v>1</v>
      </c>
      <c r="O822">
        <v>1</v>
      </c>
    </row>
    <row r="823" spans="1:16">
      <c r="A823" t="str">
        <f t="shared" si="12"/>
        <v/>
      </c>
    </row>
    <row r="824" spans="1:16" ht="14.4">
      <c r="A824" t="str">
        <f t="shared" si="12"/>
        <v>NOTE:     Sales line does not match sales in the Rate and Revenue Report due to billing lag.</v>
      </c>
      <c r="B824" s="301" t="s">
        <v>608</v>
      </c>
    </row>
    <row r="825" spans="1:16">
      <c r="A825" t="str">
        <f t="shared" si="12"/>
        <v xml:space="preserve">                 In addition, New Smyrna and Winter Park are classified as Rate Code 840. The sales for the contracts are reported combined in the Rate &amp; Revenue Report.</v>
      </c>
      <c r="B825" s="302" t="s">
        <v>681</v>
      </c>
    </row>
    <row r="826" spans="1:16">
      <c r="A826" t="str">
        <f t="shared" si="12"/>
        <v/>
      </c>
    </row>
    <row r="827" spans="1:16">
      <c r="A827" t="str">
        <f t="shared" si="12"/>
        <v xml:space="preserve">OL01 Outdoor Lighting (Modeled Rate Class) </v>
      </c>
      <c r="B827" t="s">
        <v>17</v>
      </c>
      <c r="C827" t="s">
        <v>18</v>
      </c>
    </row>
    <row r="828" spans="1:16">
      <c r="A828" t="str">
        <f t="shared" si="12"/>
        <v xml:space="preserve">OL01MONTH </v>
      </c>
      <c r="B828" t="s">
        <v>19</v>
      </c>
      <c r="C828" t="s">
        <v>123</v>
      </c>
      <c r="D828" s="4">
        <v>41640</v>
      </c>
      <c r="E828" s="4">
        <v>41671</v>
      </c>
      <c r="F828" s="4">
        <v>41699</v>
      </c>
      <c r="G828" s="4">
        <v>41730</v>
      </c>
      <c r="H828" s="4">
        <v>41760</v>
      </c>
      <c r="I828" s="4">
        <v>41791</v>
      </c>
      <c r="J828" s="4">
        <v>41821</v>
      </c>
      <c r="K828" s="4">
        <v>41852</v>
      </c>
      <c r="L828" s="4">
        <v>41883</v>
      </c>
      <c r="M828" s="4">
        <v>41913</v>
      </c>
      <c r="N828" s="4">
        <v>41944</v>
      </c>
      <c r="O828" s="4">
        <v>41974</v>
      </c>
      <c r="P828" s="4"/>
    </row>
    <row r="829" spans="1:16">
      <c r="A829" t="str">
        <f t="shared" si="12"/>
        <v xml:space="preserve">OL01CUSTOMERS </v>
      </c>
      <c r="B829" t="s">
        <v>19</v>
      </c>
      <c r="C829" t="s">
        <v>124</v>
      </c>
      <c r="D829">
        <v>5716</v>
      </c>
      <c r="E829">
        <v>5710</v>
      </c>
      <c r="F829">
        <v>5690</v>
      </c>
      <c r="G829">
        <v>5677</v>
      </c>
      <c r="H829">
        <v>5652</v>
      </c>
      <c r="I829">
        <v>5642</v>
      </c>
      <c r="J829">
        <v>5631</v>
      </c>
      <c r="K829">
        <v>5610</v>
      </c>
      <c r="L829">
        <v>5596</v>
      </c>
      <c r="M829">
        <v>5581</v>
      </c>
      <c r="N829">
        <v>5565</v>
      </c>
      <c r="O829">
        <v>5561</v>
      </c>
    </row>
    <row r="830" spans="1:16">
      <c r="A830" t="str">
        <f t="shared" si="12"/>
        <v xml:space="preserve">OL01SALES </v>
      </c>
      <c r="B830" t="s">
        <v>19</v>
      </c>
      <c r="C830" t="s">
        <v>125</v>
      </c>
      <c r="D830">
        <v>8343468</v>
      </c>
      <c r="E830">
        <v>8391244</v>
      </c>
      <c r="F830">
        <v>8418247</v>
      </c>
      <c r="G830">
        <v>8357365</v>
      </c>
      <c r="H830">
        <v>8450594</v>
      </c>
      <c r="I830">
        <v>8398239</v>
      </c>
      <c r="J830">
        <v>8430525</v>
      </c>
      <c r="K830">
        <v>8390365</v>
      </c>
      <c r="L830">
        <v>8370078</v>
      </c>
      <c r="M830">
        <v>8392416</v>
      </c>
      <c r="N830">
        <v>8319243</v>
      </c>
      <c r="O830">
        <v>8391802</v>
      </c>
    </row>
    <row r="831" spans="1:16">
      <c r="A831" t="str">
        <f t="shared" si="12"/>
        <v>OL01KW</v>
      </c>
      <c r="B831" t="s">
        <v>19</v>
      </c>
      <c r="C831" t="s">
        <v>126</v>
      </c>
    </row>
    <row r="832" spans="1:16">
      <c r="A832" t="str">
        <f t="shared" si="12"/>
        <v>OL01N</v>
      </c>
      <c r="B832" t="s">
        <v>19</v>
      </c>
      <c r="C832" t="s">
        <v>127</v>
      </c>
      <c r="D832">
        <v>1</v>
      </c>
      <c r="E832">
        <v>1</v>
      </c>
      <c r="F832">
        <v>1</v>
      </c>
      <c r="G832">
        <v>1</v>
      </c>
      <c r="H832">
        <v>1</v>
      </c>
      <c r="I832">
        <v>1</v>
      </c>
      <c r="J832">
        <v>1</v>
      </c>
      <c r="K832">
        <v>1</v>
      </c>
      <c r="L832">
        <v>1</v>
      </c>
      <c r="M832">
        <v>1</v>
      </c>
      <c r="N832">
        <v>1</v>
      </c>
      <c r="O832">
        <v>1</v>
      </c>
    </row>
    <row r="833" spans="1:16">
      <c r="A833" t="str">
        <f t="shared" si="12"/>
        <v>OL01RLR ENERGY:</v>
      </c>
      <c r="B833" t="s">
        <v>19</v>
      </c>
      <c r="C833" t="s">
        <v>61</v>
      </c>
    </row>
    <row r="834" spans="1:16">
      <c r="A834" t="str">
        <f t="shared" si="12"/>
        <v>OL01KWH</v>
      </c>
      <c r="B834" t="s">
        <v>19</v>
      </c>
      <c r="C834" t="s">
        <v>128</v>
      </c>
      <c r="D834">
        <v>8343468</v>
      </c>
      <c r="E834">
        <v>8391244</v>
      </c>
      <c r="F834">
        <v>8418247</v>
      </c>
      <c r="G834">
        <v>8357365</v>
      </c>
      <c r="H834">
        <v>8450594</v>
      </c>
      <c r="I834">
        <v>8398239</v>
      </c>
      <c r="J834">
        <v>8430525</v>
      </c>
      <c r="K834">
        <v>8390365</v>
      </c>
      <c r="L834">
        <v>8370078</v>
      </c>
      <c r="M834">
        <v>8392416</v>
      </c>
      <c r="N834">
        <v>8298126</v>
      </c>
      <c r="O834">
        <v>8391802</v>
      </c>
    </row>
    <row r="835" spans="1:16">
      <c r="A835" t="str">
        <f t="shared" si="12"/>
        <v>OL01KWH ONPK</v>
      </c>
      <c r="B835" t="s">
        <v>19</v>
      </c>
      <c r="C835" t="s">
        <v>129</v>
      </c>
      <c r="D835">
        <v>2279203</v>
      </c>
      <c r="E835">
        <v>2217305</v>
      </c>
      <c r="F835">
        <v>1905077</v>
      </c>
      <c r="G835">
        <v>689841</v>
      </c>
      <c r="H835">
        <v>548481</v>
      </c>
      <c r="I835">
        <v>453879</v>
      </c>
      <c r="J835">
        <v>445645</v>
      </c>
      <c r="K835">
        <v>548308</v>
      </c>
      <c r="L835">
        <v>792840</v>
      </c>
      <c r="M835">
        <v>1061675</v>
      </c>
      <c r="N835">
        <v>1863486</v>
      </c>
      <c r="O835">
        <v>2205580</v>
      </c>
    </row>
    <row r="836" spans="1:16">
      <c r="A836" t="str">
        <f t="shared" si="12"/>
        <v>OL01KWH OFFPK</v>
      </c>
      <c r="B836" t="s">
        <v>19</v>
      </c>
      <c r="C836" t="s">
        <v>130</v>
      </c>
      <c r="D836">
        <v>6064265</v>
      </c>
      <c r="E836">
        <v>6173939</v>
      </c>
      <c r="F836">
        <v>6513170</v>
      </c>
      <c r="G836">
        <v>7667524</v>
      </c>
      <c r="H836">
        <v>7902113</v>
      </c>
      <c r="I836">
        <v>7944360</v>
      </c>
      <c r="J836">
        <v>7984880</v>
      </c>
      <c r="K836">
        <v>7842057</v>
      </c>
      <c r="L836">
        <v>7577238</v>
      </c>
      <c r="M836">
        <v>7330741</v>
      </c>
      <c r="N836">
        <v>6434641</v>
      </c>
      <c r="O836">
        <v>6186222</v>
      </c>
    </row>
    <row r="837" spans="1:16">
      <c r="A837" t="str">
        <f t="shared" si="12"/>
        <v>OL01KWH ONPK%</v>
      </c>
      <c r="B837" t="s">
        <v>19</v>
      </c>
      <c r="C837" t="s">
        <v>131</v>
      </c>
      <c r="D837" s="5">
        <v>0.27317000000000002</v>
      </c>
      <c r="E837" s="5">
        <v>0.26423999999999997</v>
      </c>
      <c r="F837" s="5">
        <v>0.2263</v>
      </c>
      <c r="G837" s="5">
        <v>8.2540000000000002E-2</v>
      </c>
      <c r="H837" s="5">
        <v>6.4899999999999999E-2</v>
      </c>
      <c r="I837" s="5">
        <v>5.4039999999999998E-2</v>
      </c>
      <c r="J837" s="5">
        <v>5.2859999999999997E-2</v>
      </c>
      <c r="K837" s="5">
        <v>6.5350000000000005E-2</v>
      </c>
      <c r="L837" s="5">
        <v>9.4719999999999999E-2</v>
      </c>
      <c r="M837" s="5">
        <v>0.1265</v>
      </c>
      <c r="N837" s="5">
        <v>0.22456999999999999</v>
      </c>
      <c r="O837" s="5">
        <v>0.26283000000000001</v>
      </c>
      <c r="P837" s="5"/>
    </row>
    <row r="838" spans="1:16">
      <c r="A838" t="str">
        <f t="shared" si="12"/>
        <v>OL01KWH OFFPK%</v>
      </c>
      <c r="B838" t="s">
        <v>19</v>
      </c>
      <c r="C838" t="s">
        <v>132</v>
      </c>
      <c r="D838" s="5">
        <v>0.72682999999999998</v>
      </c>
      <c r="E838" s="5">
        <v>0.73575999999999997</v>
      </c>
      <c r="F838" s="5">
        <v>0.77370000000000005</v>
      </c>
      <c r="G838" s="5">
        <v>0.91746000000000005</v>
      </c>
      <c r="H838" s="5">
        <v>0.93510000000000004</v>
      </c>
      <c r="I838" s="5">
        <v>0.94596000000000002</v>
      </c>
      <c r="J838" s="5">
        <v>0.94713999999999998</v>
      </c>
      <c r="K838" s="5">
        <v>0.93464999999999998</v>
      </c>
      <c r="L838" s="5">
        <v>0.90527999999999997</v>
      </c>
      <c r="M838" s="5">
        <v>0.87350000000000005</v>
      </c>
      <c r="N838" s="5">
        <v>0.77542999999999995</v>
      </c>
      <c r="O838" s="5">
        <v>0.73716999999999999</v>
      </c>
      <c r="P838" s="5"/>
    </row>
    <row r="839" spans="1:16">
      <c r="A839" t="str">
        <f t="shared" si="12"/>
        <v>OL01DEMAND (KW):</v>
      </c>
      <c r="B839" t="s">
        <v>19</v>
      </c>
      <c r="C839" t="s">
        <v>62</v>
      </c>
    </row>
    <row r="840" spans="1:16">
      <c r="A840" t="str">
        <f t="shared" si="12"/>
        <v>OL01NCP</v>
      </c>
      <c r="B840" t="s">
        <v>19</v>
      </c>
      <c r="C840" t="s">
        <v>133</v>
      </c>
      <c r="D840">
        <v>20308</v>
      </c>
      <c r="E840">
        <v>23536</v>
      </c>
      <c r="F840">
        <v>22679</v>
      </c>
      <c r="G840">
        <v>24797</v>
      </c>
      <c r="H840">
        <v>25707</v>
      </c>
      <c r="I840">
        <v>27201</v>
      </c>
      <c r="J840">
        <v>26082</v>
      </c>
      <c r="K840">
        <v>24714</v>
      </c>
      <c r="L840">
        <v>23891</v>
      </c>
      <c r="M840">
        <v>21754</v>
      </c>
      <c r="N840">
        <v>21117</v>
      </c>
      <c r="O840">
        <v>20192</v>
      </c>
    </row>
    <row r="841" spans="1:16">
      <c r="A841" t="str">
        <f t="shared" si="12"/>
        <v>OL01NCP ONPK</v>
      </c>
      <c r="B841" t="s">
        <v>19</v>
      </c>
      <c r="C841" t="s">
        <v>134</v>
      </c>
      <c r="D841">
        <v>20308</v>
      </c>
      <c r="E841">
        <v>23536</v>
      </c>
      <c r="F841">
        <v>22679</v>
      </c>
      <c r="G841">
        <v>24797</v>
      </c>
      <c r="H841">
        <v>25707</v>
      </c>
      <c r="I841">
        <v>23578</v>
      </c>
      <c r="J841">
        <v>22608</v>
      </c>
      <c r="K841">
        <v>24714</v>
      </c>
      <c r="L841">
        <v>23891</v>
      </c>
      <c r="M841">
        <v>21754</v>
      </c>
      <c r="N841">
        <v>21117</v>
      </c>
      <c r="O841">
        <v>20192</v>
      </c>
    </row>
    <row r="842" spans="1:16">
      <c r="A842" t="str">
        <f t="shared" si="12"/>
        <v>OL01NCP OFFPK</v>
      </c>
      <c r="B842" t="s">
        <v>19</v>
      </c>
      <c r="C842" t="s">
        <v>135</v>
      </c>
      <c r="D842">
        <v>20308</v>
      </c>
      <c r="E842">
        <v>23536</v>
      </c>
      <c r="F842">
        <v>22679</v>
      </c>
      <c r="G842">
        <v>24797</v>
      </c>
      <c r="H842">
        <v>25707</v>
      </c>
      <c r="I842">
        <v>27201</v>
      </c>
      <c r="J842">
        <v>26082</v>
      </c>
      <c r="K842">
        <v>24714</v>
      </c>
      <c r="L842">
        <v>23891</v>
      </c>
      <c r="M842">
        <v>21754</v>
      </c>
      <c r="N842">
        <v>21117</v>
      </c>
      <c r="O842">
        <v>20192</v>
      </c>
    </row>
    <row r="843" spans="1:16">
      <c r="A843" t="str">
        <f t="shared" si="12"/>
        <v>OL01GCP DATE</v>
      </c>
      <c r="B843" t="s">
        <v>19</v>
      </c>
      <c r="C843" t="s">
        <v>136</v>
      </c>
      <c r="D843" t="s">
        <v>624</v>
      </c>
      <c r="E843" t="s">
        <v>682</v>
      </c>
      <c r="F843" t="s">
        <v>674</v>
      </c>
      <c r="G843" t="s">
        <v>306</v>
      </c>
      <c r="H843" t="s">
        <v>254</v>
      </c>
      <c r="I843" t="s">
        <v>675</v>
      </c>
      <c r="J843" t="s">
        <v>676</v>
      </c>
      <c r="K843" t="s">
        <v>677</v>
      </c>
      <c r="L843" t="s">
        <v>628</v>
      </c>
      <c r="M843" t="s">
        <v>678</v>
      </c>
      <c r="N843" t="s">
        <v>679</v>
      </c>
      <c r="O843" t="s">
        <v>680</v>
      </c>
    </row>
    <row r="844" spans="1:16">
      <c r="A844" t="str">
        <f t="shared" si="12"/>
        <v>OL01GCP TIME</v>
      </c>
      <c r="B844" t="s">
        <v>19</v>
      </c>
      <c r="C844" t="s">
        <v>142</v>
      </c>
      <c r="D844" t="s">
        <v>201</v>
      </c>
      <c r="E844" t="s">
        <v>201</v>
      </c>
      <c r="F844" t="s">
        <v>201</v>
      </c>
      <c r="G844" t="s">
        <v>201</v>
      </c>
      <c r="H844" t="s">
        <v>201</v>
      </c>
      <c r="I844" t="s">
        <v>201</v>
      </c>
      <c r="J844" t="s">
        <v>201</v>
      </c>
      <c r="K844" t="s">
        <v>201</v>
      </c>
      <c r="L844" t="s">
        <v>201</v>
      </c>
      <c r="M844" t="s">
        <v>201</v>
      </c>
      <c r="N844" t="s">
        <v>201</v>
      </c>
      <c r="O844" t="s">
        <v>201</v>
      </c>
    </row>
    <row r="845" spans="1:16">
      <c r="A845" t="str">
        <f t="shared" si="12"/>
        <v>OL01GCP</v>
      </c>
      <c r="B845" t="s">
        <v>19</v>
      </c>
      <c r="C845" t="s">
        <v>147</v>
      </c>
      <c r="D845">
        <v>20308</v>
      </c>
      <c r="E845">
        <v>23536</v>
      </c>
      <c r="F845">
        <v>22679</v>
      </c>
      <c r="G845">
        <v>24797</v>
      </c>
      <c r="H845">
        <v>25707</v>
      </c>
      <c r="I845">
        <v>27201</v>
      </c>
      <c r="J845">
        <v>26082</v>
      </c>
      <c r="K845">
        <v>24714</v>
      </c>
      <c r="L845">
        <v>23891</v>
      </c>
      <c r="M845">
        <v>21754</v>
      </c>
      <c r="N845">
        <v>21117</v>
      </c>
      <c r="O845">
        <v>20192</v>
      </c>
    </row>
    <row r="846" spans="1:16">
      <c r="A846" t="str">
        <f t="shared" si="12"/>
        <v>OL01GCP ONPK</v>
      </c>
      <c r="B846" t="s">
        <v>19</v>
      </c>
      <c r="C846" t="s">
        <v>63</v>
      </c>
      <c r="D846">
        <v>20308</v>
      </c>
      <c r="E846">
        <v>23536</v>
      </c>
      <c r="F846">
        <v>22679</v>
      </c>
      <c r="G846">
        <v>24797</v>
      </c>
      <c r="H846">
        <v>25707</v>
      </c>
      <c r="I846">
        <v>23578</v>
      </c>
      <c r="J846">
        <v>22608</v>
      </c>
      <c r="K846">
        <v>24714</v>
      </c>
      <c r="L846">
        <v>23891</v>
      </c>
      <c r="M846">
        <v>21754</v>
      </c>
      <c r="N846">
        <v>21117</v>
      </c>
      <c r="O846">
        <v>20192</v>
      </c>
    </row>
    <row r="847" spans="1:16">
      <c r="A847" t="str">
        <f t="shared" si="12"/>
        <v>OL01GCP OFFPK</v>
      </c>
      <c r="B847" t="s">
        <v>19</v>
      </c>
      <c r="C847" t="s">
        <v>64</v>
      </c>
      <c r="D847">
        <v>20308</v>
      </c>
      <c r="E847">
        <v>23536</v>
      </c>
      <c r="F847">
        <v>22679</v>
      </c>
      <c r="G847">
        <v>24797</v>
      </c>
      <c r="H847">
        <v>25707</v>
      </c>
      <c r="I847">
        <v>27201</v>
      </c>
      <c r="J847">
        <v>26082</v>
      </c>
      <c r="K847">
        <v>24714</v>
      </c>
      <c r="L847">
        <v>23891</v>
      </c>
      <c r="M847">
        <v>21754</v>
      </c>
      <c r="N847">
        <v>21117</v>
      </c>
      <c r="O847">
        <v>20192</v>
      </c>
    </row>
    <row r="848" spans="1:16">
      <c r="A848" t="str">
        <f t="shared" si="12"/>
        <v>OL01CP</v>
      </c>
      <c r="B848" t="s">
        <v>19</v>
      </c>
      <c r="C848" t="s">
        <v>148</v>
      </c>
      <c r="D848">
        <v>2375</v>
      </c>
      <c r="E848">
        <v>0</v>
      </c>
      <c r="F848">
        <v>0</v>
      </c>
      <c r="G848">
        <v>0</v>
      </c>
      <c r="H848">
        <v>0</v>
      </c>
      <c r="I848">
        <v>0</v>
      </c>
      <c r="J848">
        <v>0</v>
      </c>
      <c r="K848">
        <v>0</v>
      </c>
      <c r="L848">
        <v>0</v>
      </c>
      <c r="M848">
        <v>0</v>
      </c>
      <c r="N848">
        <v>0</v>
      </c>
      <c r="O848">
        <v>0</v>
      </c>
    </row>
    <row r="849" spans="1:16">
      <c r="A849" t="str">
        <f t="shared" si="12"/>
        <v>OL01PERIOD START</v>
      </c>
      <c r="B849" t="s">
        <v>19</v>
      </c>
      <c r="C849" t="s">
        <v>149</v>
      </c>
      <c r="D849" s="1">
        <v>41640</v>
      </c>
      <c r="E849" s="1">
        <v>41671</v>
      </c>
      <c r="F849" s="1">
        <v>41699</v>
      </c>
      <c r="G849" s="1">
        <v>41730</v>
      </c>
      <c r="H849" s="1">
        <v>41760</v>
      </c>
      <c r="I849" s="1">
        <v>41791</v>
      </c>
      <c r="J849" s="1">
        <v>41821</v>
      </c>
      <c r="K849" s="1">
        <v>41852</v>
      </c>
      <c r="L849" s="1">
        <v>41883</v>
      </c>
      <c r="M849" s="1">
        <v>41913</v>
      </c>
      <c r="N849" s="1">
        <v>41944</v>
      </c>
      <c r="O849" s="1">
        <v>41974</v>
      </c>
      <c r="P849" s="1"/>
    </row>
    <row r="850" spans="1:16">
      <c r="A850" t="str">
        <f t="shared" si="12"/>
        <v>OL01NCP LF</v>
      </c>
      <c r="B850" t="s">
        <v>19</v>
      </c>
      <c r="C850" t="s">
        <v>150</v>
      </c>
      <c r="D850" s="5">
        <v>0.55220000000000002</v>
      </c>
      <c r="E850" s="5">
        <v>0.53059999999999996</v>
      </c>
      <c r="F850" s="5">
        <v>0.49959999999999999</v>
      </c>
      <c r="G850" s="5">
        <v>0.46810000000000002</v>
      </c>
      <c r="H850" s="5">
        <v>0.44180000000000003</v>
      </c>
      <c r="I850" s="5">
        <v>0.42880000000000001</v>
      </c>
      <c r="J850" s="5">
        <v>0.4345</v>
      </c>
      <c r="K850" s="5">
        <v>0.45629999999999998</v>
      </c>
      <c r="L850" s="5">
        <v>0.48659999999999998</v>
      </c>
      <c r="M850" s="5">
        <v>0.51849999999999996</v>
      </c>
      <c r="N850" s="5">
        <v>0.54579999999999995</v>
      </c>
      <c r="O850" s="5">
        <v>0.55859999999999999</v>
      </c>
      <c r="P850" s="5"/>
    </row>
    <row r="851" spans="1:16">
      <c r="A851" t="str">
        <f t="shared" si="12"/>
        <v>OL01NCP LF ONPK</v>
      </c>
      <c r="B851" t="s">
        <v>19</v>
      </c>
      <c r="C851" t="s">
        <v>151</v>
      </c>
      <c r="D851" s="5">
        <v>0.63770000000000004</v>
      </c>
      <c r="E851" s="5">
        <v>0.58879999999999999</v>
      </c>
      <c r="F851" s="5">
        <v>0.5</v>
      </c>
      <c r="G851" s="5">
        <v>0.14050000000000001</v>
      </c>
      <c r="H851" s="5">
        <v>0.1129</v>
      </c>
      <c r="I851" s="5">
        <v>0.1019</v>
      </c>
      <c r="J851" s="5">
        <v>9.9599999999999994E-2</v>
      </c>
      <c r="K851" s="5">
        <v>0.1174</v>
      </c>
      <c r="L851" s="5">
        <v>0.17560000000000001</v>
      </c>
      <c r="M851" s="5">
        <v>0.23580000000000001</v>
      </c>
      <c r="N851" s="5">
        <v>0.5806</v>
      </c>
      <c r="O851" s="5">
        <v>0.62060000000000004</v>
      </c>
      <c r="P851" s="5"/>
    </row>
    <row r="852" spans="1:16">
      <c r="A852" t="str">
        <f t="shared" si="12"/>
        <v>OL01NCP LF OFFPK</v>
      </c>
      <c r="B852" t="s">
        <v>19</v>
      </c>
      <c r="C852" t="s">
        <v>152</v>
      </c>
      <c r="D852" s="5">
        <v>0.52569999999999995</v>
      </c>
      <c r="E852" s="5">
        <v>0.51229999999999998</v>
      </c>
      <c r="F852" s="5">
        <v>0.49940000000000001</v>
      </c>
      <c r="G852" s="5">
        <v>0.59240000000000004</v>
      </c>
      <c r="H852" s="5">
        <v>0.55389999999999995</v>
      </c>
      <c r="I852" s="5">
        <v>0.55000000000000004</v>
      </c>
      <c r="J852" s="5">
        <v>0.56069999999999998</v>
      </c>
      <c r="K852" s="5">
        <v>0.57169999999999999</v>
      </c>
      <c r="L852" s="5">
        <v>0.59730000000000005</v>
      </c>
      <c r="M852" s="5">
        <v>0.62749999999999995</v>
      </c>
      <c r="N852" s="5">
        <v>0.53649999999999998</v>
      </c>
      <c r="O852" s="5">
        <v>0.53939999999999999</v>
      </c>
      <c r="P852" s="5"/>
    </row>
    <row r="853" spans="1:16">
      <c r="A853" t="str">
        <f t="shared" si="12"/>
        <v>OL01GCP CF</v>
      </c>
      <c r="B853" t="s">
        <v>19</v>
      </c>
      <c r="C853" t="s">
        <v>153</v>
      </c>
      <c r="D853" s="5">
        <v>1</v>
      </c>
      <c r="E853" s="5">
        <v>1</v>
      </c>
      <c r="F853" s="5">
        <v>1</v>
      </c>
      <c r="G853" s="5">
        <v>1</v>
      </c>
      <c r="H853" s="5">
        <v>1</v>
      </c>
      <c r="I853" s="5">
        <v>1</v>
      </c>
      <c r="J853" s="5">
        <v>1</v>
      </c>
      <c r="K853" s="5">
        <v>1</v>
      </c>
      <c r="L853" s="5">
        <v>1</v>
      </c>
      <c r="M853" s="5">
        <v>1</v>
      </c>
      <c r="N853" s="5">
        <v>1</v>
      </c>
      <c r="O853" s="5">
        <v>1</v>
      </c>
      <c r="P853" s="5"/>
    </row>
    <row r="854" spans="1:16">
      <c r="A854" t="str">
        <f t="shared" si="12"/>
        <v>OL01CP CF</v>
      </c>
      <c r="B854" t="s">
        <v>19</v>
      </c>
      <c r="C854" t="s">
        <v>154</v>
      </c>
      <c r="D854" s="5">
        <v>0.1169</v>
      </c>
      <c r="E854" s="5">
        <v>0</v>
      </c>
      <c r="F854" s="5">
        <v>0</v>
      </c>
      <c r="G854" s="5">
        <v>0</v>
      </c>
      <c r="H854" s="5">
        <v>0</v>
      </c>
      <c r="I854" s="5">
        <v>0</v>
      </c>
      <c r="J854" s="5">
        <v>0</v>
      </c>
      <c r="K854" s="5">
        <v>0</v>
      </c>
      <c r="L854" s="5">
        <v>0</v>
      </c>
      <c r="M854" s="5">
        <v>0</v>
      </c>
      <c r="N854" s="5">
        <v>0</v>
      </c>
      <c r="O854" s="5">
        <v>0</v>
      </c>
      <c r="P854" s="5"/>
    </row>
    <row r="855" spans="1:16">
      <c r="A855" t="str">
        <f t="shared" si="12"/>
        <v>OL01GCP LF</v>
      </c>
      <c r="B855" t="s">
        <v>19</v>
      </c>
      <c r="C855" t="s">
        <v>155</v>
      </c>
      <c r="D855" s="5">
        <v>0.55220000000000002</v>
      </c>
      <c r="E855" s="5">
        <v>0.53059999999999996</v>
      </c>
      <c r="F855" s="5">
        <v>0.49959999999999999</v>
      </c>
      <c r="G855" s="5">
        <v>0.46810000000000002</v>
      </c>
      <c r="H855" s="5">
        <v>0.44180000000000003</v>
      </c>
      <c r="I855" s="5">
        <v>0.42880000000000001</v>
      </c>
      <c r="J855" s="5">
        <v>0.4345</v>
      </c>
      <c r="K855" s="5">
        <v>0.45629999999999998</v>
      </c>
      <c r="L855" s="5">
        <v>0.48659999999999998</v>
      </c>
      <c r="M855" s="5">
        <v>0.51849999999999996</v>
      </c>
      <c r="N855" s="5">
        <v>0.54579999999999995</v>
      </c>
      <c r="O855" s="5">
        <v>0.55859999999999999</v>
      </c>
      <c r="P855" s="5"/>
    </row>
    <row r="856" spans="1:16">
      <c r="A856" t="str">
        <f t="shared" si="12"/>
        <v>OL01GCP LF ONPK</v>
      </c>
      <c r="B856" t="s">
        <v>19</v>
      </c>
      <c r="C856" t="s">
        <v>156</v>
      </c>
      <c r="D856" s="5">
        <v>0.63770000000000004</v>
      </c>
      <c r="E856" s="5">
        <v>0.58879999999999999</v>
      </c>
      <c r="F856" s="5">
        <v>0.5</v>
      </c>
      <c r="G856" s="5">
        <v>0.14050000000000001</v>
      </c>
      <c r="H856" s="5">
        <v>0.1129</v>
      </c>
      <c r="I856" s="5">
        <v>0.1019</v>
      </c>
      <c r="J856" s="5">
        <v>9.9599999999999994E-2</v>
      </c>
      <c r="K856" s="5">
        <v>0.1174</v>
      </c>
      <c r="L856" s="5">
        <v>0.17560000000000001</v>
      </c>
      <c r="M856" s="5">
        <v>0.23580000000000001</v>
      </c>
      <c r="N856" s="5">
        <v>0.5806</v>
      </c>
      <c r="O856" s="5">
        <v>0.62060000000000004</v>
      </c>
      <c r="P856" s="5"/>
    </row>
    <row r="857" spans="1:16">
      <c r="A857" t="str">
        <f t="shared" si="12"/>
        <v>OL01GCP LF OFFPK</v>
      </c>
      <c r="B857" t="s">
        <v>19</v>
      </c>
      <c r="C857" t="s">
        <v>157</v>
      </c>
      <c r="D857" s="5">
        <v>0.52569999999999995</v>
      </c>
      <c r="E857" s="5">
        <v>0.51229999999999998</v>
      </c>
      <c r="F857" s="5">
        <v>0.49940000000000001</v>
      </c>
      <c r="G857" s="5">
        <v>0.59240000000000004</v>
      </c>
      <c r="H857" s="5">
        <v>0.55389999999999995</v>
      </c>
      <c r="I857" s="5">
        <v>0.55000000000000004</v>
      </c>
      <c r="J857" s="5">
        <v>0.56069999999999998</v>
      </c>
      <c r="K857" s="5">
        <v>0.57169999999999999</v>
      </c>
      <c r="L857" s="5">
        <v>0.59730000000000005</v>
      </c>
      <c r="M857" s="5">
        <v>0.62749999999999995</v>
      </c>
      <c r="N857" s="5">
        <v>0.53649999999999998</v>
      </c>
      <c r="O857" s="5">
        <v>0.53939999999999999</v>
      </c>
      <c r="P857" s="5"/>
    </row>
    <row r="858" spans="1:16">
      <c r="A858" t="str">
        <f t="shared" si="12"/>
        <v>OL01CP LF</v>
      </c>
      <c r="B858" t="s">
        <v>19</v>
      </c>
      <c r="C858" t="s">
        <v>158</v>
      </c>
      <c r="D858" s="5">
        <v>4.7222</v>
      </c>
      <c r="E858" s="5">
        <v>0</v>
      </c>
      <c r="F858" s="5">
        <v>0</v>
      </c>
      <c r="G858" s="5">
        <v>0</v>
      </c>
      <c r="H858" s="5">
        <v>0</v>
      </c>
      <c r="I858" s="5">
        <v>0</v>
      </c>
      <c r="J858" s="5">
        <v>0</v>
      </c>
      <c r="K858" s="5">
        <v>0</v>
      </c>
      <c r="L858" s="5">
        <v>0</v>
      </c>
      <c r="M858" s="5">
        <v>0</v>
      </c>
      <c r="N858" s="5">
        <v>0</v>
      </c>
      <c r="O858" s="5">
        <v>0</v>
      </c>
      <c r="P858" s="5"/>
    </row>
    <row r="859" spans="1:16">
      <c r="A859" t="str">
        <f t="shared" si="12"/>
        <v>OL01REL PREC:</v>
      </c>
      <c r="B859" t="s">
        <v>19</v>
      </c>
      <c r="C859" t="s">
        <v>65</v>
      </c>
    </row>
    <row r="860" spans="1:16">
      <c r="A860" t="str">
        <f t="shared" si="12"/>
        <v>OL01NCP RP</v>
      </c>
      <c r="B860" t="s">
        <v>19</v>
      </c>
      <c r="C860" t="s">
        <v>159</v>
      </c>
      <c r="D860" s="5">
        <v>0</v>
      </c>
      <c r="E860" s="5">
        <v>0</v>
      </c>
      <c r="F860" s="5">
        <v>0</v>
      </c>
      <c r="G860" s="5">
        <v>0</v>
      </c>
      <c r="H860" s="5">
        <v>0</v>
      </c>
      <c r="I860" s="5">
        <v>0</v>
      </c>
      <c r="J860" s="5">
        <v>0</v>
      </c>
      <c r="K860" s="5">
        <v>0</v>
      </c>
      <c r="L860" s="5">
        <v>0</v>
      </c>
      <c r="M860" s="5">
        <v>0</v>
      </c>
      <c r="N860" s="5">
        <v>0</v>
      </c>
      <c r="O860" s="5">
        <v>0</v>
      </c>
      <c r="P860" s="5"/>
    </row>
    <row r="861" spans="1:16">
      <c r="A861" t="str">
        <f t="shared" si="12"/>
        <v>OL01NCP RP ONPK</v>
      </c>
      <c r="B861" t="s">
        <v>19</v>
      </c>
      <c r="C861" t="s">
        <v>160</v>
      </c>
      <c r="D861" s="5">
        <v>0</v>
      </c>
      <c r="E861" s="5">
        <v>0</v>
      </c>
      <c r="F861" s="5">
        <v>0</v>
      </c>
      <c r="G861" s="5">
        <v>0</v>
      </c>
      <c r="H861" s="5">
        <v>0</v>
      </c>
      <c r="I861" s="5">
        <v>0</v>
      </c>
      <c r="J861" s="5">
        <v>0</v>
      </c>
      <c r="K861" s="5">
        <v>0</v>
      </c>
      <c r="L861" s="5">
        <v>0</v>
      </c>
      <c r="M861" s="5">
        <v>0</v>
      </c>
      <c r="N861" s="5">
        <v>0</v>
      </c>
      <c r="O861" s="5">
        <v>0</v>
      </c>
      <c r="P861" s="5"/>
    </row>
    <row r="862" spans="1:16">
      <c r="A862" t="str">
        <f t="shared" si="12"/>
        <v>OL01NCP RP OFFPK</v>
      </c>
      <c r="B862" t="s">
        <v>19</v>
      </c>
      <c r="C862" t="s">
        <v>161</v>
      </c>
      <c r="D862" s="5">
        <v>0</v>
      </c>
      <c r="E862" s="5">
        <v>0</v>
      </c>
      <c r="F862" s="5">
        <v>0</v>
      </c>
      <c r="G862" s="5">
        <v>0</v>
      </c>
      <c r="H862" s="5">
        <v>0</v>
      </c>
      <c r="I862" s="5">
        <v>0</v>
      </c>
      <c r="J862" s="5">
        <v>0</v>
      </c>
      <c r="K862" s="5">
        <v>0</v>
      </c>
      <c r="L862" s="5">
        <v>0</v>
      </c>
      <c r="M862" s="5">
        <v>0</v>
      </c>
      <c r="N862" s="5">
        <v>0</v>
      </c>
      <c r="O862" s="5">
        <v>0</v>
      </c>
      <c r="P862" s="5"/>
    </row>
    <row r="863" spans="1:16">
      <c r="A863" t="str">
        <f t="shared" si="12"/>
        <v>OL01GCP RP</v>
      </c>
      <c r="B863" t="s">
        <v>19</v>
      </c>
      <c r="C863" t="s">
        <v>162</v>
      </c>
      <c r="D863" s="5">
        <v>0</v>
      </c>
      <c r="E863" s="5">
        <v>0</v>
      </c>
      <c r="F863" s="5">
        <v>0</v>
      </c>
      <c r="G863" s="5">
        <v>0</v>
      </c>
      <c r="H863" s="5">
        <v>0</v>
      </c>
      <c r="I863" s="5">
        <v>0</v>
      </c>
      <c r="J863" s="5">
        <v>0</v>
      </c>
      <c r="K863" s="5">
        <v>0</v>
      </c>
      <c r="L863" s="5">
        <v>0</v>
      </c>
      <c r="M863" s="5">
        <v>0</v>
      </c>
      <c r="N863" s="5">
        <v>0</v>
      </c>
      <c r="O863" s="5">
        <v>0</v>
      </c>
      <c r="P863" s="5"/>
    </row>
    <row r="864" spans="1:16">
      <c r="A864" t="str">
        <f t="shared" si="12"/>
        <v>OL01GCP RP ONPK</v>
      </c>
      <c r="B864" t="s">
        <v>19</v>
      </c>
      <c r="C864" t="s">
        <v>163</v>
      </c>
      <c r="D864" s="5">
        <v>0</v>
      </c>
      <c r="E864" s="5">
        <v>0</v>
      </c>
      <c r="F864" s="5">
        <v>0</v>
      </c>
      <c r="G864" s="5">
        <v>0</v>
      </c>
      <c r="H864" s="5">
        <v>0</v>
      </c>
      <c r="I864" s="5">
        <v>0</v>
      </c>
      <c r="J864" s="5">
        <v>0</v>
      </c>
      <c r="K864" s="5">
        <v>0</v>
      </c>
      <c r="L864" s="5">
        <v>0</v>
      </c>
      <c r="M864" s="5">
        <v>0</v>
      </c>
      <c r="N864" s="5">
        <v>0</v>
      </c>
      <c r="O864" s="5">
        <v>0</v>
      </c>
      <c r="P864" s="5"/>
    </row>
    <row r="865" spans="1:16">
      <c r="A865" t="str">
        <f t="shared" si="12"/>
        <v>OL01GCP RP OFFPK</v>
      </c>
      <c r="B865" t="s">
        <v>19</v>
      </c>
      <c r="C865" t="s">
        <v>164</v>
      </c>
      <c r="D865" s="5">
        <v>0</v>
      </c>
      <c r="E865" s="5">
        <v>0</v>
      </c>
      <c r="F865" s="5">
        <v>0</v>
      </c>
      <c r="G865" s="5">
        <v>0</v>
      </c>
      <c r="H865" s="5">
        <v>0</v>
      </c>
      <c r="I865" s="5">
        <v>0</v>
      </c>
      <c r="J865" s="5">
        <v>0</v>
      </c>
      <c r="K865" s="5">
        <v>0</v>
      </c>
      <c r="L865" s="5">
        <v>0</v>
      </c>
      <c r="M865" s="5">
        <v>0</v>
      </c>
      <c r="N865" s="5">
        <v>0</v>
      </c>
      <c r="O865" s="5">
        <v>0</v>
      </c>
      <c r="P865" s="5"/>
    </row>
    <row r="866" spans="1:16">
      <c r="A866" t="str">
        <f t="shared" si="12"/>
        <v>OL01CP RP</v>
      </c>
      <c r="B866" t="s">
        <v>19</v>
      </c>
      <c r="C866" t="s">
        <v>165</v>
      </c>
      <c r="D866" s="5">
        <v>0</v>
      </c>
      <c r="E866" s="5">
        <v>0</v>
      </c>
      <c r="F866" s="5">
        <v>0</v>
      </c>
      <c r="G866" s="5">
        <v>0</v>
      </c>
      <c r="H866" s="5">
        <v>0</v>
      </c>
      <c r="I866" s="5">
        <v>0</v>
      </c>
      <c r="J866" s="5">
        <v>0</v>
      </c>
      <c r="K866" s="5">
        <v>0</v>
      </c>
      <c r="L866" s="5">
        <v>0</v>
      </c>
      <c r="M866" s="5">
        <v>0</v>
      </c>
      <c r="N866" s="5">
        <v>0</v>
      </c>
      <c r="O866" s="5">
        <v>0</v>
      </c>
      <c r="P866" s="5"/>
    </row>
    <row r="867" spans="1:16">
      <c r="A867" t="str">
        <f t="shared" si="12"/>
        <v>OL01SAMPLE SIZE:</v>
      </c>
      <c r="B867" t="s">
        <v>19</v>
      </c>
      <c r="C867" t="s">
        <v>66</v>
      </c>
    </row>
    <row r="868" spans="1:16">
      <c r="A868" t="str">
        <f t="shared" si="12"/>
        <v>OL01GCPSZ</v>
      </c>
      <c r="B868" t="s">
        <v>19</v>
      </c>
      <c r="C868" t="s">
        <v>166</v>
      </c>
      <c r="D868">
        <v>1</v>
      </c>
      <c r="E868">
        <v>1</v>
      </c>
      <c r="F868">
        <v>1</v>
      </c>
      <c r="G868">
        <v>1</v>
      </c>
      <c r="H868">
        <v>1</v>
      </c>
      <c r="I868">
        <v>1</v>
      </c>
      <c r="J868">
        <v>1</v>
      </c>
      <c r="K868">
        <v>1</v>
      </c>
      <c r="L868">
        <v>1</v>
      </c>
      <c r="M868">
        <v>1</v>
      </c>
      <c r="N868">
        <v>1</v>
      </c>
      <c r="O868">
        <v>1</v>
      </c>
    </row>
    <row r="869" spans="1:16">
      <c r="A869" t="str">
        <f t="shared" si="12"/>
        <v>OL01GCPSZ ONPK</v>
      </c>
      <c r="B869" t="s">
        <v>19</v>
      </c>
      <c r="C869" t="s">
        <v>167</v>
      </c>
      <c r="D869">
        <v>1</v>
      </c>
      <c r="E869">
        <v>1</v>
      </c>
      <c r="F869">
        <v>1</v>
      </c>
      <c r="G869">
        <v>1</v>
      </c>
      <c r="H869">
        <v>1</v>
      </c>
      <c r="I869">
        <v>1</v>
      </c>
      <c r="J869">
        <v>1</v>
      </c>
      <c r="K869">
        <v>1</v>
      </c>
      <c r="L869">
        <v>1</v>
      </c>
      <c r="M869">
        <v>1</v>
      </c>
      <c r="N869">
        <v>1</v>
      </c>
      <c r="O869">
        <v>1</v>
      </c>
    </row>
    <row r="870" spans="1:16">
      <c r="A870" t="str">
        <f t="shared" si="12"/>
        <v>OL01GCPSZ OFFPK</v>
      </c>
      <c r="B870" t="s">
        <v>19</v>
      </c>
      <c r="C870" t="s">
        <v>168</v>
      </c>
      <c r="D870">
        <v>1</v>
      </c>
      <c r="E870">
        <v>1</v>
      </c>
      <c r="F870">
        <v>1</v>
      </c>
      <c r="G870">
        <v>1</v>
      </c>
      <c r="H870">
        <v>1</v>
      </c>
      <c r="I870">
        <v>1</v>
      </c>
      <c r="J870">
        <v>1</v>
      </c>
      <c r="K870">
        <v>1</v>
      </c>
      <c r="L870">
        <v>1</v>
      </c>
      <c r="M870">
        <v>1</v>
      </c>
      <c r="N870">
        <v>1</v>
      </c>
      <c r="O870">
        <v>1</v>
      </c>
    </row>
    <row r="871" spans="1:16">
      <c r="A871" t="str">
        <f t="shared" si="12"/>
        <v>OL01CPSZ</v>
      </c>
      <c r="B871" t="s">
        <v>19</v>
      </c>
      <c r="C871" t="s">
        <v>169</v>
      </c>
      <c r="D871">
        <v>1</v>
      </c>
      <c r="E871">
        <v>1</v>
      </c>
      <c r="F871">
        <v>1</v>
      </c>
      <c r="G871">
        <v>1</v>
      </c>
      <c r="H871">
        <v>1</v>
      </c>
      <c r="I871">
        <v>1</v>
      </c>
      <c r="J871">
        <v>1</v>
      </c>
      <c r="K871">
        <v>1</v>
      </c>
      <c r="L871">
        <v>1</v>
      </c>
      <c r="M871">
        <v>1</v>
      </c>
      <c r="N871">
        <v>1</v>
      </c>
      <c r="O871">
        <v>1</v>
      </c>
    </row>
    <row r="872" spans="1:16">
      <c r="A872" t="str">
        <f t="shared" si="12"/>
        <v/>
      </c>
    </row>
    <row r="873" spans="1:16">
      <c r="A873" t="str">
        <f t="shared" si="12"/>
        <v/>
      </c>
    </row>
    <row r="874" spans="1:16">
      <c r="A874" t="str">
        <f t="shared" si="12"/>
        <v/>
      </c>
    </row>
    <row r="875" spans="1:16">
      <c r="A875" t="str">
        <f t="shared" si="12"/>
        <v xml:space="preserve">OS202 Sports Field (Sampled) </v>
      </c>
      <c r="B875" t="s">
        <v>20</v>
      </c>
      <c r="C875" t="s">
        <v>21</v>
      </c>
    </row>
    <row r="876" spans="1:16">
      <c r="A876" t="str">
        <f t="shared" si="12"/>
        <v xml:space="preserve">OS202MONTH </v>
      </c>
      <c r="B876" t="s">
        <v>22</v>
      </c>
      <c r="C876" t="s">
        <v>123</v>
      </c>
      <c r="D876" s="4">
        <v>41640</v>
      </c>
      <c r="E876" s="4">
        <v>41671</v>
      </c>
      <c r="F876" s="4">
        <v>41699</v>
      </c>
      <c r="G876" s="4">
        <v>41730</v>
      </c>
      <c r="H876" s="4">
        <v>41760</v>
      </c>
      <c r="I876" s="4">
        <v>41791</v>
      </c>
      <c r="J876" s="4">
        <v>41821</v>
      </c>
      <c r="K876" s="4">
        <v>41852</v>
      </c>
      <c r="L876" s="4">
        <v>41883</v>
      </c>
      <c r="M876" s="4">
        <v>41913</v>
      </c>
      <c r="N876" s="4">
        <v>41944</v>
      </c>
      <c r="O876" s="4">
        <v>41974</v>
      </c>
      <c r="P876" s="4"/>
    </row>
    <row r="877" spans="1:16">
      <c r="A877" t="str">
        <f t="shared" si="12"/>
        <v xml:space="preserve">OS202CUSTOMERS </v>
      </c>
      <c r="B877" t="s">
        <v>22</v>
      </c>
      <c r="C877" t="s">
        <v>124</v>
      </c>
      <c r="D877">
        <v>185</v>
      </c>
      <c r="E877">
        <v>185</v>
      </c>
      <c r="F877">
        <v>185</v>
      </c>
      <c r="G877">
        <v>185</v>
      </c>
      <c r="H877">
        <v>185</v>
      </c>
      <c r="I877">
        <v>185</v>
      </c>
      <c r="J877">
        <v>185</v>
      </c>
      <c r="K877">
        <v>185</v>
      </c>
      <c r="L877">
        <v>185</v>
      </c>
      <c r="M877">
        <v>185</v>
      </c>
      <c r="N877">
        <v>185</v>
      </c>
      <c r="O877">
        <v>184</v>
      </c>
    </row>
    <row r="878" spans="1:16">
      <c r="A878" t="str">
        <f t="shared" si="12"/>
        <v xml:space="preserve">OS202SALES </v>
      </c>
      <c r="B878" t="s">
        <v>22</v>
      </c>
      <c r="C878" t="s">
        <v>125</v>
      </c>
      <c r="D878">
        <v>893542</v>
      </c>
      <c r="E878">
        <v>1037077</v>
      </c>
      <c r="F878">
        <v>1100267</v>
      </c>
      <c r="G878">
        <v>915390</v>
      </c>
      <c r="H878">
        <v>927409</v>
      </c>
      <c r="I878">
        <v>867087</v>
      </c>
      <c r="J878">
        <v>751333</v>
      </c>
      <c r="K878">
        <v>746702</v>
      </c>
      <c r="L878">
        <v>964676</v>
      </c>
      <c r="M878">
        <v>972237</v>
      </c>
      <c r="N878">
        <v>1136693</v>
      </c>
      <c r="O878">
        <v>972313</v>
      </c>
    </row>
    <row r="879" spans="1:16">
      <c r="A879" t="str">
        <f t="shared" ref="A879:A942" si="13">B879&amp;C879</f>
        <v>OS202KW</v>
      </c>
      <c r="B879" t="s">
        <v>22</v>
      </c>
      <c r="C879" t="s">
        <v>126</v>
      </c>
    </row>
    <row r="880" spans="1:16">
      <c r="A880" t="str">
        <f t="shared" si="13"/>
        <v>OS202N</v>
      </c>
      <c r="B880" t="s">
        <v>22</v>
      </c>
      <c r="C880" t="s">
        <v>127</v>
      </c>
      <c r="D880">
        <v>185</v>
      </c>
      <c r="E880">
        <v>185</v>
      </c>
      <c r="F880">
        <v>185</v>
      </c>
      <c r="G880">
        <v>185</v>
      </c>
      <c r="H880">
        <v>185</v>
      </c>
      <c r="I880">
        <v>185</v>
      </c>
      <c r="J880">
        <v>185</v>
      </c>
      <c r="K880">
        <v>185</v>
      </c>
      <c r="L880">
        <v>185</v>
      </c>
      <c r="M880">
        <v>185</v>
      </c>
      <c r="N880">
        <v>185</v>
      </c>
      <c r="O880">
        <v>184</v>
      </c>
    </row>
    <row r="881" spans="1:16">
      <c r="A881" t="str">
        <f t="shared" si="13"/>
        <v>OS202RLR ENERGY:</v>
      </c>
      <c r="B881" t="s">
        <v>22</v>
      </c>
      <c r="C881" t="s">
        <v>61</v>
      </c>
    </row>
    <row r="882" spans="1:16">
      <c r="A882" t="str">
        <f t="shared" si="13"/>
        <v>OS202KWH</v>
      </c>
      <c r="B882" t="s">
        <v>22</v>
      </c>
      <c r="C882" t="s">
        <v>128</v>
      </c>
      <c r="D882">
        <v>893542</v>
      </c>
      <c r="E882">
        <v>1037182</v>
      </c>
      <c r="F882">
        <v>1100267</v>
      </c>
      <c r="G882">
        <v>915390</v>
      </c>
      <c r="H882">
        <v>927409</v>
      </c>
      <c r="I882">
        <v>867087</v>
      </c>
      <c r="J882">
        <v>751424</v>
      </c>
      <c r="K882">
        <v>746702</v>
      </c>
      <c r="L882">
        <v>964676</v>
      </c>
      <c r="M882">
        <v>972237</v>
      </c>
      <c r="N882">
        <v>1136775</v>
      </c>
      <c r="O882">
        <v>972363</v>
      </c>
    </row>
    <row r="883" spans="1:16">
      <c r="A883" t="str">
        <f t="shared" si="13"/>
        <v>OS202KWH ONPK</v>
      </c>
      <c r="B883" t="s">
        <v>22</v>
      </c>
      <c r="C883" t="s">
        <v>129</v>
      </c>
      <c r="D883">
        <v>470346</v>
      </c>
      <c r="E883">
        <v>584896</v>
      </c>
      <c r="F883">
        <v>543296</v>
      </c>
      <c r="G883">
        <v>417801</v>
      </c>
      <c r="H883">
        <v>359964</v>
      </c>
      <c r="I883">
        <v>307040</v>
      </c>
      <c r="J883">
        <v>263462</v>
      </c>
      <c r="K883">
        <v>273582</v>
      </c>
      <c r="L883">
        <v>416572</v>
      </c>
      <c r="M883">
        <v>498345</v>
      </c>
      <c r="N883">
        <v>561194</v>
      </c>
      <c r="O883">
        <v>470120</v>
      </c>
    </row>
    <row r="884" spans="1:16">
      <c r="A884" t="str">
        <f t="shared" si="13"/>
        <v>OS202KWH OFFPK</v>
      </c>
      <c r="B884" t="s">
        <v>22</v>
      </c>
      <c r="C884" t="s">
        <v>130</v>
      </c>
      <c r="D884">
        <v>423196</v>
      </c>
      <c r="E884">
        <v>452286</v>
      </c>
      <c r="F884">
        <v>556971</v>
      </c>
      <c r="G884">
        <v>497589</v>
      </c>
      <c r="H884">
        <v>567445</v>
      </c>
      <c r="I884">
        <v>560047</v>
      </c>
      <c r="J884">
        <v>487962</v>
      </c>
      <c r="K884">
        <v>473120</v>
      </c>
      <c r="L884">
        <v>548104</v>
      </c>
      <c r="M884">
        <v>473892</v>
      </c>
      <c r="N884">
        <v>575581</v>
      </c>
      <c r="O884">
        <v>502243</v>
      </c>
    </row>
    <row r="885" spans="1:16">
      <c r="A885" t="str">
        <f t="shared" si="13"/>
        <v>OS202KWH ONPK%</v>
      </c>
      <c r="B885" t="s">
        <v>22</v>
      </c>
      <c r="C885" t="s">
        <v>131</v>
      </c>
      <c r="D885" s="5">
        <v>0.52637999999999996</v>
      </c>
      <c r="E885" s="5">
        <v>0.56393000000000004</v>
      </c>
      <c r="F885" s="5">
        <v>0.49379000000000001</v>
      </c>
      <c r="G885" s="5">
        <v>0.45641999999999999</v>
      </c>
      <c r="H885" s="5">
        <v>0.38813999999999999</v>
      </c>
      <c r="I885" s="5">
        <v>0.35410999999999998</v>
      </c>
      <c r="J885" s="5">
        <v>0.35061999999999999</v>
      </c>
      <c r="K885" s="5">
        <v>0.36638999999999999</v>
      </c>
      <c r="L885" s="5">
        <v>0.43182999999999999</v>
      </c>
      <c r="M885" s="5">
        <v>0.51258000000000004</v>
      </c>
      <c r="N885" s="5">
        <v>0.49367</v>
      </c>
      <c r="O885" s="5">
        <v>0.48348000000000002</v>
      </c>
      <c r="P885" s="5"/>
    </row>
    <row r="886" spans="1:16">
      <c r="A886" t="str">
        <f t="shared" si="13"/>
        <v>OS202KWH OFFPK%</v>
      </c>
      <c r="B886" t="s">
        <v>22</v>
      </c>
      <c r="C886" t="s">
        <v>132</v>
      </c>
      <c r="D886" s="5">
        <v>0.47361999999999999</v>
      </c>
      <c r="E886" s="5">
        <v>0.43607000000000001</v>
      </c>
      <c r="F886" s="5">
        <v>0.50621000000000005</v>
      </c>
      <c r="G886" s="5">
        <v>0.54357999999999995</v>
      </c>
      <c r="H886" s="5">
        <v>0.61185999999999996</v>
      </c>
      <c r="I886" s="5">
        <v>0.64588999999999996</v>
      </c>
      <c r="J886" s="5">
        <v>0.64937999999999996</v>
      </c>
      <c r="K886" s="5">
        <v>0.63361000000000001</v>
      </c>
      <c r="L886" s="5">
        <v>0.56816999999999995</v>
      </c>
      <c r="M886" s="5">
        <v>0.48742000000000002</v>
      </c>
      <c r="N886" s="5">
        <v>0.50632999999999995</v>
      </c>
      <c r="O886" s="5">
        <v>0.51651999999999998</v>
      </c>
      <c r="P886" s="5"/>
    </row>
    <row r="887" spans="1:16">
      <c r="A887" t="str">
        <f t="shared" si="13"/>
        <v>OS202DEMAND (KW):</v>
      </c>
      <c r="B887" t="s">
        <v>22</v>
      </c>
      <c r="C887" t="s">
        <v>62</v>
      </c>
    </row>
    <row r="888" spans="1:16">
      <c r="A888" t="str">
        <f t="shared" si="13"/>
        <v>OS202NCP</v>
      </c>
      <c r="B888" t="s">
        <v>22</v>
      </c>
      <c r="C888" t="s">
        <v>133</v>
      </c>
      <c r="D888">
        <v>12787</v>
      </c>
      <c r="E888">
        <v>14298</v>
      </c>
      <c r="F888">
        <v>15555</v>
      </c>
      <c r="G888">
        <v>13976</v>
      </c>
      <c r="H888">
        <v>13816</v>
      </c>
      <c r="I888">
        <v>12794</v>
      </c>
      <c r="J888">
        <v>9867</v>
      </c>
      <c r="K888">
        <v>10312</v>
      </c>
      <c r="L888">
        <v>14478</v>
      </c>
      <c r="M888">
        <v>13181</v>
      </c>
      <c r="N888">
        <v>15913</v>
      </c>
      <c r="O888">
        <v>14634</v>
      </c>
    </row>
    <row r="889" spans="1:16">
      <c r="A889" t="str">
        <f t="shared" si="13"/>
        <v>OS202NCP ONPK</v>
      </c>
      <c r="B889" t="s">
        <v>22</v>
      </c>
      <c r="C889" t="s">
        <v>134</v>
      </c>
      <c r="D889">
        <v>12459</v>
      </c>
      <c r="E889">
        <v>14020</v>
      </c>
      <c r="F889">
        <v>15175</v>
      </c>
      <c r="G889">
        <v>13601</v>
      </c>
      <c r="H889">
        <v>13484</v>
      </c>
      <c r="I889">
        <v>11977</v>
      </c>
      <c r="J889">
        <v>9023</v>
      </c>
      <c r="K889">
        <v>9868</v>
      </c>
      <c r="L889">
        <v>13741</v>
      </c>
      <c r="M889">
        <v>13041</v>
      </c>
      <c r="N889">
        <v>15484</v>
      </c>
      <c r="O889">
        <v>14318</v>
      </c>
    </row>
    <row r="890" spans="1:16">
      <c r="A890" t="str">
        <f t="shared" si="13"/>
        <v>OS202NCP OFFPK</v>
      </c>
      <c r="B890" t="s">
        <v>22</v>
      </c>
      <c r="C890" t="s">
        <v>135</v>
      </c>
      <c r="D890">
        <v>9417</v>
      </c>
      <c r="E890">
        <v>10476</v>
      </c>
      <c r="F890">
        <v>10816</v>
      </c>
      <c r="G890">
        <v>10796</v>
      </c>
      <c r="H890">
        <v>10836</v>
      </c>
      <c r="I890">
        <v>9634</v>
      </c>
      <c r="J890">
        <v>8045</v>
      </c>
      <c r="K890">
        <v>7830</v>
      </c>
      <c r="L890">
        <v>11084</v>
      </c>
      <c r="M890">
        <v>9782</v>
      </c>
      <c r="N890">
        <v>13560</v>
      </c>
      <c r="O890">
        <v>11073</v>
      </c>
    </row>
    <row r="891" spans="1:16">
      <c r="A891" t="str">
        <f t="shared" si="13"/>
        <v>OS202GCP DATE</v>
      </c>
      <c r="B891" t="s">
        <v>22</v>
      </c>
      <c r="C891" t="s">
        <v>136</v>
      </c>
      <c r="D891" t="s">
        <v>610</v>
      </c>
      <c r="E891" t="s">
        <v>634</v>
      </c>
      <c r="F891" t="s">
        <v>284</v>
      </c>
      <c r="G891" t="s">
        <v>283</v>
      </c>
      <c r="H891" t="s">
        <v>622</v>
      </c>
      <c r="I891" t="s">
        <v>683</v>
      </c>
      <c r="J891" t="s">
        <v>676</v>
      </c>
      <c r="K891" t="s">
        <v>684</v>
      </c>
      <c r="L891" t="s">
        <v>293</v>
      </c>
      <c r="M891" t="s">
        <v>316</v>
      </c>
      <c r="N891" t="s">
        <v>685</v>
      </c>
      <c r="O891" t="s">
        <v>653</v>
      </c>
    </row>
    <row r="892" spans="1:16">
      <c r="A892" t="str">
        <f t="shared" si="13"/>
        <v>OS202GCP TIME</v>
      </c>
      <c r="B892" t="s">
        <v>22</v>
      </c>
      <c r="C892" t="s">
        <v>142</v>
      </c>
      <c r="D892" t="s">
        <v>193</v>
      </c>
      <c r="E892" t="s">
        <v>237</v>
      </c>
      <c r="F892" t="s">
        <v>237</v>
      </c>
      <c r="G892" t="s">
        <v>215</v>
      </c>
      <c r="H892" t="s">
        <v>215</v>
      </c>
      <c r="I892" t="s">
        <v>215</v>
      </c>
      <c r="J892" t="s">
        <v>215</v>
      </c>
      <c r="K892" t="s">
        <v>215</v>
      </c>
      <c r="L892" t="s">
        <v>237</v>
      </c>
      <c r="M892" t="s">
        <v>237</v>
      </c>
      <c r="N892" t="s">
        <v>193</v>
      </c>
      <c r="O892" t="s">
        <v>193</v>
      </c>
    </row>
    <row r="893" spans="1:16">
      <c r="A893" t="str">
        <f t="shared" si="13"/>
        <v>OS202GCP</v>
      </c>
      <c r="B893" t="s">
        <v>22</v>
      </c>
      <c r="C893" t="s">
        <v>147</v>
      </c>
      <c r="D893">
        <v>9128</v>
      </c>
      <c r="E893">
        <v>11286</v>
      </c>
      <c r="F893">
        <v>12949</v>
      </c>
      <c r="G893">
        <v>8683</v>
      </c>
      <c r="H893">
        <v>8170</v>
      </c>
      <c r="I893">
        <v>7644</v>
      </c>
      <c r="J893">
        <v>5191</v>
      </c>
      <c r="K893">
        <v>5634</v>
      </c>
      <c r="L893">
        <v>8161</v>
      </c>
      <c r="M893">
        <v>9538</v>
      </c>
      <c r="N893">
        <v>11457</v>
      </c>
      <c r="O893">
        <v>9996</v>
      </c>
    </row>
    <row r="894" spans="1:16">
      <c r="A894" t="str">
        <f t="shared" si="13"/>
        <v>OS202GCP ONPK</v>
      </c>
      <c r="B894" t="s">
        <v>22</v>
      </c>
      <c r="C894" t="s">
        <v>63</v>
      </c>
      <c r="D894">
        <v>9128</v>
      </c>
      <c r="E894">
        <v>11286</v>
      </c>
      <c r="F894">
        <v>12949</v>
      </c>
      <c r="G894">
        <v>8683</v>
      </c>
      <c r="H894">
        <v>8170</v>
      </c>
      <c r="I894">
        <v>7644</v>
      </c>
      <c r="J894">
        <v>5191</v>
      </c>
      <c r="K894">
        <v>5634</v>
      </c>
      <c r="L894">
        <v>8161</v>
      </c>
      <c r="M894">
        <v>9538</v>
      </c>
      <c r="N894">
        <v>11457</v>
      </c>
      <c r="O894">
        <v>9996</v>
      </c>
    </row>
    <row r="895" spans="1:16">
      <c r="A895" t="str">
        <f t="shared" si="13"/>
        <v>OS202GCP OFFPK</v>
      </c>
      <c r="B895" t="s">
        <v>22</v>
      </c>
      <c r="C895" t="s">
        <v>64</v>
      </c>
      <c r="D895">
        <v>4581</v>
      </c>
      <c r="E895">
        <v>3223</v>
      </c>
      <c r="F895">
        <v>3068</v>
      </c>
      <c r="G895">
        <v>4821</v>
      </c>
      <c r="H895">
        <v>4866</v>
      </c>
      <c r="I895">
        <v>4561</v>
      </c>
      <c r="J895">
        <v>3465</v>
      </c>
      <c r="K895">
        <v>4188</v>
      </c>
      <c r="L895">
        <v>4225</v>
      </c>
      <c r="M895">
        <v>4292</v>
      </c>
      <c r="N895">
        <v>7175</v>
      </c>
      <c r="O895">
        <v>5723</v>
      </c>
    </row>
    <row r="896" spans="1:16">
      <c r="A896" t="str">
        <f t="shared" si="13"/>
        <v>OS202CP</v>
      </c>
      <c r="B896" t="s">
        <v>22</v>
      </c>
      <c r="C896" t="s">
        <v>148</v>
      </c>
      <c r="D896">
        <v>575</v>
      </c>
      <c r="E896">
        <v>622</v>
      </c>
      <c r="F896">
        <v>998</v>
      </c>
      <c r="G896">
        <v>790</v>
      </c>
      <c r="H896">
        <v>773</v>
      </c>
      <c r="I896">
        <v>966</v>
      </c>
      <c r="J896">
        <v>801</v>
      </c>
      <c r="K896">
        <v>1181</v>
      </c>
      <c r="L896">
        <v>1114</v>
      </c>
      <c r="M896">
        <v>990</v>
      </c>
      <c r="N896">
        <v>617</v>
      </c>
      <c r="O896">
        <v>460</v>
      </c>
    </row>
    <row r="897" spans="1:16">
      <c r="A897" t="str">
        <f t="shared" si="13"/>
        <v>OS202PERIOD START</v>
      </c>
      <c r="B897" t="s">
        <v>22</v>
      </c>
      <c r="C897" t="s">
        <v>149</v>
      </c>
      <c r="D897" s="1">
        <v>41640</v>
      </c>
      <c r="E897" s="1">
        <v>41671</v>
      </c>
      <c r="F897" s="1">
        <v>41699</v>
      </c>
      <c r="G897" s="1">
        <v>41730</v>
      </c>
      <c r="H897" s="1">
        <v>41760</v>
      </c>
      <c r="I897" s="1">
        <v>41791</v>
      </c>
      <c r="J897" s="1">
        <v>41821</v>
      </c>
      <c r="K897" s="1">
        <v>41852</v>
      </c>
      <c r="L897" s="1">
        <v>41883</v>
      </c>
      <c r="M897" s="1">
        <v>41913</v>
      </c>
      <c r="N897" s="1">
        <v>41944</v>
      </c>
      <c r="O897" s="1">
        <v>41974</v>
      </c>
      <c r="P897" s="1"/>
    </row>
    <row r="898" spans="1:16">
      <c r="A898" t="str">
        <f t="shared" si="13"/>
        <v>OS202NCP LF</v>
      </c>
      <c r="B898" t="s">
        <v>22</v>
      </c>
      <c r="C898" t="s">
        <v>150</v>
      </c>
      <c r="D898" s="5">
        <v>9.3899999999999997E-2</v>
      </c>
      <c r="E898" s="5">
        <v>0.1079</v>
      </c>
      <c r="F898" s="5">
        <v>9.5100000000000004E-2</v>
      </c>
      <c r="G898" s="5">
        <v>9.0999999999999998E-2</v>
      </c>
      <c r="H898" s="5">
        <v>9.0200000000000002E-2</v>
      </c>
      <c r="I898" s="5">
        <v>9.4100000000000003E-2</v>
      </c>
      <c r="J898" s="5">
        <v>0.1024</v>
      </c>
      <c r="K898" s="5">
        <v>9.7299999999999998E-2</v>
      </c>
      <c r="L898" s="5">
        <v>9.2499999999999999E-2</v>
      </c>
      <c r="M898" s="5">
        <v>9.9099999999999994E-2</v>
      </c>
      <c r="N898" s="5">
        <v>9.9199999999999997E-2</v>
      </c>
      <c r="O898" s="5">
        <v>8.9300000000000004E-2</v>
      </c>
      <c r="P898" s="5"/>
    </row>
    <row r="899" spans="1:16">
      <c r="A899" t="str">
        <f t="shared" si="13"/>
        <v>OS202NCP LF ONPK</v>
      </c>
      <c r="B899" t="s">
        <v>22</v>
      </c>
      <c r="C899" t="s">
        <v>151</v>
      </c>
      <c r="D899" s="5">
        <v>0.2145</v>
      </c>
      <c r="E899" s="5">
        <v>0.26069999999999999</v>
      </c>
      <c r="F899" s="5">
        <v>0.21310000000000001</v>
      </c>
      <c r="G899" s="5">
        <v>0.15509999999999999</v>
      </c>
      <c r="H899" s="5">
        <v>0.14130000000000001</v>
      </c>
      <c r="I899" s="5">
        <v>0.1356</v>
      </c>
      <c r="J899" s="5">
        <v>0.14749999999999999</v>
      </c>
      <c r="K899" s="5">
        <v>0.1467</v>
      </c>
      <c r="L899" s="5">
        <v>0.16039999999999999</v>
      </c>
      <c r="M899" s="5">
        <v>0.18459999999999999</v>
      </c>
      <c r="N899" s="5">
        <v>0.2384</v>
      </c>
      <c r="O899" s="5">
        <v>0.18659999999999999</v>
      </c>
      <c r="P899" s="5"/>
    </row>
    <row r="900" spans="1:16">
      <c r="A900" t="str">
        <f t="shared" si="13"/>
        <v>OS202NCP LF OFFPK</v>
      </c>
      <c r="B900" t="s">
        <v>22</v>
      </c>
      <c r="C900" t="s">
        <v>152</v>
      </c>
      <c r="D900" s="5">
        <v>7.9100000000000004E-2</v>
      </c>
      <c r="E900" s="5">
        <v>8.43E-2</v>
      </c>
      <c r="F900" s="5">
        <v>8.9399999999999993E-2</v>
      </c>
      <c r="G900" s="5">
        <v>8.8300000000000003E-2</v>
      </c>
      <c r="H900" s="5">
        <v>9.4399999999999998E-2</v>
      </c>
      <c r="I900" s="5">
        <v>0.1095</v>
      </c>
      <c r="J900" s="5">
        <v>0.1111</v>
      </c>
      <c r="K900" s="5">
        <v>0.1089</v>
      </c>
      <c r="L900" s="5">
        <v>9.3100000000000002E-2</v>
      </c>
      <c r="M900" s="5">
        <v>9.0200000000000002E-2</v>
      </c>
      <c r="N900" s="5">
        <v>7.4700000000000003E-2</v>
      </c>
      <c r="O900" s="5">
        <v>7.9899999999999999E-2</v>
      </c>
      <c r="P900" s="5"/>
    </row>
    <row r="901" spans="1:16">
      <c r="A901" t="str">
        <f t="shared" si="13"/>
        <v>OS202GCP CF</v>
      </c>
      <c r="B901" t="s">
        <v>22</v>
      </c>
      <c r="C901" t="s">
        <v>153</v>
      </c>
      <c r="D901" s="5">
        <v>0.71379999999999999</v>
      </c>
      <c r="E901" s="5">
        <v>0.78939999999999999</v>
      </c>
      <c r="F901" s="5">
        <v>0.83250000000000002</v>
      </c>
      <c r="G901" s="5">
        <v>0.62129999999999996</v>
      </c>
      <c r="H901" s="5">
        <v>0.59130000000000005</v>
      </c>
      <c r="I901" s="5">
        <v>0.59750000000000003</v>
      </c>
      <c r="J901" s="5">
        <v>0.52600000000000002</v>
      </c>
      <c r="K901" s="5">
        <v>0.54630000000000001</v>
      </c>
      <c r="L901" s="5">
        <v>0.56369999999999998</v>
      </c>
      <c r="M901" s="5">
        <v>0.72360000000000002</v>
      </c>
      <c r="N901" s="5">
        <v>0.72</v>
      </c>
      <c r="O901" s="5">
        <v>0.68310000000000004</v>
      </c>
      <c r="P901" s="5"/>
    </row>
    <row r="902" spans="1:16">
      <c r="A902" t="str">
        <f t="shared" si="13"/>
        <v>OS202CP CF</v>
      </c>
      <c r="B902" t="s">
        <v>22</v>
      </c>
      <c r="C902" t="s">
        <v>154</v>
      </c>
      <c r="D902" s="5">
        <v>4.4999999999999998E-2</v>
      </c>
      <c r="E902" s="5">
        <v>4.3499999999999997E-2</v>
      </c>
      <c r="F902" s="5">
        <v>6.4199999999999993E-2</v>
      </c>
      <c r="G902" s="5">
        <v>5.6500000000000002E-2</v>
      </c>
      <c r="H902" s="5">
        <v>5.5899999999999998E-2</v>
      </c>
      <c r="I902" s="5">
        <v>7.5499999999999998E-2</v>
      </c>
      <c r="J902" s="5">
        <v>8.1100000000000005E-2</v>
      </c>
      <c r="K902" s="5">
        <v>0.1145</v>
      </c>
      <c r="L902" s="5">
        <v>7.6899999999999996E-2</v>
      </c>
      <c r="M902" s="5">
        <v>7.51E-2</v>
      </c>
      <c r="N902" s="5">
        <v>3.8800000000000001E-2</v>
      </c>
      <c r="O902" s="5">
        <v>3.1399999999999997E-2</v>
      </c>
      <c r="P902" s="5"/>
    </row>
    <row r="903" spans="1:16">
      <c r="A903" t="str">
        <f t="shared" si="13"/>
        <v>OS202GCP LF</v>
      </c>
      <c r="B903" t="s">
        <v>22</v>
      </c>
      <c r="C903" t="s">
        <v>155</v>
      </c>
      <c r="D903" s="5">
        <v>0.13159999999999999</v>
      </c>
      <c r="E903" s="5">
        <v>0.1368</v>
      </c>
      <c r="F903" s="5">
        <v>0.1142</v>
      </c>
      <c r="G903" s="5">
        <v>0.1464</v>
      </c>
      <c r="H903" s="5">
        <v>0.15260000000000001</v>
      </c>
      <c r="I903" s="5">
        <v>0.1575</v>
      </c>
      <c r="J903" s="5">
        <v>0.1946</v>
      </c>
      <c r="K903" s="5">
        <v>0.17810000000000001</v>
      </c>
      <c r="L903" s="5">
        <v>0.16420000000000001</v>
      </c>
      <c r="M903" s="5">
        <v>0.13700000000000001</v>
      </c>
      <c r="N903" s="5">
        <v>0.13780000000000001</v>
      </c>
      <c r="O903" s="5">
        <v>0.13070000000000001</v>
      </c>
      <c r="P903" s="5"/>
    </row>
    <row r="904" spans="1:16">
      <c r="A904" t="str">
        <f t="shared" si="13"/>
        <v>OS202GCP LF ONPK</v>
      </c>
      <c r="B904" t="s">
        <v>22</v>
      </c>
      <c r="C904" t="s">
        <v>156</v>
      </c>
      <c r="D904" s="5">
        <v>0.2928</v>
      </c>
      <c r="E904" s="5">
        <v>0.32390000000000002</v>
      </c>
      <c r="F904" s="5">
        <v>0.24970000000000001</v>
      </c>
      <c r="G904" s="5">
        <v>0.24299999999999999</v>
      </c>
      <c r="H904" s="5">
        <v>0.2331</v>
      </c>
      <c r="I904" s="5">
        <v>0.21249999999999999</v>
      </c>
      <c r="J904" s="5">
        <v>0.25629999999999997</v>
      </c>
      <c r="K904" s="5">
        <v>0.25690000000000002</v>
      </c>
      <c r="L904" s="5">
        <v>0.27010000000000001</v>
      </c>
      <c r="M904" s="5">
        <v>0.25240000000000001</v>
      </c>
      <c r="N904" s="5">
        <v>0.32219999999999999</v>
      </c>
      <c r="O904" s="5">
        <v>0.26719999999999999</v>
      </c>
      <c r="P904" s="5"/>
    </row>
    <row r="905" spans="1:16">
      <c r="A905" t="str">
        <f t="shared" si="13"/>
        <v>OS202GCP LF OFFPK</v>
      </c>
      <c r="B905" t="s">
        <v>22</v>
      </c>
      <c r="C905" t="s">
        <v>157</v>
      </c>
      <c r="D905" s="5">
        <v>0.16259999999999999</v>
      </c>
      <c r="E905" s="5">
        <v>0.27410000000000001</v>
      </c>
      <c r="F905" s="5">
        <v>0.31519999999999998</v>
      </c>
      <c r="G905" s="5">
        <v>0.19769999999999999</v>
      </c>
      <c r="H905" s="5">
        <v>0.21010000000000001</v>
      </c>
      <c r="I905" s="5">
        <v>0.23119999999999999</v>
      </c>
      <c r="J905" s="5">
        <v>0.25790000000000002</v>
      </c>
      <c r="K905" s="5">
        <v>0.2036</v>
      </c>
      <c r="L905" s="5">
        <v>0.24429999999999999</v>
      </c>
      <c r="M905" s="5">
        <v>0.2056</v>
      </c>
      <c r="N905" s="5">
        <v>0.14119999999999999</v>
      </c>
      <c r="O905" s="5">
        <v>0.1545</v>
      </c>
      <c r="P905" s="5"/>
    </row>
    <row r="906" spans="1:16">
      <c r="A906" t="str">
        <f t="shared" si="13"/>
        <v>OS202CP LF</v>
      </c>
      <c r="B906" t="s">
        <v>22</v>
      </c>
      <c r="C906" t="s">
        <v>158</v>
      </c>
      <c r="D906" s="5">
        <v>2.0880999999999998</v>
      </c>
      <c r="E906" s="5">
        <v>2.4796999999999998</v>
      </c>
      <c r="F906" s="5">
        <v>1.4813000000000001</v>
      </c>
      <c r="G906" s="5">
        <v>1.6089</v>
      </c>
      <c r="H906" s="5">
        <v>1.6128</v>
      </c>
      <c r="I906" s="5">
        <v>1.2468999999999999</v>
      </c>
      <c r="J906" s="5">
        <v>1.2615000000000001</v>
      </c>
      <c r="K906" s="5">
        <v>0.8498</v>
      </c>
      <c r="L906" s="5">
        <v>1.2032</v>
      </c>
      <c r="M906" s="5">
        <v>1.3202</v>
      </c>
      <c r="N906" s="5">
        <v>2.5577000000000001</v>
      </c>
      <c r="O906" s="5">
        <v>2.8399000000000001</v>
      </c>
      <c r="P906" s="5"/>
    </row>
    <row r="907" spans="1:16">
      <c r="A907" t="str">
        <f t="shared" si="13"/>
        <v>OS202REL PREC:</v>
      </c>
      <c r="B907" t="s">
        <v>22</v>
      </c>
      <c r="C907" t="s">
        <v>65</v>
      </c>
    </row>
    <row r="908" spans="1:16">
      <c r="A908" t="str">
        <f t="shared" si="13"/>
        <v>OS202NCP RP</v>
      </c>
      <c r="B908" t="s">
        <v>22</v>
      </c>
      <c r="C908" t="s">
        <v>159</v>
      </c>
      <c r="D908" s="5">
        <v>0.1328</v>
      </c>
      <c r="E908" s="5">
        <v>9.0300000000000005E-2</v>
      </c>
      <c r="F908" s="5">
        <v>0.1075</v>
      </c>
      <c r="G908" s="5">
        <v>0.111</v>
      </c>
      <c r="H908" s="5">
        <v>0.11940000000000001</v>
      </c>
      <c r="I908" s="5">
        <v>0.12130000000000001</v>
      </c>
      <c r="J908" s="5">
        <v>0.1963</v>
      </c>
      <c r="K908" s="5">
        <v>0.1928</v>
      </c>
      <c r="L908" s="5">
        <v>0.1244</v>
      </c>
      <c r="M908" s="5">
        <v>0.10879999999999999</v>
      </c>
      <c r="N908" s="5">
        <v>9.4399999999999998E-2</v>
      </c>
      <c r="O908" s="5">
        <v>0.1043</v>
      </c>
      <c r="P908" s="5"/>
    </row>
    <row r="909" spans="1:16">
      <c r="A909" t="str">
        <f t="shared" si="13"/>
        <v>OS202NCP RP ONPK</v>
      </c>
      <c r="B909" t="s">
        <v>22</v>
      </c>
      <c r="C909" t="s">
        <v>160</v>
      </c>
      <c r="D909" s="5">
        <v>0.1323</v>
      </c>
      <c r="E909" s="5">
        <v>9.2100000000000001E-2</v>
      </c>
      <c r="F909" s="5">
        <v>0.1072</v>
      </c>
      <c r="G909" s="5">
        <v>0.1124</v>
      </c>
      <c r="H909" s="5">
        <v>0.12</v>
      </c>
      <c r="I909" s="5">
        <v>0.1229</v>
      </c>
      <c r="J909" s="5">
        <v>0.19750000000000001</v>
      </c>
      <c r="K909" s="5">
        <v>0.192</v>
      </c>
      <c r="L909" s="5">
        <v>0.1249</v>
      </c>
      <c r="M909" s="5">
        <v>0.1091</v>
      </c>
      <c r="N909" s="5">
        <v>9.3899999999999997E-2</v>
      </c>
      <c r="O909" s="5">
        <v>0.105</v>
      </c>
      <c r="P909" s="5"/>
    </row>
    <row r="910" spans="1:16">
      <c r="A910" t="str">
        <f t="shared" si="13"/>
        <v>OS202NCP RP OFFPK</v>
      </c>
      <c r="B910" t="s">
        <v>22</v>
      </c>
      <c r="C910" t="s">
        <v>161</v>
      </c>
      <c r="D910" s="5">
        <v>0.1346</v>
      </c>
      <c r="E910" s="5">
        <v>9.5799999999999996E-2</v>
      </c>
      <c r="F910" s="5">
        <v>0.1023</v>
      </c>
      <c r="G910" s="5">
        <v>0.10920000000000001</v>
      </c>
      <c r="H910" s="5">
        <v>0.11849999999999999</v>
      </c>
      <c r="I910" s="5">
        <v>0.1205</v>
      </c>
      <c r="J910" s="5">
        <v>0.20169999999999999</v>
      </c>
      <c r="K910" s="5">
        <v>0.19539999999999999</v>
      </c>
      <c r="L910" s="5">
        <v>0.1234</v>
      </c>
      <c r="M910" s="5">
        <v>0.10780000000000001</v>
      </c>
      <c r="N910" s="5">
        <v>9.5000000000000001E-2</v>
      </c>
      <c r="O910" s="5">
        <v>0.1021</v>
      </c>
      <c r="P910" s="5"/>
    </row>
    <row r="911" spans="1:16">
      <c r="A911" t="str">
        <f t="shared" si="13"/>
        <v>OS202GCP RP</v>
      </c>
      <c r="B911" t="s">
        <v>22</v>
      </c>
      <c r="C911" t="s">
        <v>162</v>
      </c>
      <c r="D911" s="5">
        <v>0.14130000000000001</v>
      </c>
      <c r="E911" s="5">
        <v>0.1024</v>
      </c>
      <c r="F911" s="5">
        <v>0.11260000000000001</v>
      </c>
      <c r="G911" s="5">
        <v>0.1183</v>
      </c>
      <c r="H911" s="5">
        <v>0.15379999999999999</v>
      </c>
      <c r="I911" s="5">
        <v>0.14910000000000001</v>
      </c>
      <c r="J911" s="5">
        <v>0.24049999999999999</v>
      </c>
      <c r="K911" s="5">
        <v>0.2311</v>
      </c>
      <c r="L911" s="5">
        <v>0.13739999999999999</v>
      </c>
      <c r="M911" s="5">
        <v>0.13089999999999999</v>
      </c>
      <c r="N911" s="5">
        <v>9.64E-2</v>
      </c>
      <c r="O911" s="5">
        <v>0.1135</v>
      </c>
      <c r="P911" s="5"/>
    </row>
    <row r="912" spans="1:16">
      <c r="A912" t="str">
        <f t="shared" si="13"/>
        <v>OS202GCP RP ONPK</v>
      </c>
      <c r="B912" t="s">
        <v>22</v>
      </c>
      <c r="C912" t="s">
        <v>163</v>
      </c>
      <c r="D912" s="5">
        <v>0.14130000000000001</v>
      </c>
      <c r="E912" s="5">
        <v>0.1024</v>
      </c>
      <c r="F912" s="5">
        <v>0.11260000000000001</v>
      </c>
      <c r="G912" s="5">
        <v>0.1183</v>
      </c>
      <c r="H912" s="5">
        <v>0.15379999999999999</v>
      </c>
      <c r="I912" s="5">
        <v>0.14910000000000001</v>
      </c>
      <c r="J912" s="5">
        <v>0.24049999999999999</v>
      </c>
      <c r="K912" s="5">
        <v>0.2311</v>
      </c>
      <c r="L912" s="5">
        <v>0.13739999999999999</v>
      </c>
      <c r="M912" s="5">
        <v>0.13089999999999999</v>
      </c>
      <c r="N912" s="5">
        <v>9.64E-2</v>
      </c>
      <c r="O912" s="5">
        <v>0.1135</v>
      </c>
      <c r="P912" s="5"/>
    </row>
    <row r="913" spans="1:16">
      <c r="A913" t="str">
        <f t="shared" si="13"/>
        <v>OS202GCP RP OFFPK</v>
      </c>
      <c r="B913" t="s">
        <v>22</v>
      </c>
      <c r="C913" t="s">
        <v>164</v>
      </c>
      <c r="D913" s="5">
        <v>0.1671</v>
      </c>
      <c r="E913" s="5">
        <v>0.2233</v>
      </c>
      <c r="F913" s="5">
        <v>0.20269999999999999</v>
      </c>
      <c r="G913" s="5">
        <v>0.1832</v>
      </c>
      <c r="H913" s="5">
        <v>0.1857</v>
      </c>
      <c r="I913" s="5">
        <v>0.16700000000000001</v>
      </c>
      <c r="J913" s="5">
        <v>0.27110000000000001</v>
      </c>
      <c r="K913" s="5">
        <v>0.25769999999999998</v>
      </c>
      <c r="L913" s="5">
        <v>0.17399999999999999</v>
      </c>
      <c r="M913" s="5">
        <v>0.20849999999999999</v>
      </c>
      <c r="N913" s="5">
        <v>0.1288</v>
      </c>
      <c r="O913" s="5">
        <v>0.13389999999999999</v>
      </c>
      <c r="P913" s="5"/>
    </row>
    <row r="914" spans="1:16">
      <c r="A914" t="str">
        <f t="shared" si="13"/>
        <v>OS202CP RP</v>
      </c>
      <c r="B914" t="s">
        <v>22</v>
      </c>
      <c r="C914" t="s">
        <v>165</v>
      </c>
      <c r="D914" s="5">
        <v>0.27529999999999999</v>
      </c>
      <c r="E914" s="5">
        <v>0.19539999999999999</v>
      </c>
      <c r="F914" s="5">
        <v>0.3155</v>
      </c>
      <c r="G914" s="5">
        <v>0.20300000000000001</v>
      </c>
      <c r="H914" s="5">
        <v>0.17499999999999999</v>
      </c>
      <c r="I914" s="5">
        <v>0.13500000000000001</v>
      </c>
      <c r="J914" s="5">
        <v>0.16</v>
      </c>
      <c r="K914" s="5">
        <v>0.39979999999999999</v>
      </c>
      <c r="L914" s="5">
        <v>0.21529999999999999</v>
      </c>
      <c r="M914" s="5">
        <v>0.30649999999999999</v>
      </c>
      <c r="N914" s="5">
        <v>0.15110000000000001</v>
      </c>
      <c r="O914" s="5">
        <v>0.16139999999999999</v>
      </c>
      <c r="P914" s="5"/>
    </row>
    <row r="915" spans="1:16">
      <c r="A915" t="str">
        <f t="shared" si="13"/>
        <v>OS202SAMPLE SIZE:</v>
      </c>
      <c r="B915" t="s">
        <v>22</v>
      </c>
      <c r="C915" t="s">
        <v>66</v>
      </c>
    </row>
    <row r="916" spans="1:16">
      <c r="A916" t="str">
        <f t="shared" si="13"/>
        <v>OS202GCPSZ</v>
      </c>
      <c r="B916" t="s">
        <v>22</v>
      </c>
      <c r="C916" t="s">
        <v>166</v>
      </c>
      <c r="D916">
        <v>111</v>
      </c>
      <c r="E916">
        <v>110</v>
      </c>
      <c r="F916">
        <v>109</v>
      </c>
      <c r="G916">
        <v>108</v>
      </c>
      <c r="H916">
        <v>110</v>
      </c>
      <c r="I916">
        <v>110</v>
      </c>
      <c r="J916">
        <v>104</v>
      </c>
      <c r="K916">
        <v>106</v>
      </c>
      <c r="L916">
        <v>109</v>
      </c>
      <c r="M916">
        <v>106</v>
      </c>
      <c r="N916">
        <v>107</v>
      </c>
      <c r="O916">
        <v>109</v>
      </c>
    </row>
    <row r="917" spans="1:16">
      <c r="A917" t="str">
        <f t="shared" si="13"/>
        <v>OS202GCPSZ ONPK</v>
      </c>
      <c r="B917" t="s">
        <v>22</v>
      </c>
      <c r="C917" t="s">
        <v>167</v>
      </c>
      <c r="D917">
        <v>111</v>
      </c>
      <c r="E917">
        <v>110</v>
      </c>
      <c r="F917">
        <v>109</v>
      </c>
      <c r="G917">
        <v>108</v>
      </c>
      <c r="H917">
        <v>110</v>
      </c>
      <c r="I917">
        <v>110</v>
      </c>
      <c r="J917">
        <v>104</v>
      </c>
      <c r="K917">
        <v>106</v>
      </c>
      <c r="L917">
        <v>109</v>
      </c>
      <c r="M917">
        <v>106</v>
      </c>
      <c r="N917">
        <v>107</v>
      </c>
      <c r="O917">
        <v>109</v>
      </c>
    </row>
    <row r="918" spans="1:16">
      <c r="A918" t="str">
        <f t="shared" si="13"/>
        <v>OS202GCPSZ OFFPK</v>
      </c>
      <c r="B918" t="s">
        <v>22</v>
      </c>
      <c r="C918" t="s">
        <v>168</v>
      </c>
      <c r="D918">
        <v>111</v>
      </c>
      <c r="E918">
        <v>110</v>
      </c>
      <c r="F918">
        <v>109</v>
      </c>
      <c r="G918">
        <v>108</v>
      </c>
      <c r="H918">
        <v>110</v>
      </c>
      <c r="I918">
        <v>110</v>
      </c>
      <c r="J918">
        <v>104</v>
      </c>
      <c r="K918">
        <v>106</v>
      </c>
      <c r="L918">
        <v>109</v>
      </c>
      <c r="M918">
        <v>106</v>
      </c>
      <c r="N918">
        <v>107</v>
      </c>
      <c r="O918">
        <v>109</v>
      </c>
    </row>
    <row r="919" spans="1:16">
      <c r="A919" t="str">
        <f t="shared" si="13"/>
        <v>OS202CPSZ</v>
      </c>
      <c r="B919" t="s">
        <v>22</v>
      </c>
      <c r="C919" t="s">
        <v>169</v>
      </c>
      <c r="D919">
        <v>111</v>
      </c>
      <c r="E919">
        <v>110</v>
      </c>
      <c r="F919">
        <v>109</v>
      </c>
      <c r="G919">
        <v>108</v>
      </c>
      <c r="H919">
        <v>110</v>
      </c>
      <c r="I919">
        <v>110</v>
      </c>
      <c r="J919">
        <v>104</v>
      </c>
      <c r="K919">
        <v>106</v>
      </c>
      <c r="L919">
        <v>109</v>
      </c>
      <c r="M919">
        <v>106</v>
      </c>
      <c r="N919">
        <v>107</v>
      </c>
      <c r="O919">
        <v>109</v>
      </c>
    </row>
    <row r="920" spans="1:16">
      <c r="A920" t="str">
        <f t="shared" si="13"/>
        <v>OS202STD DEV OF R</v>
      </c>
      <c r="B920" t="s">
        <v>22</v>
      </c>
      <c r="C920" t="s">
        <v>170</v>
      </c>
    </row>
    <row r="921" spans="1:16">
      <c r="A921" t="str">
        <f t="shared" si="13"/>
        <v>OS202SDR GCP</v>
      </c>
      <c r="B921" t="s">
        <v>22</v>
      </c>
      <c r="C921" t="s">
        <v>171</v>
      </c>
      <c r="D921">
        <v>70.622</v>
      </c>
      <c r="E921">
        <v>62.584000000000003</v>
      </c>
      <c r="F921">
        <v>78.064999999999998</v>
      </c>
      <c r="G921">
        <v>54.365000000000002</v>
      </c>
      <c r="H921">
        <v>67.995000000000005</v>
      </c>
      <c r="I921">
        <v>61.712000000000003</v>
      </c>
      <c r="J921">
        <v>63.207999999999998</v>
      </c>
      <c r="K921">
        <v>67.403000000000006</v>
      </c>
      <c r="L921">
        <v>60.040999999999997</v>
      </c>
      <c r="M921">
        <v>64.641000000000005</v>
      </c>
      <c r="N921">
        <v>57.817</v>
      </c>
      <c r="O921">
        <v>61.276000000000003</v>
      </c>
    </row>
    <row r="922" spans="1:16">
      <c r="A922" t="str">
        <f t="shared" si="13"/>
        <v>OS202SDR GCP ONPK</v>
      </c>
      <c r="B922" t="s">
        <v>22</v>
      </c>
      <c r="C922" t="s">
        <v>172</v>
      </c>
      <c r="D922">
        <v>70.622</v>
      </c>
      <c r="E922">
        <v>62.584000000000003</v>
      </c>
      <c r="F922">
        <v>78.064999999999998</v>
      </c>
      <c r="G922">
        <v>54.365000000000002</v>
      </c>
      <c r="H922">
        <v>67.995000000000005</v>
      </c>
      <c r="I922">
        <v>61.712000000000003</v>
      </c>
      <c r="J922">
        <v>63.207999999999998</v>
      </c>
      <c r="K922">
        <v>67.403000000000006</v>
      </c>
      <c r="L922">
        <v>60.040999999999997</v>
      </c>
      <c r="M922">
        <v>64.641000000000005</v>
      </c>
      <c r="N922">
        <v>57.817</v>
      </c>
      <c r="O922">
        <v>61.276000000000003</v>
      </c>
    </row>
    <row r="923" spans="1:16">
      <c r="A923" t="str">
        <f t="shared" si="13"/>
        <v>OS202SDR GCP OFFPK</v>
      </c>
      <c r="B923" t="s">
        <v>22</v>
      </c>
      <c r="C923" t="s">
        <v>173</v>
      </c>
      <c r="D923">
        <v>41.904000000000003</v>
      </c>
      <c r="E923">
        <v>38.942</v>
      </c>
      <c r="F923">
        <v>33.283999999999999</v>
      </c>
      <c r="G923">
        <v>46.741</v>
      </c>
      <c r="H923">
        <v>48.899000000000001</v>
      </c>
      <c r="I923">
        <v>41.237000000000002</v>
      </c>
      <c r="J923">
        <v>47.581000000000003</v>
      </c>
      <c r="K923">
        <v>55.856999999999999</v>
      </c>
      <c r="L923">
        <v>39.356000000000002</v>
      </c>
      <c r="M923">
        <v>46.334000000000003</v>
      </c>
      <c r="N923">
        <v>48.371000000000002</v>
      </c>
      <c r="O923">
        <v>41.402000000000001</v>
      </c>
    </row>
    <row r="924" spans="1:16">
      <c r="A924" t="str">
        <f t="shared" si="13"/>
        <v>OS202SDR CP</v>
      </c>
      <c r="B924" t="s">
        <v>22</v>
      </c>
      <c r="C924" t="s">
        <v>174</v>
      </c>
      <c r="D924">
        <v>8.6690000000000005</v>
      </c>
      <c r="E924">
        <v>6.5839999999999996</v>
      </c>
      <c r="F924">
        <v>16.856999999999999</v>
      </c>
      <c r="G924">
        <v>8.4890000000000008</v>
      </c>
      <c r="H924">
        <v>7.3230000000000004</v>
      </c>
      <c r="I924">
        <v>7.0579999999999998</v>
      </c>
      <c r="J924">
        <v>6.4889999999999999</v>
      </c>
      <c r="K924">
        <v>24.446000000000002</v>
      </c>
      <c r="L924">
        <v>12.832000000000001</v>
      </c>
      <c r="M924">
        <v>15.708</v>
      </c>
      <c r="N924">
        <v>4.883</v>
      </c>
      <c r="O924">
        <v>4.0129999999999999</v>
      </c>
    </row>
    <row r="925" spans="1:16">
      <c r="A925" t="str">
        <f t="shared" si="13"/>
        <v/>
      </c>
    </row>
    <row r="926" spans="1:16">
      <c r="A926" t="str">
        <f t="shared" si="13"/>
        <v/>
      </c>
    </row>
    <row r="927" spans="1:16">
      <c r="A927" t="str">
        <f t="shared" si="13"/>
        <v/>
      </c>
    </row>
    <row r="928" spans="1:16">
      <c r="A928" t="str">
        <f t="shared" si="13"/>
        <v xml:space="preserve">RS11 RS(T)-1 Residential Service 1 with TOU included (Sampled) </v>
      </c>
      <c r="B928" t="s">
        <v>686</v>
      </c>
      <c r="C928" t="s">
        <v>28</v>
      </c>
    </row>
    <row r="929" spans="1:16">
      <c r="A929" t="str">
        <f t="shared" si="13"/>
        <v xml:space="preserve">RS11MONTH </v>
      </c>
      <c r="B929" t="s">
        <v>687</v>
      </c>
      <c r="C929" t="s">
        <v>123</v>
      </c>
      <c r="D929" s="4">
        <v>41640</v>
      </c>
      <c r="E929" s="4">
        <v>41671</v>
      </c>
      <c r="F929" s="4">
        <v>41699</v>
      </c>
      <c r="G929" s="4">
        <v>41730</v>
      </c>
      <c r="H929" s="4">
        <v>41760</v>
      </c>
      <c r="I929" s="4">
        <v>41791</v>
      </c>
      <c r="J929" s="4">
        <v>41821</v>
      </c>
      <c r="K929" s="4">
        <v>41852</v>
      </c>
      <c r="L929" s="4">
        <v>41883</v>
      </c>
      <c r="M929" s="4">
        <v>41913</v>
      </c>
      <c r="N929" s="4">
        <v>41944</v>
      </c>
      <c r="O929" s="4">
        <v>41974</v>
      </c>
      <c r="P929" s="4"/>
    </row>
    <row r="930" spans="1:16">
      <c r="A930" t="str">
        <f t="shared" si="13"/>
        <v xml:space="preserve">RS11CUSTOMERS </v>
      </c>
      <c r="B930" t="s">
        <v>687</v>
      </c>
      <c r="C930" t="s">
        <v>124</v>
      </c>
      <c r="D930">
        <v>4140554</v>
      </c>
      <c r="E930">
        <v>4147375</v>
      </c>
      <c r="F930">
        <v>4154262</v>
      </c>
      <c r="G930">
        <v>4157828</v>
      </c>
      <c r="H930">
        <v>4159871</v>
      </c>
      <c r="I930">
        <v>4162679</v>
      </c>
      <c r="J930">
        <v>4165852</v>
      </c>
      <c r="K930">
        <v>4169294</v>
      </c>
      <c r="L930">
        <v>4174016</v>
      </c>
      <c r="M930">
        <v>4179566</v>
      </c>
      <c r="N930">
        <v>4185879</v>
      </c>
      <c r="O930">
        <v>4192808</v>
      </c>
    </row>
    <row r="931" spans="1:16">
      <c r="A931" t="str">
        <f t="shared" si="13"/>
        <v xml:space="preserve">RS11SALES </v>
      </c>
      <c r="B931" t="s">
        <v>687</v>
      </c>
      <c r="C931" t="s">
        <v>125</v>
      </c>
      <c r="D931">
        <v>4248857270</v>
      </c>
      <c r="E931">
        <v>3843494299</v>
      </c>
      <c r="F931">
        <v>3617317386</v>
      </c>
      <c r="G931">
        <v>3863513485</v>
      </c>
      <c r="H931">
        <v>4756914773</v>
      </c>
      <c r="I931">
        <v>5067249771</v>
      </c>
      <c r="J931">
        <v>5461672971</v>
      </c>
      <c r="K931">
        <v>5887827861</v>
      </c>
      <c r="L931">
        <v>5883591950</v>
      </c>
      <c r="M931">
        <v>4870933167</v>
      </c>
      <c r="N931">
        <v>3920148332</v>
      </c>
      <c r="O931">
        <v>3748253136</v>
      </c>
    </row>
    <row r="932" spans="1:16">
      <c r="A932" t="str">
        <f t="shared" si="13"/>
        <v>RS11KW</v>
      </c>
      <c r="B932" t="s">
        <v>687</v>
      </c>
      <c r="C932" t="s">
        <v>126</v>
      </c>
    </row>
    <row r="933" spans="1:16">
      <c r="A933" t="str">
        <f t="shared" si="13"/>
        <v>RS11N</v>
      </c>
      <c r="B933" t="s">
        <v>687</v>
      </c>
      <c r="C933" t="s">
        <v>127</v>
      </c>
      <c r="D933">
        <v>4140554</v>
      </c>
      <c r="E933">
        <v>4147374</v>
      </c>
      <c r="F933">
        <v>4154262</v>
      </c>
      <c r="G933">
        <v>4157828</v>
      </c>
      <c r="H933">
        <v>4159871</v>
      </c>
      <c r="I933">
        <v>4162679</v>
      </c>
      <c r="J933">
        <v>4165853</v>
      </c>
      <c r="K933">
        <v>4169294</v>
      </c>
      <c r="L933">
        <v>4174016</v>
      </c>
      <c r="M933">
        <v>4179566</v>
      </c>
      <c r="N933">
        <v>4185878</v>
      </c>
      <c r="O933">
        <v>4192808</v>
      </c>
    </row>
    <row r="934" spans="1:16">
      <c r="A934" t="str">
        <f t="shared" si="13"/>
        <v>RS11RLR ENERGY:</v>
      </c>
      <c r="B934" t="s">
        <v>687</v>
      </c>
      <c r="C934" t="s">
        <v>61</v>
      </c>
    </row>
    <row r="935" spans="1:16">
      <c r="A935" t="str">
        <f t="shared" si="13"/>
        <v>RS11KWH</v>
      </c>
      <c r="B935" t="s">
        <v>687</v>
      </c>
      <c r="C935" t="s">
        <v>128</v>
      </c>
      <c r="D935">
        <v>4249023495</v>
      </c>
      <c r="E935">
        <v>3843668788</v>
      </c>
      <c r="F935">
        <v>3617577556</v>
      </c>
      <c r="G935">
        <v>3863723935</v>
      </c>
      <c r="H935">
        <v>4756928638</v>
      </c>
      <c r="I935">
        <v>5068953745</v>
      </c>
      <c r="J935">
        <v>5461762279</v>
      </c>
      <c r="K935">
        <v>5888430963</v>
      </c>
      <c r="L935">
        <v>5884099124</v>
      </c>
      <c r="M935">
        <v>4871233221</v>
      </c>
      <c r="N935">
        <v>3920210261</v>
      </c>
      <c r="O935">
        <v>3748478258</v>
      </c>
    </row>
    <row r="936" spans="1:16">
      <c r="A936" t="str">
        <f t="shared" si="13"/>
        <v>RS11KWH ONPK</v>
      </c>
      <c r="B936" t="s">
        <v>687</v>
      </c>
      <c r="C936" t="s">
        <v>129</v>
      </c>
      <c r="D936">
        <v>1137283245</v>
      </c>
      <c r="E936">
        <v>991702801</v>
      </c>
      <c r="F936">
        <v>872554814</v>
      </c>
      <c r="G936">
        <v>1346036587</v>
      </c>
      <c r="H936">
        <v>1550124242</v>
      </c>
      <c r="I936">
        <v>1666546236</v>
      </c>
      <c r="J936">
        <v>1808911197</v>
      </c>
      <c r="K936">
        <v>1876036957</v>
      </c>
      <c r="L936">
        <v>1910488928</v>
      </c>
      <c r="M936">
        <v>1721657348</v>
      </c>
      <c r="N936">
        <v>907810572</v>
      </c>
      <c r="O936">
        <v>986384709</v>
      </c>
    </row>
    <row r="937" spans="1:16">
      <c r="A937" t="str">
        <f t="shared" si="13"/>
        <v>RS11KWH OFFPK</v>
      </c>
      <c r="B937" t="s">
        <v>687</v>
      </c>
      <c r="C937" t="s">
        <v>130</v>
      </c>
      <c r="D937">
        <v>3111740250</v>
      </c>
      <c r="E937">
        <v>2851965986</v>
      </c>
      <c r="F937">
        <v>2745022742</v>
      </c>
      <c r="G937">
        <v>2517687348</v>
      </c>
      <c r="H937">
        <v>3206804396</v>
      </c>
      <c r="I937">
        <v>3402407509</v>
      </c>
      <c r="J937">
        <v>3652851082</v>
      </c>
      <c r="K937">
        <v>4012394007</v>
      </c>
      <c r="L937">
        <v>3973610196</v>
      </c>
      <c r="M937">
        <v>3149575874</v>
      </c>
      <c r="N937">
        <v>3012399690</v>
      </c>
      <c r="O937">
        <v>2762093550</v>
      </c>
    </row>
    <row r="938" spans="1:16">
      <c r="A938" t="str">
        <f t="shared" si="13"/>
        <v>RS11KWH ONPK%</v>
      </c>
      <c r="B938" t="s">
        <v>687</v>
      </c>
      <c r="C938" t="s">
        <v>131</v>
      </c>
      <c r="D938" s="5">
        <v>0.26766000000000001</v>
      </c>
      <c r="E938" s="5">
        <v>0.25801000000000002</v>
      </c>
      <c r="F938" s="5">
        <v>0.2412</v>
      </c>
      <c r="G938" s="5">
        <v>0.34838000000000002</v>
      </c>
      <c r="H938" s="5">
        <v>0.32586999999999999</v>
      </c>
      <c r="I938" s="5">
        <v>0.32878000000000002</v>
      </c>
      <c r="J938" s="5">
        <v>0.33119999999999999</v>
      </c>
      <c r="K938" s="5">
        <v>0.31859999999999999</v>
      </c>
      <c r="L938" s="5">
        <v>0.32468999999999998</v>
      </c>
      <c r="M938" s="5">
        <v>0.35343000000000002</v>
      </c>
      <c r="N938" s="5">
        <v>0.23157</v>
      </c>
      <c r="O938" s="5">
        <v>0.26313999999999999</v>
      </c>
      <c r="P938" s="5"/>
    </row>
    <row r="939" spans="1:16">
      <c r="A939" t="str">
        <f t="shared" si="13"/>
        <v>RS11KWH OFFPK%</v>
      </c>
      <c r="B939" t="s">
        <v>687</v>
      </c>
      <c r="C939" t="s">
        <v>132</v>
      </c>
      <c r="D939" s="5">
        <v>0.73233999999999999</v>
      </c>
      <c r="E939" s="5">
        <v>0.74199000000000004</v>
      </c>
      <c r="F939" s="5">
        <v>0.75880000000000003</v>
      </c>
      <c r="G939" s="5">
        <v>0.65161999999999998</v>
      </c>
      <c r="H939" s="5">
        <v>0.67413000000000001</v>
      </c>
      <c r="I939" s="5">
        <v>0.67122000000000004</v>
      </c>
      <c r="J939" s="5">
        <v>0.66879999999999995</v>
      </c>
      <c r="K939" s="5">
        <v>0.68140000000000001</v>
      </c>
      <c r="L939" s="5">
        <v>0.67530999999999997</v>
      </c>
      <c r="M939" s="5">
        <v>0.64656999999999998</v>
      </c>
      <c r="N939" s="5">
        <v>0.76842999999999995</v>
      </c>
      <c r="O939" s="5">
        <v>0.73685999999999996</v>
      </c>
      <c r="P939" s="5"/>
    </row>
    <row r="940" spans="1:16">
      <c r="A940" t="str">
        <f t="shared" si="13"/>
        <v>RS11DEMAND (KW):</v>
      </c>
      <c r="B940" t="s">
        <v>687</v>
      </c>
      <c r="C940" t="s">
        <v>62</v>
      </c>
    </row>
    <row r="941" spans="1:16">
      <c r="A941" t="str">
        <f t="shared" si="13"/>
        <v>RS11NCP</v>
      </c>
      <c r="B941" t="s">
        <v>687</v>
      </c>
      <c r="C941" t="s">
        <v>133</v>
      </c>
      <c r="D941">
        <v>31622291</v>
      </c>
      <c r="E941">
        <v>28595438</v>
      </c>
      <c r="F941">
        <v>24475525</v>
      </c>
      <c r="G941">
        <v>23465021</v>
      </c>
      <c r="H941">
        <v>24187937</v>
      </c>
      <c r="I941">
        <v>24936290</v>
      </c>
      <c r="J941">
        <v>24681439</v>
      </c>
      <c r="K941">
        <v>24975444</v>
      </c>
      <c r="L941">
        <v>28467250</v>
      </c>
      <c r="M941">
        <v>25549473</v>
      </c>
      <c r="N941">
        <v>28590187</v>
      </c>
      <c r="O941">
        <v>27467322</v>
      </c>
    </row>
    <row r="942" spans="1:16">
      <c r="A942" t="str">
        <f t="shared" si="13"/>
        <v>RS11NCP ONPK</v>
      </c>
      <c r="B942" t="s">
        <v>687</v>
      </c>
      <c r="C942" t="s">
        <v>134</v>
      </c>
      <c r="D942">
        <v>27391882</v>
      </c>
      <c r="E942">
        <v>23493714</v>
      </c>
      <c r="F942">
        <v>20209655</v>
      </c>
      <c r="G942">
        <v>21036145</v>
      </c>
      <c r="H942">
        <v>21581543</v>
      </c>
      <c r="I942">
        <v>22673132</v>
      </c>
      <c r="J942">
        <v>22588857</v>
      </c>
      <c r="K942">
        <v>22947321</v>
      </c>
      <c r="L942">
        <v>25701682</v>
      </c>
      <c r="M942">
        <v>23442680</v>
      </c>
      <c r="N942">
        <v>23229953</v>
      </c>
      <c r="O942">
        <v>23819641</v>
      </c>
    </row>
    <row r="943" spans="1:16">
      <c r="A943" t="str">
        <f t="shared" ref="A943:A1006" si="14">B943&amp;C943</f>
        <v>RS11NCP OFFPK</v>
      </c>
      <c r="B943" t="s">
        <v>687</v>
      </c>
      <c r="C943" t="s">
        <v>135</v>
      </c>
      <c r="D943">
        <v>30379479</v>
      </c>
      <c r="E943">
        <v>27442620</v>
      </c>
      <c r="F943">
        <v>23678003</v>
      </c>
      <c r="G943">
        <v>21875205</v>
      </c>
      <c r="H943">
        <v>23042039</v>
      </c>
      <c r="I943">
        <v>23702586</v>
      </c>
      <c r="J943">
        <v>23288975</v>
      </c>
      <c r="K943">
        <v>23754428</v>
      </c>
      <c r="L943">
        <v>26930734</v>
      </c>
      <c r="M943">
        <v>23629338</v>
      </c>
      <c r="N943">
        <v>27629173</v>
      </c>
      <c r="O943">
        <v>26054144</v>
      </c>
    </row>
    <row r="944" spans="1:16">
      <c r="A944" t="str">
        <f t="shared" si="14"/>
        <v>RS11GCP DATE</v>
      </c>
      <c r="B944" t="s">
        <v>687</v>
      </c>
      <c r="C944" t="s">
        <v>136</v>
      </c>
      <c r="D944" t="s">
        <v>662</v>
      </c>
      <c r="E944" t="s">
        <v>625</v>
      </c>
      <c r="F944" t="s">
        <v>626</v>
      </c>
      <c r="G944" t="s">
        <v>271</v>
      </c>
      <c r="H944" t="s">
        <v>304</v>
      </c>
      <c r="I944" t="s">
        <v>259</v>
      </c>
      <c r="J944" t="s">
        <v>253</v>
      </c>
      <c r="K944" t="s">
        <v>666</v>
      </c>
      <c r="L944" t="s">
        <v>628</v>
      </c>
      <c r="M944" t="s">
        <v>607</v>
      </c>
      <c r="N944" t="s">
        <v>629</v>
      </c>
      <c r="O944" t="s">
        <v>318</v>
      </c>
    </row>
    <row r="945" spans="1:16">
      <c r="A945" t="str">
        <f t="shared" si="14"/>
        <v>RS11GCP TIME</v>
      </c>
      <c r="B945" t="s">
        <v>687</v>
      </c>
      <c r="C945" t="s">
        <v>142</v>
      </c>
      <c r="D945" t="s">
        <v>203</v>
      </c>
      <c r="E945" t="s">
        <v>145</v>
      </c>
      <c r="F945" t="s">
        <v>196</v>
      </c>
      <c r="G945" t="s">
        <v>195</v>
      </c>
      <c r="H945" t="s">
        <v>196</v>
      </c>
      <c r="I945" t="s">
        <v>144</v>
      </c>
      <c r="J945" t="s">
        <v>193</v>
      </c>
      <c r="K945" t="s">
        <v>195</v>
      </c>
      <c r="L945" t="s">
        <v>195</v>
      </c>
      <c r="M945" t="s">
        <v>195</v>
      </c>
      <c r="N945" t="s">
        <v>237</v>
      </c>
      <c r="O945" t="s">
        <v>196</v>
      </c>
    </row>
    <row r="946" spans="1:16">
      <c r="A946" t="str">
        <f t="shared" si="14"/>
        <v>RS11GCP</v>
      </c>
      <c r="B946" t="s">
        <v>687</v>
      </c>
      <c r="C946" t="s">
        <v>147</v>
      </c>
      <c r="D946">
        <v>11077038</v>
      </c>
      <c r="E946">
        <v>9753860</v>
      </c>
      <c r="F946">
        <v>9243748</v>
      </c>
      <c r="G946">
        <v>9768230</v>
      </c>
      <c r="H946">
        <v>10678156</v>
      </c>
      <c r="I946">
        <v>11881815</v>
      </c>
      <c r="J946">
        <v>12367046</v>
      </c>
      <c r="K946">
        <v>12241609</v>
      </c>
      <c r="L946">
        <v>14177423</v>
      </c>
      <c r="M946">
        <v>11505260</v>
      </c>
      <c r="N946">
        <v>9678526</v>
      </c>
      <c r="O946">
        <v>8995446</v>
      </c>
    </row>
    <row r="947" spans="1:16">
      <c r="A947" t="str">
        <f t="shared" si="14"/>
        <v>RS11GCP ONPK</v>
      </c>
      <c r="B947" t="s">
        <v>687</v>
      </c>
      <c r="C947" t="s">
        <v>63</v>
      </c>
      <c r="D947">
        <v>11077038</v>
      </c>
      <c r="E947">
        <v>9053832</v>
      </c>
      <c r="F947">
        <v>7716589</v>
      </c>
      <c r="G947">
        <v>9768230</v>
      </c>
      <c r="H947">
        <v>10308619</v>
      </c>
      <c r="I947">
        <v>11349872</v>
      </c>
      <c r="J947">
        <v>12367046</v>
      </c>
      <c r="K947">
        <v>11754348</v>
      </c>
      <c r="L947">
        <v>13029337</v>
      </c>
      <c r="M947">
        <v>11505260</v>
      </c>
      <c r="N947">
        <v>9678526</v>
      </c>
      <c r="O947">
        <v>8680907</v>
      </c>
    </row>
    <row r="948" spans="1:16">
      <c r="A948" t="str">
        <f t="shared" si="14"/>
        <v>RS11GCP OFFPK</v>
      </c>
      <c r="B948" t="s">
        <v>687</v>
      </c>
      <c r="C948" t="s">
        <v>64</v>
      </c>
      <c r="D948">
        <v>10762106</v>
      </c>
      <c r="E948">
        <v>9753860</v>
      </c>
      <c r="F948">
        <v>9243748</v>
      </c>
      <c r="G948">
        <v>9673658</v>
      </c>
      <c r="H948">
        <v>10678156</v>
      </c>
      <c r="I948">
        <v>11881815</v>
      </c>
      <c r="J948">
        <v>11687239</v>
      </c>
      <c r="K948">
        <v>12241609</v>
      </c>
      <c r="L948">
        <v>14177423</v>
      </c>
      <c r="M948">
        <v>11355031</v>
      </c>
      <c r="N948">
        <v>9666692</v>
      </c>
      <c r="O948">
        <v>8995446</v>
      </c>
    </row>
    <row r="949" spans="1:16">
      <c r="A949" t="str">
        <f t="shared" si="14"/>
        <v>RS11CP</v>
      </c>
      <c r="B949" t="s">
        <v>687</v>
      </c>
      <c r="C949" t="s">
        <v>148</v>
      </c>
      <c r="D949">
        <v>11077038</v>
      </c>
      <c r="E949">
        <v>8343846</v>
      </c>
      <c r="F949">
        <v>9137675</v>
      </c>
      <c r="G949">
        <v>9768230</v>
      </c>
      <c r="H949">
        <v>10308619</v>
      </c>
      <c r="I949">
        <v>11349872</v>
      </c>
      <c r="J949">
        <v>11904960</v>
      </c>
      <c r="K949">
        <v>11754348</v>
      </c>
      <c r="L949">
        <v>12728890</v>
      </c>
      <c r="M949">
        <v>10976136</v>
      </c>
      <c r="N949">
        <v>9078625</v>
      </c>
      <c r="O949">
        <v>8994864</v>
      </c>
    </row>
    <row r="950" spans="1:16">
      <c r="A950" t="str">
        <f t="shared" si="14"/>
        <v>RS11PERIOD START</v>
      </c>
      <c r="B950" t="s">
        <v>687</v>
      </c>
      <c r="C950" t="s">
        <v>149</v>
      </c>
      <c r="D950" s="1">
        <v>41640</v>
      </c>
      <c r="E950" s="1">
        <v>41671</v>
      </c>
      <c r="F950" s="1">
        <v>41699</v>
      </c>
      <c r="G950" s="1">
        <v>41730</v>
      </c>
      <c r="H950" s="1">
        <v>41760</v>
      </c>
      <c r="I950" s="1">
        <v>41791</v>
      </c>
      <c r="J950" s="1">
        <v>41821</v>
      </c>
      <c r="K950" s="1">
        <v>41852</v>
      </c>
      <c r="L950" s="1">
        <v>41883</v>
      </c>
      <c r="M950" s="1">
        <v>41913</v>
      </c>
      <c r="N950" s="1">
        <v>41944</v>
      </c>
      <c r="O950" s="1">
        <v>41974</v>
      </c>
      <c r="P950" s="1"/>
    </row>
    <row r="951" spans="1:16">
      <c r="A951" t="str">
        <f t="shared" si="14"/>
        <v>RS11NCP LF</v>
      </c>
      <c r="B951" t="s">
        <v>687</v>
      </c>
      <c r="C951" t="s">
        <v>150</v>
      </c>
      <c r="D951" s="5">
        <v>0.18060000000000001</v>
      </c>
      <c r="E951" s="5">
        <v>0.2</v>
      </c>
      <c r="F951" s="5">
        <v>0.19869999999999999</v>
      </c>
      <c r="G951" s="5">
        <v>0.22869999999999999</v>
      </c>
      <c r="H951" s="5">
        <v>0.26429999999999998</v>
      </c>
      <c r="I951" s="5">
        <v>0.2823</v>
      </c>
      <c r="J951" s="5">
        <v>0.2974</v>
      </c>
      <c r="K951" s="5">
        <v>0.31690000000000002</v>
      </c>
      <c r="L951" s="5">
        <v>0.28710000000000002</v>
      </c>
      <c r="M951" s="5">
        <v>0.25629999999999997</v>
      </c>
      <c r="N951" s="5">
        <v>0.19040000000000001</v>
      </c>
      <c r="O951" s="5">
        <v>0.18340000000000001</v>
      </c>
      <c r="P951" s="5"/>
    </row>
    <row r="952" spans="1:16">
      <c r="A952" t="str">
        <f t="shared" si="14"/>
        <v>RS11NCP LF ONPK</v>
      </c>
      <c r="B952" t="s">
        <v>687</v>
      </c>
      <c r="C952" t="s">
        <v>151</v>
      </c>
      <c r="D952" s="5">
        <v>0.2359</v>
      </c>
      <c r="E952" s="5">
        <v>0.26379999999999998</v>
      </c>
      <c r="F952" s="5">
        <v>0.25700000000000001</v>
      </c>
      <c r="G952" s="5">
        <v>0.32319999999999999</v>
      </c>
      <c r="H952" s="5">
        <v>0.38</v>
      </c>
      <c r="I952" s="5">
        <v>0.38890000000000002</v>
      </c>
      <c r="J952" s="5">
        <v>0.40439999999999998</v>
      </c>
      <c r="K952" s="5">
        <v>0.43259999999999998</v>
      </c>
      <c r="L952" s="5">
        <v>0.39329999999999998</v>
      </c>
      <c r="M952" s="5">
        <v>0.3548</v>
      </c>
      <c r="N952" s="5">
        <v>0.2571</v>
      </c>
      <c r="O952" s="5">
        <v>0.23530000000000001</v>
      </c>
      <c r="P952" s="5"/>
    </row>
    <row r="953" spans="1:16">
      <c r="A953" t="str">
        <f t="shared" si="14"/>
        <v>RS11NCP LF OFFPK</v>
      </c>
      <c r="B953" t="s">
        <v>687</v>
      </c>
      <c r="C953" t="s">
        <v>152</v>
      </c>
      <c r="D953" s="5">
        <v>0.18029999999999999</v>
      </c>
      <c r="E953" s="5">
        <v>0.20300000000000001</v>
      </c>
      <c r="F953" s="5">
        <v>0.20130000000000001</v>
      </c>
      <c r="G953" s="5">
        <v>0.2205</v>
      </c>
      <c r="H953" s="5">
        <v>0.25080000000000002</v>
      </c>
      <c r="I953" s="5">
        <v>0.27029999999999998</v>
      </c>
      <c r="J953" s="5">
        <v>0.2873</v>
      </c>
      <c r="K953" s="5">
        <v>0.30430000000000001</v>
      </c>
      <c r="L953" s="5">
        <v>0.27789999999999998</v>
      </c>
      <c r="M953" s="5">
        <v>0.2482</v>
      </c>
      <c r="N953" s="5">
        <v>0.192</v>
      </c>
      <c r="O953" s="5">
        <v>0.18659999999999999</v>
      </c>
      <c r="P953" s="5"/>
    </row>
    <row r="954" spans="1:16">
      <c r="A954" t="str">
        <f t="shared" si="14"/>
        <v>RS11GCP CF</v>
      </c>
      <c r="B954" t="s">
        <v>687</v>
      </c>
      <c r="C954" t="s">
        <v>153</v>
      </c>
      <c r="D954" s="5">
        <v>0.3503</v>
      </c>
      <c r="E954" s="5">
        <v>0.34110000000000001</v>
      </c>
      <c r="F954" s="5">
        <v>0.37769999999999998</v>
      </c>
      <c r="G954" s="5">
        <v>0.4163</v>
      </c>
      <c r="H954" s="5">
        <v>0.4415</v>
      </c>
      <c r="I954" s="5">
        <v>0.47649999999999998</v>
      </c>
      <c r="J954" s="5">
        <v>0.50109999999999999</v>
      </c>
      <c r="K954" s="5">
        <v>0.49009999999999998</v>
      </c>
      <c r="L954" s="5">
        <v>0.498</v>
      </c>
      <c r="M954" s="5">
        <v>0.45029999999999998</v>
      </c>
      <c r="N954" s="5">
        <v>0.33850000000000002</v>
      </c>
      <c r="O954" s="5">
        <v>0.32750000000000001</v>
      </c>
      <c r="P954" s="5"/>
    </row>
    <row r="955" spans="1:16">
      <c r="A955" t="str">
        <f t="shared" si="14"/>
        <v>RS11CP CF</v>
      </c>
      <c r="B955" t="s">
        <v>687</v>
      </c>
      <c r="C955" t="s">
        <v>154</v>
      </c>
      <c r="D955" s="5">
        <v>0.3503</v>
      </c>
      <c r="E955" s="5">
        <v>0.2918</v>
      </c>
      <c r="F955" s="5">
        <v>0.37330000000000002</v>
      </c>
      <c r="G955" s="5">
        <v>0.4163</v>
      </c>
      <c r="H955" s="5">
        <v>0.42620000000000002</v>
      </c>
      <c r="I955" s="5">
        <v>0.45519999999999999</v>
      </c>
      <c r="J955" s="5">
        <v>0.48230000000000001</v>
      </c>
      <c r="K955" s="5">
        <v>0.47060000000000002</v>
      </c>
      <c r="L955" s="5">
        <v>0.4471</v>
      </c>
      <c r="M955" s="5">
        <v>0.42959999999999998</v>
      </c>
      <c r="N955" s="5">
        <v>0.3175</v>
      </c>
      <c r="O955" s="5">
        <v>0.32750000000000001</v>
      </c>
      <c r="P955" s="5"/>
    </row>
    <row r="956" spans="1:16">
      <c r="A956" t="str">
        <f t="shared" si="14"/>
        <v>RS11GCP LF</v>
      </c>
      <c r="B956" t="s">
        <v>687</v>
      </c>
      <c r="C956" t="s">
        <v>155</v>
      </c>
      <c r="D956" s="5">
        <v>0.51559999999999995</v>
      </c>
      <c r="E956" s="5">
        <v>0.58640000000000003</v>
      </c>
      <c r="F956" s="5">
        <v>0.52600000000000002</v>
      </c>
      <c r="G956" s="5">
        <v>0.5494</v>
      </c>
      <c r="H956" s="5">
        <v>0.5988</v>
      </c>
      <c r="I956" s="5">
        <v>0.59250000000000003</v>
      </c>
      <c r="J956" s="5">
        <v>0.59360000000000002</v>
      </c>
      <c r="K956" s="5">
        <v>0.64649999999999996</v>
      </c>
      <c r="L956" s="5">
        <v>0.57640000000000002</v>
      </c>
      <c r="M956" s="5">
        <v>0.56910000000000005</v>
      </c>
      <c r="N956" s="5">
        <v>0.56259999999999999</v>
      </c>
      <c r="O956" s="5">
        <v>0.56010000000000004</v>
      </c>
      <c r="P956" s="5"/>
    </row>
    <row r="957" spans="1:16">
      <c r="A957" t="str">
        <f t="shared" si="14"/>
        <v>RS11GCP LF ONPK</v>
      </c>
      <c r="B957" t="s">
        <v>687</v>
      </c>
      <c r="C957" t="s">
        <v>156</v>
      </c>
      <c r="D957" s="5">
        <v>0.58340000000000003</v>
      </c>
      <c r="E957" s="5">
        <v>0.68459999999999999</v>
      </c>
      <c r="F957" s="5">
        <v>0.67310000000000003</v>
      </c>
      <c r="G957" s="5">
        <v>0.69589999999999996</v>
      </c>
      <c r="H957" s="5">
        <v>0.79559999999999997</v>
      </c>
      <c r="I957" s="5">
        <v>0.77690000000000003</v>
      </c>
      <c r="J957" s="5">
        <v>0.73870000000000002</v>
      </c>
      <c r="K957" s="5">
        <v>0.84450000000000003</v>
      </c>
      <c r="L957" s="5">
        <v>0.77580000000000005</v>
      </c>
      <c r="M957" s="5">
        <v>0.72289999999999999</v>
      </c>
      <c r="N957" s="5">
        <v>0.61709999999999998</v>
      </c>
      <c r="O957" s="5">
        <v>0.64559999999999995</v>
      </c>
      <c r="P957" s="5"/>
    </row>
    <row r="958" spans="1:16">
      <c r="A958" t="str">
        <f t="shared" si="14"/>
        <v>RS11GCP LF OFFPK</v>
      </c>
      <c r="B958" t="s">
        <v>687</v>
      </c>
      <c r="C958" t="s">
        <v>157</v>
      </c>
      <c r="D958" s="5">
        <v>0.50900000000000001</v>
      </c>
      <c r="E958" s="5">
        <v>0.57110000000000005</v>
      </c>
      <c r="F958" s="5">
        <v>0.51559999999999995</v>
      </c>
      <c r="G958" s="5">
        <v>0.49859999999999999</v>
      </c>
      <c r="H958" s="5">
        <v>0.54110000000000003</v>
      </c>
      <c r="I958" s="5">
        <v>0.5393</v>
      </c>
      <c r="J958" s="5">
        <v>0.57240000000000002</v>
      </c>
      <c r="K958" s="5">
        <v>0.59060000000000001</v>
      </c>
      <c r="L958" s="5">
        <v>0.52780000000000005</v>
      </c>
      <c r="M958" s="5">
        <v>0.51649999999999996</v>
      </c>
      <c r="N958" s="5">
        <v>0.54859999999999998</v>
      </c>
      <c r="O958" s="5">
        <v>0.54059999999999997</v>
      </c>
      <c r="P958" s="5"/>
    </row>
    <row r="959" spans="1:16">
      <c r="A959" t="str">
        <f t="shared" si="14"/>
        <v>RS11CP LF</v>
      </c>
      <c r="B959" t="s">
        <v>687</v>
      </c>
      <c r="C959" t="s">
        <v>158</v>
      </c>
      <c r="D959" s="5">
        <v>0.51559999999999995</v>
      </c>
      <c r="E959" s="5">
        <v>0.6855</v>
      </c>
      <c r="F959" s="5">
        <v>0.53210000000000002</v>
      </c>
      <c r="G959" s="5">
        <v>0.5494</v>
      </c>
      <c r="H959" s="5">
        <v>0.62019999999999997</v>
      </c>
      <c r="I959" s="5">
        <v>0.62029999999999996</v>
      </c>
      <c r="J959" s="5">
        <v>0.61660000000000004</v>
      </c>
      <c r="K959" s="5">
        <v>0.67330000000000001</v>
      </c>
      <c r="L959" s="5">
        <v>0.64200000000000002</v>
      </c>
      <c r="M959" s="5">
        <v>0.59650000000000003</v>
      </c>
      <c r="N959" s="5">
        <v>0.59970000000000001</v>
      </c>
      <c r="O959" s="5">
        <v>0.56010000000000004</v>
      </c>
      <c r="P959" s="5"/>
    </row>
    <row r="960" spans="1:16">
      <c r="A960" t="str">
        <f t="shared" si="14"/>
        <v>RS11REL PREC:</v>
      </c>
      <c r="B960" t="s">
        <v>687</v>
      </c>
      <c r="C960" t="s">
        <v>65</v>
      </c>
    </row>
    <row r="961" spans="1:16">
      <c r="A961" t="str">
        <f t="shared" si="14"/>
        <v>RS11NCP RP</v>
      </c>
      <c r="B961" t="s">
        <v>687</v>
      </c>
      <c r="C961" t="s">
        <v>159</v>
      </c>
      <c r="D961" s="5">
        <v>3.0499999999999999E-2</v>
      </c>
      <c r="E961" s="5">
        <v>3.1099999999999999E-2</v>
      </c>
      <c r="F961" s="5">
        <v>3.2800000000000003E-2</v>
      </c>
      <c r="G961" s="5">
        <v>3.5999999999999997E-2</v>
      </c>
      <c r="H961" s="5">
        <v>3.15E-2</v>
      </c>
      <c r="I961" s="5">
        <v>2.6499999999999999E-2</v>
      </c>
      <c r="J961" s="5">
        <v>2.8000000000000001E-2</v>
      </c>
      <c r="K961" s="5">
        <v>2.6700000000000002E-2</v>
      </c>
      <c r="L961" s="5">
        <v>2.5100000000000001E-2</v>
      </c>
      <c r="M961" s="5">
        <v>2.58E-2</v>
      </c>
      <c r="N961" s="5">
        <v>3.04E-2</v>
      </c>
      <c r="O961" s="5">
        <v>3.1199999999999999E-2</v>
      </c>
      <c r="P961" s="5"/>
    </row>
    <row r="962" spans="1:16">
      <c r="A962" t="str">
        <f t="shared" si="14"/>
        <v>RS11NCP RP ONPK</v>
      </c>
      <c r="B962" t="s">
        <v>687</v>
      </c>
      <c r="C962" t="s">
        <v>160</v>
      </c>
      <c r="D962" s="5">
        <v>3.1E-2</v>
      </c>
      <c r="E962" s="5">
        <v>3.1899999999999998E-2</v>
      </c>
      <c r="F962" s="5">
        <v>3.4500000000000003E-2</v>
      </c>
      <c r="G962" s="5">
        <v>3.5999999999999997E-2</v>
      </c>
      <c r="H962" s="5">
        <v>0.03</v>
      </c>
      <c r="I962" s="5">
        <v>2.6200000000000001E-2</v>
      </c>
      <c r="J962" s="5">
        <v>2.86E-2</v>
      </c>
      <c r="K962" s="5">
        <v>2.64E-2</v>
      </c>
      <c r="L962" s="5">
        <v>2.4899999999999999E-2</v>
      </c>
      <c r="M962" s="5">
        <v>2.6100000000000002E-2</v>
      </c>
      <c r="N962" s="5">
        <v>3.1600000000000003E-2</v>
      </c>
      <c r="O962" s="5">
        <v>3.4099999999999998E-2</v>
      </c>
      <c r="P962" s="5"/>
    </row>
    <row r="963" spans="1:16">
      <c r="A963" t="str">
        <f t="shared" si="14"/>
        <v>RS11NCP RP OFFPK</v>
      </c>
      <c r="B963" t="s">
        <v>687</v>
      </c>
      <c r="C963" t="s">
        <v>161</v>
      </c>
      <c r="D963" s="5">
        <v>3.0700000000000002E-2</v>
      </c>
      <c r="E963" s="5">
        <v>3.0700000000000002E-2</v>
      </c>
      <c r="F963" s="5">
        <v>3.2000000000000001E-2</v>
      </c>
      <c r="G963" s="5">
        <v>3.6200000000000003E-2</v>
      </c>
      <c r="H963" s="5">
        <v>3.2199999999999999E-2</v>
      </c>
      <c r="I963" s="5">
        <v>2.6200000000000001E-2</v>
      </c>
      <c r="J963" s="5">
        <v>2.7900000000000001E-2</v>
      </c>
      <c r="K963" s="5">
        <v>2.7300000000000001E-2</v>
      </c>
      <c r="L963" s="5">
        <v>2.52E-2</v>
      </c>
      <c r="M963" s="5">
        <v>2.6499999999999999E-2</v>
      </c>
      <c r="N963" s="5">
        <v>0.03</v>
      </c>
      <c r="O963" s="5">
        <v>3.0800000000000001E-2</v>
      </c>
      <c r="P963" s="5"/>
    </row>
    <row r="964" spans="1:16">
      <c r="A964" t="str">
        <f t="shared" si="14"/>
        <v>RS11GCP RP</v>
      </c>
      <c r="B964" t="s">
        <v>687</v>
      </c>
      <c r="C964" t="s">
        <v>162</v>
      </c>
      <c r="D964" s="5">
        <v>7.1099999999999997E-2</v>
      </c>
      <c r="E964" s="5">
        <v>4.65E-2</v>
      </c>
      <c r="F964" s="5">
        <v>5.1400000000000001E-2</v>
      </c>
      <c r="G964" s="5">
        <v>5.2699999999999997E-2</v>
      </c>
      <c r="H964" s="5">
        <v>4.5999999999999999E-2</v>
      </c>
      <c r="I964" s="5">
        <v>4.0300000000000002E-2</v>
      </c>
      <c r="J964" s="5">
        <v>4.0599999999999997E-2</v>
      </c>
      <c r="K964" s="5">
        <v>3.56E-2</v>
      </c>
      <c r="L964" s="5">
        <v>3.4200000000000001E-2</v>
      </c>
      <c r="M964" s="5">
        <v>3.6799999999999999E-2</v>
      </c>
      <c r="N964" s="5">
        <v>4.7699999999999999E-2</v>
      </c>
      <c r="O964" s="5">
        <v>6.2799999999999995E-2</v>
      </c>
      <c r="P964" s="5"/>
    </row>
    <row r="965" spans="1:16">
      <c r="A965" t="str">
        <f t="shared" si="14"/>
        <v>RS11GCP RP ONPK</v>
      </c>
      <c r="B965" t="s">
        <v>687</v>
      </c>
      <c r="C965" t="s">
        <v>163</v>
      </c>
      <c r="D965" s="5">
        <v>7.1099999999999997E-2</v>
      </c>
      <c r="E965" s="5">
        <v>5.2699999999999997E-2</v>
      </c>
      <c r="F965" s="5">
        <v>5.4899999999999997E-2</v>
      </c>
      <c r="G965" s="5">
        <v>5.2699999999999997E-2</v>
      </c>
      <c r="H965" s="5">
        <v>4.1799999999999997E-2</v>
      </c>
      <c r="I965" s="5">
        <v>3.9199999999999999E-2</v>
      </c>
      <c r="J965" s="5">
        <v>4.0599999999999997E-2</v>
      </c>
      <c r="K965" s="5">
        <v>3.5000000000000003E-2</v>
      </c>
      <c r="L965" s="5">
        <v>3.2899999999999999E-2</v>
      </c>
      <c r="M965" s="5">
        <v>3.6799999999999999E-2</v>
      </c>
      <c r="N965" s="5">
        <v>4.7699999999999999E-2</v>
      </c>
      <c r="O965" s="5">
        <v>6.3799999999999996E-2</v>
      </c>
      <c r="P965" s="5"/>
    </row>
    <row r="966" spans="1:16">
      <c r="A966" t="str">
        <f t="shared" si="14"/>
        <v>RS11GCP RP OFFPK</v>
      </c>
      <c r="B966" t="s">
        <v>687</v>
      </c>
      <c r="C966" t="s">
        <v>164</v>
      </c>
      <c r="D966" s="5">
        <v>7.8299999999999995E-2</v>
      </c>
      <c r="E966" s="5">
        <v>4.65E-2</v>
      </c>
      <c r="F966" s="5">
        <v>5.1400000000000001E-2</v>
      </c>
      <c r="G966" s="5">
        <v>4.9099999999999998E-2</v>
      </c>
      <c r="H966" s="5">
        <v>4.5999999999999999E-2</v>
      </c>
      <c r="I966" s="5">
        <v>4.0300000000000002E-2</v>
      </c>
      <c r="J966" s="5">
        <v>4.0500000000000001E-2</v>
      </c>
      <c r="K966" s="5">
        <v>3.56E-2</v>
      </c>
      <c r="L966" s="5">
        <v>3.4200000000000001E-2</v>
      </c>
      <c r="M966" s="5">
        <v>3.73E-2</v>
      </c>
      <c r="N966" s="5">
        <v>5.1799999999999999E-2</v>
      </c>
      <c r="O966" s="5">
        <v>6.2799999999999995E-2</v>
      </c>
      <c r="P966" s="5"/>
    </row>
    <row r="967" spans="1:16">
      <c r="A967" t="str">
        <f t="shared" si="14"/>
        <v>RS11CP RP</v>
      </c>
      <c r="B967" t="s">
        <v>687</v>
      </c>
      <c r="C967" t="s">
        <v>165</v>
      </c>
      <c r="D967" s="5">
        <v>7.1099999999999997E-2</v>
      </c>
      <c r="E967" s="5">
        <v>4.9099999999999998E-2</v>
      </c>
      <c r="F967" s="5">
        <v>5.1299999999999998E-2</v>
      </c>
      <c r="G967" s="5">
        <v>5.2699999999999997E-2</v>
      </c>
      <c r="H967" s="5">
        <v>4.1799999999999997E-2</v>
      </c>
      <c r="I967" s="5">
        <v>3.9199999999999999E-2</v>
      </c>
      <c r="J967" s="5">
        <v>3.9699999999999999E-2</v>
      </c>
      <c r="K967" s="5">
        <v>3.5000000000000003E-2</v>
      </c>
      <c r="L967" s="5">
        <v>3.44E-2</v>
      </c>
      <c r="M967" s="5">
        <v>3.8399999999999997E-2</v>
      </c>
      <c r="N967" s="5">
        <v>4.8500000000000001E-2</v>
      </c>
      <c r="O967" s="5">
        <v>5.7500000000000002E-2</v>
      </c>
      <c r="P967" s="5"/>
    </row>
    <row r="968" spans="1:16">
      <c r="A968" t="str">
        <f t="shared" si="14"/>
        <v>RS11SAMPLE SIZE:</v>
      </c>
      <c r="B968" t="s">
        <v>687</v>
      </c>
      <c r="C968" t="s">
        <v>66</v>
      </c>
    </row>
    <row r="969" spans="1:16">
      <c r="A969" t="str">
        <f t="shared" si="14"/>
        <v>RS11GCPSZ</v>
      </c>
      <c r="B969" t="s">
        <v>687</v>
      </c>
      <c r="C969" t="s">
        <v>166</v>
      </c>
      <c r="D969">
        <v>368</v>
      </c>
      <c r="E969">
        <v>356</v>
      </c>
      <c r="F969">
        <v>367</v>
      </c>
      <c r="G969">
        <v>318</v>
      </c>
      <c r="H969">
        <v>335</v>
      </c>
      <c r="I969">
        <v>357</v>
      </c>
      <c r="J969">
        <v>321</v>
      </c>
      <c r="K969">
        <v>346</v>
      </c>
      <c r="L969">
        <v>368</v>
      </c>
      <c r="M969">
        <v>373</v>
      </c>
      <c r="N969">
        <v>355</v>
      </c>
      <c r="O969">
        <v>372</v>
      </c>
    </row>
    <row r="970" spans="1:16">
      <c r="A970" t="str">
        <f t="shared" si="14"/>
        <v>RS11GCPSZ ONPK</v>
      </c>
      <c r="B970" t="s">
        <v>687</v>
      </c>
      <c r="C970" t="s">
        <v>167</v>
      </c>
      <c r="D970">
        <v>368</v>
      </c>
      <c r="E970">
        <v>356</v>
      </c>
      <c r="F970">
        <v>367</v>
      </c>
      <c r="G970">
        <v>318</v>
      </c>
      <c r="H970">
        <v>335</v>
      </c>
      <c r="I970">
        <v>357</v>
      </c>
      <c r="J970">
        <v>321</v>
      </c>
      <c r="K970">
        <v>346</v>
      </c>
      <c r="L970">
        <v>369</v>
      </c>
      <c r="M970">
        <v>373</v>
      </c>
      <c r="N970">
        <v>355</v>
      </c>
      <c r="O970">
        <v>372</v>
      </c>
    </row>
    <row r="971" spans="1:16">
      <c r="A971" t="str">
        <f t="shared" si="14"/>
        <v>RS11GCPSZ OFFPK</v>
      </c>
      <c r="B971" t="s">
        <v>687</v>
      </c>
      <c r="C971" t="s">
        <v>168</v>
      </c>
      <c r="D971">
        <v>368</v>
      </c>
      <c r="E971">
        <v>356</v>
      </c>
      <c r="F971">
        <v>367</v>
      </c>
      <c r="G971">
        <v>318</v>
      </c>
      <c r="H971">
        <v>335</v>
      </c>
      <c r="I971">
        <v>357</v>
      </c>
      <c r="J971">
        <v>321</v>
      </c>
      <c r="K971">
        <v>346</v>
      </c>
      <c r="L971">
        <v>368</v>
      </c>
      <c r="M971">
        <v>373</v>
      </c>
      <c r="N971">
        <v>355</v>
      </c>
      <c r="O971">
        <v>372</v>
      </c>
    </row>
    <row r="972" spans="1:16">
      <c r="A972" t="str">
        <f t="shared" si="14"/>
        <v>RS11CPSZ</v>
      </c>
      <c r="B972" t="s">
        <v>687</v>
      </c>
      <c r="C972" t="s">
        <v>169</v>
      </c>
      <c r="D972">
        <v>368</v>
      </c>
      <c r="E972">
        <v>356</v>
      </c>
      <c r="F972">
        <v>367</v>
      </c>
      <c r="G972">
        <v>318</v>
      </c>
      <c r="H972">
        <v>335</v>
      </c>
      <c r="I972">
        <v>357</v>
      </c>
      <c r="J972">
        <v>321</v>
      </c>
      <c r="K972">
        <v>346</v>
      </c>
      <c r="L972">
        <v>369</v>
      </c>
      <c r="M972">
        <v>373</v>
      </c>
      <c r="N972">
        <v>355</v>
      </c>
      <c r="O972">
        <v>372</v>
      </c>
    </row>
    <row r="973" spans="1:16">
      <c r="A973" t="str">
        <f t="shared" si="14"/>
        <v/>
      </c>
    </row>
    <row r="974" spans="1:16">
      <c r="A974" t="str">
        <f t="shared" si="14"/>
        <v/>
      </c>
    </row>
    <row r="975" spans="1:16">
      <c r="A975" t="str">
        <f t="shared" si="14"/>
        <v/>
      </c>
    </row>
    <row r="976" spans="1:16">
      <c r="A976" t="str">
        <f t="shared" si="14"/>
        <v xml:space="preserve">RS11 RS(T)-1 Residential Service 1 with TOU included (Sampled) </v>
      </c>
      <c r="B976" t="s">
        <v>686</v>
      </c>
      <c r="C976" t="s">
        <v>28</v>
      </c>
    </row>
    <row r="977" spans="1:16">
      <c r="A977" t="str">
        <f t="shared" si="14"/>
        <v xml:space="preserve">RS11MONTH </v>
      </c>
      <c r="B977" t="s">
        <v>687</v>
      </c>
      <c r="C977" t="s">
        <v>123</v>
      </c>
      <c r="D977" s="4">
        <v>41640</v>
      </c>
      <c r="E977" s="4">
        <v>41671</v>
      </c>
      <c r="F977" s="4">
        <v>41699</v>
      </c>
      <c r="G977" s="4">
        <v>41730</v>
      </c>
      <c r="H977" s="4">
        <v>41760</v>
      </c>
      <c r="I977" s="4">
        <v>41791</v>
      </c>
      <c r="J977" s="4">
        <v>41821</v>
      </c>
      <c r="K977" s="4">
        <v>41852</v>
      </c>
      <c r="L977" s="4">
        <v>41883</v>
      </c>
      <c r="M977" s="4">
        <v>41913</v>
      </c>
      <c r="N977" s="4">
        <v>41944</v>
      </c>
      <c r="O977" s="4">
        <v>41974</v>
      </c>
      <c r="P977" s="4"/>
    </row>
    <row r="978" spans="1:16">
      <c r="A978" t="str">
        <f t="shared" si="14"/>
        <v/>
      </c>
    </row>
    <row r="979" spans="1:16">
      <c r="A979" t="str">
        <f t="shared" si="14"/>
        <v>RS11SDR GCP</v>
      </c>
      <c r="B979" t="s">
        <v>687</v>
      </c>
      <c r="C979" t="s">
        <v>171</v>
      </c>
      <c r="D979">
        <v>1.2370000000000001</v>
      </c>
      <c r="E979">
        <v>0.70299999999999996</v>
      </c>
      <c r="F979">
        <v>0.72499999999999998</v>
      </c>
      <c r="G979">
        <v>0.749</v>
      </c>
      <c r="H979">
        <v>0.71899999999999997</v>
      </c>
      <c r="I979">
        <v>0.74399999999999999</v>
      </c>
      <c r="J979">
        <v>0.73099999999999998</v>
      </c>
      <c r="K979">
        <v>0.66700000000000004</v>
      </c>
      <c r="L979">
        <v>0.75800000000000001</v>
      </c>
      <c r="M979">
        <v>0.65500000000000003</v>
      </c>
      <c r="N979">
        <v>0.68899999999999995</v>
      </c>
      <c r="O979">
        <v>0.875</v>
      </c>
    </row>
    <row r="980" spans="1:16">
      <c r="A980" t="str">
        <f t="shared" si="14"/>
        <v>RS11SDR GCP ONPK</v>
      </c>
      <c r="B980" t="s">
        <v>687</v>
      </c>
      <c r="C980" t="s">
        <v>172</v>
      </c>
      <c r="D980">
        <v>1.2370000000000001</v>
      </c>
      <c r="E980">
        <v>0.71799999999999997</v>
      </c>
      <c r="F980">
        <v>0.64800000000000002</v>
      </c>
      <c r="G980">
        <v>0.749</v>
      </c>
      <c r="H980">
        <v>0.63700000000000001</v>
      </c>
      <c r="I980">
        <v>0.67900000000000005</v>
      </c>
      <c r="J980">
        <v>0.73099999999999998</v>
      </c>
      <c r="K980">
        <v>0.626</v>
      </c>
      <c r="L980">
        <v>0.68700000000000006</v>
      </c>
      <c r="M980">
        <v>0.65500000000000003</v>
      </c>
      <c r="N980">
        <v>0.68899999999999995</v>
      </c>
      <c r="O980">
        <v>0.85299999999999998</v>
      </c>
    </row>
    <row r="981" spans="1:16">
      <c r="A981" t="str">
        <f t="shared" si="14"/>
        <v>RS11SDR GCP OFFP</v>
      </c>
      <c r="B981" t="s">
        <v>687</v>
      </c>
      <c r="C981" t="s">
        <v>219</v>
      </c>
      <c r="D981">
        <v>1.3420000000000001</v>
      </c>
      <c r="E981">
        <v>0.70299999999999996</v>
      </c>
      <c r="F981">
        <v>0.72499999999999998</v>
      </c>
      <c r="G981">
        <v>0.68400000000000005</v>
      </c>
      <c r="H981">
        <v>0.71899999999999997</v>
      </c>
      <c r="I981">
        <v>0.74399999999999999</v>
      </c>
      <c r="J981">
        <v>0.69499999999999995</v>
      </c>
      <c r="K981">
        <v>0.66700000000000004</v>
      </c>
      <c r="L981">
        <v>0.75800000000000001</v>
      </c>
      <c r="M981">
        <v>0.66600000000000004</v>
      </c>
      <c r="N981">
        <v>0.75700000000000001</v>
      </c>
      <c r="O981">
        <v>0.875</v>
      </c>
    </row>
    <row r="982" spans="1:16">
      <c r="A982" t="str">
        <f t="shared" si="14"/>
        <v>RS11SDR CP</v>
      </c>
      <c r="B982" t="s">
        <v>687</v>
      </c>
      <c r="C982" t="s">
        <v>174</v>
      </c>
      <c r="D982">
        <v>1.2370000000000001</v>
      </c>
      <c r="E982">
        <v>0.624</v>
      </c>
      <c r="F982">
        <v>0.71299999999999997</v>
      </c>
      <c r="G982">
        <v>0.749</v>
      </c>
      <c r="H982">
        <v>0.63700000000000001</v>
      </c>
      <c r="I982">
        <v>0.67900000000000005</v>
      </c>
      <c r="J982">
        <v>0.69199999999999995</v>
      </c>
      <c r="K982">
        <v>0.626</v>
      </c>
      <c r="L982">
        <v>0.70299999999999996</v>
      </c>
      <c r="M982">
        <v>0.66</v>
      </c>
      <c r="N982">
        <v>0.65700000000000003</v>
      </c>
      <c r="O982">
        <v>0.79300000000000004</v>
      </c>
    </row>
    <row r="983" spans="1:16">
      <c r="A983" t="str">
        <f t="shared" si="14"/>
        <v/>
      </c>
    </row>
    <row r="984" spans="1:16">
      <c r="A984" t="str">
        <f t="shared" si="14"/>
        <v>RS11I   SDR GCP</v>
      </c>
      <c r="B984" t="s">
        <v>687</v>
      </c>
      <c r="C984" t="s">
        <v>220</v>
      </c>
      <c r="D984">
        <v>1.4470000000000001</v>
      </c>
      <c r="E984">
        <v>0.73099999999999998</v>
      </c>
      <c r="F984">
        <v>0.77600000000000002</v>
      </c>
      <c r="G984">
        <v>0.92100000000000004</v>
      </c>
      <c r="H984">
        <v>1.0149999999999999</v>
      </c>
      <c r="I984">
        <v>0.84699999999999998</v>
      </c>
      <c r="J984">
        <v>0.89600000000000002</v>
      </c>
      <c r="K984">
        <v>0.84399999999999997</v>
      </c>
      <c r="L984">
        <v>0.78</v>
      </c>
      <c r="M984">
        <v>0.84899999999999998</v>
      </c>
      <c r="N984">
        <v>0.94199999999999995</v>
      </c>
      <c r="O984">
        <v>1.1930000000000001</v>
      </c>
    </row>
    <row r="985" spans="1:16">
      <c r="A985" t="str">
        <f t="shared" si="14"/>
        <v>RS11I   SDR GCP ONPK</v>
      </c>
      <c r="B985" t="s">
        <v>687</v>
      </c>
      <c r="C985" t="s">
        <v>221</v>
      </c>
      <c r="D985">
        <v>1.4470000000000001</v>
      </c>
      <c r="E985">
        <v>0.91200000000000003</v>
      </c>
      <c r="F985">
        <v>0.95</v>
      </c>
      <c r="G985">
        <v>0.92100000000000004</v>
      </c>
      <c r="H985">
        <v>0.83</v>
      </c>
      <c r="I985">
        <v>0.94099999999999995</v>
      </c>
      <c r="J985">
        <v>0.89600000000000002</v>
      </c>
      <c r="K985">
        <v>0.64300000000000002</v>
      </c>
      <c r="L985">
        <v>0.70099999999999996</v>
      </c>
      <c r="M985">
        <v>0.84899999999999998</v>
      </c>
      <c r="N985">
        <v>0.94199999999999995</v>
      </c>
      <c r="O985">
        <v>1.2010000000000001</v>
      </c>
    </row>
    <row r="986" spans="1:16">
      <c r="A986" t="str">
        <f t="shared" si="14"/>
        <v>RS11I   SDR GCP OFFPK</v>
      </c>
      <c r="B986" t="s">
        <v>687</v>
      </c>
      <c r="C986" t="s">
        <v>222</v>
      </c>
      <c r="D986">
        <v>1.4630000000000001</v>
      </c>
      <c r="E986">
        <v>0.73099999999999998</v>
      </c>
      <c r="F986">
        <v>0.77600000000000002</v>
      </c>
      <c r="G986">
        <v>0.79600000000000004</v>
      </c>
      <c r="H986">
        <v>1.0149999999999999</v>
      </c>
      <c r="I986">
        <v>0.84699999999999998</v>
      </c>
      <c r="J986">
        <v>0.70899999999999996</v>
      </c>
      <c r="K986">
        <v>0.84399999999999997</v>
      </c>
      <c r="L986">
        <v>0.78</v>
      </c>
      <c r="M986">
        <v>0.79800000000000004</v>
      </c>
      <c r="N986">
        <v>1.014</v>
      </c>
      <c r="O986">
        <v>1.1930000000000001</v>
      </c>
    </row>
    <row r="987" spans="1:16">
      <c r="A987" t="str">
        <f t="shared" si="14"/>
        <v>RS11I   SDR CP</v>
      </c>
      <c r="B987" t="s">
        <v>687</v>
      </c>
      <c r="C987" t="s">
        <v>638</v>
      </c>
      <c r="D987">
        <v>1.4470000000000001</v>
      </c>
      <c r="E987">
        <v>0.81799999999999995</v>
      </c>
      <c r="F987">
        <v>0.83399999999999996</v>
      </c>
      <c r="G987">
        <v>0.92100000000000004</v>
      </c>
      <c r="H987">
        <v>0.83</v>
      </c>
      <c r="I987">
        <v>0.94099999999999995</v>
      </c>
      <c r="J987">
        <v>0.94199999999999995</v>
      </c>
      <c r="K987">
        <v>0.64300000000000002</v>
      </c>
      <c r="L987">
        <v>0.60299999999999998</v>
      </c>
      <c r="M987">
        <v>0.93</v>
      </c>
      <c r="N987">
        <v>0.75800000000000001</v>
      </c>
      <c r="O987">
        <v>1.119</v>
      </c>
    </row>
    <row r="988" spans="1:16">
      <c r="A988" t="str">
        <f t="shared" si="14"/>
        <v/>
      </c>
    </row>
    <row r="989" spans="1:16">
      <c r="A989" t="str">
        <f t="shared" si="14"/>
        <v>RS11II  SDR GCP</v>
      </c>
      <c r="B989" t="s">
        <v>687</v>
      </c>
      <c r="C989" t="s">
        <v>223</v>
      </c>
      <c r="D989">
        <v>2.4420000000000002</v>
      </c>
      <c r="E989">
        <v>1.2769999999999999</v>
      </c>
      <c r="F989">
        <v>1.3779999999999999</v>
      </c>
      <c r="G989">
        <v>1.4419999999999999</v>
      </c>
      <c r="H989">
        <v>1.26</v>
      </c>
      <c r="I989">
        <v>1.4450000000000001</v>
      </c>
      <c r="J989">
        <v>1.41</v>
      </c>
      <c r="K989">
        <v>1.2789999999999999</v>
      </c>
      <c r="L989">
        <v>1.573</v>
      </c>
      <c r="M989">
        <v>1.2110000000000001</v>
      </c>
      <c r="N989">
        <v>1.234</v>
      </c>
      <c r="O989">
        <v>1.4950000000000001</v>
      </c>
    </row>
    <row r="990" spans="1:16">
      <c r="A990" t="str">
        <f t="shared" si="14"/>
        <v>RS11II  SDR GCP ONPK</v>
      </c>
      <c r="B990" t="s">
        <v>687</v>
      </c>
      <c r="C990" t="s">
        <v>224</v>
      </c>
      <c r="D990">
        <v>2.4420000000000002</v>
      </c>
      <c r="E990">
        <v>1.27</v>
      </c>
      <c r="F990">
        <v>1.091</v>
      </c>
      <c r="G990">
        <v>1.4419999999999999</v>
      </c>
      <c r="H990">
        <v>1.18</v>
      </c>
      <c r="I990">
        <v>1.306</v>
      </c>
      <c r="J990">
        <v>1.41</v>
      </c>
      <c r="K990">
        <v>1.246</v>
      </c>
      <c r="L990">
        <v>1.44</v>
      </c>
      <c r="M990">
        <v>1.2110000000000001</v>
      </c>
      <c r="N990">
        <v>1.234</v>
      </c>
      <c r="O990">
        <v>1.5109999999999999</v>
      </c>
    </row>
    <row r="991" spans="1:16">
      <c r="A991" t="str">
        <f t="shared" si="14"/>
        <v>RS11II  SDR GCP OFFPK</v>
      </c>
      <c r="B991" t="s">
        <v>687</v>
      </c>
      <c r="C991" t="s">
        <v>225</v>
      </c>
      <c r="D991">
        <v>2.569</v>
      </c>
      <c r="E991">
        <v>1.2769999999999999</v>
      </c>
      <c r="F991">
        <v>1.3779999999999999</v>
      </c>
      <c r="G991">
        <v>1.3620000000000001</v>
      </c>
      <c r="H991">
        <v>1.26</v>
      </c>
      <c r="I991">
        <v>1.4450000000000001</v>
      </c>
      <c r="J991">
        <v>1.379</v>
      </c>
      <c r="K991">
        <v>1.2789999999999999</v>
      </c>
      <c r="L991">
        <v>1.573</v>
      </c>
      <c r="M991">
        <v>1.29</v>
      </c>
      <c r="N991">
        <v>1.3979999999999999</v>
      </c>
      <c r="O991">
        <v>1.4950000000000001</v>
      </c>
    </row>
    <row r="992" spans="1:16">
      <c r="A992" t="str">
        <f t="shared" si="14"/>
        <v>RS11II  SDR CP</v>
      </c>
      <c r="B992" t="s">
        <v>687</v>
      </c>
      <c r="C992" t="s">
        <v>226</v>
      </c>
      <c r="D992">
        <v>2.4420000000000002</v>
      </c>
      <c r="E992">
        <v>1.093</v>
      </c>
      <c r="F992">
        <v>1.3560000000000001</v>
      </c>
      <c r="G992">
        <v>1.4419999999999999</v>
      </c>
      <c r="H992">
        <v>1.18</v>
      </c>
      <c r="I992">
        <v>1.306</v>
      </c>
      <c r="J992">
        <v>1.306</v>
      </c>
      <c r="K992">
        <v>1.246</v>
      </c>
      <c r="L992">
        <v>1.5169999999999999</v>
      </c>
      <c r="M992">
        <v>1.1990000000000001</v>
      </c>
      <c r="N992">
        <v>1.232</v>
      </c>
      <c r="O992">
        <v>1.4239999999999999</v>
      </c>
    </row>
    <row r="993" spans="1:15">
      <c r="A993" t="str">
        <f t="shared" si="14"/>
        <v/>
      </c>
    </row>
    <row r="994" spans="1:15">
      <c r="A994" t="str">
        <f t="shared" si="14"/>
        <v>RS11III SDR GCP</v>
      </c>
      <c r="B994" t="s">
        <v>687</v>
      </c>
      <c r="C994" t="s">
        <v>227</v>
      </c>
      <c r="D994">
        <v>2.7090000000000001</v>
      </c>
      <c r="E994">
        <v>1.903</v>
      </c>
      <c r="F994">
        <v>1.752</v>
      </c>
      <c r="G994">
        <v>1.6859999999999999</v>
      </c>
      <c r="H994">
        <v>1.7050000000000001</v>
      </c>
      <c r="I994">
        <v>1.752</v>
      </c>
      <c r="J994">
        <v>1.601</v>
      </c>
      <c r="K994">
        <v>1.482</v>
      </c>
      <c r="L994">
        <v>1.573</v>
      </c>
      <c r="M994">
        <v>1.5209999999999999</v>
      </c>
      <c r="N994">
        <v>1.6220000000000001</v>
      </c>
      <c r="O994">
        <v>2.242</v>
      </c>
    </row>
    <row r="995" spans="1:15">
      <c r="A995" t="str">
        <f t="shared" si="14"/>
        <v>RS11III SDR GCP ONPK</v>
      </c>
      <c r="B995" t="s">
        <v>687</v>
      </c>
      <c r="C995" t="s">
        <v>228</v>
      </c>
      <c r="D995">
        <v>2.7090000000000001</v>
      </c>
      <c r="E995">
        <v>1.7989999999999999</v>
      </c>
      <c r="F995">
        <v>1.589</v>
      </c>
      <c r="G995">
        <v>1.6859999999999999</v>
      </c>
      <c r="H995">
        <v>1.47</v>
      </c>
      <c r="I995">
        <v>1.373</v>
      </c>
      <c r="J995">
        <v>1.601</v>
      </c>
      <c r="K995">
        <v>1.4510000000000001</v>
      </c>
      <c r="L995">
        <v>1.415</v>
      </c>
      <c r="M995">
        <v>1.5209999999999999</v>
      </c>
      <c r="N995">
        <v>1.6220000000000001</v>
      </c>
      <c r="O995">
        <v>2.016</v>
      </c>
    </row>
    <row r="996" spans="1:15">
      <c r="A996" t="str">
        <f t="shared" si="14"/>
        <v>RS11III SDR GCP OFFPK</v>
      </c>
      <c r="B996" t="s">
        <v>687</v>
      </c>
      <c r="C996" t="s">
        <v>229</v>
      </c>
      <c r="D996">
        <v>3.2869999999999999</v>
      </c>
      <c r="E996">
        <v>1.903</v>
      </c>
      <c r="F996">
        <v>1.752</v>
      </c>
      <c r="G996">
        <v>1.478</v>
      </c>
      <c r="H996">
        <v>1.7050000000000001</v>
      </c>
      <c r="I996">
        <v>1.752</v>
      </c>
      <c r="J996">
        <v>1.6220000000000001</v>
      </c>
      <c r="K996">
        <v>1.482</v>
      </c>
      <c r="L996">
        <v>1.573</v>
      </c>
      <c r="M996">
        <v>1.5129999999999999</v>
      </c>
      <c r="N996">
        <v>1.746</v>
      </c>
      <c r="O996">
        <v>2.242</v>
      </c>
    </row>
    <row r="997" spans="1:15">
      <c r="A997" t="str">
        <f t="shared" si="14"/>
        <v>RS11III SDR CP</v>
      </c>
      <c r="B997" t="s">
        <v>687</v>
      </c>
      <c r="C997" t="s">
        <v>230</v>
      </c>
      <c r="D997">
        <v>2.7090000000000001</v>
      </c>
      <c r="E997">
        <v>1.569</v>
      </c>
      <c r="F997">
        <v>1.6419999999999999</v>
      </c>
      <c r="G997">
        <v>1.6859999999999999</v>
      </c>
      <c r="H997">
        <v>1.47</v>
      </c>
      <c r="I997">
        <v>1.373</v>
      </c>
      <c r="J997">
        <v>1.5009999999999999</v>
      </c>
      <c r="K997">
        <v>1.4510000000000001</v>
      </c>
      <c r="L997">
        <v>1.4710000000000001</v>
      </c>
      <c r="M997">
        <v>1.494</v>
      </c>
      <c r="N997">
        <v>1.5629999999999999</v>
      </c>
      <c r="O997">
        <v>1.8220000000000001</v>
      </c>
    </row>
    <row r="998" spans="1:15">
      <c r="A998" t="str">
        <f t="shared" si="14"/>
        <v/>
      </c>
    </row>
    <row r="999" spans="1:15">
      <c r="A999" t="str">
        <f t="shared" si="14"/>
        <v>RS11IV  SDR GCP</v>
      </c>
      <c r="B999" t="s">
        <v>687</v>
      </c>
      <c r="C999" t="s">
        <v>231</v>
      </c>
      <c r="D999">
        <v>4.2729999999999997</v>
      </c>
      <c r="E999">
        <v>1.875</v>
      </c>
      <c r="F999">
        <v>3.2879999999999998</v>
      </c>
      <c r="G999">
        <v>2.258</v>
      </c>
      <c r="H999">
        <v>2.355</v>
      </c>
      <c r="I999">
        <v>1.631</v>
      </c>
      <c r="J999">
        <v>3.069</v>
      </c>
      <c r="K999">
        <v>1.9530000000000001</v>
      </c>
      <c r="L999">
        <v>2.96</v>
      </c>
      <c r="M999">
        <v>2.3220000000000001</v>
      </c>
      <c r="N999">
        <v>2.2759999999999998</v>
      </c>
      <c r="O999">
        <v>2.0409999999999999</v>
      </c>
    </row>
    <row r="1000" spans="1:15">
      <c r="A1000" t="str">
        <f t="shared" si="14"/>
        <v>RS11IV  SDR GCP ONPK</v>
      </c>
      <c r="B1000" t="s">
        <v>687</v>
      </c>
      <c r="C1000" t="s">
        <v>232</v>
      </c>
      <c r="D1000">
        <v>4.2729999999999997</v>
      </c>
      <c r="E1000">
        <v>2.7490000000000001</v>
      </c>
      <c r="F1000">
        <v>1.8819999999999999</v>
      </c>
      <c r="G1000">
        <v>2.258</v>
      </c>
      <c r="H1000">
        <v>2.1560000000000001</v>
      </c>
      <c r="I1000">
        <v>1.9870000000000001</v>
      </c>
      <c r="J1000">
        <v>3.069</v>
      </c>
      <c r="K1000">
        <v>2.105</v>
      </c>
      <c r="L1000">
        <v>2.085</v>
      </c>
      <c r="M1000">
        <v>2.3220000000000001</v>
      </c>
      <c r="N1000">
        <v>2.2759999999999998</v>
      </c>
      <c r="O1000">
        <v>2.25</v>
      </c>
    </row>
    <row r="1001" spans="1:15">
      <c r="A1001" t="str">
        <f t="shared" si="14"/>
        <v>RS11IV  SDR GCP OFFPK</v>
      </c>
      <c r="B1001" t="s">
        <v>687</v>
      </c>
      <c r="C1001" t="s">
        <v>233</v>
      </c>
      <c r="D1001">
        <v>3.8490000000000002</v>
      </c>
      <c r="E1001">
        <v>1.875</v>
      </c>
      <c r="F1001">
        <v>3.2879999999999998</v>
      </c>
      <c r="G1001">
        <v>2.2850000000000001</v>
      </c>
      <c r="H1001">
        <v>2.355</v>
      </c>
      <c r="I1001">
        <v>1.631</v>
      </c>
      <c r="J1001">
        <v>2.427</v>
      </c>
      <c r="K1001">
        <v>1.9530000000000001</v>
      </c>
      <c r="L1001">
        <v>2.96</v>
      </c>
      <c r="M1001">
        <v>1.867</v>
      </c>
      <c r="N1001">
        <v>1.9039999999999999</v>
      </c>
      <c r="O1001">
        <v>2.0409999999999999</v>
      </c>
    </row>
    <row r="1002" spans="1:15">
      <c r="A1002" t="str">
        <f t="shared" si="14"/>
        <v>RS11IV  SDR CP</v>
      </c>
      <c r="B1002" t="s">
        <v>687</v>
      </c>
      <c r="C1002" t="s">
        <v>234</v>
      </c>
      <c r="D1002">
        <v>4.2729999999999997</v>
      </c>
      <c r="E1002">
        <v>1.9850000000000001</v>
      </c>
      <c r="F1002">
        <v>3.262</v>
      </c>
      <c r="G1002">
        <v>2.258</v>
      </c>
      <c r="H1002">
        <v>2.1560000000000001</v>
      </c>
      <c r="I1002">
        <v>1.9870000000000001</v>
      </c>
      <c r="J1002">
        <v>1.796</v>
      </c>
      <c r="K1002">
        <v>2.105</v>
      </c>
      <c r="L1002">
        <v>1.7210000000000001</v>
      </c>
      <c r="M1002">
        <v>1.738</v>
      </c>
      <c r="N1002">
        <v>3.0249999999999999</v>
      </c>
      <c r="O1002">
        <v>2.3919999999999999</v>
      </c>
    </row>
    <row r="1003" spans="1:15">
      <c r="A1003" t="str">
        <f t="shared" si="14"/>
        <v/>
      </c>
    </row>
    <row r="1004" spans="1:15">
      <c r="A1004" t="str">
        <f t="shared" si="14"/>
        <v/>
      </c>
    </row>
    <row r="1005" spans="1:15">
      <c r="A1005" t="str">
        <f t="shared" si="14"/>
        <v/>
      </c>
    </row>
    <row r="1006" spans="1:15">
      <c r="A1006" t="str">
        <f t="shared" si="14"/>
        <v/>
      </c>
    </row>
    <row r="1007" spans="1:15">
      <c r="A1007" t="str">
        <f t="shared" ref="A1007:A1070" si="15">B1007&amp;C1007</f>
        <v/>
      </c>
    </row>
    <row r="1008" spans="1:15">
      <c r="A1008" t="str">
        <f t="shared" si="15"/>
        <v/>
      </c>
    </row>
    <row r="1009" spans="1:4">
      <c r="A1009" t="str">
        <f t="shared" si="15"/>
        <v/>
      </c>
    </row>
    <row r="1010" spans="1:4">
      <c r="A1010" t="str">
        <f t="shared" si="15"/>
        <v/>
      </c>
    </row>
    <row r="1011" spans="1:4">
      <c r="A1011" t="str">
        <f t="shared" si="15"/>
        <v/>
      </c>
    </row>
    <row r="1012" spans="1:4">
      <c r="A1012" t="str">
        <f t="shared" si="15"/>
        <v/>
      </c>
    </row>
    <row r="1013" spans="1:4">
      <c r="A1013" t="str">
        <f t="shared" si="15"/>
        <v/>
      </c>
    </row>
    <row r="1014" spans="1:4">
      <c r="A1014" t="str">
        <f t="shared" si="15"/>
        <v/>
      </c>
    </row>
    <row r="1015" spans="1:4">
      <c r="A1015" t="str">
        <f t="shared" si="15"/>
        <v/>
      </c>
    </row>
    <row r="1016" spans="1:4">
      <c r="A1016" t="str">
        <f t="shared" si="15"/>
        <v/>
      </c>
    </row>
    <row r="1017" spans="1:4">
      <c r="A1017" t="str">
        <f t="shared" si="15"/>
        <v/>
      </c>
    </row>
    <row r="1018" spans="1:4">
      <c r="A1018" t="str">
        <f t="shared" si="15"/>
        <v/>
      </c>
    </row>
    <row r="1019" spans="1:4">
      <c r="A1019" t="str">
        <f t="shared" si="15"/>
        <v/>
      </c>
    </row>
    <row r="1020" spans="1:4">
      <c r="A1020" t="str">
        <f t="shared" si="15"/>
        <v/>
      </c>
    </row>
    <row r="1021" spans="1:4">
      <c r="A1021" t="str">
        <f t="shared" si="15"/>
        <v/>
      </c>
    </row>
    <row r="1022" spans="1:4">
      <c r="A1022" t="str">
        <f t="shared" si="15"/>
        <v/>
      </c>
    </row>
    <row r="1023" spans="1:4">
      <c r="A1023" t="str">
        <f t="shared" si="15"/>
        <v/>
      </c>
    </row>
    <row r="1024" spans="1:4">
      <c r="A1024" t="str">
        <f t="shared" si="15"/>
        <v>SEMINOLE Wholesale Seminole Electric Cooperative</v>
      </c>
      <c r="B1024" t="s">
        <v>688</v>
      </c>
      <c r="C1024" t="s">
        <v>689</v>
      </c>
      <c r="D1024" t="s">
        <v>690</v>
      </c>
    </row>
    <row r="1025" spans="1:16">
      <c r="A1025" t="str">
        <f t="shared" si="15"/>
        <v xml:space="preserve">SEMINOLEMONTH </v>
      </c>
      <c r="B1025" t="s">
        <v>691</v>
      </c>
      <c r="C1025" t="s">
        <v>123</v>
      </c>
      <c r="D1025" s="4">
        <v>41640</v>
      </c>
      <c r="E1025" s="4">
        <v>41671</v>
      </c>
      <c r="F1025" s="4">
        <v>41699</v>
      </c>
      <c r="G1025" s="4">
        <v>41730</v>
      </c>
      <c r="H1025" s="4">
        <v>41760</v>
      </c>
      <c r="I1025" s="4">
        <v>41791</v>
      </c>
      <c r="J1025" s="4">
        <v>41821</v>
      </c>
      <c r="K1025" s="4">
        <v>41852</v>
      </c>
      <c r="L1025" s="4">
        <v>41883</v>
      </c>
      <c r="M1025" s="4">
        <v>41913</v>
      </c>
      <c r="N1025" s="4">
        <v>41944</v>
      </c>
      <c r="O1025" s="4">
        <v>41974</v>
      </c>
      <c r="P1025" s="4"/>
    </row>
    <row r="1026" spans="1:16">
      <c r="A1026" t="str">
        <f t="shared" si="15"/>
        <v xml:space="preserve">SEMINOLECUSTOMERS </v>
      </c>
      <c r="B1026" t="s">
        <v>691</v>
      </c>
      <c r="C1026" t="s">
        <v>124</v>
      </c>
      <c r="I1026">
        <v>2</v>
      </c>
      <c r="J1026">
        <v>2</v>
      </c>
      <c r="K1026">
        <v>2</v>
      </c>
      <c r="L1026">
        <v>2</v>
      </c>
      <c r="M1026">
        <v>2</v>
      </c>
      <c r="N1026">
        <v>2</v>
      </c>
      <c r="O1026">
        <v>2</v>
      </c>
    </row>
    <row r="1027" spans="1:16">
      <c r="A1027" t="str">
        <f t="shared" si="15"/>
        <v xml:space="preserve">SEMINOLESALES </v>
      </c>
      <c r="B1027" t="s">
        <v>691</v>
      </c>
      <c r="C1027" t="s">
        <v>125</v>
      </c>
      <c r="I1027">
        <v>0</v>
      </c>
      <c r="J1027">
        <v>81900000</v>
      </c>
      <c r="K1027">
        <v>90850000</v>
      </c>
      <c r="L1027">
        <v>96050000</v>
      </c>
      <c r="M1027">
        <v>93375000</v>
      </c>
      <c r="N1027">
        <v>87075000</v>
      </c>
      <c r="O1027">
        <v>44020000</v>
      </c>
    </row>
    <row r="1028" spans="1:16">
      <c r="A1028" t="str">
        <f t="shared" si="15"/>
        <v>SEMINOLEKW</v>
      </c>
      <c r="B1028" t="s">
        <v>691</v>
      </c>
      <c r="C1028" t="s">
        <v>126</v>
      </c>
    </row>
    <row r="1029" spans="1:16">
      <c r="A1029" t="str">
        <f t="shared" si="15"/>
        <v>SEMINOLEN</v>
      </c>
      <c r="B1029" t="s">
        <v>691</v>
      </c>
      <c r="C1029" t="s">
        <v>127</v>
      </c>
      <c r="I1029">
        <v>1</v>
      </c>
      <c r="J1029">
        <v>1</v>
      </c>
      <c r="K1029">
        <v>1</v>
      </c>
      <c r="L1029">
        <v>1</v>
      </c>
      <c r="M1029">
        <v>1</v>
      </c>
      <c r="N1029">
        <v>1</v>
      </c>
      <c r="O1029">
        <v>1</v>
      </c>
    </row>
    <row r="1030" spans="1:16">
      <c r="A1030" t="str">
        <f t="shared" si="15"/>
        <v>SEMINOLERLR ENERGY:</v>
      </c>
      <c r="B1030" t="s">
        <v>691</v>
      </c>
      <c r="C1030" t="s">
        <v>61</v>
      </c>
    </row>
    <row r="1031" spans="1:16">
      <c r="A1031" t="str">
        <f t="shared" si="15"/>
        <v>SEMINOLEKWH</v>
      </c>
      <c r="B1031" t="s">
        <v>691</v>
      </c>
      <c r="C1031" t="s">
        <v>128</v>
      </c>
      <c r="I1031">
        <v>81900000</v>
      </c>
      <c r="J1031">
        <v>90850000</v>
      </c>
      <c r="K1031">
        <v>96050000</v>
      </c>
      <c r="L1031">
        <v>93375000</v>
      </c>
      <c r="M1031">
        <v>87075000</v>
      </c>
      <c r="N1031">
        <v>43795000</v>
      </c>
      <c r="O1031">
        <v>13575000</v>
      </c>
    </row>
    <row r="1032" spans="1:16">
      <c r="A1032" t="str">
        <f t="shared" si="15"/>
        <v>SEMINOLEKWH ONPK</v>
      </c>
      <c r="B1032" t="s">
        <v>691</v>
      </c>
      <c r="C1032" t="s">
        <v>129</v>
      </c>
      <c r="I1032">
        <v>36625000</v>
      </c>
      <c r="J1032">
        <v>39025000</v>
      </c>
      <c r="K1032">
        <v>37350000</v>
      </c>
      <c r="L1032">
        <v>36875000</v>
      </c>
      <c r="M1032">
        <v>34475000</v>
      </c>
      <c r="N1032">
        <v>12700000</v>
      </c>
      <c r="O1032">
        <v>5325000</v>
      </c>
    </row>
    <row r="1033" spans="1:16">
      <c r="A1033" t="str">
        <f t="shared" si="15"/>
        <v>SEMINOLEKWH OFFPK</v>
      </c>
      <c r="B1033" t="s">
        <v>691</v>
      </c>
      <c r="C1033" t="s">
        <v>130</v>
      </c>
      <c r="I1033">
        <v>45275000</v>
      </c>
      <c r="J1033">
        <v>51825000</v>
      </c>
      <c r="K1033">
        <v>58700000</v>
      </c>
      <c r="L1033">
        <v>56500000</v>
      </c>
      <c r="M1033">
        <v>52600000</v>
      </c>
      <c r="N1033">
        <v>31095000</v>
      </c>
      <c r="O1033">
        <v>8250000</v>
      </c>
    </row>
    <row r="1034" spans="1:16">
      <c r="A1034" t="str">
        <f t="shared" si="15"/>
        <v>SEMINOLEKWH ONPK%</v>
      </c>
      <c r="B1034" t="s">
        <v>691</v>
      </c>
      <c r="C1034" t="s">
        <v>131</v>
      </c>
      <c r="D1034" s="5"/>
      <c r="E1034" s="5"/>
      <c r="F1034" s="5"/>
      <c r="G1034" s="5"/>
      <c r="H1034" s="5"/>
      <c r="I1034" s="5">
        <v>0.44718999999999998</v>
      </c>
      <c r="J1034" s="5">
        <v>0.42954999999999999</v>
      </c>
      <c r="K1034" s="5">
        <v>0.38885999999999998</v>
      </c>
      <c r="L1034" s="5">
        <v>0.39490999999999998</v>
      </c>
      <c r="M1034" s="5">
        <v>0.39591999999999999</v>
      </c>
      <c r="N1034" s="5">
        <v>0.28999000000000003</v>
      </c>
      <c r="O1034" s="5">
        <v>0.39227000000000001</v>
      </c>
      <c r="P1034" s="5"/>
    </row>
    <row r="1035" spans="1:16">
      <c r="A1035" t="str">
        <f t="shared" si="15"/>
        <v>SEMINOLEKWH OFFPK%</v>
      </c>
      <c r="B1035" t="s">
        <v>691</v>
      </c>
      <c r="C1035" t="s">
        <v>132</v>
      </c>
      <c r="D1035" s="5"/>
      <c r="E1035" s="5"/>
      <c r="F1035" s="5"/>
      <c r="G1035" s="5"/>
      <c r="H1035" s="5"/>
      <c r="I1035" s="5">
        <v>0.55281000000000002</v>
      </c>
      <c r="J1035" s="5">
        <v>0.57045000000000001</v>
      </c>
      <c r="K1035" s="5">
        <v>0.61114000000000002</v>
      </c>
      <c r="L1035" s="5">
        <v>0.60509000000000002</v>
      </c>
      <c r="M1035" s="5">
        <v>0.60407999999999995</v>
      </c>
      <c r="N1035" s="5">
        <v>0.71001000000000003</v>
      </c>
      <c r="O1035" s="5">
        <v>0.60772999999999999</v>
      </c>
      <c r="P1035" s="5"/>
    </row>
    <row r="1036" spans="1:16">
      <c r="A1036" t="str">
        <f t="shared" si="15"/>
        <v>SEMINOLEDEMAND (KW):</v>
      </c>
      <c r="B1036" t="s">
        <v>691</v>
      </c>
      <c r="C1036" t="s">
        <v>62</v>
      </c>
    </row>
    <row r="1037" spans="1:16">
      <c r="A1037" t="str">
        <f t="shared" si="15"/>
        <v>SEMINOLENCP</v>
      </c>
      <c r="B1037" t="s">
        <v>691</v>
      </c>
      <c r="C1037" t="s">
        <v>133</v>
      </c>
      <c r="I1037">
        <v>200000</v>
      </c>
      <c r="J1037">
        <v>200000</v>
      </c>
      <c r="K1037">
        <v>200000</v>
      </c>
      <c r="L1037">
        <v>200000</v>
      </c>
      <c r="M1037">
        <v>200000</v>
      </c>
      <c r="N1037">
        <v>225000</v>
      </c>
      <c r="O1037">
        <v>200000</v>
      </c>
    </row>
    <row r="1038" spans="1:16">
      <c r="A1038" t="str">
        <f t="shared" si="15"/>
        <v>SEMINOLENCP ONPK</v>
      </c>
      <c r="B1038" t="s">
        <v>691</v>
      </c>
      <c r="C1038" t="s">
        <v>134</v>
      </c>
      <c r="I1038">
        <v>200000</v>
      </c>
      <c r="J1038">
        <v>200000</v>
      </c>
      <c r="K1038">
        <v>200000</v>
      </c>
      <c r="L1038">
        <v>200000</v>
      </c>
      <c r="M1038">
        <v>200000</v>
      </c>
      <c r="N1038">
        <v>200000</v>
      </c>
      <c r="O1038">
        <v>200000</v>
      </c>
    </row>
    <row r="1039" spans="1:16">
      <c r="A1039" t="str">
        <f t="shared" si="15"/>
        <v>SEMINOLENCP OFFPK</v>
      </c>
      <c r="B1039" t="s">
        <v>691</v>
      </c>
      <c r="C1039" t="s">
        <v>135</v>
      </c>
      <c r="I1039">
        <v>200000</v>
      </c>
      <c r="J1039">
        <v>200000</v>
      </c>
      <c r="K1039">
        <v>200000</v>
      </c>
      <c r="L1039">
        <v>200000</v>
      </c>
      <c r="M1039">
        <v>200000</v>
      </c>
      <c r="N1039">
        <v>225000</v>
      </c>
      <c r="O1039">
        <v>200000</v>
      </c>
    </row>
    <row r="1040" spans="1:16">
      <c r="A1040" t="str">
        <f t="shared" si="15"/>
        <v>SEMINOLEGCP DATE</v>
      </c>
      <c r="B1040" t="s">
        <v>691</v>
      </c>
      <c r="C1040" t="s">
        <v>136</v>
      </c>
      <c r="I1040" t="s">
        <v>675</v>
      </c>
      <c r="J1040" t="s">
        <v>676</v>
      </c>
      <c r="K1040" t="s">
        <v>677</v>
      </c>
      <c r="L1040" t="s">
        <v>628</v>
      </c>
      <c r="M1040" t="s">
        <v>678</v>
      </c>
      <c r="N1040" t="s">
        <v>692</v>
      </c>
      <c r="O1040" t="s">
        <v>314</v>
      </c>
    </row>
    <row r="1041" spans="1:16">
      <c r="A1041" t="str">
        <f t="shared" si="15"/>
        <v>SEMINOLEGCP TIME</v>
      </c>
      <c r="B1041" t="s">
        <v>691</v>
      </c>
      <c r="C1041" t="s">
        <v>142</v>
      </c>
      <c r="I1041" t="s">
        <v>143</v>
      </c>
      <c r="J1041" t="s">
        <v>146</v>
      </c>
      <c r="K1041" t="s">
        <v>146</v>
      </c>
      <c r="L1041" t="s">
        <v>146</v>
      </c>
      <c r="M1041" t="s">
        <v>146</v>
      </c>
      <c r="N1041" t="s">
        <v>11</v>
      </c>
      <c r="O1041" t="s">
        <v>203</v>
      </c>
    </row>
    <row r="1042" spans="1:16">
      <c r="A1042" t="str">
        <f t="shared" si="15"/>
        <v>SEMINOLEGCP</v>
      </c>
      <c r="B1042" t="s">
        <v>691</v>
      </c>
      <c r="C1042" t="s">
        <v>147</v>
      </c>
      <c r="I1042">
        <v>200000</v>
      </c>
      <c r="J1042">
        <v>200000</v>
      </c>
      <c r="K1042">
        <v>200000</v>
      </c>
      <c r="L1042">
        <v>200000</v>
      </c>
      <c r="M1042">
        <v>200000</v>
      </c>
      <c r="N1042">
        <v>225000</v>
      </c>
      <c r="O1042">
        <v>200000</v>
      </c>
    </row>
    <row r="1043" spans="1:16">
      <c r="A1043" t="str">
        <f t="shared" si="15"/>
        <v>SEMINOLEGCP ONPK</v>
      </c>
      <c r="B1043" t="s">
        <v>691</v>
      </c>
      <c r="C1043" t="s">
        <v>63</v>
      </c>
      <c r="I1043">
        <v>200000</v>
      </c>
      <c r="J1043">
        <v>200000</v>
      </c>
      <c r="K1043">
        <v>200000</v>
      </c>
      <c r="L1043">
        <v>200000</v>
      </c>
      <c r="M1043">
        <v>200000</v>
      </c>
      <c r="N1043">
        <v>200000</v>
      </c>
      <c r="O1043">
        <v>200000</v>
      </c>
    </row>
    <row r="1044" spans="1:16">
      <c r="A1044" t="str">
        <f t="shared" si="15"/>
        <v>SEMINOLEGCP OFFPK</v>
      </c>
      <c r="B1044" t="s">
        <v>691</v>
      </c>
      <c r="C1044" t="s">
        <v>64</v>
      </c>
      <c r="I1044">
        <v>200000</v>
      </c>
      <c r="J1044">
        <v>200000</v>
      </c>
      <c r="K1044">
        <v>200000</v>
      </c>
      <c r="L1044">
        <v>200000</v>
      </c>
      <c r="M1044">
        <v>200000</v>
      </c>
      <c r="N1044">
        <v>225000</v>
      </c>
      <c r="O1044">
        <v>200000</v>
      </c>
    </row>
    <row r="1045" spans="1:16">
      <c r="A1045" t="str">
        <f t="shared" si="15"/>
        <v>SEMINOLECP</v>
      </c>
      <c r="B1045" t="s">
        <v>691</v>
      </c>
      <c r="C1045" t="s">
        <v>148</v>
      </c>
      <c r="I1045">
        <v>200000</v>
      </c>
      <c r="J1045">
        <v>200000</v>
      </c>
      <c r="K1045">
        <v>200000</v>
      </c>
      <c r="L1045">
        <v>200000</v>
      </c>
      <c r="M1045">
        <v>200000</v>
      </c>
      <c r="N1045">
        <v>0</v>
      </c>
      <c r="O1045">
        <v>0</v>
      </c>
    </row>
    <row r="1046" spans="1:16">
      <c r="A1046" t="str">
        <f t="shared" si="15"/>
        <v>SEMINOLEPERIOD START</v>
      </c>
      <c r="B1046" t="s">
        <v>691</v>
      </c>
      <c r="C1046" t="s">
        <v>149</v>
      </c>
      <c r="D1046" s="1"/>
      <c r="E1046" s="1"/>
      <c r="F1046" s="1"/>
      <c r="G1046" s="1"/>
      <c r="H1046" s="1"/>
      <c r="I1046" s="1">
        <v>41791</v>
      </c>
      <c r="J1046" s="1">
        <v>41821</v>
      </c>
      <c r="K1046" s="1">
        <v>41852</v>
      </c>
      <c r="L1046" s="1">
        <v>41883</v>
      </c>
      <c r="M1046" s="1">
        <v>41913</v>
      </c>
      <c r="N1046" s="1">
        <v>41944</v>
      </c>
      <c r="O1046" s="1">
        <v>41974</v>
      </c>
      <c r="P1046" s="1"/>
    </row>
    <row r="1047" spans="1:16">
      <c r="A1047" t="str">
        <f t="shared" si="15"/>
        <v>SEMINOLENCP LF</v>
      </c>
      <c r="B1047" t="s">
        <v>691</v>
      </c>
      <c r="C1047" t="s">
        <v>150</v>
      </c>
      <c r="I1047" s="5">
        <v>0.56879999999999997</v>
      </c>
      <c r="J1047" s="5">
        <v>0.61060000000000003</v>
      </c>
      <c r="K1047" s="5">
        <v>0.64549999999999996</v>
      </c>
      <c r="L1047" s="5">
        <v>0.64839999999999998</v>
      </c>
      <c r="M1047" s="5">
        <v>0.58520000000000005</v>
      </c>
      <c r="N1047" s="5">
        <v>0.27029999999999998</v>
      </c>
      <c r="O1047" s="5">
        <v>9.1200000000000003E-2</v>
      </c>
      <c r="P1047" s="5"/>
    </row>
    <row r="1048" spans="1:16">
      <c r="A1048" t="str">
        <f t="shared" si="15"/>
        <v>SEMINOLENCP LF ONPK</v>
      </c>
      <c r="B1048" t="s">
        <v>691</v>
      </c>
      <c r="C1048" t="s">
        <v>151</v>
      </c>
      <c r="D1048" t="s">
        <v>539</v>
      </c>
      <c r="E1048" t="s">
        <v>539</v>
      </c>
      <c r="F1048" t="s">
        <v>539</v>
      </c>
      <c r="G1048" t="s">
        <v>539</v>
      </c>
      <c r="H1048" t="s">
        <v>539</v>
      </c>
      <c r="I1048" s="5">
        <v>0.96889999999999998</v>
      </c>
      <c r="J1048" s="5">
        <v>0.98550000000000004</v>
      </c>
      <c r="K1048" s="5">
        <v>0.98809999999999998</v>
      </c>
      <c r="L1048" s="5">
        <v>0.97550000000000003</v>
      </c>
      <c r="M1048" s="5">
        <v>0.8327</v>
      </c>
      <c r="N1048" s="5">
        <v>0.4178</v>
      </c>
      <c r="O1048" s="5">
        <v>0.15129999999999999</v>
      </c>
      <c r="P1048" s="5"/>
    </row>
    <row r="1049" spans="1:16">
      <c r="A1049" t="str">
        <f t="shared" si="15"/>
        <v>SEMINOLENCP LF OFFPK</v>
      </c>
      <c r="B1049" t="s">
        <v>691</v>
      </c>
      <c r="C1049" t="s">
        <v>152</v>
      </c>
      <c r="D1049" t="s">
        <v>539</v>
      </c>
      <c r="E1049" t="s">
        <v>539</v>
      </c>
      <c r="F1049" t="s">
        <v>539</v>
      </c>
      <c r="G1049" t="s">
        <v>539</v>
      </c>
      <c r="H1049" t="s">
        <v>539</v>
      </c>
      <c r="I1049" s="5">
        <v>0.42630000000000001</v>
      </c>
      <c r="J1049" s="5">
        <v>0.47460000000000002</v>
      </c>
      <c r="K1049" s="5">
        <v>0.52880000000000005</v>
      </c>
      <c r="L1049" s="5">
        <v>0.53200000000000003</v>
      </c>
      <c r="M1049" s="5">
        <v>0.48980000000000001</v>
      </c>
      <c r="N1049" s="5">
        <v>0.24329999999999999</v>
      </c>
      <c r="O1049" s="5">
        <v>7.2599999999999998E-2</v>
      </c>
      <c r="P1049" s="5"/>
    </row>
    <row r="1050" spans="1:16">
      <c r="A1050" t="str">
        <f t="shared" si="15"/>
        <v>SEMINOLEGCP CF</v>
      </c>
      <c r="B1050" t="s">
        <v>691</v>
      </c>
      <c r="C1050" t="s">
        <v>153</v>
      </c>
      <c r="D1050" t="s">
        <v>539</v>
      </c>
      <c r="E1050" t="s">
        <v>539</v>
      </c>
      <c r="F1050" t="s">
        <v>539</v>
      </c>
      <c r="G1050" t="s">
        <v>539</v>
      </c>
      <c r="H1050" t="s">
        <v>539</v>
      </c>
      <c r="I1050" s="5">
        <v>1</v>
      </c>
      <c r="J1050" s="5">
        <v>1</v>
      </c>
      <c r="K1050" s="5">
        <v>1</v>
      </c>
      <c r="L1050" s="5">
        <v>1</v>
      </c>
      <c r="M1050" s="5">
        <v>1</v>
      </c>
      <c r="N1050" s="5">
        <v>1</v>
      </c>
      <c r="O1050" s="5">
        <v>1</v>
      </c>
      <c r="P1050" s="5"/>
    </row>
    <row r="1051" spans="1:16">
      <c r="A1051" t="str">
        <f t="shared" si="15"/>
        <v>SEMINOLECP CF</v>
      </c>
      <c r="B1051" t="s">
        <v>691</v>
      </c>
      <c r="C1051" t="s">
        <v>154</v>
      </c>
      <c r="D1051" t="s">
        <v>539</v>
      </c>
      <c r="E1051" t="s">
        <v>539</v>
      </c>
      <c r="F1051" t="s">
        <v>539</v>
      </c>
      <c r="G1051" t="s">
        <v>539</v>
      </c>
      <c r="H1051" t="s">
        <v>539</v>
      </c>
      <c r="I1051" s="5">
        <v>1</v>
      </c>
      <c r="J1051" s="5">
        <v>1</v>
      </c>
      <c r="K1051" s="5">
        <v>1</v>
      </c>
      <c r="L1051" s="5">
        <v>1</v>
      </c>
      <c r="M1051" s="5">
        <v>1</v>
      </c>
      <c r="N1051" s="5">
        <v>0</v>
      </c>
      <c r="O1051" s="5">
        <v>0</v>
      </c>
      <c r="P1051" s="5"/>
    </row>
    <row r="1052" spans="1:16">
      <c r="A1052" t="str">
        <f t="shared" si="15"/>
        <v>SEMINOLEGCP LF</v>
      </c>
      <c r="B1052" t="s">
        <v>691</v>
      </c>
      <c r="C1052" t="s">
        <v>155</v>
      </c>
      <c r="D1052" t="s">
        <v>539</v>
      </c>
      <c r="E1052" t="s">
        <v>539</v>
      </c>
      <c r="F1052" t="s">
        <v>539</v>
      </c>
      <c r="G1052" t="s">
        <v>539</v>
      </c>
      <c r="H1052" t="s">
        <v>539</v>
      </c>
      <c r="I1052" s="5">
        <v>0.56879999999999997</v>
      </c>
      <c r="J1052" s="5">
        <v>0.61060000000000003</v>
      </c>
      <c r="K1052" s="5">
        <v>0.64549999999999996</v>
      </c>
      <c r="L1052" s="5">
        <v>0.64839999999999998</v>
      </c>
      <c r="M1052" s="5">
        <v>0.58520000000000005</v>
      </c>
      <c r="N1052" s="5">
        <v>0.27029999999999998</v>
      </c>
      <c r="O1052" s="5">
        <v>9.1200000000000003E-2</v>
      </c>
      <c r="P1052" s="5"/>
    </row>
    <row r="1053" spans="1:16">
      <c r="A1053" t="str">
        <f t="shared" si="15"/>
        <v>SEMINOLEGCP LF ONPK</v>
      </c>
      <c r="B1053" t="s">
        <v>691</v>
      </c>
      <c r="C1053" t="s">
        <v>156</v>
      </c>
      <c r="D1053" t="s">
        <v>539</v>
      </c>
      <c r="E1053" t="s">
        <v>539</v>
      </c>
      <c r="F1053" t="s">
        <v>539</v>
      </c>
      <c r="G1053" t="s">
        <v>539</v>
      </c>
      <c r="H1053" t="s">
        <v>539</v>
      </c>
      <c r="I1053" s="5">
        <v>0.96889999999999998</v>
      </c>
      <c r="J1053" s="5">
        <v>0.98550000000000004</v>
      </c>
      <c r="K1053" s="5">
        <v>0.98809999999999998</v>
      </c>
      <c r="L1053" s="5">
        <v>0.97550000000000003</v>
      </c>
      <c r="M1053" s="5">
        <v>0.8327</v>
      </c>
      <c r="N1053" s="5">
        <v>0.4178</v>
      </c>
      <c r="O1053" s="5">
        <v>0.15129999999999999</v>
      </c>
      <c r="P1053" s="5"/>
    </row>
    <row r="1054" spans="1:16">
      <c r="A1054" t="str">
        <f t="shared" si="15"/>
        <v>SEMINOLEGCP LF OFFPK</v>
      </c>
      <c r="B1054" t="s">
        <v>691</v>
      </c>
      <c r="C1054" t="s">
        <v>157</v>
      </c>
      <c r="D1054" t="s">
        <v>539</v>
      </c>
      <c r="E1054" t="s">
        <v>539</v>
      </c>
      <c r="F1054" t="s">
        <v>539</v>
      </c>
      <c r="G1054" t="s">
        <v>539</v>
      </c>
      <c r="H1054" t="s">
        <v>539</v>
      </c>
      <c r="I1054" s="5">
        <v>0.42630000000000001</v>
      </c>
      <c r="J1054" s="5">
        <v>0.47460000000000002</v>
      </c>
      <c r="K1054" s="5">
        <v>0.52880000000000005</v>
      </c>
      <c r="L1054" s="5">
        <v>0.53200000000000003</v>
      </c>
      <c r="M1054" s="5">
        <v>0.48980000000000001</v>
      </c>
      <c r="N1054" s="5">
        <v>0.24329999999999999</v>
      </c>
      <c r="O1054" s="5">
        <v>7.2599999999999998E-2</v>
      </c>
      <c r="P1054" s="5"/>
    </row>
    <row r="1055" spans="1:16">
      <c r="A1055" t="str">
        <f t="shared" si="15"/>
        <v>SEMINOLECP LF</v>
      </c>
      <c r="B1055" t="s">
        <v>691</v>
      </c>
      <c r="C1055" t="s">
        <v>158</v>
      </c>
      <c r="D1055" t="s">
        <v>539</v>
      </c>
      <c r="E1055" t="s">
        <v>539</v>
      </c>
      <c r="F1055" t="s">
        <v>539</v>
      </c>
      <c r="G1055" t="s">
        <v>539</v>
      </c>
      <c r="H1055" t="s">
        <v>539</v>
      </c>
      <c r="I1055" s="5">
        <v>0.56879999999999997</v>
      </c>
      <c r="J1055" s="5">
        <v>0.61060000000000003</v>
      </c>
      <c r="K1055" s="5">
        <v>0.64549999999999996</v>
      </c>
      <c r="L1055" s="5">
        <v>0.64839999999999998</v>
      </c>
      <c r="M1055" s="5">
        <v>0.58520000000000005</v>
      </c>
      <c r="N1055" s="5">
        <v>0</v>
      </c>
      <c r="O1055" s="5">
        <v>0</v>
      </c>
      <c r="P1055" s="5"/>
    </row>
    <row r="1056" spans="1:16">
      <c r="A1056" t="str">
        <f t="shared" si="15"/>
        <v>SEMINOLEREL PREC:</v>
      </c>
      <c r="B1056" t="s">
        <v>691</v>
      </c>
      <c r="C1056" t="s">
        <v>65</v>
      </c>
    </row>
    <row r="1057" spans="1:16">
      <c r="A1057" t="str">
        <f t="shared" si="15"/>
        <v>SEMINOLENCP RP</v>
      </c>
      <c r="B1057" t="s">
        <v>691</v>
      </c>
      <c r="C1057" t="s">
        <v>159</v>
      </c>
      <c r="D1057" t="s">
        <v>539</v>
      </c>
      <c r="E1057" t="s">
        <v>539</v>
      </c>
      <c r="F1057" t="s">
        <v>539</v>
      </c>
      <c r="G1057" t="s">
        <v>539</v>
      </c>
      <c r="H1057" t="s">
        <v>539</v>
      </c>
      <c r="I1057" s="5">
        <v>0</v>
      </c>
      <c r="J1057" s="5">
        <v>0</v>
      </c>
      <c r="K1057" s="5">
        <v>0</v>
      </c>
      <c r="L1057" s="5">
        <v>0</v>
      </c>
      <c r="M1057" s="5">
        <v>0</v>
      </c>
      <c r="N1057" s="5">
        <v>0</v>
      </c>
      <c r="O1057" s="5">
        <v>0</v>
      </c>
      <c r="P1057" s="5"/>
    </row>
    <row r="1058" spans="1:16">
      <c r="A1058" t="str">
        <f t="shared" si="15"/>
        <v>SEMINOLENCP RP ONPK</v>
      </c>
      <c r="B1058" t="s">
        <v>691</v>
      </c>
      <c r="C1058" t="s">
        <v>160</v>
      </c>
      <c r="D1058" t="s">
        <v>539</v>
      </c>
      <c r="E1058" t="s">
        <v>539</v>
      </c>
      <c r="F1058" t="s">
        <v>539</v>
      </c>
      <c r="G1058" t="s">
        <v>539</v>
      </c>
      <c r="H1058" t="s">
        <v>539</v>
      </c>
      <c r="I1058" s="5">
        <v>0</v>
      </c>
      <c r="J1058" s="5">
        <v>0</v>
      </c>
      <c r="K1058" s="5">
        <v>0</v>
      </c>
      <c r="L1058" s="5">
        <v>0</v>
      </c>
      <c r="M1058" s="5">
        <v>0</v>
      </c>
      <c r="N1058" s="5">
        <v>0</v>
      </c>
      <c r="O1058" s="5">
        <v>0</v>
      </c>
      <c r="P1058" s="5"/>
    </row>
    <row r="1059" spans="1:16">
      <c r="A1059" t="str">
        <f t="shared" si="15"/>
        <v>SEMINOLENCP RP OFFPK</v>
      </c>
      <c r="B1059" t="s">
        <v>691</v>
      </c>
      <c r="C1059" t="s">
        <v>161</v>
      </c>
      <c r="D1059" t="s">
        <v>539</v>
      </c>
      <c r="E1059" t="s">
        <v>539</v>
      </c>
      <c r="F1059" t="s">
        <v>539</v>
      </c>
      <c r="G1059" t="s">
        <v>539</v>
      </c>
      <c r="H1059" t="s">
        <v>539</v>
      </c>
      <c r="I1059" s="5">
        <v>0</v>
      </c>
      <c r="J1059" s="5">
        <v>0</v>
      </c>
      <c r="K1059" s="5">
        <v>0</v>
      </c>
      <c r="L1059" s="5">
        <v>0</v>
      </c>
      <c r="M1059" s="5">
        <v>0</v>
      </c>
      <c r="N1059" s="5">
        <v>0</v>
      </c>
      <c r="O1059" s="5">
        <v>0</v>
      </c>
      <c r="P1059" s="5"/>
    </row>
    <row r="1060" spans="1:16">
      <c r="A1060" t="str">
        <f t="shared" si="15"/>
        <v>SEMINOLEGCP RP</v>
      </c>
      <c r="B1060" t="s">
        <v>691</v>
      </c>
      <c r="C1060" t="s">
        <v>162</v>
      </c>
      <c r="D1060" t="s">
        <v>539</v>
      </c>
      <c r="E1060" t="s">
        <v>539</v>
      </c>
      <c r="F1060" t="s">
        <v>539</v>
      </c>
      <c r="G1060" t="s">
        <v>539</v>
      </c>
      <c r="H1060" t="s">
        <v>539</v>
      </c>
      <c r="I1060" s="5">
        <v>0</v>
      </c>
      <c r="J1060" s="5">
        <v>0</v>
      </c>
      <c r="K1060" s="5">
        <v>0</v>
      </c>
      <c r="L1060" s="5">
        <v>0</v>
      </c>
      <c r="M1060" s="5">
        <v>0</v>
      </c>
      <c r="N1060" s="5">
        <v>0</v>
      </c>
      <c r="O1060" s="5">
        <v>0</v>
      </c>
      <c r="P1060" s="5"/>
    </row>
    <row r="1061" spans="1:16">
      <c r="A1061" t="str">
        <f t="shared" si="15"/>
        <v>SEMINOLEGCP RP ONPK</v>
      </c>
      <c r="B1061" t="s">
        <v>691</v>
      </c>
      <c r="C1061" t="s">
        <v>163</v>
      </c>
      <c r="D1061" t="s">
        <v>539</v>
      </c>
      <c r="E1061" t="s">
        <v>539</v>
      </c>
      <c r="F1061" t="s">
        <v>539</v>
      </c>
      <c r="G1061" t="s">
        <v>539</v>
      </c>
      <c r="H1061" t="s">
        <v>539</v>
      </c>
      <c r="I1061" s="5">
        <v>0</v>
      </c>
      <c r="J1061" s="5">
        <v>0</v>
      </c>
      <c r="K1061" s="5">
        <v>0</v>
      </c>
      <c r="L1061" s="5">
        <v>0</v>
      </c>
      <c r="M1061" s="5">
        <v>0</v>
      </c>
      <c r="N1061" s="5">
        <v>0</v>
      </c>
      <c r="O1061" s="5">
        <v>0</v>
      </c>
      <c r="P1061" s="5"/>
    </row>
    <row r="1062" spans="1:16">
      <c r="A1062" t="str">
        <f t="shared" si="15"/>
        <v>SEMINOLEGCP RP OFFPK</v>
      </c>
      <c r="B1062" t="s">
        <v>691</v>
      </c>
      <c r="C1062" t="s">
        <v>164</v>
      </c>
      <c r="D1062" t="s">
        <v>539</v>
      </c>
      <c r="E1062" t="s">
        <v>539</v>
      </c>
      <c r="F1062" t="s">
        <v>539</v>
      </c>
      <c r="G1062" t="s">
        <v>539</v>
      </c>
      <c r="H1062" t="s">
        <v>539</v>
      </c>
      <c r="I1062" s="5">
        <v>0</v>
      </c>
      <c r="J1062" s="5">
        <v>0</v>
      </c>
      <c r="K1062" s="5">
        <v>0</v>
      </c>
      <c r="L1062" s="5">
        <v>0</v>
      </c>
      <c r="M1062" s="5">
        <v>0</v>
      </c>
      <c r="N1062" s="5">
        <v>0</v>
      </c>
      <c r="O1062" s="5">
        <v>0</v>
      </c>
      <c r="P1062" s="5"/>
    </row>
    <row r="1063" spans="1:16">
      <c r="A1063" t="str">
        <f t="shared" si="15"/>
        <v>SEMINOLECP RP</v>
      </c>
      <c r="B1063" t="s">
        <v>691</v>
      </c>
      <c r="C1063" t="s">
        <v>165</v>
      </c>
      <c r="D1063" t="s">
        <v>539</v>
      </c>
      <c r="E1063" t="s">
        <v>539</v>
      </c>
      <c r="F1063" t="s">
        <v>539</v>
      </c>
      <c r="G1063" t="s">
        <v>539</v>
      </c>
      <c r="H1063" t="s">
        <v>539</v>
      </c>
      <c r="I1063" s="5">
        <v>0</v>
      </c>
      <c r="J1063" s="5">
        <v>0</v>
      </c>
      <c r="K1063" s="5">
        <v>0</v>
      </c>
      <c r="L1063" s="5">
        <v>0</v>
      </c>
      <c r="M1063" s="5">
        <v>0</v>
      </c>
      <c r="N1063" s="5">
        <v>0</v>
      </c>
      <c r="O1063" s="5">
        <v>0</v>
      </c>
      <c r="P1063" s="5"/>
    </row>
    <row r="1064" spans="1:16">
      <c r="A1064" t="str">
        <f t="shared" si="15"/>
        <v>SEMINOLESAMPLE SIZE:</v>
      </c>
      <c r="B1064" t="s">
        <v>691</v>
      </c>
      <c r="C1064" t="s">
        <v>66</v>
      </c>
    </row>
    <row r="1065" spans="1:16">
      <c r="A1065" t="str">
        <f t="shared" si="15"/>
        <v>SEMINOLEGCPSZ</v>
      </c>
      <c r="B1065" t="s">
        <v>691</v>
      </c>
      <c r="C1065" t="s">
        <v>166</v>
      </c>
      <c r="D1065" t="s">
        <v>539</v>
      </c>
      <c r="E1065" t="s">
        <v>539</v>
      </c>
      <c r="F1065" t="s">
        <v>539</v>
      </c>
      <c r="G1065" t="s">
        <v>539</v>
      </c>
      <c r="H1065" t="s">
        <v>539</v>
      </c>
      <c r="I1065">
        <v>1</v>
      </c>
      <c r="J1065">
        <v>1</v>
      </c>
      <c r="K1065">
        <v>1</v>
      </c>
      <c r="L1065">
        <v>1</v>
      </c>
      <c r="M1065">
        <v>1</v>
      </c>
      <c r="N1065">
        <v>1</v>
      </c>
      <c r="O1065">
        <v>1</v>
      </c>
    </row>
    <row r="1066" spans="1:16">
      <c r="A1066" t="str">
        <f t="shared" si="15"/>
        <v>SEMINOLEGCPSZ ONPK</v>
      </c>
      <c r="B1066" t="s">
        <v>691</v>
      </c>
      <c r="C1066" t="s">
        <v>167</v>
      </c>
      <c r="D1066" t="s">
        <v>539</v>
      </c>
      <c r="E1066" t="s">
        <v>539</v>
      </c>
      <c r="F1066" t="s">
        <v>539</v>
      </c>
      <c r="G1066" t="s">
        <v>539</v>
      </c>
      <c r="H1066" t="s">
        <v>539</v>
      </c>
      <c r="I1066">
        <v>1</v>
      </c>
      <c r="J1066">
        <v>1</v>
      </c>
      <c r="K1066">
        <v>1</v>
      </c>
      <c r="L1066">
        <v>1</v>
      </c>
      <c r="M1066">
        <v>1</v>
      </c>
      <c r="N1066">
        <v>1</v>
      </c>
      <c r="O1066">
        <v>1</v>
      </c>
    </row>
    <row r="1067" spans="1:16">
      <c r="A1067" t="str">
        <f t="shared" si="15"/>
        <v>SEMINOLEGCPSZ OFFPK</v>
      </c>
      <c r="B1067" t="s">
        <v>691</v>
      </c>
      <c r="C1067" t="s">
        <v>168</v>
      </c>
      <c r="D1067" t="s">
        <v>539</v>
      </c>
      <c r="E1067" t="s">
        <v>539</v>
      </c>
      <c r="F1067" t="s">
        <v>539</v>
      </c>
      <c r="G1067" t="s">
        <v>539</v>
      </c>
      <c r="H1067" t="s">
        <v>539</v>
      </c>
      <c r="I1067">
        <v>1</v>
      </c>
      <c r="J1067">
        <v>1</v>
      </c>
      <c r="K1067">
        <v>1</v>
      </c>
      <c r="L1067">
        <v>1</v>
      </c>
      <c r="M1067">
        <v>1</v>
      </c>
      <c r="N1067">
        <v>1</v>
      </c>
      <c r="O1067">
        <v>1</v>
      </c>
    </row>
    <row r="1068" spans="1:16">
      <c r="A1068" t="str">
        <f t="shared" si="15"/>
        <v>SEMINOLECPSZ</v>
      </c>
      <c r="B1068" t="s">
        <v>691</v>
      </c>
      <c r="C1068" t="s">
        <v>169</v>
      </c>
      <c r="D1068" t="s">
        <v>539</v>
      </c>
      <c r="E1068" t="s">
        <v>539</v>
      </c>
      <c r="F1068" t="s">
        <v>539</v>
      </c>
      <c r="G1068" t="s">
        <v>539</v>
      </c>
      <c r="H1068" t="s">
        <v>539</v>
      </c>
      <c r="I1068">
        <v>1</v>
      </c>
      <c r="J1068">
        <v>1</v>
      </c>
      <c r="K1068">
        <v>1</v>
      </c>
      <c r="L1068">
        <v>1</v>
      </c>
      <c r="M1068">
        <v>1</v>
      </c>
      <c r="N1068">
        <v>1</v>
      </c>
      <c r="O1068">
        <v>1</v>
      </c>
    </row>
    <row r="1069" spans="1:16">
      <c r="A1069" t="str">
        <f t="shared" si="15"/>
        <v/>
      </c>
    </row>
    <row r="1070" spans="1:16" ht="14.4">
      <c r="A1070" t="str">
        <f t="shared" si="15"/>
        <v xml:space="preserve">NOTE:     Sales line does not match sales in the Rate and Revenue Report due to billing lag.  Seminole contract started 6/1/14 and is classified as Rate Code 810. </v>
      </c>
      <c r="B1070" s="301" t="s">
        <v>693</v>
      </c>
    </row>
    <row r="1071" spans="1:16">
      <c r="A1071" t="str">
        <f t="shared" ref="A1071:A1134" si="16">B1071&amp;C1071</f>
        <v/>
      </c>
    </row>
    <row r="1072" spans="1:16">
      <c r="A1072" t="str">
        <f t="shared" si="16"/>
        <v xml:space="preserve">SL01 Street Lighting (Modeled Rate Class) </v>
      </c>
      <c r="B1072" t="s">
        <v>33</v>
      </c>
      <c r="C1072" t="s">
        <v>34</v>
      </c>
    </row>
    <row r="1073" spans="1:16">
      <c r="A1073" t="str">
        <f t="shared" si="16"/>
        <v xml:space="preserve">SL01MONTH </v>
      </c>
      <c r="B1073" t="s">
        <v>35</v>
      </c>
      <c r="C1073" t="s">
        <v>123</v>
      </c>
      <c r="D1073" s="4">
        <v>41640</v>
      </c>
      <c r="E1073" s="4">
        <v>41671</v>
      </c>
      <c r="F1073" s="4">
        <v>41699</v>
      </c>
      <c r="G1073" s="4">
        <v>41730</v>
      </c>
      <c r="H1073" s="4">
        <v>41760</v>
      </c>
      <c r="I1073" s="4">
        <v>41791</v>
      </c>
      <c r="J1073" s="4">
        <v>41821</v>
      </c>
      <c r="K1073" s="4">
        <v>41852</v>
      </c>
      <c r="L1073" s="4">
        <v>41883</v>
      </c>
      <c r="M1073" s="4">
        <v>41913</v>
      </c>
      <c r="N1073" s="4">
        <v>41944</v>
      </c>
      <c r="O1073" s="4">
        <v>41974</v>
      </c>
      <c r="P1073" s="4"/>
    </row>
    <row r="1074" spans="1:16">
      <c r="A1074" t="str">
        <f t="shared" si="16"/>
        <v xml:space="preserve">SL01CUSTOMERS </v>
      </c>
      <c r="B1074" t="s">
        <v>35</v>
      </c>
      <c r="C1074" t="s">
        <v>124</v>
      </c>
      <c r="D1074">
        <v>8519</v>
      </c>
      <c r="E1074">
        <v>8537</v>
      </c>
      <c r="F1074">
        <v>8547</v>
      </c>
      <c r="G1074">
        <v>8551</v>
      </c>
      <c r="H1074">
        <v>8566</v>
      </c>
      <c r="I1074">
        <v>8570</v>
      </c>
      <c r="J1074">
        <v>8580</v>
      </c>
      <c r="K1074">
        <v>8557</v>
      </c>
      <c r="L1074">
        <v>8564</v>
      </c>
      <c r="M1074">
        <v>8595</v>
      </c>
      <c r="N1074">
        <v>8622</v>
      </c>
      <c r="O1074">
        <v>8646</v>
      </c>
    </row>
    <row r="1075" spans="1:16">
      <c r="A1075" t="str">
        <f t="shared" si="16"/>
        <v xml:space="preserve">SL01SALES </v>
      </c>
      <c r="B1075" t="s">
        <v>35</v>
      </c>
      <c r="C1075" t="s">
        <v>125</v>
      </c>
      <c r="D1075">
        <v>40538782</v>
      </c>
      <c r="E1075">
        <v>39660069</v>
      </c>
      <c r="F1075">
        <v>48998236</v>
      </c>
      <c r="G1075">
        <v>42636954</v>
      </c>
      <c r="H1075">
        <v>43672188</v>
      </c>
      <c r="I1075">
        <v>40091671</v>
      </c>
      <c r="J1075">
        <v>45492254</v>
      </c>
      <c r="K1075">
        <v>42742368</v>
      </c>
      <c r="L1075">
        <v>43545336</v>
      </c>
      <c r="M1075">
        <v>37873522</v>
      </c>
      <c r="N1075">
        <v>42754766</v>
      </c>
      <c r="O1075">
        <v>49140999</v>
      </c>
    </row>
    <row r="1076" spans="1:16">
      <c r="A1076" t="str">
        <f t="shared" si="16"/>
        <v>SL01KW</v>
      </c>
      <c r="B1076" t="s">
        <v>35</v>
      </c>
      <c r="C1076" t="s">
        <v>126</v>
      </c>
    </row>
    <row r="1077" spans="1:16">
      <c r="A1077" t="str">
        <f t="shared" si="16"/>
        <v>SL01N</v>
      </c>
      <c r="B1077" t="s">
        <v>35</v>
      </c>
      <c r="C1077" t="s">
        <v>127</v>
      </c>
      <c r="D1077">
        <v>1</v>
      </c>
      <c r="E1077">
        <v>1</v>
      </c>
      <c r="F1077">
        <v>1</v>
      </c>
      <c r="G1077">
        <v>1</v>
      </c>
      <c r="H1077">
        <v>1</v>
      </c>
      <c r="I1077">
        <v>1</v>
      </c>
      <c r="J1077">
        <v>1</v>
      </c>
      <c r="K1077">
        <v>1</v>
      </c>
      <c r="L1077">
        <v>1</v>
      </c>
      <c r="M1077">
        <v>1</v>
      </c>
      <c r="N1077">
        <v>1</v>
      </c>
      <c r="O1077">
        <v>1</v>
      </c>
    </row>
    <row r="1078" spans="1:16">
      <c r="A1078" t="str">
        <f t="shared" si="16"/>
        <v>SL01RLR ENERGY:</v>
      </c>
      <c r="B1078" t="s">
        <v>35</v>
      </c>
      <c r="C1078" t="s">
        <v>61</v>
      </c>
    </row>
    <row r="1079" spans="1:16">
      <c r="A1079" t="str">
        <f t="shared" si="16"/>
        <v>SL01KWH</v>
      </c>
      <c r="B1079" t="s">
        <v>35</v>
      </c>
      <c r="C1079" t="s">
        <v>128</v>
      </c>
      <c r="D1079">
        <v>40538782</v>
      </c>
      <c r="E1079">
        <v>39660069</v>
      </c>
      <c r="F1079">
        <v>48998236</v>
      </c>
      <c r="G1079">
        <v>42636954</v>
      </c>
      <c r="H1079">
        <v>43672188</v>
      </c>
      <c r="I1079">
        <v>40091671</v>
      </c>
      <c r="J1079">
        <v>45492254</v>
      </c>
      <c r="K1079">
        <v>42742368</v>
      </c>
      <c r="L1079">
        <v>43545336</v>
      </c>
      <c r="M1079">
        <v>37873522</v>
      </c>
      <c r="N1079">
        <v>42646242</v>
      </c>
      <c r="O1079">
        <v>49140999</v>
      </c>
    </row>
    <row r="1080" spans="1:16">
      <c r="A1080" t="str">
        <f t="shared" si="16"/>
        <v>SL01KWH ONPK</v>
      </c>
      <c r="B1080" t="s">
        <v>35</v>
      </c>
      <c r="C1080" t="s">
        <v>129</v>
      </c>
      <c r="D1080">
        <v>11074066</v>
      </c>
      <c r="E1080">
        <v>10479791</v>
      </c>
      <c r="F1080">
        <v>11088461</v>
      </c>
      <c r="G1080">
        <v>3519380</v>
      </c>
      <c r="H1080">
        <v>2834519</v>
      </c>
      <c r="I1080">
        <v>2166736</v>
      </c>
      <c r="J1080">
        <v>2404759</v>
      </c>
      <c r="K1080">
        <v>2793204</v>
      </c>
      <c r="L1080">
        <v>4124751</v>
      </c>
      <c r="M1080">
        <v>4791158</v>
      </c>
      <c r="N1080">
        <v>9576940</v>
      </c>
      <c r="O1080">
        <v>12948983</v>
      </c>
    </row>
    <row r="1081" spans="1:16">
      <c r="A1081" t="str">
        <f t="shared" si="16"/>
        <v>SL01KWH OFFPK</v>
      </c>
      <c r="B1081" t="s">
        <v>35</v>
      </c>
      <c r="C1081" t="s">
        <v>130</v>
      </c>
      <c r="D1081">
        <v>29464716</v>
      </c>
      <c r="E1081">
        <v>29180278</v>
      </c>
      <c r="F1081">
        <v>37909775</v>
      </c>
      <c r="G1081">
        <v>39117574</v>
      </c>
      <c r="H1081">
        <v>40837669</v>
      </c>
      <c r="I1081">
        <v>37924935</v>
      </c>
      <c r="J1081">
        <v>43087495</v>
      </c>
      <c r="K1081">
        <v>39949164</v>
      </c>
      <c r="L1081">
        <v>39420585</v>
      </c>
      <c r="M1081">
        <v>33082364</v>
      </c>
      <c r="N1081">
        <v>33069302</v>
      </c>
      <c r="O1081">
        <v>36192016</v>
      </c>
    </row>
    <row r="1082" spans="1:16">
      <c r="A1082" t="str">
        <f t="shared" si="16"/>
        <v>SL01KWH ONPK%</v>
      </c>
      <c r="B1082" t="s">
        <v>35</v>
      </c>
      <c r="C1082" t="s">
        <v>131</v>
      </c>
      <c r="D1082" s="5">
        <v>0.27317000000000002</v>
      </c>
      <c r="E1082" s="5">
        <v>0.26423999999999997</v>
      </c>
      <c r="F1082" s="5">
        <v>0.2263</v>
      </c>
      <c r="G1082" s="5">
        <v>8.2540000000000002E-2</v>
      </c>
      <c r="H1082" s="5">
        <v>6.4899999999999999E-2</v>
      </c>
      <c r="I1082" s="5">
        <v>5.4039999999999998E-2</v>
      </c>
      <c r="J1082" s="5">
        <v>5.2859999999999997E-2</v>
      </c>
      <c r="K1082" s="5">
        <v>6.5350000000000005E-2</v>
      </c>
      <c r="L1082" s="5">
        <v>9.4719999999999999E-2</v>
      </c>
      <c r="M1082" s="5">
        <v>0.1265</v>
      </c>
      <c r="N1082" s="5">
        <v>0.22456999999999999</v>
      </c>
      <c r="O1082" s="5">
        <v>0.26351000000000002</v>
      </c>
      <c r="P1082" s="5"/>
    </row>
    <row r="1083" spans="1:16">
      <c r="A1083" t="str">
        <f t="shared" si="16"/>
        <v>SL01KWH OFFPK%</v>
      </c>
      <c r="B1083" t="s">
        <v>35</v>
      </c>
      <c r="C1083" t="s">
        <v>132</v>
      </c>
      <c r="D1083" s="5">
        <v>0.72682999999999998</v>
      </c>
      <c r="E1083" s="5">
        <v>0.73575999999999997</v>
      </c>
      <c r="F1083" s="5">
        <v>0.77370000000000005</v>
      </c>
      <c r="G1083" s="5">
        <v>0.91746000000000005</v>
      </c>
      <c r="H1083" s="5">
        <v>0.93510000000000004</v>
      </c>
      <c r="I1083" s="5">
        <v>0.94596000000000002</v>
      </c>
      <c r="J1083" s="5">
        <v>0.94713999999999998</v>
      </c>
      <c r="K1083" s="5">
        <v>0.93464999999999998</v>
      </c>
      <c r="L1083" s="5">
        <v>0.90527999999999997</v>
      </c>
      <c r="M1083" s="5">
        <v>0.87350000000000005</v>
      </c>
      <c r="N1083" s="5">
        <v>0.77542999999999995</v>
      </c>
      <c r="O1083" s="5">
        <v>0.73648999999999998</v>
      </c>
      <c r="P1083" s="5"/>
    </row>
    <row r="1084" spans="1:16">
      <c r="A1084" t="str">
        <f t="shared" si="16"/>
        <v>SL01DEMAND (KW):</v>
      </c>
      <c r="B1084" t="s">
        <v>35</v>
      </c>
      <c r="C1084" t="s">
        <v>62</v>
      </c>
    </row>
    <row r="1085" spans="1:16">
      <c r="A1085" t="str">
        <f t="shared" si="16"/>
        <v>SL01NCP</v>
      </c>
      <c r="B1085" t="s">
        <v>35</v>
      </c>
      <c r="C1085" t="s">
        <v>133</v>
      </c>
      <c r="D1085">
        <v>98671</v>
      </c>
      <c r="E1085">
        <v>111238</v>
      </c>
      <c r="F1085">
        <v>132005</v>
      </c>
      <c r="G1085">
        <v>126507</v>
      </c>
      <c r="H1085">
        <v>132850</v>
      </c>
      <c r="I1085">
        <v>129852</v>
      </c>
      <c r="J1085">
        <v>140741</v>
      </c>
      <c r="K1085">
        <v>125898</v>
      </c>
      <c r="L1085">
        <v>124291</v>
      </c>
      <c r="M1085">
        <v>98173</v>
      </c>
      <c r="N1085">
        <v>108524</v>
      </c>
      <c r="O1085">
        <v>118061</v>
      </c>
    </row>
    <row r="1086" spans="1:16">
      <c r="A1086" t="str">
        <f t="shared" si="16"/>
        <v>SL01NCP ONPK</v>
      </c>
      <c r="B1086" t="s">
        <v>35</v>
      </c>
      <c r="C1086" t="s">
        <v>134</v>
      </c>
      <c r="D1086">
        <v>98671</v>
      </c>
      <c r="E1086">
        <v>111238</v>
      </c>
      <c r="F1086">
        <v>132005</v>
      </c>
      <c r="G1086">
        <v>126507</v>
      </c>
      <c r="H1086">
        <v>132850</v>
      </c>
      <c r="I1086">
        <v>112556</v>
      </c>
      <c r="J1086">
        <v>121995</v>
      </c>
      <c r="K1086">
        <v>125898</v>
      </c>
      <c r="L1086">
        <v>124291</v>
      </c>
      <c r="M1086">
        <v>98173</v>
      </c>
      <c r="N1086">
        <v>108524</v>
      </c>
      <c r="O1086">
        <v>118061</v>
      </c>
    </row>
    <row r="1087" spans="1:16">
      <c r="A1087" t="str">
        <f t="shared" si="16"/>
        <v>SL01NCP OFFPK</v>
      </c>
      <c r="B1087" t="s">
        <v>35</v>
      </c>
      <c r="C1087" t="s">
        <v>135</v>
      </c>
      <c r="D1087">
        <v>98671</v>
      </c>
      <c r="E1087">
        <v>111238</v>
      </c>
      <c r="F1087">
        <v>132005</v>
      </c>
      <c r="G1087">
        <v>126507</v>
      </c>
      <c r="H1087">
        <v>132850</v>
      </c>
      <c r="I1087">
        <v>129852</v>
      </c>
      <c r="J1087">
        <v>140741</v>
      </c>
      <c r="K1087">
        <v>125898</v>
      </c>
      <c r="L1087">
        <v>124291</v>
      </c>
      <c r="M1087">
        <v>98173</v>
      </c>
      <c r="N1087">
        <v>108524</v>
      </c>
      <c r="O1087">
        <v>118061</v>
      </c>
    </row>
    <row r="1088" spans="1:16">
      <c r="A1088" t="str">
        <f t="shared" si="16"/>
        <v>SL01GCP DATE</v>
      </c>
      <c r="B1088" t="s">
        <v>35</v>
      </c>
      <c r="C1088" t="s">
        <v>136</v>
      </c>
      <c r="D1088" t="s">
        <v>624</v>
      </c>
      <c r="E1088" t="s">
        <v>682</v>
      </c>
      <c r="F1088" t="s">
        <v>674</v>
      </c>
      <c r="G1088" t="s">
        <v>306</v>
      </c>
      <c r="H1088" t="s">
        <v>254</v>
      </c>
      <c r="I1088" t="s">
        <v>675</v>
      </c>
      <c r="J1088" t="s">
        <v>676</v>
      </c>
      <c r="K1088" t="s">
        <v>677</v>
      </c>
      <c r="L1088" t="s">
        <v>628</v>
      </c>
      <c r="M1088" t="s">
        <v>678</v>
      </c>
      <c r="N1088" t="s">
        <v>679</v>
      </c>
      <c r="O1088" t="s">
        <v>680</v>
      </c>
    </row>
    <row r="1089" spans="1:16">
      <c r="A1089" t="str">
        <f t="shared" si="16"/>
        <v>SL01GCP TIME</v>
      </c>
      <c r="B1089" t="s">
        <v>35</v>
      </c>
      <c r="C1089" t="s">
        <v>142</v>
      </c>
      <c r="D1089" t="s">
        <v>201</v>
      </c>
      <c r="E1089" t="s">
        <v>201</v>
      </c>
      <c r="F1089" t="s">
        <v>201</v>
      </c>
      <c r="G1089" t="s">
        <v>201</v>
      </c>
      <c r="H1089" t="s">
        <v>201</v>
      </c>
      <c r="I1089" t="s">
        <v>201</v>
      </c>
      <c r="J1089" t="s">
        <v>201</v>
      </c>
      <c r="K1089" t="s">
        <v>201</v>
      </c>
      <c r="L1089" t="s">
        <v>201</v>
      </c>
      <c r="M1089" t="s">
        <v>201</v>
      </c>
      <c r="N1089" t="s">
        <v>201</v>
      </c>
      <c r="O1089" t="s">
        <v>201</v>
      </c>
    </row>
    <row r="1090" spans="1:16">
      <c r="A1090" t="str">
        <f t="shared" si="16"/>
        <v>SL01GCP</v>
      </c>
      <c r="B1090" t="s">
        <v>35</v>
      </c>
      <c r="C1090" t="s">
        <v>147</v>
      </c>
      <c r="D1090">
        <v>98671</v>
      </c>
      <c r="E1090">
        <v>111238</v>
      </c>
      <c r="F1090">
        <v>132005</v>
      </c>
      <c r="G1090">
        <v>126507</v>
      </c>
      <c r="H1090">
        <v>132850</v>
      </c>
      <c r="I1090">
        <v>129852</v>
      </c>
      <c r="J1090">
        <v>140741</v>
      </c>
      <c r="K1090">
        <v>125898</v>
      </c>
      <c r="L1090">
        <v>124291</v>
      </c>
      <c r="M1090">
        <v>98173</v>
      </c>
      <c r="N1090">
        <v>108524</v>
      </c>
      <c r="O1090">
        <v>118061</v>
      </c>
    </row>
    <row r="1091" spans="1:16">
      <c r="A1091" t="str">
        <f t="shared" si="16"/>
        <v>SL01GCP ONPK</v>
      </c>
      <c r="B1091" t="s">
        <v>35</v>
      </c>
      <c r="C1091" t="s">
        <v>63</v>
      </c>
      <c r="D1091">
        <v>98671</v>
      </c>
      <c r="E1091">
        <v>111238</v>
      </c>
      <c r="F1091">
        <v>132005</v>
      </c>
      <c r="G1091">
        <v>126507</v>
      </c>
      <c r="H1091">
        <v>132850</v>
      </c>
      <c r="I1091">
        <v>112556</v>
      </c>
      <c r="J1091">
        <v>121995</v>
      </c>
      <c r="K1091">
        <v>125898</v>
      </c>
      <c r="L1091">
        <v>124291</v>
      </c>
      <c r="M1091">
        <v>98173</v>
      </c>
      <c r="N1091">
        <v>108524</v>
      </c>
      <c r="O1091">
        <v>118061</v>
      </c>
    </row>
    <row r="1092" spans="1:16">
      <c r="A1092" t="str">
        <f t="shared" si="16"/>
        <v>SL01GCP OFFPK</v>
      </c>
      <c r="B1092" t="s">
        <v>35</v>
      </c>
      <c r="C1092" t="s">
        <v>64</v>
      </c>
      <c r="D1092">
        <v>98671</v>
      </c>
      <c r="E1092">
        <v>111238</v>
      </c>
      <c r="F1092">
        <v>132005</v>
      </c>
      <c r="G1092">
        <v>126507</v>
      </c>
      <c r="H1092">
        <v>132850</v>
      </c>
      <c r="I1092">
        <v>129852</v>
      </c>
      <c r="J1092">
        <v>140741</v>
      </c>
      <c r="K1092">
        <v>125898</v>
      </c>
      <c r="L1092">
        <v>124291</v>
      </c>
      <c r="M1092">
        <v>98173</v>
      </c>
      <c r="N1092">
        <v>108524</v>
      </c>
      <c r="O1092">
        <v>118061</v>
      </c>
    </row>
    <row r="1093" spans="1:16">
      <c r="A1093" t="str">
        <f t="shared" si="16"/>
        <v>SL01CP</v>
      </c>
      <c r="B1093" t="s">
        <v>35</v>
      </c>
      <c r="C1093" t="s">
        <v>148</v>
      </c>
      <c r="D1093">
        <v>11539</v>
      </c>
      <c r="E1093">
        <v>0</v>
      </c>
      <c r="F1093">
        <v>0</v>
      </c>
      <c r="G1093">
        <v>0</v>
      </c>
      <c r="H1093">
        <v>0</v>
      </c>
      <c r="I1093">
        <v>0</v>
      </c>
      <c r="J1093">
        <v>0</v>
      </c>
      <c r="K1093">
        <v>0</v>
      </c>
      <c r="L1093">
        <v>0</v>
      </c>
      <c r="M1093">
        <v>0</v>
      </c>
      <c r="N1093">
        <v>0</v>
      </c>
      <c r="O1093">
        <v>0</v>
      </c>
    </row>
    <row r="1094" spans="1:16">
      <c r="A1094" t="str">
        <f t="shared" si="16"/>
        <v>SL01PERIOD START</v>
      </c>
      <c r="B1094" t="s">
        <v>35</v>
      </c>
      <c r="C1094" t="s">
        <v>149</v>
      </c>
      <c r="D1094" s="1">
        <v>41640</v>
      </c>
      <c r="E1094" s="1">
        <v>41671</v>
      </c>
      <c r="F1094" s="1">
        <v>41699</v>
      </c>
      <c r="G1094" s="1">
        <v>41730</v>
      </c>
      <c r="H1094" s="1">
        <v>41760</v>
      </c>
      <c r="I1094" s="1">
        <v>41791</v>
      </c>
      <c r="J1094" s="1">
        <v>41821</v>
      </c>
      <c r="K1094" s="1">
        <v>41852</v>
      </c>
      <c r="L1094" s="1">
        <v>41883</v>
      </c>
      <c r="M1094" s="1">
        <v>41913</v>
      </c>
      <c r="N1094" s="1">
        <v>41944</v>
      </c>
      <c r="O1094" s="1">
        <v>41974</v>
      </c>
      <c r="P1094" s="1"/>
    </row>
    <row r="1095" spans="1:16">
      <c r="A1095" t="str">
        <f t="shared" si="16"/>
        <v>SL01NCP LF</v>
      </c>
      <c r="B1095" t="s">
        <v>35</v>
      </c>
      <c r="C1095" t="s">
        <v>150</v>
      </c>
      <c r="D1095" s="5">
        <v>0.55220000000000002</v>
      </c>
      <c r="E1095" s="5">
        <v>0.53059999999999996</v>
      </c>
      <c r="F1095" s="5">
        <v>0.49959999999999999</v>
      </c>
      <c r="G1095" s="5">
        <v>0.46810000000000002</v>
      </c>
      <c r="H1095" s="5">
        <v>0.44180000000000003</v>
      </c>
      <c r="I1095" s="5">
        <v>0.42880000000000001</v>
      </c>
      <c r="J1095" s="5">
        <v>0.4345</v>
      </c>
      <c r="K1095" s="5">
        <v>0.45629999999999998</v>
      </c>
      <c r="L1095" s="5">
        <v>0.48659999999999998</v>
      </c>
      <c r="M1095" s="5">
        <v>0.51849999999999996</v>
      </c>
      <c r="N1095" s="5">
        <v>0.54579999999999995</v>
      </c>
      <c r="O1095" s="5">
        <v>0.5595</v>
      </c>
      <c r="P1095" s="5"/>
    </row>
    <row r="1096" spans="1:16">
      <c r="A1096" t="str">
        <f t="shared" si="16"/>
        <v>SL01NCP LF ONPK</v>
      </c>
      <c r="B1096" t="s">
        <v>35</v>
      </c>
      <c r="C1096" t="s">
        <v>151</v>
      </c>
      <c r="D1096" s="5">
        <v>0.63770000000000004</v>
      </c>
      <c r="E1096" s="5">
        <v>0.58879999999999999</v>
      </c>
      <c r="F1096" s="5">
        <v>0.5</v>
      </c>
      <c r="G1096" s="5">
        <v>0.14050000000000001</v>
      </c>
      <c r="H1096" s="5">
        <v>0.1129</v>
      </c>
      <c r="I1096" s="5">
        <v>0.1019</v>
      </c>
      <c r="J1096" s="5">
        <v>9.9599999999999994E-2</v>
      </c>
      <c r="K1096" s="5">
        <v>0.1174</v>
      </c>
      <c r="L1096" s="5">
        <v>0.17560000000000001</v>
      </c>
      <c r="M1096" s="5">
        <v>0.23580000000000001</v>
      </c>
      <c r="N1096" s="5">
        <v>0.5806</v>
      </c>
      <c r="O1096" s="5">
        <v>0.62319999999999998</v>
      </c>
      <c r="P1096" s="5"/>
    </row>
    <row r="1097" spans="1:16">
      <c r="A1097" t="str">
        <f t="shared" si="16"/>
        <v>SL01NCP LF OFFPK</v>
      </c>
      <c r="B1097" t="s">
        <v>35</v>
      </c>
      <c r="C1097" t="s">
        <v>152</v>
      </c>
      <c r="D1097" s="5">
        <v>0.52569999999999995</v>
      </c>
      <c r="E1097" s="5">
        <v>0.51229999999999998</v>
      </c>
      <c r="F1097" s="5">
        <v>0.49940000000000001</v>
      </c>
      <c r="G1097" s="5">
        <v>0.59240000000000004</v>
      </c>
      <c r="H1097" s="5">
        <v>0.55389999999999995</v>
      </c>
      <c r="I1097" s="5">
        <v>0.55000000000000004</v>
      </c>
      <c r="J1097" s="5">
        <v>0.56069999999999998</v>
      </c>
      <c r="K1097" s="5">
        <v>0.57169999999999999</v>
      </c>
      <c r="L1097" s="5">
        <v>0.59730000000000005</v>
      </c>
      <c r="M1097" s="5">
        <v>0.62749999999999995</v>
      </c>
      <c r="N1097" s="5">
        <v>0.53649999999999998</v>
      </c>
      <c r="O1097" s="5">
        <v>0.53969999999999996</v>
      </c>
      <c r="P1097" s="5"/>
    </row>
    <row r="1098" spans="1:16">
      <c r="A1098" t="str">
        <f t="shared" si="16"/>
        <v>SL01GCP CF</v>
      </c>
      <c r="B1098" t="s">
        <v>35</v>
      </c>
      <c r="C1098" t="s">
        <v>153</v>
      </c>
      <c r="D1098" s="5">
        <v>1</v>
      </c>
      <c r="E1098" s="5">
        <v>1</v>
      </c>
      <c r="F1098" s="5">
        <v>1</v>
      </c>
      <c r="G1098" s="5">
        <v>1</v>
      </c>
      <c r="H1098" s="5">
        <v>1</v>
      </c>
      <c r="I1098" s="5">
        <v>1</v>
      </c>
      <c r="J1098" s="5">
        <v>1</v>
      </c>
      <c r="K1098" s="5">
        <v>1</v>
      </c>
      <c r="L1098" s="5">
        <v>1</v>
      </c>
      <c r="M1098" s="5">
        <v>1</v>
      </c>
      <c r="N1098" s="5">
        <v>1</v>
      </c>
      <c r="O1098" s="5">
        <v>1</v>
      </c>
      <c r="P1098" s="5"/>
    </row>
    <row r="1099" spans="1:16">
      <c r="A1099" t="str">
        <f t="shared" si="16"/>
        <v>SL01CP CF</v>
      </c>
      <c r="B1099" t="s">
        <v>35</v>
      </c>
      <c r="C1099" t="s">
        <v>154</v>
      </c>
      <c r="D1099" s="5">
        <v>0.1169</v>
      </c>
      <c r="E1099" s="5">
        <v>0</v>
      </c>
      <c r="F1099" s="5">
        <v>0</v>
      </c>
      <c r="G1099" s="5">
        <v>0</v>
      </c>
      <c r="H1099" s="5">
        <v>0</v>
      </c>
      <c r="I1099" s="5">
        <v>0</v>
      </c>
      <c r="J1099" s="5">
        <v>0</v>
      </c>
      <c r="K1099" s="5">
        <v>0</v>
      </c>
      <c r="L1099" s="5">
        <v>0</v>
      </c>
      <c r="M1099" s="5">
        <v>0</v>
      </c>
      <c r="N1099" s="5">
        <v>0</v>
      </c>
      <c r="O1099" s="5">
        <v>0</v>
      </c>
      <c r="P1099" s="5"/>
    </row>
    <row r="1100" spans="1:16">
      <c r="A1100" t="str">
        <f t="shared" si="16"/>
        <v>SL01GCP LF</v>
      </c>
      <c r="B1100" t="s">
        <v>35</v>
      </c>
      <c r="C1100" t="s">
        <v>155</v>
      </c>
      <c r="D1100" s="5">
        <v>0.55220000000000002</v>
      </c>
      <c r="E1100" s="5">
        <v>0.53059999999999996</v>
      </c>
      <c r="F1100" s="5">
        <v>0.49959999999999999</v>
      </c>
      <c r="G1100" s="5">
        <v>0.46810000000000002</v>
      </c>
      <c r="H1100" s="5">
        <v>0.44180000000000003</v>
      </c>
      <c r="I1100" s="5">
        <v>0.42880000000000001</v>
      </c>
      <c r="J1100" s="5">
        <v>0.4345</v>
      </c>
      <c r="K1100" s="5">
        <v>0.45629999999999998</v>
      </c>
      <c r="L1100" s="5">
        <v>0.48659999999999998</v>
      </c>
      <c r="M1100" s="5">
        <v>0.51849999999999996</v>
      </c>
      <c r="N1100" s="5">
        <v>0.54579999999999995</v>
      </c>
      <c r="O1100" s="5">
        <v>0.5595</v>
      </c>
      <c r="P1100" s="5"/>
    </row>
    <row r="1101" spans="1:16">
      <c r="A1101" t="str">
        <f t="shared" si="16"/>
        <v>SL01GCP LF ONPK</v>
      </c>
      <c r="B1101" t="s">
        <v>35</v>
      </c>
      <c r="C1101" t="s">
        <v>156</v>
      </c>
      <c r="D1101" s="5">
        <v>0.63770000000000004</v>
      </c>
      <c r="E1101" s="5">
        <v>0.58879999999999999</v>
      </c>
      <c r="F1101" s="5">
        <v>0.5</v>
      </c>
      <c r="G1101" s="5">
        <v>0.14050000000000001</v>
      </c>
      <c r="H1101" s="5">
        <v>0.1129</v>
      </c>
      <c r="I1101" s="5">
        <v>0.1019</v>
      </c>
      <c r="J1101" s="5">
        <v>9.9599999999999994E-2</v>
      </c>
      <c r="K1101" s="5">
        <v>0.1174</v>
      </c>
      <c r="L1101" s="5">
        <v>0.17560000000000001</v>
      </c>
      <c r="M1101" s="5">
        <v>0.23580000000000001</v>
      </c>
      <c r="N1101" s="5">
        <v>0.5806</v>
      </c>
      <c r="O1101" s="5">
        <v>0.62319999999999998</v>
      </c>
      <c r="P1101" s="5"/>
    </row>
    <row r="1102" spans="1:16">
      <c r="A1102" t="str">
        <f t="shared" si="16"/>
        <v>SL01GCP LF OFFPK</v>
      </c>
      <c r="B1102" t="s">
        <v>35</v>
      </c>
      <c r="C1102" t="s">
        <v>157</v>
      </c>
      <c r="D1102" s="5">
        <v>0.52569999999999995</v>
      </c>
      <c r="E1102" s="5">
        <v>0.51229999999999998</v>
      </c>
      <c r="F1102" s="5">
        <v>0.49940000000000001</v>
      </c>
      <c r="G1102" s="5">
        <v>0.59240000000000004</v>
      </c>
      <c r="H1102" s="5">
        <v>0.55389999999999995</v>
      </c>
      <c r="I1102" s="5">
        <v>0.55000000000000004</v>
      </c>
      <c r="J1102" s="5">
        <v>0.56069999999999998</v>
      </c>
      <c r="K1102" s="5">
        <v>0.57169999999999999</v>
      </c>
      <c r="L1102" s="5">
        <v>0.59730000000000005</v>
      </c>
      <c r="M1102" s="5">
        <v>0.62749999999999995</v>
      </c>
      <c r="N1102" s="5">
        <v>0.53649999999999998</v>
      </c>
      <c r="O1102" s="5">
        <v>0.53969999999999996</v>
      </c>
      <c r="P1102" s="5"/>
    </row>
    <row r="1103" spans="1:16">
      <c r="A1103" t="str">
        <f t="shared" si="16"/>
        <v>SL01CP LF</v>
      </c>
      <c r="B1103" t="s">
        <v>35</v>
      </c>
      <c r="C1103" t="s">
        <v>158</v>
      </c>
      <c r="D1103" s="5">
        <v>4.7222</v>
      </c>
      <c r="E1103" s="5">
        <v>0</v>
      </c>
      <c r="F1103" s="5">
        <v>0</v>
      </c>
      <c r="G1103" s="5">
        <v>0</v>
      </c>
      <c r="H1103" s="5">
        <v>0</v>
      </c>
      <c r="I1103" s="5">
        <v>0</v>
      </c>
      <c r="J1103" s="5">
        <v>0</v>
      </c>
      <c r="K1103" s="5">
        <v>0</v>
      </c>
      <c r="L1103" s="5">
        <v>0</v>
      </c>
      <c r="M1103" s="5">
        <v>0</v>
      </c>
      <c r="N1103" s="5">
        <v>0</v>
      </c>
      <c r="O1103" s="5">
        <v>0</v>
      </c>
      <c r="P1103" s="5"/>
    </row>
    <row r="1104" spans="1:16">
      <c r="A1104" t="str">
        <f t="shared" si="16"/>
        <v>SL01REL PREC:</v>
      </c>
      <c r="B1104" t="s">
        <v>35</v>
      </c>
      <c r="C1104" t="s">
        <v>65</v>
      </c>
    </row>
    <row r="1105" spans="1:16">
      <c r="A1105" t="str">
        <f t="shared" si="16"/>
        <v>SL01NCP RP</v>
      </c>
      <c r="B1105" t="s">
        <v>35</v>
      </c>
      <c r="C1105" t="s">
        <v>159</v>
      </c>
      <c r="D1105" s="5">
        <v>0</v>
      </c>
      <c r="E1105" s="5">
        <v>0</v>
      </c>
      <c r="F1105" s="5">
        <v>0</v>
      </c>
      <c r="G1105" s="5">
        <v>0</v>
      </c>
      <c r="H1105" s="5">
        <v>0</v>
      </c>
      <c r="I1105" s="5">
        <v>0</v>
      </c>
      <c r="J1105" s="5">
        <v>0</v>
      </c>
      <c r="K1105" s="5">
        <v>0</v>
      </c>
      <c r="L1105" s="5">
        <v>0</v>
      </c>
      <c r="M1105" s="5">
        <v>0</v>
      </c>
      <c r="N1105" s="5">
        <v>0</v>
      </c>
      <c r="O1105" s="5">
        <v>0</v>
      </c>
      <c r="P1105" s="5"/>
    </row>
    <row r="1106" spans="1:16">
      <c r="A1106" t="str">
        <f t="shared" si="16"/>
        <v>SL01NCP RP ONPK</v>
      </c>
      <c r="B1106" t="s">
        <v>35</v>
      </c>
      <c r="C1106" t="s">
        <v>160</v>
      </c>
      <c r="D1106" s="5">
        <v>0</v>
      </c>
      <c r="E1106" s="5">
        <v>0</v>
      </c>
      <c r="F1106" s="5">
        <v>0</v>
      </c>
      <c r="G1106" s="5">
        <v>0</v>
      </c>
      <c r="H1106" s="5">
        <v>0</v>
      </c>
      <c r="I1106" s="5">
        <v>0</v>
      </c>
      <c r="J1106" s="5">
        <v>0</v>
      </c>
      <c r="K1106" s="5">
        <v>0</v>
      </c>
      <c r="L1106" s="5">
        <v>0</v>
      </c>
      <c r="M1106" s="5">
        <v>0</v>
      </c>
      <c r="N1106" s="5">
        <v>0</v>
      </c>
      <c r="O1106" s="5">
        <v>0</v>
      </c>
      <c r="P1106" s="5"/>
    </row>
    <row r="1107" spans="1:16">
      <c r="A1107" t="str">
        <f t="shared" si="16"/>
        <v>SL01NCP RP OFFPK</v>
      </c>
      <c r="B1107" t="s">
        <v>35</v>
      </c>
      <c r="C1107" t="s">
        <v>161</v>
      </c>
      <c r="D1107" s="5">
        <v>0</v>
      </c>
      <c r="E1107" s="5">
        <v>0</v>
      </c>
      <c r="F1107" s="5">
        <v>0</v>
      </c>
      <c r="G1107" s="5">
        <v>0</v>
      </c>
      <c r="H1107" s="5">
        <v>0</v>
      </c>
      <c r="I1107" s="5">
        <v>0</v>
      </c>
      <c r="J1107" s="5">
        <v>0</v>
      </c>
      <c r="K1107" s="5">
        <v>0</v>
      </c>
      <c r="L1107" s="5">
        <v>0</v>
      </c>
      <c r="M1107" s="5">
        <v>0</v>
      </c>
      <c r="N1107" s="5">
        <v>0</v>
      </c>
      <c r="O1107" s="5">
        <v>0</v>
      </c>
      <c r="P1107" s="5"/>
    </row>
    <row r="1108" spans="1:16">
      <c r="A1108" t="str">
        <f t="shared" si="16"/>
        <v>SL01GCP RP</v>
      </c>
      <c r="B1108" t="s">
        <v>35</v>
      </c>
      <c r="C1108" t="s">
        <v>162</v>
      </c>
      <c r="D1108" s="5">
        <v>0</v>
      </c>
      <c r="E1108" s="5">
        <v>0</v>
      </c>
      <c r="F1108" s="5">
        <v>0</v>
      </c>
      <c r="G1108" s="5">
        <v>0</v>
      </c>
      <c r="H1108" s="5">
        <v>0</v>
      </c>
      <c r="I1108" s="5">
        <v>0</v>
      </c>
      <c r="J1108" s="5">
        <v>0</v>
      </c>
      <c r="K1108" s="5">
        <v>0</v>
      </c>
      <c r="L1108" s="5">
        <v>0</v>
      </c>
      <c r="M1108" s="5">
        <v>0</v>
      </c>
      <c r="N1108" s="5">
        <v>0</v>
      </c>
      <c r="O1108" s="5">
        <v>0</v>
      </c>
      <c r="P1108" s="5"/>
    </row>
    <row r="1109" spans="1:16">
      <c r="A1109" t="str">
        <f t="shared" si="16"/>
        <v>SL01GCP RP ONPK</v>
      </c>
      <c r="B1109" t="s">
        <v>35</v>
      </c>
      <c r="C1109" t="s">
        <v>163</v>
      </c>
      <c r="D1109" s="5">
        <v>0</v>
      </c>
      <c r="E1109" s="5">
        <v>0</v>
      </c>
      <c r="F1109" s="5">
        <v>0</v>
      </c>
      <c r="G1109" s="5">
        <v>0</v>
      </c>
      <c r="H1109" s="5">
        <v>0</v>
      </c>
      <c r="I1109" s="5">
        <v>0</v>
      </c>
      <c r="J1109" s="5">
        <v>0</v>
      </c>
      <c r="K1109" s="5">
        <v>0</v>
      </c>
      <c r="L1109" s="5">
        <v>0</v>
      </c>
      <c r="M1109" s="5">
        <v>0</v>
      </c>
      <c r="N1109" s="5">
        <v>0</v>
      </c>
      <c r="O1109" s="5">
        <v>0</v>
      </c>
      <c r="P1109" s="5"/>
    </row>
    <row r="1110" spans="1:16">
      <c r="A1110" t="str">
        <f t="shared" si="16"/>
        <v>SL01GCP RP OFFPK</v>
      </c>
      <c r="B1110" t="s">
        <v>35</v>
      </c>
      <c r="C1110" t="s">
        <v>164</v>
      </c>
      <c r="D1110" s="5">
        <v>0</v>
      </c>
      <c r="E1110" s="5">
        <v>0</v>
      </c>
      <c r="F1110" s="5">
        <v>0</v>
      </c>
      <c r="G1110" s="5">
        <v>0</v>
      </c>
      <c r="H1110" s="5">
        <v>0</v>
      </c>
      <c r="I1110" s="5">
        <v>0</v>
      </c>
      <c r="J1110" s="5">
        <v>0</v>
      </c>
      <c r="K1110" s="5">
        <v>0</v>
      </c>
      <c r="L1110" s="5">
        <v>0</v>
      </c>
      <c r="M1110" s="5">
        <v>0</v>
      </c>
      <c r="N1110" s="5">
        <v>0</v>
      </c>
      <c r="O1110" s="5">
        <v>0</v>
      </c>
      <c r="P1110" s="5"/>
    </row>
    <row r="1111" spans="1:16">
      <c r="A1111" t="str">
        <f t="shared" si="16"/>
        <v>SL01CP RP</v>
      </c>
      <c r="B1111" t="s">
        <v>35</v>
      </c>
      <c r="C1111" t="s">
        <v>165</v>
      </c>
      <c r="D1111" s="5">
        <v>0</v>
      </c>
      <c r="E1111" s="5">
        <v>0</v>
      </c>
      <c r="F1111" s="5">
        <v>0</v>
      </c>
      <c r="G1111" s="5">
        <v>0</v>
      </c>
      <c r="H1111" s="5">
        <v>0</v>
      </c>
      <c r="I1111" s="5">
        <v>0</v>
      </c>
      <c r="J1111" s="5">
        <v>0</v>
      </c>
      <c r="K1111" s="5">
        <v>0</v>
      </c>
      <c r="L1111" s="5">
        <v>0</v>
      </c>
      <c r="M1111" s="5">
        <v>0</v>
      </c>
      <c r="N1111" s="5">
        <v>0</v>
      </c>
      <c r="O1111" s="5">
        <v>0</v>
      </c>
      <c r="P1111" s="5"/>
    </row>
    <row r="1112" spans="1:16">
      <c r="A1112" t="str">
        <f t="shared" si="16"/>
        <v>SL01SAMPLE SIZE:</v>
      </c>
      <c r="B1112" t="s">
        <v>35</v>
      </c>
      <c r="C1112" t="s">
        <v>66</v>
      </c>
    </row>
    <row r="1113" spans="1:16">
      <c r="A1113" t="str">
        <f t="shared" si="16"/>
        <v>SL01GCPSZ</v>
      </c>
      <c r="B1113" t="s">
        <v>35</v>
      </c>
      <c r="C1113" t="s">
        <v>166</v>
      </c>
      <c r="D1113">
        <v>1</v>
      </c>
      <c r="E1113">
        <v>1</v>
      </c>
      <c r="F1113">
        <v>1</v>
      </c>
      <c r="G1113">
        <v>1</v>
      </c>
      <c r="H1113">
        <v>1</v>
      </c>
      <c r="I1113">
        <v>1</v>
      </c>
      <c r="J1113">
        <v>1</v>
      </c>
      <c r="K1113">
        <v>1</v>
      </c>
      <c r="L1113">
        <v>1</v>
      </c>
      <c r="M1113">
        <v>1</v>
      </c>
      <c r="N1113">
        <v>1</v>
      </c>
      <c r="O1113">
        <v>1</v>
      </c>
    </row>
    <row r="1114" spans="1:16">
      <c r="A1114" t="str">
        <f t="shared" si="16"/>
        <v>SL01GCPSZ ONPK</v>
      </c>
      <c r="B1114" t="s">
        <v>35</v>
      </c>
      <c r="C1114" t="s">
        <v>167</v>
      </c>
      <c r="D1114">
        <v>1</v>
      </c>
      <c r="E1114">
        <v>1</v>
      </c>
      <c r="F1114">
        <v>1</v>
      </c>
      <c r="G1114">
        <v>1</v>
      </c>
      <c r="H1114">
        <v>1</v>
      </c>
      <c r="I1114">
        <v>1</v>
      </c>
      <c r="J1114">
        <v>1</v>
      </c>
      <c r="K1114">
        <v>1</v>
      </c>
      <c r="L1114">
        <v>1</v>
      </c>
      <c r="M1114">
        <v>1</v>
      </c>
      <c r="N1114">
        <v>1</v>
      </c>
      <c r="O1114">
        <v>1</v>
      </c>
    </row>
    <row r="1115" spans="1:16">
      <c r="A1115" t="str">
        <f t="shared" si="16"/>
        <v>SL01GCPSZ OFFPK</v>
      </c>
      <c r="B1115" t="s">
        <v>35</v>
      </c>
      <c r="C1115" t="s">
        <v>168</v>
      </c>
      <c r="D1115">
        <v>1</v>
      </c>
      <c r="E1115">
        <v>1</v>
      </c>
      <c r="F1115">
        <v>1</v>
      </c>
      <c r="G1115">
        <v>1</v>
      </c>
      <c r="H1115">
        <v>1</v>
      </c>
      <c r="I1115">
        <v>1</v>
      </c>
      <c r="J1115">
        <v>1</v>
      </c>
      <c r="K1115">
        <v>1</v>
      </c>
      <c r="L1115">
        <v>1</v>
      </c>
      <c r="M1115">
        <v>1</v>
      </c>
      <c r="N1115">
        <v>1</v>
      </c>
      <c r="O1115">
        <v>1</v>
      </c>
    </row>
    <row r="1116" spans="1:16">
      <c r="A1116" t="str">
        <f t="shared" si="16"/>
        <v>SL01CPSZ</v>
      </c>
      <c r="B1116" t="s">
        <v>35</v>
      </c>
      <c r="C1116" t="s">
        <v>169</v>
      </c>
      <c r="D1116">
        <v>1</v>
      </c>
      <c r="E1116">
        <v>1</v>
      </c>
      <c r="F1116">
        <v>1</v>
      </c>
      <c r="G1116">
        <v>1</v>
      </c>
      <c r="H1116">
        <v>1</v>
      </c>
      <c r="I1116">
        <v>1</v>
      </c>
      <c r="J1116">
        <v>1</v>
      </c>
      <c r="K1116">
        <v>1</v>
      </c>
      <c r="L1116">
        <v>1</v>
      </c>
      <c r="M1116">
        <v>1</v>
      </c>
      <c r="N1116">
        <v>1</v>
      </c>
      <c r="O1116">
        <v>1</v>
      </c>
    </row>
    <row r="1117" spans="1:16">
      <c r="A1117" t="str">
        <f t="shared" si="16"/>
        <v/>
      </c>
    </row>
    <row r="1118" spans="1:16">
      <c r="A1118" t="str">
        <f t="shared" si="16"/>
        <v/>
      </c>
    </row>
    <row r="1119" spans="1:16">
      <c r="A1119" t="str">
        <f t="shared" si="16"/>
        <v/>
      </c>
    </row>
    <row r="1120" spans="1:16">
      <c r="A1120" t="str">
        <f t="shared" si="16"/>
        <v xml:space="preserve">SL02 Traffic Signal (Modeled Rate Class) </v>
      </c>
      <c r="B1120" t="s">
        <v>36</v>
      </c>
      <c r="C1120" t="s">
        <v>37</v>
      </c>
    </row>
    <row r="1121" spans="1:16">
      <c r="A1121" t="str">
        <f t="shared" si="16"/>
        <v xml:space="preserve">SL02MONTH </v>
      </c>
      <c r="B1121" t="s">
        <v>38</v>
      </c>
      <c r="C1121" t="s">
        <v>123</v>
      </c>
      <c r="D1121" s="4">
        <v>41640</v>
      </c>
      <c r="E1121" s="4">
        <v>41671</v>
      </c>
      <c r="F1121" s="4">
        <v>41699</v>
      </c>
      <c r="G1121" s="4">
        <v>41730</v>
      </c>
      <c r="H1121" s="4">
        <v>41760</v>
      </c>
      <c r="I1121" s="4">
        <v>41791</v>
      </c>
      <c r="J1121" s="4">
        <v>41821</v>
      </c>
      <c r="K1121" s="4">
        <v>41852</v>
      </c>
      <c r="L1121" s="4">
        <v>41883</v>
      </c>
      <c r="M1121" s="4">
        <v>41913</v>
      </c>
      <c r="N1121" s="4">
        <v>41944</v>
      </c>
      <c r="O1121" s="4">
        <v>41974</v>
      </c>
      <c r="P1121" s="4"/>
    </row>
    <row r="1122" spans="1:16">
      <c r="A1122" t="str">
        <f t="shared" si="16"/>
        <v xml:space="preserve">SL02CUSTOMERS </v>
      </c>
      <c r="B1122" t="s">
        <v>38</v>
      </c>
      <c r="C1122" t="s">
        <v>124</v>
      </c>
      <c r="D1122">
        <v>870</v>
      </c>
      <c r="E1122">
        <v>870</v>
      </c>
      <c r="F1122">
        <v>870</v>
      </c>
      <c r="G1122">
        <v>868</v>
      </c>
      <c r="H1122">
        <v>869</v>
      </c>
      <c r="I1122">
        <v>869</v>
      </c>
      <c r="J1122">
        <v>869</v>
      </c>
      <c r="K1122">
        <v>870</v>
      </c>
      <c r="L1122">
        <v>870</v>
      </c>
      <c r="M1122">
        <v>870</v>
      </c>
      <c r="N1122">
        <v>869</v>
      </c>
      <c r="O1122">
        <v>871</v>
      </c>
    </row>
    <row r="1123" spans="1:16">
      <c r="A1123" t="str">
        <f t="shared" si="16"/>
        <v xml:space="preserve">SL02SALES </v>
      </c>
      <c r="B1123" t="s">
        <v>38</v>
      </c>
      <c r="C1123" t="s">
        <v>125</v>
      </c>
      <c r="D1123">
        <v>2624220</v>
      </c>
      <c r="E1123">
        <v>2628866</v>
      </c>
      <c r="F1123">
        <v>2631376</v>
      </c>
      <c r="G1123">
        <v>2630105</v>
      </c>
      <c r="H1123">
        <v>2630281</v>
      </c>
      <c r="I1123">
        <v>-6387704</v>
      </c>
      <c r="J1123">
        <v>11340320</v>
      </c>
      <c r="K1123">
        <v>2603306</v>
      </c>
      <c r="L1123">
        <v>2434253</v>
      </c>
      <c r="M1123">
        <v>2591162</v>
      </c>
      <c r="N1123">
        <v>2570889</v>
      </c>
      <c r="O1123">
        <v>2606185</v>
      </c>
    </row>
    <row r="1124" spans="1:16">
      <c r="A1124" t="str">
        <f t="shared" si="16"/>
        <v>SL02KW</v>
      </c>
      <c r="B1124" t="s">
        <v>38</v>
      </c>
      <c r="C1124" t="s">
        <v>126</v>
      </c>
    </row>
    <row r="1125" spans="1:16">
      <c r="A1125" t="str">
        <f t="shared" si="16"/>
        <v>SL02N</v>
      </c>
      <c r="B1125" t="s">
        <v>38</v>
      </c>
      <c r="C1125" t="s">
        <v>127</v>
      </c>
      <c r="D1125">
        <v>1</v>
      </c>
      <c r="E1125">
        <v>1</v>
      </c>
      <c r="F1125">
        <v>1</v>
      </c>
      <c r="G1125">
        <v>1</v>
      </c>
      <c r="H1125">
        <v>1</v>
      </c>
      <c r="I1125">
        <v>1</v>
      </c>
      <c r="J1125">
        <v>1</v>
      </c>
      <c r="K1125">
        <v>1</v>
      </c>
      <c r="L1125">
        <v>1</v>
      </c>
      <c r="M1125">
        <v>1</v>
      </c>
      <c r="N1125">
        <v>1</v>
      </c>
      <c r="O1125">
        <v>1</v>
      </c>
    </row>
    <row r="1126" spans="1:16">
      <c r="A1126" t="str">
        <f t="shared" si="16"/>
        <v>SL02RLR ENERGY:</v>
      </c>
      <c r="B1126" t="s">
        <v>38</v>
      </c>
      <c r="C1126" t="s">
        <v>61</v>
      </c>
    </row>
    <row r="1127" spans="1:16">
      <c r="A1127" t="str">
        <f t="shared" si="16"/>
        <v>SL02KWH</v>
      </c>
      <c r="B1127" t="s">
        <v>38</v>
      </c>
      <c r="C1127" t="s">
        <v>128</v>
      </c>
      <c r="D1127">
        <v>2584177</v>
      </c>
      <c r="E1127">
        <v>2589235</v>
      </c>
      <c r="F1127">
        <v>2591818</v>
      </c>
      <c r="G1127">
        <v>2589686</v>
      </c>
      <c r="H1127">
        <v>2589863</v>
      </c>
      <c r="I1127">
        <v>2593042</v>
      </c>
      <c r="J1127">
        <v>2592118</v>
      </c>
      <c r="K1127">
        <v>2603305</v>
      </c>
      <c r="L1127">
        <v>2434253</v>
      </c>
      <c r="M1127">
        <v>2591162</v>
      </c>
      <c r="N1127">
        <v>2563757</v>
      </c>
      <c r="O1127">
        <v>2606186</v>
      </c>
    </row>
    <row r="1128" spans="1:16">
      <c r="A1128" t="str">
        <f t="shared" si="16"/>
        <v>SL02KWH ONPK</v>
      </c>
      <c r="B1128" t="s">
        <v>38</v>
      </c>
      <c r="C1128" t="s">
        <v>129</v>
      </c>
      <c r="D1128">
        <v>611311</v>
      </c>
      <c r="E1128">
        <v>616484</v>
      </c>
      <c r="F1128">
        <v>586037</v>
      </c>
      <c r="G1128">
        <v>712164</v>
      </c>
      <c r="H1128">
        <v>657909</v>
      </c>
      <c r="I1128">
        <v>680674</v>
      </c>
      <c r="J1128">
        <v>689838</v>
      </c>
      <c r="K1128">
        <v>661323</v>
      </c>
      <c r="L1128">
        <v>638991</v>
      </c>
      <c r="M1128">
        <v>720928</v>
      </c>
      <c r="N1128">
        <v>541990</v>
      </c>
      <c r="O1128">
        <v>616517</v>
      </c>
    </row>
    <row r="1129" spans="1:16">
      <c r="A1129" t="str">
        <f t="shared" si="16"/>
        <v>SL02KWH OFFPK</v>
      </c>
      <c r="B1129" t="s">
        <v>38</v>
      </c>
      <c r="C1129" t="s">
        <v>130</v>
      </c>
      <c r="D1129">
        <v>1972866</v>
      </c>
      <c r="E1129">
        <v>1972750</v>
      </c>
      <c r="F1129">
        <v>2005781</v>
      </c>
      <c r="G1129">
        <v>1877522</v>
      </c>
      <c r="H1129">
        <v>1931954</v>
      </c>
      <c r="I1129">
        <v>1912369</v>
      </c>
      <c r="J1129">
        <v>1902280</v>
      </c>
      <c r="K1129">
        <v>1941982</v>
      </c>
      <c r="L1129">
        <v>1795262</v>
      </c>
      <c r="M1129">
        <v>1870234</v>
      </c>
      <c r="N1129">
        <v>2021767</v>
      </c>
      <c r="O1129">
        <v>1989669</v>
      </c>
    </row>
    <row r="1130" spans="1:16">
      <c r="A1130" t="str">
        <f t="shared" si="16"/>
        <v>SL02KWH ONPK%</v>
      </c>
      <c r="B1130" t="s">
        <v>38</v>
      </c>
      <c r="C1130" t="s">
        <v>131</v>
      </c>
      <c r="D1130" s="5">
        <v>0.23655999999999999</v>
      </c>
      <c r="E1130" s="5">
        <v>0.23810000000000001</v>
      </c>
      <c r="F1130" s="5">
        <v>0.22611000000000001</v>
      </c>
      <c r="G1130" s="5">
        <v>0.27500000000000002</v>
      </c>
      <c r="H1130" s="5">
        <v>0.25402999999999998</v>
      </c>
      <c r="I1130" s="5">
        <v>0.26250000000000001</v>
      </c>
      <c r="J1130" s="5">
        <v>0.26612999999999998</v>
      </c>
      <c r="K1130" s="5">
        <v>0.25402999999999998</v>
      </c>
      <c r="L1130" s="5">
        <v>0.26250000000000001</v>
      </c>
      <c r="M1130" s="5">
        <v>0.27822999999999998</v>
      </c>
      <c r="N1130" s="5">
        <v>0.2114</v>
      </c>
      <c r="O1130" s="5">
        <v>0.23655999999999999</v>
      </c>
      <c r="P1130" s="5"/>
    </row>
    <row r="1131" spans="1:16">
      <c r="A1131" t="str">
        <f t="shared" si="16"/>
        <v>SL02KWH OFFPK%</v>
      </c>
      <c r="B1131" t="s">
        <v>38</v>
      </c>
      <c r="C1131" t="s">
        <v>132</v>
      </c>
      <c r="D1131" s="5">
        <v>0.76344000000000001</v>
      </c>
      <c r="E1131" s="5">
        <v>0.76190000000000002</v>
      </c>
      <c r="F1131" s="5">
        <v>0.77388999999999997</v>
      </c>
      <c r="G1131" s="5">
        <v>0.72499999999999998</v>
      </c>
      <c r="H1131" s="5">
        <v>0.74597000000000002</v>
      </c>
      <c r="I1131" s="5">
        <v>0.73750000000000004</v>
      </c>
      <c r="J1131" s="5">
        <v>0.73387000000000002</v>
      </c>
      <c r="K1131" s="5">
        <v>0.74597000000000002</v>
      </c>
      <c r="L1131" s="5">
        <v>0.73750000000000004</v>
      </c>
      <c r="M1131" s="5">
        <v>0.72177000000000002</v>
      </c>
      <c r="N1131" s="5">
        <v>0.78859999999999997</v>
      </c>
      <c r="O1131" s="5">
        <v>0.76344000000000001</v>
      </c>
      <c r="P1131" s="5"/>
    </row>
    <row r="1132" spans="1:16">
      <c r="A1132" t="str">
        <f t="shared" si="16"/>
        <v>SL02DEMAND (KW):</v>
      </c>
      <c r="B1132" t="s">
        <v>38</v>
      </c>
      <c r="C1132" t="s">
        <v>62</v>
      </c>
    </row>
    <row r="1133" spans="1:16">
      <c r="A1133" t="str">
        <f t="shared" si="16"/>
        <v>SL02NCP</v>
      </c>
      <c r="B1133" t="s">
        <v>38</v>
      </c>
      <c r="C1133" t="s">
        <v>133</v>
      </c>
      <c r="D1133">
        <v>3473</v>
      </c>
      <c r="E1133">
        <v>3853</v>
      </c>
      <c r="F1133">
        <v>3488</v>
      </c>
      <c r="G1133">
        <v>3597</v>
      </c>
      <c r="H1133">
        <v>3481</v>
      </c>
      <c r="I1133">
        <v>3601</v>
      </c>
      <c r="J1133">
        <v>3484</v>
      </c>
      <c r="K1133">
        <v>3499</v>
      </c>
      <c r="L1133">
        <v>3381</v>
      </c>
      <c r="M1133">
        <v>3483</v>
      </c>
      <c r="N1133">
        <v>3566</v>
      </c>
      <c r="O1133">
        <v>3503</v>
      </c>
    </row>
    <row r="1134" spans="1:16">
      <c r="A1134" t="str">
        <f t="shared" si="16"/>
        <v>SL02NCP ONPK</v>
      </c>
      <c r="B1134" t="s">
        <v>38</v>
      </c>
      <c r="C1134" t="s">
        <v>134</v>
      </c>
      <c r="D1134">
        <v>3473</v>
      </c>
      <c r="E1134">
        <v>3853</v>
      </c>
      <c r="F1134">
        <v>3488</v>
      </c>
      <c r="G1134">
        <v>3597</v>
      </c>
      <c r="H1134">
        <v>3481</v>
      </c>
      <c r="I1134">
        <v>3601</v>
      </c>
      <c r="J1134">
        <v>3484</v>
      </c>
      <c r="K1134">
        <v>3499</v>
      </c>
      <c r="L1134">
        <v>3381</v>
      </c>
      <c r="M1134">
        <v>3483</v>
      </c>
      <c r="N1134">
        <v>3566</v>
      </c>
      <c r="O1134">
        <v>3503</v>
      </c>
    </row>
    <row r="1135" spans="1:16">
      <c r="A1135" t="str">
        <f t="shared" ref="A1135:A1198" si="17">B1135&amp;C1135</f>
        <v>SL02NCP OFFPK</v>
      </c>
      <c r="B1135" t="s">
        <v>38</v>
      </c>
      <c r="C1135" t="s">
        <v>135</v>
      </c>
      <c r="D1135">
        <v>3473</v>
      </c>
      <c r="E1135">
        <v>3853</v>
      </c>
      <c r="F1135">
        <v>3488</v>
      </c>
      <c r="G1135">
        <v>3597</v>
      </c>
      <c r="H1135">
        <v>3481</v>
      </c>
      <c r="I1135">
        <v>3601</v>
      </c>
      <c r="J1135">
        <v>3484</v>
      </c>
      <c r="K1135">
        <v>3499</v>
      </c>
      <c r="L1135">
        <v>3381</v>
      </c>
      <c r="M1135">
        <v>3483</v>
      </c>
      <c r="N1135">
        <v>3566</v>
      </c>
      <c r="O1135">
        <v>3503</v>
      </c>
    </row>
    <row r="1136" spans="1:16">
      <c r="A1136" t="str">
        <f t="shared" si="17"/>
        <v>SL02GCP DATE</v>
      </c>
      <c r="B1136" t="s">
        <v>38</v>
      </c>
      <c r="C1136" t="s">
        <v>136</v>
      </c>
      <c r="D1136" t="s">
        <v>624</v>
      </c>
      <c r="E1136" t="s">
        <v>682</v>
      </c>
      <c r="F1136" t="s">
        <v>674</v>
      </c>
      <c r="G1136" t="s">
        <v>306</v>
      </c>
      <c r="H1136" t="s">
        <v>254</v>
      </c>
      <c r="I1136" t="s">
        <v>675</v>
      </c>
      <c r="J1136" t="s">
        <v>676</v>
      </c>
      <c r="K1136" t="s">
        <v>677</v>
      </c>
      <c r="L1136" t="s">
        <v>628</v>
      </c>
      <c r="M1136" t="s">
        <v>678</v>
      </c>
      <c r="N1136" t="s">
        <v>679</v>
      </c>
      <c r="O1136" t="s">
        <v>680</v>
      </c>
    </row>
    <row r="1137" spans="1:16">
      <c r="A1137" t="str">
        <f t="shared" si="17"/>
        <v>SL02GCP TIME</v>
      </c>
      <c r="B1137" t="s">
        <v>38</v>
      </c>
      <c r="C1137" t="s">
        <v>142</v>
      </c>
      <c r="D1137" t="s">
        <v>201</v>
      </c>
      <c r="E1137" t="s">
        <v>201</v>
      </c>
      <c r="F1137" t="s">
        <v>201</v>
      </c>
      <c r="G1137" t="s">
        <v>201</v>
      </c>
      <c r="H1137" t="s">
        <v>201</v>
      </c>
      <c r="I1137" t="s">
        <v>201</v>
      </c>
      <c r="J1137" t="s">
        <v>201</v>
      </c>
      <c r="K1137" t="s">
        <v>201</v>
      </c>
      <c r="L1137" t="s">
        <v>201</v>
      </c>
      <c r="M1137" t="s">
        <v>201</v>
      </c>
      <c r="N1137" t="s">
        <v>201</v>
      </c>
      <c r="O1137" t="s">
        <v>201</v>
      </c>
    </row>
    <row r="1138" spans="1:16">
      <c r="A1138" t="str">
        <f t="shared" si="17"/>
        <v>SL02GCP</v>
      </c>
      <c r="B1138" t="s">
        <v>38</v>
      </c>
      <c r="C1138" t="s">
        <v>147</v>
      </c>
      <c r="D1138">
        <v>3473</v>
      </c>
      <c r="E1138">
        <v>3853</v>
      </c>
      <c r="F1138">
        <v>3488</v>
      </c>
      <c r="G1138">
        <v>3597</v>
      </c>
      <c r="H1138">
        <v>3481</v>
      </c>
      <c r="I1138">
        <v>3601</v>
      </c>
      <c r="J1138">
        <v>3484</v>
      </c>
      <c r="K1138">
        <v>3499</v>
      </c>
      <c r="L1138">
        <v>3381</v>
      </c>
      <c r="M1138">
        <v>3483</v>
      </c>
      <c r="N1138">
        <v>3566</v>
      </c>
      <c r="O1138">
        <v>3503</v>
      </c>
    </row>
    <row r="1139" spans="1:16">
      <c r="A1139" t="str">
        <f t="shared" si="17"/>
        <v>SL02GCP ONPK</v>
      </c>
      <c r="B1139" t="s">
        <v>38</v>
      </c>
      <c r="C1139" t="s">
        <v>63</v>
      </c>
      <c r="D1139">
        <v>3473</v>
      </c>
      <c r="E1139">
        <v>3853</v>
      </c>
      <c r="F1139">
        <v>3488</v>
      </c>
      <c r="G1139">
        <v>3597</v>
      </c>
      <c r="H1139">
        <v>3481</v>
      </c>
      <c r="I1139">
        <v>3601</v>
      </c>
      <c r="J1139">
        <v>3484</v>
      </c>
      <c r="K1139">
        <v>3499</v>
      </c>
      <c r="L1139">
        <v>3381</v>
      </c>
      <c r="M1139">
        <v>3483</v>
      </c>
      <c r="N1139">
        <v>3566</v>
      </c>
      <c r="O1139">
        <v>3503</v>
      </c>
    </row>
    <row r="1140" spans="1:16">
      <c r="A1140" t="str">
        <f t="shared" si="17"/>
        <v>SL02GCP OFFPK</v>
      </c>
      <c r="B1140" t="s">
        <v>38</v>
      </c>
      <c r="C1140" t="s">
        <v>64</v>
      </c>
      <c r="D1140">
        <v>3473</v>
      </c>
      <c r="E1140">
        <v>3853</v>
      </c>
      <c r="F1140">
        <v>3488</v>
      </c>
      <c r="G1140">
        <v>3597</v>
      </c>
      <c r="H1140">
        <v>3481</v>
      </c>
      <c r="I1140">
        <v>3601</v>
      </c>
      <c r="J1140">
        <v>3484</v>
      </c>
      <c r="K1140">
        <v>3499</v>
      </c>
      <c r="L1140">
        <v>3381</v>
      </c>
      <c r="M1140">
        <v>3483</v>
      </c>
      <c r="N1140">
        <v>3566</v>
      </c>
      <c r="O1140">
        <v>3503</v>
      </c>
    </row>
    <row r="1141" spans="1:16">
      <c r="A1141" t="str">
        <f t="shared" si="17"/>
        <v>SL02CP</v>
      </c>
      <c r="B1141" t="s">
        <v>38</v>
      </c>
      <c r="C1141" t="s">
        <v>148</v>
      </c>
      <c r="D1141">
        <v>3473</v>
      </c>
      <c r="E1141">
        <v>3853</v>
      </c>
      <c r="F1141">
        <v>3488</v>
      </c>
      <c r="G1141">
        <v>3597</v>
      </c>
      <c r="H1141">
        <v>3481</v>
      </c>
      <c r="I1141">
        <v>3601</v>
      </c>
      <c r="J1141">
        <v>3484</v>
      </c>
      <c r="K1141">
        <v>3499</v>
      </c>
      <c r="L1141">
        <v>3381</v>
      </c>
      <c r="M1141">
        <v>3483</v>
      </c>
      <c r="N1141">
        <v>3566</v>
      </c>
      <c r="O1141">
        <v>3503</v>
      </c>
    </row>
    <row r="1142" spans="1:16">
      <c r="A1142" t="str">
        <f t="shared" si="17"/>
        <v>SL02PERIOD START</v>
      </c>
      <c r="B1142" t="s">
        <v>38</v>
      </c>
      <c r="C1142" t="s">
        <v>149</v>
      </c>
      <c r="D1142" s="1">
        <v>41640</v>
      </c>
      <c r="E1142" s="1">
        <v>41671</v>
      </c>
      <c r="F1142" s="1">
        <v>41699</v>
      </c>
      <c r="G1142" s="1">
        <v>41730</v>
      </c>
      <c r="H1142" s="1">
        <v>41760</v>
      </c>
      <c r="I1142" s="1">
        <v>41791</v>
      </c>
      <c r="J1142" s="1">
        <v>41821</v>
      </c>
      <c r="K1142" s="1">
        <v>41852</v>
      </c>
      <c r="L1142" s="1">
        <v>41883</v>
      </c>
      <c r="M1142" s="1">
        <v>41913</v>
      </c>
      <c r="N1142" s="1">
        <v>41944</v>
      </c>
      <c r="O1142" s="1">
        <v>41974</v>
      </c>
      <c r="P1142" s="1"/>
    </row>
    <row r="1143" spans="1:16">
      <c r="A1143" t="str">
        <f t="shared" si="17"/>
        <v>SL02NCP LF</v>
      </c>
      <c r="B1143" t="s">
        <v>38</v>
      </c>
      <c r="C1143" t="s">
        <v>150</v>
      </c>
      <c r="D1143" s="5">
        <v>1</v>
      </c>
      <c r="E1143" s="5">
        <v>1</v>
      </c>
      <c r="F1143" s="5">
        <v>1</v>
      </c>
      <c r="G1143" s="5">
        <v>1</v>
      </c>
      <c r="H1143" s="5">
        <v>1</v>
      </c>
      <c r="I1143" s="5">
        <v>1</v>
      </c>
      <c r="J1143" s="5">
        <v>1</v>
      </c>
      <c r="K1143" s="5">
        <v>1</v>
      </c>
      <c r="L1143" s="5">
        <v>1</v>
      </c>
      <c r="M1143" s="5">
        <v>1</v>
      </c>
      <c r="N1143" s="5">
        <v>0.99860000000000004</v>
      </c>
      <c r="O1143" s="5">
        <v>1</v>
      </c>
      <c r="P1143" s="5"/>
    </row>
    <row r="1144" spans="1:16">
      <c r="A1144" t="str">
        <f t="shared" si="17"/>
        <v>SL02NCP LF ONPK</v>
      </c>
      <c r="B1144" t="s">
        <v>38</v>
      </c>
      <c r="C1144" t="s">
        <v>151</v>
      </c>
      <c r="D1144" s="5">
        <v>1</v>
      </c>
      <c r="E1144" s="5">
        <v>1</v>
      </c>
      <c r="F1144" s="5">
        <v>1</v>
      </c>
      <c r="G1144" s="5">
        <v>1</v>
      </c>
      <c r="H1144" s="5">
        <v>1</v>
      </c>
      <c r="I1144" s="5">
        <v>1</v>
      </c>
      <c r="J1144" s="5">
        <v>1</v>
      </c>
      <c r="K1144" s="5">
        <v>1</v>
      </c>
      <c r="L1144" s="5">
        <v>1</v>
      </c>
      <c r="M1144" s="5">
        <v>1</v>
      </c>
      <c r="N1144" s="5">
        <v>1</v>
      </c>
      <c r="O1144" s="5">
        <v>1</v>
      </c>
      <c r="P1144" s="5"/>
    </row>
    <row r="1145" spans="1:16">
      <c r="A1145" t="str">
        <f t="shared" si="17"/>
        <v>SL02NCP LF OFFPK</v>
      </c>
      <c r="B1145" t="s">
        <v>38</v>
      </c>
      <c r="C1145" t="s">
        <v>152</v>
      </c>
      <c r="D1145" s="5">
        <v>1</v>
      </c>
      <c r="E1145" s="5">
        <v>1</v>
      </c>
      <c r="F1145" s="5">
        <v>1</v>
      </c>
      <c r="G1145" s="5">
        <v>1</v>
      </c>
      <c r="H1145" s="5">
        <v>1</v>
      </c>
      <c r="I1145" s="5">
        <v>1</v>
      </c>
      <c r="J1145" s="5">
        <v>1</v>
      </c>
      <c r="K1145" s="5">
        <v>1</v>
      </c>
      <c r="L1145" s="5">
        <v>1</v>
      </c>
      <c r="M1145" s="5">
        <v>1</v>
      </c>
      <c r="N1145" s="5">
        <v>0.99819999999999998</v>
      </c>
      <c r="O1145" s="5">
        <v>1</v>
      </c>
      <c r="P1145" s="5"/>
    </row>
    <row r="1146" spans="1:16">
      <c r="A1146" t="str">
        <f t="shared" si="17"/>
        <v>SL02GCP CF</v>
      </c>
      <c r="B1146" t="s">
        <v>38</v>
      </c>
      <c r="C1146" t="s">
        <v>153</v>
      </c>
      <c r="D1146" s="5">
        <v>1</v>
      </c>
      <c r="E1146" s="5">
        <v>1</v>
      </c>
      <c r="F1146" s="5">
        <v>1</v>
      </c>
      <c r="G1146" s="5">
        <v>1</v>
      </c>
      <c r="H1146" s="5">
        <v>1</v>
      </c>
      <c r="I1146" s="5">
        <v>1</v>
      </c>
      <c r="J1146" s="5">
        <v>1</v>
      </c>
      <c r="K1146" s="5">
        <v>1</v>
      </c>
      <c r="L1146" s="5">
        <v>1</v>
      </c>
      <c r="M1146" s="5">
        <v>1</v>
      </c>
      <c r="N1146" s="5">
        <v>1</v>
      </c>
      <c r="O1146" s="5">
        <v>1</v>
      </c>
      <c r="P1146" s="5"/>
    </row>
    <row r="1147" spans="1:16">
      <c r="A1147" t="str">
        <f t="shared" si="17"/>
        <v>SL02CP CF</v>
      </c>
      <c r="B1147" t="s">
        <v>38</v>
      </c>
      <c r="C1147" t="s">
        <v>154</v>
      </c>
      <c r="D1147" s="5">
        <v>1</v>
      </c>
      <c r="E1147" s="5">
        <v>1</v>
      </c>
      <c r="F1147" s="5">
        <v>1</v>
      </c>
      <c r="G1147" s="5">
        <v>1</v>
      </c>
      <c r="H1147" s="5">
        <v>1</v>
      </c>
      <c r="I1147" s="5">
        <v>1</v>
      </c>
      <c r="J1147" s="5">
        <v>1</v>
      </c>
      <c r="K1147" s="5">
        <v>1</v>
      </c>
      <c r="L1147" s="5">
        <v>1</v>
      </c>
      <c r="M1147" s="5">
        <v>1</v>
      </c>
      <c r="N1147" s="5">
        <v>1</v>
      </c>
      <c r="O1147" s="5">
        <v>1</v>
      </c>
      <c r="P1147" s="5"/>
    </row>
    <row r="1148" spans="1:16">
      <c r="A1148" t="str">
        <f t="shared" si="17"/>
        <v>SL02GCP LF</v>
      </c>
      <c r="B1148" t="s">
        <v>38</v>
      </c>
      <c r="C1148" t="s">
        <v>155</v>
      </c>
      <c r="D1148" s="5">
        <v>1</v>
      </c>
      <c r="E1148" s="5">
        <v>1</v>
      </c>
      <c r="F1148" s="5">
        <v>1</v>
      </c>
      <c r="G1148" s="5">
        <v>1</v>
      </c>
      <c r="H1148" s="5">
        <v>1</v>
      </c>
      <c r="I1148" s="5">
        <v>1</v>
      </c>
      <c r="J1148" s="5">
        <v>1</v>
      </c>
      <c r="K1148" s="5">
        <v>1</v>
      </c>
      <c r="L1148" s="5">
        <v>1</v>
      </c>
      <c r="M1148" s="5">
        <v>1</v>
      </c>
      <c r="N1148" s="5">
        <v>0.99860000000000004</v>
      </c>
      <c r="O1148" s="5">
        <v>1</v>
      </c>
      <c r="P1148" s="5"/>
    </row>
    <row r="1149" spans="1:16">
      <c r="A1149" t="str">
        <f t="shared" si="17"/>
        <v>SL02GCP LF ONPK</v>
      </c>
      <c r="B1149" t="s">
        <v>38</v>
      </c>
      <c r="C1149" t="s">
        <v>156</v>
      </c>
      <c r="D1149" s="5">
        <v>1</v>
      </c>
      <c r="E1149" s="5">
        <v>1</v>
      </c>
      <c r="F1149" s="5">
        <v>1</v>
      </c>
      <c r="G1149" s="5">
        <v>1</v>
      </c>
      <c r="H1149" s="5">
        <v>1</v>
      </c>
      <c r="I1149" s="5">
        <v>1</v>
      </c>
      <c r="J1149" s="5">
        <v>1</v>
      </c>
      <c r="K1149" s="5">
        <v>1</v>
      </c>
      <c r="L1149" s="5">
        <v>1</v>
      </c>
      <c r="M1149" s="5">
        <v>1</v>
      </c>
      <c r="N1149" s="5">
        <v>1</v>
      </c>
      <c r="O1149" s="5">
        <v>1</v>
      </c>
      <c r="P1149" s="5"/>
    </row>
    <row r="1150" spans="1:16">
      <c r="A1150" t="str">
        <f t="shared" si="17"/>
        <v>SL02GCP LF OFFPK</v>
      </c>
      <c r="B1150" t="s">
        <v>38</v>
      </c>
      <c r="C1150" t="s">
        <v>157</v>
      </c>
      <c r="D1150" s="5">
        <v>1</v>
      </c>
      <c r="E1150" s="5">
        <v>1</v>
      </c>
      <c r="F1150" s="5">
        <v>1</v>
      </c>
      <c r="G1150" s="5">
        <v>1</v>
      </c>
      <c r="H1150" s="5">
        <v>1</v>
      </c>
      <c r="I1150" s="5">
        <v>1</v>
      </c>
      <c r="J1150" s="5">
        <v>1</v>
      </c>
      <c r="K1150" s="5">
        <v>1</v>
      </c>
      <c r="L1150" s="5">
        <v>1</v>
      </c>
      <c r="M1150" s="5">
        <v>1</v>
      </c>
      <c r="N1150" s="5">
        <v>0.99819999999999998</v>
      </c>
      <c r="O1150" s="5">
        <v>1</v>
      </c>
      <c r="P1150" s="5"/>
    </row>
    <row r="1151" spans="1:16">
      <c r="A1151" t="str">
        <f t="shared" si="17"/>
        <v>SL02CP LF</v>
      </c>
      <c r="B1151" t="s">
        <v>38</v>
      </c>
      <c r="C1151" t="s">
        <v>158</v>
      </c>
      <c r="D1151" s="5">
        <v>1</v>
      </c>
      <c r="E1151" s="5">
        <v>1</v>
      </c>
      <c r="F1151" s="5">
        <v>1</v>
      </c>
      <c r="G1151" s="5">
        <v>1</v>
      </c>
      <c r="H1151" s="5">
        <v>1</v>
      </c>
      <c r="I1151" s="5">
        <v>1</v>
      </c>
      <c r="J1151" s="5">
        <v>1</v>
      </c>
      <c r="K1151" s="5">
        <v>1</v>
      </c>
      <c r="L1151" s="5">
        <v>1</v>
      </c>
      <c r="M1151" s="5">
        <v>1</v>
      </c>
      <c r="N1151" s="5">
        <v>0.99860000000000004</v>
      </c>
      <c r="O1151" s="5">
        <v>1</v>
      </c>
      <c r="P1151" s="5"/>
    </row>
    <row r="1152" spans="1:16">
      <c r="A1152" t="str">
        <f t="shared" si="17"/>
        <v>SL02REL PREC:</v>
      </c>
      <c r="B1152" t="s">
        <v>38</v>
      </c>
      <c r="C1152" t="s">
        <v>65</v>
      </c>
    </row>
    <row r="1153" spans="1:16">
      <c r="A1153" t="str">
        <f t="shared" si="17"/>
        <v>SL02NCP RP</v>
      </c>
      <c r="B1153" t="s">
        <v>38</v>
      </c>
      <c r="C1153" t="s">
        <v>159</v>
      </c>
      <c r="D1153" s="5">
        <v>0</v>
      </c>
      <c r="E1153" s="5">
        <v>0</v>
      </c>
      <c r="F1153" s="5">
        <v>0</v>
      </c>
      <c r="G1153" s="5">
        <v>0</v>
      </c>
      <c r="H1153" s="5">
        <v>0</v>
      </c>
      <c r="I1153" s="5">
        <v>0</v>
      </c>
      <c r="J1153" s="5">
        <v>0</v>
      </c>
      <c r="K1153" s="5">
        <v>0</v>
      </c>
      <c r="L1153" s="5">
        <v>0</v>
      </c>
      <c r="M1153" s="5">
        <v>0</v>
      </c>
      <c r="N1153" s="5">
        <v>0</v>
      </c>
      <c r="O1153" s="5">
        <v>0</v>
      </c>
      <c r="P1153" s="5"/>
    </row>
    <row r="1154" spans="1:16">
      <c r="A1154" t="str">
        <f t="shared" si="17"/>
        <v>SL02NCP RP ONPK</v>
      </c>
      <c r="B1154" t="s">
        <v>38</v>
      </c>
      <c r="C1154" t="s">
        <v>160</v>
      </c>
      <c r="D1154" s="5">
        <v>0</v>
      </c>
      <c r="E1154" s="5">
        <v>0</v>
      </c>
      <c r="F1154" s="5">
        <v>0</v>
      </c>
      <c r="G1154" s="5">
        <v>0</v>
      </c>
      <c r="H1154" s="5">
        <v>0</v>
      </c>
      <c r="I1154" s="5">
        <v>0</v>
      </c>
      <c r="J1154" s="5">
        <v>0</v>
      </c>
      <c r="K1154" s="5">
        <v>0</v>
      </c>
      <c r="L1154" s="5">
        <v>0</v>
      </c>
      <c r="M1154" s="5">
        <v>0</v>
      </c>
      <c r="N1154" s="5">
        <v>0</v>
      </c>
      <c r="O1154" s="5">
        <v>0</v>
      </c>
      <c r="P1154" s="5"/>
    </row>
    <row r="1155" spans="1:16">
      <c r="A1155" t="str">
        <f t="shared" si="17"/>
        <v>SL02NCP RP OFFPK</v>
      </c>
      <c r="B1155" t="s">
        <v>38</v>
      </c>
      <c r="C1155" t="s">
        <v>161</v>
      </c>
      <c r="D1155" s="5">
        <v>0</v>
      </c>
      <c r="E1155" s="5">
        <v>0</v>
      </c>
      <c r="F1155" s="5">
        <v>0</v>
      </c>
      <c r="G1155" s="5">
        <v>0</v>
      </c>
      <c r="H1155" s="5">
        <v>0</v>
      </c>
      <c r="I1155" s="5">
        <v>0</v>
      </c>
      <c r="J1155" s="5">
        <v>0</v>
      </c>
      <c r="K1155" s="5">
        <v>0</v>
      </c>
      <c r="L1155" s="5">
        <v>0</v>
      </c>
      <c r="M1155" s="5">
        <v>0</v>
      </c>
      <c r="N1155" s="5">
        <v>0</v>
      </c>
      <c r="O1155" s="5">
        <v>0</v>
      </c>
      <c r="P1155" s="5"/>
    </row>
    <row r="1156" spans="1:16">
      <c r="A1156" t="str">
        <f t="shared" si="17"/>
        <v>SL02GCP RP</v>
      </c>
      <c r="B1156" t="s">
        <v>38</v>
      </c>
      <c r="C1156" t="s">
        <v>162</v>
      </c>
      <c r="D1156" s="5">
        <v>0</v>
      </c>
      <c r="E1156" s="5">
        <v>0</v>
      </c>
      <c r="F1156" s="5">
        <v>0</v>
      </c>
      <c r="G1156" s="5">
        <v>0</v>
      </c>
      <c r="H1156" s="5">
        <v>0</v>
      </c>
      <c r="I1156" s="5">
        <v>0</v>
      </c>
      <c r="J1156" s="5">
        <v>0</v>
      </c>
      <c r="K1156" s="5">
        <v>0</v>
      </c>
      <c r="L1156" s="5">
        <v>0</v>
      </c>
      <c r="M1156" s="5">
        <v>0</v>
      </c>
      <c r="N1156" s="5">
        <v>0</v>
      </c>
      <c r="O1156" s="5">
        <v>0</v>
      </c>
      <c r="P1156" s="5"/>
    </row>
    <row r="1157" spans="1:16">
      <c r="A1157" t="str">
        <f t="shared" si="17"/>
        <v>SL02GCP RP ONPK</v>
      </c>
      <c r="B1157" t="s">
        <v>38</v>
      </c>
      <c r="C1157" t="s">
        <v>163</v>
      </c>
      <c r="D1157" s="5">
        <v>0</v>
      </c>
      <c r="E1157" s="5">
        <v>0</v>
      </c>
      <c r="F1157" s="5">
        <v>0</v>
      </c>
      <c r="G1157" s="5">
        <v>0</v>
      </c>
      <c r="H1157" s="5">
        <v>0</v>
      </c>
      <c r="I1157" s="5">
        <v>0</v>
      </c>
      <c r="J1157" s="5">
        <v>0</v>
      </c>
      <c r="K1157" s="5">
        <v>0</v>
      </c>
      <c r="L1157" s="5">
        <v>0</v>
      </c>
      <c r="M1157" s="5">
        <v>0</v>
      </c>
      <c r="N1157" s="5">
        <v>0</v>
      </c>
      <c r="O1157" s="5">
        <v>0</v>
      </c>
      <c r="P1157" s="5"/>
    </row>
    <row r="1158" spans="1:16">
      <c r="A1158" t="str">
        <f t="shared" si="17"/>
        <v>SL02GCP RP OFFPK</v>
      </c>
      <c r="B1158" t="s">
        <v>38</v>
      </c>
      <c r="C1158" t="s">
        <v>164</v>
      </c>
      <c r="D1158" s="5">
        <v>0</v>
      </c>
      <c r="E1158" s="5">
        <v>0</v>
      </c>
      <c r="F1158" s="5">
        <v>0</v>
      </c>
      <c r="G1158" s="5">
        <v>0</v>
      </c>
      <c r="H1158" s="5">
        <v>0</v>
      </c>
      <c r="I1158" s="5">
        <v>0</v>
      </c>
      <c r="J1158" s="5">
        <v>0</v>
      </c>
      <c r="K1158" s="5">
        <v>0</v>
      </c>
      <c r="L1158" s="5">
        <v>0</v>
      </c>
      <c r="M1158" s="5">
        <v>0</v>
      </c>
      <c r="N1158" s="5">
        <v>0</v>
      </c>
      <c r="O1158" s="5">
        <v>0</v>
      </c>
      <c r="P1158" s="5"/>
    </row>
    <row r="1159" spans="1:16">
      <c r="A1159" t="str">
        <f t="shared" si="17"/>
        <v>SL02CP RP</v>
      </c>
      <c r="B1159" t="s">
        <v>38</v>
      </c>
      <c r="C1159" t="s">
        <v>165</v>
      </c>
      <c r="D1159" s="5">
        <v>0</v>
      </c>
      <c r="E1159" s="5">
        <v>0</v>
      </c>
      <c r="F1159" s="5">
        <v>0</v>
      </c>
      <c r="G1159" s="5">
        <v>0</v>
      </c>
      <c r="H1159" s="5">
        <v>0</v>
      </c>
      <c r="I1159" s="5">
        <v>0</v>
      </c>
      <c r="J1159" s="5">
        <v>0</v>
      </c>
      <c r="K1159" s="5">
        <v>0</v>
      </c>
      <c r="L1159" s="5">
        <v>0</v>
      </c>
      <c r="M1159" s="5">
        <v>0</v>
      </c>
      <c r="N1159" s="5">
        <v>0</v>
      </c>
      <c r="O1159" s="5">
        <v>0</v>
      </c>
      <c r="P1159" s="5"/>
    </row>
    <row r="1160" spans="1:16">
      <c r="A1160" t="str">
        <f t="shared" si="17"/>
        <v>SL02SAMPLE SIZE:</v>
      </c>
      <c r="B1160" t="s">
        <v>38</v>
      </c>
      <c r="C1160" t="s">
        <v>66</v>
      </c>
    </row>
    <row r="1161" spans="1:16">
      <c r="A1161" t="str">
        <f t="shared" si="17"/>
        <v>SL02GCPSZ</v>
      </c>
      <c r="B1161" t="s">
        <v>38</v>
      </c>
      <c r="C1161" t="s">
        <v>166</v>
      </c>
      <c r="D1161">
        <v>1</v>
      </c>
      <c r="E1161">
        <v>1</v>
      </c>
      <c r="F1161">
        <v>1</v>
      </c>
      <c r="G1161">
        <v>1</v>
      </c>
      <c r="H1161">
        <v>1</v>
      </c>
      <c r="I1161">
        <v>1</v>
      </c>
      <c r="J1161">
        <v>1</v>
      </c>
      <c r="K1161">
        <v>1</v>
      </c>
      <c r="L1161">
        <v>1</v>
      </c>
      <c r="M1161">
        <v>1</v>
      </c>
      <c r="N1161">
        <v>1</v>
      </c>
      <c r="O1161">
        <v>1</v>
      </c>
    </row>
    <row r="1162" spans="1:16">
      <c r="A1162" t="str">
        <f t="shared" si="17"/>
        <v>SL02GCPSZ ONPK</v>
      </c>
      <c r="B1162" t="s">
        <v>38</v>
      </c>
      <c r="C1162" t="s">
        <v>167</v>
      </c>
      <c r="D1162">
        <v>1</v>
      </c>
      <c r="E1162">
        <v>1</v>
      </c>
      <c r="F1162">
        <v>1</v>
      </c>
      <c r="G1162">
        <v>1</v>
      </c>
      <c r="H1162">
        <v>1</v>
      </c>
      <c r="I1162">
        <v>1</v>
      </c>
      <c r="J1162">
        <v>1</v>
      </c>
      <c r="K1162">
        <v>1</v>
      </c>
      <c r="L1162">
        <v>1</v>
      </c>
      <c r="M1162">
        <v>1</v>
      </c>
      <c r="N1162">
        <v>1</v>
      </c>
      <c r="O1162">
        <v>1</v>
      </c>
    </row>
    <row r="1163" spans="1:16">
      <c r="A1163" t="str">
        <f t="shared" si="17"/>
        <v>SL02GCPSZ OFFPK</v>
      </c>
      <c r="B1163" t="s">
        <v>38</v>
      </c>
      <c r="C1163" t="s">
        <v>168</v>
      </c>
      <c r="D1163">
        <v>1</v>
      </c>
      <c r="E1163">
        <v>1</v>
      </c>
      <c r="F1163">
        <v>1</v>
      </c>
      <c r="G1163">
        <v>1</v>
      </c>
      <c r="H1163">
        <v>1</v>
      </c>
      <c r="I1163">
        <v>1</v>
      </c>
      <c r="J1163">
        <v>1</v>
      </c>
      <c r="K1163">
        <v>1</v>
      </c>
      <c r="L1163">
        <v>1</v>
      </c>
      <c r="M1163">
        <v>1</v>
      </c>
      <c r="N1163">
        <v>1</v>
      </c>
      <c r="O1163">
        <v>1</v>
      </c>
    </row>
    <row r="1164" spans="1:16">
      <c r="A1164" t="str">
        <f t="shared" si="17"/>
        <v>SL02CPSZ</v>
      </c>
      <c r="B1164" t="s">
        <v>38</v>
      </c>
      <c r="C1164" t="s">
        <v>169</v>
      </c>
      <c r="D1164">
        <v>1</v>
      </c>
      <c r="E1164">
        <v>1</v>
      </c>
      <c r="F1164">
        <v>1</v>
      </c>
      <c r="G1164">
        <v>1</v>
      </c>
      <c r="H1164">
        <v>1</v>
      </c>
      <c r="I1164">
        <v>1</v>
      </c>
      <c r="J1164">
        <v>1</v>
      </c>
      <c r="K1164">
        <v>1</v>
      </c>
      <c r="L1164">
        <v>1</v>
      </c>
      <c r="M1164">
        <v>1</v>
      </c>
      <c r="N1164">
        <v>1</v>
      </c>
      <c r="O1164">
        <v>1</v>
      </c>
    </row>
    <row r="1165" spans="1:16">
      <c r="A1165" t="str">
        <f t="shared" si="17"/>
        <v/>
      </c>
    </row>
    <row r="1166" spans="1:16">
      <c r="A1166" t="str">
        <f t="shared" si="17"/>
        <v xml:space="preserve">Note:  For SL02 Customer Service's data warehouse was utilized for SALES in the months of June and July.  </v>
      </c>
      <c r="B1166" t="s">
        <v>694</v>
      </c>
    </row>
    <row r="1167" spans="1:16">
      <c r="A1167" t="str">
        <f t="shared" si="17"/>
        <v/>
      </c>
    </row>
    <row r="1168" spans="1:16">
      <c r="A1168" t="str">
        <f t="shared" si="17"/>
        <v>SSTD SSTD-D Distribution Standby Load Combined (SST-1D</v>
      </c>
      <c r="B1168" t="s">
        <v>39</v>
      </c>
      <c r="C1168" t="s">
        <v>695</v>
      </c>
      <c r="D1168" t="s">
        <v>696</v>
      </c>
    </row>
    <row r="1169" spans="1:16">
      <c r="A1169" t="str">
        <f t="shared" si="17"/>
        <v xml:space="preserve">SSTDMONTH </v>
      </c>
      <c r="B1169" t="s">
        <v>40</v>
      </c>
      <c r="C1169" t="s">
        <v>123</v>
      </c>
      <c r="D1169" s="4">
        <v>41640</v>
      </c>
      <c r="E1169" s="4">
        <v>41671</v>
      </c>
      <c r="F1169" s="4">
        <v>41699</v>
      </c>
      <c r="G1169" s="4">
        <v>41730</v>
      </c>
      <c r="H1169" s="4">
        <v>41760</v>
      </c>
      <c r="I1169" s="4">
        <v>41791</v>
      </c>
      <c r="J1169" s="4">
        <v>41821</v>
      </c>
      <c r="K1169" s="4">
        <v>41852</v>
      </c>
      <c r="L1169" s="4">
        <v>41883</v>
      </c>
      <c r="M1169" s="4">
        <v>41913</v>
      </c>
      <c r="N1169" s="4">
        <v>41944</v>
      </c>
      <c r="O1169" s="4">
        <v>41974</v>
      </c>
      <c r="P1169" s="4"/>
    </row>
    <row r="1170" spans="1:16">
      <c r="A1170" t="str">
        <f t="shared" si="17"/>
        <v xml:space="preserve">SSTDCUSTOMERS </v>
      </c>
      <c r="B1170" t="s">
        <v>40</v>
      </c>
      <c r="C1170" t="s">
        <v>124</v>
      </c>
      <c r="D1170">
        <v>6</v>
      </c>
      <c r="E1170">
        <v>6</v>
      </c>
      <c r="F1170">
        <v>6</v>
      </c>
      <c r="G1170">
        <v>6</v>
      </c>
      <c r="H1170">
        <v>6</v>
      </c>
      <c r="I1170">
        <v>6</v>
      </c>
      <c r="J1170">
        <v>6</v>
      </c>
      <c r="K1170">
        <v>6</v>
      </c>
      <c r="L1170">
        <v>6</v>
      </c>
      <c r="M1170">
        <v>6</v>
      </c>
      <c r="N1170">
        <v>6</v>
      </c>
      <c r="O1170">
        <v>6</v>
      </c>
    </row>
    <row r="1171" spans="1:16">
      <c r="A1171" t="str">
        <f t="shared" si="17"/>
        <v xml:space="preserve">SSTDSALES </v>
      </c>
      <c r="B1171" t="s">
        <v>40</v>
      </c>
      <c r="C1171" t="s">
        <v>125</v>
      </c>
      <c r="D1171">
        <v>1051578</v>
      </c>
      <c r="E1171">
        <v>1361642</v>
      </c>
      <c r="F1171">
        <v>1357817</v>
      </c>
      <c r="G1171">
        <v>2140769</v>
      </c>
      <c r="H1171">
        <v>2227774</v>
      </c>
      <c r="I1171">
        <v>1630542</v>
      </c>
      <c r="J1171">
        <v>1516219</v>
      </c>
      <c r="K1171">
        <v>1704833</v>
      </c>
      <c r="L1171">
        <v>1101581</v>
      </c>
      <c r="M1171">
        <v>824719</v>
      </c>
      <c r="N1171">
        <v>615502</v>
      </c>
      <c r="O1171">
        <v>261070</v>
      </c>
    </row>
    <row r="1172" spans="1:16">
      <c r="A1172" t="str">
        <f t="shared" si="17"/>
        <v>SSTDKW</v>
      </c>
      <c r="B1172" t="s">
        <v>40</v>
      </c>
      <c r="C1172" t="s">
        <v>126</v>
      </c>
    </row>
    <row r="1173" spans="1:16">
      <c r="A1173" t="str">
        <f t="shared" si="17"/>
        <v>SSTDN</v>
      </c>
      <c r="B1173" t="s">
        <v>40</v>
      </c>
      <c r="C1173" t="s">
        <v>127</v>
      </c>
      <c r="D1173">
        <v>6</v>
      </c>
      <c r="E1173">
        <v>6</v>
      </c>
      <c r="F1173">
        <v>6</v>
      </c>
      <c r="G1173">
        <v>6</v>
      </c>
      <c r="H1173">
        <v>6</v>
      </c>
      <c r="I1173">
        <v>6</v>
      </c>
      <c r="J1173">
        <v>6</v>
      </c>
      <c r="K1173">
        <v>6</v>
      </c>
      <c r="L1173">
        <v>6</v>
      </c>
      <c r="M1173">
        <v>6</v>
      </c>
      <c r="N1173">
        <v>6</v>
      </c>
      <c r="O1173">
        <v>6</v>
      </c>
    </row>
    <row r="1174" spans="1:16">
      <c r="A1174" t="str">
        <f t="shared" si="17"/>
        <v>SSTDRLR ENERGY:</v>
      </c>
      <c r="B1174" t="s">
        <v>40</v>
      </c>
      <c r="C1174" t="s">
        <v>61</v>
      </c>
    </row>
    <row r="1175" spans="1:16">
      <c r="A1175" t="str">
        <f t="shared" si="17"/>
        <v>SSTDKWH</v>
      </c>
      <c r="B1175" t="s">
        <v>40</v>
      </c>
      <c r="C1175" t="s">
        <v>128</v>
      </c>
      <c r="D1175">
        <v>968797</v>
      </c>
      <c r="E1175">
        <v>1312137</v>
      </c>
      <c r="F1175">
        <v>2578683</v>
      </c>
      <c r="G1175">
        <v>1490564</v>
      </c>
      <c r="H1175">
        <v>2406046</v>
      </c>
      <c r="I1175">
        <v>1205280</v>
      </c>
      <c r="J1175">
        <v>1515679</v>
      </c>
      <c r="K1175">
        <v>1690158</v>
      </c>
      <c r="L1175">
        <v>825001</v>
      </c>
      <c r="M1175">
        <v>700644</v>
      </c>
      <c r="N1175">
        <v>226354</v>
      </c>
      <c r="O1175">
        <v>414810</v>
      </c>
    </row>
    <row r="1176" spans="1:16">
      <c r="A1176" t="str">
        <f t="shared" si="17"/>
        <v>SSTDKWH ONPK</v>
      </c>
      <c r="B1176" t="s">
        <v>40</v>
      </c>
      <c r="C1176" t="s">
        <v>129</v>
      </c>
      <c r="D1176">
        <v>217484</v>
      </c>
      <c r="E1176">
        <v>301373</v>
      </c>
      <c r="F1176">
        <v>583312</v>
      </c>
      <c r="G1176">
        <v>440764</v>
      </c>
      <c r="H1176">
        <v>628910</v>
      </c>
      <c r="I1176">
        <v>332720</v>
      </c>
      <c r="J1176">
        <v>403350</v>
      </c>
      <c r="K1176">
        <v>499181</v>
      </c>
      <c r="L1176">
        <v>248421</v>
      </c>
      <c r="M1176">
        <v>238400</v>
      </c>
      <c r="N1176">
        <v>28459</v>
      </c>
      <c r="O1176">
        <v>92152</v>
      </c>
    </row>
    <row r="1177" spans="1:16">
      <c r="A1177" t="str">
        <f t="shared" si="17"/>
        <v>SSTDKWH OFFPK</v>
      </c>
      <c r="B1177" t="s">
        <v>40</v>
      </c>
      <c r="C1177" t="s">
        <v>130</v>
      </c>
      <c r="D1177">
        <v>751314</v>
      </c>
      <c r="E1177">
        <v>1010764</v>
      </c>
      <c r="F1177">
        <v>1995371</v>
      </c>
      <c r="G1177">
        <v>1049800</v>
      </c>
      <c r="H1177">
        <v>1777137</v>
      </c>
      <c r="I1177">
        <v>872560</v>
      </c>
      <c r="J1177">
        <v>1112329</v>
      </c>
      <c r="K1177">
        <v>1190977</v>
      </c>
      <c r="L1177">
        <v>576579</v>
      </c>
      <c r="M1177">
        <v>462245</v>
      </c>
      <c r="N1177">
        <v>197895</v>
      </c>
      <c r="O1177">
        <v>322658</v>
      </c>
    </row>
    <row r="1178" spans="1:16">
      <c r="A1178" t="str">
        <f t="shared" si="17"/>
        <v>SSTDKWH ONPK%</v>
      </c>
      <c r="B1178" t="s">
        <v>40</v>
      </c>
      <c r="C1178" t="s">
        <v>131</v>
      </c>
      <c r="D1178" s="5">
        <v>0.22449</v>
      </c>
      <c r="E1178" s="5">
        <v>0.22968</v>
      </c>
      <c r="F1178" s="5">
        <v>0.22620999999999999</v>
      </c>
      <c r="G1178" s="5">
        <v>0.29570000000000002</v>
      </c>
      <c r="H1178" s="5">
        <v>0.26139000000000001</v>
      </c>
      <c r="I1178" s="5">
        <v>0.27605000000000002</v>
      </c>
      <c r="J1178" s="5">
        <v>0.26612000000000002</v>
      </c>
      <c r="K1178" s="5">
        <v>0.29535</v>
      </c>
      <c r="L1178" s="5">
        <v>0.30112</v>
      </c>
      <c r="M1178" s="5">
        <v>0.34026000000000001</v>
      </c>
      <c r="N1178" s="5">
        <v>0.12573000000000001</v>
      </c>
      <c r="O1178" s="5">
        <v>0.22214999999999999</v>
      </c>
      <c r="P1178" s="5"/>
    </row>
    <row r="1179" spans="1:16">
      <c r="A1179" t="str">
        <f t="shared" si="17"/>
        <v>SSTDKWH OFFPK%</v>
      </c>
      <c r="B1179" t="s">
        <v>40</v>
      </c>
      <c r="C1179" t="s">
        <v>132</v>
      </c>
      <c r="D1179" s="5">
        <v>0.77551000000000003</v>
      </c>
      <c r="E1179" s="5">
        <v>0.77032</v>
      </c>
      <c r="F1179" s="5">
        <v>0.77378999999999998</v>
      </c>
      <c r="G1179" s="5">
        <v>0.70430000000000004</v>
      </c>
      <c r="H1179" s="5">
        <v>0.73860999999999999</v>
      </c>
      <c r="I1179" s="5">
        <v>0.72394999999999998</v>
      </c>
      <c r="J1179" s="5">
        <v>0.73387999999999998</v>
      </c>
      <c r="K1179" s="5">
        <v>0.70465</v>
      </c>
      <c r="L1179" s="5">
        <v>0.69887999999999995</v>
      </c>
      <c r="M1179" s="5">
        <v>0.65973999999999999</v>
      </c>
      <c r="N1179" s="5">
        <v>0.87426999999999999</v>
      </c>
      <c r="O1179" s="5">
        <v>0.77785000000000004</v>
      </c>
      <c r="P1179" s="5"/>
    </row>
    <row r="1180" spans="1:16">
      <c r="A1180" t="str">
        <f t="shared" si="17"/>
        <v>SSTDDEMAND (KW):</v>
      </c>
      <c r="B1180" t="s">
        <v>40</v>
      </c>
      <c r="C1180" t="s">
        <v>62</v>
      </c>
    </row>
    <row r="1181" spans="1:16">
      <c r="A1181" t="str">
        <f t="shared" si="17"/>
        <v>SSTDNCP</v>
      </c>
      <c r="B1181" t="s">
        <v>40</v>
      </c>
      <c r="C1181" t="s">
        <v>133</v>
      </c>
      <c r="D1181">
        <v>3451</v>
      </c>
      <c r="E1181">
        <v>4709</v>
      </c>
      <c r="F1181">
        <v>7495</v>
      </c>
      <c r="G1181">
        <v>5032</v>
      </c>
      <c r="H1181">
        <v>6049</v>
      </c>
      <c r="I1181">
        <v>3858</v>
      </c>
      <c r="J1181">
        <v>4558</v>
      </c>
      <c r="K1181">
        <v>5892</v>
      </c>
      <c r="L1181">
        <v>4355</v>
      </c>
      <c r="M1181">
        <v>5026</v>
      </c>
      <c r="N1181">
        <v>4745</v>
      </c>
      <c r="O1181">
        <v>1317</v>
      </c>
    </row>
    <row r="1182" spans="1:16">
      <c r="A1182" t="str">
        <f t="shared" si="17"/>
        <v>SSTDNCP ONPK</v>
      </c>
      <c r="B1182" t="s">
        <v>40</v>
      </c>
      <c r="C1182" t="s">
        <v>134</v>
      </c>
      <c r="D1182">
        <v>3114</v>
      </c>
      <c r="E1182">
        <v>3902</v>
      </c>
      <c r="F1182">
        <v>5818</v>
      </c>
      <c r="G1182">
        <v>4539</v>
      </c>
      <c r="H1182">
        <v>5488</v>
      </c>
      <c r="I1182">
        <v>3731</v>
      </c>
      <c r="J1182">
        <v>4444</v>
      </c>
      <c r="K1182">
        <v>5223</v>
      </c>
      <c r="L1182">
        <v>3403</v>
      </c>
      <c r="M1182">
        <v>4903</v>
      </c>
      <c r="N1182">
        <v>928</v>
      </c>
      <c r="O1182">
        <v>1006</v>
      </c>
    </row>
    <row r="1183" spans="1:16">
      <c r="A1183" t="str">
        <f t="shared" si="17"/>
        <v>SSTDNCP OFFPK</v>
      </c>
      <c r="B1183" t="s">
        <v>40</v>
      </c>
      <c r="C1183" t="s">
        <v>135</v>
      </c>
      <c r="D1183">
        <v>3451</v>
      </c>
      <c r="E1183">
        <v>4690</v>
      </c>
      <c r="F1183">
        <v>7359</v>
      </c>
      <c r="G1183">
        <v>4902</v>
      </c>
      <c r="H1183">
        <v>5884</v>
      </c>
      <c r="I1183">
        <v>3650</v>
      </c>
      <c r="J1183">
        <v>3740</v>
      </c>
      <c r="K1183">
        <v>5695</v>
      </c>
      <c r="L1183">
        <v>4130</v>
      </c>
      <c r="M1183">
        <v>4872</v>
      </c>
      <c r="N1183">
        <v>4745</v>
      </c>
      <c r="O1183">
        <v>1317</v>
      </c>
    </row>
    <row r="1184" spans="1:16">
      <c r="A1184" t="str">
        <f t="shared" si="17"/>
        <v>SSTDGCP DATE</v>
      </c>
      <c r="B1184" t="s">
        <v>40</v>
      </c>
      <c r="C1184" t="s">
        <v>136</v>
      </c>
      <c r="D1184" t="s">
        <v>697</v>
      </c>
      <c r="E1184" t="s">
        <v>698</v>
      </c>
      <c r="F1184" t="s">
        <v>699</v>
      </c>
      <c r="G1184" t="s">
        <v>271</v>
      </c>
      <c r="H1184" t="s">
        <v>700</v>
      </c>
      <c r="I1184" t="s">
        <v>260</v>
      </c>
      <c r="J1184" t="s">
        <v>701</v>
      </c>
      <c r="K1184" t="s">
        <v>295</v>
      </c>
      <c r="L1184" t="s">
        <v>312</v>
      </c>
      <c r="M1184" t="s">
        <v>702</v>
      </c>
      <c r="N1184" t="s">
        <v>703</v>
      </c>
      <c r="O1184" t="s">
        <v>704</v>
      </c>
    </row>
    <row r="1185" spans="1:16">
      <c r="A1185" t="str">
        <f t="shared" si="17"/>
        <v>SSTDGCP TIME</v>
      </c>
      <c r="B1185" t="s">
        <v>40</v>
      </c>
      <c r="C1185" t="s">
        <v>142</v>
      </c>
      <c r="D1185" t="s">
        <v>189</v>
      </c>
      <c r="E1185" t="s">
        <v>143</v>
      </c>
      <c r="F1185" t="s">
        <v>182</v>
      </c>
      <c r="G1185" t="s">
        <v>182</v>
      </c>
      <c r="H1185" t="s">
        <v>200</v>
      </c>
      <c r="I1185" t="s">
        <v>182</v>
      </c>
      <c r="J1185" t="s">
        <v>195</v>
      </c>
      <c r="K1185" t="s">
        <v>237</v>
      </c>
      <c r="L1185" t="s">
        <v>189</v>
      </c>
      <c r="M1185" t="s">
        <v>27</v>
      </c>
      <c r="N1185" t="s">
        <v>27</v>
      </c>
      <c r="O1185" t="s">
        <v>182</v>
      </c>
    </row>
    <row r="1186" spans="1:16">
      <c r="A1186" t="str">
        <f t="shared" si="17"/>
        <v>SSTDGCP</v>
      </c>
      <c r="B1186" t="s">
        <v>40</v>
      </c>
      <c r="C1186" t="s">
        <v>147</v>
      </c>
      <c r="D1186">
        <v>3083</v>
      </c>
      <c r="E1186">
        <v>4470</v>
      </c>
      <c r="F1186">
        <v>5550</v>
      </c>
      <c r="G1186">
        <v>4126</v>
      </c>
      <c r="H1186">
        <v>5238</v>
      </c>
      <c r="I1186">
        <v>3018</v>
      </c>
      <c r="J1186">
        <v>3591</v>
      </c>
      <c r="K1186">
        <v>4705</v>
      </c>
      <c r="L1186">
        <v>3722</v>
      </c>
      <c r="M1186">
        <v>2842</v>
      </c>
      <c r="N1186">
        <v>4342</v>
      </c>
      <c r="O1186">
        <v>1124</v>
      </c>
    </row>
    <row r="1187" spans="1:16">
      <c r="A1187" t="str">
        <f t="shared" si="17"/>
        <v>SSTDGCP ONPK</v>
      </c>
      <c r="B1187" t="s">
        <v>40</v>
      </c>
      <c r="C1187" t="s">
        <v>63</v>
      </c>
      <c r="D1187">
        <v>3016</v>
      </c>
      <c r="E1187">
        <v>3846</v>
      </c>
      <c r="F1187">
        <v>5029</v>
      </c>
      <c r="G1187">
        <v>4126</v>
      </c>
      <c r="H1187">
        <v>5193</v>
      </c>
      <c r="I1187">
        <v>3018</v>
      </c>
      <c r="J1187">
        <v>3591</v>
      </c>
      <c r="K1187">
        <v>4316</v>
      </c>
      <c r="L1187">
        <v>2795</v>
      </c>
      <c r="M1187">
        <v>2794</v>
      </c>
      <c r="N1187">
        <v>902</v>
      </c>
      <c r="O1187">
        <v>884</v>
      </c>
    </row>
    <row r="1188" spans="1:16">
      <c r="A1188" t="str">
        <f t="shared" si="17"/>
        <v>SSTDGCP OFFPK</v>
      </c>
      <c r="B1188" t="s">
        <v>40</v>
      </c>
      <c r="C1188" t="s">
        <v>64</v>
      </c>
      <c r="D1188">
        <v>3083</v>
      </c>
      <c r="E1188">
        <v>4470</v>
      </c>
      <c r="F1188">
        <v>5550</v>
      </c>
      <c r="G1188">
        <v>4018</v>
      </c>
      <c r="H1188">
        <v>5238</v>
      </c>
      <c r="I1188">
        <v>2868</v>
      </c>
      <c r="J1188">
        <v>2978</v>
      </c>
      <c r="K1188">
        <v>4705</v>
      </c>
      <c r="L1188">
        <v>3722</v>
      </c>
      <c r="M1188">
        <v>2842</v>
      </c>
      <c r="N1188">
        <v>4342</v>
      </c>
      <c r="O1188">
        <v>1124</v>
      </c>
    </row>
    <row r="1189" spans="1:16">
      <c r="A1189" t="str">
        <f t="shared" si="17"/>
        <v>SSTDCP</v>
      </c>
      <c r="B1189" t="s">
        <v>40</v>
      </c>
      <c r="C1189" t="s">
        <v>148</v>
      </c>
      <c r="D1189">
        <v>1716</v>
      </c>
      <c r="E1189">
        <v>3494</v>
      </c>
      <c r="F1189">
        <v>4628</v>
      </c>
      <c r="G1189">
        <v>2847</v>
      </c>
      <c r="H1189">
        <v>1674</v>
      </c>
      <c r="I1189">
        <v>2158</v>
      </c>
      <c r="J1189">
        <v>2207</v>
      </c>
      <c r="K1189">
        <v>1374</v>
      </c>
      <c r="L1189">
        <v>1472</v>
      </c>
      <c r="M1189">
        <v>1157</v>
      </c>
      <c r="N1189">
        <v>23</v>
      </c>
      <c r="O1189">
        <v>639</v>
      </c>
    </row>
    <row r="1190" spans="1:16">
      <c r="A1190" t="str">
        <f t="shared" si="17"/>
        <v>SSTDPERIOD START</v>
      </c>
      <c r="B1190" t="s">
        <v>40</v>
      </c>
      <c r="C1190" t="s">
        <v>149</v>
      </c>
      <c r="D1190" s="1">
        <v>41640</v>
      </c>
      <c r="E1190" s="1">
        <v>41671</v>
      </c>
      <c r="F1190" s="1">
        <v>41699</v>
      </c>
      <c r="G1190" s="1">
        <v>41730</v>
      </c>
      <c r="H1190" s="1">
        <v>41760</v>
      </c>
      <c r="I1190" s="1">
        <v>41791</v>
      </c>
      <c r="J1190" s="1">
        <v>41821</v>
      </c>
      <c r="K1190" s="1">
        <v>41852</v>
      </c>
      <c r="L1190" s="1">
        <v>41883</v>
      </c>
      <c r="M1190" s="1">
        <v>41913</v>
      </c>
      <c r="N1190" s="1">
        <v>41944</v>
      </c>
      <c r="O1190" s="1">
        <v>41974</v>
      </c>
      <c r="P1190" s="1"/>
    </row>
    <row r="1191" spans="1:16">
      <c r="A1191" t="str">
        <f t="shared" si="17"/>
        <v>SSTDNCP LF</v>
      </c>
      <c r="B1191" t="s">
        <v>40</v>
      </c>
      <c r="C1191" t="s">
        <v>150</v>
      </c>
      <c r="D1191" s="5">
        <v>0.37740000000000001</v>
      </c>
      <c r="E1191" s="5">
        <v>0.41470000000000001</v>
      </c>
      <c r="F1191" s="5">
        <v>0.46300000000000002</v>
      </c>
      <c r="G1191" s="5">
        <v>0.41139999999999999</v>
      </c>
      <c r="H1191" s="5">
        <v>0.53469999999999995</v>
      </c>
      <c r="I1191" s="5">
        <v>0.43390000000000001</v>
      </c>
      <c r="J1191" s="5">
        <v>0.44690000000000002</v>
      </c>
      <c r="K1191" s="5">
        <v>0.3856</v>
      </c>
      <c r="L1191" s="5">
        <v>0.2631</v>
      </c>
      <c r="M1191" s="5">
        <v>0.18740000000000001</v>
      </c>
      <c r="N1191" s="5">
        <v>6.6299999999999998E-2</v>
      </c>
      <c r="O1191" s="5">
        <v>0.42320000000000002</v>
      </c>
      <c r="P1191" s="5"/>
    </row>
    <row r="1192" spans="1:16">
      <c r="A1192" t="str">
        <f t="shared" si="17"/>
        <v>SSTDNCP LF ONPK</v>
      </c>
      <c r="B1192" t="s">
        <v>40</v>
      </c>
      <c r="C1192" t="s">
        <v>151</v>
      </c>
      <c r="D1192" s="5">
        <v>0.39689999999999998</v>
      </c>
      <c r="E1192" s="5">
        <v>0.48280000000000001</v>
      </c>
      <c r="F1192" s="5">
        <v>0.5968</v>
      </c>
      <c r="G1192" s="5">
        <v>0.49049999999999999</v>
      </c>
      <c r="H1192" s="5">
        <v>0.60629999999999995</v>
      </c>
      <c r="I1192" s="5">
        <v>0.4718</v>
      </c>
      <c r="J1192" s="5">
        <v>0.45829999999999999</v>
      </c>
      <c r="K1192" s="5">
        <v>0.50570000000000004</v>
      </c>
      <c r="L1192" s="5">
        <v>0.38629999999999998</v>
      </c>
      <c r="M1192" s="5">
        <v>0.2349</v>
      </c>
      <c r="N1192" s="5">
        <v>0.2016</v>
      </c>
      <c r="O1192" s="5">
        <v>0.52049999999999996</v>
      </c>
      <c r="P1192" s="5"/>
    </row>
    <row r="1193" spans="1:16">
      <c r="A1193" t="str">
        <f t="shared" si="17"/>
        <v>SSTDNCP LF OFFPK</v>
      </c>
      <c r="B1193" t="s">
        <v>40</v>
      </c>
      <c r="C1193" t="s">
        <v>152</v>
      </c>
      <c r="D1193" s="5">
        <v>0.38329999999999997</v>
      </c>
      <c r="E1193" s="5">
        <v>0.4209</v>
      </c>
      <c r="F1193" s="5">
        <v>0.47160000000000002</v>
      </c>
      <c r="G1193" s="5">
        <v>0.4103</v>
      </c>
      <c r="H1193" s="5">
        <v>0.54420000000000002</v>
      </c>
      <c r="I1193" s="5">
        <v>0.4501</v>
      </c>
      <c r="J1193" s="5">
        <v>0.54469999999999996</v>
      </c>
      <c r="K1193" s="5">
        <v>0.37680000000000002</v>
      </c>
      <c r="L1193" s="5">
        <v>0.26290000000000002</v>
      </c>
      <c r="M1193" s="5">
        <v>0.1767</v>
      </c>
      <c r="N1193" s="5">
        <v>7.3400000000000007E-2</v>
      </c>
      <c r="O1193" s="5">
        <v>0.43120000000000003</v>
      </c>
      <c r="P1193" s="5"/>
    </row>
    <row r="1194" spans="1:16">
      <c r="A1194" t="str">
        <f t="shared" si="17"/>
        <v>SSTDGCP CF</v>
      </c>
      <c r="B1194" t="s">
        <v>40</v>
      </c>
      <c r="C1194" t="s">
        <v>153</v>
      </c>
      <c r="D1194" s="5">
        <v>0.89349999999999996</v>
      </c>
      <c r="E1194" s="5">
        <v>0.94920000000000004</v>
      </c>
      <c r="F1194" s="5">
        <v>0.74039999999999995</v>
      </c>
      <c r="G1194" s="5">
        <v>0.82010000000000005</v>
      </c>
      <c r="H1194" s="5">
        <v>0.86599999999999999</v>
      </c>
      <c r="I1194" s="5">
        <v>0.78239999999999998</v>
      </c>
      <c r="J1194" s="5">
        <v>0.78779999999999994</v>
      </c>
      <c r="K1194" s="5">
        <v>0.79859999999999998</v>
      </c>
      <c r="L1194" s="5">
        <v>0.85450000000000004</v>
      </c>
      <c r="M1194" s="5">
        <v>0.5655</v>
      </c>
      <c r="N1194" s="5">
        <v>0.91520000000000001</v>
      </c>
      <c r="O1194" s="5">
        <v>0.85329999999999995</v>
      </c>
      <c r="P1194" s="5"/>
    </row>
    <row r="1195" spans="1:16">
      <c r="A1195" t="str">
        <f t="shared" si="17"/>
        <v>SSTDCP CF</v>
      </c>
      <c r="B1195" t="s">
        <v>40</v>
      </c>
      <c r="C1195" t="s">
        <v>154</v>
      </c>
      <c r="D1195" s="5">
        <v>0.49740000000000001</v>
      </c>
      <c r="E1195" s="5">
        <v>0.74209999999999998</v>
      </c>
      <c r="F1195" s="5">
        <v>0.61750000000000005</v>
      </c>
      <c r="G1195" s="5">
        <v>0.56579999999999997</v>
      </c>
      <c r="H1195" s="5">
        <v>0.27679999999999999</v>
      </c>
      <c r="I1195" s="5">
        <v>0.5595</v>
      </c>
      <c r="J1195" s="5">
        <v>0.48409999999999997</v>
      </c>
      <c r="K1195" s="5">
        <v>0.23319999999999999</v>
      </c>
      <c r="L1195" s="5">
        <v>0.33800000000000002</v>
      </c>
      <c r="M1195" s="5">
        <v>0.23019999999999999</v>
      </c>
      <c r="N1195" s="5">
        <v>4.7999999999999996E-3</v>
      </c>
      <c r="O1195" s="5">
        <v>0.48520000000000002</v>
      </c>
      <c r="P1195" s="5"/>
    </row>
    <row r="1196" spans="1:16">
      <c r="A1196" t="str">
        <f t="shared" si="17"/>
        <v>SSTDGCP LF</v>
      </c>
      <c r="B1196" t="s">
        <v>40</v>
      </c>
      <c r="C1196" t="s">
        <v>155</v>
      </c>
      <c r="D1196" s="5">
        <v>0.42230000000000001</v>
      </c>
      <c r="E1196" s="5">
        <v>0.43690000000000001</v>
      </c>
      <c r="F1196" s="5">
        <v>0.62539999999999996</v>
      </c>
      <c r="G1196" s="5">
        <v>0.50170000000000003</v>
      </c>
      <c r="H1196" s="5">
        <v>0.61739999999999995</v>
      </c>
      <c r="I1196" s="5">
        <v>0.55459999999999998</v>
      </c>
      <c r="J1196" s="5">
        <v>0.56730000000000003</v>
      </c>
      <c r="K1196" s="5">
        <v>0.48280000000000001</v>
      </c>
      <c r="L1196" s="5">
        <v>0.30790000000000001</v>
      </c>
      <c r="M1196" s="5">
        <v>0.33139999999999997</v>
      </c>
      <c r="N1196" s="5">
        <v>7.2400000000000006E-2</v>
      </c>
      <c r="O1196" s="5">
        <v>0.496</v>
      </c>
      <c r="P1196" s="5"/>
    </row>
    <row r="1197" spans="1:16">
      <c r="A1197" t="str">
        <f t="shared" si="17"/>
        <v>SSTDGCP LF ONPK</v>
      </c>
      <c r="B1197" t="s">
        <v>40</v>
      </c>
      <c r="C1197" t="s">
        <v>156</v>
      </c>
      <c r="D1197" s="5">
        <v>0.4098</v>
      </c>
      <c r="E1197" s="5">
        <v>0.48980000000000001</v>
      </c>
      <c r="F1197" s="5">
        <v>0.69040000000000001</v>
      </c>
      <c r="G1197" s="5">
        <v>0.53949999999999998</v>
      </c>
      <c r="H1197" s="5">
        <v>0.64070000000000005</v>
      </c>
      <c r="I1197" s="5">
        <v>0.58330000000000004</v>
      </c>
      <c r="J1197" s="5">
        <v>0.56720000000000004</v>
      </c>
      <c r="K1197" s="5">
        <v>0.61199999999999999</v>
      </c>
      <c r="L1197" s="5">
        <v>0.47020000000000001</v>
      </c>
      <c r="M1197" s="5">
        <v>0.41220000000000001</v>
      </c>
      <c r="N1197" s="5">
        <v>0.2077</v>
      </c>
      <c r="O1197" s="5">
        <v>0.59219999999999995</v>
      </c>
      <c r="P1197" s="5"/>
    </row>
    <row r="1198" spans="1:16">
      <c r="A1198" t="str">
        <f t="shared" si="17"/>
        <v>SSTDGCP LF OFFPK</v>
      </c>
      <c r="B1198" t="s">
        <v>40</v>
      </c>
      <c r="C1198" t="s">
        <v>157</v>
      </c>
      <c r="D1198" s="5">
        <v>0.42899999999999999</v>
      </c>
      <c r="E1198" s="5">
        <v>0.44169999999999998</v>
      </c>
      <c r="F1198" s="5">
        <v>0.62529999999999997</v>
      </c>
      <c r="G1198" s="5">
        <v>0.50049999999999994</v>
      </c>
      <c r="H1198" s="5">
        <v>0.61129999999999995</v>
      </c>
      <c r="I1198" s="5">
        <v>0.57289999999999996</v>
      </c>
      <c r="J1198" s="5">
        <v>0.68410000000000004</v>
      </c>
      <c r="K1198" s="5">
        <v>0.45610000000000001</v>
      </c>
      <c r="L1198" s="5">
        <v>0.2918</v>
      </c>
      <c r="M1198" s="5">
        <v>0.3029</v>
      </c>
      <c r="N1198" s="5">
        <v>8.0199999999999994E-2</v>
      </c>
      <c r="O1198" s="5">
        <v>0.50539999999999996</v>
      </c>
      <c r="P1198" s="5"/>
    </row>
    <row r="1199" spans="1:16">
      <c r="A1199" t="str">
        <f t="shared" ref="A1199:A1262" si="18">B1199&amp;C1199</f>
        <v>SSTDCP LF</v>
      </c>
      <c r="B1199" t="s">
        <v>40</v>
      </c>
      <c r="C1199" t="s">
        <v>158</v>
      </c>
      <c r="D1199" s="5">
        <v>0.75860000000000005</v>
      </c>
      <c r="E1199" s="5">
        <v>0.55879999999999996</v>
      </c>
      <c r="F1199" s="5">
        <v>0.74990000000000001</v>
      </c>
      <c r="G1199" s="5">
        <v>0.72719999999999996</v>
      </c>
      <c r="H1199" s="5">
        <v>1.9319</v>
      </c>
      <c r="I1199" s="5">
        <v>0.77549999999999997</v>
      </c>
      <c r="J1199" s="5">
        <v>0.92310000000000003</v>
      </c>
      <c r="K1199" s="5">
        <v>1.6536999999999999</v>
      </c>
      <c r="L1199" s="5">
        <v>0.77829999999999999</v>
      </c>
      <c r="M1199" s="5">
        <v>0.81389999999999996</v>
      </c>
      <c r="N1199" s="5">
        <v>13.668699999999999</v>
      </c>
      <c r="O1199" s="5">
        <v>0.87219999999999998</v>
      </c>
      <c r="P1199" s="5"/>
    </row>
    <row r="1200" spans="1:16">
      <c r="A1200" t="str">
        <f t="shared" si="18"/>
        <v>SSTDREL PREC:</v>
      </c>
      <c r="B1200" t="s">
        <v>40</v>
      </c>
      <c r="C1200" t="s">
        <v>65</v>
      </c>
    </row>
    <row r="1201" spans="1:16">
      <c r="A1201" t="str">
        <f t="shared" si="18"/>
        <v>SSTDNCP RP</v>
      </c>
      <c r="B1201" t="s">
        <v>40</v>
      </c>
      <c r="C1201" t="s">
        <v>159</v>
      </c>
      <c r="D1201" s="5">
        <v>0</v>
      </c>
      <c r="E1201" s="5">
        <v>0</v>
      </c>
      <c r="F1201" s="5">
        <v>0</v>
      </c>
      <c r="G1201" s="5">
        <v>0</v>
      </c>
      <c r="H1201" s="5">
        <v>0</v>
      </c>
      <c r="I1201" s="5">
        <v>0</v>
      </c>
      <c r="J1201" s="5">
        <v>0</v>
      </c>
      <c r="K1201" s="5">
        <v>0</v>
      </c>
      <c r="L1201" s="5">
        <v>0</v>
      </c>
      <c r="M1201" s="5">
        <v>0</v>
      </c>
      <c r="N1201" s="5">
        <v>0</v>
      </c>
      <c r="O1201" s="5">
        <v>0</v>
      </c>
      <c r="P1201" s="5"/>
    </row>
    <row r="1202" spans="1:16">
      <c r="A1202" t="str">
        <f t="shared" si="18"/>
        <v>SSTDNCP RP ONPK</v>
      </c>
      <c r="B1202" t="s">
        <v>40</v>
      </c>
      <c r="C1202" t="s">
        <v>160</v>
      </c>
      <c r="D1202" s="5">
        <v>0</v>
      </c>
      <c r="E1202" s="5">
        <v>0</v>
      </c>
      <c r="F1202" s="5">
        <v>0</v>
      </c>
      <c r="G1202" s="5">
        <v>0</v>
      </c>
      <c r="H1202" s="5">
        <v>0</v>
      </c>
      <c r="I1202" s="5">
        <v>0</v>
      </c>
      <c r="J1202" s="5">
        <v>0</v>
      </c>
      <c r="K1202" s="5">
        <v>0</v>
      </c>
      <c r="L1202" s="5">
        <v>0</v>
      </c>
      <c r="M1202" s="5">
        <v>0</v>
      </c>
      <c r="N1202" s="5">
        <v>0</v>
      </c>
      <c r="O1202" s="5">
        <v>0</v>
      </c>
      <c r="P1202" s="5"/>
    </row>
    <row r="1203" spans="1:16">
      <c r="A1203" t="str">
        <f t="shared" si="18"/>
        <v>SSTDNCP RP OFFPK</v>
      </c>
      <c r="B1203" t="s">
        <v>40</v>
      </c>
      <c r="C1203" t="s">
        <v>161</v>
      </c>
      <c r="D1203" s="5">
        <v>0</v>
      </c>
      <c r="E1203" s="5">
        <v>0</v>
      </c>
      <c r="F1203" s="5">
        <v>0</v>
      </c>
      <c r="G1203" s="5">
        <v>0</v>
      </c>
      <c r="H1203" s="5">
        <v>0</v>
      </c>
      <c r="I1203" s="5">
        <v>0</v>
      </c>
      <c r="J1203" s="5">
        <v>0</v>
      </c>
      <c r="K1203" s="5">
        <v>0</v>
      </c>
      <c r="L1203" s="5">
        <v>0</v>
      </c>
      <c r="M1203" s="5">
        <v>0</v>
      </c>
      <c r="N1203" s="5">
        <v>0</v>
      </c>
      <c r="O1203" s="5">
        <v>0</v>
      </c>
      <c r="P1203" s="5"/>
    </row>
    <row r="1204" spans="1:16">
      <c r="A1204" t="str">
        <f t="shared" si="18"/>
        <v>SSTDGCP RP</v>
      </c>
      <c r="B1204" t="s">
        <v>40</v>
      </c>
      <c r="C1204" t="s">
        <v>162</v>
      </c>
      <c r="D1204" s="5">
        <v>0</v>
      </c>
      <c r="E1204" s="5">
        <v>0</v>
      </c>
      <c r="F1204" s="5">
        <v>0</v>
      </c>
      <c r="G1204" s="5">
        <v>0</v>
      </c>
      <c r="H1204" s="5">
        <v>0</v>
      </c>
      <c r="I1204" s="5">
        <v>0</v>
      </c>
      <c r="J1204" s="5">
        <v>0</v>
      </c>
      <c r="K1204" s="5">
        <v>0</v>
      </c>
      <c r="L1204" s="5">
        <v>0</v>
      </c>
      <c r="M1204" s="5">
        <v>0</v>
      </c>
      <c r="N1204" s="5">
        <v>0</v>
      </c>
      <c r="O1204" s="5">
        <v>0</v>
      </c>
      <c r="P1204" s="5"/>
    </row>
    <row r="1205" spans="1:16">
      <c r="A1205" t="str">
        <f t="shared" si="18"/>
        <v>SSTDGCP RP ONPK</v>
      </c>
      <c r="B1205" t="s">
        <v>40</v>
      </c>
      <c r="C1205" t="s">
        <v>163</v>
      </c>
      <c r="D1205" s="5">
        <v>0</v>
      </c>
      <c r="E1205" s="5">
        <v>0</v>
      </c>
      <c r="F1205" s="5">
        <v>0</v>
      </c>
      <c r="G1205" s="5">
        <v>0</v>
      </c>
      <c r="H1205" s="5">
        <v>0</v>
      </c>
      <c r="I1205" s="5">
        <v>0</v>
      </c>
      <c r="J1205" s="5">
        <v>0</v>
      </c>
      <c r="K1205" s="5">
        <v>0</v>
      </c>
      <c r="L1205" s="5">
        <v>0</v>
      </c>
      <c r="M1205" s="5">
        <v>0</v>
      </c>
      <c r="N1205" s="5">
        <v>0</v>
      </c>
      <c r="O1205" s="5">
        <v>0</v>
      </c>
      <c r="P1205" s="5"/>
    </row>
    <row r="1206" spans="1:16">
      <c r="A1206" t="str">
        <f t="shared" si="18"/>
        <v>SSTDGCP RP OFFPK</v>
      </c>
      <c r="B1206" t="s">
        <v>40</v>
      </c>
      <c r="C1206" t="s">
        <v>164</v>
      </c>
      <c r="D1206" s="5">
        <v>0</v>
      </c>
      <c r="E1206" s="5">
        <v>0</v>
      </c>
      <c r="F1206" s="5">
        <v>0</v>
      </c>
      <c r="G1206" s="5">
        <v>0</v>
      </c>
      <c r="H1206" s="5">
        <v>0</v>
      </c>
      <c r="I1206" s="5">
        <v>0</v>
      </c>
      <c r="J1206" s="5">
        <v>0</v>
      </c>
      <c r="K1206" s="5">
        <v>0</v>
      </c>
      <c r="L1206" s="5">
        <v>0</v>
      </c>
      <c r="M1206" s="5">
        <v>0</v>
      </c>
      <c r="N1206" s="5">
        <v>0</v>
      </c>
      <c r="O1206" s="5">
        <v>0</v>
      </c>
      <c r="P1206" s="5"/>
    </row>
    <row r="1207" spans="1:16">
      <c r="A1207" t="str">
        <f t="shared" si="18"/>
        <v>SSTDCP RP</v>
      </c>
      <c r="B1207" t="s">
        <v>40</v>
      </c>
      <c r="C1207" t="s">
        <v>165</v>
      </c>
      <c r="D1207" s="5">
        <v>0</v>
      </c>
      <c r="E1207" s="5">
        <v>0</v>
      </c>
      <c r="F1207" s="5">
        <v>0</v>
      </c>
      <c r="G1207" s="5">
        <v>0</v>
      </c>
      <c r="H1207" s="5">
        <v>0</v>
      </c>
      <c r="I1207" s="5">
        <v>0</v>
      </c>
      <c r="J1207" s="5">
        <v>0</v>
      </c>
      <c r="K1207" s="5">
        <v>0</v>
      </c>
      <c r="L1207" s="5">
        <v>0</v>
      </c>
      <c r="M1207" s="5">
        <v>0</v>
      </c>
      <c r="N1207" s="5">
        <v>0</v>
      </c>
      <c r="O1207" s="5">
        <v>0</v>
      </c>
      <c r="P1207" s="5"/>
    </row>
    <row r="1208" spans="1:16">
      <c r="A1208" t="str">
        <f t="shared" si="18"/>
        <v>SSTDSAMPLE SIZE:</v>
      </c>
      <c r="B1208" t="s">
        <v>40</v>
      </c>
      <c r="C1208" t="s">
        <v>66</v>
      </c>
    </row>
    <row r="1209" spans="1:16">
      <c r="A1209" t="str">
        <f t="shared" si="18"/>
        <v>SSTDGCPSZ</v>
      </c>
      <c r="B1209" t="s">
        <v>40</v>
      </c>
      <c r="C1209" t="s">
        <v>166</v>
      </c>
      <c r="D1209">
        <v>6</v>
      </c>
      <c r="E1209">
        <v>6</v>
      </c>
      <c r="F1209">
        <v>6</v>
      </c>
      <c r="G1209">
        <v>6</v>
      </c>
      <c r="H1209">
        <v>6</v>
      </c>
      <c r="I1209">
        <v>6</v>
      </c>
      <c r="J1209">
        <v>6</v>
      </c>
      <c r="K1209">
        <v>6</v>
      </c>
      <c r="L1209">
        <v>6</v>
      </c>
      <c r="M1209">
        <v>6</v>
      </c>
      <c r="N1209">
        <v>6</v>
      </c>
      <c r="O1209">
        <v>6</v>
      </c>
    </row>
    <row r="1210" spans="1:16">
      <c r="A1210" t="str">
        <f t="shared" si="18"/>
        <v>SSTDGCPSZ ONPK</v>
      </c>
      <c r="B1210" t="s">
        <v>40</v>
      </c>
      <c r="C1210" t="s">
        <v>167</v>
      </c>
      <c r="D1210">
        <v>6</v>
      </c>
      <c r="E1210">
        <v>6</v>
      </c>
      <c r="F1210">
        <v>6</v>
      </c>
      <c r="G1210">
        <v>6</v>
      </c>
      <c r="H1210">
        <v>6</v>
      </c>
      <c r="I1210">
        <v>6</v>
      </c>
      <c r="J1210">
        <v>6</v>
      </c>
      <c r="K1210">
        <v>6</v>
      </c>
      <c r="L1210">
        <v>6</v>
      </c>
      <c r="M1210">
        <v>6</v>
      </c>
      <c r="N1210">
        <v>6</v>
      </c>
      <c r="O1210">
        <v>6</v>
      </c>
    </row>
    <row r="1211" spans="1:16">
      <c r="A1211" t="str">
        <f t="shared" si="18"/>
        <v>SSTDGCPSZ OFFPK</v>
      </c>
      <c r="B1211" t="s">
        <v>40</v>
      </c>
      <c r="C1211" t="s">
        <v>168</v>
      </c>
      <c r="D1211">
        <v>6</v>
      </c>
      <c r="E1211">
        <v>6</v>
      </c>
      <c r="F1211">
        <v>6</v>
      </c>
      <c r="G1211">
        <v>6</v>
      </c>
      <c r="H1211">
        <v>6</v>
      </c>
      <c r="I1211">
        <v>6</v>
      </c>
      <c r="J1211">
        <v>6</v>
      </c>
      <c r="K1211">
        <v>6</v>
      </c>
      <c r="L1211">
        <v>6</v>
      </c>
      <c r="M1211">
        <v>6</v>
      </c>
      <c r="N1211">
        <v>6</v>
      </c>
      <c r="O1211">
        <v>6</v>
      </c>
    </row>
    <row r="1212" spans="1:16">
      <c r="A1212" t="str">
        <f t="shared" si="18"/>
        <v>SSTDCPSZ</v>
      </c>
      <c r="B1212" t="s">
        <v>40</v>
      </c>
      <c r="C1212" t="s">
        <v>169</v>
      </c>
      <c r="D1212">
        <v>6</v>
      </c>
      <c r="E1212">
        <v>6</v>
      </c>
      <c r="F1212">
        <v>6</v>
      </c>
      <c r="G1212">
        <v>6</v>
      </c>
      <c r="H1212">
        <v>6</v>
      </c>
      <c r="I1212">
        <v>6</v>
      </c>
      <c r="J1212">
        <v>6</v>
      </c>
      <c r="K1212">
        <v>6</v>
      </c>
      <c r="L1212">
        <v>6</v>
      </c>
      <c r="M1212">
        <v>6</v>
      </c>
      <c r="N1212">
        <v>6</v>
      </c>
      <c r="O1212">
        <v>6</v>
      </c>
    </row>
    <row r="1213" spans="1:16">
      <c r="A1213" t="str">
        <f t="shared" si="18"/>
        <v/>
      </c>
    </row>
    <row r="1214" spans="1:16">
      <c r="A1214" t="str">
        <f t="shared" si="18"/>
        <v/>
      </c>
    </row>
    <row r="1215" spans="1:16">
      <c r="A1215" t="str">
        <f t="shared" si="18"/>
        <v/>
      </c>
    </row>
    <row r="1216" spans="1:16">
      <c r="A1216" t="str">
        <f t="shared" si="18"/>
        <v xml:space="preserve">SSTTST SST-1 Transmission Standby </v>
      </c>
      <c r="B1216" t="s">
        <v>43</v>
      </c>
      <c r="C1216" t="s">
        <v>44</v>
      </c>
    </row>
    <row r="1217" spans="1:16">
      <c r="A1217" t="str">
        <f t="shared" si="18"/>
        <v xml:space="preserve">SSTTSTMONTH </v>
      </c>
      <c r="B1217" t="s">
        <v>45</v>
      </c>
      <c r="C1217" t="s">
        <v>123</v>
      </c>
      <c r="D1217" s="4">
        <v>41640</v>
      </c>
      <c r="E1217" s="4">
        <v>41671</v>
      </c>
      <c r="F1217" s="4">
        <v>41699</v>
      </c>
      <c r="G1217" s="4">
        <v>41730</v>
      </c>
      <c r="H1217" s="4">
        <v>41760</v>
      </c>
      <c r="I1217" s="4">
        <v>41791</v>
      </c>
      <c r="J1217" s="4">
        <v>41821</v>
      </c>
      <c r="K1217" s="4">
        <v>41852</v>
      </c>
      <c r="L1217" s="4">
        <v>41883</v>
      </c>
      <c r="M1217" s="4">
        <v>41913</v>
      </c>
      <c r="N1217" s="4">
        <v>41944</v>
      </c>
      <c r="O1217" s="4">
        <v>41974</v>
      </c>
      <c r="P1217" s="4"/>
    </row>
    <row r="1218" spans="1:16">
      <c r="A1218" t="str">
        <f t="shared" si="18"/>
        <v xml:space="preserve">SSTTSTCUSTOMERS </v>
      </c>
      <c r="B1218" t="s">
        <v>45</v>
      </c>
      <c r="C1218" t="s">
        <v>124</v>
      </c>
      <c r="D1218">
        <v>13</v>
      </c>
      <c r="E1218">
        <v>13</v>
      </c>
      <c r="F1218">
        <v>13</v>
      </c>
      <c r="G1218">
        <v>13</v>
      </c>
      <c r="H1218">
        <v>13</v>
      </c>
      <c r="I1218">
        <v>13</v>
      </c>
      <c r="J1218">
        <v>13</v>
      </c>
      <c r="K1218">
        <v>13</v>
      </c>
      <c r="L1218">
        <v>13</v>
      </c>
      <c r="M1218">
        <v>13</v>
      </c>
      <c r="N1218">
        <v>13</v>
      </c>
      <c r="O1218">
        <v>13</v>
      </c>
    </row>
    <row r="1219" spans="1:16">
      <c r="A1219" t="str">
        <f t="shared" si="18"/>
        <v xml:space="preserve">SSTTSTSALES </v>
      </c>
      <c r="B1219" t="s">
        <v>45</v>
      </c>
      <c r="C1219" t="s">
        <v>125</v>
      </c>
      <c r="D1219">
        <v>7046869</v>
      </c>
      <c r="E1219">
        <v>4868478</v>
      </c>
      <c r="F1219">
        <v>6235371</v>
      </c>
      <c r="G1219">
        <v>4282499</v>
      </c>
      <c r="H1219">
        <v>5472720</v>
      </c>
      <c r="I1219">
        <v>4916526</v>
      </c>
      <c r="J1219">
        <v>2561708</v>
      </c>
      <c r="K1219">
        <v>3452471</v>
      </c>
      <c r="L1219">
        <v>3152656</v>
      </c>
      <c r="M1219">
        <v>6729596</v>
      </c>
      <c r="N1219">
        <v>5386908</v>
      </c>
      <c r="O1219">
        <v>3574719</v>
      </c>
    </row>
    <row r="1220" spans="1:16">
      <c r="A1220" t="str">
        <f t="shared" si="18"/>
        <v>SSTTSTKW</v>
      </c>
      <c r="B1220" t="s">
        <v>45</v>
      </c>
      <c r="C1220" t="s">
        <v>126</v>
      </c>
    </row>
    <row r="1221" spans="1:16">
      <c r="A1221" t="str">
        <f t="shared" si="18"/>
        <v>SSTTSTN</v>
      </c>
      <c r="B1221" t="s">
        <v>45</v>
      </c>
      <c r="C1221" t="s">
        <v>127</v>
      </c>
      <c r="D1221">
        <v>13</v>
      </c>
      <c r="E1221">
        <v>13</v>
      </c>
      <c r="F1221">
        <v>13</v>
      </c>
      <c r="G1221">
        <v>13</v>
      </c>
      <c r="H1221">
        <v>13</v>
      </c>
      <c r="I1221">
        <v>13</v>
      </c>
      <c r="J1221">
        <v>13</v>
      </c>
      <c r="K1221">
        <v>13</v>
      </c>
      <c r="L1221">
        <v>13</v>
      </c>
      <c r="M1221">
        <v>13</v>
      </c>
      <c r="N1221">
        <v>13</v>
      </c>
      <c r="O1221">
        <v>13</v>
      </c>
    </row>
    <row r="1222" spans="1:16">
      <c r="A1222" t="str">
        <f t="shared" si="18"/>
        <v>SSTTSTRLR ENERGY:</v>
      </c>
      <c r="B1222" t="s">
        <v>45</v>
      </c>
      <c r="C1222" t="s">
        <v>61</v>
      </c>
    </row>
    <row r="1223" spans="1:16">
      <c r="A1223" t="str">
        <f t="shared" si="18"/>
        <v>SSTTSTKWH</v>
      </c>
      <c r="B1223" t="s">
        <v>45</v>
      </c>
      <c r="C1223" t="s">
        <v>128</v>
      </c>
      <c r="D1223">
        <v>4951647</v>
      </c>
      <c r="E1223">
        <v>5211959</v>
      </c>
      <c r="F1223">
        <v>4942531</v>
      </c>
      <c r="G1223">
        <v>4021046</v>
      </c>
      <c r="H1223">
        <v>6612643</v>
      </c>
      <c r="I1223">
        <v>3068714</v>
      </c>
      <c r="J1223">
        <v>2329146</v>
      </c>
      <c r="K1223">
        <v>4004650</v>
      </c>
      <c r="L1223">
        <v>5829316</v>
      </c>
      <c r="M1223">
        <v>5063154</v>
      </c>
      <c r="N1223">
        <v>5367514</v>
      </c>
      <c r="O1223">
        <v>3908225</v>
      </c>
    </row>
    <row r="1224" spans="1:16">
      <c r="A1224" t="str">
        <f t="shared" si="18"/>
        <v>SSTTSTKWH ONPK</v>
      </c>
      <c r="B1224" t="s">
        <v>45</v>
      </c>
      <c r="C1224" t="s">
        <v>129</v>
      </c>
      <c r="D1224">
        <v>1200236</v>
      </c>
      <c r="E1224">
        <v>1242425</v>
      </c>
      <c r="F1224">
        <v>1123706</v>
      </c>
      <c r="G1224">
        <v>1111407</v>
      </c>
      <c r="H1224">
        <v>1394339</v>
      </c>
      <c r="I1224">
        <v>736818</v>
      </c>
      <c r="J1224">
        <v>683726</v>
      </c>
      <c r="K1224">
        <v>740507</v>
      </c>
      <c r="L1224">
        <v>1853830</v>
      </c>
      <c r="M1224">
        <v>1452008</v>
      </c>
      <c r="N1224">
        <v>932790</v>
      </c>
      <c r="O1224">
        <v>593261</v>
      </c>
    </row>
    <row r="1225" spans="1:16">
      <c r="A1225" t="str">
        <f t="shared" si="18"/>
        <v>SSTTSTKWH OFFPK</v>
      </c>
      <c r="B1225" t="s">
        <v>45</v>
      </c>
      <c r="C1225" t="s">
        <v>130</v>
      </c>
      <c r="D1225">
        <v>3751411</v>
      </c>
      <c r="E1225">
        <v>3969534</v>
      </c>
      <c r="F1225">
        <v>3818825</v>
      </c>
      <c r="G1225">
        <v>2909639</v>
      </c>
      <c r="H1225">
        <v>5218305</v>
      </c>
      <c r="I1225">
        <v>2331896</v>
      </c>
      <c r="J1225">
        <v>1645420</v>
      </c>
      <c r="K1225">
        <v>3264143</v>
      </c>
      <c r="L1225">
        <v>3975486</v>
      </c>
      <c r="M1225">
        <v>3611146</v>
      </c>
      <c r="N1225">
        <v>4434724</v>
      </c>
      <c r="O1225">
        <v>3314964</v>
      </c>
    </row>
    <row r="1226" spans="1:16">
      <c r="A1226" t="str">
        <f t="shared" si="18"/>
        <v>SSTTSTKWH ONPK%</v>
      </c>
      <c r="B1226" t="s">
        <v>45</v>
      </c>
      <c r="C1226" t="s">
        <v>131</v>
      </c>
      <c r="D1226" s="5">
        <v>0.24238999999999999</v>
      </c>
      <c r="E1226" s="5">
        <v>0.23838000000000001</v>
      </c>
      <c r="F1226" s="5">
        <v>0.22735</v>
      </c>
      <c r="G1226" s="5">
        <v>0.27639999999999998</v>
      </c>
      <c r="H1226" s="5">
        <v>0.21085999999999999</v>
      </c>
      <c r="I1226" s="5">
        <v>0.24010999999999999</v>
      </c>
      <c r="J1226" s="5">
        <v>0.29354999999999998</v>
      </c>
      <c r="K1226" s="5">
        <v>0.18490999999999999</v>
      </c>
      <c r="L1226" s="5">
        <v>0.31802000000000002</v>
      </c>
      <c r="M1226" s="5">
        <v>0.28677999999999998</v>
      </c>
      <c r="N1226" s="5">
        <v>0.17377999999999999</v>
      </c>
      <c r="O1226" s="5">
        <v>0.15179999999999999</v>
      </c>
      <c r="P1226" s="5"/>
    </row>
    <row r="1227" spans="1:16">
      <c r="A1227" t="str">
        <f t="shared" si="18"/>
        <v>SSTTSTKWH OFFPK%</v>
      </c>
      <c r="B1227" t="s">
        <v>45</v>
      </c>
      <c r="C1227" t="s">
        <v>132</v>
      </c>
      <c r="D1227" s="5">
        <v>0.75761000000000001</v>
      </c>
      <c r="E1227" s="5">
        <v>0.76161999999999996</v>
      </c>
      <c r="F1227" s="5">
        <v>0.77264999999999995</v>
      </c>
      <c r="G1227" s="5">
        <v>0.72360000000000002</v>
      </c>
      <c r="H1227" s="5">
        <v>0.78913999999999995</v>
      </c>
      <c r="I1227" s="5">
        <v>0.75988999999999995</v>
      </c>
      <c r="J1227" s="5">
        <v>0.70645000000000002</v>
      </c>
      <c r="K1227" s="5">
        <v>0.81508999999999998</v>
      </c>
      <c r="L1227" s="5">
        <v>0.68198000000000003</v>
      </c>
      <c r="M1227" s="5">
        <v>0.71321999999999997</v>
      </c>
      <c r="N1227" s="5">
        <v>0.82621999999999995</v>
      </c>
      <c r="O1227" s="5">
        <v>0.84819999999999995</v>
      </c>
      <c r="P1227" s="5"/>
    </row>
    <row r="1228" spans="1:16">
      <c r="A1228" t="str">
        <f t="shared" si="18"/>
        <v>SSTTSTDEMAND (KW):</v>
      </c>
      <c r="B1228" t="s">
        <v>45</v>
      </c>
      <c r="C1228" t="s">
        <v>62</v>
      </c>
    </row>
    <row r="1229" spans="1:16">
      <c r="A1229" t="str">
        <f t="shared" si="18"/>
        <v>SSTTSTNCP</v>
      </c>
      <c r="B1229" t="s">
        <v>45</v>
      </c>
      <c r="C1229" t="s">
        <v>133</v>
      </c>
      <c r="D1229">
        <v>72610</v>
      </c>
      <c r="E1229">
        <v>66743</v>
      </c>
      <c r="F1229">
        <v>83941</v>
      </c>
      <c r="G1229">
        <v>66018</v>
      </c>
      <c r="H1229">
        <v>93509</v>
      </c>
      <c r="I1229">
        <v>66562</v>
      </c>
      <c r="J1229">
        <v>36647</v>
      </c>
      <c r="K1229">
        <v>53502</v>
      </c>
      <c r="L1229">
        <v>97677</v>
      </c>
      <c r="M1229">
        <v>66460</v>
      </c>
      <c r="N1229">
        <v>92768</v>
      </c>
      <c r="O1229">
        <v>64722</v>
      </c>
    </row>
    <row r="1230" spans="1:16">
      <c r="A1230" t="str">
        <f t="shared" si="18"/>
        <v>SSTTSTNCP ONPK</v>
      </c>
      <c r="B1230" t="s">
        <v>45</v>
      </c>
      <c r="C1230" t="s">
        <v>134</v>
      </c>
      <c r="D1230">
        <v>46242</v>
      </c>
      <c r="E1230">
        <v>44488</v>
      </c>
      <c r="F1230">
        <v>36581</v>
      </c>
      <c r="G1230">
        <v>42961</v>
      </c>
      <c r="H1230">
        <v>54030</v>
      </c>
      <c r="I1230">
        <v>60507</v>
      </c>
      <c r="J1230">
        <v>35979</v>
      </c>
      <c r="K1230">
        <v>29909</v>
      </c>
      <c r="L1230">
        <v>61843</v>
      </c>
      <c r="M1230">
        <v>48390</v>
      </c>
      <c r="N1230">
        <v>54139</v>
      </c>
      <c r="O1230">
        <v>32613</v>
      </c>
    </row>
    <row r="1231" spans="1:16">
      <c r="A1231" t="str">
        <f t="shared" si="18"/>
        <v>SSTTSTNCP OFFPK</v>
      </c>
      <c r="B1231" t="s">
        <v>45</v>
      </c>
      <c r="C1231" t="s">
        <v>135</v>
      </c>
      <c r="D1231">
        <v>67984</v>
      </c>
      <c r="E1231">
        <v>65372</v>
      </c>
      <c r="F1231">
        <v>83024</v>
      </c>
      <c r="G1231">
        <v>65120</v>
      </c>
      <c r="H1231">
        <v>93044</v>
      </c>
      <c r="I1231">
        <v>65312</v>
      </c>
      <c r="J1231">
        <v>27292</v>
      </c>
      <c r="K1231">
        <v>53236</v>
      </c>
      <c r="L1231">
        <v>94289</v>
      </c>
      <c r="M1231">
        <v>63091</v>
      </c>
      <c r="N1231">
        <v>84962</v>
      </c>
      <c r="O1231">
        <v>54414</v>
      </c>
    </row>
    <row r="1232" spans="1:16">
      <c r="A1232" t="str">
        <f t="shared" si="18"/>
        <v>SSTTSTGCP DATE</v>
      </c>
      <c r="B1232" t="s">
        <v>45</v>
      </c>
      <c r="C1232" t="s">
        <v>136</v>
      </c>
      <c r="D1232" t="s">
        <v>610</v>
      </c>
      <c r="E1232" t="s">
        <v>705</v>
      </c>
      <c r="F1232" t="s">
        <v>699</v>
      </c>
      <c r="G1232" t="s">
        <v>255</v>
      </c>
      <c r="H1232" t="s">
        <v>706</v>
      </c>
      <c r="I1232" t="s">
        <v>707</v>
      </c>
      <c r="J1232" t="s">
        <v>708</v>
      </c>
      <c r="K1232" t="s">
        <v>709</v>
      </c>
      <c r="L1232" t="s">
        <v>281</v>
      </c>
      <c r="M1232" t="s">
        <v>647</v>
      </c>
      <c r="N1232" t="s">
        <v>319</v>
      </c>
      <c r="O1232" t="s">
        <v>704</v>
      </c>
    </row>
    <row r="1233" spans="1:16">
      <c r="A1233" t="str">
        <f t="shared" si="18"/>
        <v>SSTTSTGCP TIME</v>
      </c>
      <c r="B1233" t="s">
        <v>45</v>
      </c>
      <c r="C1233" t="s">
        <v>142</v>
      </c>
      <c r="D1233" t="s">
        <v>144</v>
      </c>
      <c r="E1233" t="s">
        <v>196</v>
      </c>
      <c r="F1233" t="s">
        <v>199</v>
      </c>
      <c r="G1233" t="s">
        <v>203</v>
      </c>
      <c r="H1233" t="s">
        <v>201</v>
      </c>
      <c r="I1233" t="s">
        <v>237</v>
      </c>
      <c r="J1233" t="s">
        <v>143</v>
      </c>
      <c r="K1233" t="s">
        <v>299</v>
      </c>
      <c r="L1233" t="s">
        <v>144</v>
      </c>
      <c r="M1233" t="s">
        <v>299</v>
      </c>
      <c r="N1233" t="s">
        <v>12</v>
      </c>
      <c r="O1233" t="s">
        <v>299</v>
      </c>
    </row>
    <row r="1234" spans="1:16">
      <c r="A1234" t="str">
        <f t="shared" si="18"/>
        <v>SSTTSTGCP</v>
      </c>
      <c r="B1234" t="s">
        <v>45</v>
      </c>
      <c r="C1234" t="s">
        <v>147</v>
      </c>
      <c r="D1234">
        <v>23786</v>
      </c>
      <c r="E1234">
        <v>28525</v>
      </c>
      <c r="F1234">
        <v>26449</v>
      </c>
      <c r="G1234">
        <v>21693</v>
      </c>
      <c r="H1234">
        <v>33037</v>
      </c>
      <c r="I1234">
        <v>34118</v>
      </c>
      <c r="J1234">
        <v>15725</v>
      </c>
      <c r="K1234">
        <v>20400</v>
      </c>
      <c r="L1234">
        <v>39259</v>
      </c>
      <c r="M1234">
        <v>24496</v>
      </c>
      <c r="N1234">
        <v>36623</v>
      </c>
      <c r="O1234">
        <v>29585</v>
      </c>
    </row>
    <row r="1235" spans="1:16">
      <c r="A1235" t="str">
        <f t="shared" si="18"/>
        <v>SSTTSTGCP ONPK</v>
      </c>
      <c r="B1235" t="s">
        <v>45</v>
      </c>
      <c r="C1235" t="s">
        <v>63</v>
      </c>
      <c r="D1235">
        <v>22606</v>
      </c>
      <c r="E1235">
        <v>21825</v>
      </c>
      <c r="F1235">
        <v>25424</v>
      </c>
      <c r="G1235">
        <v>20202</v>
      </c>
      <c r="H1235">
        <v>18803</v>
      </c>
      <c r="I1235">
        <v>34118</v>
      </c>
      <c r="J1235">
        <v>15725</v>
      </c>
      <c r="K1235">
        <v>14881</v>
      </c>
      <c r="L1235">
        <v>39259</v>
      </c>
      <c r="M1235">
        <v>22088</v>
      </c>
      <c r="N1235">
        <v>24892</v>
      </c>
      <c r="O1235">
        <v>10900</v>
      </c>
    </row>
    <row r="1236" spans="1:16">
      <c r="A1236" t="str">
        <f t="shared" si="18"/>
        <v>SSTTSTGCP OFFPK</v>
      </c>
      <c r="B1236" t="s">
        <v>45</v>
      </c>
      <c r="C1236" t="s">
        <v>64</v>
      </c>
      <c r="D1236">
        <v>23786</v>
      </c>
      <c r="E1236">
        <v>28525</v>
      </c>
      <c r="F1236">
        <v>26449</v>
      </c>
      <c r="G1236">
        <v>21693</v>
      </c>
      <c r="H1236">
        <v>33037</v>
      </c>
      <c r="I1236">
        <v>25699</v>
      </c>
      <c r="J1236">
        <v>11527</v>
      </c>
      <c r="K1236">
        <v>20400</v>
      </c>
      <c r="L1236">
        <v>33358</v>
      </c>
      <c r="M1236">
        <v>24496</v>
      </c>
      <c r="N1236">
        <v>36623</v>
      </c>
      <c r="O1236">
        <v>29585</v>
      </c>
    </row>
    <row r="1237" spans="1:16">
      <c r="A1237" t="str">
        <f t="shared" si="18"/>
        <v>SSTTSTCP</v>
      </c>
      <c r="B1237" t="s">
        <v>45</v>
      </c>
      <c r="C1237" t="s">
        <v>148</v>
      </c>
      <c r="D1237">
        <v>4428</v>
      </c>
      <c r="E1237">
        <v>4455</v>
      </c>
      <c r="F1237">
        <v>5431</v>
      </c>
      <c r="G1237">
        <v>13901</v>
      </c>
      <c r="H1237">
        <v>3369</v>
      </c>
      <c r="I1237">
        <v>1884</v>
      </c>
      <c r="J1237">
        <v>1350</v>
      </c>
      <c r="K1237">
        <v>8026</v>
      </c>
      <c r="L1237">
        <v>31709</v>
      </c>
      <c r="M1237">
        <v>5136</v>
      </c>
      <c r="N1237">
        <v>12666</v>
      </c>
      <c r="O1237">
        <v>5108</v>
      </c>
    </row>
    <row r="1238" spans="1:16">
      <c r="A1238" t="str">
        <f t="shared" si="18"/>
        <v>SSTTSTPERIOD START</v>
      </c>
      <c r="B1238" t="s">
        <v>45</v>
      </c>
      <c r="C1238" t="s">
        <v>149</v>
      </c>
      <c r="D1238" s="1">
        <v>41640</v>
      </c>
      <c r="E1238" s="1">
        <v>41671</v>
      </c>
      <c r="F1238" s="1">
        <v>41699</v>
      </c>
      <c r="G1238" s="1">
        <v>41730</v>
      </c>
      <c r="H1238" s="1">
        <v>41760</v>
      </c>
      <c r="I1238" s="1">
        <v>41791</v>
      </c>
      <c r="J1238" s="1">
        <v>41821</v>
      </c>
      <c r="K1238" s="1">
        <v>41852</v>
      </c>
      <c r="L1238" s="1">
        <v>41883</v>
      </c>
      <c r="M1238" s="1">
        <v>41913</v>
      </c>
      <c r="N1238" s="1">
        <v>41944</v>
      </c>
      <c r="O1238" s="1">
        <v>41974</v>
      </c>
      <c r="P1238" s="1"/>
    </row>
    <row r="1239" spans="1:16">
      <c r="A1239" t="str">
        <f t="shared" si="18"/>
        <v>SSTTSTNCP LF</v>
      </c>
      <c r="B1239" t="s">
        <v>45</v>
      </c>
      <c r="C1239" t="s">
        <v>150</v>
      </c>
      <c r="D1239" s="5">
        <v>9.1700000000000004E-2</v>
      </c>
      <c r="E1239" s="5">
        <v>0.1162</v>
      </c>
      <c r="F1239" s="5">
        <v>7.9200000000000007E-2</v>
      </c>
      <c r="G1239" s="5">
        <v>8.4599999999999995E-2</v>
      </c>
      <c r="H1239" s="5">
        <v>9.5000000000000001E-2</v>
      </c>
      <c r="I1239" s="5">
        <v>6.4000000000000001E-2</v>
      </c>
      <c r="J1239" s="5">
        <v>8.5400000000000004E-2</v>
      </c>
      <c r="K1239" s="5">
        <v>0.10059999999999999</v>
      </c>
      <c r="L1239" s="5">
        <v>8.2900000000000001E-2</v>
      </c>
      <c r="M1239" s="5">
        <v>0.1024</v>
      </c>
      <c r="N1239" s="5">
        <v>8.0399999999999999E-2</v>
      </c>
      <c r="O1239" s="5">
        <v>8.1199999999999994E-2</v>
      </c>
      <c r="P1239" s="5"/>
    </row>
    <row r="1240" spans="1:16">
      <c r="A1240" t="str">
        <f t="shared" si="18"/>
        <v>SSTTSTNCP LF ONPK</v>
      </c>
      <c r="B1240" t="s">
        <v>45</v>
      </c>
      <c r="C1240" t="s">
        <v>151</v>
      </c>
      <c r="D1240" s="5">
        <v>0.14749999999999999</v>
      </c>
      <c r="E1240" s="5">
        <v>0.17449999999999999</v>
      </c>
      <c r="F1240" s="5">
        <v>0.18279999999999999</v>
      </c>
      <c r="G1240" s="5">
        <v>0.13070000000000001</v>
      </c>
      <c r="H1240" s="5">
        <v>0.13650000000000001</v>
      </c>
      <c r="I1240" s="5">
        <v>6.4399999999999999E-2</v>
      </c>
      <c r="J1240" s="5">
        <v>9.6000000000000002E-2</v>
      </c>
      <c r="K1240" s="5">
        <v>0.13100000000000001</v>
      </c>
      <c r="L1240" s="5">
        <v>0.15859999999999999</v>
      </c>
      <c r="M1240" s="5">
        <v>0.14499999999999999</v>
      </c>
      <c r="N1240" s="5">
        <v>0.1134</v>
      </c>
      <c r="O1240" s="5">
        <v>0.10340000000000001</v>
      </c>
      <c r="P1240" s="5"/>
    </row>
    <row r="1241" spans="1:16">
      <c r="A1241" t="str">
        <f t="shared" si="18"/>
        <v>SSTTSTNCP LF OFFPK</v>
      </c>
      <c r="B1241" t="s">
        <v>45</v>
      </c>
      <c r="C1241" t="s">
        <v>152</v>
      </c>
      <c r="D1241" s="5">
        <v>9.7100000000000006E-2</v>
      </c>
      <c r="E1241" s="5">
        <v>0.1186</v>
      </c>
      <c r="F1241" s="5">
        <v>0.08</v>
      </c>
      <c r="G1241" s="5">
        <v>8.5599999999999996E-2</v>
      </c>
      <c r="H1241" s="5">
        <v>0.1011</v>
      </c>
      <c r="I1241" s="5">
        <v>6.7199999999999996E-2</v>
      </c>
      <c r="J1241" s="5">
        <v>0.1104</v>
      </c>
      <c r="K1241" s="5">
        <v>0.1105</v>
      </c>
      <c r="L1241" s="5">
        <v>7.9399999999999998E-2</v>
      </c>
      <c r="M1241" s="5">
        <v>0.1066</v>
      </c>
      <c r="N1241" s="5">
        <v>9.1899999999999996E-2</v>
      </c>
      <c r="O1241" s="5">
        <v>0.10730000000000001</v>
      </c>
      <c r="P1241" s="5"/>
    </row>
    <row r="1242" spans="1:16">
      <c r="A1242" t="str">
        <f t="shared" si="18"/>
        <v>SSTTSTGCP CF</v>
      </c>
      <c r="B1242" t="s">
        <v>45</v>
      </c>
      <c r="C1242" t="s">
        <v>153</v>
      </c>
      <c r="D1242" s="5">
        <v>0.3276</v>
      </c>
      <c r="E1242" s="5">
        <v>0.4274</v>
      </c>
      <c r="F1242" s="5">
        <v>0.31509999999999999</v>
      </c>
      <c r="G1242" s="5">
        <v>0.3286</v>
      </c>
      <c r="H1242" s="5">
        <v>0.3533</v>
      </c>
      <c r="I1242" s="5">
        <v>0.51259999999999994</v>
      </c>
      <c r="J1242" s="5">
        <v>0.42909999999999998</v>
      </c>
      <c r="K1242" s="5">
        <v>0.38129999999999997</v>
      </c>
      <c r="L1242" s="5">
        <v>0.40189999999999998</v>
      </c>
      <c r="M1242" s="5">
        <v>0.36859999999999998</v>
      </c>
      <c r="N1242" s="5">
        <v>0.39479999999999998</v>
      </c>
      <c r="O1242" s="5">
        <v>0.45710000000000001</v>
      </c>
      <c r="P1242" s="5"/>
    </row>
    <row r="1243" spans="1:16">
      <c r="A1243" t="str">
        <f t="shared" si="18"/>
        <v>SSTTSTCP CF</v>
      </c>
      <c r="B1243" t="s">
        <v>45</v>
      </c>
      <c r="C1243" t="s">
        <v>154</v>
      </c>
      <c r="D1243" s="5">
        <v>6.0999999999999999E-2</v>
      </c>
      <c r="E1243" s="5">
        <v>6.6699999999999995E-2</v>
      </c>
      <c r="F1243" s="5">
        <v>6.4699999999999994E-2</v>
      </c>
      <c r="G1243" s="5">
        <v>0.21060000000000001</v>
      </c>
      <c r="H1243" s="5">
        <v>3.5999999999999997E-2</v>
      </c>
      <c r="I1243" s="5">
        <v>2.8299999999999999E-2</v>
      </c>
      <c r="J1243" s="5">
        <v>3.6799999999999999E-2</v>
      </c>
      <c r="K1243" s="5">
        <v>0.15</v>
      </c>
      <c r="L1243" s="5">
        <v>0.3246</v>
      </c>
      <c r="M1243" s="5">
        <v>7.7299999999999994E-2</v>
      </c>
      <c r="N1243" s="5">
        <v>0.13650000000000001</v>
      </c>
      <c r="O1243" s="5">
        <v>7.8899999999999998E-2</v>
      </c>
      <c r="P1243" s="5"/>
    </row>
    <row r="1244" spans="1:16">
      <c r="A1244" t="str">
        <f t="shared" si="18"/>
        <v>SSTTSTGCP LF</v>
      </c>
      <c r="B1244" t="s">
        <v>45</v>
      </c>
      <c r="C1244" t="s">
        <v>155</v>
      </c>
      <c r="D1244" s="5">
        <v>0.27979999999999999</v>
      </c>
      <c r="E1244" s="5">
        <v>0.27189999999999998</v>
      </c>
      <c r="F1244" s="5">
        <v>0.2515</v>
      </c>
      <c r="G1244" s="5">
        <v>0.25740000000000002</v>
      </c>
      <c r="H1244" s="5">
        <v>0.26900000000000002</v>
      </c>
      <c r="I1244" s="5">
        <v>0.1249</v>
      </c>
      <c r="J1244" s="5">
        <v>0.1991</v>
      </c>
      <c r="K1244" s="5">
        <v>0.26390000000000002</v>
      </c>
      <c r="L1244" s="5">
        <v>0.20619999999999999</v>
      </c>
      <c r="M1244" s="5">
        <v>0.27779999999999999</v>
      </c>
      <c r="N1244" s="5">
        <v>0.2036</v>
      </c>
      <c r="O1244" s="5">
        <v>0.17760000000000001</v>
      </c>
      <c r="P1244" s="5"/>
    </row>
    <row r="1245" spans="1:16">
      <c r="A1245" t="str">
        <f t="shared" si="18"/>
        <v>SSTTSTGCP LF ONPK</v>
      </c>
      <c r="B1245" t="s">
        <v>45</v>
      </c>
      <c r="C1245" t="s">
        <v>156</v>
      </c>
      <c r="D1245" s="5">
        <v>0.30170000000000002</v>
      </c>
      <c r="E1245" s="5">
        <v>0.35580000000000001</v>
      </c>
      <c r="F1245" s="5">
        <v>0.2631</v>
      </c>
      <c r="G1245" s="5">
        <v>0.27789999999999998</v>
      </c>
      <c r="H1245" s="5">
        <v>0.39240000000000003</v>
      </c>
      <c r="I1245" s="5">
        <v>0.1143</v>
      </c>
      <c r="J1245" s="5">
        <v>0.21959999999999999</v>
      </c>
      <c r="K1245" s="5">
        <v>0.26329999999999998</v>
      </c>
      <c r="L1245" s="5">
        <v>0.24979999999999999</v>
      </c>
      <c r="M1245" s="5">
        <v>0.31759999999999999</v>
      </c>
      <c r="N1245" s="5">
        <v>0.2465</v>
      </c>
      <c r="O1245" s="5">
        <v>0.30919999999999997</v>
      </c>
      <c r="P1245" s="5"/>
    </row>
    <row r="1246" spans="1:16">
      <c r="A1246" t="str">
        <f t="shared" si="18"/>
        <v>SSTTSTGCP LF OFFPK</v>
      </c>
      <c r="B1246" t="s">
        <v>45</v>
      </c>
      <c r="C1246" t="s">
        <v>157</v>
      </c>
      <c r="D1246" s="5">
        <v>0.2777</v>
      </c>
      <c r="E1246" s="5">
        <v>0.27179999999999999</v>
      </c>
      <c r="F1246" s="5">
        <v>0.25109999999999999</v>
      </c>
      <c r="G1246" s="5">
        <v>0.25700000000000001</v>
      </c>
      <c r="H1246" s="5">
        <v>0.28460000000000002</v>
      </c>
      <c r="I1246" s="5">
        <v>0.1709</v>
      </c>
      <c r="J1246" s="5">
        <v>0.26140000000000002</v>
      </c>
      <c r="K1246" s="5">
        <v>0.2883</v>
      </c>
      <c r="L1246" s="5">
        <v>0.22439999999999999</v>
      </c>
      <c r="M1246" s="5">
        <v>0.27450000000000002</v>
      </c>
      <c r="N1246" s="5">
        <v>0.2132</v>
      </c>
      <c r="O1246" s="5">
        <v>0.1973</v>
      </c>
      <c r="P1246" s="5"/>
    </row>
    <row r="1247" spans="1:16">
      <c r="A1247" t="str">
        <f t="shared" si="18"/>
        <v>SSTTSTCP LF</v>
      </c>
      <c r="B1247" t="s">
        <v>45</v>
      </c>
      <c r="C1247" t="s">
        <v>158</v>
      </c>
      <c r="D1247" s="5">
        <v>1.5029999999999999</v>
      </c>
      <c r="E1247" s="5">
        <v>1.7411000000000001</v>
      </c>
      <c r="F1247" s="5">
        <v>1.2249000000000001</v>
      </c>
      <c r="G1247" s="5">
        <v>0.40179999999999999</v>
      </c>
      <c r="H1247" s="5">
        <v>2.6381000000000001</v>
      </c>
      <c r="I1247" s="5">
        <v>2.2629000000000001</v>
      </c>
      <c r="J1247" s="5">
        <v>2.3186</v>
      </c>
      <c r="K1247" s="5">
        <v>0.67069999999999996</v>
      </c>
      <c r="L1247" s="5">
        <v>0.25530000000000003</v>
      </c>
      <c r="M1247" s="5">
        <v>1.325</v>
      </c>
      <c r="N1247" s="5">
        <v>0.58860000000000001</v>
      </c>
      <c r="O1247" s="5">
        <v>1.0284</v>
      </c>
      <c r="P1247" s="5"/>
    </row>
    <row r="1248" spans="1:16">
      <c r="A1248" t="str">
        <f t="shared" si="18"/>
        <v>SSTTSTREL PREC:</v>
      </c>
      <c r="B1248" t="s">
        <v>45</v>
      </c>
      <c r="C1248" t="s">
        <v>65</v>
      </c>
    </row>
    <row r="1249" spans="1:16">
      <c r="A1249" t="str">
        <f t="shared" si="18"/>
        <v>SSTTSTNCP RP</v>
      </c>
      <c r="B1249" t="s">
        <v>45</v>
      </c>
      <c r="C1249" t="s">
        <v>159</v>
      </c>
      <c r="D1249" s="5">
        <v>0</v>
      </c>
      <c r="E1249" s="5">
        <v>0</v>
      </c>
      <c r="F1249" s="5">
        <v>0</v>
      </c>
      <c r="G1249" s="5">
        <v>0</v>
      </c>
      <c r="H1249" s="5">
        <v>0</v>
      </c>
      <c r="I1249" s="5">
        <v>0</v>
      </c>
      <c r="J1249" s="5">
        <v>0</v>
      </c>
      <c r="K1249" s="5">
        <v>0</v>
      </c>
      <c r="L1249" s="5">
        <v>0</v>
      </c>
      <c r="M1249" s="5">
        <v>0</v>
      </c>
      <c r="N1249" s="5">
        <v>0</v>
      </c>
      <c r="O1249" s="5">
        <v>0</v>
      </c>
      <c r="P1249" s="5"/>
    </row>
    <row r="1250" spans="1:16">
      <c r="A1250" t="str">
        <f t="shared" si="18"/>
        <v>SSTTSTNCP RP ONPK</v>
      </c>
      <c r="B1250" t="s">
        <v>45</v>
      </c>
      <c r="C1250" t="s">
        <v>160</v>
      </c>
      <c r="D1250" s="5">
        <v>0</v>
      </c>
      <c r="E1250" s="5">
        <v>0</v>
      </c>
      <c r="F1250" s="5">
        <v>0</v>
      </c>
      <c r="G1250" s="5">
        <v>0</v>
      </c>
      <c r="H1250" s="5">
        <v>0</v>
      </c>
      <c r="I1250" s="5">
        <v>0</v>
      </c>
      <c r="J1250" s="5">
        <v>0</v>
      </c>
      <c r="K1250" s="5">
        <v>0</v>
      </c>
      <c r="L1250" s="5">
        <v>0</v>
      </c>
      <c r="M1250" s="5">
        <v>0</v>
      </c>
      <c r="N1250" s="5">
        <v>0</v>
      </c>
      <c r="O1250" s="5">
        <v>0</v>
      </c>
      <c r="P1250" s="5"/>
    </row>
    <row r="1251" spans="1:16">
      <c r="A1251" t="str">
        <f t="shared" si="18"/>
        <v>SSTTSTNCP RP OFFPK</v>
      </c>
      <c r="B1251" t="s">
        <v>45</v>
      </c>
      <c r="C1251" t="s">
        <v>161</v>
      </c>
      <c r="D1251" s="5">
        <v>0</v>
      </c>
      <c r="E1251" s="5">
        <v>0</v>
      </c>
      <c r="F1251" s="5">
        <v>0</v>
      </c>
      <c r="G1251" s="5">
        <v>0</v>
      </c>
      <c r="H1251" s="5">
        <v>0</v>
      </c>
      <c r="I1251" s="5">
        <v>0</v>
      </c>
      <c r="J1251" s="5">
        <v>0</v>
      </c>
      <c r="K1251" s="5">
        <v>0</v>
      </c>
      <c r="L1251" s="5">
        <v>0</v>
      </c>
      <c r="M1251" s="5">
        <v>0</v>
      </c>
      <c r="N1251" s="5">
        <v>0</v>
      </c>
      <c r="O1251" s="5">
        <v>0</v>
      </c>
      <c r="P1251" s="5"/>
    </row>
    <row r="1252" spans="1:16">
      <c r="A1252" t="str">
        <f t="shared" si="18"/>
        <v>SSTTSTGCP RP</v>
      </c>
      <c r="B1252" t="s">
        <v>45</v>
      </c>
      <c r="C1252" t="s">
        <v>162</v>
      </c>
      <c r="D1252" s="5">
        <v>0</v>
      </c>
      <c r="E1252" s="5">
        <v>0</v>
      </c>
      <c r="F1252" s="5">
        <v>0</v>
      </c>
      <c r="G1252" s="5">
        <v>0</v>
      </c>
      <c r="H1252" s="5">
        <v>0</v>
      </c>
      <c r="I1252" s="5">
        <v>0</v>
      </c>
      <c r="J1252" s="5">
        <v>0</v>
      </c>
      <c r="K1252" s="5">
        <v>0</v>
      </c>
      <c r="L1252" s="5">
        <v>0</v>
      </c>
      <c r="M1252" s="5">
        <v>0</v>
      </c>
      <c r="N1252" s="5">
        <v>0</v>
      </c>
      <c r="O1252" s="5">
        <v>0</v>
      </c>
      <c r="P1252" s="5"/>
    </row>
    <row r="1253" spans="1:16">
      <c r="A1253" t="str">
        <f t="shared" si="18"/>
        <v>SSTTSTGCP RP ONPK</v>
      </c>
      <c r="B1253" t="s">
        <v>45</v>
      </c>
      <c r="C1253" t="s">
        <v>163</v>
      </c>
      <c r="D1253" s="5">
        <v>0</v>
      </c>
      <c r="E1253" s="5">
        <v>0</v>
      </c>
      <c r="F1253" s="5">
        <v>0</v>
      </c>
      <c r="G1253" s="5">
        <v>0</v>
      </c>
      <c r="H1253" s="5">
        <v>0</v>
      </c>
      <c r="I1253" s="5">
        <v>0</v>
      </c>
      <c r="J1253" s="5">
        <v>0</v>
      </c>
      <c r="K1253" s="5">
        <v>0</v>
      </c>
      <c r="L1253" s="5">
        <v>0</v>
      </c>
      <c r="M1253" s="5">
        <v>0</v>
      </c>
      <c r="N1253" s="5">
        <v>0</v>
      </c>
      <c r="O1253" s="5">
        <v>0</v>
      </c>
      <c r="P1253" s="5"/>
    </row>
    <row r="1254" spans="1:16">
      <c r="A1254" t="str">
        <f t="shared" si="18"/>
        <v>SSTTSTGCP RP OFFPK</v>
      </c>
      <c r="B1254" t="s">
        <v>45</v>
      </c>
      <c r="C1254" t="s">
        <v>164</v>
      </c>
      <c r="D1254" s="5">
        <v>0</v>
      </c>
      <c r="E1254" s="5">
        <v>0</v>
      </c>
      <c r="F1254" s="5">
        <v>0</v>
      </c>
      <c r="G1254" s="5">
        <v>0</v>
      </c>
      <c r="H1254" s="5">
        <v>0</v>
      </c>
      <c r="I1254" s="5">
        <v>0</v>
      </c>
      <c r="J1254" s="5">
        <v>0</v>
      </c>
      <c r="K1254" s="5">
        <v>0</v>
      </c>
      <c r="L1254" s="5">
        <v>0</v>
      </c>
      <c r="M1254" s="5">
        <v>0</v>
      </c>
      <c r="N1254" s="5">
        <v>0</v>
      </c>
      <c r="O1254" s="5">
        <v>0</v>
      </c>
      <c r="P1254" s="5"/>
    </row>
    <row r="1255" spans="1:16">
      <c r="A1255" t="str">
        <f t="shared" si="18"/>
        <v>SSTTSTCP RP</v>
      </c>
      <c r="B1255" t="s">
        <v>45</v>
      </c>
      <c r="C1255" t="s">
        <v>165</v>
      </c>
      <c r="D1255" s="5">
        <v>0</v>
      </c>
      <c r="E1255" s="5">
        <v>0</v>
      </c>
      <c r="F1255" s="5">
        <v>0</v>
      </c>
      <c r="G1255" s="5">
        <v>0</v>
      </c>
      <c r="H1255" s="5">
        <v>0</v>
      </c>
      <c r="I1255" s="5">
        <v>0</v>
      </c>
      <c r="J1255" s="5">
        <v>0</v>
      </c>
      <c r="K1255" s="5">
        <v>0</v>
      </c>
      <c r="L1255" s="5">
        <v>0</v>
      </c>
      <c r="M1255" s="5">
        <v>0</v>
      </c>
      <c r="N1255" s="5">
        <v>0</v>
      </c>
      <c r="O1255" s="5">
        <v>0</v>
      </c>
      <c r="P1255" s="5"/>
    </row>
    <row r="1256" spans="1:16">
      <c r="A1256" t="str">
        <f t="shared" si="18"/>
        <v>SSTTSTSAMPLE SIZE:</v>
      </c>
      <c r="B1256" t="s">
        <v>45</v>
      </c>
      <c r="C1256" t="s">
        <v>66</v>
      </c>
    </row>
    <row r="1257" spans="1:16">
      <c r="A1257" t="str">
        <f t="shared" si="18"/>
        <v>SSTTSTGCPSZ</v>
      </c>
      <c r="B1257" t="s">
        <v>45</v>
      </c>
      <c r="C1257" t="s">
        <v>166</v>
      </c>
      <c r="D1257">
        <v>13</v>
      </c>
      <c r="E1257">
        <v>13</v>
      </c>
      <c r="F1257">
        <v>13</v>
      </c>
      <c r="G1257">
        <v>13</v>
      </c>
      <c r="H1257">
        <v>13</v>
      </c>
      <c r="I1257">
        <v>13</v>
      </c>
      <c r="J1257">
        <v>13</v>
      </c>
      <c r="K1257">
        <v>13</v>
      </c>
      <c r="L1257">
        <v>13</v>
      </c>
      <c r="M1257">
        <v>13</v>
      </c>
      <c r="N1257">
        <v>13</v>
      </c>
      <c r="O1257">
        <v>13</v>
      </c>
    </row>
    <row r="1258" spans="1:16">
      <c r="A1258" t="str">
        <f t="shared" si="18"/>
        <v>SSTTSTGCPSZ ONPK</v>
      </c>
      <c r="B1258" t="s">
        <v>45</v>
      </c>
      <c r="C1258" t="s">
        <v>167</v>
      </c>
      <c r="D1258">
        <v>13</v>
      </c>
      <c r="E1258">
        <v>13</v>
      </c>
      <c r="F1258">
        <v>13</v>
      </c>
      <c r="G1258">
        <v>13</v>
      </c>
      <c r="H1258">
        <v>13</v>
      </c>
      <c r="I1258">
        <v>13</v>
      </c>
      <c r="J1258">
        <v>13</v>
      </c>
      <c r="K1258">
        <v>13</v>
      </c>
      <c r="L1258">
        <v>13</v>
      </c>
      <c r="M1258">
        <v>13</v>
      </c>
      <c r="N1258">
        <v>13</v>
      </c>
      <c r="O1258">
        <v>13</v>
      </c>
    </row>
    <row r="1259" spans="1:16">
      <c r="A1259" t="str">
        <f t="shared" si="18"/>
        <v>SSTTSTGCPSZ OFFPK</v>
      </c>
      <c r="B1259" t="s">
        <v>45</v>
      </c>
      <c r="C1259" t="s">
        <v>168</v>
      </c>
      <c r="D1259">
        <v>13</v>
      </c>
      <c r="E1259">
        <v>13</v>
      </c>
      <c r="F1259">
        <v>13</v>
      </c>
      <c r="G1259">
        <v>13</v>
      </c>
      <c r="H1259">
        <v>13</v>
      </c>
      <c r="I1259">
        <v>13</v>
      </c>
      <c r="J1259">
        <v>13</v>
      </c>
      <c r="K1259">
        <v>13</v>
      </c>
      <c r="L1259">
        <v>13</v>
      </c>
      <c r="M1259">
        <v>13</v>
      </c>
      <c r="N1259">
        <v>13</v>
      </c>
      <c r="O1259">
        <v>13</v>
      </c>
    </row>
    <row r="1260" spans="1:16">
      <c r="A1260" t="str">
        <f t="shared" si="18"/>
        <v>SSTTSTCPSZ</v>
      </c>
      <c r="B1260" t="s">
        <v>45</v>
      </c>
      <c r="C1260" t="s">
        <v>169</v>
      </c>
      <c r="D1260">
        <v>13</v>
      </c>
      <c r="E1260">
        <v>13</v>
      </c>
      <c r="F1260">
        <v>13</v>
      </c>
      <c r="G1260">
        <v>13</v>
      </c>
      <c r="H1260">
        <v>13</v>
      </c>
      <c r="I1260">
        <v>13</v>
      </c>
      <c r="J1260">
        <v>13</v>
      </c>
      <c r="K1260">
        <v>13</v>
      </c>
      <c r="L1260">
        <v>13</v>
      </c>
      <c r="M1260">
        <v>13</v>
      </c>
      <c r="N1260">
        <v>13</v>
      </c>
      <c r="O1260">
        <v>13</v>
      </c>
    </row>
    <row r="1261" spans="1:16">
      <c r="A1261" t="str">
        <f t="shared" si="18"/>
        <v/>
      </c>
    </row>
    <row r="1262" spans="1:16" ht="39" customHeight="1">
      <c r="A1262" t="str">
        <f t="shared" si="18"/>
        <v>Note: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v>
      </c>
      <c r="B1262" s="617" t="s">
        <v>710</v>
      </c>
      <c r="C1262" s="617"/>
      <c r="D1262" s="617"/>
      <c r="E1262" s="617"/>
      <c r="F1262" s="617"/>
      <c r="G1262" s="617"/>
      <c r="H1262" s="617"/>
      <c r="I1262" s="617"/>
      <c r="J1262" s="617"/>
      <c r="K1262" s="617"/>
      <c r="L1262" s="617"/>
      <c r="M1262" s="617"/>
      <c r="N1262" s="617"/>
      <c r="O1262" s="617"/>
      <c r="P1262" s="349"/>
    </row>
    <row r="1263" spans="1:16">
      <c r="A1263" t="str">
        <f t="shared" ref="A1263:A1326" si="19">B1263&amp;C1263</f>
        <v xml:space="preserve">TGSLD2 Total GSLD(T)-2 General Service Large Demand 2 including TOU (2000+ KW) </v>
      </c>
      <c r="B1263" t="s">
        <v>711</v>
      </c>
      <c r="C1263" t="s">
        <v>712</v>
      </c>
    </row>
    <row r="1264" spans="1:16">
      <c r="A1264" t="str">
        <f t="shared" si="19"/>
        <v xml:space="preserve">TGSLD2MONTH </v>
      </c>
      <c r="B1264" t="s">
        <v>713</v>
      </c>
      <c r="C1264" t="s">
        <v>123</v>
      </c>
      <c r="D1264" s="4">
        <v>41640</v>
      </c>
      <c r="E1264" s="4">
        <v>41671</v>
      </c>
      <c r="F1264" s="4">
        <v>41699</v>
      </c>
      <c r="G1264" s="4">
        <v>41730</v>
      </c>
      <c r="H1264" s="4">
        <v>41760</v>
      </c>
      <c r="I1264" s="4">
        <v>41791</v>
      </c>
      <c r="J1264" s="4">
        <v>41821</v>
      </c>
      <c r="K1264" s="4">
        <v>41852</v>
      </c>
      <c r="L1264" s="4">
        <v>41883</v>
      </c>
      <c r="M1264" s="4">
        <v>41913</v>
      </c>
      <c r="N1264" s="4">
        <v>41944</v>
      </c>
      <c r="O1264" s="4">
        <v>41974</v>
      </c>
      <c r="P1264" s="4"/>
    </row>
    <row r="1265" spans="1:16">
      <c r="A1265" t="str">
        <f t="shared" si="19"/>
        <v xml:space="preserve">TGSLD2CUSTOMERS </v>
      </c>
      <c r="B1265" t="s">
        <v>713</v>
      </c>
      <c r="C1265" t="s">
        <v>124</v>
      </c>
      <c r="D1265">
        <v>152</v>
      </c>
      <c r="E1265">
        <v>152</v>
      </c>
      <c r="F1265">
        <v>151</v>
      </c>
      <c r="G1265">
        <v>152</v>
      </c>
      <c r="H1265">
        <v>150</v>
      </c>
      <c r="I1265">
        <v>149</v>
      </c>
      <c r="J1265">
        <v>148</v>
      </c>
      <c r="K1265">
        <v>153</v>
      </c>
      <c r="L1265">
        <v>154</v>
      </c>
      <c r="M1265">
        <v>153</v>
      </c>
      <c r="N1265">
        <v>152</v>
      </c>
      <c r="O1265">
        <v>151</v>
      </c>
    </row>
    <row r="1266" spans="1:16">
      <c r="A1266" t="str">
        <f t="shared" si="19"/>
        <v xml:space="preserve">TGSLD2SALES </v>
      </c>
      <c r="B1266" t="s">
        <v>713</v>
      </c>
      <c r="C1266" t="s">
        <v>125</v>
      </c>
      <c r="D1266">
        <v>205443460</v>
      </c>
      <c r="E1266">
        <v>182247130</v>
      </c>
      <c r="F1266">
        <v>189438549</v>
      </c>
      <c r="G1266">
        <v>186139581</v>
      </c>
      <c r="H1266">
        <v>211863827</v>
      </c>
      <c r="I1266">
        <v>203413039</v>
      </c>
      <c r="J1266">
        <v>229060159</v>
      </c>
      <c r="K1266">
        <v>230571126</v>
      </c>
      <c r="L1266">
        <v>234383495</v>
      </c>
      <c r="M1266">
        <v>213413479</v>
      </c>
      <c r="N1266">
        <v>202107580</v>
      </c>
      <c r="O1266">
        <v>193550602</v>
      </c>
    </row>
    <row r="1267" spans="1:16">
      <c r="A1267" t="str">
        <f t="shared" si="19"/>
        <v>TGSLD2KW</v>
      </c>
      <c r="B1267" t="s">
        <v>713</v>
      </c>
      <c r="C1267" t="s">
        <v>126</v>
      </c>
    </row>
    <row r="1268" spans="1:16">
      <c r="A1268" t="str">
        <f t="shared" si="19"/>
        <v>TGSLD2N</v>
      </c>
      <c r="B1268" t="s">
        <v>713</v>
      </c>
      <c r="C1268" t="s">
        <v>127</v>
      </c>
      <c r="D1268">
        <v>152</v>
      </c>
      <c r="E1268">
        <v>152</v>
      </c>
      <c r="F1268">
        <v>151</v>
      </c>
      <c r="G1268">
        <v>151</v>
      </c>
      <c r="H1268">
        <v>150</v>
      </c>
      <c r="I1268">
        <v>149</v>
      </c>
      <c r="J1268">
        <v>148</v>
      </c>
      <c r="K1268">
        <v>153</v>
      </c>
      <c r="L1268">
        <v>154</v>
      </c>
      <c r="M1268">
        <v>153</v>
      </c>
      <c r="N1268">
        <v>151</v>
      </c>
      <c r="O1268">
        <v>150</v>
      </c>
    </row>
    <row r="1269" spans="1:16">
      <c r="A1269" t="str">
        <f t="shared" si="19"/>
        <v>TGSLD2RLR ENERGY:</v>
      </c>
      <c r="B1269" t="s">
        <v>713</v>
      </c>
      <c r="C1269" t="s">
        <v>61</v>
      </c>
    </row>
    <row r="1270" spans="1:16">
      <c r="A1270" t="str">
        <f t="shared" si="19"/>
        <v>TGSLD2KWH</v>
      </c>
      <c r="B1270" t="s">
        <v>713</v>
      </c>
      <c r="C1270" t="s">
        <v>128</v>
      </c>
      <c r="D1270">
        <v>206470677</v>
      </c>
      <c r="E1270">
        <v>185043043</v>
      </c>
      <c r="F1270">
        <v>186296772</v>
      </c>
      <c r="G1270">
        <v>190637671</v>
      </c>
      <c r="H1270">
        <v>207417870</v>
      </c>
      <c r="I1270">
        <v>215589224</v>
      </c>
      <c r="J1270">
        <v>217089754</v>
      </c>
      <c r="K1270">
        <v>230520308</v>
      </c>
      <c r="L1270">
        <v>233196952</v>
      </c>
      <c r="M1270">
        <v>214277441</v>
      </c>
      <c r="N1270">
        <v>201351398</v>
      </c>
      <c r="O1270">
        <v>193174600</v>
      </c>
    </row>
    <row r="1271" spans="1:16">
      <c r="A1271" t="str">
        <f t="shared" si="19"/>
        <v>TGSLD2KWH ONPK</v>
      </c>
      <c r="B1271" t="s">
        <v>713</v>
      </c>
      <c r="C1271" t="s">
        <v>129</v>
      </c>
      <c r="D1271">
        <v>48410197</v>
      </c>
      <c r="E1271">
        <v>43714820</v>
      </c>
      <c r="F1271">
        <v>41526267</v>
      </c>
      <c r="G1271">
        <v>54022858</v>
      </c>
      <c r="H1271">
        <v>53990619</v>
      </c>
      <c r="I1271">
        <v>57670681</v>
      </c>
      <c r="J1271">
        <v>59223155</v>
      </c>
      <c r="K1271">
        <v>59940381</v>
      </c>
      <c r="L1271">
        <v>62871048</v>
      </c>
      <c r="M1271">
        <v>61057805</v>
      </c>
      <c r="N1271">
        <v>42177283</v>
      </c>
      <c r="O1271">
        <v>45012063</v>
      </c>
    </row>
    <row r="1272" spans="1:16">
      <c r="A1272" t="str">
        <f t="shared" si="19"/>
        <v>TGSLD2KWH OFFPK</v>
      </c>
      <c r="B1272" t="s">
        <v>713</v>
      </c>
      <c r="C1272" t="s">
        <v>130</v>
      </c>
      <c r="D1272">
        <v>158060480</v>
      </c>
      <c r="E1272">
        <v>141328223</v>
      </c>
      <c r="F1272">
        <v>144770506</v>
      </c>
      <c r="G1272">
        <v>136614814</v>
      </c>
      <c r="H1272">
        <v>153427251</v>
      </c>
      <c r="I1272">
        <v>157918543</v>
      </c>
      <c r="J1272">
        <v>157866599</v>
      </c>
      <c r="K1272">
        <v>170579926</v>
      </c>
      <c r="L1272">
        <v>170325903</v>
      </c>
      <c r="M1272">
        <v>153219636</v>
      </c>
      <c r="N1272">
        <v>159174114</v>
      </c>
      <c r="O1272">
        <v>148162537</v>
      </c>
    </row>
    <row r="1273" spans="1:16">
      <c r="A1273" t="str">
        <f t="shared" si="19"/>
        <v>TGSLD2KWH ONPK%</v>
      </c>
      <c r="B1273" t="s">
        <v>713</v>
      </c>
      <c r="C1273" t="s">
        <v>131</v>
      </c>
      <c r="D1273" s="5">
        <v>0.23447000000000001</v>
      </c>
      <c r="E1273" s="5">
        <v>0.23624000000000001</v>
      </c>
      <c r="F1273" s="5">
        <v>0.22289999999999999</v>
      </c>
      <c r="G1273" s="5">
        <v>0.28338000000000002</v>
      </c>
      <c r="H1273" s="5">
        <v>0.26029999999999998</v>
      </c>
      <c r="I1273" s="5">
        <v>0.26750000000000002</v>
      </c>
      <c r="J1273" s="5">
        <v>0.27279999999999999</v>
      </c>
      <c r="K1273" s="5">
        <v>0.26001999999999997</v>
      </c>
      <c r="L1273" s="5">
        <v>0.26960000000000001</v>
      </c>
      <c r="M1273" s="5">
        <v>0.28494999999999998</v>
      </c>
      <c r="N1273" s="5">
        <v>0.20946999999999999</v>
      </c>
      <c r="O1273" s="5">
        <v>0.23300999999999999</v>
      </c>
      <c r="P1273" s="5"/>
    </row>
    <row r="1274" spans="1:16">
      <c r="A1274" t="str">
        <f t="shared" si="19"/>
        <v>TGSLD2KWH OFFPK%</v>
      </c>
      <c r="B1274" t="s">
        <v>713</v>
      </c>
      <c r="C1274" t="s">
        <v>132</v>
      </c>
      <c r="D1274" s="5">
        <v>0.76553000000000004</v>
      </c>
      <c r="E1274" s="5">
        <v>0.76375999999999999</v>
      </c>
      <c r="F1274" s="5">
        <v>0.77710000000000001</v>
      </c>
      <c r="G1274" s="5">
        <v>0.71662000000000003</v>
      </c>
      <c r="H1274" s="5">
        <v>0.73970000000000002</v>
      </c>
      <c r="I1274" s="5">
        <v>0.73250000000000004</v>
      </c>
      <c r="J1274" s="5">
        <v>0.72719999999999996</v>
      </c>
      <c r="K1274" s="5">
        <v>0.73997999999999997</v>
      </c>
      <c r="L1274" s="5">
        <v>0.73040000000000005</v>
      </c>
      <c r="M1274" s="5">
        <v>0.71504999999999996</v>
      </c>
      <c r="N1274" s="5">
        <v>0.79052999999999995</v>
      </c>
      <c r="O1274" s="5">
        <v>0.76698999999999995</v>
      </c>
      <c r="P1274" s="5"/>
    </row>
    <row r="1275" spans="1:16">
      <c r="A1275" t="str">
        <f t="shared" si="19"/>
        <v>TGSLD2DEMAND (KW):</v>
      </c>
      <c r="B1275" t="s">
        <v>713</v>
      </c>
      <c r="C1275" t="s">
        <v>62</v>
      </c>
    </row>
    <row r="1276" spans="1:16">
      <c r="A1276" t="str">
        <f t="shared" si="19"/>
        <v>TGSLD2NCP</v>
      </c>
      <c r="B1276" t="s">
        <v>713</v>
      </c>
      <c r="C1276" t="s">
        <v>133</v>
      </c>
      <c r="D1276">
        <v>446941</v>
      </c>
      <c r="E1276">
        <v>426909</v>
      </c>
      <c r="F1276">
        <v>392437</v>
      </c>
      <c r="G1276">
        <v>413252</v>
      </c>
      <c r="H1276">
        <v>423632</v>
      </c>
      <c r="I1276">
        <v>452702</v>
      </c>
      <c r="J1276">
        <v>432433</v>
      </c>
      <c r="K1276">
        <v>461029</v>
      </c>
      <c r="L1276">
        <v>480660</v>
      </c>
      <c r="M1276">
        <v>436302</v>
      </c>
      <c r="N1276">
        <v>452938</v>
      </c>
      <c r="O1276">
        <v>413751</v>
      </c>
    </row>
    <row r="1277" spans="1:16">
      <c r="A1277" t="str">
        <f t="shared" si="19"/>
        <v>TGSLD2NCP ONPK</v>
      </c>
      <c r="B1277" t="s">
        <v>713</v>
      </c>
      <c r="C1277" t="s">
        <v>134</v>
      </c>
      <c r="D1277">
        <v>379439</v>
      </c>
      <c r="E1277">
        <v>358179</v>
      </c>
      <c r="F1277">
        <v>325696</v>
      </c>
      <c r="G1277">
        <v>348926</v>
      </c>
      <c r="H1277">
        <v>357202</v>
      </c>
      <c r="I1277">
        <v>386208</v>
      </c>
      <c r="J1277">
        <v>374619</v>
      </c>
      <c r="K1277">
        <v>398083</v>
      </c>
      <c r="L1277">
        <v>414868</v>
      </c>
      <c r="M1277">
        <v>366726</v>
      </c>
      <c r="N1277">
        <v>380213</v>
      </c>
      <c r="O1277">
        <v>348320</v>
      </c>
    </row>
    <row r="1278" spans="1:16">
      <c r="A1278" t="str">
        <f t="shared" si="19"/>
        <v>TGSLD2NCP OFFPK</v>
      </c>
      <c r="B1278" t="s">
        <v>713</v>
      </c>
      <c r="C1278" t="s">
        <v>135</v>
      </c>
      <c r="D1278">
        <v>441283</v>
      </c>
      <c r="E1278">
        <v>424809</v>
      </c>
      <c r="F1278">
        <v>391533</v>
      </c>
      <c r="G1278">
        <v>408103</v>
      </c>
      <c r="H1278">
        <v>418820</v>
      </c>
      <c r="I1278">
        <v>446607</v>
      </c>
      <c r="J1278">
        <v>427593</v>
      </c>
      <c r="K1278">
        <v>454973</v>
      </c>
      <c r="L1278">
        <v>476014</v>
      </c>
      <c r="M1278">
        <v>431369</v>
      </c>
      <c r="N1278">
        <v>451408</v>
      </c>
      <c r="O1278">
        <v>410783</v>
      </c>
    </row>
    <row r="1279" spans="1:16">
      <c r="A1279" t="str">
        <f t="shared" si="19"/>
        <v>TGSLD2GCP DATE</v>
      </c>
      <c r="B1279" t="s">
        <v>713</v>
      </c>
      <c r="C1279" t="s">
        <v>136</v>
      </c>
      <c r="D1279" t="s">
        <v>633</v>
      </c>
      <c r="E1279" t="s">
        <v>615</v>
      </c>
      <c r="F1279" t="s">
        <v>286</v>
      </c>
      <c r="G1279" t="s">
        <v>264</v>
      </c>
      <c r="H1279" t="s">
        <v>669</v>
      </c>
      <c r="I1279" t="s">
        <v>292</v>
      </c>
      <c r="J1279" t="s">
        <v>612</v>
      </c>
      <c r="K1279" t="s">
        <v>261</v>
      </c>
      <c r="L1279" t="s">
        <v>619</v>
      </c>
      <c r="M1279" t="s">
        <v>322</v>
      </c>
      <c r="N1279" t="s">
        <v>317</v>
      </c>
      <c r="O1279" t="s">
        <v>653</v>
      </c>
    </row>
    <row r="1280" spans="1:16">
      <c r="A1280" t="str">
        <f t="shared" si="19"/>
        <v>TGSLD2GCP TIME</v>
      </c>
      <c r="B1280" t="s">
        <v>713</v>
      </c>
      <c r="C1280" t="s">
        <v>142</v>
      </c>
      <c r="D1280" t="s">
        <v>144</v>
      </c>
      <c r="E1280" t="s">
        <v>143</v>
      </c>
      <c r="F1280" t="s">
        <v>146</v>
      </c>
      <c r="G1280" t="s">
        <v>189</v>
      </c>
      <c r="H1280" t="s">
        <v>202</v>
      </c>
      <c r="I1280" t="s">
        <v>202</v>
      </c>
      <c r="J1280" t="s">
        <v>202</v>
      </c>
      <c r="K1280" t="s">
        <v>189</v>
      </c>
      <c r="L1280" t="s">
        <v>189</v>
      </c>
      <c r="M1280" t="s">
        <v>202</v>
      </c>
      <c r="N1280" t="s">
        <v>144</v>
      </c>
      <c r="O1280" t="s">
        <v>143</v>
      </c>
    </row>
    <row r="1281" spans="1:16">
      <c r="A1281" t="str">
        <f t="shared" si="19"/>
        <v>TGSLD2GCP</v>
      </c>
      <c r="B1281" t="s">
        <v>713</v>
      </c>
      <c r="C1281" t="s">
        <v>147</v>
      </c>
      <c r="D1281">
        <v>354006</v>
      </c>
      <c r="E1281">
        <v>346208</v>
      </c>
      <c r="F1281">
        <v>316709</v>
      </c>
      <c r="G1281">
        <v>337405</v>
      </c>
      <c r="H1281">
        <v>338744</v>
      </c>
      <c r="I1281">
        <v>360551</v>
      </c>
      <c r="J1281">
        <v>343410</v>
      </c>
      <c r="K1281">
        <v>365959</v>
      </c>
      <c r="L1281">
        <v>384908</v>
      </c>
      <c r="M1281">
        <v>351669</v>
      </c>
      <c r="N1281">
        <v>373929</v>
      </c>
      <c r="O1281">
        <v>334840</v>
      </c>
    </row>
    <row r="1282" spans="1:16">
      <c r="A1282" t="str">
        <f t="shared" si="19"/>
        <v>TGSLD2GCP ONPK</v>
      </c>
      <c r="B1282" t="s">
        <v>713</v>
      </c>
      <c r="C1282" t="s">
        <v>63</v>
      </c>
      <c r="D1282">
        <v>315292</v>
      </c>
      <c r="E1282">
        <v>303690</v>
      </c>
      <c r="F1282">
        <v>274441</v>
      </c>
      <c r="G1282">
        <v>307798</v>
      </c>
      <c r="H1282">
        <v>308507</v>
      </c>
      <c r="I1282">
        <v>333923</v>
      </c>
      <c r="J1282">
        <v>324111</v>
      </c>
      <c r="K1282">
        <v>339171</v>
      </c>
      <c r="L1282">
        <v>360536</v>
      </c>
      <c r="M1282">
        <v>324705</v>
      </c>
      <c r="N1282">
        <v>326163</v>
      </c>
      <c r="O1282">
        <v>296350</v>
      </c>
    </row>
    <row r="1283" spans="1:16">
      <c r="A1283" t="str">
        <f t="shared" si="19"/>
        <v>TGSLD2GCP OFFPK</v>
      </c>
      <c r="B1283" t="s">
        <v>713</v>
      </c>
      <c r="C1283" t="s">
        <v>64</v>
      </c>
      <c r="D1283">
        <v>354006</v>
      </c>
      <c r="E1283">
        <v>346208</v>
      </c>
      <c r="F1283">
        <v>316709</v>
      </c>
      <c r="G1283">
        <v>337405</v>
      </c>
      <c r="H1283">
        <v>338744</v>
      </c>
      <c r="I1283">
        <v>360551</v>
      </c>
      <c r="J1283">
        <v>343410</v>
      </c>
      <c r="K1283">
        <v>365959</v>
      </c>
      <c r="L1283">
        <v>384908</v>
      </c>
      <c r="M1283">
        <v>351669</v>
      </c>
      <c r="N1283">
        <v>373929</v>
      </c>
      <c r="O1283">
        <v>334840</v>
      </c>
    </row>
    <row r="1284" spans="1:16">
      <c r="A1284" t="str">
        <f t="shared" si="19"/>
        <v>TGSLD2CP</v>
      </c>
      <c r="B1284" t="s">
        <v>713</v>
      </c>
      <c r="C1284" t="s">
        <v>148</v>
      </c>
      <c r="D1284">
        <v>247004</v>
      </c>
      <c r="E1284">
        <v>326775</v>
      </c>
      <c r="F1284">
        <v>265142</v>
      </c>
      <c r="G1284">
        <v>291917</v>
      </c>
      <c r="H1284">
        <v>293308</v>
      </c>
      <c r="I1284">
        <v>325246</v>
      </c>
      <c r="J1284">
        <v>307838</v>
      </c>
      <c r="K1284">
        <v>325433</v>
      </c>
      <c r="L1284">
        <v>341951</v>
      </c>
      <c r="M1284">
        <v>323384</v>
      </c>
      <c r="N1284">
        <v>365158</v>
      </c>
      <c r="O1284">
        <v>289470</v>
      </c>
    </row>
    <row r="1285" spans="1:16">
      <c r="A1285" t="str">
        <f t="shared" si="19"/>
        <v>TGSLD2PERIOD START</v>
      </c>
      <c r="B1285" t="s">
        <v>713</v>
      </c>
      <c r="C1285" t="s">
        <v>149</v>
      </c>
      <c r="D1285" s="1">
        <v>41640</v>
      </c>
      <c r="E1285" s="1">
        <v>41671</v>
      </c>
      <c r="F1285" s="1">
        <v>41699</v>
      </c>
      <c r="G1285" s="1">
        <v>41730</v>
      </c>
      <c r="H1285" s="1">
        <v>41760</v>
      </c>
      <c r="I1285" s="1">
        <v>41791</v>
      </c>
      <c r="J1285" s="1">
        <v>41821</v>
      </c>
      <c r="K1285" s="1">
        <v>41852</v>
      </c>
      <c r="L1285" s="1">
        <v>41883</v>
      </c>
      <c r="M1285" s="1">
        <v>41913</v>
      </c>
      <c r="N1285" s="1">
        <v>41944</v>
      </c>
      <c r="O1285" s="1">
        <v>41974</v>
      </c>
      <c r="P1285" s="1"/>
    </row>
    <row r="1286" spans="1:16">
      <c r="A1286" t="str">
        <f t="shared" si="19"/>
        <v>TGSLD2NCP LF</v>
      </c>
      <c r="B1286" t="s">
        <v>713</v>
      </c>
      <c r="C1286" t="s">
        <v>150</v>
      </c>
      <c r="D1286" s="5">
        <v>0.62090000000000001</v>
      </c>
      <c r="E1286" s="5">
        <v>0.64500000000000002</v>
      </c>
      <c r="F1286" s="5">
        <v>0.6381</v>
      </c>
      <c r="G1286" s="5">
        <v>0.64070000000000005</v>
      </c>
      <c r="H1286" s="5">
        <v>0.65810000000000002</v>
      </c>
      <c r="I1286" s="5">
        <v>0.66139999999999999</v>
      </c>
      <c r="J1286" s="5">
        <v>0.67479999999999996</v>
      </c>
      <c r="K1286" s="5">
        <v>0.67210000000000003</v>
      </c>
      <c r="L1286" s="5">
        <v>0.67379999999999995</v>
      </c>
      <c r="M1286" s="5">
        <v>0.66010000000000002</v>
      </c>
      <c r="N1286" s="5">
        <v>0.61739999999999995</v>
      </c>
      <c r="O1286" s="5">
        <v>0.62749999999999995</v>
      </c>
      <c r="P1286" s="5"/>
    </row>
    <row r="1287" spans="1:16">
      <c r="A1287" t="str">
        <f t="shared" si="19"/>
        <v>TGSLD2NCP LF ONPK</v>
      </c>
      <c r="B1287" t="s">
        <v>713</v>
      </c>
      <c r="C1287" t="s">
        <v>151</v>
      </c>
      <c r="D1287" s="5">
        <v>0.72489999999999999</v>
      </c>
      <c r="E1287" s="5">
        <v>0.76280000000000003</v>
      </c>
      <c r="F1287" s="5">
        <v>0.75890000000000002</v>
      </c>
      <c r="G1287" s="5">
        <v>0.78200000000000003</v>
      </c>
      <c r="H1287" s="5">
        <v>0.79969999999999997</v>
      </c>
      <c r="I1287" s="5">
        <v>0.79010000000000002</v>
      </c>
      <c r="J1287" s="5">
        <v>0.7984</v>
      </c>
      <c r="K1287" s="5">
        <v>0.79669999999999996</v>
      </c>
      <c r="L1287" s="5">
        <v>0.80179999999999996</v>
      </c>
      <c r="M1287" s="5">
        <v>0.80430000000000001</v>
      </c>
      <c r="N1287" s="5">
        <v>0.7298</v>
      </c>
      <c r="O1287" s="5">
        <v>0.73419999999999996</v>
      </c>
      <c r="P1287" s="5"/>
    </row>
    <row r="1288" spans="1:16">
      <c r="A1288" t="str">
        <f t="shared" si="19"/>
        <v>TGSLD2NCP LF OFFPK</v>
      </c>
      <c r="B1288" t="s">
        <v>713</v>
      </c>
      <c r="C1288" t="s">
        <v>152</v>
      </c>
      <c r="D1288" s="5">
        <v>0.63060000000000005</v>
      </c>
      <c r="E1288" s="5">
        <v>0.64980000000000004</v>
      </c>
      <c r="F1288" s="5">
        <v>0.64190000000000003</v>
      </c>
      <c r="G1288" s="5">
        <v>0.64129999999999998</v>
      </c>
      <c r="H1288" s="5">
        <v>0.66010000000000002</v>
      </c>
      <c r="I1288" s="5">
        <v>0.66590000000000005</v>
      </c>
      <c r="J1288" s="5">
        <v>0.67620000000000002</v>
      </c>
      <c r="K1288" s="5">
        <v>0.67549999999999999</v>
      </c>
      <c r="L1288" s="5">
        <v>0.67390000000000005</v>
      </c>
      <c r="M1288" s="5">
        <v>0.66139999999999999</v>
      </c>
      <c r="N1288" s="5">
        <v>0.62080000000000002</v>
      </c>
      <c r="O1288" s="5">
        <v>0.63500000000000001</v>
      </c>
      <c r="P1288" s="5"/>
    </row>
    <row r="1289" spans="1:16">
      <c r="A1289" t="str">
        <f t="shared" si="19"/>
        <v>TGSLD2GCP CF</v>
      </c>
      <c r="B1289" t="s">
        <v>713</v>
      </c>
      <c r="C1289" t="s">
        <v>153</v>
      </c>
      <c r="D1289" s="5">
        <v>0.79210000000000003</v>
      </c>
      <c r="E1289" s="5">
        <v>0.81100000000000005</v>
      </c>
      <c r="F1289" s="5">
        <v>0.80700000000000005</v>
      </c>
      <c r="G1289" s="5">
        <v>0.8165</v>
      </c>
      <c r="H1289" s="5">
        <v>0.79959999999999998</v>
      </c>
      <c r="I1289" s="5">
        <v>0.7964</v>
      </c>
      <c r="J1289" s="5">
        <v>0.79410000000000003</v>
      </c>
      <c r="K1289" s="5">
        <v>0.79379999999999995</v>
      </c>
      <c r="L1289" s="5">
        <v>0.80079999999999996</v>
      </c>
      <c r="M1289" s="5">
        <v>0.80600000000000005</v>
      </c>
      <c r="N1289" s="5">
        <v>0.8256</v>
      </c>
      <c r="O1289" s="5">
        <v>0.80930000000000002</v>
      </c>
      <c r="P1289" s="5"/>
    </row>
    <row r="1290" spans="1:16">
      <c r="A1290" t="str">
        <f t="shared" si="19"/>
        <v>TGSLD2CP CF</v>
      </c>
      <c r="B1290" t="s">
        <v>713</v>
      </c>
      <c r="C1290" t="s">
        <v>154</v>
      </c>
      <c r="D1290" s="5">
        <v>0.55269999999999997</v>
      </c>
      <c r="E1290" s="5">
        <v>0.76539999999999997</v>
      </c>
      <c r="F1290" s="5">
        <v>0.67559999999999998</v>
      </c>
      <c r="G1290" s="5">
        <v>0.70640000000000003</v>
      </c>
      <c r="H1290" s="5">
        <v>0.69240000000000002</v>
      </c>
      <c r="I1290" s="5">
        <v>0.71850000000000003</v>
      </c>
      <c r="J1290" s="5">
        <v>0.71189999999999998</v>
      </c>
      <c r="K1290" s="5">
        <v>0.70589999999999997</v>
      </c>
      <c r="L1290" s="5">
        <v>0.71140000000000003</v>
      </c>
      <c r="M1290" s="5">
        <v>0.74119999999999997</v>
      </c>
      <c r="N1290" s="5">
        <v>0.80620000000000003</v>
      </c>
      <c r="O1290" s="5">
        <v>0.6996</v>
      </c>
      <c r="P1290" s="5"/>
    </row>
    <row r="1291" spans="1:16">
      <c r="A1291" t="str">
        <f t="shared" si="19"/>
        <v>TGSLD2GCP LF</v>
      </c>
      <c r="B1291" t="s">
        <v>713</v>
      </c>
      <c r="C1291" t="s">
        <v>155</v>
      </c>
      <c r="D1291" s="5">
        <v>0.78390000000000004</v>
      </c>
      <c r="E1291" s="5">
        <v>0.7954</v>
      </c>
      <c r="F1291" s="5">
        <v>0.79059999999999997</v>
      </c>
      <c r="G1291" s="5">
        <v>0.78469999999999995</v>
      </c>
      <c r="H1291" s="5">
        <v>0.82299999999999995</v>
      </c>
      <c r="I1291" s="5">
        <v>0.83050000000000002</v>
      </c>
      <c r="J1291" s="5">
        <v>0.84970000000000001</v>
      </c>
      <c r="K1291" s="5">
        <v>0.84660000000000002</v>
      </c>
      <c r="L1291" s="5">
        <v>0.84150000000000003</v>
      </c>
      <c r="M1291" s="5">
        <v>0.81899999999999995</v>
      </c>
      <c r="N1291" s="5">
        <v>0.74790000000000001</v>
      </c>
      <c r="O1291" s="5">
        <v>0.77539999999999998</v>
      </c>
      <c r="P1291" s="5"/>
    </row>
    <row r="1292" spans="1:16">
      <c r="A1292" t="str">
        <f t="shared" si="19"/>
        <v>TGSLD2GCP LF ONPK</v>
      </c>
      <c r="B1292" t="s">
        <v>713</v>
      </c>
      <c r="C1292" t="s">
        <v>156</v>
      </c>
      <c r="D1292" s="5">
        <v>0.87239999999999995</v>
      </c>
      <c r="E1292" s="5">
        <v>0.89970000000000006</v>
      </c>
      <c r="F1292" s="5">
        <v>0.90069999999999995</v>
      </c>
      <c r="G1292" s="5">
        <v>0.88639999999999997</v>
      </c>
      <c r="H1292" s="5">
        <v>0.92600000000000005</v>
      </c>
      <c r="I1292" s="5">
        <v>0.91379999999999995</v>
      </c>
      <c r="J1292" s="5">
        <v>0.92290000000000005</v>
      </c>
      <c r="K1292" s="5">
        <v>0.93510000000000004</v>
      </c>
      <c r="L1292" s="5">
        <v>0.92269999999999996</v>
      </c>
      <c r="M1292" s="5">
        <v>0.90839999999999999</v>
      </c>
      <c r="N1292" s="5">
        <v>0.85070000000000001</v>
      </c>
      <c r="O1292" s="5">
        <v>0.86299999999999999</v>
      </c>
      <c r="P1292" s="5"/>
    </row>
    <row r="1293" spans="1:16">
      <c r="A1293" t="str">
        <f t="shared" si="19"/>
        <v>TGSLD2GCP LF OFFPK</v>
      </c>
      <c r="B1293" t="s">
        <v>713</v>
      </c>
      <c r="C1293" t="s">
        <v>157</v>
      </c>
      <c r="D1293" s="5">
        <v>0.78610000000000002</v>
      </c>
      <c r="E1293" s="5">
        <v>0.79730000000000001</v>
      </c>
      <c r="F1293" s="5">
        <v>0.79359999999999997</v>
      </c>
      <c r="G1293" s="5">
        <v>0.77569999999999995</v>
      </c>
      <c r="H1293" s="5">
        <v>0.81610000000000005</v>
      </c>
      <c r="I1293" s="5">
        <v>0.82479999999999998</v>
      </c>
      <c r="J1293" s="5">
        <v>0.84189999999999998</v>
      </c>
      <c r="K1293" s="5">
        <v>0.83989999999999998</v>
      </c>
      <c r="L1293" s="5">
        <v>0.83340000000000003</v>
      </c>
      <c r="M1293" s="5">
        <v>0.81130000000000002</v>
      </c>
      <c r="N1293" s="5">
        <v>0.74939999999999996</v>
      </c>
      <c r="O1293" s="5">
        <v>0.77900000000000003</v>
      </c>
      <c r="P1293" s="5"/>
    </row>
    <row r="1294" spans="1:16">
      <c r="A1294" t="str">
        <f t="shared" si="19"/>
        <v>TGSLD2CP LF</v>
      </c>
      <c r="B1294" t="s">
        <v>713</v>
      </c>
      <c r="C1294" t="s">
        <v>158</v>
      </c>
      <c r="D1294" s="5">
        <v>1.1234999999999999</v>
      </c>
      <c r="E1294" s="5">
        <v>0.8427</v>
      </c>
      <c r="F1294" s="5">
        <v>0.94440000000000002</v>
      </c>
      <c r="G1294" s="5">
        <v>0.90700000000000003</v>
      </c>
      <c r="H1294" s="5">
        <v>0.95050000000000001</v>
      </c>
      <c r="I1294" s="5">
        <v>0.92059999999999997</v>
      </c>
      <c r="J1294" s="5">
        <v>0.94789999999999996</v>
      </c>
      <c r="K1294" s="5">
        <v>0.95209999999999995</v>
      </c>
      <c r="L1294" s="5">
        <v>0.94720000000000004</v>
      </c>
      <c r="M1294" s="5">
        <v>0.89059999999999995</v>
      </c>
      <c r="N1294" s="5">
        <v>0.76580000000000004</v>
      </c>
      <c r="O1294" s="5">
        <v>0.89700000000000002</v>
      </c>
      <c r="P1294" s="5"/>
    </row>
    <row r="1295" spans="1:16">
      <c r="A1295" t="str">
        <f t="shared" si="19"/>
        <v>TGSLD2REL PREC:</v>
      </c>
      <c r="B1295" t="s">
        <v>713</v>
      </c>
      <c r="C1295" t="s">
        <v>65</v>
      </c>
    </row>
    <row r="1296" spans="1:16">
      <c r="A1296" t="str">
        <f t="shared" si="19"/>
        <v>TGSLD2NCP RP</v>
      </c>
      <c r="B1296" t="s">
        <v>713</v>
      </c>
      <c r="C1296" t="s">
        <v>159</v>
      </c>
      <c r="D1296" s="5">
        <v>6.1999999999999998E-3</v>
      </c>
      <c r="E1296" s="5">
        <v>5.8999999999999999E-3</v>
      </c>
      <c r="F1296" s="5">
        <v>6.0000000000000001E-3</v>
      </c>
      <c r="G1296" s="5">
        <v>5.7000000000000002E-3</v>
      </c>
      <c r="H1296" s="5">
        <v>5.8999999999999999E-3</v>
      </c>
      <c r="I1296" s="5">
        <v>7.7000000000000002E-3</v>
      </c>
      <c r="J1296" s="5">
        <v>6.6E-3</v>
      </c>
      <c r="K1296" s="5">
        <v>7.7999999999999996E-3</v>
      </c>
      <c r="L1296" s="5">
        <v>6.4000000000000003E-3</v>
      </c>
      <c r="M1296" s="5">
        <v>7.4999999999999997E-3</v>
      </c>
      <c r="N1296" s="5">
        <v>0</v>
      </c>
      <c r="O1296" s="5">
        <v>0</v>
      </c>
      <c r="P1296" s="5"/>
    </row>
    <row r="1297" spans="1:16">
      <c r="A1297" t="str">
        <f t="shared" si="19"/>
        <v>TGSLD2NCP RP ONPK</v>
      </c>
      <c r="B1297" t="s">
        <v>713</v>
      </c>
      <c r="C1297" t="s">
        <v>160</v>
      </c>
      <c r="D1297" s="5">
        <v>5.3E-3</v>
      </c>
      <c r="E1297" s="5">
        <v>4.8999999999999998E-3</v>
      </c>
      <c r="F1297" s="5">
        <v>6.1999999999999998E-3</v>
      </c>
      <c r="G1297" s="5">
        <v>6.1000000000000004E-3</v>
      </c>
      <c r="H1297" s="5">
        <v>5.8999999999999999E-3</v>
      </c>
      <c r="I1297" s="5">
        <v>7.9000000000000008E-3</v>
      </c>
      <c r="J1297" s="5">
        <v>6.3E-3</v>
      </c>
      <c r="K1297" s="5">
        <v>8.5000000000000006E-3</v>
      </c>
      <c r="L1297" s="5">
        <v>6.7000000000000002E-3</v>
      </c>
      <c r="M1297" s="5">
        <v>6.3E-3</v>
      </c>
      <c r="N1297" s="5">
        <v>0</v>
      </c>
      <c r="O1297" s="5">
        <v>0</v>
      </c>
      <c r="P1297" s="5"/>
    </row>
    <row r="1298" spans="1:16">
      <c r="A1298" t="str">
        <f t="shared" si="19"/>
        <v>TGSLD2NCP RP OFFPK</v>
      </c>
      <c r="B1298" t="s">
        <v>713</v>
      </c>
      <c r="C1298" t="s">
        <v>161</v>
      </c>
      <c r="D1298" s="5">
        <v>6.1000000000000004E-3</v>
      </c>
      <c r="E1298" s="5">
        <v>5.7999999999999996E-3</v>
      </c>
      <c r="F1298" s="5">
        <v>6.0000000000000001E-3</v>
      </c>
      <c r="G1298" s="5">
        <v>5.7000000000000002E-3</v>
      </c>
      <c r="H1298" s="5">
        <v>6.1000000000000004E-3</v>
      </c>
      <c r="I1298" s="5">
        <v>7.7000000000000002E-3</v>
      </c>
      <c r="J1298" s="5">
        <v>6.6E-3</v>
      </c>
      <c r="K1298" s="5">
        <v>7.7999999999999996E-3</v>
      </c>
      <c r="L1298" s="5">
        <v>6.4000000000000003E-3</v>
      </c>
      <c r="M1298" s="5">
        <v>7.4999999999999997E-3</v>
      </c>
      <c r="N1298" s="5">
        <v>0</v>
      </c>
      <c r="O1298" s="5">
        <v>0</v>
      </c>
      <c r="P1298" s="5"/>
    </row>
    <row r="1299" spans="1:16">
      <c r="A1299" t="str">
        <f t="shared" si="19"/>
        <v>TGSLD2GCP RP</v>
      </c>
      <c r="B1299" t="s">
        <v>713</v>
      </c>
      <c r="C1299" t="s">
        <v>162</v>
      </c>
      <c r="D1299" s="5">
        <v>4.4999999999999997E-3</v>
      </c>
      <c r="E1299" s="5">
        <v>5.0000000000000001E-3</v>
      </c>
      <c r="F1299" s="5">
        <v>5.1999999999999998E-3</v>
      </c>
      <c r="G1299" s="5">
        <v>5.3E-3</v>
      </c>
      <c r="H1299" s="5">
        <v>4.7999999999999996E-3</v>
      </c>
      <c r="I1299" s="5">
        <v>5.1999999999999998E-3</v>
      </c>
      <c r="J1299" s="5">
        <v>4.7000000000000002E-3</v>
      </c>
      <c r="K1299" s="5">
        <v>5.1000000000000004E-3</v>
      </c>
      <c r="L1299" s="5">
        <v>3.7000000000000002E-3</v>
      </c>
      <c r="M1299" s="5">
        <v>5.1000000000000004E-3</v>
      </c>
      <c r="N1299" s="5">
        <v>0</v>
      </c>
      <c r="O1299" s="5">
        <v>0</v>
      </c>
      <c r="P1299" s="5"/>
    </row>
    <row r="1300" spans="1:16">
      <c r="A1300" t="str">
        <f t="shared" si="19"/>
        <v>TGSLD2GCP RP ONPK</v>
      </c>
      <c r="B1300" t="s">
        <v>713</v>
      </c>
      <c r="C1300" t="s">
        <v>163</v>
      </c>
      <c r="D1300" s="5">
        <v>4.3E-3</v>
      </c>
      <c r="E1300" s="5">
        <v>4.7000000000000002E-3</v>
      </c>
      <c r="F1300" s="5">
        <v>5.7999999999999996E-3</v>
      </c>
      <c r="G1300" s="5">
        <v>6.6E-3</v>
      </c>
      <c r="H1300" s="5">
        <v>5.8999999999999999E-3</v>
      </c>
      <c r="I1300" s="5">
        <v>6.7999999999999996E-3</v>
      </c>
      <c r="J1300" s="5">
        <v>5.4999999999999997E-3</v>
      </c>
      <c r="K1300" s="5">
        <v>7.6E-3</v>
      </c>
      <c r="L1300" s="5">
        <v>5.8999999999999999E-3</v>
      </c>
      <c r="M1300" s="5">
        <v>6.1999999999999998E-3</v>
      </c>
      <c r="N1300" s="5">
        <v>0</v>
      </c>
      <c r="O1300" s="5">
        <v>0</v>
      </c>
      <c r="P1300" s="5"/>
    </row>
    <row r="1301" spans="1:16">
      <c r="A1301" t="str">
        <f t="shared" si="19"/>
        <v>TGSLD2GCP RP OFFPK</v>
      </c>
      <c r="B1301" t="s">
        <v>713</v>
      </c>
      <c r="C1301" t="s">
        <v>164</v>
      </c>
      <c r="D1301" s="5">
        <v>4.4999999999999997E-3</v>
      </c>
      <c r="E1301" s="5">
        <v>5.0000000000000001E-3</v>
      </c>
      <c r="F1301" s="5">
        <v>5.1999999999999998E-3</v>
      </c>
      <c r="G1301" s="5">
        <v>5.3E-3</v>
      </c>
      <c r="H1301" s="5">
        <v>4.7999999999999996E-3</v>
      </c>
      <c r="I1301" s="5">
        <v>5.1999999999999998E-3</v>
      </c>
      <c r="J1301" s="5">
        <v>4.7000000000000002E-3</v>
      </c>
      <c r="K1301" s="5">
        <v>5.1000000000000004E-3</v>
      </c>
      <c r="L1301" s="5">
        <v>3.7000000000000002E-3</v>
      </c>
      <c r="M1301" s="5">
        <v>5.1000000000000004E-3</v>
      </c>
      <c r="N1301" s="5">
        <v>0</v>
      </c>
      <c r="O1301" s="5">
        <v>0</v>
      </c>
      <c r="P1301" s="5"/>
    </row>
    <row r="1302" spans="1:16">
      <c r="A1302" t="str">
        <f t="shared" si="19"/>
        <v>TGSLD2CP RP</v>
      </c>
      <c r="B1302" t="s">
        <v>713</v>
      </c>
      <c r="C1302" t="s">
        <v>165</v>
      </c>
      <c r="D1302" s="5">
        <v>7.0000000000000001E-3</v>
      </c>
      <c r="E1302" s="5">
        <v>4.4999999999999997E-3</v>
      </c>
      <c r="F1302" s="5">
        <v>4.8999999999999998E-3</v>
      </c>
      <c r="G1302" s="5">
        <v>5.7000000000000002E-3</v>
      </c>
      <c r="H1302" s="5">
        <v>5.5999999999999999E-3</v>
      </c>
      <c r="I1302" s="5">
        <v>6.8999999999999999E-3</v>
      </c>
      <c r="J1302" s="5">
        <v>8.0999999999999996E-3</v>
      </c>
      <c r="K1302" s="5">
        <v>8.8999999999999999E-3</v>
      </c>
      <c r="L1302" s="5">
        <v>6.7000000000000002E-3</v>
      </c>
      <c r="M1302" s="5">
        <v>6.1000000000000004E-3</v>
      </c>
      <c r="N1302" s="5">
        <v>0</v>
      </c>
      <c r="O1302" s="5">
        <v>0</v>
      </c>
      <c r="P1302" s="5"/>
    </row>
    <row r="1303" spans="1:16">
      <c r="A1303" t="str">
        <f t="shared" si="19"/>
        <v>TGSLD2SAMPLE SIZE:</v>
      </c>
      <c r="B1303" t="s">
        <v>713</v>
      </c>
      <c r="C1303" t="s">
        <v>66</v>
      </c>
    </row>
    <row r="1304" spans="1:16">
      <c r="A1304" t="str">
        <f t="shared" si="19"/>
        <v>TGSLD2GCPSZ</v>
      </c>
      <c r="B1304" t="s">
        <v>713</v>
      </c>
      <c r="C1304" t="s">
        <v>166</v>
      </c>
      <c r="D1304">
        <v>150</v>
      </c>
      <c r="E1304">
        <v>150</v>
      </c>
      <c r="F1304">
        <v>149</v>
      </c>
      <c r="G1304">
        <v>149</v>
      </c>
      <c r="H1304">
        <v>148</v>
      </c>
      <c r="I1304">
        <v>146</v>
      </c>
      <c r="J1304">
        <v>146</v>
      </c>
      <c r="K1304">
        <v>149</v>
      </c>
      <c r="L1304">
        <v>151</v>
      </c>
      <c r="M1304">
        <v>150</v>
      </c>
      <c r="N1304">
        <v>151</v>
      </c>
      <c r="O1304">
        <v>150</v>
      </c>
    </row>
    <row r="1305" spans="1:16">
      <c r="A1305" t="str">
        <f t="shared" si="19"/>
        <v>TGSLD2GCPSZ ONPK</v>
      </c>
      <c r="B1305" t="s">
        <v>713</v>
      </c>
      <c r="C1305" t="s">
        <v>167</v>
      </c>
      <c r="D1305">
        <v>150</v>
      </c>
      <c r="E1305">
        <v>150</v>
      </c>
      <c r="F1305">
        <v>149</v>
      </c>
      <c r="G1305">
        <v>149</v>
      </c>
      <c r="H1305">
        <v>148</v>
      </c>
      <c r="I1305">
        <v>146</v>
      </c>
      <c r="J1305">
        <v>146</v>
      </c>
      <c r="K1305">
        <v>149</v>
      </c>
      <c r="L1305">
        <v>151</v>
      </c>
      <c r="M1305">
        <v>150</v>
      </c>
      <c r="N1305">
        <v>151</v>
      </c>
      <c r="O1305">
        <v>150</v>
      </c>
    </row>
    <row r="1306" spans="1:16">
      <c r="A1306" t="str">
        <f t="shared" si="19"/>
        <v>TGSLD2GCPSZ OFFPK</v>
      </c>
      <c r="B1306" t="s">
        <v>713</v>
      </c>
      <c r="C1306" t="s">
        <v>168</v>
      </c>
      <c r="D1306">
        <v>150</v>
      </c>
      <c r="E1306">
        <v>150</v>
      </c>
      <c r="F1306">
        <v>149</v>
      </c>
      <c r="G1306">
        <v>149</v>
      </c>
      <c r="H1306">
        <v>148</v>
      </c>
      <c r="I1306">
        <v>146</v>
      </c>
      <c r="J1306">
        <v>146</v>
      </c>
      <c r="K1306">
        <v>149</v>
      </c>
      <c r="L1306">
        <v>151</v>
      </c>
      <c r="M1306">
        <v>150</v>
      </c>
      <c r="N1306">
        <v>151</v>
      </c>
      <c r="O1306">
        <v>150</v>
      </c>
    </row>
    <row r="1307" spans="1:16">
      <c r="A1307" t="str">
        <f t="shared" si="19"/>
        <v>TGSLD2CPSZ</v>
      </c>
      <c r="B1307" t="s">
        <v>713</v>
      </c>
      <c r="C1307" t="s">
        <v>169</v>
      </c>
      <c r="D1307">
        <v>150</v>
      </c>
      <c r="E1307">
        <v>150</v>
      </c>
      <c r="F1307">
        <v>149</v>
      </c>
      <c r="G1307">
        <v>149</v>
      </c>
      <c r="H1307">
        <v>148</v>
      </c>
      <c r="I1307">
        <v>146</v>
      </c>
      <c r="J1307">
        <v>146</v>
      </c>
      <c r="K1307">
        <v>149</v>
      </c>
      <c r="L1307">
        <v>151</v>
      </c>
      <c r="M1307">
        <v>150</v>
      </c>
      <c r="N1307">
        <v>151</v>
      </c>
      <c r="O1307">
        <v>150</v>
      </c>
    </row>
    <row r="1308" spans="1:16">
      <c r="A1308" t="str">
        <f t="shared" si="19"/>
        <v>TGSLD2STD DEV OF R</v>
      </c>
      <c r="B1308" t="s">
        <v>713</v>
      </c>
      <c r="C1308" t="s">
        <v>170</v>
      </c>
    </row>
    <row r="1309" spans="1:16">
      <c r="A1309" t="str">
        <f t="shared" si="19"/>
        <v>TGSLD2SDR GCP</v>
      </c>
      <c r="B1309" t="s">
        <v>713</v>
      </c>
      <c r="C1309" t="s">
        <v>171</v>
      </c>
      <c r="D1309">
        <v>681.98400000000004</v>
      </c>
      <c r="E1309">
        <v>736.85500000000002</v>
      </c>
      <c r="F1309">
        <v>699.56899999999996</v>
      </c>
      <c r="G1309">
        <v>766.19299999999998</v>
      </c>
      <c r="H1309">
        <v>695.25099999999998</v>
      </c>
      <c r="I1309">
        <v>647.99199999999996</v>
      </c>
      <c r="J1309">
        <v>686.58</v>
      </c>
      <c r="K1309">
        <v>558.11300000000006</v>
      </c>
      <c r="L1309">
        <v>496.81700000000001</v>
      </c>
      <c r="M1309">
        <v>622.86900000000003</v>
      </c>
      <c r="N1309">
        <v>855.07600000000002</v>
      </c>
      <c r="O1309">
        <v>739.20699999999999</v>
      </c>
    </row>
    <row r="1310" spans="1:16">
      <c r="A1310" t="str">
        <f t="shared" si="19"/>
        <v>TGSLD2SDR GCP ONPK</v>
      </c>
      <c r="B1310" t="s">
        <v>713</v>
      </c>
      <c r="C1310" t="s">
        <v>172</v>
      </c>
      <c r="D1310">
        <v>579.90499999999997</v>
      </c>
      <c r="E1310">
        <v>615.46</v>
      </c>
      <c r="F1310">
        <v>675.59100000000001</v>
      </c>
      <c r="G1310">
        <v>861.13</v>
      </c>
      <c r="H1310">
        <v>771.86099999999999</v>
      </c>
      <c r="I1310">
        <v>787.94299999999998</v>
      </c>
      <c r="J1310">
        <v>757.21900000000005</v>
      </c>
      <c r="K1310">
        <v>775.24</v>
      </c>
      <c r="L1310">
        <v>741.779</v>
      </c>
      <c r="M1310">
        <v>695.16600000000005</v>
      </c>
      <c r="N1310">
        <v>734.10900000000004</v>
      </c>
      <c r="O1310">
        <v>616.61400000000003</v>
      </c>
    </row>
    <row r="1311" spans="1:16">
      <c r="A1311" t="str">
        <f t="shared" si="19"/>
        <v>TGSLD2SDR GCP OFFPK</v>
      </c>
      <c r="B1311" t="s">
        <v>713</v>
      </c>
      <c r="C1311" t="s">
        <v>173</v>
      </c>
      <c r="D1311">
        <v>681.98400000000004</v>
      </c>
      <c r="E1311">
        <v>736.85500000000002</v>
      </c>
      <c r="F1311">
        <v>699.56899999999996</v>
      </c>
      <c r="G1311">
        <v>766.19299999999998</v>
      </c>
      <c r="H1311">
        <v>695.25099999999998</v>
      </c>
      <c r="I1311">
        <v>647.99199999999996</v>
      </c>
      <c r="J1311">
        <v>686.58</v>
      </c>
      <c r="K1311">
        <v>558.11300000000006</v>
      </c>
      <c r="L1311">
        <v>496.81700000000001</v>
      </c>
      <c r="M1311">
        <v>622.86900000000003</v>
      </c>
      <c r="N1311">
        <v>855.07600000000002</v>
      </c>
      <c r="O1311">
        <v>739.20699999999999</v>
      </c>
    </row>
    <row r="1312" spans="1:16">
      <c r="A1312" t="str">
        <f t="shared" si="19"/>
        <v>TGSLD2SDR CP</v>
      </c>
      <c r="B1312" t="s">
        <v>713</v>
      </c>
      <c r="C1312" t="s">
        <v>174</v>
      </c>
      <c r="D1312">
        <v>735.33900000000006</v>
      </c>
      <c r="E1312">
        <v>629.77599999999995</v>
      </c>
      <c r="F1312">
        <v>554.91700000000003</v>
      </c>
      <c r="G1312">
        <v>709.76599999999996</v>
      </c>
      <c r="H1312">
        <v>696.93399999999997</v>
      </c>
      <c r="I1312">
        <v>781.34199999999998</v>
      </c>
      <c r="J1312">
        <v>1061.768</v>
      </c>
      <c r="K1312">
        <v>868.423</v>
      </c>
      <c r="L1312">
        <v>797.06700000000001</v>
      </c>
      <c r="M1312">
        <v>682.351</v>
      </c>
      <c r="N1312">
        <v>821.048</v>
      </c>
      <c r="O1312">
        <v>694.46799999999996</v>
      </c>
    </row>
    <row r="1313" spans="1:16">
      <c r="A1313" t="str">
        <f t="shared" si="19"/>
        <v/>
      </c>
    </row>
    <row r="1314" spans="1:16">
      <c r="A1314" t="str">
        <f t="shared" si="19"/>
        <v xml:space="preserve">Note: In 2014, the TGSLD2 rate class includes the GSLD-2, GSLDT-2, CS-2, CST-2, HLFT-3, SDTR-3A and SDTR-3B rate schedules. CUSTOMERS and SALES lines reflects the total of the aggregated rate schedules. </v>
      </c>
      <c r="B1314" t="s">
        <v>714</v>
      </c>
    </row>
    <row r="1315" spans="1:16">
      <c r="A1315" t="str">
        <f t="shared" si="19"/>
        <v/>
      </c>
    </row>
    <row r="1316" spans="1:16">
      <c r="A1316" t="str">
        <f t="shared" si="19"/>
        <v xml:space="preserve">TGSLD3 Total GSLD(T)-3 General Service Large Demand 3 including TOU (2000+ KW) </v>
      </c>
      <c r="B1316" t="s">
        <v>715</v>
      </c>
      <c r="C1316" t="s">
        <v>716</v>
      </c>
    </row>
    <row r="1317" spans="1:16">
      <c r="A1317" t="str">
        <f t="shared" si="19"/>
        <v xml:space="preserve">TGSLD3MONTH </v>
      </c>
      <c r="B1317" t="s">
        <v>717</v>
      </c>
      <c r="C1317" t="s">
        <v>123</v>
      </c>
      <c r="D1317" s="4">
        <v>41640</v>
      </c>
      <c r="E1317" s="4">
        <v>41671</v>
      </c>
      <c r="F1317" s="4">
        <v>41699</v>
      </c>
      <c r="G1317" s="4">
        <v>41730</v>
      </c>
      <c r="H1317" s="4">
        <v>41760</v>
      </c>
      <c r="I1317" s="4">
        <v>41791</v>
      </c>
      <c r="J1317" s="4">
        <v>41821</v>
      </c>
      <c r="K1317" s="4">
        <v>41852</v>
      </c>
      <c r="L1317" s="4">
        <v>41883</v>
      </c>
      <c r="M1317" s="4">
        <v>41913</v>
      </c>
      <c r="N1317" s="4">
        <v>41944</v>
      </c>
      <c r="O1317" s="4">
        <v>41974</v>
      </c>
      <c r="P1317" s="4"/>
    </row>
    <row r="1318" spans="1:16">
      <c r="A1318" t="str">
        <f t="shared" si="19"/>
        <v xml:space="preserve">TGSLD3CUSTOMERS </v>
      </c>
      <c r="B1318" t="s">
        <v>717</v>
      </c>
      <c r="C1318" t="s">
        <v>124</v>
      </c>
      <c r="D1318">
        <v>7</v>
      </c>
      <c r="E1318">
        <v>7</v>
      </c>
      <c r="F1318">
        <v>7</v>
      </c>
      <c r="G1318">
        <v>7</v>
      </c>
      <c r="H1318">
        <v>7</v>
      </c>
      <c r="I1318">
        <v>7</v>
      </c>
      <c r="J1318">
        <v>7</v>
      </c>
      <c r="K1318">
        <v>7</v>
      </c>
      <c r="L1318">
        <v>7</v>
      </c>
      <c r="M1318">
        <v>7</v>
      </c>
      <c r="N1318">
        <v>7</v>
      </c>
      <c r="O1318">
        <v>7</v>
      </c>
    </row>
    <row r="1319" spans="1:16">
      <c r="A1319" t="str">
        <f t="shared" si="19"/>
        <v xml:space="preserve">TGSLD3SALES </v>
      </c>
      <c r="B1319" t="s">
        <v>717</v>
      </c>
      <c r="C1319" t="s">
        <v>125</v>
      </c>
      <c r="D1319">
        <v>13740600</v>
      </c>
      <c r="E1319">
        <v>13836683</v>
      </c>
      <c r="F1319">
        <v>12361000</v>
      </c>
      <c r="G1319">
        <v>13330800</v>
      </c>
      <c r="H1319">
        <v>15069645</v>
      </c>
      <c r="I1319">
        <v>15658698</v>
      </c>
      <c r="J1319">
        <v>12950787</v>
      </c>
      <c r="K1319">
        <v>14811200</v>
      </c>
      <c r="L1319">
        <v>12769600</v>
      </c>
      <c r="M1319">
        <v>14069200</v>
      </c>
      <c r="N1319">
        <v>11011800</v>
      </c>
      <c r="O1319">
        <v>11704400</v>
      </c>
    </row>
    <row r="1320" spans="1:16">
      <c r="A1320" t="str">
        <f t="shared" si="19"/>
        <v>TGSLD3KW</v>
      </c>
      <c r="B1320" t="s">
        <v>717</v>
      </c>
      <c r="C1320" t="s">
        <v>126</v>
      </c>
    </row>
    <row r="1321" spans="1:16">
      <c r="A1321" t="str">
        <f t="shared" si="19"/>
        <v>TGSLD3N</v>
      </c>
      <c r="B1321" t="s">
        <v>717</v>
      </c>
      <c r="C1321" t="s">
        <v>127</v>
      </c>
      <c r="D1321">
        <v>8</v>
      </c>
      <c r="E1321">
        <v>8</v>
      </c>
      <c r="F1321">
        <v>8</v>
      </c>
      <c r="G1321">
        <v>8</v>
      </c>
      <c r="H1321">
        <v>8</v>
      </c>
      <c r="I1321">
        <v>8</v>
      </c>
      <c r="J1321">
        <v>8</v>
      </c>
      <c r="K1321">
        <v>8</v>
      </c>
      <c r="L1321">
        <v>8</v>
      </c>
      <c r="M1321">
        <v>8</v>
      </c>
      <c r="N1321">
        <v>9</v>
      </c>
      <c r="O1321">
        <v>9</v>
      </c>
    </row>
    <row r="1322" spans="1:16">
      <c r="A1322" t="str">
        <f t="shared" si="19"/>
        <v>TGSLD3RLR ENERGY:</v>
      </c>
      <c r="B1322" t="s">
        <v>717</v>
      </c>
      <c r="C1322" t="s">
        <v>61</v>
      </c>
    </row>
    <row r="1323" spans="1:16">
      <c r="A1323" t="str">
        <f t="shared" si="19"/>
        <v>TGSLD3KWH</v>
      </c>
      <c r="B1323" t="s">
        <v>717</v>
      </c>
      <c r="C1323" t="s">
        <v>128</v>
      </c>
      <c r="D1323">
        <v>14051374</v>
      </c>
      <c r="E1323">
        <v>12312425</v>
      </c>
      <c r="F1323">
        <v>12910835</v>
      </c>
      <c r="G1323">
        <v>14990990</v>
      </c>
      <c r="H1323">
        <v>16392533</v>
      </c>
      <c r="I1323">
        <v>12134684</v>
      </c>
      <c r="J1323">
        <v>12852819</v>
      </c>
      <c r="K1323">
        <v>13935670</v>
      </c>
      <c r="L1323">
        <v>12577830</v>
      </c>
      <c r="M1323">
        <v>14023508</v>
      </c>
      <c r="N1323">
        <v>11709232</v>
      </c>
      <c r="O1323">
        <v>14467182</v>
      </c>
    </row>
    <row r="1324" spans="1:16">
      <c r="A1324" t="str">
        <f t="shared" si="19"/>
        <v>TGSLD3KWH ONPK</v>
      </c>
      <c r="B1324" t="s">
        <v>717</v>
      </c>
      <c r="C1324" t="s">
        <v>129</v>
      </c>
      <c r="D1324">
        <v>3242970</v>
      </c>
      <c r="E1324">
        <v>2811192</v>
      </c>
      <c r="F1324">
        <v>2886249</v>
      </c>
      <c r="G1324">
        <v>4614329</v>
      </c>
      <c r="H1324">
        <v>4700750</v>
      </c>
      <c r="I1324">
        <v>3265563</v>
      </c>
      <c r="J1324">
        <v>3674858</v>
      </c>
      <c r="K1324">
        <v>3960742</v>
      </c>
      <c r="L1324">
        <v>3456007</v>
      </c>
      <c r="M1324">
        <v>4416089</v>
      </c>
      <c r="N1324">
        <v>2462865</v>
      </c>
      <c r="O1324">
        <v>3375679</v>
      </c>
    </row>
    <row r="1325" spans="1:16">
      <c r="A1325" t="str">
        <f t="shared" si="19"/>
        <v>TGSLD3KWH OFFPK</v>
      </c>
      <c r="B1325" t="s">
        <v>717</v>
      </c>
      <c r="C1325" t="s">
        <v>130</v>
      </c>
      <c r="D1325">
        <v>10808404</v>
      </c>
      <c r="E1325">
        <v>9501232</v>
      </c>
      <c r="F1325">
        <v>10024586</v>
      </c>
      <c r="G1325">
        <v>10376661</v>
      </c>
      <c r="H1325">
        <v>11691783</v>
      </c>
      <c r="I1325">
        <v>8869121</v>
      </c>
      <c r="J1325">
        <v>9177961</v>
      </c>
      <c r="K1325">
        <v>9974928</v>
      </c>
      <c r="L1325">
        <v>9121823</v>
      </c>
      <c r="M1325">
        <v>9607419</v>
      </c>
      <c r="N1325">
        <v>9246367</v>
      </c>
      <c r="O1325">
        <v>11091503</v>
      </c>
    </row>
    <row r="1326" spans="1:16">
      <c r="A1326" t="str">
        <f t="shared" si="19"/>
        <v>TGSLD3KWH ONPK%</v>
      </c>
      <c r="B1326" t="s">
        <v>717</v>
      </c>
      <c r="C1326" t="s">
        <v>131</v>
      </c>
      <c r="D1326" s="5">
        <v>0.23079</v>
      </c>
      <c r="E1326" s="5">
        <v>0.22832</v>
      </c>
      <c r="F1326" s="5">
        <v>0.22355</v>
      </c>
      <c r="G1326" s="5">
        <v>0.30780999999999997</v>
      </c>
      <c r="H1326" s="5">
        <v>0.28676000000000001</v>
      </c>
      <c r="I1326" s="5">
        <v>0.26911000000000002</v>
      </c>
      <c r="J1326" s="5">
        <v>0.28592000000000001</v>
      </c>
      <c r="K1326" s="5">
        <v>0.28421999999999997</v>
      </c>
      <c r="L1326" s="5">
        <v>0.27477000000000001</v>
      </c>
      <c r="M1326" s="5">
        <v>0.31491000000000002</v>
      </c>
      <c r="N1326" s="5">
        <v>0.21034</v>
      </c>
      <c r="O1326" s="5">
        <v>0.23333000000000001</v>
      </c>
      <c r="P1326" s="5"/>
    </row>
    <row r="1327" spans="1:16">
      <c r="A1327" t="str">
        <f t="shared" ref="A1327:A1390" si="20">B1327&amp;C1327</f>
        <v>TGSLD3KWH OFFPK%</v>
      </c>
      <c r="B1327" t="s">
        <v>717</v>
      </c>
      <c r="C1327" t="s">
        <v>132</v>
      </c>
      <c r="D1327" s="5">
        <v>0.76920999999999995</v>
      </c>
      <c r="E1327" s="5">
        <v>0.77168000000000003</v>
      </c>
      <c r="F1327" s="5">
        <v>0.77644999999999997</v>
      </c>
      <c r="G1327" s="5">
        <v>0.69218999999999997</v>
      </c>
      <c r="H1327" s="5">
        <v>0.71323999999999999</v>
      </c>
      <c r="I1327" s="5">
        <v>0.73089000000000004</v>
      </c>
      <c r="J1327" s="5">
        <v>0.71408000000000005</v>
      </c>
      <c r="K1327" s="5">
        <v>0.71577999999999997</v>
      </c>
      <c r="L1327" s="5">
        <v>0.72523000000000004</v>
      </c>
      <c r="M1327" s="5">
        <v>0.68508999999999998</v>
      </c>
      <c r="N1327" s="5">
        <v>0.78966000000000003</v>
      </c>
      <c r="O1327" s="5">
        <v>0.76666999999999996</v>
      </c>
      <c r="P1327" s="5"/>
    </row>
    <row r="1328" spans="1:16">
      <c r="A1328" t="str">
        <f t="shared" si="20"/>
        <v>TGSLD3DEMAND (KW):</v>
      </c>
      <c r="B1328" t="s">
        <v>717</v>
      </c>
      <c r="C1328" t="s">
        <v>62</v>
      </c>
    </row>
    <row r="1329" spans="1:16">
      <c r="A1329" t="str">
        <f t="shared" si="20"/>
        <v>TGSLD3NCP</v>
      </c>
      <c r="B1329" t="s">
        <v>717</v>
      </c>
      <c r="C1329" t="s">
        <v>133</v>
      </c>
      <c r="D1329">
        <v>31597</v>
      </c>
      <c r="E1329">
        <v>32420</v>
      </c>
      <c r="F1329">
        <v>31244</v>
      </c>
      <c r="G1329">
        <v>37329</v>
      </c>
      <c r="H1329">
        <v>37663</v>
      </c>
      <c r="I1329">
        <v>29860</v>
      </c>
      <c r="J1329">
        <v>30407</v>
      </c>
      <c r="K1329">
        <v>30465</v>
      </c>
      <c r="L1329">
        <v>30515</v>
      </c>
      <c r="M1329">
        <v>29255</v>
      </c>
      <c r="N1329">
        <v>34428</v>
      </c>
      <c r="O1329">
        <v>35529</v>
      </c>
    </row>
    <row r="1330" spans="1:16">
      <c r="A1330" t="str">
        <f t="shared" si="20"/>
        <v>TGSLD3NCP ONPK</v>
      </c>
      <c r="B1330" t="s">
        <v>717</v>
      </c>
      <c r="C1330" t="s">
        <v>134</v>
      </c>
      <c r="D1330">
        <v>23754</v>
      </c>
      <c r="E1330">
        <v>23713</v>
      </c>
      <c r="F1330">
        <v>22811</v>
      </c>
      <c r="G1330">
        <v>36751</v>
      </c>
      <c r="H1330">
        <v>37272</v>
      </c>
      <c r="I1330">
        <v>22695</v>
      </c>
      <c r="J1330">
        <v>23234</v>
      </c>
      <c r="K1330">
        <v>30116</v>
      </c>
      <c r="L1330">
        <v>23246</v>
      </c>
      <c r="M1330">
        <v>28844</v>
      </c>
      <c r="N1330">
        <v>21652</v>
      </c>
      <c r="O1330">
        <v>28262</v>
      </c>
    </row>
    <row r="1331" spans="1:16">
      <c r="A1331" t="str">
        <f t="shared" si="20"/>
        <v>TGSLD3NCP OFFPK</v>
      </c>
      <c r="B1331" t="s">
        <v>717</v>
      </c>
      <c r="C1331" t="s">
        <v>135</v>
      </c>
      <c r="D1331">
        <v>31597</v>
      </c>
      <c r="E1331">
        <v>32420</v>
      </c>
      <c r="F1331">
        <v>31244</v>
      </c>
      <c r="G1331">
        <v>36249</v>
      </c>
      <c r="H1331">
        <v>36438</v>
      </c>
      <c r="I1331">
        <v>28986</v>
      </c>
      <c r="J1331">
        <v>29933</v>
      </c>
      <c r="K1331">
        <v>29656</v>
      </c>
      <c r="L1331">
        <v>30159</v>
      </c>
      <c r="M1331">
        <v>28330</v>
      </c>
      <c r="N1331">
        <v>34428</v>
      </c>
      <c r="O1331">
        <v>35323</v>
      </c>
    </row>
    <row r="1332" spans="1:16">
      <c r="A1332" t="str">
        <f t="shared" si="20"/>
        <v>TGSLD3GCP DATE</v>
      </c>
      <c r="B1332" t="s">
        <v>717</v>
      </c>
      <c r="C1332" t="s">
        <v>136</v>
      </c>
      <c r="D1332" t="s">
        <v>614</v>
      </c>
      <c r="E1332" t="s">
        <v>682</v>
      </c>
      <c r="F1332" t="s">
        <v>718</v>
      </c>
      <c r="G1332" t="s">
        <v>621</v>
      </c>
      <c r="H1332" t="s">
        <v>267</v>
      </c>
      <c r="I1332" t="s">
        <v>259</v>
      </c>
      <c r="J1332" t="s">
        <v>300</v>
      </c>
      <c r="K1332" t="s">
        <v>636</v>
      </c>
      <c r="L1332" t="s">
        <v>719</v>
      </c>
      <c r="M1332" t="s">
        <v>720</v>
      </c>
      <c r="N1332" t="s">
        <v>319</v>
      </c>
      <c r="O1332" t="s">
        <v>704</v>
      </c>
    </row>
    <row r="1333" spans="1:16">
      <c r="A1333" t="str">
        <f t="shared" si="20"/>
        <v>TGSLD3GCP TIME</v>
      </c>
      <c r="B1333" t="s">
        <v>717</v>
      </c>
      <c r="C1333" t="s">
        <v>142</v>
      </c>
      <c r="D1333" t="s">
        <v>11</v>
      </c>
      <c r="E1333" t="s">
        <v>195</v>
      </c>
      <c r="F1333" t="s">
        <v>146</v>
      </c>
      <c r="G1333" t="s">
        <v>143</v>
      </c>
      <c r="H1333" t="s">
        <v>182</v>
      </c>
      <c r="I1333" t="s">
        <v>182</v>
      </c>
      <c r="J1333" t="s">
        <v>145</v>
      </c>
      <c r="K1333" t="s">
        <v>143</v>
      </c>
      <c r="L1333" t="s">
        <v>189</v>
      </c>
      <c r="M1333" t="s">
        <v>143</v>
      </c>
      <c r="N1333" t="s">
        <v>146</v>
      </c>
      <c r="O1333" t="s">
        <v>182</v>
      </c>
    </row>
    <row r="1334" spans="1:16">
      <c r="A1334" t="str">
        <f t="shared" si="20"/>
        <v>TGSLD3GCP</v>
      </c>
      <c r="B1334" t="s">
        <v>717</v>
      </c>
      <c r="C1334" t="s">
        <v>147</v>
      </c>
      <c r="D1334">
        <v>24808</v>
      </c>
      <c r="E1334">
        <v>26358</v>
      </c>
      <c r="F1334">
        <v>26008</v>
      </c>
      <c r="G1334">
        <v>32321</v>
      </c>
      <c r="H1334">
        <v>33464</v>
      </c>
      <c r="I1334">
        <v>24514</v>
      </c>
      <c r="J1334">
        <v>23763</v>
      </c>
      <c r="K1334">
        <v>28206</v>
      </c>
      <c r="L1334">
        <v>24664</v>
      </c>
      <c r="M1334">
        <v>27435</v>
      </c>
      <c r="N1334">
        <v>26489</v>
      </c>
      <c r="O1334">
        <v>28713</v>
      </c>
    </row>
    <row r="1335" spans="1:16">
      <c r="A1335" t="str">
        <f t="shared" si="20"/>
        <v>TGSLD3GCP ONPK</v>
      </c>
      <c r="B1335" t="s">
        <v>717</v>
      </c>
      <c r="C1335" t="s">
        <v>63</v>
      </c>
      <c r="D1335">
        <v>21771</v>
      </c>
      <c r="E1335">
        <v>21427</v>
      </c>
      <c r="F1335">
        <v>21564</v>
      </c>
      <c r="G1335">
        <v>32321</v>
      </c>
      <c r="H1335">
        <v>33464</v>
      </c>
      <c r="I1335">
        <v>20646</v>
      </c>
      <c r="J1335">
        <v>22106</v>
      </c>
      <c r="K1335">
        <v>28206</v>
      </c>
      <c r="L1335">
        <v>22082</v>
      </c>
      <c r="M1335">
        <v>27435</v>
      </c>
      <c r="N1335">
        <v>18845</v>
      </c>
      <c r="O1335">
        <v>23329</v>
      </c>
    </row>
    <row r="1336" spans="1:16">
      <c r="A1336" t="str">
        <f t="shared" si="20"/>
        <v>TGSLD3GCP OFFPK</v>
      </c>
      <c r="B1336" t="s">
        <v>717</v>
      </c>
      <c r="C1336" t="s">
        <v>64</v>
      </c>
      <c r="D1336">
        <v>24808</v>
      </c>
      <c r="E1336">
        <v>26358</v>
      </c>
      <c r="F1336">
        <v>26008</v>
      </c>
      <c r="G1336">
        <v>32164</v>
      </c>
      <c r="H1336">
        <v>33168</v>
      </c>
      <c r="I1336">
        <v>24514</v>
      </c>
      <c r="J1336">
        <v>23763</v>
      </c>
      <c r="K1336">
        <v>27507</v>
      </c>
      <c r="L1336">
        <v>24664</v>
      </c>
      <c r="M1336">
        <v>26670</v>
      </c>
      <c r="N1336">
        <v>26489</v>
      </c>
      <c r="O1336">
        <v>28713</v>
      </c>
    </row>
    <row r="1337" spans="1:16">
      <c r="A1337" t="str">
        <f t="shared" si="20"/>
        <v>TGSLD3CP</v>
      </c>
      <c r="B1337" t="s">
        <v>717</v>
      </c>
      <c r="C1337" t="s">
        <v>148</v>
      </c>
      <c r="D1337">
        <v>19167</v>
      </c>
      <c r="E1337">
        <v>15436</v>
      </c>
      <c r="F1337">
        <v>23929</v>
      </c>
      <c r="G1337">
        <v>28302</v>
      </c>
      <c r="H1337">
        <v>22695</v>
      </c>
      <c r="I1337">
        <v>20561</v>
      </c>
      <c r="J1337">
        <v>20326</v>
      </c>
      <c r="K1337">
        <v>26019</v>
      </c>
      <c r="L1337">
        <v>19106</v>
      </c>
      <c r="M1337">
        <v>23779</v>
      </c>
      <c r="N1337">
        <v>18663</v>
      </c>
      <c r="O1337">
        <v>14299</v>
      </c>
    </row>
    <row r="1338" spans="1:16">
      <c r="A1338" t="str">
        <f t="shared" si="20"/>
        <v>TGSLD3PERIOD START</v>
      </c>
      <c r="B1338" t="s">
        <v>717</v>
      </c>
      <c r="C1338" t="s">
        <v>149</v>
      </c>
      <c r="D1338" s="1">
        <v>41640</v>
      </c>
      <c r="E1338" s="1">
        <v>41671</v>
      </c>
      <c r="F1338" s="1">
        <v>41699</v>
      </c>
      <c r="G1338" s="1">
        <v>41730</v>
      </c>
      <c r="H1338" s="1">
        <v>41760</v>
      </c>
      <c r="I1338" s="1">
        <v>41791</v>
      </c>
      <c r="J1338" s="1">
        <v>41821</v>
      </c>
      <c r="K1338" s="1">
        <v>41852</v>
      </c>
      <c r="L1338" s="1">
        <v>41883</v>
      </c>
      <c r="M1338" s="1">
        <v>41913</v>
      </c>
      <c r="N1338" s="1">
        <v>41944</v>
      </c>
      <c r="O1338" s="1">
        <v>41974</v>
      </c>
      <c r="P1338" s="1"/>
    </row>
    <row r="1339" spans="1:16">
      <c r="A1339" t="str">
        <f t="shared" si="20"/>
        <v>TGSLD3NCP LF</v>
      </c>
      <c r="B1339" t="s">
        <v>717</v>
      </c>
      <c r="C1339" t="s">
        <v>150</v>
      </c>
      <c r="D1339" s="5">
        <v>0.59770000000000001</v>
      </c>
      <c r="E1339" s="5">
        <v>0.56520000000000004</v>
      </c>
      <c r="F1339" s="5">
        <v>0.55620000000000003</v>
      </c>
      <c r="G1339" s="5">
        <v>0.55779999999999996</v>
      </c>
      <c r="H1339" s="5">
        <v>0.58499999999999996</v>
      </c>
      <c r="I1339" s="5">
        <v>0.56440000000000001</v>
      </c>
      <c r="J1339" s="5">
        <v>0.56810000000000005</v>
      </c>
      <c r="K1339" s="5">
        <v>0.61480000000000001</v>
      </c>
      <c r="L1339" s="5">
        <v>0.57250000000000001</v>
      </c>
      <c r="M1339" s="5">
        <v>0.64429999999999998</v>
      </c>
      <c r="N1339" s="5">
        <v>0.47239999999999999</v>
      </c>
      <c r="O1339" s="5">
        <v>0.54730000000000001</v>
      </c>
      <c r="P1339" s="5"/>
    </row>
    <row r="1340" spans="1:16">
      <c r="A1340" t="str">
        <f t="shared" si="20"/>
        <v>TGSLD3NCP LF ONPK</v>
      </c>
      <c r="B1340" t="s">
        <v>717</v>
      </c>
      <c r="C1340" t="s">
        <v>151</v>
      </c>
      <c r="D1340" s="5">
        <v>0.77569999999999995</v>
      </c>
      <c r="E1340" s="5">
        <v>0.7409</v>
      </c>
      <c r="F1340" s="5">
        <v>0.75309999999999999</v>
      </c>
      <c r="G1340" s="5">
        <v>0.6341</v>
      </c>
      <c r="H1340" s="5">
        <v>0.6673</v>
      </c>
      <c r="I1340" s="5">
        <v>0.76129999999999998</v>
      </c>
      <c r="J1340" s="5">
        <v>0.79879999999999995</v>
      </c>
      <c r="K1340" s="5">
        <v>0.69589999999999996</v>
      </c>
      <c r="L1340" s="5">
        <v>0.78659999999999997</v>
      </c>
      <c r="M1340" s="5">
        <v>0.73960000000000004</v>
      </c>
      <c r="N1340" s="5">
        <v>0.74839999999999995</v>
      </c>
      <c r="O1340" s="5">
        <v>0.67859999999999998</v>
      </c>
      <c r="P1340" s="5"/>
    </row>
    <row r="1341" spans="1:16">
      <c r="A1341" t="str">
        <f t="shared" si="20"/>
        <v>TGSLD3NCP LF OFFPK</v>
      </c>
      <c r="B1341" t="s">
        <v>717</v>
      </c>
      <c r="C1341" t="s">
        <v>152</v>
      </c>
      <c r="D1341" s="5">
        <v>0.60219999999999996</v>
      </c>
      <c r="E1341" s="5">
        <v>0.57240000000000002</v>
      </c>
      <c r="F1341" s="5">
        <v>0.55800000000000005</v>
      </c>
      <c r="G1341" s="5">
        <v>0.5484</v>
      </c>
      <c r="H1341" s="5">
        <v>0.57809999999999995</v>
      </c>
      <c r="I1341" s="5">
        <v>0.57620000000000005</v>
      </c>
      <c r="J1341" s="5">
        <v>0.56159999999999999</v>
      </c>
      <c r="K1341" s="5">
        <v>0.60599999999999998</v>
      </c>
      <c r="L1341" s="5">
        <v>0.5696</v>
      </c>
      <c r="M1341" s="5">
        <v>0.63149999999999995</v>
      </c>
      <c r="N1341" s="5">
        <v>0.4728</v>
      </c>
      <c r="O1341" s="5">
        <v>0.55279999999999996</v>
      </c>
      <c r="P1341" s="5"/>
    </row>
    <row r="1342" spans="1:16">
      <c r="A1342" t="str">
        <f t="shared" si="20"/>
        <v>TGSLD3GCP CF</v>
      </c>
      <c r="B1342" t="s">
        <v>717</v>
      </c>
      <c r="C1342" t="s">
        <v>153</v>
      </c>
      <c r="D1342" s="5">
        <v>0.78520000000000001</v>
      </c>
      <c r="E1342" s="5">
        <v>0.81299999999999994</v>
      </c>
      <c r="F1342" s="5">
        <v>0.83240000000000003</v>
      </c>
      <c r="G1342" s="5">
        <v>0.86580000000000001</v>
      </c>
      <c r="H1342" s="5">
        <v>0.88849999999999996</v>
      </c>
      <c r="I1342" s="5">
        <v>0.82099999999999995</v>
      </c>
      <c r="J1342" s="5">
        <v>0.78149999999999997</v>
      </c>
      <c r="K1342" s="5">
        <v>0.92589999999999995</v>
      </c>
      <c r="L1342" s="5">
        <v>0.80830000000000002</v>
      </c>
      <c r="M1342" s="5">
        <v>0.93779999999999997</v>
      </c>
      <c r="N1342" s="5">
        <v>0.76939999999999997</v>
      </c>
      <c r="O1342" s="5">
        <v>0.80820000000000003</v>
      </c>
      <c r="P1342" s="5"/>
    </row>
    <row r="1343" spans="1:16">
      <c r="A1343" t="str">
        <f t="shared" si="20"/>
        <v>TGSLD3CP CF</v>
      </c>
      <c r="B1343" t="s">
        <v>717</v>
      </c>
      <c r="C1343" t="s">
        <v>154</v>
      </c>
      <c r="D1343" s="5">
        <v>0.60660000000000003</v>
      </c>
      <c r="E1343" s="5">
        <v>0.47610000000000002</v>
      </c>
      <c r="F1343" s="5">
        <v>0.76590000000000003</v>
      </c>
      <c r="G1343" s="5">
        <v>0.75819999999999999</v>
      </c>
      <c r="H1343" s="5">
        <v>0.60260000000000002</v>
      </c>
      <c r="I1343" s="5">
        <v>0.68859999999999999</v>
      </c>
      <c r="J1343" s="5">
        <v>0.66849999999999998</v>
      </c>
      <c r="K1343" s="5">
        <v>0.85409999999999997</v>
      </c>
      <c r="L1343" s="5">
        <v>0.62609999999999999</v>
      </c>
      <c r="M1343" s="5">
        <v>0.81279999999999997</v>
      </c>
      <c r="N1343" s="5">
        <v>0.54210000000000003</v>
      </c>
      <c r="O1343" s="5">
        <v>0.40250000000000002</v>
      </c>
      <c r="P1343" s="5"/>
    </row>
    <row r="1344" spans="1:16">
      <c r="A1344" t="str">
        <f t="shared" si="20"/>
        <v>TGSLD3GCP LF</v>
      </c>
      <c r="B1344" t="s">
        <v>717</v>
      </c>
      <c r="C1344" t="s">
        <v>155</v>
      </c>
      <c r="D1344" s="5">
        <v>0.76129999999999998</v>
      </c>
      <c r="E1344" s="5">
        <v>0.69510000000000005</v>
      </c>
      <c r="F1344" s="5">
        <v>0.66810000000000003</v>
      </c>
      <c r="G1344" s="5">
        <v>0.64419999999999999</v>
      </c>
      <c r="H1344" s="5">
        <v>0.65839999999999999</v>
      </c>
      <c r="I1344" s="5">
        <v>0.6875</v>
      </c>
      <c r="J1344" s="5">
        <v>0.72699999999999998</v>
      </c>
      <c r="K1344" s="5">
        <v>0.66410000000000002</v>
      </c>
      <c r="L1344" s="5">
        <v>0.70830000000000004</v>
      </c>
      <c r="M1344" s="5">
        <v>0.68700000000000006</v>
      </c>
      <c r="N1344" s="5">
        <v>0.6139</v>
      </c>
      <c r="O1344" s="5">
        <v>0.67720000000000002</v>
      </c>
      <c r="P1344" s="5"/>
    </row>
    <row r="1345" spans="1:16">
      <c r="A1345" t="str">
        <f t="shared" si="20"/>
        <v>TGSLD3GCP LF ONPK</v>
      </c>
      <c r="B1345" t="s">
        <v>717</v>
      </c>
      <c r="C1345" t="s">
        <v>156</v>
      </c>
      <c r="D1345" s="5">
        <v>0.84640000000000004</v>
      </c>
      <c r="E1345" s="5">
        <v>0.82</v>
      </c>
      <c r="F1345" s="5">
        <v>0.79669999999999996</v>
      </c>
      <c r="G1345" s="5">
        <v>0.72099999999999997</v>
      </c>
      <c r="H1345" s="5">
        <v>0.74319999999999997</v>
      </c>
      <c r="I1345" s="5">
        <v>0.83689999999999998</v>
      </c>
      <c r="J1345" s="5">
        <v>0.83960000000000001</v>
      </c>
      <c r="K1345" s="5">
        <v>0.74299999999999999</v>
      </c>
      <c r="L1345" s="5">
        <v>0.82809999999999995</v>
      </c>
      <c r="M1345" s="5">
        <v>0.77759999999999996</v>
      </c>
      <c r="N1345" s="5">
        <v>0.85980000000000001</v>
      </c>
      <c r="O1345" s="5">
        <v>0.82220000000000004</v>
      </c>
      <c r="P1345" s="5"/>
    </row>
    <row r="1346" spans="1:16">
      <c r="A1346" t="str">
        <f t="shared" si="20"/>
        <v>TGSLD3GCP LF OFFPK</v>
      </c>
      <c r="B1346" t="s">
        <v>717</v>
      </c>
      <c r="C1346" t="s">
        <v>157</v>
      </c>
      <c r="D1346" s="5">
        <v>0.76700000000000002</v>
      </c>
      <c r="E1346" s="5">
        <v>0.70399999999999996</v>
      </c>
      <c r="F1346" s="5">
        <v>0.67030000000000001</v>
      </c>
      <c r="G1346" s="5">
        <v>0.61799999999999999</v>
      </c>
      <c r="H1346" s="5">
        <v>0.6351</v>
      </c>
      <c r="I1346" s="5">
        <v>0.68130000000000002</v>
      </c>
      <c r="J1346" s="5">
        <v>0.70740000000000003</v>
      </c>
      <c r="K1346" s="5">
        <v>0.65339999999999998</v>
      </c>
      <c r="L1346" s="5">
        <v>0.69650000000000001</v>
      </c>
      <c r="M1346" s="5">
        <v>0.67079999999999995</v>
      </c>
      <c r="N1346" s="5">
        <v>0.61460000000000004</v>
      </c>
      <c r="O1346" s="5">
        <v>0.68010000000000004</v>
      </c>
      <c r="P1346" s="5"/>
    </row>
    <row r="1347" spans="1:16">
      <c r="A1347" t="str">
        <f t="shared" si="20"/>
        <v>TGSLD3CP LF</v>
      </c>
      <c r="B1347" t="s">
        <v>717</v>
      </c>
      <c r="C1347" t="s">
        <v>158</v>
      </c>
      <c r="D1347" s="5">
        <v>0.98540000000000005</v>
      </c>
      <c r="E1347" s="5">
        <v>1.1870000000000001</v>
      </c>
      <c r="F1347" s="5">
        <v>0.72619999999999996</v>
      </c>
      <c r="G1347" s="5">
        <v>0.73570000000000002</v>
      </c>
      <c r="H1347" s="5">
        <v>0.9708</v>
      </c>
      <c r="I1347" s="5">
        <v>0.81969999999999998</v>
      </c>
      <c r="J1347" s="5">
        <v>0.84989999999999999</v>
      </c>
      <c r="K1347" s="5">
        <v>0.71989999999999998</v>
      </c>
      <c r="L1347" s="5">
        <v>0.9143</v>
      </c>
      <c r="M1347" s="5">
        <v>0.79269999999999996</v>
      </c>
      <c r="N1347" s="5">
        <v>0.87139999999999995</v>
      </c>
      <c r="O1347" s="5">
        <v>1.3599000000000001</v>
      </c>
      <c r="P1347" s="5"/>
    </row>
    <row r="1348" spans="1:16">
      <c r="A1348" t="str">
        <f t="shared" si="20"/>
        <v>TGSLD3REL PREC:</v>
      </c>
      <c r="B1348" t="s">
        <v>717</v>
      </c>
      <c r="C1348" t="s">
        <v>65</v>
      </c>
    </row>
    <row r="1349" spans="1:16">
      <c r="A1349" t="str">
        <f t="shared" si="20"/>
        <v>TGSLD3NCP RP</v>
      </c>
      <c r="B1349" t="s">
        <v>717</v>
      </c>
      <c r="C1349" t="s">
        <v>159</v>
      </c>
      <c r="D1349" s="5">
        <v>0</v>
      </c>
      <c r="E1349" s="5">
        <v>0</v>
      </c>
      <c r="F1349" s="5">
        <v>0</v>
      </c>
      <c r="G1349" s="5">
        <v>0</v>
      </c>
      <c r="H1349" s="5">
        <v>0</v>
      </c>
      <c r="I1349" s="5">
        <v>0</v>
      </c>
      <c r="J1349" s="5">
        <v>0</v>
      </c>
      <c r="K1349" s="5">
        <v>0</v>
      </c>
      <c r="L1349" s="5">
        <v>0</v>
      </c>
      <c r="M1349" s="5">
        <v>0</v>
      </c>
      <c r="N1349" s="5">
        <v>0</v>
      </c>
      <c r="O1349" s="5">
        <v>0</v>
      </c>
      <c r="P1349" s="5"/>
    </row>
    <row r="1350" spans="1:16">
      <c r="A1350" t="str">
        <f t="shared" si="20"/>
        <v>TGSLD3NCP RP ONPK</v>
      </c>
      <c r="B1350" t="s">
        <v>717</v>
      </c>
      <c r="C1350" t="s">
        <v>160</v>
      </c>
      <c r="D1350" s="5">
        <v>0</v>
      </c>
      <c r="E1350" s="5">
        <v>0</v>
      </c>
      <c r="F1350" s="5">
        <v>0</v>
      </c>
      <c r="G1350" s="5">
        <v>0</v>
      </c>
      <c r="H1350" s="5">
        <v>0</v>
      </c>
      <c r="I1350" s="5">
        <v>0</v>
      </c>
      <c r="J1350" s="5">
        <v>0</v>
      </c>
      <c r="K1350" s="5">
        <v>0</v>
      </c>
      <c r="L1350" s="5">
        <v>0</v>
      </c>
      <c r="M1350" s="5">
        <v>0</v>
      </c>
      <c r="N1350" s="5">
        <v>0</v>
      </c>
      <c r="O1350" s="5">
        <v>0</v>
      </c>
      <c r="P1350" s="5"/>
    </row>
    <row r="1351" spans="1:16">
      <c r="A1351" t="str">
        <f t="shared" si="20"/>
        <v>TGSLD3NCP RP OFFPK</v>
      </c>
      <c r="B1351" t="s">
        <v>717</v>
      </c>
      <c r="C1351" t="s">
        <v>161</v>
      </c>
      <c r="D1351" s="5">
        <v>0</v>
      </c>
      <c r="E1351" s="5">
        <v>0</v>
      </c>
      <c r="F1351" s="5">
        <v>0</v>
      </c>
      <c r="G1351" s="5">
        <v>0</v>
      </c>
      <c r="H1351" s="5">
        <v>0</v>
      </c>
      <c r="I1351" s="5">
        <v>0</v>
      </c>
      <c r="J1351" s="5">
        <v>0</v>
      </c>
      <c r="K1351" s="5">
        <v>0</v>
      </c>
      <c r="L1351" s="5">
        <v>0</v>
      </c>
      <c r="M1351" s="5">
        <v>0</v>
      </c>
      <c r="N1351" s="5">
        <v>0</v>
      </c>
      <c r="O1351" s="5">
        <v>0</v>
      </c>
      <c r="P1351" s="5"/>
    </row>
    <row r="1352" spans="1:16">
      <c r="A1352" t="str">
        <f t="shared" si="20"/>
        <v>TGSLD3GCP RP</v>
      </c>
      <c r="B1352" t="s">
        <v>717</v>
      </c>
      <c r="C1352" t="s">
        <v>162</v>
      </c>
      <c r="D1352" s="5">
        <v>0</v>
      </c>
      <c r="E1352" s="5">
        <v>0</v>
      </c>
      <c r="F1352" s="5">
        <v>0</v>
      </c>
      <c r="G1352" s="5">
        <v>0</v>
      </c>
      <c r="H1352" s="5">
        <v>0</v>
      </c>
      <c r="I1352" s="5">
        <v>0</v>
      </c>
      <c r="J1352" s="5">
        <v>0</v>
      </c>
      <c r="K1352" s="5">
        <v>0</v>
      </c>
      <c r="L1352" s="5">
        <v>0</v>
      </c>
      <c r="M1352" s="5">
        <v>0</v>
      </c>
      <c r="N1352" s="5">
        <v>0</v>
      </c>
      <c r="O1352" s="5">
        <v>0</v>
      </c>
      <c r="P1352" s="5"/>
    </row>
    <row r="1353" spans="1:16">
      <c r="A1353" t="str">
        <f t="shared" si="20"/>
        <v>TGSLD3GCP RP ONPK</v>
      </c>
      <c r="B1353" t="s">
        <v>717</v>
      </c>
      <c r="C1353" t="s">
        <v>163</v>
      </c>
      <c r="D1353" s="5">
        <v>0</v>
      </c>
      <c r="E1353" s="5">
        <v>0</v>
      </c>
      <c r="F1353" s="5">
        <v>0.29759999999999998</v>
      </c>
      <c r="G1353" s="5">
        <v>0</v>
      </c>
      <c r="H1353" s="5">
        <v>0</v>
      </c>
      <c r="I1353" s="5">
        <v>0</v>
      </c>
      <c r="J1353" s="5">
        <v>0</v>
      </c>
      <c r="K1353" s="5">
        <v>0</v>
      </c>
      <c r="L1353" s="5">
        <v>0</v>
      </c>
      <c r="M1353" s="5">
        <v>0</v>
      </c>
      <c r="N1353" s="5">
        <v>0</v>
      </c>
      <c r="O1353" s="5">
        <v>0</v>
      </c>
      <c r="P1353" s="5"/>
    </row>
    <row r="1354" spans="1:16">
      <c r="A1354" t="str">
        <f t="shared" si="20"/>
        <v>TGSLD3GCP RP OFFPK</v>
      </c>
      <c r="B1354" t="s">
        <v>717</v>
      </c>
      <c r="C1354" t="s">
        <v>164</v>
      </c>
      <c r="D1354" s="5">
        <v>0</v>
      </c>
      <c r="E1354" s="5">
        <v>0</v>
      </c>
      <c r="F1354" s="5">
        <v>0</v>
      </c>
      <c r="G1354" s="5">
        <v>0</v>
      </c>
      <c r="H1354" s="5">
        <v>0</v>
      </c>
      <c r="I1354" s="5">
        <v>0</v>
      </c>
      <c r="J1354" s="5">
        <v>0</v>
      </c>
      <c r="K1354" s="5">
        <v>0</v>
      </c>
      <c r="L1354" s="5">
        <v>0</v>
      </c>
      <c r="M1354" s="5">
        <v>0</v>
      </c>
      <c r="N1354" s="5">
        <v>0</v>
      </c>
      <c r="O1354" s="5">
        <v>0</v>
      </c>
      <c r="P1354" s="5"/>
    </row>
    <row r="1355" spans="1:16">
      <c r="A1355" t="str">
        <f t="shared" si="20"/>
        <v>TGSLD3CP RP</v>
      </c>
      <c r="B1355" t="s">
        <v>717</v>
      </c>
      <c r="C1355" t="s">
        <v>165</v>
      </c>
      <c r="D1355" s="5">
        <v>0</v>
      </c>
      <c r="E1355" s="5">
        <v>0</v>
      </c>
      <c r="F1355" s="5">
        <v>0</v>
      </c>
      <c r="G1355" s="5">
        <v>0</v>
      </c>
      <c r="H1355" s="5">
        <v>0</v>
      </c>
      <c r="I1355" s="5">
        <v>0</v>
      </c>
      <c r="J1355" s="5">
        <v>0</v>
      </c>
      <c r="K1355" s="5">
        <v>0</v>
      </c>
      <c r="L1355" s="5">
        <v>0</v>
      </c>
      <c r="M1355" s="5">
        <v>0</v>
      </c>
      <c r="N1355" s="5">
        <v>0</v>
      </c>
      <c r="O1355" s="5">
        <v>0</v>
      </c>
      <c r="P1355" s="5"/>
    </row>
    <row r="1356" spans="1:16">
      <c r="A1356" t="str">
        <f t="shared" si="20"/>
        <v>TGSLD3SAMPLE SIZE:</v>
      </c>
      <c r="B1356" t="s">
        <v>717</v>
      </c>
      <c r="C1356" t="s">
        <v>66</v>
      </c>
    </row>
    <row r="1357" spans="1:16">
      <c r="A1357" t="str">
        <f t="shared" si="20"/>
        <v>TGSLD3GCPSZ</v>
      </c>
      <c r="B1357" t="s">
        <v>717</v>
      </c>
      <c r="C1357" t="s">
        <v>166</v>
      </c>
      <c r="D1357">
        <v>8</v>
      </c>
      <c r="E1357">
        <v>8</v>
      </c>
      <c r="F1357">
        <v>8</v>
      </c>
      <c r="G1357">
        <v>8</v>
      </c>
      <c r="H1357">
        <v>8</v>
      </c>
      <c r="I1357">
        <v>8</v>
      </c>
      <c r="J1357">
        <v>8</v>
      </c>
      <c r="K1357">
        <v>8</v>
      </c>
      <c r="L1357">
        <v>8</v>
      </c>
      <c r="M1357">
        <v>8</v>
      </c>
      <c r="N1357">
        <v>9</v>
      </c>
      <c r="O1357">
        <v>9</v>
      </c>
    </row>
    <row r="1358" spans="1:16">
      <c r="A1358" t="str">
        <f t="shared" si="20"/>
        <v>TGSLD3GCPSZ ONPK</v>
      </c>
      <c r="B1358" t="s">
        <v>717</v>
      </c>
      <c r="C1358" t="s">
        <v>167</v>
      </c>
      <c r="D1358">
        <v>8</v>
      </c>
      <c r="E1358">
        <v>8</v>
      </c>
      <c r="F1358">
        <v>7</v>
      </c>
      <c r="G1358">
        <v>8</v>
      </c>
      <c r="H1358">
        <v>8</v>
      </c>
      <c r="I1358">
        <v>8</v>
      </c>
      <c r="J1358">
        <v>8</v>
      </c>
      <c r="K1358">
        <v>8</v>
      </c>
      <c r="L1358">
        <v>8</v>
      </c>
      <c r="M1358">
        <v>8</v>
      </c>
      <c r="N1358">
        <v>9</v>
      </c>
      <c r="O1358">
        <v>9</v>
      </c>
    </row>
    <row r="1359" spans="1:16">
      <c r="A1359" t="str">
        <f t="shared" si="20"/>
        <v>TGSLD3GCPSZ OFFPK</v>
      </c>
      <c r="B1359" t="s">
        <v>717</v>
      </c>
      <c r="C1359" t="s">
        <v>168</v>
      </c>
      <c r="D1359">
        <v>8</v>
      </c>
      <c r="E1359">
        <v>8</v>
      </c>
      <c r="F1359">
        <v>8</v>
      </c>
      <c r="G1359">
        <v>8</v>
      </c>
      <c r="H1359">
        <v>8</v>
      </c>
      <c r="I1359">
        <v>8</v>
      </c>
      <c r="J1359">
        <v>8</v>
      </c>
      <c r="K1359">
        <v>8</v>
      </c>
      <c r="L1359">
        <v>8</v>
      </c>
      <c r="M1359">
        <v>8</v>
      </c>
      <c r="N1359">
        <v>9</v>
      </c>
      <c r="O1359">
        <v>9</v>
      </c>
    </row>
    <row r="1360" spans="1:16">
      <c r="A1360" t="str">
        <f t="shared" si="20"/>
        <v>TGSLD3CPSZ</v>
      </c>
      <c r="B1360" t="s">
        <v>717</v>
      </c>
      <c r="C1360" t="s">
        <v>169</v>
      </c>
      <c r="D1360">
        <v>8</v>
      </c>
      <c r="E1360">
        <v>8</v>
      </c>
      <c r="F1360">
        <v>8</v>
      </c>
      <c r="G1360">
        <v>8</v>
      </c>
      <c r="H1360">
        <v>8</v>
      </c>
      <c r="I1360">
        <v>8</v>
      </c>
      <c r="J1360">
        <v>8</v>
      </c>
      <c r="K1360">
        <v>8</v>
      </c>
      <c r="L1360">
        <v>8</v>
      </c>
      <c r="M1360">
        <v>8</v>
      </c>
      <c r="N1360">
        <v>9</v>
      </c>
      <c r="O1360">
        <v>9</v>
      </c>
    </row>
    <row r="1361" spans="1:16">
      <c r="A1361" t="str">
        <f t="shared" si="20"/>
        <v/>
      </c>
    </row>
    <row r="1362" spans="1:16">
      <c r="A1362" t="str">
        <f t="shared" si="20"/>
        <v>Note: In 2014, the TGSLD3 rate class includes the GSLD-3, GSLDT-3, CS-3 and CST-3 rate schedules. CUSTOMERS and SALES lines reflects the total of the aggregated rate schedules. The kWh sales for standby and supplemental service components for Tropicana Manufacturing Company, Inc. are captured on the Rate &amp; Revenue Report under the SST-1 rate class, even though only the standby component should be billed using the SST-1 rate. The supplemental load is billed utilizing the GSLDT-3 tariff. Accordingly, the load research study reflects the supplemental component in the GSLDT-3 rate class.</v>
      </c>
      <c r="B1362" s="617" t="s">
        <v>721</v>
      </c>
      <c r="C1362" s="617"/>
      <c r="D1362" s="617"/>
      <c r="E1362" s="617"/>
      <c r="F1362" s="617"/>
      <c r="G1362" s="617"/>
      <c r="H1362" s="617"/>
      <c r="I1362" s="617"/>
      <c r="J1362" s="617"/>
      <c r="K1362" s="617"/>
      <c r="L1362" s="617"/>
      <c r="M1362" s="617"/>
      <c r="N1362" s="617"/>
      <c r="O1362" s="617"/>
      <c r="P1362" s="349"/>
    </row>
    <row r="1363" spans="1:16">
      <c r="A1363" t="str">
        <f t="shared" si="20"/>
        <v xml:space="preserve">WAUCHULA Wholesale City of Wauchula </v>
      </c>
      <c r="B1363" t="s">
        <v>722</v>
      </c>
      <c r="C1363" t="s">
        <v>723</v>
      </c>
    </row>
    <row r="1364" spans="1:16">
      <c r="A1364" t="str">
        <f t="shared" si="20"/>
        <v xml:space="preserve">WAUCHULAMONTH </v>
      </c>
      <c r="B1364" t="s">
        <v>724</v>
      </c>
      <c r="C1364" t="s">
        <v>123</v>
      </c>
      <c r="D1364" s="4">
        <v>41640</v>
      </c>
      <c r="E1364" s="4">
        <v>41671</v>
      </c>
      <c r="F1364" s="4">
        <v>41699</v>
      </c>
      <c r="G1364" s="4">
        <v>41730</v>
      </c>
      <c r="H1364" s="4">
        <v>41760</v>
      </c>
      <c r="I1364" s="4">
        <v>41791</v>
      </c>
      <c r="J1364" s="4">
        <v>41821</v>
      </c>
      <c r="K1364" s="4">
        <v>41852</v>
      </c>
      <c r="L1364" s="4">
        <v>41883</v>
      </c>
      <c r="M1364" s="4">
        <v>41913</v>
      </c>
      <c r="N1364" s="4">
        <v>41944</v>
      </c>
      <c r="O1364" s="4">
        <v>41974</v>
      </c>
      <c r="P1364" s="4"/>
    </row>
    <row r="1365" spans="1:16">
      <c r="A1365" t="str">
        <f t="shared" si="20"/>
        <v xml:space="preserve">WAUCHULACUSTOMERS </v>
      </c>
      <c r="B1365" t="s">
        <v>724</v>
      </c>
      <c r="C1365" t="s">
        <v>124</v>
      </c>
      <c r="D1365">
        <v>5</v>
      </c>
      <c r="E1365">
        <v>6</v>
      </c>
      <c r="F1365">
        <v>7</v>
      </c>
      <c r="G1365">
        <v>7</v>
      </c>
      <c r="H1365">
        <v>7</v>
      </c>
      <c r="I1365">
        <v>7</v>
      </c>
      <c r="J1365">
        <v>7</v>
      </c>
      <c r="K1365">
        <v>7</v>
      </c>
      <c r="L1365">
        <v>7</v>
      </c>
      <c r="M1365">
        <v>7</v>
      </c>
      <c r="N1365">
        <v>7</v>
      </c>
      <c r="O1365">
        <v>7</v>
      </c>
    </row>
    <row r="1366" spans="1:16">
      <c r="A1366" t="str">
        <f t="shared" si="20"/>
        <v xml:space="preserve">WAUCHULASALES </v>
      </c>
      <c r="B1366" t="s">
        <v>724</v>
      </c>
      <c r="C1366" t="s">
        <v>125</v>
      </c>
      <c r="D1366">
        <v>65718983</v>
      </c>
      <c r="E1366">
        <v>363393801</v>
      </c>
      <c r="F1366">
        <v>320951303</v>
      </c>
      <c r="G1366">
        <v>347436900</v>
      </c>
      <c r="H1366">
        <v>372411170</v>
      </c>
      <c r="I1366">
        <v>423074060</v>
      </c>
      <c r="J1366">
        <v>444647562</v>
      </c>
      <c r="K1366">
        <v>469005158</v>
      </c>
      <c r="L1366">
        <v>502571938</v>
      </c>
      <c r="M1366">
        <v>416168345</v>
      </c>
      <c r="N1366">
        <v>395833111</v>
      </c>
      <c r="O1366">
        <v>317966615</v>
      </c>
    </row>
    <row r="1367" spans="1:16">
      <c r="A1367" t="str">
        <f t="shared" si="20"/>
        <v>WAUCHULAKW</v>
      </c>
      <c r="B1367" t="s">
        <v>724</v>
      </c>
      <c r="C1367" t="s">
        <v>126</v>
      </c>
    </row>
    <row r="1368" spans="1:16">
      <c r="A1368" t="str">
        <f t="shared" si="20"/>
        <v>WAUCHULAN</v>
      </c>
      <c r="B1368" t="s">
        <v>724</v>
      </c>
      <c r="C1368" t="s">
        <v>127</v>
      </c>
      <c r="D1368">
        <v>1</v>
      </c>
      <c r="E1368">
        <v>1</v>
      </c>
      <c r="F1368">
        <v>1</v>
      </c>
      <c r="G1368">
        <v>1</v>
      </c>
      <c r="H1368">
        <v>1</v>
      </c>
      <c r="I1368">
        <v>1</v>
      </c>
      <c r="J1368">
        <v>1</v>
      </c>
      <c r="K1368">
        <v>1</v>
      </c>
      <c r="L1368">
        <v>1</v>
      </c>
      <c r="M1368">
        <v>1</v>
      </c>
      <c r="N1368">
        <v>1</v>
      </c>
      <c r="O1368">
        <v>1</v>
      </c>
    </row>
    <row r="1369" spans="1:16">
      <c r="A1369" t="str">
        <f t="shared" si="20"/>
        <v>WAUCHULARLR ENERGY:</v>
      </c>
      <c r="B1369" t="s">
        <v>724</v>
      </c>
      <c r="C1369" t="s">
        <v>61</v>
      </c>
    </row>
    <row r="1370" spans="1:16">
      <c r="A1370" t="str">
        <f t="shared" si="20"/>
        <v>WAUCHULAKWH</v>
      </c>
      <c r="B1370" t="s">
        <v>724</v>
      </c>
      <c r="C1370" t="s">
        <v>128</v>
      </c>
      <c r="D1370">
        <v>5095503</v>
      </c>
      <c r="E1370">
        <v>4168602</v>
      </c>
      <c r="F1370">
        <v>4477924</v>
      </c>
      <c r="G1370">
        <v>4975809</v>
      </c>
      <c r="H1370">
        <v>5840816</v>
      </c>
      <c r="I1370">
        <v>6004206</v>
      </c>
      <c r="J1370">
        <v>6211056</v>
      </c>
      <c r="K1370">
        <v>6508255</v>
      </c>
      <c r="L1370">
        <v>5816683</v>
      </c>
      <c r="M1370">
        <v>5320273</v>
      </c>
      <c r="N1370">
        <v>4306542</v>
      </c>
      <c r="O1370">
        <v>4695773</v>
      </c>
    </row>
    <row r="1371" spans="1:16">
      <c r="A1371" t="str">
        <f t="shared" si="20"/>
        <v>WAUCHULAKWH ONPK</v>
      </c>
      <c r="B1371" t="s">
        <v>724</v>
      </c>
      <c r="C1371" t="s">
        <v>129</v>
      </c>
      <c r="D1371">
        <v>1394777</v>
      </c>
      <c r="E1371">
        <v>1096314</v>
      </c>
      <c r="F1371">
        <v>1115810</v>
      </c>
      <c r="G1371">
        <v>1758852</v>
      </c>
      <c r="H1371">
        <v>1968994</v>
      </c>
      <c r="I1371">
        <v>2052926</v>
      </c>
      <c r="J1371">
        <v>2146355</v>
      </c>
      <c r="K1371">
        <v>2154519</v>
      </c>
      <c r="L1371">
        <v>1986577</v>
      </c>
      <c r="M1371">
        <v>1953477</v>
      </c>
      <c r="N1371">
        <v>1025589</v>
      </c>
      <c r="O1371">
        <v>1246157</v>
      </c>
    </row>
    <row r="1372" spans="1:16">
      <c r="A1372" t="str">
        <f t="shared" si="20"/>
        <v>WAUCHULAKWH OFFPK</v>
      </c>
      <c r="B1372" t="s">
        <v>724</v>
      </c>
      <c r="C1372" t="s">
        <v>130</v>
      </c>
      <c r="D1372">
        <v>3700726</v>
      </c>
      <c r="E1372">
        <v>3072288</v>
      </c>
      <c r="F1372">
        <v>3362115</v>
      </c>
      <c r="G1372">
        <v>3216956</v>
      </c>
      <c r="H1372">
        <v>3871821</v>
      </c>
      <c r="I1372">
        <v>3951280</v>
      </c>
      <c r="J1372">
        <v>4064700</v>
      </c>
      <c r="K1372">
        <v>4353736</v>
      </c>
      <c r="L1372">
        <v>3830106</v>
      </c>
      <c r="M1372">
        <v>3366796</v>
      </c>
      <c r="N1372">
        <v>3280953</v>
      </c>
      <c r="O1372">
        <v>3449616</v>
      </c>
    </row>
    <row r="1373" spans="1:16">
      <c r="A1373" t="str">
        <f t="shared" si="20"/>
        <v>WAUCHULAKWH ONPK%</v>
      </c>
      <c r="B1373" t="s">
        <v>724</v>
      </c>
      <c r="C1373" t="s">
        <v>131</v>
      </c>
      <c r="D1373" s="5">
        <v>0.27372999999999997</v>
      </c>
      <c r="E1373" s="5">
        <v>0.26299</v>
      </c>
      <c r="F1373" s="5">
        <v>0.24918000000000001</v>
      </c>
      <c r="G1373" s="5">
        <v>0.35348000000000002</v>
      </c>
      <c r="H1373" s="5">
        <v>0.33711000000000002</v>
      </c>
      <c r="I1373" s="5">
        <v>0.34190999999999999</v>
      </c>
      <c r="J1373" s="5">
        <v>0.34556999999999999</v>
      </c>
      <c r="K1373" s="5">
        <v>0.33104</v>
      </c>
      <c r="L1373" s="5">
        <v>0.34153</v>
      </c>
      <c r="M1373" s="5">
        <v>0.36718000000000001</v>
      </c>
      <c r="N1373" s="5">
        <v>0.23815</v>
      </c>
      <c r="O1373" s="5">
        <v>0.26538</v>
      </c>
      <c r="P1373" s="5"/>
    </row>
    <row r="1374" spans="1:16">
      <c r="A1374" t="str">
        <f t="shared" si="20"/>
        <v>WAUCHULAKWH OFFPK%</v>
      </c>
      <c r="B1374" t="s">
        <v>724</v>
      </c>
      <c r="C1374" t="s">
        <v>132</v>
      </c>
      <c r="D1374" s="5">
        <v>0.72626999999999997</v>
      </c>
      <c r="E1374" s="5">
        <v>0.73701000000000005</v>
      </c>
      <c r="F1374" s="5">
        <v>0.75082000000000004</v>
      </c>
      <c r="G1374" s="5">
        <v>0.64651999999999998</v>
      </c>
      <c r="H1374" s="5">
        <v>0.66288999999999998</v>
      </c>
      <c r="I1374" s="5">
        <v>0.65808999999999995</v>
      </c>
      <c r="J1374" s="5">
        <v>0.65442999999999996</v>
      </c>
      <c r="K1374" s="5">
        <v>0.66896</v>
      </c>
      <c r="L1374" s="5">
        <v>0.65847</v>
      </c>
      <c r="M1374" s="5">
        <v>0.63282000000000005</v>
      </c>
      <c r="N1374" s="5">
        <v>0.76185000000000003</v>
      </c>
      <c r="O1374" s="5">
        <v>0.73462000000000005</v>
      </c>
      <c r="P1374" s="5"/>
    </row>
    <row r="1375" spans="1:16">
      <c r="A1375" t="str">
        <f t="shared" si="20"/>
        <v>WAUCHULADEMAND (KW):</v>
      </c>
      <c r="B1375" t="s">
        <v>724</v>
      </c>
      <c r="C1375" t="s">
        <v>62</v>
      </c>
    </row>
    <row r="1376" spans="1:16">
      <c r="A1376" t="str">
        <f t="shared" si="20"/>
        <v>WAUCHULANCP</v>
      </c>
      <c r="B1376" t="s">
        <v>724</v>
      </c>
      <c r="C1376" t="s">
        <v>133</v>
      </c>
      <c r="D1376">
        <v>12444</v>
      </c>
      <c r="E1376">
        <v>9408</v>
      </c>
      <c r="F1376">
        <v>9018</v>
      </c>
      <c r="G1376">
        <v>12473</v>
      </c>
      <c r="H1376">
        <v>12655</v>
      </c>
      <c r="I1376">
        <v>13244</v>
      </c>
      <c r="J1376">
        <v>12957</v>
      </c>
      <c r="K1376">
        <v>13556</v>
      </c>
      <c r="L1376">
        <v>13084</v>
      </c>
      <c r="M1376">
        <v>12339</v>
      </c>
      <c r="N1376">
        <v>9516</v>
      </c>
      <c r="O1376">
        <v>9621</v>
      </c>
    </row>
    <row r="1377" spans="1:16">
      <c r="A1377" t="str">
        <f t="shared" si="20"/>
        <v>WAUCHULANCP ONPK</v>
      </c>
      <c r="B1377" t="s">
        <v>724</v>
      </c>
      <c r="C1377" t="s">
        <v>134</v>
      </c>
      <c r="D1377">
        <v>12444</v>
      </c>
      <c r="E1377">
        <v>8991</v>
      </c>
      <c r="F1377">
        <v>8619</v>
      </c>
      <c r="G1377">
        <v>12473</v>
      </c>
      <c r="H1377">
        <v>12655</v>
      </c>
      <c r="I1377">
        <v>13244</v>
      </c>
      <c r="J1377">
        <v>12957</v>
      </c>
      <c r="K1377">
        <v>13556</v>
      </c>
      <c r="L1377">
        <v>13084</v>
      </c>
      <c r="M1377">
        <v>12339</v>
      </c>
      <c r="N1377">
        <v>9197</v>
      </c>
      <c r="O1377">
        <v>9621</v>
      </c>
    </row>
    <row r="1378" spans="1:16">
      <c r="A1378" t="str">
        <f t="shared" si="20"/>
        <v>WAUCHULANCP OFFPK</v>
      </c>
      <c r="B1378" t="s">
        <v>724</v>
      </c>
      <c r="C1378" t="s">
        <v>135</v>
      </c>
      <c r="D1378">
        <v>11201</v>
      </c>
      <c r="E1378">
        <v>9408</v>
      </c>
      <c r="F1378">
        <v>9018</v>
      </c>
      <c r="G1378">
        <v>10727</v>
      </c>
      <c r="H1378">
        <v>11797</v>
      </c>
      <c r="I1378">
        <v>11873</v>
      </c>
      <c r="J1378">
        <v>11368</v>
      </c>
      <c r="K1378">
        <v>12351</v>
      </c>
      <c r="L1378">
        <v>11956</v>
      </c>
      <c r="M1378">
        <v>10730</v>
      </c>
      <c r="N1378">
        <v>9516</v>
      </c>
      <c r="O1378">
        <v>9064</v>
      </c>
    </row>
    <row r="1379" spans="1:16">
      <c r="A1379" t="str">
        <f t="shared" si="20"/>
        <v>WAUCHULAGCP DATE</v>
      </c>
      <c r="B1379" t="s">
        <v>724</v>
      </c>
      <c r="C1379" t="s">
        <v>136</v>
      </c>
      <c r="D1379" t="s">
        <v>662</v>
      </c>
      <c r="E1379" t="s">
        <v>634</v>
      </c>
      <c r="F1379" t="s">
        <v>668</v>
      </c>
      <c r="G1379" t="s">
        <v>271</v>
      </c>
      <c r="H1379" t="s">
        <v>291</v>
      </c>
      <c r="I1379" t="s">
        <v>305</v>
      </c>
      <c r="J1379" t="s">
        <v>282</v>
      </c>
      <c r="K1379" t="s">
        <v>636</v>
      </c>
      <c r="L1379" t="s">
        <v>281</v>
      </c>
      <c r="M1379" t="s">
        <v>607</v>
      </c>
      <c r="N1379" t="s">
        <v>629</v>
      </c>
      <c r="O1379" t="s">
        <v>323</v>
      </c>
    </row>
    <row r="1380" spans="1:16">
      <c r="A1380" t="str">
        <f t="shared" si="20"/>
        <v>WAUCHULAGCP TIME</v>
      </c>
      <c r="B1380" t="s">
        <v>724</v>
      </c>
      <c r="C1380" t="s">
        <v>142</v>
      </c>
      <c r="D1380" t="s">
        <v>203</v>
      </c>
      <c r="E1380" t="s">
        <v>195</v>
      </c>
      <c r="F1380" t="s">
        <v>145</v>
      </c>
      <c r="G1380" t="s">
        <v>195</v>
      </c>
      <c r="H1380" t="s">
        <v>145</v>
      </c>
      <c r="I1380" t="s">
        <v>145</v>
      </c>
      <c r="J1380" t="s">
        <v>195</v>
      </c>
      <c r="K1380" t="s">
        <v>195</v>
      </c>
      <c r="L1380" t="s">
        <v>195</v>
      </c>
      <c r="M1380" t="s">
        <v>196</v>
      </c>
      <c r="N1380" t="s">
        <v>195</v>
      </c>
      <c r="O1380" t="s">
        <v>203</v>
      </c>
    </row>
    <row r="1381" spans="1:16">
      <c r="A1381" t="str">
        <f t="shared" si="20"/>
        <v>WAUCHULAGCP</v>
      </c>
      <c r="B1381" t="s">
        <v>724</v>
      </c>
      <c r="C1381" t="s">
        <v>147</v>
      </c>
      <c r="D1381">
        <v>12444</v>
      </c>
      <c r="E1381">
        <v>9408</v>
      </c>
      <c r="F1381">
        <v>9018</v>
      </c>
      <c r="G1381">
        <v>12473</v>
      </c>
      <c r="H1381">
        <v>12655</v>
      </c>
      <c r="I1381">
        <v>13244</v>
      </c>
      <c r="J1381">
        <v>12957</v>
      </c>
      <c r="K1381">
        <v>13556</v>
      </c>
      <c r="L1381">
        <v>13084</v>
      </c>
      <c r="M1381">
        <v>12339</v>
      </c>
      <c r="N1381">
        <v>9516</v>
      </c>
      <c r="O1381">
        <v>9621</v>
      </c>
    </row>
    <row r="1382" spans="1:16">
      <c r="A1382" t="str">
        <f t="shared" si="20"/>
        <v>WAUCHULAGCP ONPK</v>
      </c>
      <c r="B1382" t="s">
        <v>724</v>
      </c>
      <c r="C1382" t="s">
        <v>63</v>
      </c>
      <c r="D1382">
        <v>12444</v>
      </c>
      <c r="E1382">
        <v>8991</v>
      </c>
      <c r="F1382">
        <v>8619</v>
      </c>
      <c r="G1382">
        <v>12473</v>
      </c>
      <c r="H1382">
        <v>12655</v>
      </c>
      <c r="I1382">
        <v>13244</v>
      </c>
      <c r="J1382">
        <v>12957</v>
      </c>
      <c r="K1382">
        <v>13556</v>
      </c>
      <c r="L1382">
        <v>13084</v>
      </c>
      <c r="M1382">
        <v>12339</v>
      </c>
      <c r="N1382">
        <v>9197</v>
      </c>
      <c r="O1382">
        <v>9621</v>
      </c>
    </row>
    <row r="1383" spans="1:16">
      <c r="A1383" t="str">
        <f t="shared" si="20"/>
        <v>WAUCHULAGCP OFFPK</v>
      </c>
      <c r="B1383" t="s">
        <v>724</v>
      </c>
      <c r="C1383" t="s">
        <v>64</v>
      </c>
      <c r="D1383">
        <v>11201</v>
      </c>
      <c r="E1383">
        <v>9408</v>
      </c>
      <c r="F1383">
        <v>9018</v>
      </c>
      <c r="G1383">
        <v>10727</v>
      </c>
      <c r="H1383">
        <v>11797</v>
      </c>
      <c r="I1383">
        <v>11873</v>
      </c>
      <c r="J1383">
        <v>11368</v>
      </c>
      <c r="K1383">
        <v>12351</v>
      </c>
      <c r="L1383">
        <v>11956</v>
      </c>
      <c r="M1383">
        <v>10730</v>
      </c>
      <c r="N1383">
        <v>9516</v>
      </c>
      <c r="O1383">
        <v>9064</v>
      </c>
    </row>
    <row r="1384" spans="1:16">
      <c r="A1384" t="str">
        <f t="shared" si="20"/>
        <v>WAUCHULACP</v>
      </c>
      <c r="B1384" t="s">
        <v>724</v>
      </c>
      <c r="C1384" t="s">
        <v>148</v>
      </c>
      <c r="D1384">
        <v>12444</v>
      </c>
      <c r="E1384">
        <v>8971</v>
      </c>
      <c r="F1384">
        <v>7541</v>
      </c>
      <c r="G1384">
        <v>12473</v>
      </c>
      <c r="H1384">
        <v>12591</v>
      </c>
      <c r="I1384">
        <v>12731</v>
      </c>
      <c r="J1384">
        <v>12637</v>
      </c>
      <c r="K1384">
        <v>13556</v>
      </c>
      <c r="L1384">
        <v>13084</v>
      </c>
      <c r="M1384">
        <v>11571</v>
      </c>
      <c r="N1384">
        <v>9252</v>
      </c>
      <c r="O1384">
        <v>8931</v>
      </c>
    </row>
    <row r="1385" spans="1:16">
      <c r="A1385" t="str">
        <f t="shared" si="20"/>
        <v>WAUCHULAPERIOD START</v>
      </c>
      <c r="B1385" t="s">
        <v>724</v>
      </c>
      <c r="C1385" t="s">
        <v>149</v>
      </c>
      <c r="D1385" s="1">
        <v>41640</v>
      </c>
      <c r="E1385" s="1">
        <v>41671</v>
      </c>
      <c r="F1385" s="1">
        <v>41699</v>
      </c>
      <c r="G1385" s="1">
        <v>41730</v>
      </c>
      <c r="H1385" s="1">
        <v>41760</v>
      </c>
      <c r="I1385" s="1">
        <v>41791</v>
      </c>
      <c r="J1385" s="1">
        <v>41821</v>
      </c>
      <c r="K1385" s="1">
        <v>41852</v>
      </c>
      <c r="L1385" s="1">
        <v>41883</v>
      </c>
      <c r="M1385" s="1">
        <v>41913</v>
      </c>
      <c r="N1385" s="1">
        <v>41944</v>
      </c>
      <c r="O1385" s="1">
        <v>41974</v>
      </c>
      <c r="P1385" s="1"/>
    </row>
    <row r="1386" spans="1:16">
      <c r="A1386" t="str">
        <f t="shared" si="20"/>
        <v>WAUCHULANCP LF</v>
      </c>
      <c r="B1386" t="s">
        <v>724</v>
      </c>
      <c r="C1386" t="s">
        <v>150</v>
      </c>
      <c r="D1386" s="5">
        <v>0.5504</v>
      </c>
      <c r="E1386" s="5">
        <v>0.65939999999999999</v>
      </c>
      <c r="F1386" s="5">
        <v>0.66830000000000001</v>
      </c>
      <c r="G1386" s="5">
        <v>0.55410000000000004</v>
      </c>
      <c r="H1386" s="5">
        <v>0.62029999999999996</v>
      </c>
      <c r="I1386" s="5">
        <v>0.62960000000000005</v>
      </c>
      <c r="J1386" s="5">
        <v>0.64429999999999998</v>
      </c>
      <c r="K1386" s="5">
        <v>0.64529999999999998</v>
      </c>
      <c r="L1386" s="5">
        <v>0.61750000000000005</v>
      </c>
      <c r="M1386" s="5">
        <v>0.57950000000000002</v>
      </c>
      <c r="N1386" s="5">
        <v>0.62860000000000005</v>
      </c>
      <c r="O1386" s="5">
        <v>0.65600000000000003</v>
      </c>
      <c r="P1386" s="5"/>
    </row>
    <row r="1387" spans="1:16">
      <c r="A1387" t="str">
        <f t="shared" si="20"/>
        <v>WAUCHULANCP LF ONPK</v>
      </c>
      <c r="B1387" t="s">
        <v>724</v>
      </c>
      <c r="C1387" t="s">
        <v>151</v>
      </c>
      <c r="D1387" s="5">
        <v>0.63680000000000003</v>
      </c>
      <c r="E1387" s="5">
        <v>0.7621</v>
      </c>
      <c r="F1387" s="5">
        <v>0.77059999999999995</v>
      </c>
      <c r="G1387" s="5">
        <v>0.71220000000000006</v>
      </c>
      <c r="H1387" s="5">
        <v>0.82320000000000004</v>
      </c>
      <c r="I1387" s="5">
        <v>0.82010000000000005</v>
      </c>
      <c r="J1387" s="5">
        <v>0.83660000000000001</v>
      </c>
      <c r="K1387" s="5">
        <v>0.84089999999999998</v>
      </c>
      <c r="L1387" s="5">
        <v>0.80330000000000001</v>
      </c>
      <c r="M1387" s="5">
        <v>0.76480000000000004</v>
      </c>
      <c r="N1387" s="5">
        <v>0.73360000000000003</v>
      </c>
      <c r="O1387" s="5">
        <v>0.7359</v>
      </c>
      <c r="P1387" s="5"/>
    </row>
    <row r="1388" spans="1:16">
      <c r="A1388" t="str">
        <f t="shared" si="20"/>
        <v>WAUCHULANCP LF OFFPK</v>
      </c>
      <c r="B1388" t="s">
        <v>724</v>
      </c>
      <c r="C1388" t="s">
        <v>152</v>
      </c>
      <c r="D1388" s="5">
        <v>0.58169999999999999</v>
      </c>
      <c r="E1388" s="5">
        <v>0.63780000000000003</v>
      </c>
      <c r="F1388" s="5">
        <v>0.64839999999999998</v>
      </c>
      <c r="G1388" s="5">
        <v>0.57450000000000001</v>
      </c>
      <c r="H1388" s="5">
        <v>0.59130000000000005</v>
      </c>
      <c r="I1388" s="5">
        <v>0.62670000000000003</v>
      </c>
      <c r="J1388" s="5">
        <v>0.65490000000000004</v>
      </c>
      <c r="K1388" s="5">
        <v>0.6351</v>
      </c>
      <c r="L1388" s="5">
        <v>0.60329999999999995</v>
      </c>
      <c r="M1388" s="5">
        <v>0.58430000000000004</v>
      </c>
      <c r="N1388" s="5">
        <v>0.60699999999999998</v>
      </c>
      <c r="O1388" s="5">
        <v>0.67</v>
      </c>
      <c r="P1388" s="5"/>
    </row>
    <row r="1389" spans="1:16">
      <c r="A1389" t="str">
        <f t="shared" si="20"/>
        <v>WAUCHULAGCP CF</v>
      </c>
      <c r="B1389" t="s">
        <v>724</v>
      </c>
      <c r="C1389" t="s">
        <v>153</v>
      </c>
      <c r="D1389" s="5">
        <v>1</v>
      </c>
      <c r="E1389" s="5">
        <v>1</v>
      </c>
      <c r="F1389" s="5">
        <v>1</v>
      </c>
      <c r="G1389" s="5">
        <v>1</v>
      </c>
      <c r="H1389" s="5">
        <v>1</v>
      </c>
      <c r="I1389" s="5">
        <v>1</v>
      </c>
      <c r="J1389" s="5">
        <v>1</v>
      </c>
      <c r="K1389" s="5">
        <v>1</v>
      </c>
      <c r="L1389" s="5">
        <v>1</v>
      </c>
      <c r="M1389" s="5">
        <v>1</v>
      </c>
      <c r="N1389" s="5">
        <v>1</v>
      </c>
      <c r="O1389" s="5">
        <v>1</v>
      </c>
      <c r="P1389" s="5"/>
    </row>
    <row r="1390" spans="1:16">
      <c r="A1390" t="str">
        <f t="shared" si="20"/>
        <v>WAUCHULACP CF</v>
      </c>
      <c r="B1390" t="s">
        <v>724</v>
      </c>
      <c r="C1390" t="s">
        <v>154</v>
      </c>
      <c r="D1390" s="5">
        <v>1</v>
      </c>
      <c r="E1390" s="5">
        <v>0.9536</v>
      </c>
      <c r="F1390" s="5">
        <v>0.83620000000000005</v>
      </c>
      <c r="G1390" s="5">
        <v>1</v>
      </c>
      <c r="H1390" s="5">
        <v>0.99490000000000001</v>
      </c>
      <c r="I1390" s="5">
        <v>0.96120000000000005</v>
      </c>
      <c r="J1390" s="5">
        <v>0.97529999999999994</v>
      </c>
      <c r="K1390" s="5">
        <v>1</v>
      </c>
      <c r="L1390" s="5">
        <v>1</v>
      </c>
      <c r="M1390" s="5">
        <v>0.93779999999999997</v>
      </c>
      <c r="N1390" s="5">
        <v>0.97230000000000005</v>
      </c>
      <c r="O1390" s="5">
        <v>0.92820000000000003</v>
      </c>
      <c r="P1390" s="5"/>
    </row>
    <row r="1391" spans="1:16">
      <c r="A1391" t="str">
        <f t="shared" ref="A1391:A1454" si="21">B1391&amp;C1391</f>
        <v>WAUCHULAGCP LF</v>
      </c>
      <c r="B1391" t="s">
        <v>724</v>
      </c>
      <c r="C1391" t="s">
        <v>155</v>
      </c>
      <c r="D1391" s="5">
        <v>0.5504</v>
      </c>
      <c r="E1391" s="5">
        <v>0.65939999999999999</v>
      </c>
      <c r="F1391" s="5">
        <v>0.66830000000000001</v>
      </c>
      <c r="G1391" s="5">
        <v>0.55410000000000004</v>
      </c>
      <c r="H1391" s="5">
        <v>0.62029999999999996</v>
      </c>
      <c r="I1391" s="5">
        <v>0.62960000000000005</v>
      </c>
      <c r="J1391" s="5">
        <v>0.64429999999999998</v>
      </c>
      <c r="K1391" s="5">
        <v>0.64529999999999998</v>
      </c>
      <c r="L1391" s="5">
        <v>0.61750000000000005</v>
      </c>
      <c r="M1391" s="5">
        <v>0.57950000000000002</v>
      </c>
      <c r="N1391" s="5">
        <v>0.62860000000000005</v>
      </c>
      <c r="O1391" s="5">
        <v>0.65600000000000003</v>
      </c>
      <c r="P1391" s="5"/>
    </row>
    <row r="1392" spans="1:16">
      <c r="A1392" t="str">
        <f t="shared" si="21"/>
        <v>WAUCHULAGCP LF ONPK</v>
      </c>
      <c r="B1392" t="s">
        <v>724</v>
      </c>
      <c r="C1392" t="s">
        <v>156</v>
      </c>
      <c r="D1392" s="5">
        <v>0.63680000000000003</v>
      </c>
      <c r="E1392" s="5">
        <v>0.7621</v>
      </c>
      <c r="F1392" s="5">
        <v>0.77059999999999995</v>
      </c>
      <c r="G1392" s="5">
        <v>0.71220000000000006</v>
      </c>
      <c r="H1392" s="5">
        <v>0.82320000000000004</v>
      </c>
      <c r="I1392" s="5">
        <v>0.82010000000000005</v>
      </c>
      <c r="J1392" s="5">
        <v>0.83660000000000001</v>
      </c>
      <c r="K1392" s="5">
        <v>0.84089999999999998</v>
      </c>
      <c r="L1392" s="5">
        <v>0.80330000000000001</v>
      </c>
      <c r="M1392" s="5">
        <v>0.76480000000000004</v>
      </c>
      <c r="N1392" s="5">
        <v>0.73360000000000003</v>
      </c>
      <c r="O1392" s="5">
        <v>0.7359</v>
      </c>
      <c r="P1392" s="5"/>
    </row>
    <row r="1393" spans="1:16">
      <c r="A1393" t="str">
        <f t="shared" si="21"/>
        <v>WAUCHULAGCP LF OFFPK</v>
      </c>
      <c r="B1393" t="s">
        <v>724</v>
      </c>
      <c r="C1393" t="s">
        <v>157</v>
      </c>
      <c r="D1393" s="5">
        <v>0.58169999999999999</v>
      </c>
      <c r="E1393" s="5">
        <v>0.63780000000000003</v>
      </c>
      <c r="F1393" s="5">
        <v>0.64839999999999998</v>
      </c>
      <c r="G1393" s="5">
        <v>0.57450000000000001</v>
      </c>
      <c r="H1393" s="5">
        <v>0.59130000000000005</v>
      </c>
      <c r="I1393" s="5">
        <v>0.62670000000000003</v>
      </c>
      <c r="J1393" s="5">
        <v>0.65490000000000004</v>
      </c>
      <c r="K1393" s="5">
        <v>0.6351</v>
      </c>
      <c r="L1393" s="5">
        <v>0.60329999999999995</v>
      </c>
      <c r="M1393" s="5">
        <v>0.58430000000000004</v>
      </c>
      <c r="N1393" s="5">
        <v>0.60699999999999998</v>
      </c>
      <c r="O1393" s="5">
        <v>0.67</v>
      </c>
      <c r="P1393" s="5"/>
    </row>
    <row r="1394" spans="1:16">
      <c r="A1394" t="str">
        <f t="shared" si="21"/>
        <v>WAUCHULACP LF</v>
      </c>
      <c r="B1394" t="s">
        <v>724</v>
      </c>
      <c r="C1394" t="s">
        <v>158</v>
      </c>
      <c r="D1394" s="5">
        <v>0.5504</v>
      </c>
      <c r="E1394" s="5">
        <v>0.6915</v>
      </c>
      <c r="F1394" s="5">
        <v>0.79920000000000002</v>
      </c>
      <c r="G1394" s="5">
        <v>0.55410000000000004</v>
      </c>
      <c r="H1394" s="5">
        <v>0.62350000000000005</v>
      </c>
      <c r="I1394" s="5">
        <v>0.65500000000000003</v>
      </c>
      <c r="J1394" s="5">
        <v>0.66059999999999997</v>
      </c>
      <c r="K1394" s="5">
        <v>0.64529999999999998</v>
      </c>
      <c r="L1394" s="5">
        <v>0.61750000000000005</v>
      </c>
      <c r="M1394" s="5">
        <v>0.61799999999999999</v>
      </c>
      <c r="N1394" s="5">
        <v>0.64649999999999996</v>
      </c>
      <c r="O1394" s="5">
        <v>0.70669999999999999</v>
      </c>
      <c r="P1394" s="5"/>
    </row>
    <row r="1395" spans="1:16">
      <c r="A1395" t="str">
        <f t="shared" si="21"/>
        <v>WAUCHULAREL PREC:</v>
      </c>
      <c r="B1395" t="s">
        <v>724</v>
      </c>
      <c r="C1395" t="s">
        <v>65</v>
      </c>
    </row>
    <row r="1396" spans="1:16">
      <c r="A1396" t="str">
        <f t="shared" si="21"/>
        <v>WAUCHULANCP RP</v>
      </c>
      <c r="B1396" t="s">
        <v>724</v>
      </c>
      <c r="C1396" t="s">
        <v>159</v>
      </c>
      <c r="D1396" s="5">
        <v>0</v>
      </c>
      <c r="E1396" s="5">
        <v>0</v>
      </c>
      <c r="F1396" s="5">
        <v>0</v>
      </c>
      <c r="G1396" s="5">
        <v>0</v>
      </c>
      <c r="H1396" s="5">
        <v>0</v>
      </c>
      <c r="I1396" s="5">
        <v>0</v>
      </c>
      <c r="J1396" s="5">
        <v>0</v>
      </c>
      <c r="K1396" s="5">
        <v>0</v>
      </c>
      <c r="L1396" s="5">
        <v>0</v>
      </c>
      <c r="M1396" s="5">
        <v>0</v>
      </c>
      <c r="N1396" s="5">
        <v>0</v>
      </c>
      <c r="O1396" s="5">
        <v>0</v>
      </c>
      <c r="P1396" s="5"/>
    </row>
    <row r="1397" spans="1:16">
      <c r="A1397" t="str">
        <f t="shared" si="21"/>
        <v>WAUCHULANCP RP ONPK</v>
      </c>
      <c r="B1397" t="s">
        <v>724</v>
      </c>
      <c r="C1397" t="s">
        <v>160</v>
      </c>
      <c r="D1397" s="5">
        <v>0</v>
      </c>
      <c r="E1397" s="5">
        <v>0</v>
      </c>
      <c r="F1397" s="5">
        <v>0</v>
      </c>
      <c r="G1397" s="5">
        <v>0</v>
      </c>
      <c r="H1397" s="5">
        <v>0</v>
      </c>
      <c r="I1397" s="5">
        <v>0</v>
      </c>
      <c r="J1397" s="5">
        <v>0</v>
      </c>
      <c r="K1397" s="5">
        <v>0</v>
      </c>
      <c r="L1397" s="5">
        <v>0</v>
      </c>
      <c r="M1397" s="5">
        <v>0</v>
      </c>
      <c r="N1397" s="5">
        <v>0</v>
      </c>
      <c r="O1397" s="5">
        <v>0</v>
      </c>
      <c r="P1397" s="5"/>
    </row>
    <row r="1398" spans="1:16">
      <c r="A1398" t="str">
        <f t="shared" si="21"/>
        <v>WAUCHULANCP RP OFFPK</v>
      </c>
      <c r="B1398" t="s">
        <v>724</v>
      </c>
      <c r="C1398" t="s">
        <v>161</v>
      </c>
      <c r="D1398" s="5">
        <v>0</v>
      </c>
      <c r="E1398" s="5">
        <v>0</v>
      </c>
      <c r="F1398" s="5">
        <v>0</v>
      </c>
      <c r="G1398" s="5">
        <v>0</v>
      </c>
      <c r="H1398" s="5">
        <v>0</v>
      </c>
      <c r="I1398" s="5">
        <v>0</v>
      </c>
      <c r="J1398" s="5">
        <v>0</v>
      </c>
      <c r="K1398" s="5">
        <v>0</v>
      </c>
      <c r="L1398" s="5">
        <v>0</v>
      </c>
      <c r="M1398" s="5">
        <v>0</v>
      </c>
      <c r="N1398" s="5">
        <v>0</v>
      </c>
      <c r="O1398" s="5">
        <v>0</v>
      </c>
      <c r="P1398" s="5"/>
    </row>
    <row r="1399" spans="1:16">
      <c r="A1399" t="str">
        <f t="shared" si="21"/>
        <v>WAUCHULAGCP RP</v>
      </c>
      <c r="B1399" t="s">
        <v>724</v>
      </c>
      <c r="C1399" t="s">
        <v>162</v>
      </c>
      <c r="D1399" s="5">
        <v>0</v>
      </c>
      <c r="E1399" s="5">
        <v>0</v>
      </c>
      <c r="F1399" s="5">
        <v>0</v>
      </c>
      <c r="G1399" s="5">
        <v>0</v>
      </c>
      <c r="H1399" s="5">
        <v>0</v>
      </c>
      <c r="I1399" s="5">
        <v>0</v>
      </c>
      <c r="J1399" s="5">
        <v>0</v>
      </c>
      <c r="K1399" s="5">
        <v>0</v>
      </c>
      <c r="L1399" s="5">
        <v>0</v>
      </c>
      <c r="M1399" s="5">
        <v>0</v>
      </c>
      <c r="N1399" s="5">
        <v>0</v>
      </c>
      <c r="O1399" s="5">
        <v>0</v>
      </c>
      <c r="P1399" s="5"/>
    </row>
    <row r="1400" spans="1:16">
      <c r="A1400" t="str">
        <f t="shared" si="21"/>
        <v>WAUCHULAGCP RP ONPK</v>
      </c>
      <c r="B1400" t="s">
        <v>724</v>
      </c>
      <c r="C1400" t="s">
        <v>163</v>
      </c>
      <c r="D1400" s="5">
        <v>0</v>
      </c>
      <c r="E1400" s="5">
        <v>0</v>
      </c>
      <c r="F1400" s="5">
        <v>0</v>
      </c>
      <c r="G1400" s="5">
        <v>0</v>
      </c>
      <c r="H1400" s="5">
        <v>0</v>
      </c>
      <c r="I1400" s="5">
        <v>0</v>
      </c>
      <c r="J1400" s="5">
        <v>0</v>
      </c>
      <c r="K1400" s="5">
        <v>0</v>
      </c>
      <c r="L1400" s="5">
        <v>0</v>
      </c>
      <c r="M1400" s="5">
        <v>0</v>
      </c>
      <c r="N1400" s="5">
        <v>0</v>
      </c>
      <c r="O1400" s="5">
        <v>0</v>
      </c>
      <c r="P1400" s="5"/>
    </row>
    <row r="1401" spans="1:16">
      <c r="A1401" t="str">
        <f t="shared" si="21"/>
        <v>WAUCHULAGCP RP OFFPK</v>
      </c>
      <c r="B1401" t="s">
        <v>724</v>
      </c>
      <c r="C1401" t="s">
        <v>164</v>
      </c>
      <c r="D1401" s="5">
        <v>0</v>
      </c>
      <c r="E1401" s="5">
        <v>0</v>
      </c>
      <c r="F1401" s="5">
        <v>0</v>
      </c>
      <c r="G1401" s="5">
        <v>0</v>
      </c>
      <c r="H1401" s="5">
        <v>0</v>
      </c>
      <c r="I1401" s="5">
        <v>0</v>
      </c>
      <c r="J1401" s="5">
        <v>0</v>
      </c>
      <c r="K1401" s="5">
        <v>0</v>
      </c>
      <c r="L1401" s="5">
        <v>0</v>
      </c>
      <c r="M1401" s="5">
        <v>0</v>
      </c>
      <c r="N1401" s="5">
        <v>0</v>
      </c>
      <c r="O1401" s="5">
        <v>0</v>
      </c>
      <c r="P1401" s="5"/>
    </row>
    <row r="1402" spans="1:16">
      <c r="A1402" t="str">
        <f t="shared" si="21"/>
        <v>WAUCHULACP RP</v>
      </c>
      <c r="B1402" t="s">
        <v>724</v>
      </c>
      <c r="C1402" t="s">
        <v>165</v>
      </c>
      <c r="D1402" s="5">
        <v>0</v>
      </c>
      <c r="E1402" s="5">
        <v>0</v>
      </c>
      <c r="F1402" s="5">
        <v>0</v>
      </c>
      <c r="G1402" s="5">
        <v>0</v>
      </c>
      <c r="H1402" s="5">
        <v>0</v>
      </c>
      <c r="I1402" s="5">
        <v>0</v>
      </c>
      <c r="J1402" s="5">
        <v>0</v>
      </c>
      <c r="K1402" s="5">
        <v>0</v>
      </c>
      <c r="L1402" s="5">
        <v>0</v>
      </c>
      <c r="M1402" s="5">
        <v>0</v>
      </c>
      <c r="N1402" s="5">
        <v>0</v>
      </c>
      <c r="O1402" s="5">
        <v>0</v>
      </c>
      <c r="P1402" s="5"/>
    </row>
    <row r="1403" spans="1:16">
      <c r="A1403" t="str">
        <f t="shared" si="21"/>
        <v>WAUCHULASAMPLE SIZE:</v>
      </c>
      <c r="B1403" t="s">
        <v>724</v>
      </c>
      <c r="C1403" t="s">
        <v>66</v>
      </c>
    </row>
    <row r="1404" spans="1:16">
      <c r="A1404" t="str">
        <f t="shared" si="21"/>
        <v>WAUCHULAGCPSZ</v>
      </c>
      <c r="B1404" t="s">
        <v>724</v>
      </c>
      <c r="C1404" t="s">
        <v>166</v>
      </c>
      <c r="D1404">
        <v>1</v>
      </c>
      <c r="E1404">
        <v>1</v>
      </c>
      <c r="F1404">
        <v>1</v>
      </c>
      <c r="G1404">
        <v>1</v>
      </c>
      <c r="H1404">
        <v>1</v>
      </c>
      <c r="I1404">
        <v>1</v>
      </c>
      <c r="J1404">
        <v>1</v>
      </c>
      <c r="K1404">
        <v>1</v>
      </c>
      <c r="L1404">
        <v>1</v>
      </c>
      <c r="M1404">
        <v>1</v>
      </c>
      <c r="N1404">
        <v>1</v>
      </c>
      <c r="O1404">
        <v>1</v>
      </c>
    </row>
    <row r="1405" spans="1:16">
      <c r="A1405" t="str">
        <f t="shared" si="21"/>
        <v>WAUCHULAGCPSZ ONPK</v>
      </c>
      <c r="B1405" t="s">
        <v>724</v>
      </c>
      <c r="C1405" t="s">
        <v>167</v>
      </c>
      <c r="D1405">
        <v>1</v>
      </c>
      <c r="E1405">
        <v>1</v>
      </c>
      <c r="F1405">
        <v>1</v>
      </c>
      <c r="G1405">
        <v>1</v>
      </c>
      <c r="H1405">
        <v>1</v>
      </c>
      <c r="I1405">
        <v>1</v>
      </c>
      <c r="J1405">
        <v>1</v>
      </c>
      <c r="K1405">
        <v>1</v>
      </c>
      <c r="L1405">
        <v>1</v>
      </c>
      <c r="M1405">
        <v>1</v>
      </c>
      <c r="N1405">
        <v>1</v>
      </c>
      <c r="O1405">
        <v>1</v>
      </c>
    </row>
    <row r="1406" spans="1:16">
      <c r="A1406" t="str">
        <f t="shared" si="21"/>
        <v>WAUCHULAGCPSZ OFFPK</v>
      </c>
      <c r="B1406" t="s">
        <v>724</v>
      </c>
      <c r="C1406" t="s">
        <v>168</v>
      </c>
      <c r="D1406">
        <v>1</v>
      </c>
      <c r="E1406">
        <v>1</v>
      </c>
      <c r="F1406">
        <v>1</v>
      </c>
      <c r="G1406">
        <v>1</v>
      </c>
      <c r="H1406">
        <v>1</v>
      </c>
      <c r="I1406">
        <v>1</v>
      </c>
      <c r="J1406">
        <v>1</v>
      </c>
      <c r="K1406">
        <v>1</v>
      </c>
      <c r="L1406">
        <v>1</v>
      </c>
      <c r="M1406">
        <v>1</v>
      </c>
      <c r="N1406">
        <v>1</v>
      </c>
      <c r="O1406">
        <v>1</v>
      </c>
    </row>
    <row r="1407" spans="1:16">
      <c r="A1407" t="str">
        <f t="shared" si="21"/>
        <v>WAUCHULACPSZ</v>
      </c>
      <c r="B1407" t="s">
        <v>724</v>
      </c>
      <c r="C1407" t="s">
        <v>169</v>
      </c>
      <c r="D1407">
        <v>1</v>
      </c>
      <c r="E1407">
        <v>1</v>
      </c>
      <c r="F1407">
        <v>1</v>
      </c>
      <c r="G1407">
        <v>1</v>
      </c>
      <c r="H1407">
        <v>1</v>
      </c>
      <c r="I1407">
        <v>1</v>
      </c>
      <c r="J1407">
        <v>1</v>
      </c>
      <c r="K1407">
        <v>1</v>
      </c>
      <c r="L1407">
        <v>1</v>
      </c>
      <c r="M1407">
        <v>1</v>
      </c>
      <c r="N1407">
        <v>1</v>
      </c>
      <c r="O1407">
        <v>1</v>
      </c>
    </row>
    <row r="1408" spans="1:16">
      <c r="A1408" t="str">
        <f t="shared" si="21"/>
        <v/>
      </c>
    </row>
    <row r="1409" spans="1:16" ht="14.4">
      <c r="A1409" t="str">
        <f t="shared" si="21"/>
        <v>NOTE:     Sales line does not match sales in the Rate and Revenue Report due to billing lag.</v>
      </c>
      <c r="B1409" s="301" t="s">
        <v>608</v>
      </c>
    </row>
    <row r="1410" spans="1:16">
      <c r="A1410" t="str">
        <f t="shared" si="21"/>
        <v xml:space="preserve">                 In addition, the City of Blountstown, FKEC, City of Wauchula and Lee County are classified as Rate Code 940. The sales for the contracts are reported combined in the Rate &amp; Revenue Report.</v>
      </c>
      <c r="B1410" s="302" t="s">
        <v>609</v>
      </c>
    </row>
    <row r="1411" spans="1:16">
      <c r="A1411" t="str">
        <f t="shared" si="21"/>
        <v/>
      </c>
    </row>
    <row r="1412" spans="1:16">
      <c r="A1412" t="str">
        <f t="shared" si="21"/>
        <v xml:space="preserve">WINTERPARK Wholesale City of Winter Park </v>
      </c>
      <c r="B1412" t="s">
        <v>725</v>
      </c>
      <c r="C1412" t="s">
        <v>726</v>
      </c>
    </row>
    <row r="1413" spans="1:16">
      <c r="A1413" t="str">
        <f t="shared" si="21"/>
        <v xml:space="preserve">WINTERPARKMONTH </v>
      </c>
      <c r="B1413" t="s">
        <v>727</v>
      </c>
      <c r="C1413" t="s">
        <v>123</v>
      </c>
      <c r="D1413" s="4">
        <v>41640</v>
      </c>
      <c r="E1413" s="4">
        <v>41671</v>
      </c>
      <c r="F1413" s="4">
        <v>41699</v>
      </c>
      <c r="G1413" s="4">
        <v>41730</v>
      </c>
      <c r="H1413" s="4">
        <v>41760</v>
      </c>
      <c r="I1413" s="4">
        <v>41791</v>
      </c>
      <c r="J1413" s="4">
        <v>41821</v>
      </c>
      <c r="K1413" s="4">
        <v>41852</v>
      </c>
      <c r="L1413" s="4">
        <v>41883</v>
      </c>
      <c r="M1413" s="4">
        <v>41913</v>
      </c>
      <c r="N1413" s="4">
        <v>41944</v>
      </c>
      <c r="O1413" s="4">
        <v>41974</v>
      </c>
      <c r="P1413" s="4"/>
    </row>
    <row r="1414" spans="1:16">
      <c r="A1414" t="str">
        <f t="shared" si="21"/>
        <v xml:space="preserve">WINTERPARKCUSTOMERS </v>
      </c>
      <c r="B1414" t="s">
        <v>727</v>
      </c>
      <c r="C1414" t="s">
        <v>124</v>
      </c>
      <c r="D1414">
        <v>2</v>
      </c>
      <c r="E1414">
        <v>3</v>
      </c>
      <c r="F1414">
        <v>3</v>
      </c>
      <c r="G1414">
        <v>3</v>
      </c>
      <c r="H1414">
        <v>3</v>
      </c>
      <c r="I1414">
        <v>3</v>
      </c>
      <c r="J1414">
        <v>2</v>
      </c>
      <c r="K1414">
        <v>2</v>
      </c>
      <c r="L1414">
        <v>2</v>
      </c>
      <c r="M1414">
        <v>2</v>
      </c>
      <c r="N1414">
        <v>2</v>
      </c>
      <c r="O1414">
        <v>2</v>
      </c>
    </row>
    <row r="1415" spans="1:16">
      <c r="A1415" t="str">
        <f t="shared" si="21"/>
        <v xml:space="preserve">WINTERPARKSALES </v>
      </c>
      <c r="B1415" t="s">
        <v>727</v>
      </c>
      <c r="C1415" t="s">
        <v>125</v>
      </c>
      <c r="D1415">
        <v>93356393</v>
      </c>
      <c r="E1415">
        <v>16537000</v>
      </c>
      <c r="F1415">
        <v>34099000</v>
      </c>
      <c r="G1415">
        <v>31857000</v>
      </c>
      <c r="H1415">
        <v>22587000</v>
      </c>
      <c r="I1415">
        <v>31565000</v>
      </c>
      <c r="J1415">
        <v>39650000</v>
      </c>
      <c r="K1415">
        <v>41742000</v>
      </c>
      <c r="L1415">
        <v>42082000</v>
      </c>
      <c r="M1415">
        <v>34460000</v>
      </c>
      <c r="N1415">
        <v>31168000</v>
      </c>
      <c r="O1415">
        <v>23287000</v>
      </c>
    </row>
    <row r="1416" spans="1:16">
      <c r="A1416" t="str">
        <f t="shared" si="21"/>
        <v>WINTERPARKKW</v>
      </c>
      <c r="B1416" t="s">
        <v>727</v>
      </c>
      <c r="C1416" t="s">
        <v>126</v>
      </c>
    </row>
    <row r="1417" spans="1:16">
      <c r="A1417" t="str">
        <f t="shared" si="21"/>
        <v>WINTERPARKN</v>
      </c>
      <c r="B1417" t="s">
        <v>727</v>
      </c>
      <c r="C1417" t="s">
        <v>127</v>
      </c>
      <c r="D1417">
        <v>1</v>
      </c>
      <c r="E1417">
        <v>1</v>
      </c>
      <c r="F1417">
        <v>1</v>
      </c>
      <c r="G1417">
        <v>1</v>
      </c>
      <c r="H1417">
        <v>1</v>
      </c>
      <c r="I1417">
        <v>1</v>
      </c>
      <c r="J1417">
        <v>1</v>
      </c>
      <c r="K1417">
        <v>1</v>
      </c>
      <c r="L1417">
        <v>1</v>
      </c>
      <c r="M1417">
        <v>1</v>
      </c>
      <c r="N1417">
        <v>1</v>
      </c>
      <c r="O1417">
        <v>1</v>
      </c>
    </row>
    <row r="1418" spans="1:16">
      <c r="A1418" t="str">
        <f t="shared" si="21"/>
        <v>WINTERPARKRLR ENERGY:</v>
      </c>
      <c r="B1418" t="s">
        <v>727</v>
      </c>
      <c r="C1418" t="s">
        <v>61</v>
      </c>
    </row>
    <row r="1419" spans="1:16">
      <c r="A1419" t="str">
        <f t="shared" si="21"/>
        <v>WINTERPARKKWH</v>
      </c>
      <c r="B1419" t="s">
        <v>727</v>
      </c>
      <c r="C1419" t="s">
        <v>128</v>
      </c>
      <c r="D1419">
        <v>16537000</v>
      </c>
      <c r="E1419">
        <v>15456000</v>
      </c>
      <c r="F1419">
        <v>16974000</v>
      </c>
      <c r="G1419">
        <v>15387000</v>
      </c>
      <c r="H1419">
        <v>16790000</v>
      </c>
      <c r="I1419">
        <v>16560000</v>
      </c>
      <c r="J1419">
        <v>17112000</v>
      </c>
      <c r="K1419">
        <v>17112000</v>
      </c>
      <c r="L1419">
        <v>16560000</v>
      </c>
      <c r="M1419">
        <v>16583000</v>
      </c>
      <c r="N1419">
        <v>16031000</v>
      </c>
      <c r="O1419">
        <v>15847000</v>
      </c>
    </row>
    <row r="1420" spans="1:16">
      <c r="A1420" t="str">
        <f t="shared" si="21"/>
        <v>WINTERPARKKWH ONPK</v>
      </c>
      <c r="B1420" t="s">
        <v>727</v>
      </c>
      <c r="C1420" t="s">
        <v>129</v>
      </c>
      <c r="D1420">
        <v>4048000</v>
      </c>
      <c r="E1420">
        <v>3680000</v>
      </c>
      <c r="F1420">
        <v>3864000</v>
      </c>
      <c r="G1420">
        <v>4554000</v>
      </c>
      <c r="H1420">
        <v>4347000</v>
      </c>
      <c r="I1420">
        <v>4347000</v>
      </c>
      <c r="J1420">
        <v>4554000</v>
      </c>
      <c r="K1420">
        <v>4347000</v>
      </c>
      <c r="L1420">
        <v>4347000</v>
      </c>
      <c r="M1420">
        <v>4761000</v>
      </c>
      <c r="N1420">
        <v>3496000</v>
      </c>
      <c r="O1420">
        <v>4048000</v>
      </c>
    </row>
    <row r="1421" spans="1:16">
      <c r="A1421" t="str">
        <f t="shared" si="21"/>
        <v>WINTERPARKKWH OFFPK</v>
      </c>
      <c r="B1421" t="s">
        <v>727</v>
      </c>
      <c r="C1421" t="s">
        <v>130</v>
      </c>
      <c r="D1421">
        <v>12489000</v>
      </c>
      <c r="E1421">
        <v>11776000</v>
      </c>
      <c r="F1421">
        <v>13110000</v>
      </c>
      <c r="G1421">
        <v>10833000</v>
      </c>
      <c r="H1421">
        <v>12443000</v>
      </c>
      <c r="I1421">
        <v>12213000</v>
      </c>
      <c r="J1421">
        <v>12558000</v>
      </c>
      <c r="K1421">
        <v>12765000</v>
      </c>
      <c r="L1421">
        <v>12213000</v>
      </c>
      <c r="M1421">
        <v>11822000</v>
      </c>
      <c r="N1421">
        <v>12535000</v>
      </c>
      <c r="O1421">
        <v>11799000</v>
      </c>
    </row>
    <row r="1422" spans="1:16">
      <c r="A1422" t="str">
        <f t="shared" si="21"/>
        <v>WINTERPARKKWH ONPK%</v>
      </c>
      <c r="B1422" t="s">
        <v>727</v>
      </c>
      <c r="C1422" t="s">
        <v>131</v>
      </c>
      <c r="D1422" s="5">
        <v>0.24478</v>
      </c>
      <c r="E1422" s="5">
        <v>0.23810000000000001</v>
      </c>
      <c r="F1422" s="5">
        <v>0.22764000000000001</v>
      </c>
      <c r="G1422" s="5">
        <v>0.29596</v>
      </c>
      <c r="H1422" s="5">
        <v>0.25890000000000002</v>
      </c>
      <c r="I1422" s="5">
        <v>0.26250000000000001</v>
      </c>
      <c r="J1422" s="5">
        <v>0.26612999999999998</v>
      </c>
      <c r="K1422" s="5">
        <v>0.25402999999999998</v>
      </c>
      <c r="L1422" s="5">
        <v>0.26250000000000001</v>
      </c>
      <c r="M1422" s="5">
        <v>0.28710000000000002</v>
      </c>
      <c r="N1422" s="5">
        <v>0.21808</v>
      </c>
      <c r="O1422" s="5">
        <v>0.25544</v>
      </c>
      <c r="P1422" s="5"/>
    </row>
    <row r="1423" spans="1:16">
      <c r="A1423" t="str">
        <f t="shared" si="21"/>
        <v>WINTERPARKKWH OFFPK%</v>
      </c>
      <c r="B1423" t="s">
        <v>727</v>
      </c>
      <c r="C1423" t="s">
        <v>132</v>
      </c>
      <c r="D1423" s="5">
        <v>0.75522</v>
      </c>
      <c r="E1423" s="5">
        <v>0.76190000000000002</v>
      </c>
      <c r="F1423" s="5">
        <v>0.77236000000000005</v>
      </c>
      <c r="G1423" s="5">
        <v>0.70404</v>
      </c>
      <c r="H1423" s="5">
        <v>0.74109999999999998</v>
      </c>
      <c r="I1423" s="5">
        <v>0.73750000000000004</v>
      </c>
      <c r="J1423" s="5">
        <v>0.73387000000000002</v>
      </c>
      <c r="K1423" s="5">
        <v>0.74597000000000002</v>
      </c>
      <c r="L1423" s="5">
        <v>0.73750000000000004</v>
      </c>
      <c r="M1423" s="5">
        <v>0.71289999999999998</v>
      </c>
      <c r="N1423" s="5">
        <v>0.78191999999999995</v>
      </c>
      <c r="O1423" s="5">
        <v>0.74456</v>
      </c>
      <c r="P1423" s="5"/>
    </row>
    <row r="1424" spans="1:16">
      <c r="A1424" t="str">
        <f t="shared" si="21"/>
        <v>WINTERPARKDEMAND (KW):</v>
      </c>
      <c r="B1424" t="s">
        <v>727</v>
      </c>
      <c r="C1424" t="s">
        <v>62</v>
      </c>
    </row>
    <row r="1425" spans="1:16">
      <c r="A1425" t="str">
        <f t="shared" si="21"/>
        <v>WINTERPARKNCP</v>
      </c>
      <c r="B1425" t="s">
        <v>727</v>
      </c>
      <c r="C1425" t="s">
        <v>133</v>
      </c>
      <c r="D1425">
        <v>23000</v>
      </c>
      <c r="E1425">
        <v>23000</v>
      </c>
      <c r="F1425">
        <v>23000</v>
      </c>
      <c r="G1425">
        <v>23000</v>
      </c>
      <c r="H1425">
        <v>23000</v>
      </c>
      <c r="I1425">
        <v>23000</v>
      </c>
      <c r="J1425">
        <v>23000</v>
      </c>
      <c r="K1425">
        <v>23000</v>
      </c>
      <c r="L1425">
        <v>23000</v>
      </c>
      <c r="M1425">
        <v>23000</v>
      </c>
      <c r="N1425">
        <v>23000</v>
      </c>
      <c r="O1425">
        <v>23000</v>
      </c>
    </row>
    <row r="1426" spans="1:16">
      <c r="A1426" t="str">
        <f t="shared" si="21"/>
        <v>WINTERPARKNCP ONPK</v>
      </c>
      <c r="B1426" t="s">
        <v>727</v>
      </c>
      <c r="C1426" t="s">
        <v>134</v>
      </c>
      <c r="D1426">
        <v>23000</v>
      </c>
      <c r="E1426">
        <v>23000</v>
      </c>
      <c r="F1426">
        <v>23000</v>
      </c>
      <c r="G1426">
        <v>23000</v>
      </c>
      <c r="H1426">
        <v>23000</v>
      </c>
      <c r="I1426">
        <v>23000</v>
      </c>
      <c r="J1426">
        <v>23000</v>
      </c>
      <c r="K1426">
        <v>23000</v>
      </c>
      <c r="L1426">
        <v>23000</v>
      </c>
      <c r="M1426">
        <v>23000</v>
      </c>
      <c r="N1426">
        <v>23000</v>
      </c>
      <c r="O1426">
        <v>23000</v>
      </c>
    </row>
    <row r="1427" spans="1:16">
      <c r="A1427" t="str">
        <f t="shared" si="21"/>
        <v>WINTERPARKNCP OFFPK</v>
      </c>
      <c r="B1427" t="s">
        <v>727</v>
      </c>
      <c r="C1427" t="s">
        <v>135</v>
      </c>
      <c r="D1427">
        <v>23000</v>
      </c>
      <c r="E1427">
        <v>23000</v>
      </c>
      <c r="F1427">
        <v>23000</v>
      </c>
      <c r="G1427">
        <v>23000</v>
      </c>
      <c r="H1427">
        <v>23000</v>
      </c>
      <c r="I1427">
        <v>23000</v>
      </c>
      <c r="J1427">
        <v>23000</v>
      </c>
      <c r="K1427">
        <v>23000</v>
      </c>
      <c r="L1427">
        <v>23000</v>
      </c>
      <c r="M1427">
        <v>23000</v>
      </c>
      <c r="N1427">
        <v>23000</v>
      </c>
      <c r="O1427">
        <v>23000</v>
      </c>
    </row>
    <row r="1428" spans="1:16">
      <c r="A1428" t="str">
        <f t="shared" si="21"/>
        <v>WINTERPARKGCP DATE</v>
      </c>
      <c r="B1428" t="s">
        <v>727</v>
      </c>
      <c r="C1428" t="s">
        <v>136</v>
      </c>
      <c r="D1428" t="s">
        <v>624</v>
      </c>
      <c r="E1428" t="s">
        <v>682</v>
      </c>
      <c r="F1428" t="s">
        <v>674</v>
      </c>
      <c r="G1428" t="s">
        <v>306</v>
      </c>
      <c r="H1428" t="s">
        <v>254</v>
      </c>
      <c r="I1428" t="s">
        <v>675</v>
      </c>
      <c r="J1428" t="s">
        <v>676</v>
      </c>
      <c r="K1428" t="s">
        <v>677</v>
      </c>
      <c r="L1428" t="s">
        <v>628</v>
      </c>
      <c r="M1428" t="s">
        <v>678</v>
      </c>
      <c r="N1428" t="s">
        <v>679</v>
      </c>
      <c r="O1428" t="s">
        <v>680</v>
      </c>
    </row>
    <row r="1429" spans="1:16">
      <c r="A1429" t="str">
        <f t="shared" si="21"/>
        <v>WINTERPARKGCP TIME</v>
      </c>
      <c r="B1429" t="s">
        <v>727</v>
      </c>
      <c r="C1429" t="s">
        <v>142</v>
      </c>
      <c r="D1429" t="s">
        <v>201</v>
      </c>
      <c r="E1429" t="s">
        <v>201</v>
      </c>
      <c r="F1429" t="s">
        <v>201</v>
      </c>
      <c r="G1429" t="s">
        <v>201</v>
      </c>
      <c r="H1429" t="s">
        <v>201</v>
      </c>
      <c r="I1429" t="s">
        <v>201</v>
      </c>
      <c r="J1429" t="s">
        <v>201</v>
      </c>
      <c r="K1429" t="s">
        <v>201</v>
      </c>
      <c r="L1429" t="s">
        <v>201</v>
      </c>
      <c r="M1429" t="s">
        <v>201</v>
      </c>
      <c r="N1429" t="s">
        <v>201</v>
      </c>
      <c r="O1429" t="s">
        <v>201</v>
      </c>
    </row>
    <row r="1430" spans="1:16">
      <c r="A1430" t="str">
        <f t="shared" si="21"/>
        <v>WINTERPARKGCP</v>
      </c>
      <c r="B1430" t="s">
        <v>727</v>
      </c>
      <c r="C1430" t="s">
        <v>147</v>
      </c>
      <c r="D1430">
        <v>23000</v>
      </c>
      <c r="E1430">
        <v>23000</v>
      </c>
      <c r="F1430">
        <v>23000</v>
      </c>
      <c r="G1430">
        <v>23000</v>
      </c>
      <c r="H1430">
        <v>23000</v>
      </c>
      <c r="I1430">
        <v>23000</v>
      </c>
      <c r="J1430">
        <v>23000</v>
      </c>
      <c r="K1430">
        <v>23000</v>
      </c>
      <c r="L1430">
        <v>23000</v>
      </c>
      <c r="M1430">
        <v>23000</v>
      </c>
      <c r="N1430">
        <v>23000</v>
      </c>
      <c r="O1430">
        <v>23000</v>
      </c>
    </row>
    <row r="1431" spans="1:16">
      <c r="A1431" t="str">
        <f t="shared" si="21"/>
        <v>WINTERPARKGCP ONPK</v>
      </c>
      <c r="B1431" t="s">
        <v>727</v>
      </c>
      <c r="C1431" t="s">
        <v>63</v>
      </c>
      <c r="D1431">
        <v>23000</v>
      </c>
      <c r="E1431">
        <v>23000</v>
      </c>
      <c r="F1431">
        <v>23000</v>
      </c>
      <c r="G1431">
        <v>23000</v>
      </c>
      <c r="H1431">
        <v>23000</v>
      </c>
      <c r="I1431">
        <v>23000</v>
      </c>
      <c r="J1431">
        <v>23000</v>
      </c>
      <c r="K1431">
        <v>23000</v>
      </c>
      <c r="L1431">
        <v>23000</v>
      </c>
      <c r="M1431">
        <v>23000</v>
      </c>
      <c r="N1431">
        <v>23000</v>
      </c>
      <c r="O1431">
        <v>23000</v>
      </c>
    </row>
    <row r="1432" spans="1:16">
      <c r="A1432" t="str">
        <f t="shared" si="21"/>
        <v>WINTERPARKGCP OFFPK</v>
      </c>
      <c r="B1432" t="s">
        <v>727</v>
      </c>
      <c r="C1432" t="s">
        <v>64</v>
      </c>
      <c r="D1432">
        <v>23000</v>
      </c>
      <c r="E1432">
        <v>23000</v>
      </c>
      <c r="F1432">
        <v>23000</v>
      </c>
      <c r="G1432">
        <v>23000</v>
      </c>
      <c r="H1432">
        <v>23000</v>
      </c>
      <c r="I1432">
        <v>23000</v>
      </c>
      <c r="J1432">
        <v>23000</v>
      </c>
      <c r="K1432">
        <v>23000</v>
      </c>
      <c r="L1432">
        <v>23000</v>
      </c>
      <c r="M1432">
        <v>23000</v>
      </c>
      <c r="N1432">
        <v>23000</v>
      </c>
      <c r="O1432">
        <v>23000</v>
      </c>
    </row>
    <row r="1433" spans="1:16">
      <c r="A1433" t="str">
        <f t="shared" si="21"/>
        <v>WINTERPARKCP</v>
      </c>
      <c r="B1433" t="s">
        <v>727</v>
      </c>
      <c r="C1433" t="s">
        <v>148</v>
      </c>
      <c r="D1433">
        <v>23000</v>
      </c>
      <c r="E1433">
        <v>23000</v>
      </c>
      <c r="F1433">
        <v>23000</v>
      </c>
      <c r="G1433">
        <v>23000</v>
      </c>
      <c r="H1433">
        <v>23000</v>
      </c>
      <c r="I1433">
        <v>23000</v>
      </c>
      <c r="J1433">
        <v>23000</v>
      </c>
      <c r="K1433">
        <v>23000</v>
      </c>
      <c r="L1433">
        <v>23000</v>
      </c>
      <c r="M1433">
        <v>23000</v>
      </c>
      <c r="N1433">
        <v>23000</v>
      </c>
      <c r="O1433">
        <v>23000</v>
      </c>
    </row>
    <row r="1434" spans="1:16">
      <c r="A1434" t="str">
        <f t="shared" si="21"/>
        <v>WINTERPARKPERIOD START</v>
      </c>
      <c r="B1434" t="s">
        <v>727</v>
      </c>
      <c r="C1434" t="s">
        <v>149</v>
      </c>
      <c r="D1434" s="1">
        <v>41640</v>
      </c>
      <c r="E1434" s="1">
        <v>41671</v>
      </c>
      <c r="F1434" s="1">
        <v>41699</v>
      </c>
      <c r="G1434" s="1">
        <v>41730</v>
      </c>
      <c r="H1434" s="1">
        <v>41760</v>
      </c>
      <c r="I1434" s="1">
        <v>41791</v>
      </c>
      <c r="J1434" s="1">
        <v>41821</v>
      </c>
      <c r="K1434" s="1">
        <v>41852</v>
      </c>
      <c r="L1434" s="1">
        <v>41883</v>
      </c>
      <c r="M1434" s="1">
        <v>41913</v>
      </c>
      <c r="N1434" s="1">
        <v>41944</v>
      </c>
      <c r="O1434" s="1">
        <v>41974</v>
      </c>
      <c r="P1434" s="1"/>
    </row>
    <row r="1435" spans="1:16">
      <c r="A1435" t="str">
        <f t="shared" si="21"/>
        <v>WINTERPARKNCP LF</v>
      </c>
      <c r="B1435" t="s">
        <v>727</v>
      </c>
      <c r="C1435" t="s">
        <v>150</v>
      </c>
      <c r="D1435" s="5">
        <v>0.96640000000000004</v>
      </c>
      <c r="E1435" s="5">
        <v>1</v>
      </c>
      <c r="F1435" s="5">
        <v>0.99329999999999996</v>
      </c>
      <c r="G1435" s="5">
        <v>0.92920000000000003</v>
      </c>
      <c r="H1435" s="5">
        <v>0.98119999999999996</v>
      </c>
      <c r="I1435" s="5">
        <v>1</v>
      </c>
      <c r="J1435" s="5">
        <v>1</v>
      </c>
      <c r="K1435" s="5">
        <v>1</v>
      </c>
      <c r="L1435" s="5">
        <v>1</v>
      </c>
      <c r="M1435" s="5">
        <v>0.96909999999999996</v>
      </c>
      <c r="N1435" s="5">
        <v>0.96809999999999996</v>
      </c>
      <c r="O1435" s="5">
        <v>0.92610000000000003</v>
      </c>
      <c r="P1435" s="5"/>
    </row>
    <row r="1436" spans="1:16">
      <c r="A1436" t="str">
        <f t="shared" si="21"/>
        <v>WINTERPARKNCP LF ONPK</v>
      </c>
      <c r="B1436" t="s">
        <v>727</v>
      </c>
      <c r="C1436" t="s">
        <v>151</v>
      </c>
      <c r="D1436" s="5">
        <v>1</v>
      </c>
      <c r="E1436" s="5">
        <v>1</v>
      </c>
      <c r="F1436" s="5">
        <v>1</v>
      </c>
      <c r="G1436" s="5">
        <v>1</v>
      </c>
      <c r="H1436" s="5">
        <v>1</v>
      </c>
      <c r="I1436" s="5">
        <v>1</v>
      </c>
      <c r="J1436" s="5">
        <v>1</v>
      </c>
      <c r="K1436" s="5">
        <v>1</v>
      </c>
      <c r="L1436" s="5">
        <v>1</v>
      </c>
      <c r="M1436" s="5">
        <v>1</v>
      </c>
      <c r="N1436" s="5">
        <v>1</v>
      </c>
      <c r="O1436" s="5">
        <v>1</v>
      </c>
      <c r="P1436" s="5"/>
    </row>
    <row r="1437" spans="1:16">
      <c r="A1437" t="str">
        <f t="shared" si="21"/>
        <v>WINTERPARKNCP LF OFFPK</v>
      </c>
      <c r="B1437" t="s">
        <v>727</v>
      </c>
      <c r="C1437" t="s">
        <v>152</v>
      </c>
      <c r="D1437" s="5">
        <v>0.95599999999999996</v>
      </c>
      <c r="E1437" s="5">
        <v>1</v>
      </c>
      <c r="F1437" s="5">
        <v>0.99129999999999996</v>
      </c>
      <c r="G1437" s="5">
        <v>0.90229999999999999</v>
      </c>
      <c r="H1437" s="5">
        <v>0.9748</v>
      </c>
      <c r="I1437" s="5">
        <v>1</v>
      </c>
      <c r="J1437" s="5">
        <v>1</v>
      </c>
      <c r="K1437" s="5">
        <v>1</v>
      </c>
      <c r="L1437" s="5">
        <v>1</v>
      </c>
      <c r="M1437" s="5">
        <v>0.95720000000000005</v>
      </c>
      <c r="N1437" s="5">
        <v>0.95950000000000002</v>
      </c>
      <c r="O1437" s="5">
        <v>0.9032</v>
      </c>
      <c r="P1437" s="5"/>
    </row>
    <row r="1438" spans="1:16">
      <c r="A1438" t="str">
        <f t="shared" si="21"/>
        <v>WINTERPARKGCP CF</v>
      </c>
      <c r="B1438" t="s">
        <v>727</v>
      </c>
      <c r="C1438" t="s">
        <v>153</v>
      </c>
      <c r="D1438" s="5">
        <v>1</v>
      </c>
      <c r="E1438" s="5">
        <v>1</v>
      </c>
      <c r="F1438" s="5">
        <v>1</v>
      </c>
      <c r="G1438" s="5">
        <v>1</v>
      </c>
      <c r="H1438" s="5">
        <v>1</v>
      </c>
      <c r="I1438" s="5">
        <v>1</v>
      </c>
      <c r="J1438" s="5">
        <v>1</v>
      </c>
      <c r="K1438" s="5">
        <v>1</v>
      </c>
      <c r="L1438" s="5">
        <v>1</v>
      </c>
      <c r="M1438" s="5">
        <v>1</v>
      </c>
      <c r="N1438" s="5">
        <v>1</v>
      </c>
      <c r="O1438" s="5">
        <v>1</v>
      </c>
      <c r="P1438" s="5"/>
    </row>
    <row r="1439" spans="1:16">
      <c r="A1439" t="str">
        <f t="shared" si="21"/>
        <v>WINTERPARKCP CF</v>
      </c>
      <c r="B1439" t="s">
        <v>727</v>
      </c>
      <c r="C1439" t="s">
        <v>154</v>
      </c>
      <c r="D1439" s="5">
        <v>1</v>
      </c>
      <c r="E1439" s="5">
        <v>1</v>
      </c>
      <c r="F1439" s="5">
        <v>1</v>
      </c>
      <c r="G1439" s="5">
        <v>1</v>
      </c>
      <c r="H1439" s="5">
        <v>1</v>
      </c>
      <c r="I1439" s="5">
        <v>1</v>
      </c>
      <c r="J1439" s="5">
        <v>1</v>
      </c>
      <c r="K1439" s="5">
        <v>1</v>
      </c>
      <c r="L1439" s="5">
        <v>1</v>
      </c>
      <c r="M1439" s="5">
        <v>1</v>
      </c>
      <c r="N1439" s="5">
        <v>1</v>
      </c>
      <c r="O1439" s="5">
        <v>1</v>
      </c>
      <c r="P1439" s="5"/>
    </row>
    <row r="1440" spans="1:16">
      <c r="A1440" t="str">
        <f t="shared" si="21"/>
        <v>WINTERPARKGCP LF</v>
      </c>
      <c r="B1440" t="s">
        <v>727</v>
      </c>
      <c r="C1440" t="s">
        <v>155</v>
      </c>
      <c r="D1440" s="5">
        <v>0.96640000000000004</v>
      </c>
      <c r="E1440" s="5">
        <v>1</v>
      </c>
      <c r="F1440" s="5">
        <v>0.99329999999999996</v>
      </c>
      <c r="G1440" s="5">
        <v>0.92920000000000003</v>
      </c>
      <c r="H1440" s="5">
        <v>0.98119999999999996</v>
      </c>
      <c r="I1440" s="5">
        <v>1</v>
      </c>
      <c r="J1440" s="5">
        <v>1</v>
      </c>
      <c r="K1440" s="5">
        <v>1</v>
      </c>
      <c r="L1440" s="5">
        <v>1</v>
      </c>
      <c r="M1440" s="5">
        <v>0.96909999999999996</v>
      </c>
      <c r="N1440" s="5">
        <v>0.96809999999999996</v>
      </c>
      <c r="O1440" s="5">
        <v>0.92610000000000003</v>
      </c>
      <c r="P1440" s="5"/>
    </row>
    <row r="1441" spans="1:16">
      <c r="A1441" t="str">
        <f t="shared" si="21"/>
        <v>WINTERPARKGCP LF ONPK</v>
      </c>
      <c r="B1441" t="s">
        <v>727</v>
      </c>
      <c r="C1441" t="s">
        <v>156</v>
      </c>
      <c r="D1441" s="5">
        <v>1</v>
      </c>
      <c r="E1441" s="5">
        <v>1</v>
      </c>
      <c r="F1441" s="5">
        <v>1</v>
      </c>
      <c r="G1441" s="5">
        <v>1</v>
      </c>
      <c r="H1441" s="5">
        <v>1</v>
      </c>
      <c r="I1441" s="5">
        <v>1</v>
      </c>
      <c r="J1441" s="5">
        <v>1</v>
      </c>
      <c r="K1441" s="5">
        <v>1</v>
      </c>
      <c r="L1441" s="5">
        <v>1</v>
      </c>
      <c r="M1441" s="5">
        <v>1</v>
      </c>
      <c r="N1441" s="5">
        <v>1</v>
      </c>
      <c r="O1441" s="5">
        <v>1</v>
      </c>
      <c r="P1441" s="5"/>
    </row>
    <row r="1442" spans="1:16">
      <c r="A1442" t="str">
        <f t="shared" si="21"/>
        <v>WINTERPARKGCP LF OFFPK</v>
      </c>
      <c r="B1442" t="s">
        <v>727</v>
      </c>
      <c r="C1442" t="s">
        <v>157</v>
      </c>
      <c r="D1442" s="5">
        <v>0.95599999999999996</v>
      </c>
      <c r="E1442" s="5">
        <v>1</v>
      </c>
      <c r="F1442" s="5">
        <v>0.99129999999999996</v>
      </c>
      <c r="G1442" s="5">
        <v>0.90229999999999999</v>
      </c>
      <c r="H1442" s="5">
        <v>0.9748</v>
      </c>
      <c r="I1442" s="5">
        <v>1</v>
      </c>
      <c r="J1442" s="5">
        <v>1</v>
      </c>
      <c r="K1442" s="5">
        <v>1</v>
      </c>
      <c r="L1442" s="5">
        <v>1</v>
      </c>
      <c r="M1442" s="5">
        <v>0.95720000000000005</v>
      </c>
      <c r="N1442" s="5">
        <v>0.95950000000000002</v>
      </c>
      <c r="O1442" s="5">
        <v>0.9032</v>
      </c>
      <c r="P1442" s="5"/>
    </row>
    <row r="1443" spans="1:16">
      <c r="A1443" t="str">
        <f t="shared" si="21"/>
        <v>WINTERPARKCP LF</v>
      </c>
      <c r="B1443" t="s">
        <v>727</v>
      </c>
      <c r="C1443" t="s">
        <v>158</v>
      </c>
      <c r="D1443" s="5">
        <v>0.96640000000000004</v>
      </c>
      <c r="E1443" s="5">
        <v>1</v>
      </c>
      <c r="F1443" s="5">
        <v>0.99329999999999996</v>
      </c>
      <c r="G1443" s="5">
        <v>0.92920000000000003</v>
      </c>
      <c r="H1443" s="5">
        <v>0.98119999999999996</v>
      </c>
      <c r="I1443" s="5">
        <v>1</v>
      </c>
      <c r="J1443" s="5">
        <v>1</v>
      </c>
      <c r="K1443" s="5">
        <v>1</v>
      </c>
      <c r="L1443" s="5">
        <v>1</v>
      </c>
      <c r="M1443" s="5">
        <v>0.96909999999999996</v>
      </c>
      <c r="N1443" s="5">
        <v>0.96809999999999996</v>
      </c>
      <c r="O1443" s="5">
        <v>0.92610000000000003</v>
      </c>
      <c r="P1443" s="5"/>
    </row>
    <row r="1444" spans="1:16">
      <c r="A1444" t="str">
        <f t="shared" si="21"/>
        <v>WINTERPARKREL PREC:</v>
      </c>
      <c r="B1444" t="s">
        <v>727</v>
      </c>
      <c r="C1444" t="s">
        <v>65</v>
      </c>
    </row>
    <row r="1445" spans="1:16">
      <c r="A1445" t="str">
        <f t="shared" si="21"/>
        <v>WINTERPARKNCP RP</v>
      </c>
      <c r="B1445" t="s">
        <v>727</v>
      </c>
      <c r="C1445" t="s">
        <v>159</v>
      </c>
      <c r="D1445" s="5">
        <v>0</v>
      </c>
      <c r="E1445" s="5">
        <v>0</v>
      </c>
      <c r="F1445" s="5">
        <v>0</v>
      </c>
      <c r="G1445" s="5">
        <v>0</v>
      </c>
      <c r="H1445" s="5">
        <v>0</v>
      </c>
      <c r="I1445" s="5">
        <v>0</v>
      </c>
      <c r="J1445" s="5">
        <v>0</v>
      </c>
      <c r="K1445" s="5">
        <v>0</v>
      </c>
      <c r="L1445" s="5">
        <v>0</v>
      </c>
      <c r="M1445" s="5">
        <v>0</v>
      </c>
      <c r="N1445" s="5">
        <v>0</v>
      </c>
      <c r="O1445" s="5">
        <v>0</v>
      </c>
      <c r="P1445" s="5"/>
    </row>
    <row r="1446" spans="1:16">
      <c r="A1446" t="str">
        <f t="shared" si="21"/>
        <v>WINTERPARKNCP RP ONPK</v>
      </c>
      <c r="B1446" t="s">
        <v>727</v>
      </c>
      <c r="C1446" t="s">
        <v>160</v>
      </c>
      <c r="D1446" s="5">
        <v>0</v>
      </c>
      <c r="E1446" s="5">
        <v>0</v>
      </c>
      <c r="F1446" s="5">
        <v>0</v>
      </c>
      <c r="G1446" s="5">
        <v>0</v>
      </c>
      <c r="H1446" s="5">
        <v>0</v>
      </c>
      <c r="I1446" s="5">
        <v>0</v>
      </c>
      <c r="J1446" s="5">
        <v>0</v>
      </c>
      <c r="K1446" s="5">
        <v>0</v>
      </c>
      <c r="L1446" s="5">
        <v>0</v>
      </c>
      <c r="M1446" s="5">
        <v>0</v>
      </c>
      <c r="N1446" s="5">
        <v>0</v>
      </c>
      <c r="O1446" s="5">
        <v>0</v>
      </c>
      <c r="P1446" s="5"/>
    </row>
    <row r="1447" spans="1:16">
      <c r="A1447" t="str">
        <f t="shared" si="21"/>
        <v>WINTERPARKNCP RP OFFPK</v>
      </c>
      <c r="B1447" t="s">
        <v>727</v>
      </c>
      <c r="C1447" t="s">
        <v>161</v>
      </c>
      <c r="D1447" s="5">
        <v>0</v>
      </c>
      <c r="E1447" s="5">
        <v>0</v>
      </c>
      <c r="F1447" s="5">
        <v>0</v>
      </c>
      <c r="G1447" s="5">
        <v>0</v>
      </c>
      <c r="H1447" s="5">
        <v>0</v>
      </c>
      <c r="I1447" s="5">
        <v>0</v>
      </c>
      <c r="J1447" s="5">
        <v>0</v>
      </c>
      <c r="K1447" s="5">
        <v>0</v>
      </c>
      <c r="L1447" s="5">
        <v>0</v>
      </c>
      <c r="M1447" s="5">
        <v>0</v>
      </c>
      <c r="N1447" s="5">
        <v>0</v>
      </c>
      <c r="O1447" s="5">
        <v>0</v>
      </c>
      <c r="P1447" s="5"/>
    </row>
    <row r="1448" spans="1:16">
      <c r="A1448" t="str">
        <f t="shared" si="21"/>
        <v>WINTERPARKGCP RP</v>
      </c>
      <c r="B1448" t="s">
        <v>727</v>
      </c>
      <c r="C1448" t="s">
        <v>162</v>
      </c>
      <c r="D1448" s="5">
        <v>0</v>
      </c>
      <c r="E1448" s="5">
        <v>0</v>
      </c>
      <c r="F1448" s="5">
        <v>0</v>
      </c>
      <c r="G1448" s="5">
        <v>0</v>
      </c>
      <c r="H1448" s="5">
        <v>0</v>
      </c>
      <c r="I1448" s="5">
        <v>0</v>
      </c>
      <c r="J1448" s="5">
        <v>0</v>
      </c>
      <c r="K1448" s="5">
        <v>0</v>
      </c>
      <c r="L1448" s="5">
        <v>0</v>
      </c>
      <c r="M1448" s="5">
        <v>0</v>
      </c>
      <c r="N1448" s="5">
        <v>0</v>
      </c>
      <c r="O1448" s="5">
        <v>0</v>
      </c>
      <c r="P1448" s="5"/>
    </row>
    <row r="1449" spans="1:16">
      <c r="A1449" t="str">
        <f t="shared" si="21"/>
        <v>WINTERPARKGCP RP ONPK</v>
      </c>
      <c r="B1449" t="s">
        <v>727</v>
      </c>
      <c r="C1449" t="s">
        <v>163</v>
      </c>
      <c r="D1449" s="5">
        <v>0</v>
      </c>
      <c r="E1449" s="5">
        <v>0</v>
      </c>
      <c r="F1449" s="5">
        <v>0</v>
      </c>
      <c r="G1449" s="5">
        <v>0</v>
      </c>
      <c r="H1449" s="5">
        <v>0</v>
      </c>
      <c r="I1449" s="5">
        <v>0</v>
      </c>
      <c r="J1449" s="5">
        <v>0</v>
      </c>
      <c r="K1449" s="5">
        <v>0</v>
      </c>
      <c r="L1449" s="5">
        <v>0</v>
      </c>
      <c r="M1449" s="5">
        <v>0</v>
      </c>
      <c r="N1449" s="5">
        <v>0</v>
      </c>
      <c r="O1449" s="5">
        <v>0</v>
      </c>
      <c r="P1449" s="5"/>
    </row>
    <row r="1450" spans="1:16">
      <c r="A1450" t="str">
        <f t="shared" si="21"/>
        <v>WINTERPARKGCP RP OFFPK</v>
      </c>
      <c r="B1450" t="s">
        <v>727</v>
      </c>
      <c r="C1450" t="s">
        <v>164</v>
      </c>
      <c r="D1450" s="5">
        <v>0</v>
      </c>
      <c r="E1450" s="5">
        <v>0</v>
      </c>
      <c r="F1450" s="5">
        <v>0</v>
      </c>
      <c r="G1450" s="5">
        <v>0</v>
      </c>
      <c r="H1450" s="5">
        <v>0</v>
      </c>
      <c r="I1450" s="5">
        <v>0</v>
      </c>
      <c r="J1450" s="5">
        <v>0</v>
      </c>
      <c r="K1450" s="5">
        <v>0</v>
      </c>
      <c r="L1450" s="5">
        <v>0</v>
      </c>
      <c r="M1450" s="5">
        <v>0</v>
      </c>
      <c r="N1450" s="5">
        <v>0</v>
      </c>
      <c r="O1450" s="5">
        <v>0</v>
      </c>
      <c r="P1450" s="5"/>
    </row>
    <row r="1451" spans="1:16">
      <c r="A1451" t="str">
        <f t="shared" si="21"/>
        <v>WINTERPARKCP RP</v>
      </c>
      <c r="B1451" t="s">
        <v>727</v>
      </c>
      <c r="C1451" t="s">
        <v>165</v>
      </c>
      <c r="D1451" s="5">
        <v>0</v>
      </c>
      <c r="E1451" s="5">
        <v>0</v>
      </c>
      <c r="F1451" s="5">
        <v>0</v>
      </c>
      <c r="G1451" s="5">
        <v>0</v>
      </c>
      <c r="H1451" s="5">
        <v>0</v>
      </c>
      <c r="I1451" s="5">
        <v>0</v>
      </c>
      <c r="J1451" s="5">
        <v>0</v>
      </c>
      <c r="K1451" s="5">
        <v>0</v>
      </c>
      <c r="L1451" s="5">
        <v>0</v>
      </c>
      <c r="M1451" s="5">
        <v>0</v>
      </c>
      <c r="N1451" s="5">
        <v>0</v>
      </c>
      <c r="O1451" s="5">
        <v>0</v>
      </c>
      <c r="P1451" s="5"/>
    </row>
    <row r="1452" spans="1:16">
      <c r="A1452" t="str">
        <f t="shared" si="21"/>
        <v>WINTERPARKSAMPLE SIZE:</v>
      </c>
      <c r="B1452" t="s">
        <v>727</v>
      </c>
      <c r="C1452" t="s">
        <v>66</v>
      </c>
    </row>
    <row r="1453" spans="1:16">
      <c r="A1453" t="str">
        <f t="shared" si="21"/>
        <v>WINTERPARKGCPSZ</v>
      </c>
      <c r="B1453" t="s">
        <v>727</v>
      </c>
      <c r="C1453" t="s">
        <v>166</v>
      </c>
      <c r="D1453">
        <v>1</v>
      </c>
      <c r="E1453">
        <v>1</v>
      </c>
      <c r="F1453">
        <v>1</v>
      </c>
      <c r="G1453">
        <v>1</v>
      </c>
      <c r="H1453">
        <v>1</v>
      </c>
      <c r="I1453">
        <v>1</v>
      </c>
      <c r="J1453">
        <v>1</v>
      </c>
      <c r="K1453">
        <v>1</v>
      </c>
      <c r="L1453">
        <v>1</v>
      </c>
      <c r="M1453">
        <v>1</v>
      </c>
      <c r="N1453">
        <v>1</v>
      </c>
      <c r="O1453">
        <v>1</v>
      </c>
    </row>
    <row r="1454" spans="1:16">
      <c r="A1454" t="str">
        <f t="shared" si="21"/>
        <v>WINTERPARKGCPSZ ONPK</v>
      </c>
      <c r="B1454" t="s">
        <v>727</v>
      </c>
      <c r="C1454" t="s">
        <v>167</v>
      </c>
      <c r="D1454">
        <v>1</v>
      </c>
      <c r="E1454">
        <v>1</v>
      </c>
      <c r="F1454">
        <v>1</v>
      </c>
      <c r="G1454">
        <v>1</v>
      </c>
      <c r="H1454">
        <v>1</v>
      </c>
      <c r="I1454">
        <v>1</v>
      </c>
      <c r="J1454">
        <v>1</v>
      </c>
      <c r="K1454">
        <v>1</v>
      </c>
      <c r="L1454">
        <v>1</v>
      </c>
      <c r="M1454">
        <v>1</v>
      </c>
      <c r="N1454">
        <v>1</v>
      </c>
      <c r="O1454">
        <v>1</v>
      </c>
    </row>
    <row r="1455" spans="1:16">
      <c r="A1455" t="str">
        <f t="shared" ref="A1455:A1518" si="22">B1455&amp;C1455</f>
        <v>WINTERPARKGCPSZ OFFPK</v>
      </c>
      <c r="B1455" t="s">
        <v>727</v>
      </c>
      <c r="C1455" t="s">
        <v>168</v>
      </c>
      <c r="D1455">
        <v>1</v>
      </c>
      <c r="E1455">
        <v>1</v>
      </c>
      <c r="F1455">
        <v>1</v>
      </c>
      <c r="G1455">
        <v>1</v>
      </c>
      <c r="H1455">
        <v>1</v>
      </c>
      <c r="I1455">
        <v>1</v>
      </c>
      <c r="J1455">
        <v>1</v>
      </c>
      <c r="K1455">
        <v>1</v>
      </c>
      <c r="L1455">
        <v>1</v>
      </c>
      <c r="M1455">
        <v>1</v>
      </c>
      <c r="N1455">
        <v>1</v>
      </c>
      <c r="O1455">
        <v>1</v>
      </c>
    </row>
    <row r="1456" spans="1:16">
      <c r="A1456" t="str">
        <f t="shared" si="22"/>
        <v>WINTERPARKCPSZ</v>
      </c>
      <c r="B1456" t="s">
        <v>727</v>
      </c>
      <c r="C1456" t="s">
        <v>169</v>
      </c>
      <c r="D1456">
        <v>1</v>
      </c>
      <c r="E1456">
        <v>1</v>
      </c>
      <c r="F1456">
        <v>1</v>
      </c>
      <c r="G1456">
        <v>1</v>
      </c>
      <c r="H1456">
        <v>1</v>
      </c>
      <c r="I1456">
        <v>1</v>
      </c>
      <c r="J1456">
        <v>1</v>
      </c>
      <c r="K1456">
        <v>1</v>
      </c>
      <c r="L1456">
        <v>1</v>
      </c>
      <c r="M1456">
        <v>1</v>
      </c>
      <c r="N1456">
        <v>1</v>
      </c>
      <c r="O1456">
        <v>1</v>
      </c>
    </row>
    <row r="1457" spans="1:16">
      <c r="A1457" t="str">
        <f t="shared" si="22"/>
        <v/>
      </c>
    </row>
    <row r="1458" spans="1:16" ht="14.4">
      <c r="A1458" t="str">
        <f t="shared" si="22"/>
        <v>NOTE:     Winter Park contract started 1/1/14.  Sales line does not match sales in the Rate and Revenue Report due to billing lag.</v>
      </c>
      <c r="B1458" s="301" t="s">
        <v>728</v>
      </c>
    </row>
    <row r="1459" spans="1:16">
      <c r="A1459" t="str">
        <f t="shared" si="22"/>
        <v xml:space="preserve">                 In addition, New Smyrna and Winter Park are classified as Rate Code 840. The sales for the contracts are reported combined in the Rate &amp; Revenue Report.</v>
      </c>
      <c r="B1459" s="302" t="s">
        <v>681</v>
      </c>
    </row>
    <row r="1460" spans="1:16">
      <c r="A1460" t="str">
        <f t="shared" si="22"/>
        <v/>
      </c>
      <c r="D1460" s="5"/>
      <c r="E1460" s="5"/>
      <c r="F1460" s="5"/>
      <c r="G1460" s="5"/>
      <c r="H1460" s="5"/>
      <c r="I1460" s="5"/>
      <c r="J1460" s="5"/>
      <c r="K1460" s="5"/>
      <c r="L1460" s="5"/>
      <c r="M1460" s="5"/>
      <c r="N1460" s="5"/>
      <c r="O1460" s="5"/>
      <c r="P1460" s="5"/>
    </row>
    <row r="1461" spans="1:16">
      <c r="A1461" t="str">
        <f t="shared" si="22"/>
        <v/>
      </c>
      <c r="D1461" s="5"/>
      <c r="E1461" s="5"/>
      <c r="F1461" s="5"/>
      <c r="G1461" s="5"/>
      <c r="H1461" s="5"/>
      <c r="I1461" s="5"/>
      <c r="J1461" s="5"/>
      <c r="K1461" s="5"/>
      <c r="L1461" s="5"/>
      <c r="M1461" s="5"/>
      <c r="N1461" s="5"/>
      <c r="O1461" s="5"/>
      <c r="P1461" s="5"/>
    </row>
    <row r="1462" spans="1:16">
      <c r="A1462" t="str">
        <f t="shared" si="22"/>
        <v/>
      </c>
    </row>
    <row r="1463" spans="1:16">
      <c r="A1463" t="str">
        <f t="shared" si="22"/>
        <v/>
      </c>
      <c r="D1463" s="5"/>
      <c r="E1463" s="5"/>
      <c r="F1463" s="5"/>
      <c r="G1463" s="5"/>
      <c r="H1463" s="5"/>
      <c r="I1463" s="5"/>
      <c r="J1463" s="5"/>
      <c r="K1463" s="5"/>
      <c r="L1463" s="5"/>
      <c r="M1463" s="5"/>
      <c r="N1463" s="5"/>
      <c r="O1463" s="5"/>
      <c r="P1463" s="5"/>
    </row>
    <row r="1464" spans="1:16">
      <c r="A1464" t="str">
        <f t="shared" si="22"/>
        <v/>
      </c>
      <c r="D1464" s="5"/>
      <c r="E1464" s="5"/>
      <c r="F1464" s="5"/>
      <c r="G1464" s="5"/>
      <c r="H1464" s="5"/>
      <c r="I1464" s="5"/>
      <c r="J1464" s="5"/>
      <c r="K1464" s="5"/>
      <c r="L1464" s="5"/>
      <c r="M1464" s="5"/>
      <c r="N1464" s="5"/>
      <c r="O1464" s="5"/>
      <c r="P1464" s="5"/>
    </row>
    <row r="1465" spans="1:16">
      <c r="A1465" t="str">
        <f t="shared" si="22"/>
        <v/>
      </c>
      <c r="D1465" s="5"/>
      <c r="E1465" s="5"/>
      <c r="F1465" s="5"/>
      <c r="G1465" s="5"/>
      <c r="H1465" s="5"/>
      <c r="I1465" s="5"/>
      <c r="J1465" s="5"/>
      <c r="K1465" s="5"/>
      <c r="L1465" s="5"/>
      <c r="M1465" s="5"/>
      <c r="N1465" s="5"/>
      <c r="O1465" s="5"/>
      <c r="P1465" s="5"/>
    </row>
    <row r="1466" spans="1:16">
      <c r="A1466" t="str">
        <f t="shared" si="22"/>
        <v/>
      </c>
      <c r="D1466" s="5"/>
      <c r="E1466" s="5"/>
      <c r="F1466" s="5"/>
      <c r="G1466" s="5"/>
      <c r="H1466" s="5"/>
      <c r="I1466" s="5"/>
      <c r="J1466" s="5"/>
      <c r="K1466" s="5"/>
      <c r="L1466" s="5"/>
      <c r="M1466" s="5"/>
      <c r="N1466" s="5"/>
      <c r="O1466" s="5"/>
      <c r="P1466" s="5"/>
    </row>
    <row r="1467" spans="1:16">
      <c r="A1467" t="str">
        <f t="shared" si="22"/>
        <v/>
      </c>
      <c r="D1467" s="5"/>
      <c r="E1467" s="5"/>
      <c r="F1467" s="5"/>
      <c r="G1467" s="5"/>
      <c r="H1467" s="5"/>
      <c r="I1467" s="5"/>
      <c r="J1467" s="5"/>
      <c r="K1467" s="5"/>
      <c r="L1467" s="5"/>
      <c r="M1467" s="5"/>
      <c r="N1467" s="5"/>
      <c r="O1467" s="5"/>
      <c r="P1467" s="5"/>
    </row>
    <row r="1468" spans="1:16">
      <c r="A1468" t="str">
        <f t="shared" si="22"/>
        <v/>
      </c>
      <c r="D1468" s="5"/>
      <c r="E1468" s="5"/>
      <c r="F1468" s="5"/>
      <c r="G1468" s="5"/>
      <c r="H1468" s="5"/>
      <c r="I1468" s="5"/>
      <c r="J1468" s="5"/>
      <c r="K1468" s="5"/>
      <c r="L1468" s="5"/>
      <c r="M1468" s="5"/>
      <c r="N1468" s="5"/>
      <c r="O1468" s="5"/>
      <c r="P1468" s="5"/>
    </row>
    <row r="1469" spans="1:16">
      <c r="A1469" t="str">
        <f t="shared" si="22"/>
        <v/>
      </c>
      <c r="D1469" s="5"/>
      <c r="E1469" s="5"/>
      <c r="F1469" s="5"/>
      <c r="G1469" s="5"/>
      <c r="H1469" s="5"/>
      <c r="I1469" s="5"/>
      <c r="J1469" s="5"/>
      <c r="K1469" s="5"/>
      <c r="L1469" s="5"/>
      <c r="M1469" s="5"/>
      <c r="N1469" s="5"/>
      <c r="O1469" s="5"/>
      <c r="P1469" s="5"/>
    </row>
    <row r="1470" spans="1:16">
      <c r="A1470" t="str">
        <f t="shared" si="22"/>
        <v/>
      </c>
    </row>
    <row r="1471" spans="1:16">
      <c r="A1471" t="str">
        <f t="shared" si="22"/>
        <v/>
      </c>
    </row>
    <row r="1472" spans="1:16">
      <c r="A1472" t="str">
        <f t="shared" si="22"/>
        <v/>
      </c>
    </row>
    <row r="1473" spans="1:16">
      <c r="A1473" t="str">
        <f t="shared" si="22"/>
        <v/>
      </c>
    </row>
    <row r="1474" spans="1:16">
      <c r="A1474" t="str">
        <f t="shared" si="22"/>
        <v/>
      </c>
    </row>
    <row r="1475" spans="1:16">
      <c r="A1475" t="str">
        <f t="shared" si="22"/>
        <v/>
      </c>
    </row>
    <row r="1476" spans="1:16">
      <c r="A1476" t="str">
        <f t="shared" si="22"/>
        <v/>
      </c>
    </row>
    <row r="1477" spans="1:16">
      <c r="A1477" t="str">
        <f t="shared" si="22"/>
        <v/>
      </c>
      <c r="F1477" s="4"/>
      <c r="G1477" s="4"/>
      <c r="H1477" s="4"/>
      <c r="I1477" s="4"/>
      <c r="J1477" s="4"/>
      <c r="K1477" s="4"/>
      <c r="L1477" s="4"/>
      <c r="M1477" s="4"/>
      <c r="N1477" s="4"/>
      <c r="O1477" s="4"/>
      <c r="P1477" s="4"/>
    </row>
    <row r="1478" spans="1:16">
      <c r="A1478" t="str">
        <f t="shared" si="22"/>
        <v/>
      </c>
    </row>
    <row r="1479" spans="1:16">
      <c r="A1479" t="str">
        <f t="shared" si="22"/>
        <v/>
      </c>
    </row>
    <row r="1480" spans="1:16">
      <c r="A1480" t="str">
        <f t="shared" si="22"/>
        <v/>
      </c>
    </row>
    <row r="1481" spans="1:16">
      <c r="A1481" t="str">
        <f t="shared" si="22"/>
        <v/>
      </c>
    </row>
    <row r="1482" spans="1:16">
      <c r="A1482" t="str">
        <f t="shared" si="22"/>
        <v/>
      </c>
    </row>
    <row r="1483" spans="1:16">
      <c r="A1483" t="str">
        <f t="shared" si="22"/>
        <v/>
      </c>
      <c r="B1483" s="91"/>
      <c r="C1483" s="91"/>
      <c r="D1483" s="91"/>
      <c r="E1483" s="91"/>
      <c r="F1483" s="91"/>
      <c r="G1483" s="91"/>
      <c r="H1483" s="91"/>
      <c r="I1483" s="91"/>
      <c r="J1483" s="91"/>
      <c r="K1483" s="91"/>
      <c r="L1483" s="91"/>
      <c r="M1483" s="91"/>
      <c r="N1483" s="91"/>
      <c r="O1483" s="91"/>
      <c r="P1483" s="91"/>
    </row>
    <row r="1484" spans="1:16">
      <c r="A1484" t="str">
        <f t="shared" si="22"/>
        <v/>
      </c>
    </row>
    <row r="1485" spans="1:16">
      <c r="A1485" t="str">
        <f t="shared" si="22"/>
        <v/>
      </c>
    </row>
    <row r="1486" spans="1:16">
      <c r="A1486" t="str">
        <f t="shared" si="22"/>
        <v/>
      </c>
      <c r="F1486" s="5"/>
      <c r="G1486" s="5"/>
      <c r="H1486" s="5"/>
      <c r="I1486" s="5"/>
      <c r="J1486" s="5"/>
      <c r="K1486" s="5"/>
      <c r="L1486" s="5"/>
      <c r="M1486" s="5"/>
      <c r="N1486" s="5"/>
      <c r="O1486" s="5"/>
      <c r="P1486" s="5"/>
    </row>
    <row r="1487" spans="1:16">
      <c r="A1487" t="str">
        <f t="shared" si="22"/>
        <v/>
      </c>
      <c r="F1487" s="5"/>
      <c r="G1487" s="5"/>
      <c r="H1487" s="5"/>
      <c r="I1487" s="5"/>
      <c r="J1487" s="5"/>
      <c r="K1487" s="5"/>
      <c r="L1487" s="5"/>
      <c r="M1487" s="5"/>
      <c r="N1487" s="5"/>
      <c r="O1487" s="5"/>
      <c r="P1487" s="5"/>
    </row>
    <row r="1488" spans="1:16">
      <c r="A1488" t="str">
        <f t="shared" si="22"/>
        <v/>
      </c>
    </row>
    <row r="1489" spans="1:16">
      <c r="A1489" t="str">
        <f t="shared" si="22"/>
        <v/>
      </c>
      <c r="B1489" s="89"/>
      <c r="C1489" s="89"/>
      <c r="D1489" s="89"/>
      <c r="E1489" s="89"/>
      <c r="F1489" s="89"/>
      <c r="G1489" s="89"/>
      <c r="H1489" s="89"/>
      <c r="I1489" s="89"/>
      <c r="J1489" s="89"/>
      <c r="K1489" s="89"/>
      <c r="L1489" s="89"/>
      <c r="M1489" s="89"/>
      <c r="N1489" s="89"/>
      <c r="O1489" s="89"/>
      <c r="P1489" s="89"/>
    </row>
    <row r="1490" spans="1:16">
      <c r="A1490" t="str">
        <f t="shared" si="22"/>
        <v/>
      </c>
    </row>
    <row r="1491" spans="1:16">
      <c r="A1491" t="str">
        <f t="shared" si="22"/>
        <v/>
      </c>
    </row>
    <row r="1492" spans="1:16">
      <c r="A1492" t="str">
        <f t="shared" si="22"/>
        <v/>
      </c>
    </row>
    <row r="1493" spans="1:16">
      <c r="A1493" t="str">
        <f t="shared" si="22"/>
        <v/>
      </c>
    </row>
    <row r="1494" spans="1:16">
      <c r="A1494" t="str">
        <f t="shared" si="22"/>
        <v/>
      </c>
      <c r="B1494" s="87"/>
      <c r="C1494" s="87"/>
      <c r="D1494" s="87"/>
      <c r="E1494" s="87"/>
      <c r="F1494" s="87"/>
      <c r="G1494" s="87"/>
      <c r="H1494" s="87"/>
      <c r="I1494" s="87"/>
      <c r="J1494" s="87"/>
      <c r="K1494" s="87"/>
      <c r="L1494" s="87"/>
      <c r="M1494" s="87"/>
      <c r="N1494" s="87"/>
      <c r="O1494" s="87"/>
      <c r="P1494" s="87"/>
    </row>
    <row r="1495" spans="1:16">
      <c r="A1495" t="str">
        <f t="shared" si="22"/>
        <v/>
      </c>
    </row>
    <row r="1496" spans="1:16">
      <c r="A1496" t="str">
        <f t="shared" si="22"/>
        <v/>
      </c>
    </row>
    <row r="1497" spans="1:16">
      <c r="A1497" t="str">
        <f t="shared" si="22"/>
        <v/>
      </c>
      <c r="B1497" s="88"/>
      <c r="C1497" s="88"/>
      <c r="D1497" s="88"/>
      <c r="E1497" s="88"/>
      <c r="F1497" s="88"/>
      <c r="G1497" s="88"/>
      <c r="H1497" s="88"/>
      <c r="I1497" s="88"/>
      <c r="J1497" s="88"/>
      <c r="K1497" s="88"/>
      <c r="L1497" s="88"/>
      <c r="M1497" s="88"/>
      <c r="N1497" s="88"/>
      <c r="O1497" s="88"/>
      <c r="P1497" s="88"/>
    </row>
    <row r="1498" spans="1:16">
      <c r="A1498" t="str">
        <f t="shared" si="22"/>
        <v/>
      </c>
      <c r="F1498" s="1"/>
      <c r="G1498" s="1"/>
      <c r="H1498" s="1"/>
      <c r="I1498" s="1"/>
      <c r="J1498" s="1"/>
      <c r="K1498" s="1"/>
      <c r="L1498" s="1"/>
      <c r="M1498" s="1"/>
      <c r="N1498" s="1"/>
      <c r="O1498" s="1"/>
      <c r="P1498" s="1"/>
    </row>
    <row r="1499" spans="1:16">
      <c r="A1499" t="str">
        <f t="shared" si="22"/>
        <v/>
      </c>
      <c r="F1499" s="5"/>
      <c r="G1499" s="5"/>
      <c r="H1499" s="5"/>
      <c r="I1499" s="5"/>
      <c r="J1499" s="5"/>
      <c r="K1499" s="5"/>
      <c r="L1499" s="5"/>
      <c r="M1499" s="5"/>
      <c r="N1499" s="5"/>
      <c r="O1499" s="5"/>
      <c r="P1499" s="5"/>
    </row>
    <row r="1500" spans="1:16">
      <c r="A1500" t="str">
        <f t="shared" si="22"/>
        <v/>
      </c>
      <c r="F1500" s="5"/>
      <c r="G1500" s="5"/>
      <c r="H1500" s="5"/>
      <c r="I1500" s="5"/>
      <c r="J1500" s="5"/>
      <c r="K1500" s="5"/>
      <c r="L1500" s="5"/>
      <c r="M1500" s="5"/>
      <c r="N1500" s="5"/>
      <c r="O1500" s="5"/>
      <c r="P1500" s="5"/>
    </row>
    <row r="1501" spans="1:16">
      <c r="A1501" t="str">
        <f t="shared" si="22"/>
        <v/>
      </c>
      <c r="F1501" s="5"/>
      <c r="G1501" s="5"/>
      <c r="H1501" s="5"/>
      <c r="I1501" s="5"/>
      <c r="J1501" s="5"/>
      <c r="K1501" s="5"/>
      <c r="L1501" s="5"/>
      <c r="M1501" s="5"/>
      <c r="N1501" s="5"/>
      <c r="O1501" s="5"/>
      <c r="P1501" s="5"/>
    </row>
    <row r="1502" spans="1:16">
      <c r="A1502" t="str">
        <f t="shared" si="22"/>
        <v/>
      </c>
      <c r="F1502" s="5"/>
      <c r="G1502" s="5"/>
      <c r="H1502" s="5"/>
      <c r="I1502" s="5"/>
      <c r="J1502" s="5"/>
      <c r="K1502" s="5"/>
      <c r="L1502" s="5"/>
      <c r="M1502" s="5"/>
      <c r="N1502" s="5"/>
      <c r="O1502" s="5"/>
      <c r="P1502" s="5"/>
    </row>
    <row r="1503" spans="1:16">
      <c r="A1503" t="str">
        <f t="shared" si="22"/>
        <v/>
      </c>
      <c r="F1503" s="5"/>
      <c r="G1503" s="5"/>
      <c r="H1503" s="5"/>
      <c r="I1503" s="5"/>
      <c r="J1503" s="5"/>
      <c r="K1503" s="5"/>
      <c r="L1503" s="5"/>
      <c r="M1503" s="5"/>
      <c r="N1503" s="5"/>
      <c r="O1503" s="5"/>
      <c r="P1503" s="5"/>
    </row>
    <row r="1504" spans="1:16">
      <c r="A1504" t="str">
        <f t="shared" si="22"/>
        <v/>
      </c>
      <c r="F1504" s="5"/>
      <c r="G1504" s="5"/>
      <c r="H1504" s="5"/>
      <c r="I1504" s="5"/>
      <c r="J1504" s="5"/>
      <c r="K1504" s="5"/>
      <c r="L1504" s="5"/>
      <c r="M1504" s="5"/>
      <c r="N1504" s="5"/>
      <c r="O1504" s="5"/>
      <c r="P1504" s="5"/>
    </row>
    <row r="1505" spans="1:16">
      <c r="A1505" t="str">
        <f t="shared" si="22"/>
        <v/>
      </c>
      <c r="F1505" s="5"/>
      <c r="G1505" s="5"/>
      <c r="H1505" s="5"/>
      <c r="I1505" s="5"/>
      <c r="J1505" s="5"/>
      <c r="K1505" s="5"/>
      <c r="L1505" s="5"/>
      <c r="M1505" s="5"/>
      <c r="N1505" s="5"/>
      <c r="O1505" s="5"/>
      <c r="P1505" s="5"/>
    </row>
    <row r="1506" spans="1:16">
      <c r="A1506" t="str">
        <f t="shared" si="22"/>
        <v/>
      </c>
      <c r="F1506" s="5"/>
      <c r="G1506" s="5"/>
      <c r="H1506" s="5"/>
      <c r="I1506" s="5"/>
      <c r="J1506" s="5"/>
      <c r="K1506" s="5"/>
      <c r="L1506" s="5"/>
      <c r="M1506" s="5"/>
      <c r="N1506" s="5"/>
      <c r="O1506" s="5"/>
      <c r="P1506" s="5"/>
    </row>
    <row r="1507" spans="1:16">
      <c r="A1507" t="str">
        <f t="shared" si="22"/>
        <v/>
      </c>
      <c r="F1507" s="5"/>
      <c r="G1507" s="5"/>
      <c r="H1507" s="5"/>
      <c r="I1507" s="5"/>
      <c r="J1507" s="5"/>
      <c r="K1507" s="5"/>
      <c r="L1507" s="5"/>
      <c r="M1507" s="5"/>
      <c r="N1507" s="5"/>
      <c r="O1507" s="5"/>
      <c r="P1507" s="5"/>
    </row>
    <row r="1508" spans="1:16">
      <c r="A1508" t="str">
        <f t="shared" si="22"/>
        <v/>
      </c>
    </row>
    <row r="1509" spans="1:16">
      <c r="A1509" t="str">
        <f t="shared" si="22"/>
        <v/>
      </c>
      <c r="F1509" s="5"/>
      <c r="G1509" s="5"/>
      <c r="H1509" s="5"/>
      <c r="I1509" s="5"/>
      <c r="J1509" s="5"/>
      <c r="K1509" s="5"/>
      <c r="L1509" s="5"/>
      <c r="M1509" s="5"/>
      <c r="N1509" s="5"/>
      <c r="O1509" s="5"/>
      <c r="P1509" s="5"/>
    </row>
    <row r="1510" spans="1:16">
      <c r="A1510" t="str">
        <f t="shared" si="22"/>
        <v/>
      </c>
      <c r="F1510" s="5"/>
      <c r="G1510" s="5"/>
      <c r="H1510" s="5"/>
      <c r="I1510" s="5"/>
      <c r="J1510" s="5"/>
      <c r="K1510" s="5"/>
      <c r="L1510" s="5"/>
      <c r="M1510" s="5"/>
      <c r="N1510" s="5"/>
      <c r="O1510" s="5"/>
      <c r="P1510" s="5"/>
    </row>
    <row r="1511" spans="1:16">
      <c r="A1511" t="str">
        <f t="shared" si="22"/>
        <v/>
      </c>
      <c r="F1511" s="5"/>
      <c r="G1511" s="5"/>
      <c r="H1511" s="5"/>
      <c r="I1511" s="5"/>
      <c r="J1511" s="5"/>
      <c r="K1511" s="5"/>
      <c r="L1511" s="5"/>
      <c r="M1511" s="5"/>
      <c r="N1511" s="5"/>
      <c r="O1511" s="5"/>
      <c r="P1511" s="5"/>
    </row>
    <row r="1512" spans="1:16">
      <c r="A1512" t="str">
        <f t="shared" si="22"/>
        <v/>
      </c>
      <c r="F1512" s="5"/>
      <c r="G1512" s="5"/>
      <c r="H1512" s="5"/>
      <c r="I1512" s="5"/>
      <c r="J1512" s="5"/>
      <c r="K1512" s="5"/>
      <c r="L1512" s="5"/>
      <c r="M1512" s="5"/>
      <c r="N1512" s="5"/>
      <c r="O1512" s="5"/>
      <c r="P1512" s="5"/>
    </row>
    <row r="1513" spans="1:16">
      <c r="A1513" t="str">
        <f t="shared" si="22"/>
        <v/>
      </c>
      <c r="F1513" s="5"/>
      <c r="G1513" s="5"/>
      <c r="H1513" s="5"/>
      <c r="I1513" s="5"/>
      <c r="J1513" s="5"/>
      <c r="K1513" s="5"/>
      <c r="L1513" s="5"/>
      <c r="M1513" s="5"/>
      <c r="N1513" s="5"/>
      <c r="O1513" s="5"/>
      <c r="P1513" s="5"/>
    </row>
    <row r="1514" spans="1:16">
      <c r="A1514" t="str">
        <f t="shared" si="22"/>
        <v/>
      </c>
      <c r="F1514" s="5"/>
      <c r="G1514" s="5"/>
      <c r="H1514" s="5"/>
      <c r="I1514" s="5"/>
      <c r="J1514" s="5"/>
      <c r="K1514" s="5"/>
      <c r="L1514" s="5"/>
      <c r="M1514" s="5"/>
      <c r="N1514" s="5"/>
      <c r="O1514" s="5"/>
      <c r="P1514" s="5"/>
    </row>
    <row r="1515" spans="1:16">
      <c r="A1515" t="str">
        <f t="shared" si="22"/>
        <v/>
      </c>
      <c r="F1515" s="5"/>
      <c r="G1515" s="5"/>
      <c r="H1515" s="5"/>
      <c r="I1515" s="5"/>
      <c r="J1515" s="5"/>
      <c r="K1515" s="5"/>
      <c r="L1515" s="5"/>
      <c r="M1515" s="5"/>
      <c r="N1515" s="5"/>
      <c r="O1515" s="5"/>
      <c r="P1515" s="5"/>
    </row>
    <row r="1516" spans="1:16">
      <c r="A1516" t="str">
        <f t="shared" si="22"/>
        <v/>
      </c>
    </row>
    <row r="1517" spans="1:16">
      <c r="A1517" t="str">
        <f t="shared" si="22"/>
        <v/>
      </c>
    </row>
    <row r="1518" spans="1:16">
      <c r="A1518" t="str">
        <f t="shared" si="22"/>
        <v/>
      </c>
    </row>
    <row r="1519" spans="1:16">
      <c r="A1519" t="str">
        <f t="shared" ref="A1519:A1582" si="23">B1519&amp;C1519</f>
        <v/>
      </c>
    </row>
    <row r="1520" spans="1:16">
      <c r="A1520" t="str">
        <f t="shared" si="23"/>
        <v/>
      </c>
    </row>
    <row r="1521" spans="1:16">
      <c r="A1521" t="str">
        <f t="shared" si="23"/>
        <v/>
      </c>
    </row>
    <row r="1522" spans="1:16">
      <c r="A1522" t="str">
        <f t="shared" si="23"/>
        <v/>
      </c>
    </row>
    <row r="1523" spans="1:16">
      <c r="A1523" t="str">
        <f t="shared" si="23"/>
        <v/>
      </c>
      <c r="D1523" s="4"/>
      <c r="E1523" s="4"/>
      <c r="F1523" s="4"/>
      <c r="G1523" s="4"/>
      <c r="H1523" s="4"/>
      <c r="I1523" s="4"/>
      <c r="J1523" s="4"/>
      <c r="K1523" s="4"/>
      <c r="L1523" s="4"/>
      <c r="M1523" s="4"/>
      <c r="N1523" s="4"/>
      <c r="O1523" s="4"/>
      <c r="P1523" s="4"/>
    </row>
    <row r="1524" spans="1:16">
      <c r="A1524" t="str">
        <f t="shared" si="23"/>
        <v/>
      </c>
    </row>
    <row r="1525" spans="1:16">
      <c r="A1525" t="str">
        <f t="shared" si="23"/>
        <v/>
      </c>
    </row>
    <row r="1526" spans="1:16">
      <c r="A1526" t="str">
        <f t="shared" si="23"/>
        <v/>
      </c>
    </row>
    <row r="1527" spans="1:16">
      <c r="A1527" t="str">
        <f t="shared" si="23"/>
        <v/>
      </c>
    </row>
    <row r="1528" spans="1:16">
      <c r="A1528" t="str">
        <f t="shared" si="23"/>
        <v/>
      </c>
    </row>
    <row r="1529" spans="1:16">
      <c r="A1529" t="str">
        <f t="shared" si="23"/>
        <v/>
      </c>
    </row>
    <row r="1530" spans="1:16">
      <c r="A1530" t="str">
        <f t="shared" si="23"/>
        <v/>
      </c>
    </row>
    <row r="1531" spans="1:16">
      <c r="A1531" t="str">
        <f t="shared" si="23"/>
        <v/>
      </c>
    </row>
    <row r="1532" spans="1:16">
      <c r="A1532" t="str">
        <f t="shared" si="23"/>
        <v/>
      </c>
      <c r="D1532" s="5"/>
      <c r="E1532" s="5"/>
      <c r="F1532" s="5"/>
      <c r="G1532" s="5"/>
      <c r="H1532" s="5"/>
      <c r="I1532" s="5"/>
      <c r="J1532" s="5"/>
      <c r="K1532" s="5"/>
      <c r="L1532" s="5"/>
      <c r="M1532" s="5"/>
      <c r="N1532" s="5"/>
      <c r="O1532" s="5"/>
      <c r="P1532" s="5"/>
    </row>
    <row r="1533" spans="1:16">
      <c r="A1533" t="str">
        <f t="shared" si="23"/>
        <v/>
      </c>
      <c r="D1533" s="5"/>
      <c r="E1533" s="5"/>
      <c r="F1533" s="5"/>
      <c r="G1533" s="5"/>
      <c r="H1533" s="5"/>
      <c r="I1533" s="5"/>
      <c r="J1533" s="5"/>
      <c r="K1533" s="5"/>
      <c r="L1533" s="5"/>
      <c r="M1533" s="5"/>
      <c r="N1533" s="5"/>
      <c r="O1533" s="5"/>
      <c r="P1533" s="5"/>
    </row>
    <row r="1534" spans="1:16">
      <c r="A1534" t="str">
        <f t="shared" si="23"/>
        <v/>
      </c>
    </row>
    <row r="1535" spans="1:16">
      <c r="A1535" t="str">
        <f t="shared" si="23"/>
        <v/>
      </c>
      <c r="B1535" s="89"/>
      <c r="C1535" s="89"/>
      <c r="D1535" s="89"/>
      <c r="E1535" s="89"/>
      <c r="F1535" s="89"/>
      <c r="G1535" s="89"/>
      <c r="H1535" s="89"/>
      <c r="I1535" s="89"/>
      <c r="J1535" s="89"/>
      <c r="K1535" s="89"/>
      <c r="L1535" s="89"/>
      <c r="M1535" s="89"/>
      <c r="N1535" s="89"/>
      <c r="O1535" s="89"/>
      <c r="P1535" s="89"/>
    </row>
    <row r="1536" spans="1:16">
      <c r="A1536" t="str">
        <f t="shared" si="23"/>
        <v/>
      </c>
    </row>
    <row r="1537" spans="1:16">
      <c r="A1537" t="str">
        <f t="shared" si="23"/>
        <v/>
      </c>
    </row>
    <row r="1538" spans="1:16">
      <c r="A1538" t="str">
        <f t="shared" si="23"/>
        <v/>
      </c>
    </row>
    <row r="1539" spans="1:16">
      <c r="A1539" t="str">
        <f t="shared" si="23"/>
        <v/>
      </c>
    </row>
    <row r="1540" spans="1:16">
      <c r="A1540" t="str">
        <f t="shared" si="23"/>
        <v/>
      </c>
      <c r="B1540" s="87"/>
      <c r="C1540" s="87"/>
      <c r="D1540" s="87"/>
      <c r="E1540" s="87"/>
      <c r="F1540" s="87"/>
      <c r="G1540" s="87"/>
      <c r="H1540" s="87"/>
      <c r="I1540" s="87"/>
      <c r="J1540" s="87"/>
      <c r="K1540" s="87"/>
      <c r="L1540" s="87"/>
      <c r="M1540" s="87"/>
      <c r="N1540" s="87"/>
      <c r="O1540" s="87"/>
      <c r="P1540" s="87"/>
    </row>
    <row r="1541" spans="1:16">
      <c r="A1541" t="str">
        <f t="shared" si="23"/>
        <v/>
      </c>
    </row>
    <row r="1542" spans="1:16">
      <c r="A1542" t="str">
        <f t="shared" si="23"/>
        <v/>
      </c>
    </row>
    <row r="1543" spans="1:16">
      <c r="A1543" t="str">
        <f t="shared" si="23"/>
        <v/>
      </c>
      <c r="B1543" s="83"/>
      <c r="C1543" s="83"/>
      <c r="D1543" s="83"/>
      <c r="E1543" s="83"/>
      <c r="F1543" s="83"/>
      <c r="G1543" s="83"/>
      <c r="H1543" s="83"/>
      <c r="I1543" s="83"/>
      <c r="J1543" s="83"/>
      <c r="K1543" s="83"/>
      <c r="L1543" s="83"/>
      <c r="M1543" s="83"/>
      <c r="N1543" s="83"/>
      <c r="O1543" s="83"/>
      <c r="P1543" s="83"/>
    </row>
    <row r="1544" spans="1:16">
      <c r="A1544" t="str">
        <f t="shared" si="23"/>
        <v/>
      </c>
      <c r="D1544" s="1"/>
      <c r="E1544" s="1"/>
      <c r="F1544" s="1"/>
      <c r="G1544" s="1"/>
      <c r="H1544" s="1"/>
      <c r="I1544" s="1"/>
      <c r="J1544" s="1"/>
      <c r="K1544" s="1"/>
      <c r="L1544" s="1"/>
      <c r="M1544" s="1"/>
      <c r="N1544" s="1"/>
      <c r="O1544" s="1"/>
      <c r="P1544" s="1"/>
    </row>
    <row r="1545" spans="1:16">
      <c r="A1545" t="str">
        <f t="shared" si="23"/>
        <v/>
      </c>
      <c r="D1545" s="5"/>
      <c r="E1545" s="5"/>
      <c r="F1545" s="5"/>
      <c r="G1545" s="5"/>
      <c r="H1545" s="5"/>
      <c r="I1545" s="5"/>
      <c r="J1545" s="5"/>
      <c r="K1545" s="5"/>
      <c r="L1545" s="5"/>
      <c r="M1545" s="5"/>
      <c r="N1545" s="5"/>
      <c r="O1545" s="5"/>
      <c r="P1545" s="5"/>
    </row>
    <row r="1546" spans="1:16">
      <c r="A1546" t="str">
        <f t="shared" si="23"/>
        <v/>
      </c>
      <c r="D1546" s="5"/>
      <c r="E1546" s="5"/>
      <c r="F1546" s="5"/>
      <c r="G1546" s="5"/>
      <c r="H1546" s="5"/>
      <c r="I1546" s="5"/>
      <c r="J1546" s="5"/>
      <c r="K1546" s="5"/>
      <c r="L1546" s="5"/>
      <c r="M1546" s="5"/>
      <c r="N1546" s="5"/>
      <c r="O1546" s="5"/>
      <c r="P1546" s="5"/>
    </row>
    <row r="1547" spans="1:16">
      <c r="A1547" t="str">
        <f t="shared" si="23"/>
        <v/>
      </c>
      <c r="D1547" s="5"/>
      <c r="E1547" s="5"/>
      <c r="F1547" s="5"/>
      <c r="G1547" s="5"/>
      <c r="H1547" s="5"/>
      <c r="I1547" s="5"/>
      <c r="J1547" s="5"/>
      <c r="K1547" s="5"/>
      <c r="L1547" s="5"/>
      <c r="M1547" s="5"/>
      <c r="N1547" s="5"/>
      <c r="O1547" s="5"/>
      <c r="P1547" s="5"/>
    </row>
    <row r="1548" spans="1:16">
      <c r="A1548" t="str">
        <f t="shared" si="23"/>
        <v/>
      </c>
      <c r="D1548" s="5"/>
      <c r="E1548" s="5"/>
      <c r="F1548" s="5"/>
      <c r="G1548" s="5"/>
      <c r="H1548" s="5"/>
      <c r="I1548" s="5"/>
      <c r="J1548" s="5"/>
      <c r="K1548" s="5"/>
      <c r="L1548" s="5"/>
      <c r="M1548" s="5"/>
      <c r="N1548" s="5"/>
      <c r="O1548" s="5"/>
      <c r="P1548" s="5"/>
    </row>
    <row r="1549" spans="1:16">
      <c r="A1549" t="str">
        <f t="shared" si="23"/>
        <v/>
      </c>
      <c r="D1549" s="5"/>
      <c r="E1549" s="5"/>
      <c r="F1549" s="5"/>
      <c r="G1549" s="5"/>
      <c r="H1549" s="5"/>
      <c r="I1549" s="5"/>
      <c r="J1549" s="5"/>
      <c r="K1549" s="5"/>
      <c r="L1549" s="5"/>
      <c r="M1549" s="5"/>
      <c r="N1549" s="5"/>
      <c r="O1549" s="5"/>
      <c r="P1549" s="5"/>
    </row>
    <row r="1550" spans="1:16">
      <c r="A1550" t="str">
        <f t="shared" si="23"/>
        <v/>
      </c>
      <c r="D1550" s="5"/>
      <c r="E1550" s="5"/>
      <c r="F1550" s="5"/>
      <c r="G1550" s="5"/>
      <c r="H1550" s="5"/>
      <c r="I1550" s="5"/>
      <c r="J1550" s="5"/>
      <c r="K1550" s="5"/>
      <c r="L1550" s="5"/>
      <c r="M1550" s="5"/>
      <c r="N1550" s="5"/>
      <c r="O1550" s="5"/>
      <c r="P1550" s="5"/>
    </row>
    <row r="1551" spans="1:16">
      <c r="A1551" t="str">
        <f t="shared" si="23"/>
        <v/>
      </c>
      <c r="D1551" s="5"/>
      <c r="E1551" s="5"/>
      <c r="F1551" s="5"/>
      <c r="G1551" s="5"/>
      <c r="H1551" s="5"/>
      <c r="I1551" s="5"/>
      <c r="J1551" s="5"/>
      <c r="K1551" s="5"/>
      <c r="L1551" s="5"/>
      <c r="M1551" s="5"/>
      <c r="N1551" s="5"/>
      <c r="O1551" s="5"/>
      <c r="P1551" s="5"/>
    </row>
    <row r="1552" spans="1:16">
      <c r="A1552" t="str">
        <f t="shared" si="23"/>
        <v/>
      </c>
      <c r="D1552" s="5"/>
      <c r="E1552" s="5"/>
      <c r="F1552" s="5"/>
      <c r="G1552" s="5"/>
      <c r="H1552" s="5"/>
      <c r="I1552" s="5"/>
      <c r="J1552" s="5"/>
      <c r="K1552" s="5"/>
      <c r="L1552" s="5"/>
      <c r="M1552" s="5"/>
      <c r="N1552" s="5"/>
      <c r="O1552" s="5"/>
      <c r="P1552" s="5"/>
    </row>
    <row r="1553" spans="1:16">
      <c r="A1553" t="str">
        <f t="shared" si="23"/>
        <v/>
      </c>
      <c r="D1553" s="5"/>
      <c r="E1553" s="5"/>
      <c r="F1553" s="5"/>
      <c r="G1553" s="5"/>
      <c r="H1553" s="5"/>
      <c r="I1553" s="5"/>
      <c r="J1553" s="5"/>
      <c r="K1553" s="5"/>
      <c r="L1553" s="5"/>
      <c r="M1553" s="5"/>
      <c r="N1553" s="5"/>
      <c r="O1553" s="5"/>
      <c r="P1553" s="5"/>
    </row>
    <row r="1554" spans="1:16">
      <c r="A1554" t="str">
        <f t="shared" si="23"/>
        <v/>
      </c>
    </row>
    <row r="1555" spans="1:16">
      <c r="A1555" t="str">
        <f t="shared" si="23"/>
        <v/>
      </c>
      <c r="D1555" s="5"/>
      <c r="E1555" s="5"/>
      <c r="F1555" s="5"/>
      <c r="G1555" s="5"/>
      <c r="H1555" s="5"/>
      <c r="I1555" s="5"/>
      <c r="J1555" s="5"/>
      <c r="K1555" s="5"/>
      <c r="L1555" s="5"/>
      <c r="M1555" s="5"/>
      <c r="N1555" s="5"/>
      <c r="O1555" s="5"/>
      <c r="P1555" s="5"/>
    </row>
    <row r="1556" spans="1:16">
      <c r="A1556" t="str">
        <f t="shared" si="23"/>
        <v/>
      </c>
      <c r="D1556" s="5"/>
      <c r="E1556" s="5"/>
      <c r="F1556" s="5"/>
      <c r="G1556" s="5"/>
      <c r="H1556" s="5"/>
      <c r="I1556" s="5"/>
      <c r="J1556" s="5"/>
      <c r="K1556" s="5"/>
      <c r="L1556" s="5"/>
      <c r="M1556" s="5"/>
      <c r="N1556" s="5"/>
      <c r="O1556" s="5"/>
      <c r="P1556" s="5"/>
    </row>
    <row r="1557" spans="1:16">
      <c r="A1557" t="str">
        <f t="shared" si="23"/>
        <v/>
      </c>
      <c r="D1557" s="5"/>
      <c r="E1557" s="5"/>
      <c r="F1557" s="5"/>
      <c r="G1557" s="5"/>
      <c r="H1557" s="5"/>
      <c r="I1557" s="5"/>
      <c r="J1557" s="5"/>
      <c r="K1557" s="5"/>
      <c r="L1557" s="5"/>
      <c r="M1557" s="5"/>
      <c r="N1557" s="5"/>
      <c r="O1557" s="5"/>
      <c r="P1557" s="5"/>
    </row>
    <row r="1558" spans="1:16">
      <c r="A1558" t="str">
        <f t="shared" si="23"/>
        <v/>
      </c>
      <c r="D1558" s="5"/>
      <c r="E1558" s="5"/>
      <c r="F1558" s="5"/>
      <c r="G1558" s="5"/>
      <c r="H1558" s="5"/>
      <c r="I1558" s="5"/>
      <c r="J1558" s="5"/>
      <c r="K1558" s="5"/>
      <c r="L1558" s="5"/>
      <c r="M1558" s="5"/>
      <c r="N1558" s="5"/>
      <c r="O1558" s="5"/>
      <c r="P1558" s="5"/>
    </row>
    <row r="1559" spans="1:16">
      <c r="A1559" t="str">
        <f t="shared" si="23"/>
        <v/>
      </c>
      <c r="D1559" s="5"/>
      <c r="E1559" s="5"/>
      <c r="F1559" s="5"/>
      <c r="G1559" s="5"/>
      <c r="H1559" s="5"/>
      <c r="I1559" s="5"/>
      <c r="J1559" s="5"/>
      <c r="K1559" s="5"/>
      <c r="L1559" s="5"/>
      <c r="M1559" s="5"/>
      <c r="N1559" s="5"/>
      <c r="O1559" s="5"/>
      <c r="P1559" s="5"/>
    </row>
    <row r="1560" spans="1:16">
      <c r="A1560" t="str">
        <f t="shared" si="23"/>
        <v/>
      </c>
      <c r="D1560" s="5"/>
      <c r="E1560" s="5"/>
      <c r="F1560" s="5"/>
      <c r="G1560" s="5"/>
      <c r="H1560" s="5"/>
      <c r="I1560" s="5"/>
      <c r="J1560" s="5"/>
      <c r="K1560" s="5"/>
      <c r="L1560" s="5"/>
      <c r="M1560" s="5"/>
      <c r="N1560" s="5"/>
      <c r="O1560" s="5"/>
      <c r="P1560" s="5"/>
    </row>
    <row r="1561" spans="1:16">
      <c r="A1561" t="str">
        <f t="shared" si="23"/>
        <v/>
      </c>
      <c r="D1561" s="5"/>
      <c r="E1561" s="5"/>
      <c r="F1561" s="5"/>
      <c r="G1561" s="5"/>
      <c r="H1561" s="5"/>
      <c r="I1561" s="5"/>
      <c r="J1561" s="5"/>
      <c r="K1561" s="5"/>
      <c r="L1561" s="5"/>
      <c r="M1561" s="5"/>
      <c r="N1561" s="5"/>
      <c r="O1561" s="5"/>
      <c r="P1561" s="5"/>
    </row>
    <row r="1562" spans="1:16">
      <c r="A1562" t="str">
        <f t="shared" si="23"/>
        <v/>
      </c>
    </row>
    <row r="1563" spans="1:16">
      <c r="A1563" t="str">
        <f t="shared" si="23"/>
        <v/>
      </c>
    </row>
    <row r="1564" spans="1:16">
      <c r="A1564" t="str">
        <f t="shared" si="23"/>
        <v/>
      </c>
    </row>
    <row r="1565" spans="1:16">
      <c r="A1565" t="str">
        <f t="shared" si="23"/>
        <v/>
      </c>
    </row>
    <row r="1566" spans="1:16">
      <c r="A1566" t="str">
        <f t="shared" si="23"/>
        <v/>
      </c>
    </row>
    <row r="1567" spans="1:16">
      <c r="A1567" t="str">
        <f t="shared" si="23"/>
        <v/>
      </c>
    </row>
    <row r="1568" spans="1:16">
      <c r="A1568" t="str">
        <f t="shared" si="23"/>
        <v/>
      </c>
    </row>
    <row r="1569" spans="1:16">
      <c r="A1569" t="str">
        <f t="shared" si="23"/>
        <v/>
      </c>
      <c r="D1569" s="4"/>
      <c r="E1569" s="4"/>
      <c r="F1569" s="4"/>
      <c r="G1569" s="4"/>
      <c r="H1569" s="4"/>
      <c r="I1569" s="4"/>
      <c r="J1569" s="4"/>
      <c r="K1569" s="4"/>
      <c r="L1569" s="4"/>
      <c r="M1569" s="4"/>
      <c r="N1569" s="4"/>
      <c r="O1569" s="4"/>
      <c r="P1569" s="4"/>
    </row>
    <row r="1570" spans="1:16">
      <c r="A1570" t="str">
        <f t="shared" si="23"/>
        <v/>
      </c>
    </row>
    <row r="1571" spans="1:16">
      <c r="A1571" t="str">
        <f t="shared" si="23"/>
        <v/>
      </c>
    </row>
    <row r="1572" spans="1:16">
      <c r="A1572" t="str">
        <f t="shared" si="23"/>
        <v/>
      </c>
    </row>
    <row r="1573" spans="1:16">
      <c r="A1573" t="str">
        <f t="shared" si="23"/>
        <v/>
      </c>
    </row>
    <row r="1574" spans="1:16">
      <c r="A1574" t="str">
        <f t="shared" si="23"/>
        <v/>
      </c>
    </row>
    <row r="1575" spans="1:16">
      <c r="A1575" t="str">
        <f t="shared" si="23"/>
        <v/>
      </c>
    </row>
    <row r="1576" spans="1:16">
      <c r="A1576" t="str">
        <f t="shared" si="23"/>
        <v/>
      </c>
    </row>
    <row r="1577" spans="1:16">
      <c r="A1577" t="str">
        <f t="shared" si="23"/>
        <v/>
      </c>
    </row>
    <row r="1578" spans="1:16">
      <c r="A1578" t="str">
        <f t="shared" si="23"/>
        <v/>
      </c>
      <c r="D1578" s="5"/>
      <c r="E1578" s="5"/>
      <c r="F1578" s="5"/>
      <c r="G1578" s="5"/>
      <c r="H1578" s="5"/>
      <c r="I1578" s="5"/>
      <c r="J1578" s="5"/>
      <c r="K1578" s="5"/>
      <c r="L1578" s="5"/>
      <c r="M1578" s="5"/>
      <c r="N1578" s="5"/>
      <c r="O1578" s="5"/>
      <c r="P1578" s="5"/>
    </row>
    <row r="1579" spans="1:16">
      <c r="A1579" t="str">
        <f t="shared" si="23"/>
        <v/>
      </c>
      <c r="D1579" s="5"/>
      <c r="E1579" s="5"/>
      <c r="F1579" s="5"/>
      <c r="G1579" s="5"/>
      <c r="H1579" s="5"/>
      <c r="I1579" s="5"/>
      <c r="J1579" s="5"/>
      <c r="K1579" s="5"/>
      <c r="L1579" s="5"/>
      <c r="M1579" s="5"/>
      <c r="N1579" s="5"/>
      <c r="O1579" s="5"/>
      <c r="P1579" s="5"/>
    </row>
    <row r="1580" spans="1:16">
      <c r="A1580" t="str">
        <f t="shared" si="23"/>
        <v/>
      </c>
    </row>
    <row r="1581" spans="1:16">
      <c r="A1581" t="str">
        <f t="shared" si="23"/>
        <v/>
      </c>
      <c r="B1581" s="89"/>
      <c r="C1581" s="89"/>
      <c r="D1581" s="89"/>
      <c r="E1581" s="89"/>
      <c r="F1581" s="89"/>
      <c r="G1581" s="89"/>
      <c r="H1581" s="89"/>
      <c r="I1581" s="89"/>
      <c r="J1581" s="89"/>
      <c r="K1581" s="89"/>
      <c r="L1581" s="89"/>
      <c r="M1581" s="89"/>
      <c r="N1581" s="89"/>
      <c r="O1581" s="89"/>
      <c r="P1581" s="89"/>
    </row>
    <row r="1582" spans="1:16">
      <c r="A1582" t="str">
        <f t="shared" si="23"/>
        <v/>
      </c>
    </row>
    <row r="1583" spans="1:16">
      <c r="A1583" t="str">
        <f t="shared" ref="A1583:A1646" si="24">B1583&amp;C1583</f>
        <v/>
      </c>
    </row>
    <row r="1584" spans="1:16">
      <c r="A1584" t="str">
        <f t="shared" si="24"/>
        <v/>
      </c>
    </row>
    <row r="1585" spans="1:16">
      <c r="A1585" t="str">
        <f t="shared" si="24"/>
        <v/>
      </c>
    </row>
    <row r="1586" spans="1:16">
      <c r="A1586" t="str">
        <f t="shared" si="24"/>
        <v/>
      </c>
      <c r="B1586" s="87"/>
      <c r="C1586" s="87"/>
      <c r="D1586" s="87"/>
      <c r="E1586" s="87"/>
      <c r="F1586" s="87"/>
      <c r="G1586" s="87"/>
      <c r="H1586" s="87"/>
      <c r="I1586" s="87"/>
      <c r="J1586" s="87"/>
      <c r="K1586" s="87"/>
      <c r="L1586" s="87"/>
      <c r="M1586" s="87"/>
      <c r="N1586" s="87"/>
      <c r="O1586" s="87"/>
      <c r="P1586" s="87"/>
    </row>
    <row r="1587" spans="1:16">
      <c r="A1587" t="str">
        <f t="shared" si="24"/>
        <v/>
      </c>
    </row>
    <row r="1588" spans="1:16">
      <c r="A1588" t="str">
        <f t="shared" si="24"/>
        <v/>
      </c>
    </row>
    <row r="1589" spans="1:16">
      <c r="A1589" t="str">
        <f t="shared" si="24"/>
        <v/>
      </c>
      <c r="B1589" s="83"/>
      <c r="C1589" s="83"/>
      <c r="D1589" s="83"/>
      <c r="E1589" s="83"/>
      <c r="F1589" s="83"/>
      <c r="G1589" s="83"/>
      <c r="H1589" s="83"/>
      <c r="I1589" s="83"/>
      <c r="J1589" s="83"/>
      <c r="K1589" s="83"/>
      <c r="L1589" s="83"/>
      <c r="M1589" s="83"/>
      <c r="N1589" s="83"/>
      <c r="O1589" s="83"/>
      <c r="P1589" s="83"/>
    </row>
    <row r="1590" spans="1:16">
      <c r="A1590" t="str">
        <f t="shared" si="24"/>
        <v/>
      </c>
      <c r="D1590" s="1"/>
      <c r="E1590" s="1"/>
      <c r="F1590" s="1"/>
      <c r="G1590" s="1"/>
      <c r="H1590" s="1"/>
      <c r="I1590" s="1"/>
      <c r="J1590" s="1"/>
      <c r="K1590" s="1"/>
      <c r="L1590" s="1"/>
      <c r="M1590" s="1"/>
      <c r="N1590" s="1"/>
      <c r="O1590" s="1"/>
      <c r="P1590" s="1"/>
    </row>
    <row r="1591" spans="1:16">
      <c r="A1591" t="str">
        <f t="shared" si="24"/>
        <v/>
      </c>
      <c r="D1591" s="5"/>
      <c r="E1591" s="5"/>
      <c r="F1591" s="5"/>
      <c r="G1591" s="5"/>
      <c r="H1591" s="5"/>
      <c r="I1591" s="5"/>
      <c r="J1591" s="5"/>
      <c r="K1591" s="5"/>
      <c r="L1591" s="5"/>
      <c r="M1591" s="5"/>
      <c r="N1591" s="5"/>
      <c r="O1591" s="5"/>
      <c r="P1591" s="5"/>
    </row>
    <row r="1592" spans="1:16">
      <c r="A1592" t="str">
        <f t="shared" si="24"/>
        <v/>
      </c>
      <c r="D1592" s="5"/>
      <c r="E1592" s="5"/>
      <c r="F1592" s="5"/>
      <c r="G1592" s="5"/>
      <c r="H1592" s="5"/>
      <c r="I1592" s="5"/>
      <c r="J1592" s="5"/>
      <c r="K1592" s="5"/>
      <c r="L1592" s="5"/>
      <c r="M1592" s="5"/>
      <c r="N1592" s="5"/>
      <c r="O1592" s="5"/>
      <c r="P1592" s="5"/>
    </row>
    <row r="1593" spans="1:16">
      <c r="A1593" t="str">
        <f t="shared" si="24"/>
        <v/>
      </c>
      <c r="D1593" s="5"/>
      <c r="E1593" s="5"/>
      <c r="F1593" s="5"/>
      <c r="G1593" s="5"/>
      <c r="H1593" s="5"/>
      <c r="I1593" s="5"/>
      <c r="J1593" s="5"/>
      <c r="K1593" s="5"/>
      <c r="L1593" s="5"/>
      <c r="M1593" s="5"/>
      <c r="N1593" s="5"/>
      <c r="O1593" s="5"/>
      <c r="P1593" s="5"/>
    </row>
    <row r="1594" spans="1:16">
      <c r="A1594" t="str">
        <f t="shared" si="24"/>
        <v/>
      </c>
      <c r="D1594" s="5"/>
      <c r="E1594" s="5"/>
      <c r="F1594" s="5"/>
      <c r="G1594" s="5"/>
      <c r="H1594" s="5"/>
      <c r="I1594" s="5"/>
      <c r="J1594" s="5"/>
      <c r="K1594" s="5"/>
      <c r="L1594" s="5"/>
      <c r="M1594" s="5"/>
      <c r="N1594" s="5"/>
      <c r="O1594" s="5"/>
      <c r="P1594" s="5"/>
    </row>
    <row r="1595" spans="1:16">
      <c r="A1595" t="str">
        <f t="shared" si="24"/>
        <v/>
      </c>
      <c r="D1595" s="5"/>
      <c r="E1595" s="5"/>
      <c r="F1595" s="5"/>
      <c r="G1595" s="5"/>
      <c r="H1595" s="5"/>
      <c r="I1595" s="5"/>
      <c r="J1595" s="5"/>
      <c r="K1595" s="5"/>
      <c r="L1595" s="5"/>
      <c r="M1595" s="5"/>
      <c r="N1595" s="5"/>
      <c r="O1595" s="5"/>
      <c r="P1595" s="5"/>
    </row>
    <row r="1596" spans="1:16">
      <c r="A1596" t="str">
        <f t="shared" si="24"/>
        <v/>
      </c>
      <c r="D1596" s="5"/>
      <c r="E1596" s="5"/>
      <c r="F1596" s="5"/>
      <c r="G1596" s="5"/>
      <c r="H1596" s="5"/>
      <c r="I1596" s="5"/>
      <c r="J1596" s="5"/>
      <c r="K1596" s="5"/>
      <c r="L1596" s="5"/>
      <c r="M1596" s="5"/>
      <c r="N1596" s="5"/>
      <c r="O1596" s="5"/>
      <c r="P1596" s="5"/>
    </row>
    <row r="1597" spans="1:16">
      <c r="A1597" t="str">
        <f t="shared" si="24"/>
        <v/>
      </c>
      <c r="D1597" s="5"/>
      <c r="E1597" s="5"/>
      <c r="F1597" s="5"/>
      <c r="G1597" s="5"/>
      <c r="H1597" s="5"/>
      <c r="I1597" s="5"/>
      <c r="J1597" s="5"/>
      <c r="K1597" s="5"/>
      <c r="L1597" s="5"/>
      <c r="M1597" s="5"/>
      <c r="N1597" s="5"/>
      <c r="O1597" s="5"/>
      <c r="P1597" s="5"/>
    </row>
    <row r="1598" spans="1:16">
      <c r="A1598" t="str">
        <f t="shared" si="24"/>
        <v/>
      </c>
      <c r="D1598" s="5"/>
      <c r="E1598" s="5"/>
      <c r="F1598" s="5"/>
      <c r="G1598" s="5"/>
      <c r="H1598" s="5"/>
      <c r="I1598" s="5"/>
      <c r="J1598" s="5"/>
      <c r="K1598" s="5"/>
      <c r="L1598" s="5"/>
      <c r="M1598" s="5"/>
      <c r="N1598" s="5"/>
      <c r="O1598" s="5"/>
      <c r="P1598" s="5"/>
    </row>
    <row r="1599" spans="1:16">
      <c r="A1599" t="str">
        <f t="shared" si="24"/>
        <v/>
      </c>
      <c r="D1599" s="5"/>
      <c r="E1599" s="5"/>
      <c r="F1599" s="5"/>
      <c r="G1599" s="5"/>
      <c r="H1599" s="5"/>
      <c r="I1599" s="5"/>
      <c r="J1599" s="5"/>
      <c r="K1599" s="5"/>
      <c r="L1599" s="5"/>
      <c r="M1599" s="5"/>
      <c r="N1599" s="5"/>
      <c r="O1599" s="5"/>
      <c r="P1599" s="5"/>
    </row>
    <row r="1600" spans="1:16">
      <c r="A1600" t="str">
        <f t="shared" si="24"/>
        <v/>
      </c>
    </row>
    <row r="1601" spans="1:16">
      <c r="A1601" t="str">
        <f t="shared" si="24"/>
        <v/>
      </c>
      <c r="D1601" s="5"/>
      <c r="E1601" s="5"/>
      <c r="F1601" s="5"/>
      <c r="G1601" s="5"/>
      <c r="H1601" s="5"/>
      <c r="I1601" s="5"/>
      <c r="J1601" s="5"/>
      <c r="K1601" s="5"/>
      <c r="L1601" s="5"/>
      <c r="M1601" s="5"/>
      <c r="N1601" s="5"/>
      <c r="O1601" s="5"/>
      <c r="P1601" s="5"/>
    </row>
    <row r="1602" spans="1:16">
      <c r="A1602" t="str">
        <f t="shared" si="24"/>
        <v/>
      </c>
      <c r="D1602" s="5"/>
      <c r="E1602" s="5"/>
      <c r="F1602" s="5"/>
      <c r="G1602" s="5"/>
      <c r="H1602" s="5"/>
      <c r="I1602" s="5"/>
      <c r="J1602" s="5"/>
      <c r="K1602" s="5"/>
      <c r="L1602" s="5"/>
      <c r="M1602" s="5"/>
      <c r="N1602" s="5"/>
      <c r="O1602" s="5"/>
      <c r="P1602" s="5"/>
    </row>
    <row r="1603" spans="1:16">
      <c r="A1603" t="str">
        <f t="shared" si="24"/>
        <v/>
      </c>
      <c r="D1603" s="5"/>
      <c r="E1603" s="5"/>
      <c r="F1603" s="5"/>
      <c r="G1603" s="5"/>
      <c r="H1603" s="5"/>
      <c r="I1603" s="5"/>
      <c r="J1603" s="5"/>
      <c r="K1603" s="5"/>
      <c r="L1603" s="5"/>
      <c r="M1603" s="5"/>
      <c r="N1603" s="5"/>
      <c r="O1603" s="5"/>
      <c r="P1603" s="5"/>
    </row>
    <row r="1604" spans="1:16">
      <c r="A1604" t="str">
        <f t="shared" si="24"/>
        <v/>
      </c>
      <c r="D1604" s="5"/>
      <c r="E1604" s="5"/>
      <c r="F1604" s="5"/>
      <c r="G1604" s="5"/>
      <c r="H1604" s="5"/>
      <c r="I1604" s="5"/>
      <c r="J1604" s="5"/>
      <c r="K1604" s="5"/>
      <c r="L1604" s="5"/>
      <c r="M1604" s="5"/>
      <c r="N1604" s="5"/>
      <c r="O1604" s="5"/>
      <c r="P1604" s="5"/>
    </row>
    <row r="1605" spans="1:16">
      <c r="A1605" t="str">
        <f t="shared" si="24"/>
        <v/>
      </c>
      <c r="D1605" s="5"/>
      <c r="E1605" s="5"/>
      <c r="F1605" s="5"/>
      <c r="G1605" s="5"/>
      <c r="H1605" s="5"/>
      <c r="I1605" s="5"/>
      <c r="J1605" s="5"/>
      <c r="K1605" s="5"/>
      <c r="L1605" s="5"/>
      <c r="M1605" s="5"/>
      <c r="N1605" s="5"/>
      <c r="O1605" s="5"/>
      <c r="P1605" s="5"/>
    </row>
    <row r="1606" spans="1:16">
      <c r="A1606" t="str">
        <f t="shared" si="24"/>
        <v/>
      </c>
      <c r="D1606" s="5"/>
      <c r="E1606" s="5"/>
      <c r="F1606" s="5"/>
      <c r="G1606" s="5"/>
      <c r="H1606" s="5"/>
      <c r="I1606" s="5"/>
      <c r="J1606" s="5"/>
      <c r="K1606" s="5"/>
      <c r="L1606" s="5"/>
      <c r="M1606" s="5"/>
      <c r="N1606" s="5"/>
      <c r="O1606" s="5"/>
      <c r="P1606" s="5"/>
    </row>
    <row r="1607" spans="1:16">
      <c r="A1607" t="str">
        <f t="shared" si="24"/>
        <v/>
      </c>
      <c r="D1607" s="5"/>
      <c r="E1607" s="5"/>
      <c r="F1607" s="5"/>
      <c r="G1607" s="5"/>
      <c r="H1607" s="5"/>
      <c r="I1607" s="5"/>
      <c r="J1607" s="5"/>
      <c r="K1607" s="5"/>
      <c r="L1607" s="5"/>
      <c r="M1607" s="5"/>
      <c r="N1607" s="5"/>
      <c r="O1607" s="5"/>
      <c r="P1607" s="5"/>
    </row>
    <row r="1608" spans="1:16">
      <c r="A1608" t="str">
        <f t="shared" si="24"/>
        <v/>
      </c>
    </row>
    <row r="1609" spans="1:16">
      <c r="A1609" t="str">
        <f t="shared" si="24"/>
        <v/>
      </c>
    </row>
    <row r="1610" spans="1:16">
      <c r="A1610" t="str">
        <f t="shared" si="24"/>
        <v/>
      </c>
    </row>
    <row r="1611" spans="1:16">
      <c r="A1611" t="str">
        <f t="shared" si="24"/>
        <v/>
      </c>
    </row>
    <row r="1612" spans="1:16">
      <c r="A1612" t="str">
        <f t="shared" si="24"/>
        <v/>
      </c>
    </row>
    <row r="1613" spans="1:16">
      <c r="A1613" t="str">
        <f t="shared" si="24"/>
        <v/>
      </c>
    </row>
    <row r="1614" spans="1:16">
      <c r="A1614" t="str">
        <f t="shared" si="24"/>
        <v/>
      </c>
      <c r="C1614" s="9"/>
    </row>
    <row r="1615" spans="1:16">
      <c r="A1615" t="str">
        <f t="shared" si="24"/>
        <v/>
      </c>
      <c r="D1615" s="4"/>
      <c r="E1615" s="4"/>
      <c r="F1615" s="4"/>
      <c r="G1615" s="4"/>
      <c r="H1615" s="4"/>
      <c r="I1615" s="4"/>
      <c r="J1615" s="4"/>
      <c r="K1615" s="4"/>
      <c r="L1615" s="4"/>
      <c r="M1615" s="4"/>
      <c r="N1615" s="4"/>
      <c r="O1615" s="4"/>
      <c r="P1615" s="4"/>
    </row>
    <row r="1616" spans="1:16">
      <c r="A1616" t="str">
        <f t="shared" si="24"/>
        <v/>
      </c>
    </row>
    <row r="1617" spans="1:16">
      <c r="A1617" t="str">
        <f t="shared" si="24"/>
        <v/>
      </c>
    </row>
    <row r="1618" spans="1:16">
      <c r="A1618" t="str">
        <f t="shared" si="24"/>
        <v/>
      </c>
    </row>
    <row r="1619" spans="1:16">
      <c r="A1619" t="str">
        <f t="shared" si="24"/>
        <v/>
      </c>
    </row>
    <row r="1620" spans="1:16">
      <c r="A1620" t="str">
        <f t="shared" si="24"/>
        <v/>
      </c>
    </row>
    <row r="1621" spans="1:16">
      <c r="A1621" t="str">
        <f t="shared" si="24"/>
        <v/>
      </c>
    </row>
    <row r="1622" spans="1:16">
      <c r="A1622" t="str">
        <f t="shared" si="24"/>
        <v/>
      </c>
    </row>
    <row r="1623" spans="1:16">
      <c r="A1623" t="str">
        <f t="shared" si="24"/>
        <v/>
      </c>
    </row>
    <row r="1624" spans="1:16">
      <c r="A1624" t="str">
        <f t="shared" si="24"/>
        <v/>
      </c>
      <c r="D1624" s="5"/>
      <c r="E1624" s="5"/>
      <c r="F1624" s="5"/>
      <c r="G1624" s="5"/>
      <c r="H1624" s="5"/>
      <c r="I1624" s="5"/>
      <c r="J1624" s="5"/>
      <c r="K1624" s="5"/>
      <c r="L1624" s="5"/>
      <c r="M1624" s="5"/>
      <c r="N1624" s="5"/>
      <c r="O1624" s="5"/>
      <c r="P1624" s="5"/>
    </row>
    <row r="1625" spans="1:16">
      <c r="A1625" t="str">
        <f t="shared" si="24"/>
        <v/>
      </c>
      <c r="D1625" s="5"/>
      <c r="E1625" s="5"/>
      <c r="F1625" s="5"/>
      <c r="G1625" s="5"/>
      <c r="H1625" s="5"/>
      <c r="I1625" s="5"/>
      <c r="J1625" s="5"/>
      <c r="K1625" s="5"/>
      <c r="L1625" s="5"/>
      <c r="M1625" s="5"/>
      <c r="N1625" s="5"/>
      <c r="O1625" s="5"/>
      <c r="P1625" s="5"/>
    </row>
    <row r="1626" spans="1:16">
      <c r="A1626" t="str">
        <f t="shared" si="24"/>
        <v/>
      </c>
    </row>
    <row r="1627" spans="1:16">
      <c r="A1627" t="str">
        <f t="shared" si="24"/>
        <v/>
      </c>
      <c r="B1627" s="89"/>
      <c r="C1627" s="89"/>
      <c r="D1627" s="89"/>
      <c r="E1627" s="89"/>
      <c r="F1627" s="89"/>
      <c r="G1627" s="89"/>
      <c r="H1627" s="89"/>
      <c r="I1627" s="89"/>
      <c r="J1627" s="89"/>
      <c r="K1627" s="89"/>
      <c r="L1627" s="89"/>
      <c r="M1627" s="89"/>
      <c r="N1627" s="89"/>
      <c r="O1627" s="89"/>
      <c r="P1627" s="89"/>
    </row>
    <row r="1628" spans="1:16">
      <c r="A1628" t="str">
        <f t="shared" si="24"/>
        <v/>
      </c>
    </row>
    <row r="1629" spans="1:16">
      <c r="A1629" t="str">
        <f t="shared" si="24"/>
        <v/>
      </c>
    </row>
    <row r="1630" spans="1:16">
      <c r="A1630" t="str">
        <f t="shared" si="24"/>
        <v/>
      </c>
    </row>
    <row r="1631" spans="1:16">
      <c r="A1631" t="str">
        <f t="shared" si="24"/>
        <v/>
      </c>
    </row>
    <row r="1632" spans="1:16">
      <c r="A1632" t="str">
        <f t="shared" si="24"/>
        <v/>
      </c>
      <c r="B1632" s="87"/>
      <c r="C1632" s="87"/>
      <c r="D1632" s="87"/>
      <c r="E1632" s="87"/>
      <c r="F1632" s="87"/>
      <c r="G1632" s="87"/>
      <c r="H1632" s="87"/>
      <c r="I1632" s="87"/>
      <c r="J1632" s="87"/>
      <c r="K1632" s="87"/>
      <c r="L1632" s="87"/>
      <c r="M1632" s="87"/>
      <c r="N1632" s="87"/>
      <c r="O1632" s="87"/>
      <c r="P1632" s="87"/>
    </row>
    <row r="1633" spans="1:16">
      <c r="A1633" t="str">
        <f t="shared" si="24"/>
        <v/>
      </c>
    </row>
    <row r="1634" spans="1:16">
      <c r="A1634" t="str">
        <f t="shared" si="24"/>
        <v/>
      </c>
    </row>
    <row r="1635" spans="1:16">
      <c r="A1635" t="str">
        <f t="shared" si="24"/>
        <v/>
      </c>
      <c r="B1635" s="83"/>
      <c r="C1635" s="83"/>
      <c r="D1635" s="83"/>
      <c r="E1635" s="83"/>
      <c r="F1635" s="83"/>
      <c r="G1635" s="83"/>
      <c r="H1635" s="83"/>
      <c r="I1635" s="83"/>
      <c r="J1635" s="83"/>
      <c r="K1635" s="83"/>
      <c r="L1635" s="83"/>
      <c r="M1635" s="83"/>
      <c r="N1635" s="83"/>
      <c r="O1635" s="83"/>
      <c r="P1635" s="83"/>
    </row>
    <row r="1636" spans="1:16">
      <c r="A1636" t="str">
        <f t="shared" si="24"/>
        <v/>
      </c>
      <c r="D1636" s="1"/>
      <c r="E1636" s="1"/>
      <c r="F1636" s="1"/>
      <c r="G1636" s="1"/>
      <c r="H1636" s="1"/>
      <c r="I1636" s="1"/>
      <c r="J1636" s="1"/>
      <c r="K1636" s="1"/>
      <c r="L1636" s="1"/>
      <c r="M1636" s="1"/>
      <c r="N1636" s="1"/>
      <c r="O1636" s="1"/>
      <c r="P1636" s="1"/>
    </row>
    <row r="1637" spans="1:16">
      <c r="A1637" t="str">
        <f t="shared" si="24"/>
        <v/>
      </c>
      <c r="D1637" s="5"/>
      <c r="E1637" s="5"/>
      <c r="F1637" s="5"/>
      <c r="G1637" s="5"/>
      <c r="H1637" s="5"/>
      <c r="I1637" s="5"/>
      <c r="J1637" s="5"/>
      <c r="K1637" s="5"/>
      <c r="L1637" s="5"/>
      <c r="M1637" s="5"/>
      <c r="N1637" s="5"/>
      <c r="O1637" s="5"/>
      <c r="P1637" s="5"/>
    </row>
    <row r="1638" spans="1:16">
      <c r="A1638" t="str">
        <f t="shared" si="24"/>
        <v/>
      </c>
      <c r="D1638" s="5"/>
      <c r="E1638" s="5"/>
      <c r="F1638" s="5"/>
      <c r="G1638" s="5"/>
      <c r="H1638" s="5"/>
      <c r="I1638" s="5"/>
      <c r="J1638" s="5"/>
      <c r="K1638" s="5"/>
      <c r="L1638" s="5"/>
      <c r="M1638" s="5"/>
      <c r="N1638" s="5"/>
      <c r="O1638" s="5"/>
      <c r="P1638" s="5"/>
    </row>
    <row r="1639" spans="1:16">
      <c r="A1639" t="str">
        <f t="shared" si="24"/>
        <v/>
      </c>
      <c r="D1639" s="5"/>
      <c r="E1639" s="5"/>
      <c r="F1639" s="5"/>
      <c r="G1639" s="5"/>
      <c r="H1639" s="5"/>
      <c r="I1639" s="5"/>
      <c r="J1639" s="5"/>
      <c r="K1639" s="5"/>
      <c r="L1639" s="5"/>
      <c r="M1639" s="5"/>
      <c r="N1639" s="5"/>
      <c r="O1639" s="5"/>
      <c r="P1639" s="5"/>
    </row>
    <row r="1640" spans="1:16">
      <c r="A1640" t="str">
        <f t="shared" si="24"/>
        <v/>
      </c>
      <c r="D1640" s="5"/>
      <c r="E1640" s="5"/>
      <c r="F1640" s="5"/>
      <c r="G1640" s="5"/>
      <c r="H1640" s="5"/>
      <c r="I1640" s="5"/>
      <c r="J1640" s="5"/>
      <c r="K1640" s="5"/>
      <c r="L1640" s="5"/>
      <c r="M1640" s="5"/>
      <c r="N1640" s="5"/>
      <c r="O1640" s="5"/>
      <c r="P1640" s="5"/>
    </row>
    <row r="1641" spans="1:16">
      <c r="A1641" t="str">
        <f t="shared" si="24"/>
        <v/>
      </c>
      <c r="D1641" s="5"/>
      <c r="E1641" s="5"/>
      <c r="F1641" s="5"/>
      <c r="G1641" s="5"/>
      <c r="H1641" s="5"/>
      <c r="I1641" s="5"/>
      <c r="J1641" s="5"/>
      <c r="K1641" s="5"/>
      <c r="L1641" s="5"/>
      <c r="M1641" s="5"/>
      <c r="N1641" s="5"/>
      <c r="O1641" s="5"/>
      <c r="P1641" s="5"/>
    </row>
    <row r="1642" spans="1:16">
      <c r="A1642" t="str">
        <f t="shared" si="24"/>
        <v/>
      </c>
      <c r="D1642" s="5"/>
      <c r="E1642" s="5"/>
      <c r="F1642" s="5"/>
      <c r="G1642" s="5"/>
      <c r="H1642" s="5"/>
      <c r="I1642" s="5"/>
      <c r="J1642" s="5"/>
      <c r="K1642" s="5"/>
      <c r="L1642" s="5"/>
      <c r="M1642" s="5"/>
      <c r="N1642" s="5"/>
      <c r="O1642" s="5"/>
      <c r="P1642" s="5"/>
    </row>
    <row r="1643" spans="1:16">
      <c r="A1643" t="str">
        <f t="shared" si="24"/>
        <v/>
      </c>
      <c r="D1643" s="5"/>
      <c r="E1643" s="5"/>
      <c r="F1643" s="5"/>
      <c r="G1643" s="5"/>
      <c r="H1643" s="5"/>
      <c r="I1643" s="5"/>
      <c r="J1643" s="5"/>
      <c r="K1643" s="5"/>
      <c r="L1643" s="5"/>
      <c r="M1643" s="5"/>
      <c r="N1643" s="5"/>
      <c r="O1643" s="5"/>
      <c r="P1643" s="5"/>
    </row>
    <row r="1644" spans="1:16">
      <c r="A1644" t="str">
        <f t="shared" si="24"/>
        <v/>
      </c>
      <c r="D1644" s="5"/>
      <c r="E1644" s="5"/>
      <c r="F1644" s="5"/>
      <c r="G1644" s="5"/>
      <c r="H1644" s="5"/>
      <c r="I1644" s="5"/>
      <c r="J1644" s="5"/>
      <c r="K1644" s="5"/>
      <c r="L1644" s="5"/>
      <c r="M1644" s="5"/>
      <c r="N1644" s="5"/>
      <c r="O1644" s="5"/>
      <c r="P1644" s="5"/>
    </row>
    <row r="1645" spans="1:16">
      <c r="A1645" t="str">
        <f t="shared" si="24"/>
        <v/>
      </c>
      <c r="D1645" s="5"/>
      <c r="E1645" s="5"/>
      <c r="F1645" s="5"/>
      <c r="G1645" s="5"/>
      <c r="H1645" s="5"/>
      <c r="I1645" s="5"/>
      <c r="J1645" s="5"/>
      <c r="K1645" s="5"/>
      <c r="L1645" s="5"/>
      <c r="M1645" s="5"/>
      <c r="N1645" s="5"/>
      <c r="O1645" s="5"/>
      <c r="P1645" s="5"/>
    </row>
    <row r="1646" spans="1:16">
      <c r="A1646" t="str">
        <f t="shared" si="24"/>
        <v/>
      </c>
    </row>
    <row r="1647" spans="1:16">
      <c r="A1647" t="str">
        <f t="shared" ref="A1647:A1704" si="25">B1647&amp;C1647</f>
        <v/>
      </c>
      <c r="D1647" s="5"/>
      <c r="E1647" s="5"/>
      <c r="F1647" s="5"/>
      <c r="G1647" s="5"/>
      <c r="H1647" s="5"/>
      <c r="I1647" s="5"/>
      <c r="J1647" s="5"/>
      <c r="K1647" s="5"/>
      <c r="L1647" s="5"/>
      <c r="M1647" s="5"/>
      <c r="N1647" s="5"/>
      <c r="O1647" s="5"/>
      <c r="P1647" s="5"/>
    </row>
    <row r="1648" spans="1:16">
      <c r="A1648" t="str">
        <f t="shared" si="25"/>
        <v/>
      </c>
      <c r="D1648" s="5"/>
      <c r="E1648" s="5"/>
      <c r="F1648" s="5"/>
      <c r="G1648" s="5"/>
      <c r="H1648" s="5"/>
      <c r="I1648" s="5"/>
      <c r="J1648" s="5"/>
      <c r="K1648" s="5"/>
      <c r="L1648" s="5"/>
      <c r="M1648" s="5"/>
      <c r="N1648" s="5"/>
      <c r="O1648" s="5"/>
      <c r="P1648" s="5"/>
    </row>
    <row r="1649" spans="1:16">
      <c r="A1649" t="str">
        <f t="shared" si="25"/>
        <v/>
      </c>
      <c r="D1649" s="5"/>
      <c r="E1649" s="5"/>
      <c r="F1649" s="5"/>
      <c r="G1649" s="5"/>
      <c r="H1649" s="5"/>
      <c r="I1649" s="5"/>
      <c r="J1649" s="5"/>
      <c r="K1649" s="5"/>
      <c r="L1649" s="5"/>
      <c r="M1649" s="5"/>
      <c r="N1649" s="5"/>
      <c r="O1649" s="5"/>
      <c r="P1649" s="5"/>
    </row>
    <row r="1650" spans="1:16">
      <c r="A1650" t="str">
        <f t="shared" si="25"/>
        <v/>
      </c>
      <c r="D1650" s="5"/>
      <c r="E1650" s="5"/>
      <c r="F1650" s="5"/>
      <c r="G1650" s="5"/>
      <c r="H1650" s="5"/>
      <c r="I1650" s="5"/>
      <c r="J1650" s="5"/>
      <c r="K1650" s="5"/>
      <c r="L1650" s="5"/>
      <c r="M1650" s="5"/>
      <c r="N1650" s="5"/>
      <c r="O1650" s="5"/>
      <c r="P1650" s="5"/>
    </row>
    <row r="1651" spans="1:16">
      <c r="A1651" t="str">
        <f t="shared" si="25"/>
        <v/>
      </c>
      <c r="D1651" s="5"/>
      <c r="E1651" s="5"/>
      <c r="F1651" s="5"/>
      <c r="G1651" s="5"/>
      <c r="H1651" s="5"/>
      <c r="I1651" s="5"/>
      <c r="J1651" s="5"/>
      <c r="K1651" s="5"/>
      <c r="L1651" s="5"/>
      <c r="M1651" s="5"/>
      <c r="N1651" s="5"/>
      <c r="O1651" s="5"/>
      <c r="P1651" s="5"/>
    </row>
    <row r="1652" spans="1:16">
      <c r="A1652" t="str">
        <f t="shared" si="25"/>
        <v/>
      </c>
      <c r="D1652" s="5"/>
      <c r="E1652" s="5"/>
      <c r="F1652" s="5"/>
      <c r="G1652" s="5"/>
      <c r="H1652" s="5"/>
      <c r="I1652" s="5"/>
      <c r="J1652" s="5"/>
      <c r="K1652" s="5"/>
      <c r="L1652" s="5"/>
      <c r="M1652" s="5"/>
      <c r="N1652" s="5"/>
      <c r="O1652" s="5"/>
      <c r="P1652" s="5"/>
    </row>
    <row r="1653" spans="1:16">
      <c r="A1653" t="str">
        <f t="shared" si="25"/>
        <v/>
      </c>
      <c r="D1653" s="5"/>
      <c r="E1653" s="5"/>
      <c r="F1653" s="5"/>
      <c r="G1653" s="5"/>
      <c r="H1653" s="5"/>
      <c r="I1653" s="5"/>
      <c r="J1653" s="5"/>
      <c r="K1653" s="5"/>
      <c r="L1653" s="5"/>
      <c r="M1653" s="5"/>
      <c r="N1653" s="5"/>
      <c r="O1653" s="5"/>
      <c r="P1653" s="5"/>
    </row>
    <row r="1654" spans="1:16">
      <c r="A1654" t="str">
        <f t="shared" si="25"/>
        <v/>
      </c>
    </row>
    <row r="1655" spans="1:16">
      <c r="A1655" t="str">
        <f t="shared" si="25"/>
        <v/>
      </c>
    </row>
    <row r="1656" spans="1:16">
      <c r="A1656" t="str">
        <f t="shared" si="25"/>
        <v/>
      </c>
    </row>
    <row r="1657" spans="1:16">
      <c r="A1657" t="str">
        <f t="shared" si="25"/>
        <v/>
      </c>
    </row>
    <row r="1658" spans="1:16">
      <c r="A1658" t="str">
        <f t="shared" si="25"/>
        <v/>
      </c>
    </row>
    <row r="1659" spans="1:16">
      <c r="A1659" t="str">
        <f t="shared" si="25"/>
        <v/>
      </c>
    </row>
    <row r="1660" spans="1:16">
      <c r="A1660" t="str">
        <f t="shared" si="25"/>
        <v/>
      </c>
    </row>
    <row r="1661" spans="1:16">
      <c r="A1661" t="str">
        <f t="shared" si="25"/>
        <v/>
      </c>
      <c r="D1661" s="4"/>
      <c r="E1661" s="4"/>
      <c r="F1661" s="4"/>
      <c r="G1661" s="4"/>
      <c r="H1661" s="4"/>
      <c r="I1661" s="4"/>
      <c r="J1661" s="4"/>
      <c r="K1661" s="4"/>
      <c r="L1661" s="4"/>
      <c r="M1661" s="4"/>
      <c r="N1661" s="4"/>
      <c r="O1661" s="4"/>
      <c r="P1661" s="4"/>
    </row>
    <row r="1662" spans="1:16">
      <c r="A1662" t="str">
        <f t="shared" si="25"/>
        <v/>
      </c>
    </row>
    <row r="1663" spans="1:16">
      <c r="A1663" t="str">
        <f t="shared" si="25"/>
        <v/>
      </c>
    </row>
    <row r="1664" spans="1:16">
      <c r="A1664" t="str">
        <f t="shared" si="25"/>
        <v/>
      </c>
    </row>
    <row r="1665" spans="1:16">
      <c r="A1665" t="str">
        <f t="shared" si="25"/>
        <v/>
      </c>
    </row>
    <row r="1666" spans="1:16">
      <c r="A1666" t="str">
        <f t="shared" si="25"/>
        <v/>
      </c>
    </row>
    <row r="1667" spans="1:16">
      <c r="A1667" t="str">
        <f t="shared" si="25"/>
        <v/>
      </c>
    </row>
    <row r="1668" spans="1:16">
      <c r="A1668" t="str">
        <f t="shared" si="25"/>
        <v/>
      </c>
    </row>
    <row r="1669" spans="1:16">
      <c r="A1669" t="str">
        <f t="shared" si="25"/>
        <v/>
      </c>
    </row>
    <row r="1670" spans="1:16">
      <c r="A1670" t="str">
        <f t="shared" si="25"/>
        <v/>
      </c>
      <c r="D1670" s="5"/>
      <c r="E1670" s="5"/>
      <c r="F1670" s="5"/>
      <c r="G1670" s="5"/>
      <c r="H1670" s="5"/>
      <c r="I1670" s="5"/>
      <c r="J1670" s="5"/>
      <c r="K1670" s="5"/>
      <c r="L1670" s="5"/>
      <c r="M1670" s="5"/>
      <c r="N1670" s="5"/>
      <c r="O1670" s="5"/>
      <c r="P1670" s="5"/>
    </row>
    <row r="1671" spans="1:16">
      <c r="A1671" t="str">
        <f t="shared" si="25"/>
        <v/>
      </c>
      <c r="D1671" s="5"/>
      <c r="E1671" s="5"/>
      <c r="F1671" s="5"/>
      <c r="G1671" s="5"/>
      <c r="H1671" s="5"/>
      <c r="I1671" s="5"/>
      <c r="J1671" s="5"/>
      <c r="K1671" s="5"/>
      <c r="L1671" s="5"/>
      <c r="M1671" s="5"/>
      <c r="N1671" s="5"/>
      <c r="O1671" s="5"/>
      <c r="P1671" s="5"/>
    </row>
    <row r="1672" spans="1:16">
      <c r="A1672" t="str">
        <f t="shared" si="25"/>
        <v/>
      </c>
    </row>
    <row r="1673" spans="1:16">
      <c r="A1673" t="str">
        <f t="shared" si="25"/>
        <v/>
      </c>
      <c r="B1673" s="89"/>
      <c r="C1673" s="89"/>
      <c r="D1673" s="89"/>
      <c r="E1673" s="89"/>
      <c r="F1673" s="89"/>
      <c r="G1673" s="89"/>
      <c r="H1673" s="89"/>
      <c r="I1673" s="89"/>
      <c r="J1673" s="89"/>
      <c r="K1673" s="89"/>
      <c r="L1673" s="89"/>
      <c r="M1673" s="89"/>
      <c r="N1673" s="89"/>
      <c r="O1673" s="89"/>
      <c r="P1673" s="89"/>
    </row>
    <row r="1674" spans="1:16">
      <c r="A1674" t="str">
        <f t="shared" si="25"/>
        <v/>
      </c>
    </row>
    <row r="1675" spans="1:16">
      <c r="A1675" t="str">
        <f t="shared" si="25"/>
        <v/>
      </c>
    </row>
    <row r="1676" spans="1:16">
      <c r="A1676" t="str">
        <f t="shared" si="25"/>
        <v/>
      </c>
    </row>
    <row r="1677" spans="1:16">
      <c r="A1677" t="str">
        <f t="shared" si="25"/>
        <v/>
      </c>
    </row>
    <row r="1678" spans="1:16">
      <c r="A1678" t="str">
        <f t="shared" si="25"/>
        <v/>
      </c>
      <c r="B1678" s="87"/>
      <c r="C1678" s="87"/>
      <c r="D1678" s="87"/>
      <c r="E1678" s="87"/>
      <c r="F1678" s="87"/>
      <c r="G1678" s="87"/>
      <c r="H1678" s="87"/>
      <c r="I1678" s="87"/>
      <c r="J1678" s="87"/>
      <c r="K1678" s="87"/>
      <c r="L1678" s="87"/>
      <c r="M1678" s="87"/>
      <c r="N1678" s="87"/>
      <c r="O1678" s="87"/>
      <c r="P1678" s="87"/>
    </row>
    <row r="1679" spans="1:16">
      <c r="A1679" t="str">
        <f t="shared" si="25"/>
        <v/>
      </c>
    </row>
    <row r="1680" spans="1:16">
      <c r="A1680" t="str">
        <f t="shared" si="25"/>
        <v/>
      </c>
    </row>
    <row r="1681" spans="1:16">
      <c r="A1681" t="str">
        <f t="shared" si="25"/>
        <v/>
      </c>
      <c r="B1681" s="83"/>
      <c r="C1681" s="83"/>
      <c r="D1681" s="83"/>
      <c r="E1681" s="83"/>
      <c r="F1681" s="83"/>
      <c r="G1681" s="83"/>
      <c r="H1681" s="83"/>
      <c r="I1681" s="83"/>
      <c r="J1681" s="83"/>
      <c r="K1681" s="83"/>
      <c r="L1681" s="83"/>
      <c r="M1681" s="83"/>
      <c r="N1681" s="83"/>
      <c r="O1681" s="83"/>
      <c r="P1681" s="83"/>
    </row>
    <row r="1682" spans="1:16">
      <c r="A1682" t="str">
        <f t="shared" si="25"/>
        <v/>
      </c>
      <c r="D1682" s="1"/>
      <c r="E1682" s="1"/>
      <c r="F1682" s="1"/>
      <c r="G1682" s="1"/>
      <c r="H1682" s="1"/>
      <c r="I1682" s="1"/>
      <c r="J1682" s="1"/>
      <c r="K1682" s="1"/>
      <c r="L1682" s="1"/>
      <c r="M1682" s="1"/>
      <c r="N1682" s="1"/>
      <c r="O1682" s="1"/>
      <c r="P1682" s="1"/>
    </row>
    <row r="1683" spans="1:16">
      <c r="A1683" t="str">
        <f t="shared" si="25"/>
        <v/>
      </c>
      <c r="D1683" s="5"/>
      <c r="E1683" s="5"/>
      <c r="F1683" s="5"/>
      <c r="G1683" s="5"/>
      <c r="H1683" s="5"/>
      <c r="I1683" s="5"/>
      <c r="J1683" s="5"/>
      <c r="K1683" s="5"/>
      <c r="L1683" s="5"/>
      <c r="M1683" s="5"/>
      <c r="N1683" s="5"/>
      <c r="O1683" s="5"/>
      <c r="P1683" s="5"/>
    </row>
    <row r="1684" spans="1:16">
      <c r="A1684" t="str">
        <f t="shared" si="25"/>
        <v/>
      </c>
      <c r="D1684" s="5"/>
      <c r="E1684" s="5"/>
      <c r="F1684" s="5"/>
      <c r="G1684" s="5"/>
      <c r="H1684" s="5"/>
      <c r="I1684" s="5"/>
      <c r="J1684" s="5"/>
      <c r="K1684" s="5"/>
      <c r="L1684" s="5"/>
      <c r="M1684" s="5"/>
      <c r="N1684" s="5"/>
      <c r="O1684" s="5"/>
      <c r="P1684" s="5"/>
    </row>
    <row r="1685" spans="1:16">
      <c r="A1685" t="str">
        <f t="shared" si="25"/>
        <v/>
      </c>
      <c r="D1685" s="5"/>
      <c r="E1685" s="5"/>
      <c r="F1685" s="5"/>
      <c r="G1685" s="5"/>
      <c r="H1685" s="5"/>
      <c r="I1685" s="5"/>
      <c r="J1685" s="5"/>
      <c r="K1685" s="5"/>
      <c r="L1685" s="5"/>
      <c r="M1685" s="5"/>
      <c r="N1685" s="5"/>
      <c r="O1685" s="5"/>
      <c r="P1685" s="5"/>
    </row>
    <row r="1686" spans="1:16">
      <c r="A1686" t="str">
        <f t="shared" si="25"/>
        <v/>
      </c>
      <c r="D1686" s="5"/>
      <c r="E1686" s="5"/>
      <c r="F1686" s="5"/>
      <c r="G1686" s="5"/>
      <c r="H1686" s="5"/>
      <c r="I1686" s="5"/>
      <c r="J1686" s="5"/>
      <c r="K1686" s="5"/>
      <c r="L1686" s="5"/>
      <c r="M1686" s="5"/>
      <c r="N1686" s="5"/>
      <c r="O1686" s="5"/>
      <c r="P1686" s="5"/>
    </row>
    <row r="1687" spans="1:16">
      <c r="A1687" t="str">
        <f t="shared" si="25"/>
        <v/>
      </c>
      <c r="D1687" s="5"/>
      <c r="E1687" s="5"/>
      <c r="F1687" s="5"/>
      <c r="G1687" s="5"/>
      <c r="H1687" s="5"/>
      <c r="I1687" s="5"/>
      <c r="J1687" s="5"/>
      <c r="K1687" s="5"/>
      <c r="L1687" s="5"/>
      <c r="M1687" s="5"/>
      <c r="N1687" s="5"/>
      <c r="O1687" s="5"/>
      <c r="P1687" s="5"/>
    </row>
    <row r="1688" spans="1:16">
      <c r="A1688" t="str">
        <f t="shared" si="25"/>
        <v/>
      </c>
      <c r="D1688" s="5"/>
      <c r="E1688" s="5"/>
      <c r="F1688" s="5"/>
      <c r="G1688" s="5"/>
      <c r="H1688" s="5"/>
      <c r="I1688" s="5"/>
      <c r="J1688" s="5"/>
      <c r="K1688" s="5"/>
      <c r="L1688" s="5"/>
      <c r="M1688" s="5"/>
      <c r="N1688" s="5"/>
      <c r="O1688" s="5"/>
      <c r="P1688" s="5"/>
    </row>
    <row r="1689" spans="1:16">
      <c r="A1689" t="str">
        <f t="shared" si="25"/>
        <v/>
      </c>
      <c r="D1689" s="5"/>
      <c r="E1689" s="5"/>
      <c r="F1689" s="5"/>
      <c r="G1689" s="5"/>
      <c r="H1689" s="5"/>
      <c r="I1689" s="5"/>
      <c r="J1689" s="5"/>
      <c r="K1689" s="5"/>
      <c r="L1689" s="5"/>
      <c r="M1689" s="5"/>
      <c r="N1689" s="5"/>
      <c r="O1689" s="5"/>
      <c r="P1689" s="5"/>
    </row>
    <row r="1690" spans="1:16">
      <c r="A1690" t="str">
        <f t="shared" si="25"/>
        <v/>
      </c>
      <c r="D1690" s="5"/>
      <c r="E1690" s="5"/>
      <c r="F1690" s="5"/>
      <c r="G1690" s="5"/>
      <c r="H1690" s="5"/>
      <c r="I1690" s="5"/>
      <c r="J1690" s="5"/>
      <c r="K1690" s="5"/>
      <c r="L1690" s="5"/>
      <c r="M1690" s="5"/>
      <c r="N1690" s="5"/>
      <c r="O1690" s="5"/>
      <c r="P1690" s="5"/>
    </row>
    <row r="1691" spans="1:16">
      <c r="A1691" t="str">
        <f t="shared" si="25"/>
        <v/>
      </c>
      <c r="D1691" s="5"/>
      <c r="E1691" s="5"/>
      <c r="F1691" s="5"/>
      <c r="G1691" s="5"/>
      <c r="H1691" s="5"/>
      <c r="I1691" s="5"/>
      <c r="J1691" s="5"/>
      <c r="K1691" s="5"/>
      <c r="L1691" s="5"/>
      <c r="M1691" s="5"/>
      <c r="N1691" s="5"/>
      <c r="O1691" s="5"/>
      <c r="P1691" s="5"/>
    </row>
    <row r="1692" spans="1:16">
      <c r="A1692" t="str">
        <f t="shared" si="25"/>
        <v/>
      </c>
    </row>
    <row r="1693" spans="1:16">
      <c r="A1693" t="str">
        <f t="shared" si="25"/>
        <v/>
      </c>
      <c r="D1693" s="5"/>
      <c r="E1693" s="5"/>
      <c r="F1693" s="5"/>
      <c r="G1693" s="5"/>
      <c r="H1693" s="5"/>
      <c r="I1693" s="5"/>
      <c r="J1693" s="5"/>
      <c r="K1693" s="5"/>
      <c r="L1693" s="5"/>
      <c r="M1693" s="5"/>
      <c r="N1693" s="5"/>
      <c r="O1693" s="5"/>
      <c r="P1693" s="5"/>
    </row>
    <row r="1694" spans="1:16">
      <c r="A1694" t="str">
        <f t="shared" si="25"/>
        <v/>
      </c>
      <c r="D1694" s="5"/>
      <c r="E1694" s="5"/>
      <c r="F1694" s="5"/>
      <c r="G1694" s="5"/>
      <c r="H1694" s="5"/>
      <c r="I1694" s="5"/>
      <c r="J1694" s="5"/>
      <c r="K1694" s="5"/>
      <c r="L1694" s="5"/>
      <c r="M1694" s="5"/>
      <c r="N1694" s="5"/>
      <c r="O1694" s="5"/>
      <c r="P1694" s="5"/>
    </row>
    <row r="1695" spans="1:16">
      <c r="A1695" t="str">
        <f t="shared" si="25"/>
        <v/>
      </c>
      <c r="D1695" s="5"/>
      <c r="E1695" s="5"/>
      <c r="F1695" s="5"/>
      <c r="G1695" s="5"/>
      <c r="H1695" s="5"/>
      <c r="I1695" s="5"/>
      <c r="J1695" s="5"/>
      <c r="K1695" s="5"/>
      <c r="L1695" s="5"/>
      <c r="M1695" s="5"/>
      <c r="N1695" s="5"/>
      <c r="O1695" s="5"/>
      <c r="P1695" s="5"/>
    </row>
    <row r="1696" spans="1:16">
      <c r="A1696" t="str">
        <f t="shared" si="25"/>
        <v/>
      </c>
      <c r="D1696" s="5"/>
      <c r="E1696" s="5"/>
      <c r="F1696" s="5"/>
      <c r="G1696" s="5"/>
      <c r="H1696" s="5"/>
      <c r="I1696" s="5"/>
      <c r="J1696" s="5"/>
      <c r="K1696" s="5"/>
      <c r="L1696" s="5"/>
      <c r="M1696" s="5"/>
      <c r="N1696" s="5"/>
      <c r="O1696" s="5"/>
      <c r="P1696" s="5"/>
    </row>
    <row r="1697" spans="1:16">
      <c r="A1697" t="str">
        <f t="shared" si="25"/>
        <v/>
      </c>
      <c r="D1697" s="5"/>
      <c r="E1697" s="5"/>
      <c r="F1697" s="5"/>
      <c r="G1697" s="5"/>
      <c r="H1697" s="5"/>
      <c r="I1697" s="5"/>
      <c r="J1697" s="5"/>
      <c r="K1697" s="5"/>
      <c r="L1697" s="5"/>
      <c r="M1697" s="5"/>
      <c r="N1697" s="5"/>
      <c r="O1697" s="5"/>
      <c r="P1697" s="5"/>
    </row>
    <row r="1698" spans="1:16">
      <c r="A1698" t="str">
        <f t="shared" si="25"/>
        <v/>
      </c>
      <c r="D1698" s="5"/>
      <c r="E1698" s="5"/>
      <c r="F1698" s="5"/>
      <c r="G1698" s="5"/>
      <c r="H1698" s="5"/>
      <c r="I1698" s="5"/>
      <c r="J1698" s="5"/>
      <c r="K1698" s="5"/>
      <c r="L1698" s="5"/>
      <c r="M1698" s="5"/>
      <c r="N1698" s="5"/>
      <c r="O1698" s="5"/>
      <c r="P1698" s="5"/>
    </row>
    <row r="1699" spans="1:16">
      <c r="A1699" t="str">
        <f t="shared" si="25"/>
        <v/>
      </c>
      <c r="D1699" s="5"/>
      <c r="E1699" s="5"/>
      <c r="F1699" s="5"/>
      <c r="G1699" s="5"/>
      <c r="H1699" s="5"/>
      <c r="I1699" s="5"/>
      <c r="J1699" s="5"/>
      <c r="K1699" s="5"/>
      <c r="L1699" s="5"/>
      <c r="M1699" s="5"/>
      <c r="N1699" s="5"/>
      <c r="O1699" s="5"/>
      <c r="P1699" s="5"/>
    </row>
    <row r="1700" spans="1:16">
      <c r="A1700" t="str">
        <f t="shared" si="25"/>
        <v/>
      </c>
    </row>
    <row r="1701" spans="1:16">
      <c r="A1701" t="str">
        <f t="shared" si="25"/>
        <v/>
      </c>
    </row>
    <row r="1702" spans="1:16" ht="409.6">
      <c r="A1702" t="str">
        <f t="shared" si="25"/>
        <v/>
      </c>
    </row>
    <row r="1703" spans="1:16" ht="409.6">
      <c r="A1703" t="str">
        <f t="shared" si="25"/>
        <v/>
      </c>
    </row>
    <row r="1704" spans="1:16">
      <c r="A1704" t="str">
        <f t="shared" si="25"/>
        <v/>
      </c>
    </row>
  </sheetData>
  <mergeCells count="8">
    <mergeCell ref="B1262:O1262"/>
    <mergeCell ref="B1362:O1362"/>
    <mergeCell ref="C25:O25"/>
    <mergeCell ref="C26:O26"/>
    <mergeCell ref="C27:O27"/>
    <mergeCell ref="C29:O29"/>
    <mergeCell ref="B343:Q343"/>
    <mergeCell ref="B439:Q439"/>
  </mergeCells>
  <pageMargins left="0.75" right="0.75" top="1" bottom="1" header="0.5" footer="0.5"/>
  <pageSetup scale="74" fitToHeight="50" orientation="landscape" copies="4" r:id="rId1"/>
  <headerFooter alignWithMargins="0">
    <oddFooter>&amp;L04/07/2008  1:20:00 PM&amp;RPage &amp;P of &amp;N</oddFooter>
  </headerFooter>
  <rowBreaks count="33" manualBreakCount="33">
    <brk id="51" min="1" max="14" man="1"/>
    <brk id="102" min="1" max="14" man="1"/>
    <brk id="199" min="1" max="14" man="1"/>
    <brk id="337" min="1" max="14" man="1"/>
    <brk id="388" min="1" max="14" man="1"/>
    <brk id="434" min="1" max="14" man="1"/>
    <brk id="526" min="1" max="14" man="1"/>
    <brk id="572" min="1" max="14" man="1"/>
    <brk id="600" min="1" max="14" man="1"/>
    <brk id="654" min="1" max="14" man="1"/>
    <brk id="700" min="1" max="14" man="1"/>
    <brk id="723" min="1" max="14" man="1"/>
    <brk id="777" min="1" max="14" man="1"/>
    <brk id="828" min="1" max="14" man="1"/>
    <brk id="874" min="1" max="14" man="1"/>
    <brk id="920" min="1" max="14" man="1"/>
    <brk id="938" min="1" max="14" man="1"/>
    <brk id="992" min="1" max="14" man="1"/>
    <brk id="1043" min="1" max="14" man="1"/>
    <brk id="1089" min="1" max="14" man="1"/>
    <brk id="1135" min="1" max="14" man="1"/>
    <brk id="1181" min="1" max="14" man="1"/>
    <brk id="1235" min="1" max="14" man="1"/>
    <brk id="1281" min="1" max="14" man="1"/>
    <brk id="1309" min="1" max="14" man="1"/>
    <brk id="1355" min="1" max="14" man="1"/>
    <brk id="1378" min="1" max="14" man="1"/>
    <brk id="1429" min="1" max="14" man="1"/>
    <brk id="1475" min="1" max="14" man="1"/>
    <brk id="1521" min="1" max="14" man="1"/>
    <brk id="1567" min="1" max="14" man="1"/>
    <brk id="1613" min="1" max="14" man="1"/>
    <brk id="1659" min="1"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G46"/>
  <sheetViews>
    <sheetView zoomScale="75" zoomScaleNormal="75" workbookViewId="0">
      <selection activeCell="A2" sqref="A1:A2"/>
    </sheetView>
  </sheetViews>
  <sheetFormatPr defaultRowHeight="13.2"/>
  <cols>
    <col min="1" max="1" width="20.33203125" bestFit="1" customWidth="1"/>
  </cols>
  <sheetData>
    <row r="1" spans="1:2" s="8" customFormat="1">
      <c r="A1" s="8" t="s">
        <v>1326</v>
      </c>
    </row>
    <row r="2" spans="1:2" s="8" customFormat="1">
      <c r="A2" s="8" t="s">
        <v>1267</v>
      </c>
    </row>
    <row r="3" spans="1:2" s="8" customFormat="1"/>
    <row r="5" spans="1:2">
      <c r="A5" t="s">
        <v>333</v>
      </c>
      <c r="B5" s="90">
        <v>2012</v>
      </c>
    </row>
    <row r="6" spans="1:2">
      <c r="A6" t="s">
        <v>334</v>
      </c>
      <c r="B6" s="90">
        <v>2013</v>
      </c>
    </row>
    <row r="7" spans="1:2">
      <c r="A7" s="81" t="s">
        <v>335</v>
      </c>
      <c r="B7" s="90">
        <v>2014</v>
      </c>
    </row>
    <row r="9" spans="1:2">
      <c r="A9" t="s">
        <v>422</v>
      </c>
      <c r="B9" s="90">
        <v>2016</v>
      </c>
    </row>
    <row r="10" spans="1:2">
      <c r="A10" t="s">
        <v>423</v>
      </c>
      <c r="B10" s="90">
        <v>2017</v>
      </c>
    </row>
    <row r="11" spans="1:2">
      <c r="A11" t="s">
        <v>1095</v>
      </c>
      <c r="B11" s="90">
        <v>2018</v>
      </c>
    </row>
    <row r="21" spans="6:7">
      <c r="F21" t="s">
        <v>1062</v>
      </c>
    </row>
    <row r="22" spans="6:7">
      <c r="G22" s="243"/>
    </row>
    <row r="25" spans="6:7">
      <c r="G25" s="240"/>
    </row>
    <row r="26" spans="6:7">
      <c r="G26" s="240"/>
    </row>
    <row r="27" spans="6:7">
      <c r="G27" s="240"/>
    </row>
    <row r="28" spans="6:7">
      <c r="G28" s="243"/>
    </row>
    <row r="31" spans="6:7">
      <c r="G31" s="240"/>
    </row>
    <row r="32" spans="6:7">
      <c r="G32" s="240"/>
    </row>
    <row r="33" spans="7:7">
      <c r="G33" s="240"/>
    </row>
    <row r="34" spans="7:7">
      <c r="G34" s="243"/>
    </row>
    <row r="37" spans="7:7">
      <c r="G37" s="240"/>
    </row>
    <row r="38" spans="7:7">
      <c r="G38" s="240"/>
    </row>
    <row r="39" spans="7:7">
      <c r="G39" s="240"/>
    </row>
    <row r="40" spans="7:7">
      <c r="G40" s="243"/>
    </row>
    <row r="43" spans="7:7">
      <c r="G43" s="240"/>
    </row>
    <row r="44" spans="7:7">
      <c r="G44" s="240"/>
    </row>
    <row r="45" spans="7:7">
      <c r="G45" s="240"/>
    </row>
    <row r="46" spans="7:7">
      <c r="G46" s="243"/>
    </row>
  </sheetData>
  <autoFilter ref="F21:F48">
    <sortState ref="F20:F46">
      <sortCondition ref="F19:F46"/>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10"/>
  </sheetPr>
  <dimension ref="A1:Z364"/>
  <sheetViews>
    <sheetView showGridLines="0" zoomScale="75" zoomScaleNormal="75" workbookViewId="0">
      <pane xSplit="2" ySplit="7" topLeftCell="C8" activePane="bottomRight" state="frozen"/>
      <selection activeCell="B3" sqref="A1:XFD3"/>
      <selection pane="topRight" activeCell="B3" sqref="A1:XFD3"/>
      <selection pane="bottomLeft" activeCell="B3" sqref="A1:XFD3"/>
      <selection pane="bottomRight" activeCell="A2" sqref="A1:A2"/>
    </sheetView>
  </sheetViews>
  <sheetFormatPr defaultRowHeight="13.2"/>
  <cols>
    <col min="1" max="1" width="24.33203125" style="253" customWidth="1"/>
    <col min="2" max="2" width="45.33203125" style="253" bestFit="1" customWidth="1"/>
    <col min="3" max="3" width="14" style="255" bestFit="1" customWidth="1"/>
    <col min="4" max="14" width="14.109375" style="255" bestFit="1" customWidth="1"/>
    <col min="15" max="15" width="16" style="255" bestFit="1" customWidth="1"/>
    <col min="16" max="17" width="11.44140625" style="255" bestFit="1" customWidth="1"/>
    <col min="18" max="18" width="11.44140625" style="253" bestFit="1" customWidth="1"/>
    <col min="19" max="19" width="9.109375" style="253"/>
    <col min="20" max="20" width="16.33203125" style="255" customWidth="1"/>
    <col min="21" max="21" width="15.33203125" style="255" bestFit="1" customWidth="1"/>
    <col min="22" max="23" width="9.109375" style="253"/>
    <col min="24" max="24" width="12.88671875" style="253" bestFit="1" customWidth="1"/>
    <col min="25" max="257" width="9.109375" style="253"/>
    <col min="258" max="258" width="22.33203125" style="253" customWidth="1"/>
    <col min="259" max="270" width="14.109375" style="253" bestFit="1" customWidth="1"/>
    <col min="271" max="271" width="15.33203125" style="253" bestFit="1" customWidth="1"/>
    <col min="272" max="274" width="11.44140625" style="253" bestFit="1" customWidth="1"/>
    <col min="275" max="275" width="9.109375" style="253"/>
    <col min="276" max="276" width="16.33203125" style="253" customWidth="1"/>
    <col min="277" max="277" width="15.33203125" style="253" bestFit="1" customWidth="1"/>
    <col min="278" max="513" width="9.109375" style="253"/>
    <col min="514" max="514" width="22.33203125" style="253" customWidth="1"/>
    <col min="515" max="526" width="14.109375" style="253" bestFit="1" customWidth="1"/>
    <col min="527" max="527" width="15.33203125" style="253" bestFit="1" customWidth="1"/>
    <col min="528" max="530" width="11.44140625" style="253" bestFit="1" customWidth="1"/>
    <col min="531" max="531" width="9.109375" style="253"/>
    <col min="532" max="532" width="16.33203125" style="253" customWidth="1"/>
    <col min="533" max="533" width="15.33203125" style="253" bestFit="1" customWidth="1"/>
    <col min="534" max="769" width="9.109375" style="253"/>
    <col min="770" max="770" width="22.33203125" style="253" customWidth="1"/>
    <col min="771" max="782" width="14.109375" style="253" bestFit="1" customWidth="1"/>
    <col min="783" max="783" width="15.33203125" style="253" bestFit="1" customWidth="1"/>
    <col min="784" max="786" width="11.44140625" style="253" bestFit="1" customWidth="1"/>
    <col min="787" max="787" width="9.109375" style="253"/>
    <col min="788" max="788" width="16.33203125" style="253" customWidth="1"/>
    <col min="789" max="789" width="15.33203125" style="253" bestFit="1" customWidth="1"/>
    <col min="790" max="1025" width="9.109375" style="253"/>
    <col min="1026" max="1026" width="22.33203125" style="253" customWidth="1"/>
    <col min="1027" max="1038" width="14.109375" style="253" bestFit="1" customWidth="1"/>
    <col min="1039" max="1039" width="15.33203125" style="253" bestFit="1" customWidth="1"/>
    <col min="1040" max="1042" width="11.44140625" style="253" bestFit="1" customWidth="1"/>
    <col min="1043" max="1043" width="9.109375" style="253"/>
    <col min="1044" max="1044" width="16.33203125" style="253" customWidth="1"/>
    <col min="1045" max="1045" width="15.33203125" style="253" bestFit="1" customWidth="1"/>
    <col min="1046" max="1281" width="9.109375" style="253"/>
    <col min="1282" max="1282" width="22.33203125" style="253" customWidth="1"/>
    <col min="1283" max="1294" width="14.109375" style="253" bestFit="1" customWidth="1"/>
    <col min="1295" max="1295" width="15.33203125" style="253" bestFit="1" customWidth="1"/>
    <col min="1296" max="1298" width="11.44140625" style="253" bestFit="1" customWidth="1"/>
    <col min="1299" max="1299" width="9.109375" style="253"/>
    <col min="1300" max="1300" width="16.33203125" style="253" customWidth="1"/>
    <col min="1301" max="1301" width="15.33203125" style="253" bestFit="1" customWidth="1"/>
    <col min="1302" max="1537" width="9.109375" style="253"/>
    <col min="1538" max="1538" width="22.33203125" style="253" customWidth="1"/>
    <col min="1539" max="1550" width="14.109375" style="253" bestFit="1" customWidth="1"/>
    <col min="1551" max="1551" width="15.33203125" style="253" bestFit="1" customWidth="1"/>
    <col min="1552" max="1554" width="11.44140625" style="253" bestFit="1" customWidth="1"/>
    <col min="1555" max="1555" width="9.109375" style="253"/>
    <col min="1556" max="1556" width="16.33203125" style="253" customWidth="1"/>
    <col min="1557" max="1557" width="15.33203125" style="253" bestFit="1" customWidth="1"/>
    <col min="1558" max="1793" width="9.109375" style="253"/>
    <col min="1794" max="1794" width="22.33203125" style="253" customWidth="1"/>
    <col min="1795" max="1806" width="14.109375" style="253" bestFit="1" customWidth="1"/>
    <col min="1807" max="1807" width="15.33203125" style="253" bestFit="1" customWidth="1"/>
    <col min="1808" max="1810" width="11.44140625" style="253" bestFit="1" customWidth="1"/>
    <col min="1811" max="1811" width="9.109375" style="253"/>
    <col min="1812" max="1812" width="16.33203125" style="253" customWidth="1"/>
    <col min="1813" max="1813" width="15.33203125" style="253" bestFit="1" customWidth="1"/>
    <col min="1814" max="2049" width="9.109375" style="253"/>
    <col min="2050" max="2050" width="22.33203125" style="253" customWidth="1"/>
    <col min="2051" max="2062" width="14.109375" style="253" bestFit="1" customWidth="1"/>
    <col min="2063" max="2063" width="15.33203125" style="253" bestFit="1" customWidth="1"/>
    <col min="2064" max="2066" width="11.44140625" style="253" bestFit="1" customWidth="1"/>
    <col min="2067" max="2067" width="9.109375" style="253"/>
    <col min="2068" max="2068" width="16.33203125" style="253" customWidth="1"/>
    <col min="2069" max="2069" width="15.33203125" style="253" bestFit="1" customWidth="1"/>
    <col min="2070" max="2305" width="9.109375" style="253"/>
    <col min="2306" max="2306" width="22.33203125" style="253" customWidth="1"/>
    <col min="2307" max="2318" width="14.109375" style="253" bestFit="1" customWidth="1"/>
    <col min="2319" max="2319" width="15.33203125" style="253" bestFit="1" customWidth="1"/>
    <col min="2320" max="2322" width="11.44140625" style="253" bestFit="1" customWidth="1"/>
    <col min="2323" max="2323" width="9.109375" style="253"/>
    <col min="2324" max="2324" width="16.33203125" style="253" customWidth="1"/>
    <col min="2325" max="2325" width="15.33203125" style="253" bestFit="1" customWidth="1"/>
    <col min="2326" max="2561" width="9.109375" style="253"/>
    <col min="2562" max="2562" width="22.33203125" style="253" customWidth="1"/>
    <col min="2563" max="2574" width="14.109375" style="253" bestFit="1" customWidth="1"/>
    <col min="2575" max="2575" width="15.33203125" style="253" bestFit="1" customWidth="1"/>
    <col min="2576" max="2578" width="11.44140625" style="253" bestFit="1" customWidth="1"/>
    <col min="2579" max="2579" width="9.109375" style="253"/>
    <col min="2580" max="2580" width="16.33203125" style="253" customWidth="1"/>
    <col min="2581" max="2581" width="15.33203125" style="253" bestFit="1" customWidth="1"/>
    <col min="2582" max="2817" width="9.109375" style="253"/>
    <col min="2818" max="2818" width="22.33203125" style="253" customWidth="1"/>
    <col min="2819" max="2830" width="14.109375" style="253" bestFit="1" customWidth="1"/>
    <col min="2831" max="2831" width="15.33203125" style="253" bestFit="1" customWidth="1"/>
    <col min="2832" max="2834" width="11.44140625" style="253" bestFit="1" customWidth="1"/>
    <col min="2835" max="2835" width="9.109375" style="253"/>
    <col min="2836" max="2836" width="16.33203125" style="253" customWidth="1"/>
    <col min="2837" max="2837" width="15.33203125" style="253" bestFit="1" customWidth="1"/>
    <col min="2838" max="3073" width="9.109375" style="253"/>
    <col min="3074" max="3074" width="22.33203125" style="253" customWidth="1"/>
    <col min="3075" max="3086" width="14.109375" style="253" bestFit="1" customWidth="1"/>
    <col min="3087" max="3087" width="15.33203125" style="253" bestFit="1" customWidth="1"/>
    <col min="3088" max="3090" width="11.44140625" style="253" bestFit="1" customWidth="1"/>
    <col min="3091" max="3091" width="9.109375" style="253"/>
    <col min="3092" max="3092" width="16.33203125" style="253" customWidth="1"/>
    <col min="3093" max="3093" width="15.33203125" style="253" bestFit="1" customWidth="1"/>
    <col min="3094" max="3329" width="9.109375" style="253"/>
    <col min="3330" max="3330" width="22.33203125" style="253" customWidth="1"/>
    <col min="3331" max="3342" width="14.109375" style="253" bestFit="1" customWidth="1"/>
    <col min="3343" max="3343" width="15.33203125" style="253" bestFit="1" customWidth="1"/>
    <col min="3344" max="3346" width="11.44140625" style="253" bestFit="1" customWidth="1"/>
    <col min="3347" max="3347" width="9.109375" style="253"/>
    <col min="3348" max="3348" width="16.33203125" style="253" customWidth="1"/>
    <col min="3349" max="3349" width="15.33203125" style="253" bestFit="1" customWidth="1"/>
    <col min="3350" max="3585" width="9.109375" style="253"/>
    <col min="3586" max="3586" width="22.33203125" style="253" customWidth="1"/>
    <col min="3587" max="3598" width="14.109375" style="253" bestFit="1" customWidth="1"/>
    <col min="3599" max="3599" width="15.33203125" style="253" bestFit="1" customWidth="1"/>
    <col min="3600" max="3602" width="11.44140625" style="253" bestFit="1" customWidth="1"/>
    <col min="3603" max="3603" width="9.109375" style="253"/>
    <col min="3604" max="3604" width="16.33203125" style="253" customWidth="1"/>
    <col min="3605" max="3605" width="15.33203125" style="253" bestFit="1" customWidth="1"/>
    <col min="3606" max="3841" width="9.109375" style="253"/>
    <col min="3842" max="3842" width="22.33203125" style="253" customWidth="1"/>
    <col min="3843" max="3854" width="14.109375" style="253" bestFit="1" customWidth="1"/>
    <col min="3855" max="3855" width="15.33203125" style="253" bestFit="1" customWidth="1"/>
    <col min="3856" max="3858" width="11.44140625" style="253" bestFit="1" customWidth="1"/>
    <col min="3859" max="3859" width="9.109375" style="253"/>
    <col min="3860" max="3860" width="16.33203125" style="253" customWidth="1"/>
    <col min="3861" max="3861" width="15.33203125" style="253" bestFit="1" customWidth="1"/>
    <col min="3862" max="4097" width="9.109375" style="253"/>
    <col min="4098" max="4098" width="22.33203125" style="253" customWidth="1"/>
    <col min="4099" max="4110" width="14.109375" style="253" bestFit="1" customWidth="1"/>
    <col min="4111" max="4111" width="15.33203125" style="253" bestFit="1" customWidth="1"/>
    <col min="4112" max="4114" width="11.44140625" style="253" bestFit="1" customWidth="1"/>
    <col min="4115" max="4115" width="9.109375" style="253"/>
    <col min="4116" max="4116" width="16.33203125" style="253" customWidth="1"/>
    <col min="4117" max="4117" width="15.33203125" style="253" bestFit="1" customWidth="1"/>
    <col min="4118" max="4353" width="9.109375" style="253"/>
    <col min="4354" max="4354" width="22.33203125" style="253" customWidth="1"/>
    <col min="4355" max="4366" width="14.109375" style="253" bestFit="1" customWidth="1"/>
    <col min="4367" max="4367" width="15.33203125" style="253" bestFit="1" customWidth="1"/>
    <col min="4368" max="4370" width="11.44140625" style="253" bestFit="1" customWidth="1"/>
    <col min="4371" max="4371" width="9.109375" style="253"/>
    <col min="4372" max="4372" width="16.33203125" style="253" customWidth="1"/>
    <col min="4373" max="4373" width="15.33203125" style="253" bestFit="1" customWidth="1"/>
    <col min="4374" max="4609" width="9.109375" style="253"/>
    <col min="4610" max="4610" width="22.33203125" style="253" customWidth="1"/>
    <col min="4611" max="4622" width="14.109375" style="253" bestFit="1" customWidth="1"/>
    <col min="4623" max="4623" width="15.33203125" style="253" bestFit="1" customWidth="1"/>
    <col min="4624" max="4626" width="11.44140625" style="253" bestFit="1" customWidth="1"/>
    <col min="4627" max="4627" width="9.109375" style="253"/>
    <col min="4628" max="4628" width="16.33203125" style="253" customWidth="1"/>
    <col min="4629" max="4629" width="15.33203125" style="253" bestFit="1" customWidth="1"/>
    <col min="4630" max="4865" width="9.109375" style="253"/>
    <col min="4866" max="4866" width="22.33203125" style="253" customWidth="1"/>
    <col min="4867" max="4878" width="14.109375" style="253" bestFit="1" customWidth="1"/>
    <col min="4879" max="4879" width="15.33203125" style="253" bestFit="1" customWidth="1"/>
    <col min="4880" max="4882" width="11.44140625" style="253" bestFit="1" customWidth="1"/>
    <col min="4883" max="4883" width="9.109375" style="253"/>
    <col min="4884" max="4884" width="16.33203125" style="253" customWidth="1"/>
    <col min="4885" max="4885" width="15.33203125" style="253" bestFit="1" customWidth="1"/>
    <col min="4886" max="5121" width="9.109375" style="253"/>
    <col min="5122" max="5122" width="22.33203125" style="253" customWidth="1"/>
    <col min="5123" max="5134" width="14.109375" style="253" bestFit="1" customWidth="1"/>
    <col min="5135" max="5135" width="15.33203125" style="253" bestFit="1" customWidth="1"/>
    <col min="5136" max="5138" width="11.44140625" style="253" bestFit="1" customWidth="1"/>
    <col min="5139" max="5139" width="9.109375" style="253"/>
    <col min="5140" max="5140" width="16.33203125" style="253" customWidth="1"/>
    <col min="5141" max="5141" width="15.33203125" style="253" bestFit="1" customWidth="1"/>
    <col min="5142" max="5377" width="9.109375" style="253"/>
    <col min="5378" max="5378" width="22.33203125" style="253" customWidth="1"/>
    <col min="5379" max="5390" width="14.109375" style="253" bestFit="1" customWidth="1"/>
    <col min="5391" max="5391" width="15.33203125" style="253" bestFit="1" customWidth="1"/>
    <col min="5392" max="5394" width="11.44140625" style="253" bestFit="1" customWidth="1"/>
    <col min="5395" max="5395" width="9.109375" style="253"/>
    <col min="5396" max="5396" width="16.33203125" style="253" customWidth="1"/>
    <col min="5397" max="5397" width="15.33203125" style="253" bestFit="1" customWidth="1"/>
    <col min="5398" max="5633" width="9.109375" style="253"/>
    <col min="5634" max="5634" width="22.33203125" style="253" customWidth="1"/>
    <col min="5635" max="5646" width="14.109375" style="253" bestFit="1" customWidth="1"/>
    <col min="5647" max="5647" width="15.33203125" style="253" bestFit="1" customWidth="1"/>
    <col min="5648" max="5650" width="11.44140625" style="253" bestFit="1" customWidth="1"/>
    <col min="5651" max="5651" width="9.109375" style="253"/>
    <col min="5652" max="5652" width="16.33203125" style="253" customWidth="1"/>
    <col min="5653" max="5653" width="15.33203125" style="253" bestFit="1" customWidth="1"/>
    <col min="5654" max="5889" width="9.109375" style="253"/>
    <col min="5890" max="5890" width="22.33203125" style="253" customWidth="1"/>
    <col min="5891" max="5902" width="14.109375" style="253" bestFit="1" customWidth="1"/>
    <col min="5903" max="5903" width="15.33203125" style="253" bestFit="1" customWidth="1"/>
    <col min="5904" max="5906" width="11.44140625" style="253" bestFit="1" customWidth="1"/>
    <col min="5907" max="5907" width="9.109375" style="253"/>
    <col min="5908" max="5908" width="16.33203125" style="253" customWidth="1"/>
    <col min="5909" max="5909" width="15.33203125" style="253" bestFit="1" customWidth="1"/>
    <col min="5910" max="6145" width="9.109375" style="253"/>
    <col min="6146" max="6146" width="22.33203125" style="253" customWidth="1"/>
    <col min="6147" max="6158" width="14.109375" style="253" bestFit="1" customWidth="1"/>
    <col min="6159" max="6159" width="15.33203125" style="253" bestFit="1" customWidth="1"/>
    <col min="6160" max="6162" width="11.44140625" style="253" bestFit="1" customWidth="1"/>
    <col min="6163" max="6163" width="9.109375" style="253"/>
    <col min="6164" max="6164" width="16.33203125" style="253" customWidth="1"/>
    <col min="6165" max="6165" width="15.33203125" style="253" bestFit="1" customWidth="1"/>
    <col min="6166" max="6401" width="9.109375" style="253"/>
    <col min="6402" max="6402" width="22.33203125" style="253" customWidth="1"/>
    <col min="6403" max="6414" width="14.109375" style="253" bestFit="1" customWidth="1"/>
    <col min="6415" max="6415" width="15.33203125" style="253" bestFit="1" customWidth="1"/>
    <col min="6416" max="6418" width="11.44140625" style="253" bestFit="1" customWidth="1"/>
    <col min="6419" max="6419" width="9.109375" style="253"/>
    <col min="6420" max="6420" width="16.33203125" style="253" customWidth="1"/>
    <col min="6421" max="6421" width="15.33203125" style="253" bestFit="1" customWidth="1"/>
    <col min="6422" max="6657" width="9.109375" style="253"/>
    <col min="6658" max="6658" width="22.33203125" style="253" customWidth="1"/>
    <col min="6659" max="6670" width="14.109375" style="253" bestFit="1" customWidth="1"/>
    <col min="6671" max="6671" width="15.33203125" style="253" bestFit="1" customWidth="1"/>
    <col min="6672" max="6674" width="11.44140625" style="253" bestFit="1" customWidth="1"/>
    <col min="6675" max="6675" width="9.109375" style="253"/>
    <col min="6676" max="6676" width="16.33203125" style="253" customWidth="1"/>
    <col min="6677" max="6677" width="15.33203125" style="253" bestFit="1" customWidth="1"/>
    <col min="6678" max="6913" width="9.109375" style="253"/>
    <col min="6914" max="6914" width="22.33203125" style="253" customWidth="1"/>
    <col min="6915" max="6926" width="14.109375" style="253" bestFit="1" customWidth="1"/>
    <col min="6927" max="6927" width="15.33203125" style="253" bestFit="1" customWidth="1"/>
    <col min="6928" max="6930" width="11.44140625" style="253" bestFit="1" customWidth="1"/>
    <col min="6931" max="6931" width="9.109375" style="253"/>
    <col min="6932" max="6932" width="16.33203125" style="253" customWidth="1"/>
    <col min="6933" max="6933" width="15.33203125" style="253" bestFit="1" customWidth="1"/>
    <col min="6934" max="7169" width="9.109375" style="253"/>
    <col min="7170" max="7170" width="22.33203125" style="253" customWidth="1"/>
    <col min="7171" max="7182" width="14.109375" style="253" bestFit="1" customWidth="1"/>
    <col min="7183" max="7183" width="15.33203125" style="253" bestFit="1" customWidth="1"/>
    <col min="7184" max="7186" width="11.44140625" style="253" bestFit="1" customWidth="1"/>
    <col min="7187" max="7187" width="9.109375" style="253"/>
    <col min="7188" max="7188" width="16.33203125" style="253" customWidth="1"/>
    <col min="7189" max="7189" width="15.33203125" style="253" bestFit="1" customWidth="1"/>
    <col min="7190" max="7425" width="9.109375" style="253"/>
    <col min="7426" max="7426" width="22.33203125" style="253" customWidth="1"/>
    <col min="7427" max="7438" width="14.109375" style="253" bestFit="1" customWidth="1"/>
    <col min="7439" max="7439" width="15.33203125" style="253" bestFit="1" customWidth="1"/>
    <col min="7440" max="7442" width="11.44140625" style="253" bestFit="1" customWidth="1"/>
    <col min="7443" max="7443" width="9.109375" style="253"/>
    <col min="7444" max="7444" width="16.33203125" style="253" customWidth="1"/>
    <col min="7445" max="7445" width="15.33203125" style="253" bestFit="1" customWidth="1"/>
    <col min="7446" max="7681" width="9.109375" style="253"/>
    <col min="7682" max="7682" width="22.33203125" style="253" customWidth="1"/>
    <col min="7683" max="7694" width="14.109375" style="253" bestFit="1" customWidth="1"/>
    <col min="7695" max="7695" width="15.33203125" style="253" bestFit="1" customWidth="1"/>
    <col min="7696" max="7698" width="11.44140625" style="253" bestFit="1" customWidth="1"/>
    <col min="7699" max="7699" width="9.109375" style="253"/>
    <col min="7700" max="7700" width="16.33203125" style="253" customWidth="1"/>
    <col min="7701" max="7701" width="15.33203125" style="253" bestFit="1" customWidth="1"/>
    <col min="7702" max="7937" width="9.109375" style="253"/>
    <col min="7938" max="7938" width="22.33203125" style="253" customWidth="1"/>
    <col min="7939" max="7950" width="14.109375" style="253" bestFit="1" customWidth="1"/>
    <col min="7951" max="7951" width="15.33203125" style="253" bestFit="1" customWidth="1"/>
    <col min="7952" max="7954" width="11.44140625" style="253" bestFit="1" customWidth="1"/>
    <col min="7955" max="7955" width="9.109375" style="253"/>
    <col min="7956" max="7956" width="16.33203125" style="253" customWidth="1"/>
    <col min="7957" max="7957" width="15.33203125" style="253" bestFit="1" customWidth="1"/>
    <col min="7958" max="8193" width="9.109375" style="253"/>
    <col min="8194" max="8194" width="22.33203125" style="253" customWidth="1"/>
    <col min="8195" max="8206" width="14.109375" style="253" bestFit="1" customWidth="1"/>
    <col min="8207" max="8207" width="15.33203125" style="253" bestFit="1" customWidth="1"/>
    <col min="8208" max="8210" width="11.44140625" style="253" bestFit="1" customWidth="1"/>
    <col min="8211" max="8211" width="9.109375" style="253"/>
    <col min="8212" max="8212" width="16.33203125" style="253" customWidth="1"/>
    <col min="8213" max="8213" width="15.33203125" style="253" bestFit="1" customWidth="1"/>
    <col min="8214" max="8449" width="9.109375" style="253"/>
    <col min="8450" max="8450" width="22.33203125" style="253" customWidth="1"/>
    <col min="8451" max="8462" width="14.109375" style="253" bestFit="1" customWidth="1"/>
    <col min="8463" max="8463" width="15.33203125" style="253" bestFit="1" customWidth="1"/>
    <col min="8464" max="8466" width="11.44140625" style="253" bestFit="1" customWidth="1"/>
    <col min="8467" max="8467" width="9.109375" style="253"/>
    <col min="8468" max="8468" width="16.33203125" style="253" customWidth="1"/>
    <col min="8469" max="8469" width="15.33203125" style="253" bestFit="1" customWidth="1"/>
    <col min="8470" max="8705" width="9.109375" style="253"/>
    <col min="8706" max="8706" width="22.33203125" style="253" customWidth="1"/>
    <col min="8707" max="8718" width="14.109375" style="253" bestFit="1" customWidth="1"/>
    <col min="8719" max="8719" width="15.33203125" style="253" bestFit="1" customWidth="1"/>
    <col min="8720" max="8722" width="11.44140625" style="253" bestFit="1" customWidth="1"/>
    <col min="8723" max="8723" width="9.109375" style="253"/>
    <col min="8724" max="8724" width="16.33203125" style="253" customWidth="1"/>
    <col min="8725" max="8725" width="15.33203125" style="253" bestFit="1" customWidth="1"/>
    <col min="8726" max="8961" width="9.109375" style="253"/>
    <col min="8962" max="8962" width="22.33203125" style="253" customWidth="1"/>
    <col min="8963" max="8974" width="14.109375" style="253" bestFit="1" customWidth="1"/>
    <col min="8975" max="8975" width="15.33203125" style="253" bestFit="1" customWidth="1"/>
    <col min="8976" max="8978" width="11.44140625" style="253" bestFit="1" customWidth="1"/>
    <col min="8979" max="8979" width="9.109375" style="253"/>
    <col min="8980" max="8980" width="16.33203125" style="253" customWidth="1"/>
    <col min="8981" max="8981" width="15.33203125" style="253" bestFit="1" customWidth="1"/>
    <col min="8982" max="9217" width="9.109375" style="253"/>
    <col min="9218" max="9218" width="22.33203125" style="253" customWidth="1"/>
    <col min="9219" max="9230" width="14.109375" style="253" bestFit="1" customWidth="1"/>
    <col min="9231" max="9231" width="15.33203125" style="253" bestFit="1" customWidth="1"/>
    <col min="9232" max="9234" width="11.44140625" style="253" bestFit="1" customWidth="1"/>
    <col min="9235" max="9235" width="9.109375" style="253"/>
    <col min="9236" max="9236" width="16.33203125" style="253" customWidth="1"/>
    <col min="9237" max="9237" width="15.33203125" style="253" bestFit="1" customWidth="1"/>
    <col min="9238" max="9473" width="9.109375" style="253"/>
    <col min="9474" max="9474" width="22.33203125" style="253" customWidth="1"/>
    <col min="9475" max="9486" width="14.109375" style="253" bestFit="1" customWidth="1"/>
    <col min="9487" max="9487" width="15.33203125" style="253" bestFit="1" customWidth="1"/>
    <col min="9488" max="9490" width="11.44140625" style="253" bestFit="1" customWidth="1"/>
    <col min="9491" max="9491" width="9.109375" style="253"/>
    <col min="9492" max="9492" width="16.33203125" style="253" customWidth="1"/>
    <col min="9493" max="9493" width="15.33203125" style="253" bestFit="1" customWidth="1"/>
    <col min="9494" max="9729" width="9.109375" style="253"/>
    <col min="9730" max="9730" width="22.33203125" style="253" customWidth="1"/>
    <col min="9731" max="9742" width="14.109375" style="253" bestFit="1" customWidth="1"/>
    <col min="9743" max="9743" width="15.33203125" style="253" bestFit="1" customWidth="1"/>
    <col min="9744" max="9746" width="11.44140625" style="253" bestFit="1" customWidth="1"/>
    <col min="9747" max="9747" width="9.109375" style="253"/>
    <col min="9748" max="9748" width="16.33203125" style="253" customWidth="1"/>
    <col min="9749" max="9749" width="15.33203125" style="253" bestFit="1" customWidth="1"/>
    <col min="9750" max="9985" width="9.109375" style="253"/>
    <col min="9986" max="9986" width="22.33203125" style="253" customWidth="1"/>
    <col min="9987" max="9998" width="14.109375" style="253" bestFit="1" customWidth="1"/>
    <col min="9999" max="9999" width="15.33203125" style="253" bestFit="1" customWidth="1"/>
    <col min="10000" max="10002" width="11.44140625" style="253" bestFit="1" customWidth="1"/>
    <col min="10003" max="10003" width="9.109375" style="253"/>
    <col min="10004" max="10004" width="16.33203125" style="253" customWidth="1"/>
    <col min="10005" max="10005" width="15.33203125" style="253" bestFit="1" customWidth="1"/>
    <col min="10006" max="10241" width="9.109375" style="253"/>
    <col min="10242" max="10242" width="22.33203125" style="253" customWidth="1"/>
    <col min="10243" max="10254" width="14.109375" style="253" bestFit="1" customWidth="1"/>
    <col min="10255" max="10255" width="15.33203125" style="253" bestFit="1" customWidth="1"/>
    <col min="10256" max="10258" width="11.44140625" style="253" bestFit="1" customWidth="1"/>
    <col min="10259" max="10259" width="9.109375" style="253"/>
    <col min="10260" max="10260" width="16.33203125" style="253" customWidth="1"/>
    <col min="10261" max="10261" width="15.33203125" style="253" bestFit="1" customWidth="1"/>
    <col min="10262" max="10497" width="9.109375" style="253"/>
    <col min="10498" max="10498" width="22.33203125" style="253" customWidth="1"/>
    <col min="10499" max="10510" width="14.109375" style="253" bestFit="1" customWidth="1"/>
    <col min="10511" max="10511" width="15.33203125" style="253" bestFit="1" customWidth="1"/>
    <col min="10512" max="10514" width="11.44140625" style="253" bestFit="1" customWidth="1"/>
    <col min="10515" max="10515" width="9.109375" style="253"/>
    <col min="10516" max="10516" width="16.33203125" style="253" customWidth="1"/>
    <col min="10517" max="10517" width="15.33203125" style="253" bestFit="1" customWidth="1"/>
    <col min="10518" max="10753" width="9.109375" style="253"/>
    <col min="10754" max="10754" width="22.33203125" style="253" customWidth="1"/>
    <col min="10755" max="10766" width="14.109375" style="253" bestFit="1" customWidth="1"/>
    <col min="10767" max="10767" width="15.33203125" style="253" bestFit="1" customWidth="1"/>
    <col min="10768" max="10770" width="11.44140625" style="253" bestFit="1" customWidth="1"/>
    <col min="10771" max="10771" width="9.109375" style="253"/>
    <col min="10772" max="10772" width="16.33203125" style="253" customWidth="1"/>
    <col min="10773" max="10773" width="15.33203125" style="253" bestFit="1" customWidth="1"/>
    <col min="10774" max="11009" width="9.109375" style="253"/>
    <col min="11010" max="11010" width="22.33203125" style="253" customWidth="1"/>
    <col min="11011" max="11022" width="14.109375" style="253" bestFit="1" customWidth="1"/>
    <col min="11023" max="11023" width="15.33203125" style="253" bestFit="1" customWidth="1"/>
    <col min="11024" max="11026" width="11.44140625" style="253" bestFit="1" customWidth="1"/>
    <col min="11027" max="11027" width="9.109375" style="253"/>
    <col min="11028" max="11028" width="16.33203125" style="253" customWidth="1"/>
    <col min="11029" max="11029" width="15.33203125" style="253" bestFit="1" customWidth="1"/>
    <col min="11030" max="11265" width="9.109375" style="253"/>
    <col min="11266" max="11266" width="22.33203125" style="253" customWidth="1"/>
    <col min="11267" max="11278" width="14.109375" style="253" bestFit="1" customWidth="1"/>
    <col min="11279" max="11279" width="15.33203125" style="253" bestFit="1" customWidth="1"/>
    <col min="11280" max="11282" width="11.44140625" style="253" bestFit="1" customWidth="1"/>
    <col min="11283" max="11283" width="9.109375" style="253"/>
    <col min="11284" max="11284" width="16.33203125" style="253" customWidth="1"/>
    <col min="11285" max="11285" width="15.33203125" style="253" bestFit="1" customWidth="1"/>
    <col min="11286" max="11521" width="9.109375" style="253"/>
    <col min="11522" max="11522" width="22.33203125" style="253" customWidth="1"/>
    <col min="11523" max="11534" width="14.109375" style="253" bestFit="1" customWidth="1"/>
    <col min="11535" max="11535" width="15.33203125" style="253" bestFit="1" customWidth="1"/>
    <col min="11536" max="11538" width="11.44140625" style="253" bestFit="1" customWidth="1"/>
    <col min="11539" max="11539" width="9.109375" style="253"/>
    <col min="11540" max="11540" width="16.33203125" style="253" customWidth="1"/>
    <col min="11541" max="11541" width="15.33203125" style="253" bestFit="1" customWidth="1"/>
    <col min="11542" max="11777" width="9.109375" style="253"/>
    <col min="11778" max="11778" width="22.33203125" style="253" customWidth="1"/>
    <col min="11779" max="11790" width="14.109375" style="253" bestFit="1" customWidth="1"/>
    <col min="11791" max="11791" width="15.33203125" style="253" bestFit="1" customWidth="1"/>
    <col min="11792" max="11794" width="11.44140625" style="253" bestFit="1" customWidth="1"/>
    <col min="11795" max="11795" width="9.109375" style="253"/>
    <col min="11796" max="11796" width="16.33203125" style="253" customWidth="1"/>
    <col min="11797" max="11797" width="15.33203125" style="253" bestFit="1" customWidth="1"/>
    <col min="11798" max="12033" width="9.109375" style="253"/>
    <col min="12034" max="12034" width="22.33203125" style="253" customWidth="1"/>
    <col min="12035" max="12046" width="14.109375" style="253" bestFit="1" customWidth="1"/>
    <col min="12047" max="12047" width="15.33203125" style="253" bestFit="1" customWidth="1"/>
    <col min="12048" max="12050" width="11.44140625" style="253" bestFit="1" customWidth="1"/>
    <col min="12051" max="12051" width="9.109375" style="253"/>
    <col min="12052" max="12052" width="16.33203125" style="253" customWidth="1"/>
    <col min="12053" max="12053" width="15.33203125" style="253" bestFit="1" customWidth="1"/>
    <col min="12054" max="12289" width="9.109375" style="253"/>
    <col min="12290" max="12290" width="22.33203125" style="253" customWidth="1"/>
    <col min="12291" max="12302" width="14.109375" style="253" bestFit="1" customWidth="1"/>
    <col min="12303" max="12303" width="15.33203125" style="253" bestFit="1" customWidth="1"/>
    <col min="12304" max="12306" width="11.44140625" style="253" bestFit="1" customWidth="1"/>
    <col min="12307" max="12307" width="9.109375" style="253"/>
    <col min="12308" max="12308" width="16.33203125" style="253" customWidth="1"/>
    <col min="12309" max="12309" width="15.33203125" style="253" bestFit="1" customWidth="1"/>
    <col min="12310" max="12545" width="9.109375" style="253"/>
    <col min="12546" max="12546" width="22.33203125" style="253" customWidth="1"/>
    <col min="12547" max="12558" width="14.109375" style="253" bestFit="1" customWidth="1"/>
    <col min="12559" max="12559" width="15.33203125" style="253" bestFit="1" customWidth="1"/>
    <col min="12560" max="12562" width="11.44140625" style="253" bestFit="1" customWidth="1"/>
    <col min="12563" max="12563" width="9.109375" style="253"/>
    <col min="12564" max="12564" width="16.33203125" style="253" customWidth="1"/>
    <col min="12565" max="12565" width="15.33203125" style="253" bestFit="1" customWidth="1"/>
    <col min="12566" max="12801" width="9.109375" style="253"/>
    <col min="12802" max="12802" width="22.33203125" style="253" customWidth="1"/>
    <col min="12803" max="12814" width="14.109375" style="253" bestFit="1" customWidth="1"/>
    <col min="12815" max="12815" width="15.33203125" style="253" bestFit="1" customWidth="1"/>
    <col min="12816" max="12818" width="11.44140625" style="253" bestFit="1" customWidth="1"/>
    <col min="12819" max="12819" width="9.109375" style="253"/>
    <col min="12820" max="12820" width="16.33203125" style="253" customWidth="1"/>
    <col min="12821" max="12821" width="15.33203125" style="253" bestFit="1" customWidth="1"/>
    <col min="12822" max="13057" width="9.109375" style="253"/>
    <col min="13058" max="13058" width="22.33203125" style="253" customWidth="1"/>
    <col min="13059" max="13070" width="14.109375" style="253" bestFit="1" customWidth="1"/>
    <col min="13071" max="13071" width="15.33203125" style="253" bestFit="1" customWidth="1"/>
    <col min="13072" max="13074" width="11.44140625" style="253" bestFit="1" customWidth="1"/>
    <col min="13075" max="13075" width="9.109375" style="253"/>
    <col min="13076" max="13076" width="16.33203125" style="253" customWidth="1"/>
    <col min="13077" max="13077" width="15.33203125" style="253" bestFit="1" customWidth="1"/>
    <col min="13078" max="13313" width="9.109375" style="253"/>
    <col min="13314" max="13314" width="22.33203125" style="253" customWidth="1"/>
    <col min="13315" max="13326" width="14.109375" style="253" bestFit="1" customWidth="1"/>
    <col min="13327" max="13327" width="15.33203125" style="253" bestFit="1" customWidth="1"/>
    <col min="13328" max="13330" width="11.44140625" style="253" bestFit="1" customWidth="1"/>
    <col min="13331" max="13331" width="9.109375" style="253"/>
    <col min="13332" max="13332" width="16.33203125" style="253" customWidth="1"/>
    <col min="13333" max="13333" width="15.33203125" style="253" bestFit="1" customWidth="1"/>
    <col min="13334" max="13569" width="9.109375" style="253"/>
    <col min="13570" max="13570" width="22.33203125" style="253" customWidth="1"/>
    <col min="13571" max="13582" width="14.109375" style="253" bestFit="1" customWidth="1"/>
    <col min="13583" max="13583" width="15.33203125" style="253" bestFit="1" customWidth="1"/>
    <col min="13584" max="13586" width="11.44140625" style="253" bestFit="1" customWidth="1"/>
    <col min="13587" max="13587" width="9.109375" style="253"/>
    <col min="13588" max="13588" width="16.33203125" style="253" customWidth="1"/>
    <col min="13589" max="13589" width="15.33203125" style="253" bestFit="1" customWidth="1"/>
    <col min="13590" max="13825" width="9.109375" style="253"/>
    <col min="13826" max="13826" width="22.33203125" style="253" customWidth="1"/>
    <col min="13827" max="13838" width="14.109375" style="253" bestFit="1" customWidth="1"/>
    <col min="13839" max="13839" width="15.33203125" style="253" bestFit="1" customWidth="1"/>
    <col min="13840" max="13842" width="11.44140625" style="253" bestFit="1" customWidth="1"/>
    <col min="13843" max="13843" width="9.109375" style="253"/>
    <col min="13844" max="13844" width="16.33203125" style="253" customWidth="1"/>
    <col min="13845" max="13845" width="15.33203125" style="253" bestFit="1" customWidth="1"/>
    <col min="13846" max="14081" width="9.109375" style="253"/>
    <col min="14082" max="14082" width="22.33203125" style="253" customWidth="1"/>
    <col min="14083" max="14094" width="14.109375" style="253" bestFit="1" customWidth="1"/>
    <col min="14095" max="14095" width="15.33203125" style="253" bestFit="1" customWidth="1"/>
    <col min="14096" max="14098" width="11.44140625" style="253" bestFit="1" customWidth="1"/>
    <col min="14099" max="14099" width="9.109375" style="253"/>
    <col min="14100" max="14100" width="16.33203125" style="253" customWidth="1"/>
    <col min="14101" max="14101" width="15.33203125" style="253" bestFit="1" customWidth="1"/>
    <col min="14102" max="14337" width="9.109375" style="253"/>
    <col min="14338" max="14338" width="22.33203125" style="253" customWidth="1"/>
    <col min="14339" max="14350" width="14.109375" style="253" bestFit="1" customWidth="1"/>
    <col min="14351" max="14351" width="15.33203125" style="253" bestFit="1" customWidth="1"/>
    <col min="14352" max="14354" width="11.44140625" style="253" bestFit="1" customWidth="1"/>
    <col min="14355" max="14355" width="9.109375" style="253"/>
    <col min="14356" max="14356" width="16.33203125" style="253" customWidth="1"/>
    <col min="14357" max="14357" width="15.33203125" style="253" bestFit="1" customWidth="1"/>
    <col min="14358" max="14593" width="9.109375" style="253"/>
    <col min="14594" max="14594" width="22.33203125" style="253" customWidth="1"/>
    <col min="14595" max="14606" width="14.109375" style="253" bestFit="1" customWidth="1"/>
    <col min="14607" max="14607" width="15.33203125" style="253" bestFit="1" customWidth="1"/>
    <col min="14608" max="14610" width="11.44140625" style="253" bestFit="1" customWidth="1"/>
    <col min="14611" max="14611" width="9.109375" style="253"/>
    <col min="14612" max="14612" width="16.33203125" style="253" customWidth="1"/>
    <col min="14613" max="14613" width="15.33203125" style="253" bestFit="1" customWidth="1"/>
    <col min="14614" max="14849" width="9.109375" style="253"/>
    <col min="14850" max="14850" width="22.33203125" style="253" customWidth="1"/>
    <col min="14851" max="14862" width="14.109375" style="253" bestFit="1" customWidth="1"/>
    <col min="14863" max="14863" width="15.33203125" style="253" bestFit="1" customWidth="1"/>
    <col min="14864" max="14866" width="11.44140625" style="253" bestFit="1" customWidth="1"/>
    <col min="14867" max="14867" width="9.109375" style="253"/>
    <col min="14868" max="14868" width="16.33203125" style="253" customWidth="1"/>
    <col min="14869" max="14869" width="15.33203125" style="253" bestFit="1" customWidth="1"/>
    <col min="14870" max="15105" width="9.109375" style="253"/>
    <col min="15106" max="15106" width="22.33203125" style="253" customWidth="1"/>
    <col min="15107" max="15118" width="14.109375" style="253" bestFit="1" customWidth="1"/>
    <col min="15119" max="15119" width="15.33203125" style="253" bestFit="1" customWidth="1"/>
    <col min="15120" max="15122" width="11.44140625" style="253" bestFit="1" customWidth="1"/>
    <col min="15123" max="15123" width="9.109375" style="253"/>
    <col min="15124" max="15124" width="16.33203125" style="253" customWidth="1"/>
    <col min="15125" max="15125" width="15.33203125" style="253" bestFit="1" customWidth="1"/>
    <col min="15126" max="15361" width="9.109375" style="253"/>
    <col min="15362" max="15362" width="22.33203125" style="253" customWidth="1"/>
    <col min="15363" max="15374" width="14.109375" style="253" bestFit="1" customWidth="1"/>
    <col min="15375" max="15375" width="15.33203125" style="253" bestFit="1" customWidth="1"/>
    <col min="15376" max="15378" width="11.44140625" style="253" bestFit="1" customWidth="1"/>
    <col min="15379" max="15379" width="9.109375" style="253"/>
    <col min="15380" max="15380" width="16.33203125" style="253" customWidth="1"/>
    <col min="15381" max="15381" width="15.33203125" style="253" bestFit="1" customWidth="1"/>
    <col min="15382" max="15617" width="9.109375" style="253"/>
    <col min="15618" max="15618" width="22.33203125" style="253" customWidth="1"/>
    <col min="15619" max="15630" width="14.109375" style="253" bestFit="1" customWidth="1"/>
    <col min="15631" max="15631" width="15.33203125" style="253" bestFit="1" customWidth="1"/>
    <col min="15632" max="15634" width="11.44140625" style="253" bestFit="1" customWidth="1"/>
    <col min="15635" max="15635" width="9.109375" style="253"/>
    <col min="15636" max="15636" width="16.33203125" style="253" customWidth="1"/>
    <col min="15637" max="15637" width="15.33203125" style="253" bestFit="1" customWidth="1"/>
    <col min="15638" max="15873" width="9.109375" style="253"/>
    <col min="15874" max="15874" width="22.33203125" style="253" customWidth="1"/>
    <col min="15875" max="15886" width="14.109375" style="253" bestFit="1" customWidth="1"/>
    <col min="15887" max="15887" width="15.33203125" style="253" bestFit="1" customWidth="1"/>
    <col min="15888" max="15890" width="11.44140625" style="253" bestFit="1" customWidth="1"/>
    <col min="15891" max="15891" width="9.109375" style="253"/>
    <col min="15892" max="15892" width="16.33203125" style="253" customWidth="1"/>
    <col min="15893" max="15893" width="15.33203125" style="253" bestFit="1" customWidth="1"/>
    <col min="15894" max="16129" width="9.109375" style="253"/>
    <col min="16130" max="16130" width="22.33203125" style="253" customWidth="1"/>
    <col min="16131" max="16142" width="14.109375" style="253" bestFit="1" customWidth="1"/>
    <col min="16143" max="16143" width="15.33203125" style="253" bestFit="1" customWidth="1"/>
    <col min="16144" max="16146" width="11.44140625" style="253" bestFit="1" customWidth="1"/>
    <col min="16147" max="16147" width="9.109375" style="253"/>
    <col min="16148" max="16148" width="16.33203125" style="253" customWidth="1"/>
    <col min="16149" max="16149" width="15.33203125" style="253" bestFit="1" customWidth="1"/>
    <col min="16150" max="16384" width="9.109375" style="253"/>
  </cols>
  <sheetData>
    <row r="1" spans="1:21" s="164" customFormat="1">
      <c r="A1" s="164" t="s">
        <v>1273</v>
      </c>
      <c r="C1" s="282"/>
      <c r="D1" s="282"/>
      <c r="E1" s="282"/>
      <c r="F1" s="282"/>
      <c r="G1" s="282"/>
      <c r="H1" s="282"/>
      <c r="I1" s="282"/>
      <c r="J1" s="282"/>
      <c r="K1" s="282"/>
      <c r="L1" s="282"/>
      <c r="M1" s="282"/>
      <c r="N1" s="282"/>
      <c r="O1" s="282"/>
      <c r="P1" s="282"/>
      <c r="Q1" s="282"/>
      <c r="T1" s="282"/>
      <c r="U1" s="282"/>
    </row>
    <row r="2" spans="1:21" s="164" customFormat="1">
      <c r="A2" s="164" t="s">
        <v>1267</v>
      </c>
      <c r="C2" s="282"/>
      <c r="D2" s="282"/>
      <c r="E2" s="282"/>
      <c r="F2" s="282"/>
      <c r="G2" s="282"/>
      <c r="H2" s="282"/>
      <c r="I2" s="282"/>
      <c r="J2" s="282"/>
      <c r="K2" s="282"/>
      <c r="L2" s="282"/>
      <c r="M2" s="282"/>
      <c r="N2" s="282"/>
      <c r="O2" s="282"/>
      <c r="P2" s="282"/>
      <c r="Q2" s="282"/>
      <c r="T2" s="282"/>
      <c r="U2" s="282"/>
    </row>
    <row r="3" spans="1:21" s="164" customFormat="1">
      <c r="C3" s="282"/>
      <c r="D3" s="282"/>
      <c r="E3" s="282"/>
      <c r="F3" s="282"/>
      <c r="G3" s="282"/>
      <c r="H3" s="282"/>
      <c r="I3" s="282"/>
      <c r="J3" s="282"/>
      <c r="K3" s="282"/>
      <c r="L3" s="282"/>
      <c r="M3" s="282"/>
      <c r="N3" s="282"/>
      <c r="O3" s="282"/>
      <c r="P3" s="282"/>
      <c r="Q3" s="282"/>
      <c r="T3" s="282"/>
      <c r="U3" s="282"/>
    </row>
    <row r="4" spans="1:21" s="244" customFormat="1" ht="21">
      <c r="B4" s="124" t="s">
        <v>560</v>
      </c>
      <c r="C4" s="165"/>
      <c r="D4" s="165"/>
      <c r="E4" s="165"/>
      <c r="F4" s="165"/>
      <c r="G4" s="165"/>
      <c r="H4" s="165"/>
      <c r="I4" s="165"/>
      <c r="J4" s="165"/>
      <c r="K4" s="165"/>
      <c r="L4" s="165"/>
      <c r="M4" s="165"/>
      <c r="N4" s="165"/>
      <c r="O4" s="165"/>
      <c r="P4" s="165"/>
      <c r="Q4" s="165"/>
      <c r="R4" s="165"/>
      <c r="T4" s="272"/>
      <c r="U4" s="272"/>
    </row>
    <row r="5" spans="1:21" s="244" customFormat="1" ht="21.6" thickBot="1">
      <c r="B5" s="124" t="str">
        <f>MANUAL!$B$9&amp;" - PRIOR YEAR"</f>
        <v>2016 - PRIOR YEAR</v>
      </c>
      <c r="C5" s="165"/>
      <c r="D5" s="165"/>
      <c r="E5" s="165"/>
      <c r="F5" s="165"/>
      <c r="G5" s="165"/>
      <c r="H5" s="165"/>
      <c r="I5" s="165"/>
      <c r="J5" s="165"/>
      <c r="K5" s="165"/>
      <c r="L5" s="165"/>
      <c r="M5" s="165"/>
      <c r="N5" s="165"/>
      <c r="O5" s="165"/>
      <c r="P5" s="165"/>
      <c r="Q5" s="165"/>
      <c r="R5" s="165"/>
      <c r="T5" s="272"/>
      <c r="U5" s="272"/>
    </row>
    <row r="6" spans="1:21" s="164" customFormat="1" ht="13.8" thickBot="1">
      <c r="B6" s="245"/>
      <c r="C6" s="273"/>
      <c r="D6" s="273"/>
      <c r="E6" s="273"/>
      <c r="F6" s="273"/>
      <c r="G6" s="273"/>
      <c r="H6" s="273"/>
      <c r="I6" s="273"/>
      <c r="J6" s="273"/>
      <c r="K6" s="273"/>
      <c r="L6" s="273"/>
      <c r="M6" s="273"/>
      <c r="N6" s="273"/>
      <c r="O6" s="274"/>
      <c r="P6" s="274"/>
      <c r="Q6" s="274"/>
      <c r="T6" s="275" t="s">
        <v>567</v>
      </c>
      <c r="U6" s="276"/>
    </row>
    <row r="7" spans="1:21" s="165" customFormat="1" ht="13.8" thickBot="1">
      <c r="B7" s="277" t="s">
        <v>454</v>
      </c>
      <c r="C7" s="100" t="s">
        <v>70</v>
      </c>
      <c r="D7" s="100" t="s">
        <v>71</v>
      </c>
      <c r="E7" s="100" t="s">
        <v>72</v>
      </c>
      <c r="F7" s="103" t="s">
        <v>73</v>
      </c>
      <c r="G7" s="103" t="s">
        <v>74</v>
      </c>
      <c r="H7" s="103" t="s">
        <v>75</v>
      </c>
      <c r="I7" s="103" t="s">
        <v>76</v>
      </c>
      <c r="J7" s="103" t="s">
        <v>77</v>
      </c>
      <c r="K7" s="103" t="s">
        <v>78</v>
      </c>
      <c r="L7" s="103" t="s">
        <v>79</v>
      </c>
      <c r="M7" s="100" t="s">
        <v>80</v>
      </c>
      <c r="N7" s="100" t="s">
        <v>81</v>
      </c>
      <c r="O7" s="278" t="s">
        <v>60</v>
      </c>
      <c r="P7" s="279" t="s">
        <v>133</v>
      </c>
      <c r="Q7" s="279" t="s">
        <v>133</v>
      </c>
      <c r="R7" s="169" t="s">
        <v>568</v>
      </c>
      <c r="T7" s="280" t="s">
        <v>60</v>
      </c>
      <c r="U7" s="281" t="s">
        <v>569</v>
      </c>
    </row>
    <row r="8" spans="1:21" s="165" customFormat="1">
      <c r="B8" s="338"/>
      <c r="C8" s="337">
        <v>2</v>
      </c>
      <c r="D8" s="337">
        <v>3</v>
      </c>
      <c r="E8" s="337">
        <v>4</v>
      </c>
      <c r="F8" s="337">
        <v>5</v>
      </c>
      <c r="G8" s="337">
        <v>6</v>
      </c>
      <c r="H8" s="337">
        <v>7</v>
      </c>
      <c r="I8" s="337">
        <v>8</v>
      </c>
      <c r="J8" s="337">
        <v>9</v>
      </c>
      <c r="K8" s="337">
        <v>10</v>
      </c>
      <c r="L8" s="337">
        <v>11</v>
      </c>
      <c r="M8" s="337">
        <v>12</v>
      </c>
      <c r="N8" s="337">
        <v>13</v>
      </c>
      <c r="O8" s="274"/>
      <c r="P8" s="274"/>
      <c r="Q8" s="274"/>
      <c r="T8" s="339"/>
      <c r="U8" s="340"/>
    </row>
    <row r="9" spans="1:21" s="164" customFormat="1">
      <c r="B9" s="245"/>
      <c r="C9" s="273">
        <v>3</v>
      </c>
      <c r="D9" s="273">
        <v>4</v>
      </c>
      <c r="E9" s="273">
        <v>5</v>
      </c>
      <c r="F9" s="273">
        <v>6</v>
      </c>
      <c r="G9" s="273">
        <v>7</v>
      </c>
      <c r="H9" s="273">
        <v>8</v>
      </c>
      <c r="I9" s="273">
        <v>9</v>
      </c>
      <c r="J9" s="273">
        <v>10</v>
      </c>
      <c r="K9" s="273">
        <v>11</v>
      </c>
      <c r="L9" s="273">
        <v>12</v>
      </c>
      <c r="M9" s="273">
        <v>13</v>
      </c>
      <c r="N9" s="273">
        <v>14</v>
      </c>
      <c r="O9" s="274"/>
      <c r="P9" s="274"/>
      <c r="Q9" s="274"/>
      <c r="R9" s="165"/>
      <c r="T9" s="282"/>
      <c r="U9" s="282"/>
    </row>
    <row r="10" spans="1:21" s="164" customFormat="1">
      <c r="B10" s="245"/>
      <c r="C10" s="273"/>
      <c r="D10" s="273"/>
      <c r="E10" s="273"/>
      <c r="F10" s="273"/>
      <c r="G10" s="273"/>
      <c r="H10" s="273"/>
      <c r="I10" s="273"/>
      <c r="J10" s="273"/>
      <c r="K10" s="273"/>
      <c r="L10" s="273"/>
      <c r="M10" s="273"/>
      <c r="N10" s="273"/>
      <c r="O10" s="274"/>
      <c r="P10" s="274"/>
      <c r="Q10" s="274"/>
      <c r="R10" s="165"/>
      <c r="T10" s="282"/>
      <c r="U10" s="282"/>
    </row>
    <row r="11" spans="1:21" s="251" customFormat="1" ht="15.6">
      <c r="B11" s="250" t="s">
        <v>83</v>
      </c>
      <c r="T11" s="283"/>
      <c r="U11" s="283"/>
    </row>
    <row r="12" spans="1:21">
      <c r="B12" s="252" t="s">
        <v>98</v>
      </c>
      <c r="C12" s="284"/>
      <c r="D12" s="284"/>
      <c r="E12" s="284"/>
      <c r="F12" s="284"/>
      <c r="G12" s="284"/>
      <c r="H12" s="284"/>
      <c r="I12" s="284"/>
      <c r="J12" s="284"/>
      <c r="K12" s="284"/>
      <c r="L12" s="284"/>
      <c r="M12" s="284"/>
      <c r="N12" s="284"/>
      <c r="O12" s="284"/>
      <c r="P12" s="284"/>
      <c r="Q12" s="284"/>
      <c r="R12" s="282"/>
    </row>
    <row r="13" spans="1:21">
      <c r="A13" s="253" t="str">
        <f>B12&amp;" "&amp;B13</f>
        <v>CILC-1D KWH Sales</v>
      </c>
      <c r="B13" s="254" t="s">
        <v>563</v>
      </c>
      <c r="C13" s="284">
        <f>VLOOKUP($B$12,'KWH FCST'!$A$12:$M$41,C$8,FALSE)</f>
        <v>230380345</v>
      </c>
      <c r="D13" s="284">
        <f>VLOOKUP($B$12,'KWH FCST'!$A$12:$M$41,D$8,FALSE)</f>
        <v>212389992</v>
      </c>
      <c r="E13" s="284">
        <f>VLOOKUP($B$12,'KWH FCST'!$A$12:$M$41,E$8,FALSE)</f>
        <v>213700912</v>
      </c>
      <c r="F13" s="284">
        <f>VLOOKUP($B$12,'KWH FCST'!$A$12:$M$41,F$8,FALSE)</f>
        <v>214408138</v>
      </c>
      <c r="G13" s="284">
        <f>VLOOKUP($B$12,'KWH FCST'!$A$12:$M$41,G$8,FALSE)</f>
        <v>222223124</v>
      </c>
      <c r="H13" s="284">
        <f>VLOOKUP($B$12,'KWH FCST'!$A$12:$M$41,H$8,FALSE)</f>
        <v>230063751</v>
      </c>
      <c r="I13" s="284">
        <f>VLOOKUP($B$12,'KWH FCST'!$A$12:$M$41,I$8,FALSE)</f>
        <v>237298897</v>
      </c>
      <c r="J13" s="284">
        <f>VLOOKUP($B$12,'KWH FCST'!$A$12:$M$41,J$8,FALSE)</f>
        <v>235681124</v>
      </c>
      <c r="K13" s="284">
        <f>VLOOKUP($B$12,'KWH FCST'!$A$12:$M$41,K$8,FALSE)</f>
        <v>233817820</v>
      </c>
      <c r="L13" s="284">
        <f>VLOOKUP($B$12,'KWH FCST'!$A$12:$M$41,L$8,FALSE)</f>
        <v>225569349</v>
      </c>
      <c r="M13" s="284">
        <f>VLOOKUP($B$12,'KWH FCST'!$A$12:$M$41,M$8,FALSE)</f>
        <v>214908646</v>
      </c>
      <c r="N13" s="284">
        <f>VLOOKUP($B$12,'KWH FCST'!$A$12:$M$41,N$8,FALSE)</f>
        <v>224070882</v>
      </c>
      <c r="O13" s="284">
        <f>SUM(C13:N13)</f>
        <v>2694512980</v>
      </c>
      <c r="P13" s="284"/>
      <c r="Q13" s="284"/>
      <c r="R13" s="282"/>
      <c r="T13" s="255">
        <f>VLOOKUP(B12,'Sales Forecast'!$B$7:$AO$23,38,FALSE)</f>
        <v>2694512980</v>
      </c>
      <c r="U13" s="255">
        <f>+O13-T13</f>
        <v>0</v>
      </c>
    </row>
    <row r="14" spans="1:21">
      <c r="A14" s="253" t="str">
        <f>B12&amp;" "&amp;B14</f>
        <v>CILC-1D NCP</v>
      </c>
      <c r="B14" s="254" t="s">
        <v>133</v>
      </c>
      <c r="C14" s="284">
        <f>VLOOKUP($B$12,'NCP FCST'!$A$12:$M$41,C$8,FALSE)</f>
        <v>440421.45257350209</v>
      </c>
      <c r="D14" s="284">
        <f>VLOOKUP($B$12,'NCP FCST'!$A$12:$M$41,D$8,FALSE)</f>
        <v>430373.00654546777</v>
      </c>
      <c r="E14" s="284">
        <f>VLOOKUP($B$12,'NCP FCST'!$A$12:$M$41,E$8,FALSE)</f>
        <v>407068.04688708117</v>
      </c>
      <c r="F14" s="284">
        <f>VLOOKUP($B$12,'NCP FCST'!$A$12:$M$41,F$8,FALSE)</f>
        <v>420289.30707446818</v>
      </c>
      <c r="G14" s="284">
        <f>VLOOKUP($B$12,'NCP FCST'!$A$12:$M$41,G$8,FALSE)</f>
        <v>419851.97913825046</v>
      </c>
      <c r="H14" s="284">
        <f>VLOOKUP($B$12,'NCP FCST'!$A$12:$M$41,H$8,FALSE)</f>
        <v>444977.62438453489</v>
      </c>
      <c r="I14" s="284">
        <f>VLOOKUP($B$12,'NCP FCST'!$A$12:$M$41,I$8,FALSE)</f>
        <v>441421.22793474764</v>
      </c>
      <c r="J14" s="284">
        <f>VLOOKUP($B$12,'NCP FCST'!$A$12:$M$41,J$8,FALSE)</f>
        <v>437922.83644533617</v>
      </c>
      <c r="K14" s="284">
        <f>VLOOKUP($B$12,'NCP FCST'!$A$12:$M$41,K$8,FALSE)</f>
        <v>448936.18122906407</v>
      </c>
      <c r="L14" s="284">
        <f>VLOOKUP($B$12,'NCP FCST'!$A$12:$M$41,L$8,FALSE)</f>
        <v>425542.9770315683</v>
      </c>
      <c r="M14" s="284">
        <f>VLOOKUP($B$12,'NCP FCST'!$A$12:$M$41,M$8,FALSE)</f>
        <v>428641.98865677975</v>
      </c>
      <c r="N14" s="284">
        <f>VLOOKUP($B$12,'NCP FCST'!$A$12:$M$41,N$8,FALSE)</f>
        <v>431524.62050190015</v>
      </c>
      <c r="O14" s="284"/>
      <c r="P14" s="284">
        <f>MAX(C14:N14)</f>
        <v>448936.18122906407</v>
      </c>
      <c r="Q14" s="284"/>
      <c r="R14" s="282"/>
      <c r="T14" s="255">
        <f>+'NCP FCST'!O$12</f>
        <v>448936.18122906407</v>
      </c>
      <c r="U14" s="255">
        <f>P14-T14</f>
        <v>0</v>
      </c>
    </row>
    <row r="15" spans="1:21">
      <c r="A15" s="253" t="str">
        <f>B12&amp;" "&amp;B15</f>
        <v>CILC-1D GNCP</v>
      </c>
      <c r="B15" s="254" t="s">
        <v>342</v>
      </c>
      <c r="C15" s="284">
        <f>VLOOKUP($B$12,'GNCP FCST'!$A$12:$M$41,C$8,FALSE)</f>
        <v>365236.76523739443</v>
      </c>
      <c r="D15" s="284">
        <f>VLOOKUP($B$12,'GNCP FCST'!$A$12:$M$41,D$8,FALSE)</f>
        <v>359936.31283351575</v>
      </c>
      <c r="E15" s="284">
        <f>VLOOKUP($B$12,'GNCP FCST'!$A$12:$M$41,E$8,FALSE)</f>
        <v>339045.54463675513</v>
      </c>
      <c r="F15" s="284">
        <f>VLOOKUP($B$12,'GNCP FCST'!$A$12:$M$41,F$8,FALSE)</f>
        <v>349489.98673583753</v>
      </c>
      <c r="G15" s="284">
        <f>VLOOKUP($B$12,'GNCP FCST'!$A$12:$M$41,G$8,FALSE)</f>
        <v>346308.41998354561</v>
      </c>
      <c r="H15" s="284">
        <f>VLOOKUP($B$12,'GNCP FCST'!$A$12:$M$41,H$8,FALSE)</f>
        <v>367837.80999938585</v>
      </c>
      <c r="I15" s="284">
        <f>VLOOKUP($B$12,'GNCP FCST'!$A$12:$M$41,I$8,FALSE)</f>
        <v>365493.73786702991</v>
      </c>
      <c r="J15" s="284">
        <f>VLOOKUP($B$12,'GNCP FCST'!$A$12:$M$41,J$8,FALSE)</f>
        <v>365314.8043000981</v>
      </c>
      <c r="K15" s="284">
        <f>VLOOKUP($B$12,'GNCP FCST'!$A$12:$M$41,K$8,FALSE)</f>
        <v>373655.37537047628</v>
      </c>
      <c r="L15" s="284">
        <f>VLOOKUP($B$12,'GNCP FCST'!$A$12:$M$41,L$8,FALSE)</f>
        <v>354304.56447053305</v>
      </c>
      <c r="M15" s="284">
        <f>VLOOKUP($B$12,'GNCP FCST'!$A$12:$M$41,M$8,FALSE)</f>
        <v>358843.92415363039</v>
      </c>
      <c r="N15" s="284">
        <f>VLOOKUP($B$12,'GNCP FCST'!$A$12:$M$41,N$8,FALSE)</f>
        <v>359644.13354556594</v>
      </c>
      <c r="O15" s="284"/>
      <c r="Q15" s="284">
        <f>MAX(C15:N15)</f>
        <v>373655.37537047628</v>
      </c>
      <c r="R15" s="282"/>
      <c r="T15" s="255">
        <f>+'GNCP FCST'!O$12</f>
        <v>373655.37537047628</v>
      </c>
      <c r="U15" s="255">
        <f>+Q15-T15</f>
        <v>0</v>
      </c>
    </row>
    <row r="16" spans="1:21">
      <c r="A16" s="253" t="str">
        <f>B12&amp;" "&amp;B16</f>
        <v>CILC-1D CP</v>
      </c>
      <c r="B16" s="254" t="s">
        <v>148</v>
      </c>
      <c r="C16" s="284">
        <f>VLOOKUP($B$12,'CP FCST'!$A$12:$M$41,C$8,FALSE)</f>
        <v>320980.38428535068</v>
      </c>
      <c r="D16" s="284">
        <f>VLOOKUP($B$12,'CP FCST'!$A$12:$M$41,D$8,FALSE)</f>
        <v>345060.57986160798</v>
      </c>
      <c r="E16" s="284">
        <f>VLOOKUP($B$12,'CP FCST'!$A$12:$M$41,E$8,FALSE)</f>
        <v>295033.33275182598</v>
      </c>
      <c r="F16" s="284">
        <f>VLOOKUP($B$12,'CP FCST'!$A$12:$M$41,F$8,FALSE)</f>
        <v>329604.049037683</v>
      </c>
      <c r="G16" s="284">
        <f>VLOOKUP($B$12,'CP FCST'!$A$12:$M$41,G$8,FALSE)</f>
        <v>323687.73703776515</v>
      </c>
      <c r="H16" s="284">
        <f>VLOOKUP($B$12,'CP FCST'!$A$12:$M$41,H$8,FALSE)</f>
        <v>353389.48371124017</v>
      </c>
      <c r="I16" s="284">
        <f>VLOOKUP($B$12,'CP FCST'!$A$12:$M$41,I$8,FALSE)</f>
        <v>343995.16619941941</v>
      </c>
      <c r="J16" s="284">
        <f>VLOOKUP($B$12,'CP FCST'!$A$12:$M$41,J$8,FALSE)</f>
        <v>343532.20591553033</v>
      </c>
      <c r="K16" s="284">
        <f>VLOOKUP($B$12,'CP FCST'!$A$12:$M$41,K$8,FALSE)</f>
        <v>348134.7690042567</v>
      </c>
      <c r="L16" s="284">
        <f>VLOOKUP($B$12,'CP FCST'!$A$12:$M$41,L$8,FALSE)</f>
        <v>335174.91613651288</v>
      </c>
      <c r="M16" s="284">
        <f>VLOOKUP($B$12,'CP FCST'!$A$12:$M$41,M$8,FALSE)</f>
        <v>343870.66551603214</v>
      </c>
      <c r="N16" s="284">
        <f>VLOOKUP($B$12,'CP FCST'!$A$12:$M$41,N$8,FALSE)</f>
        <v>333234.33941645263</v>
      </c>
      <c r="O16" s="284"/>
      <c r="P16" s="284"/>
      <c r="Q16" s="284"/>
      <c r="R16" s="255">
        <f>AVERAGE(C16:N16)</f>
        <v>334641.46907280642</v>
      </c>
      <c r="T16" s="255">
        <f>+'CP FCST'!O$12</f>
        <v>334641.46907280642</v>
      </c>
      <c r="U16" s="255">
        <f>R16-T16</f>
        <v>0</v>
      </c>
    </row>
    <row r="17" spans="1:21">
      <c r="B17" s="254" t="s">
        <v>570</v>
      </c>
      <c r="C17" s="285" t="str">
        <f t="shared" ref="C17:N17" si="0">IF(C16&gt;C15,"ERROR",IF(C15&gt;C14,"ERROR","OK"))</f>
        <v>OK</v>
      </c>
      <c r="D17" s="285" t="str">
        <f t="shared" si="0"/>
        <v>OK</v>
      </c>
      <c r="E17" s="285" t="str">
        <f t="shared" si="0"/>
        <v>OK</v>
      </c>
      <c r="F17" s="285" t="str">
        <f t="shared" si="0"/>
        <v>OK</v>
      </c>
      <c r="G17" s="285" t="str">
        <f t="shared" si="0"/>
        <v>OK</v>
      </c>
      <c r="H17" s="285" t="str">
        <f t="shared" si="0"/>
        <v>OK</v>
      </c>
      <c r="I17" s="285" t="str">
        <f t="shared" si="0"/>
        <v>OK</v>
      </c>
      <c r="J17" s="285" t="str">
        <f t="shared" si="0"/>
        <v>OK</v>
      </c>
      <c r="K17" s="285" t="str">
        <f t="shared" si="0"/>
        <v>OK</v>
      </c>
      <c r="L17" s="285" t="str">
        <f t="shared" si="0"/>
        <v>OK</v>
      </c>
      <c r="M17" s="285" t="str">
        <f t="shared" si="0"/>
        <v>OK</v>
      </c>
      <c r="N17" s="285" t="str">
        <f t="shared" si="0"/>
        <v>OK</v>
      </c>
      <c r="O17" s="284"/>
      <c r="P17" s="284"/>
      <c r="Q17" s="284"/>
      <c r="R17" s="255"/>
    </row>
    <row r="18" spans="1:21">
      <c r="B18" s="259"/>
      <c r="C18" s="284"/>
      <c r="D18" s="284"/>
      <c r="E18" s="284"/>
      <c r="F18" s="284"/>
      <c r="G18" s="284"/>
      <c r="H18" s="284"/>
      <c r="I18" s="284"/>
      <c r="J18" s="284"/>
      <c r="K18" s="284"/>
      <c r="L18" s="284"/>
      <c r="M18" s="284"/>
      <c r="N18" s="284"/>
      <c r="O18" s="284"/>
      <c r="P18" s="284"/>
      <c r="Q18" s="284"/>
      <c r="R18" s="282"/>
    </row>
    <row r="19" spans="1:21">
      <c r="B19" s="252" t="s">
        <v>99</v>
      </c>
      <c r="C19" s="284"/>
      <c r="D19" s="284"/>
      <c r="E19" s="284"/>
      <c r="F19" s="284"/>
      <c r="G19" s="284"/>
      <c r="H19" s="284"/>
      <c r="I19" s="284"/>
      <c r="J19" s="284"/>
      <c r="K19" s="284"/>
      <c r="L19" s="284"/>
      <c r="M19" s="284"/>
      <c r="N19" s="284"/>
      <c r="O19" s="284"/>
      <c r="P19" s="284"/>
      <c r="Q19" s="284"/>
      <c r="R19" s="282"/>
    </row>
    <row r="20" spans="1:21">
      <c r="A20" s="253" t="str">
        <f>B19&amp;" "&amp;B20</f>
        <v>CILC-1G KWH Sales</v>
      </c>
      <c r="B20" s="254" t="s">
        <v>563</v>
      </c>
      <c r="C20" s="284">
        <f>VLOOKUP($B19,'KWH FCST'!$A$12:$M$41,C$8,FALSE)</f>
        <v>8786487</v>
      </c>
      <c r="D20" s="284">
        <f>VLOOKUP($B19,'KWH FCST'!$A$12:$M$41,D$8,FALSE)</f>
        <v>8137504</v>
      </c>
      <c r="E20" s="284">
        <f>VLOOKUP($B19,'KWH FCST'!$A$12:$M$41,E$8,FALSE)</f>
        <v>8087909</v>
      </c>
      <c r="F20" s="284">
        <f>VLOOKUP($B19,'KWH FCST'!$A$12:$M$41,F$8,FALSE)</f>
        <v>8080797</v>
      </c>
      <c r="G20" s="284">
        <f>VLOOKUP($B19,'KWH FCST'!$A$12:$M$41,G$8,FALSE)</f>
        <v>8404830</v>
      </c>
      <c r="H20" s="284">
        <f>VLOOKUP($B19,'KWH FCST'!$A$12:$M$41,H$8,FALSE)</f>
        <v>8614497</v>
      </c>
      <c r="I20" s="284">
        <f>VLOOKUP($B19,'KWH FCST'!$A$12:$M$41,I$8,FALSE)</f>
        <v>8820657</v>
      </c>
      <c r="J20" s="284">
        <f>VLOOKUP($B19,'KWH FCST'!$A$12:$M$41,J$8,FALSE)</f>
        <v>8841737</v>
      </c>
      <c r="K20" s="284">
        <f>VLOOKUP($B19,'KWH FCST'!$A$12:$M$41,K$8,FALSE)</f>
        <v>8819404</v>
      </c>
      <c r="L20" s="284">
        <f>VLOOKUP($B19,'KWH FCST'!$A$12:$M$41,L$8,FALSE)</f>
        <v>8538740</v>
      </c>
      <c r="M20" s="284">
        <f>VLOOKUP($B19,'KWH FCST'!$A$12:$M$41,M$8,FALSE)</f>
        <v>8220488</v>
      </c>
      <c r="N20" s="284">
        <f>VLOOKUP($B19,'KWH FCST'!$A$12:$M$41,N$8,FALSE)</f>
        <v>8673691</v>
      </c>
      <c r="O20" s="284">
        <f>SUM(C20:N20)</f>
        <v>102026741</v>
      </c>
      <c r="P20" s="284"/>
      <c r="Q20" s="284"/>
      <c r="R20" s="282"/>
      <c r="T20" s="255">
        <f>VLOOKUP(B19,'Sales Forecast'!$B$7:$AO$23,38,FALSE)</f>
        <v>102026741</v>
      </c>
      <c r="U20" s="255">
        <f>+O20-T20</f>
        <v>0</v>
      </c>
    </row>
    <row r="21" spans="1:21">
      <c r="A21" s="253" t="str">
        <f>B19&amp;" "&amp;B21</f>
        <v>CILC-1G NCP</v>
      </c>
      <c r="B21" s="254" t="s">
        <v>133</v>
      </c>
      <c r="C21" s="284">
        <f>VLOOKUP($B19,'NCP FCST'!$A$12:$M$41,C$8,FALSE)</f>
        <v>17274.55753043744</v>
      </c>
      <c r="D21" s="284">
        <f>VLOOKUP($B19,'NCP FCST'!$A$12:$M$41,D$8,FALSE)</f>
        <v>17062.979562432509</v>
      </c>
      <c r="E21" s="284">
        <f>VLOOKUP($B19,'NCP FCST'!$A$12:$M$41,E$8,FALSE)</f>
        <v>15788.46165504622</v>
      </c>
      <c r="F21" s="284">
        <f>VLOOKUP($B19,'NCP FCST'!$A$12:$M$41,F$8,FALSE)</f>
        <v>16263.719745368575</v>
      </c>
      <c r="G21" s="284">
        <f>VLOOKUP($B19,'NCP FCST'!$A$12:$M$41,G$8,FALSE)</f>
        <v>16719.536568011245</v>
      </c>
      <c r="H21" s="284">
        <f>VLOOKUP($B19,'NCP FCST'!$A$12:$M$41,H$8,FALSE)</f>
        <v>17603.025296904932</v>
      </c>
      <c r="I21" s="284">
        <f>VLOOKUP($B19,'NCP FCST'!$A$12:$M$41,I$8,FALSE)</f>
        <v>17298.340423654157</v>
      </c>
      <c r="J21" s="284">
        <f>VLOOKUP($B19,'NCP FCST'!$A$12:$M$41,J$8,FALSE)</f>
        <v>17405.608726582705</v>
      </c>
      <c r="K21" s="284">
        <f>VLOOKUP($B19,'NCP FCST'!$A$12:$M$41,K$8,FALSE)</f>
        <v>17837.940203103299</v>
      </c>
      <c r="L21" s="284">
        <f>VLOOKUP($B19,'NCP FCST'!$A$12:$M$41,L$8,FALSE)</f>
        <v>16739.165049843221</v>
      </c>
      <c r="M21" s="284">
        <f>VLOOKUP($B19,'NCP FCST'!$A$12:$M$41,M$8,FALSE)</f>
        <v>16866.196776264263</v>
      </c>
      <c r="N21" s="284">
        <f>VLOOKUP($B19,'NCP FCST'!$A$12:$M$41,N$8,FALSE)</f>
        <v>17213.125648610538</v>
      </c>
      <c r="O21" s="284"/>
      <c r="P21" s="284">
        <f>MAX(C21:N21)</f>
        <v>17837.940203103299</v>
      </c>
      <c r="Q21" s="284"/>
      <c r="R21" s="282"/>
      <c r="T21" s="255">
        <f>+'NCP FCST'!O$13</f>
        <v>17837.940203103299</v>
      </c>
      <c r="U21" s="255">
        <f>P21-T21</f>
        <v>0</v>
      </c>
    </row>
    <row r="22" spans="1:21">
      <c r="A22" s="253" t="str">
        <f>B19&amp;" "&amp;B22</f>
        <v>CILC-1G GNCP</v>
      </c>
      <c r="B22" s="254" t="s">
        <v>342</v>
      </c>
      <c r="C22" s="284">
        <f>VLOOKUP($B19,'GNCP FCST'!$A$12:$M$41,C$8,FALSE)</f>
        <v>13882.499246296913</v>
      </c>
      <c r="D22" s="284">
        <f>VLOOKUP($B19,'GNCP FCST'!$A$12:$M$41,D$8,FALSE)</f>
        <v>14000.773159565279</v>
      </c>
      <c r="E22" s="284">
        <f>VLOOKUP($B19,'GNCP FCST'!$A$12:$M$41,E$8,FALSE)</f>
        <v>12818.897438564551</v>
      </c>
      <c r="F22" s="284">
        <f>VLOOKUP($B19,'GNCP FCST'!$A$12:$M$41,F$8,FALSE)</f>
        <v>13373.223877575223</v>
      </c>
      <c r="G22" s="284">
        <f>VLOOKUP($B19,'GNCP FCST'!$A$12:$M$41,G$8,FALSE)</f>
        <v>13286.825163414032</v>
      </c>
      <c r="H22" s="284">
        <f>VLOOKUP($B19,'GNCP FCST'!$A$12:$M$41,H$8,FALSE)</f>
        <v>14071.942011800633</v>
      </c>
      <c r="I22" s="284">
        <f>VLOOKUP($B19,'GNCP FCST'!$A$12:$M$41,I$8,FALSE)</f>
        <v>13981.618875897037</v>
      </c>
      <c r="J22" s="284">
        <f>VLOOKUP($B19,'GNCP FCST'!$A$12:$M$41,J$8,FALSE)</f>
        <v>13923.298276555452</v>
      </c>
      <c r="K22" s="284">
        <f>VLOOKUP($B19,'GNCP FCST'!$A$12:$M$41,K$8,FALSE)</f>
        <v>14481.35019877888</v>
      </c>
      <c r="L22" s="284">
        <f>VLOOKUP($B19,'GNCP FCST'!$A$12:$M$41,L$8,FALSE)</f>
        <v>13717.491172576967</v>
      </c>
      <c r="M22" s="284">
        <f>VLOOKUP($B19,'GNCP FCST'!$A$12:$M$41,M$8,FALSE)</f>
        <v>13638.130191244087</v>
      </c>
      <c r="N22" s="284">
        <f>VLOOKUP($B19,'GNCP FCST'!$A$12:$M$41,N$8,FALSE)</f>
        <v>13861.482484814267</v>
      </c>
      <c r="O22" s="284"/>
      <c r="Q22" s="284">
        <f>MAX(C22:N22)</f>
        <v>14481.35019877888</v>
      </c>
      <c r="R22" s="282"/>
      <c r="T22" s="255">
        <f>+'GNCP FCST'!O$13</f>
        <v>14481.35019877888</v>
      </c>
      <c r="U22" s="255">
        <f>+Q22-T22</f>
        <v>0</v>
      </c>
    </row>
    <row r="23" spans="1:21">
      <c r="A23" s="253" t="str">
        <f>B19&amp;" "&amp;B23</f>
        <v>CILC-1G CP</v>
      </c>
      <c r="B23" s="254" t="s">
        <v>148</v>
      </c>
      <c r="C23" s="284">
        <f>VLOOKUP($B19,'CP FCST'!$A$12:$M$41,C$8,FALSE)</f>
        <v>12494.963979292857</v>
      </c>
      <c r="D23" s="284">
        <f>VLOOKUP($B19,'CP FCST'!$A$12:$M$41,D$8,FALSE)</f>
        <v>13450.377764121278</v>
      </c>
      <c r="E23" s="284">
        <f>VLOOKUP($B19,'CP FCST'!$A$12:$M$41,E$8,FALSE)</f>
        <v>11588.171856161547</v>
      </c>
      <c r="F23" s="284">
        <f>VLOOKUP($B19,'CP FCST'!$A$12:$M$41,F$8,FALSE)</f>
        <v>12659.003021166202</v>
      </c>
      <c r="G23" s="284">
        <f>VLOOKUP($B19,'CP FCST'!$A$12:$M$41,G$8,FALSE)</f>
        <v>12770.85510919978</v>
      </c>
      <c r="H23" s="284">
        <f>VLOOKUP($B19,'CP FCST'!$A$12:$M$41,H$8,FALSE)</f>
        <v>13626.42045942971</v>
      </c>
      <c r="I23" s="284">
        <f>VLOOKUP($B19,'CP FCST'!$A$12:$M$41,I$8,FALSE)</f>
        <v>13284.377539434547</v>
      </c>
      <c r="J23" s="284">
        <f>VLOOKUP($B19,'CP FCST'!$A$12:$M$41,J$8,FALSE)</f>
        <v>13293.879132234091</v>
      </c>
      <c r="K23" s="284">
        <f>VLOOKUP($B19,'CP FCST'!$A$12:$M$41,K$8,FALSE)</f>
        <v>13485.637979706818</v>
      </c>
      <c r="L23" s="284">
        <f>VLOOKUP($B19,'CP FCST'!$A$12:$M$41,L$8,FALSE)</f>
        <v>13114.683509869245</v>
      </c>
      <c r="M23" s="284">
        <f>VLOOKUP($B19,'CP FCST'!$A$12:$M$41,M$8,FALSE)</f>
        <v>12995.801509544199</v>
      </c>
      <c r="N23" s="284">
        <f>VLOOKUP($B19,'CP FCST'!$A$12:$M$41,N$8,FALSE)</f>
        <v>12736.626121209452</v>
      </c>
      <c r="O23" s="284"/>
      <c r="P23" s="284"/>
      <c r="Q23" s="284"/>
      <c r="R23" s="255">
        <f>AVERAGE(C23:N23)</f>
        <v>12958.399831780809</v>
      </c>
      <c r="T23" s="255">
        <f>+'CP FCST'!O$13</f>
        <v>12958.399831780809</v>
      </c>
      <c r="U23" s="255">
        <f>R23-T23</f>
        <v>0</v>
      </c>
    </row>
    <row r="24" spans="1:21">
      <c r="B24" s="254" t="s">
        <v>570</v>
      </c>
      <c r="C24" s="285" t="str">
        <f t="shared" ref="C24:N24" si="1">IF(C23&gt;C22,"ERROR",IF(C22&gt;C21,"ERROR","OK"))</f>
        <v>OK</v>
      </c>
      <c r="D24" s="285" t="str">
        <f t="shared" si="1"/>
        <v>OK</v>
      </c>
      <c r="E24" s="285" t="str">
        <f t="shared" si="1"/>
        <v>OK</v>
      </c>
      <c r="F24" s="285" t="str">
        <f t="shared" si="1"/>
        <v>OK</v>
      </c>
      <c r="G24" s="285" t="str">
        <f t="shared" si="1"/>
        <v>OK</v>
      </c>
      <c r="H24" s="285" t="str">
        <f t="shared" si="1"/>
        <v>OK</v>
      </c>
      <c r="I24" s="285" t="str">
        <f t="shared" si="1"/>
        <v>OK</v>
      </c>
      <c r="J24" s="285" t="str">
        <f t="shared" si="1"/>
        <v>OK</v>
      </c>
      <c r="K24" s="285" t="str">
        <f t="shared" si="1"/>
        <v>OK</v>
      </c>
      <c r="L24" s="285" t="str">
        <f t="shared" si="1"/>
        <v>OK</v>
      </c>
      <c r="M24" s="285" t="str">
        <f t="shared" si="1"/>
        <v>OK</v>
      </c>
      <c r="N24" s="285" t="str">
        <f t="shared" si="1"/>
        <v>OK</v>
      </c>
      <c r="O24" s="284"/>
      <c r="P24" s="284"/>
      <c r="Q24" s="284"/>
      <c r="R24" s="255"/>
    </row>
    <row r="25" spans="1:21">
      <c r="B25" s="259"/>
      <c r="C25" s="284"/>
      <c r="D25" s="284"/>
      <c r="E25" s="284"/>
      <c r="F25" s="284"/>
      <c r="G25" s="284"/>
      <c r="H25" s="284"/>
      <c r="I25" s="284"/>
      <c r="J25" s="284"/>
      <c r="K25" s="284"/>
      <c r="L25" s="284"/>
      <c r="M25" s="284"/>
      <c r="N25" s="284"/>
      <c r="O25" s="284"/>
      <c r="P25" s="284"/>
      <c r="Q25" s="284"/>
      <c r="R25" s="282"/>
    </row>
    <row r="26" spans="1:21">
      <c r="B26" s="252" t="s">
        <v>50</v>
      </c>
      <c r="C26" s="284"/>
      <c r="D26" s="284"/>
      <c r="E26" s="284"/>
      <c r="F26" s="284"/>
      <c r="G26" s="284"/>
      <c r="H26" s="284"/>
      <c r="I26" s="284"/>
      <c r="J26" s="284"/>
      <c r="K26" s="284"/>
      <c r="L26" s="284"/>
      <c r="M26" s="284"/>
      <c r="N26" s="284"/>
      <c r="O26" s="284"/>
      <c r="P26" s="284"/>
      <c r="Q26" s="284"/>
      <c r="R26" s="282"/>
    </row>
    <row r="27" spans="1:21">
      <c r="A27" s="253" t="str">
        <f>B26&amp;" "&amp;B27</f>
        <v>CILC-1T KWH Sales</v>
      </c>
      <c r="B27" s="254" t="s">
        <v>563</v>
      </c>
      <c r="C27" s="284">
        <f>VLOOKUP($B26,'KWH FCST'!$A$12:$M$41,C$8,FALSE)</f>
        <v>122922076</v>
      </c>
      <c r="D27" s="284">
        <f>VLOOKUP($B26,'KWH FCST'!$A$12:$M$41,D$8,FALSE)</f>
        <v>114714909</v>
      </c>
      <c r="E27" s="284">
        <f>VLOOKUP($B26,'KWH FCST'!$A$12:$M$41,E$8,FALSE)</f>
        <v>116221637</v>
      </c>
      <c r="F27" s="284">
        <f>VLOOKUP($B26,'KWH FCST'!$A$12:$M$41,F$8,FALSE)</f>
        <v>120806109</v>
      </c>
      <c r="G27" s="284">
        <f>VLOOKUP($B26,'KWH FCST'!$A$12:$M$41,G$8,FALSE)</f>
        <v>120216919</v>
      </c>
      <c r="H27" s="284">
        <f>VLOOKUP($B26,'KWH FCST'!$A$12:$M$41,H$8,FALSE)</f>
        <v>124953632</v>
      </c>
      <c r="I27" s="284">
        <f>VLOOKUP($B26,'KWH FCST'!$A$12:$M$41,I$8,FALSE)</f>
        <v>125659936</v>
      </c>
      <c r="J27" s="284">
        <f>VLOOKUP($B26,'KWH FCST'!$A$12:$M$41,J$8,FALSE)</f>
        <v>124952720</v>
      </c>
      <c r="K27" s="284">
        <f>VLOOKUP($B26,'KWH FCST'!$A$12:$M$41,K$8,FALSE)</f>
        <v>128138566</v>
      </c>
      <c r="L27" s="284">
        <f>VLOOKUP($B26,'KWH FCST'!$A$12:$M$41,L$8,FALSE)</f>
        <v>124447056</v>
      </c>
      <c r="M27" s="284">
        <f>VLOOKUP($B26,'KWH FCST'!$A$12:$M$41,M$8,FALSE)</f>
        <v>127389485</v>
      </c>
      <c r="N27" s="284">
        <f>VLOOKUP($B26,'KWH FCST'!$A$12:$M$41,N$8,FALSE)</f>
        <v>127855015</v>
      </c>
      <c r="O27" s="284">
        <f>SUM(C27:N27)</f>
        <v>1478278060</v>
      </c>
      <c r="P27" s="284"/>
      <c r="Q27" s="284"/>
      <c r="R27" s="282"/>
      <c r="T27" s="255">
        <f>VLOOKUP(B26,'Sales Forecast'!$B$7:$AO$23,38,FALSE)</f>
        <v>1478278060</v>
      </c>
      <c r="U27" s="255">
        <f>+O27-T27</f>
        <v>0</v>
      </c>
    </row>
    <row r="28" spans="1:21">
      <c r="A28" s="253" t="str">
        <f>B26&amp;" "&amp;B28</f>
        <v>CILC-1T NCP</v>
      </c>
      <c r="B28" s="254" t="s">
        <v>133</v>
      </c>
      <c r="C28" s="284">
        <f>VLOOKUP($B26,'NCP FCST'!$A$12:$M$41,C$8,FALSE)</f>
        <v>223784.1068264567</v>
      </c>
      <c r="D28" s="284">
        <f>VLOOKUP($B26,'NCP FCST'!$A$12:$M$41,D$8,FALSE)</f>
        <v>229024.46153605607</v>
      </c>
      <c r="E28" s="284">
        <f>VLOOKUP($B26,'NCP FCST'!$A$12:$M$41,E$8,FALSE)</f>
        <v>217328.62729093328</v>
      </c>
      <c r="F28" s="284">
        <f>VLOOKUP($B26,'NCP FCST'!$A$12:$M$41,F$8,FALSE)</f>
        <v>225784.95481467768</v>
      </c>
      <c r="G28" s="284">
        <f>VLOOKUP($B26,'NCP FCST'!$A$12:$M$41,G$8,FALSE)</f>
        <v>213828.76605608175</v>
      </c>
      <c r="H28" s="284">
        <f>VLOOKUP($B26,'NCP FCST'!$A$12:$M$41,H$8,FALSE)</f>
        <v>236628.50416488794</v>
      </c>
      <c r="I28" s="284">
        <f>VLOOKUP($B26,'NCP FCST'!$A$12:$M$41,I$8,FALSE)</f>
        <v>226991.34665196994</v>
      </c>
      <c r="J28" s="284">
        <f>VLOOKUP($B26,'NCP FCST'!$A$12:$M$41,J$8,FALSE)</f>
        <v>223325.04010157057</v>
      </c>
      <c r="K28" s="284">
        <f>VLOOKUP($B26,'NCP FCST'!$A$12:$M$41,K$8,FALSE)</f>
        <v>244815.19348573271</v>
      </c>
      <c r="L28" s="284">
        <f>VLOOKUP($B26,'NCP FCST'!$A$12:$M$41,L$8,FALSE)</f>
        <v>225276.72282148991</v>
      </c>
      <c r="M28" s="284">
        <f>VLOOKUP($B26,'NCP FCST'!$A$12:$M$41,M$8,FALSE)</f>
        <v>241657.46834816775</v>
      </c>
      <c r="N28" s="284">
        <f>VLOOKUP($B26,'NCP FCST'!$A$12:$M$41,N$8,FALSE)</f>
        <v>231665.58383727225</v>
      </c>
      <c r="O28" s="284"/>
      <c r="P28" s="284">
        <f>MAX(C28:N28)</f>
        <v>244815.19348573271</v>
      </c>
      <c r="Q28" s="284"/>
      <c r="R28" s="282"/>
      <c r="T28" s="255">
        <f>+'NCP FCST'!O$14</f>
        <v>244815.19348573271</v>
      </c>
      <c r="U28" s="255">
        <f>P28-T28</f>
        <v>0</v>
      </c>
    </row>
    <row r="29" spans="1:21">
      <c r="A29" s="253" t="str">
        <f>B26&amp;" "&amp;B29</f>
        <v>CILC-1T GNCP</v>
      </c>
      <c r="B29" s="254" t="s">
        <v>342</v>
      </c>
      <c r="C29" s="284">
        <f>VLOOKUP($B26,'GNCP FCST'!$A$12:$M$41,C$8,FALSE)</f>
        <v>193088.9504398584</v>
      </c>
      <c r="D29" s="284">
        <f>VLOOKUP($B26,'GNCP FCST'!$A$12:$M$41,D$8,FALSE)</f>
        <v>196879.30128791358</v>
      </c>
      <c r="E29" s="284">
        <f>VLOOKUP($B26,'GNCP FCST'!$A$12:$M$41,E$8,FALSE)</f>
        <v>185883.05010491359</v>
      </c>
      <c r="F29" s="284">
        <f>VLOOKUP($B26,'GNCP FCST'!$A$12:$M$41,F$8,FALSE)</f>
        <v>194358.89882718981</v>
      </c>
      <c r="G29" s="284">
        <f>VLOOKUP($B26,'GNCP FCST'!$A$12:$M$41,G$8,FALSE)</f>
        <v>186495.29698992302</v>
      </c>
      <c r="H29" s="284">
        <f>VLOOKUP($B26,'GNCP FCST'!$A$12:$M$41,H$8,FALSE)</f>
        <v>201366.86933956316</v>
      </c>
      <c r="I29" s="284">
        <f>VLOOKUP($B26,'GNCP FCST'!$A$12:$M$41,I$8,FALSE)</f>
        <v>196053.11579853087</v>
      </c>
      <c r="J29" s="284">
        <f>VLOOKUP($B26,'GNCP FCST'!$A$12:$M$41,J$8,FALSE)</f>
        <v>193541.43011542736</v>
      </c>
      <c r="K29" s="284">
        <f>VLOOKUP($B26,'GNCP FCST'!$A$12:$M$41,K$8,FALSE)</f>
        <v>211943.35946898794</v>
      </c>
      <c r="L29" s="284">
        <f>VLOOKUP($B26,'GNCP FCST'!$A$12:$M$41,L$8,FALSE)</f>
        <v>196586.38539948474</v>
      </c>
      <c r="M29" s="284">
        <f>VLOOKUP($B26,'GNCP FCST'!$A$12:$M$41,M$8,FALSE)</f>
        <v>209093.14413938974</v>
      </c>
      <c r="N29" s="284">
        <f>VLOOKUP($B26,'GNCP FCST'!$A$12:$M$41,N$8,FALSE)</f>
        <v>204701.3553768151</v>
      </c>
      <c r="O29" s="284"/>
      <c r="Q29" s="284">
        <f>MAX(C29:N29)</f>
        <v>211943.35946898794</v>
      </c>
      <c r="R29" s="282"/>
      <c r="T29" s="255">
        <f>+'GNCP FCST'!O$14</f>
        <v>211943.35946898794</v>
      </c>
      <c r="U29" s="255">
        <f>+Q29-T29</f>
        <v>0</v>
      </c>
    </row>
    <row r="30" spans="1:21">
      <c r="A30" s="253" t="str">
        <f>B26&amp;" "&amp;B30</f>
        <v>CILC-1T CP</v>
      </c>
      <c r="B30" s="254" t="s">
        <v>148</v>
      </c>
      <c r="C30" s="284">
        <f>VLOOKUP($B26,'CP FCST'!$A$12:$M$41,C$8,FALSE)</f>
        <v>160082.29848813682</v>
      </c>
      <c r="D30" s="284">
        <f>VLOOKUP($B26,'CP FCST'!$A$12:$M$41,D$8,FALSE)</f>
        <v>178045.84102476717</v>
      </c>
      <c r="E30" s="284">
        <f>VLOOKUP($B26,'CP FCST'!$A$12:$M$41,E$8,FALSE)</f>
        <v>170038.20964516478</v>
      </c>
      <c r="F30" s="284">
        <f>VLOOKUP($B26,'CP FCST'!$A$12:$M$41,F$8,FALSE)</f>
        <v>168527.91903261127</v>
      </c>
      <c r="G30" s="284">
        <f>VLOOKUP($B26,'CP FCST'!$A$12:$M$41,G$8,FALSE)</f>
        <v>175303.40579056696</v>
      </c>
      <c r="H30" s="284">
        <f>VLOOKUP($B26,'CP FCST'!$A$12:$M$41,H$8,FALSE)</f>
        <v>179024.53876155007</v>
      </c>
      <c r="I30" s="284">
        <f>VLOOKUP($B26,'CP FCST'!$A$12:$M$41,I$8,FALSE)</f>
        <v>175789.04193440522</v>
      </c>
      <c r="J30" s="284">
        <f>VLOOKUP($B26,'CP FCST'!$A$12:$M$41,J$8,FALSE)</f>
        <v>173451.85048336379</v>
      </c>
      <c r="K30" s="284">
        <f>VLOOKUP($B26,'CP FCST'!$A$12:$M$41,K$8,FALSE)</f>
        <v>178879.80893964294</v>
      </c>
      <c r="L30" s="284">
        <f>VLOOKUP($B26,'CP FCST'!$A$12:$M$41,L$8,FALSE)</f>
        <v>174052.57282544338</v>
      </c>
      <c r="M30" s="284">
        <f>VLOOKUP($B26,'CP FCST'!$A$12:$M$41,M$8,FALSE)</f>
        <v>192285.92848512228</v>
      </c>
      <c r="N30" s="284">
        <f>VLOOKUP($B26,'CP FCST'!$A$12:$M$41,N$8,FALSE)</f>
        <v>184680.40412308136</v>
      </c>
      <c r="O30" s="284"/>
      <c r="P30" s="284"/>
      <c r="Q30" s="284"/>
      <c r="R30" s="255">
        <f>AVERAGE(C30:N30)</f>
        <v>175846.81829448801</v>
      </c>
      <c r="T30" s="255">
        <f>+'CP FCST'!O$14</f>
        <v>175846.81829448801</v>
      </c>
      <c r="U30" s="255">
        <f>R30-T30</f>
        <v>0</v>
      </c>
    </row>
    <row r="31" spans="1:21">
      <c r="B31" s="254" t="s">
        <v>570</v>
      </c>
      <c r="C31" s="285" t="str">
        <f t="shared" ref="C31:N31" si="2">IF(C30&gt;C29,"ERROR",IF(C29&gt;C28,"ERROR","OK"))</f>
        <v>OK</v>
      </c>
      <c r="D31" s="285" t="str">
        <f t="shared" si="2"/>
        <v>OK</v>
      </c>
      <c r="E31" s="285" t="str">
        <f t="shared" si="2"/>
        <v>OK</v>
      </c>
      <c r="F31" s="285" t="str">
        <f t="shared" si="2"/>
        <v>OK</v>
      </c>
      <c r="G31" s="285" t="str">
        <f t="shared" si="2"/>
        <v>OK</v>
      </c>
      <c r="H31" s="285" t="str">
        <f t="shared" si="2"/>
        <v>OK</v>
      </c>
      <c r="I31" s="285" t="str">
        <f t="shared" si="2"/>
        <v>OK</v>
      </c>
      <c r="J31" s="285" t="str">
        <f t="shared" si="2"/>
        <v>OK</v>
      </c>
      <c r="K31" s="285" t="str">
        <f t="shared" si="2"/>
        <v>OK</v>
      </c>
      <c r="L31" s="285" t="str">
        <f t="shared" si="2"/>
        <v>OK</v>
      </c>
      <c r="M31" s="285" t="str">
        <f t="shared" si="2"/>
        <v>OK</v>
      </c>
      <c r="N31" s="285" t="str">
        <f t="shared" si="2"/>
        <v>OK</v>
      </c>
      <c r="O31" s="284"/>
      <c r="P31" s="284"/>
      <c r="Q31" s="284"/>
      <c r="R31" s="255"/>
    </row>
    <row r="32" spans="1:21">
      <c r="B32" s="259"/>
      <c r="C32" s="284"/>
      <c r="D32" s="284"/>
      <c r="E32" s="284"/>
      <c r="F32" s="284"/>
      <c r="G32" s="284"/>
      <c r="H32" s="284"/>
      <c r="I32" s="284"/>
      <c r="J32" s="284"/>
      <c r="K32" s="284"/>
      <c r="L32" s="284"/>
      <c r="M32" s="284"/>
      <c r="N32" s="284"/>
      <c r="O32" s="284"/>
      <c r="P32" s="284"/>
      <c r="Q32" s="284"/>
      <c r="R32" s="282"/>
    </row>
    <row r="33" spans="1:21">
      <c r="B33" s="252" t="s">
        <v>49</v>
      </c>
      <c r="C33" s="284"/>
      <c r="D33" s="284"/>
      <c r="E33" s="284"/>
      <c r="F33" s="284"/>
      <c r="G33" s="284"/>
      <c r="H33" s="284"/>
      <c r="I33" s="284"/>
      <c r="J33" s="284"/>
      <c r="K33" s="284"/>
      <c r="L33" s="284"/>
      <c r="M33" s="284"/>
      <c r="N33" s="284"/>
      <c r="O33" s="284"/>
      <c r="P33" s="284"/>
      <c r="Q33" s="284"/>
      <c r="R33" s="282"/>
    </row>
    <row r="34" spans="1:21">
      <c r="A34" s="253" t="str">
        <f>B33&amp;" "&amp;B34</f>
        <v>GS(T)-1 KWH Sales</v>
      </c>
      <c r="B34" s="254" t="s">
        <v>563</v>
      </c>
      <c r="C34" s="284">
        <f>VLOOKUP($B33,'KWH FCST'!$A$12:$M$41,C$8,FALSE)</f>
        <v>470760059</v>
      </c>
      <c r="D34" s="284">
        <f>VLOOKUP($B33,'KWH FCST'!$A$12:$M$41,D$8,FALSE)</f>
        <v>421592769</v>
      </c>
      <c r="E34" s="284">
        <f>VLOOKUP($B33,'KWH FCST'!$A$12:$M$41,E$8,FALSE)</f>
        <v>436757867</v>
      </c>
      <c r="F34" s="284">
        <f>VLOOKUP($B33,'KWH FCST'!$A$12:$M$41,F$8,FALSE)</f>
        <v>450298173</v>
      </c>
      <c r="G34" s="284">
        <f>VLOOKUP($B33,'KWH FCST'!$A$12:$M$41,G$8,FALSE)</f>
        <v>505307392</v>
      </c>
      <c r="H34" s="284">
        <f>VLOOKUP($B33,'KWH FCST'!$A$12:$M$41,H$8,FALSE)</f>
        <v>540288919</v>
      </c>
      <c r="I34" s="284">
        <f>VLOOKUP($B33,'KWH FCST'!$A$12:$M$41,I$8,FALSE)</f>
        <v>570697968</v>
      </c>
      <c r="J34" s="284">
        <f>VLOOKUP($B33,'KWH FCST'!$A$12:$M$41,J$8,FALSE)</f>
        <v>570537091</v>
      </c>
      <c r="K34" s="284">
        <f>VLOOKUP($B33,'KWH FCST'!$A$12:$M$41,K$8,FALSE)</f>
        <v>555590633</v>
      </c>
      <c r="L34" s="284">
        <f>VLOOKUP($B33,'KWH FCST'!$A$12:$M$41,L$8,FALSE)</f>
        <v>514010461</v>
      </c>
      <c r="M34" s="284">
        <f>VLOOKUP($B33,'KWH FCST'!$A$12:$M$41,M$8,FALSE)</f>
        <v>462739213</v>
      </c>
      <c r="N34" s="284">
        <f>VLOOKUP($B33,'KWH FCST'!$A$12:$M$41,N$8,FALSE)</f>
        <v>461311721</v>
      </c>
      <c r="O34" s="284">
        <f>SUM(C34:N34)</f>
        <v>5959892266</v>
      </c>
      <c r="P34" s="284"/>
      <c r="Q34" s="284"/>
      <c r="R34" s="282"/>
      <c r="T34" s="255">
        <f>VLOOKUP(B33,'Sales Forecast'!$B$7:$AO$23,38,FALSE)</f>
        <v>5959892266</v>
      </c>
      <c r="U34" s="255">
        <f>+O34-T34</f>
        <v>0</v>
      </c>
    </row>
    <row r="35" spans="1:21">
      <c r="A35" s="253" t="str">
        <f>B33&amp;" "&amp;B35</f>
        <v>GS(T)-1 NCP</v>
      </c>
      <c r="B35" s="254" t="s">
        <v>133</v>
      </c>
      <c r="C35" s="284">
        <f>VLOOKUP($B33,'NCP FCST'!$A$12:$M$41,C$8,FALSE)</f>
        <v>2095363.1888433669</v>
      </c>
      <c r="D35" s="284">
        <f>VLOOKUP($B33,'NCP FCST'!$A$12:$M$41,D$8,FALSE)</f>
        <v>1916697.7617173141</v>
      </c>
      <c r="E35" s="284">
        <f>VLOOKUP($B33,'NCP FCST'!$A$12:$M$41,E$8,FALSE)</f>
        <v>1842612.0274330236</v>
      </c>
      <c r="F35" s="284">
        <f>VLOOKUP($B33,'NCP FCST'!$A$12:$M$41,F$8,FALSE)</f>
        <v>1841312.018186498</v>
      </c>
      <c r="G35" s="284">
        <f>VLOOKUP($B33,'NCP FCST'!$A$12:$M$41,G$8,FALSE)</f>
        <v>1927994.7668184894</v>
      </c>
      <c r="H35" s="284">
        <f>VLOOKUP($B33,'NCP FCST'!$A$12:$M$41,H$8,FALSE)</f>
        <v>2101496.5398850385</v>
      </c>
      <c r="I35" s="284">
        <f>VLOOKUP($B33,'NCP FCST'!$A$12:$M$41,I$8,FALSE)</f>
        <v>2071496.2154338998</v>
      </c>
      <c r="J35" s="284">
        <f>VLOOKUP($B33,'NCP FCST'!$A$12:$M$41,J$8,FALSE)</f>
        <v>2041765.152169775</v>
      </c>
      <c r="K35" s="284">
        <f>VLOOKUP($B33,'NCP FCST'!$A$12:$M$41,K$8,FALSE)</f>
        <v>2146053.5755057577</v>
      </c>
      <c r="L35" s="284">
        <f>VLOOKUP($B33,'NCP FCST'!$A$12:$M$41,L$8,FALSE)</f>
        <v>1994437.4381940479</v>
      </c>
      <c r="M35" s="284">
        <f>VLOOKUP($B33,'NCP FCST'!$A$12:$M$41,M$8,FALSE)</f>
        <v>2038846.1277103559</v>
      </c>
      <c r="N35" s="284">
        <f>VLOOKUP($B33,'NCP FCST'!$A$12:$M$41,N$8,FALSE)</f>
        <v>1991367.2242881842</v>
      </c>
      <c r="O35" s="284"/>
      <c r="P35" s="284">
        <f>MAX(C35:N35)</f>
        <v>2146053.5755057577</v>
      </c>
      <c r="Q35" s="284"/>
      <c r="R35" s="282"/>
      <c r="T35" s="255">
        <f>+'NCP FCST'!O$15</f>
        <v>2146053.5755057577</v>
      </c>
      <c r="U35" s="255">
        <f>P35-T35</f>
        <v>0</v>
      </c>
    </row>
    <row r="36" spans="1:21">
      <c r="A36" s="253" t="str">
        <f>B33&amp;" "&amp;B36</f>
        <v>GS(T)-1 GNCP</v>
      </c>
      <c r="B36" s="254" t="s">
        <v>342</v>
      </c>
      <c r="C36" s="284">
        <f>VLOOKUP($B33,'GNCP FCST'!$A$12:$M$41,C$8,FALSE)</f>
        <v>1028198.3322939005</v>
      </c>
      <c r="D36" s="284">
        <f>VLOOKUP($B33,'GNCP FCST'!$A$12:$M$41,D$8,FALSE)</f>
        <v>1007514.9221199374</v>
      </c>
      <c r="E36" s="284">
        <f>VLOOKUP($B33,'GNCP FCST'!$A$12:$M$41,E$8,FALSE)</f>
        <v>945777.89135493163</v>
      </c>
      <c r="F36" s="284">
        <f>VLOOKUP($B33,'GNCP FCST'!$A$12:$M$41,F$8,FALSE)</f>
        <v>1085419.2695663529</v>
      </c>
      <c r="G36" s="284">
        <f>VLOOKUP($B33,'GNCP FCST'!$A$12:$M$41,G$8,FALSE)</f>
        <v>1139802.027415151</v>
      </c>
      <c r="H36" s="284">
        <f>VLOOKUP($B33,'GNCP FCST'!$A$12:$M$41,H$8,FALSE)</f>
        <v>1266919.2103742999</v>
      </c>
      <c r="I36" s="284">
        <f>VLOOKUP($B33,'GNCP FCST'!$A$12:$M$41,I$8,FALSE)</f>
        <v>1267425.4458075629</v>
      </c>
      <c r="J36" s="284">
        <f>VLOOKUP($B33,'GNCP FCST'!$A$12:$M$41,J$8,FALSE)</f>
        <v>1251649.2760354974</v>
      </c>
      <c r="K36" s="284">
        <f>VLOOKUP($B33,'GNCP FCST'!$A$12:$M$41,K$8,FALSE)</f>
        <v>1300804.557592486</v>
      </c>
      <c r="L36" s="284">
        <f>VLOOKUP($B33,'GNCP FCST'!$A$12:$M$41,L$8,FALSE)</f>
        <v>1183257.1324510886</v>
      </c>
      <c r="M36" s="284">
        <f>VLOOKUP($B33,'GNCP FCST'!$A$12:$M$41,M$8,FALSE)</f>
        <v>1098482.5063947425</v>
      </c>
      <c r="N36" s="284">
        <f>VLOOKUP($B33,'GNCP FCST'!$A$12:$M$41,N$8,FALSE)</f>
        <v>1048895.0505855344</v>
      </c>
      <c r="O36" s="284"/>
      <c r="Q36" s="284">
        <f>MAX(C36:N36)</f>
        <v>1300804.557592486</v>
      </c>
      <c r="R36" s="282"/>
      <c r="T36" s="255">
        <f>+'GNCP FCST'!O$15</f>
        <v>1300804.557592486</v>
      </c>
      <c r="U36" s="255">
        <f>+Q36-T36</f>
        <v>0</v>
      </c>
    </row>
    <row r="37" spans="1:21">
      <c r="A37" s="253" t="str">
        <f>B33&amp;" "&amp;B37</f>
        <v>GS(T)-1 CP</v>
      </c>
      <c r="B37" s="254" t="s">
        <v>148</v>
      </c>
      <c r="C37" s="284">
        <f>VLOOKUP($B33,'CP FCST'!$A$12:$M$41,C$8,FALSE)</f>
        <v>628241.20993750053</v>
      </c>
      <c r="D37" s="284">
        <f>VLOOKUP($B33,'CP FCST'!$A$12:$M$41,D$8,FALSE)</f>
        <v>990250.10013783665</v>
      </c>
      <c r="E37" s="284">
        <f>VLOOKUP($B33,'CP FCST'!$A$12:$M$41,E$8,FALSE)</f>
        <v>603909.17352259695</v>
      </c>
      <c r="F37" s="284">
        <f>VLOOKUP($B33,'CP FCST'!$A$12:$M$41,F$8,FALSE)</f>
        <v>964753.60653135309</v>
      </c>
      <c r="G37" s="284">
        <f>VLOOKUP($B33,'CP FCST'!$A$12:$M$41,G$8,FALSE)</f>
        <v>1043863.3948092745</v>
      </c>
      <c r="H37" s="284">
        <f>VLOOKUP($B33,'CP FCST'!$A$12:$M$41,H$8,FALSE)</f>
        <v>1221618.8152911121</v>
      </c>
      <c r="I37" s="284">
        <f>VLOOKUP($B33,'CP FCST'!$A$12:$M$41,I$8,FALSE)</f>
        <v>1200672.0970909919</v>
      </c>
      <c r="J37" s="284">
        <f>VLOOKUP($B33,'CP FCST'!$A$12:$M$41,J$8,FALSE)</f>
        <v>1185731.9519249836</v>
      </c>
      <c r="K37" s="284">
        <f>VLOOKUP($B33,'CP FCST'!$A$12:$M$41,K$8,FALSE)</f>
        <v>1140787.9546395477</v>
      </c>
      <c r="L37" s="284">
        <f>VLOOKUP($B33,'CP FCST'!$A$12:$M$41,L$8,FALSE)</f>
        <v>1082279.007193828</v>
      </c>
      <c r="M37" s="284">
        <f>VLOOKUP($B33,'CP FCST'!$A$12:$M$41,M$8,FALSE)</f>
        <v>1024269.0828097948</v>
      </c>
      <c r="N37" s="284">
        <f>VLOOKUP($B33,'CP FCST'!$A$12:$M$41,N$8,FALSE)</f>
        <v>872211.05005638604</v>
      </c>
      <c r="O37" s="284"/>
      <c r="P37" s="284"/>
      <c r="Q37" s="284"/>
      <c r="R37" s="255">
        <f>AVERAGE(C37:N37)</f>
        <v>996548.9536621006</v>
      </c>
      <c r="T37" s="255">
        <f>+'CP FCST'!O$15</f>
        <v>996548.9536621006</v>
      </c>
      <c r="U37" s="255">
        <f>R37-T37</f>
        <v>0</v>
      </c>
    </row>
    <row r="38" spans="1:21">
      <c r="B38" s="254" t="s">
        <v>570</v>
      </c>
      <c r="C38" s="285" t="str">
        <f t="shared" ref="C38:N38" si="3">IF(C37&gt;C36,"ERROR",IF(C36&gt;C35,"ERROR","OK"))</f>
        <v>OK</v>
      </c>
      <c r="D38" s="285" t="str">
        <f t="shared" si="3"/>
        <v>OK</v>
      </c>
      <c r="E38" s="285" t="str">
        <f t="shared" si="3"/>
        <v>OK</v>
      </c>
      <c r="F38" s="285" t="str">
        <f t="shared" si="3"/>
        <v>OK</v>
      </c>
      <c r="G38" s="285" t="str">
        <f t="shared" si="3"/>
        <v>OK</v>
      </c>
      <c r="H38" s="285" t="str">
        <f t="shared" si="3"/>
        <v>OK</v>
      </c>
      <c r="I38" s="285" t="str">
        <f t="shared" si="3"/>
        <v>OK</v>
      </c>
      <c r="J38" s="285" t="str">
        <f t="shared" si="3"/>
        <v>OK</v>
      </c>
      <c r="K38" s="285" t="str">
        <f t="shared" si="3"/>
        <v>OK</v>
      </c>
      <c r="L38" s="285" t="str">
        <f t="shared" si="3"/>
        <v>OK</v>
      </c>
      <c r="M38" s="285" t="str">
        <f t="shared" si="3"/>
        <v>OK</v>
      </c>
      <c r="N38" s="285" t="str">
        <f t="shared" si="3"/>
        <v>OK</v>
      </c>
      <c r="O38" s="284"/>
      <c r="P38" s="284"/>
      <c r="Q38" s="284"/>
      <c r="R38" s="255"/>
    </row>
    <row r="39" spans="1:21">
      <c r="B39" s="259"/>
      <c r="C39" s="284"/>
      <c r="D39" s="284"/>
      <c r="E39" s="284"/>
      <c r="F39" s="284"/>
      <c r="G39" s="284"/>
      <c r="H39" s="284"/>
      <c r="I39" s="284"/>
      <c r="J39" s="284"/>
      <c r="K39" s="284"/>
      <c r="L39" s="284"/>
      <c r="M39" s="284"/>
      <c r="N39" s="284"/>
      <c r="O39" s="284"/>
      <c r="P39" s="284"/>
      <c r="Q39" s="284"/>
      <c r="R39" s="282"/>
    </row>
    <row r="40" spans="1:21">
      <c r="B40" s="252" t="s">
        <v>325</v>
      </c>
      <c r="C40" s="284"/>
      <c r="D40" s="284"/>
      <c r="E40" s="284"/>
      <c r="F40" s="284"/>
      <c r="G40" s="284"/>
      <c r="H40" s="284"/>
      <c r="I40" s="284"/>
      <c r="J40" s="284"/>
      <c r="K40" s="284"/>
      <c r="L40" s="284"/>
      <c r="M40" s="284"/>
      <c r="N40" s="284"/>
      <c r="O40" s="284"/>
      <c r="P40" s="284"/>
      <c r="Q40" s="284"/>
      <c r="R40" s="282"/>
    </row>
    <row r="41" spans="1:21">
      <c r="A41" s="253" t="str">
        <f>B40&amp;" "&amp;B41</f>
        <v>GSCU-1 KWH Sales</v>
      </c>
      <c r="B41" s="254" t="s">
        <v>563</v>
      </c>
      <c r="C41" s="284">
        <f>VLOOKUP($B40,'KWH FCST'!$A$12:$M$41,C$8,FALSE)</f>
        <v>5745840</v>
      </c>
      <c r="D41" s="284">
        <f>VLOOKUP($B40,'KWH FCST'!$A$12:$M$41,D$8,FALSE)</f>
        <v>5751758</v>
      </c>
      <c r="E41" s="284">
        <f>VLOOKUP($B40,'KWH FCST'!$A$12:$M$41,E$8,FALSE)</f>
        <v>5757676</v>
      </c>
      <c r="F41" s="284">
        <f>VLOOKUP($B40,'KWH FCST'!$A$12:$M$41,F$8,FALSE)</f>
        <v>5764132</v>
      </c>
      <c r="G41" s="284">
        <f>VLOOKUP($B40,'KWH FCST'!$A$12:$M$41,G$8,FALSE)</f>
        <v>5771126</v>
      </c>
      <c r="H41" s="284">
        <f>VLOOKUP($B40,'KWH FCST'!$A$12:$M$41,H$8,FALSE)</f>
        <v>5777582</v>
      </c>
      <c r="I41" s="284">
        <f>VLOOKUP($B40,'KWH FCST'!$A$12:$M$41,I$8,FALSE)</f>
        <v>5783500</v>
      </c>
      <c r="J41" s="284">
        <f>VLOOKUP($B40,'KWH FCST'!$A$12:$M$41,J$8,FALSE)</f>
        <v>5789956</v>
      </c>
      <c r="K41" s="284">
        <f>VLOOKUP($B40,'KWH FCST'!$A$12:$M$41,K$8,FALSE)</f>
        <v>5796412</v>
      </c>
      <c r="L41" s="284">
        <f>VLOOKUP($B40,'KWH FCST'!$A$12:$M$41,L$8,FALSE)</f>
        <v>5802330</v>
      </c>
      <c r="M41" s="284">
        <f>VLOOKUP($B40,'KWH FCST'!$A$12:$M$41,M$8,FALSE)</f>
        <v>5808248</v>
      </c>
      <c r="N41" s="284">
        <f>VLOOKUP($B40,'KWH FCST'!$A$12:$M$41,N$8,FALSE)</f>
        <v>5814166</v>
      </c>
      <c r="O41" s="284">
        <f>SUM(C41:N41)</f>
        <v>69362726</v>
      </c>
      <c r="P41" s="284"/>
      <c r="Q41" s="284"/>
      <c r="R41" s="282"/>
      <c r="T41" s="255">
        <f>VLOOKUP(B40,'Sales Forecast'!$B$7:$AO$23,38,FALSE)</f>
        <v>69362726</v>
      </c>
      <c r="U41" s="255">
        <f>+O41-T41</f>
        <v>0</v>
      </c>
    </row>
    <row r="42" spans="1:21">
      <c r="A42" s="253" t="str">
        <f>B40&amp;" "&amp;B42</f>
        <v>GSCU-1 NCP</v>
      </c>
      <c r="B42" s="254" t="s">
        <v>133</v>
      </c>
      <c r="C42" s="284">
        <f>VLOOKUP($B40,'NCP FCST'!$A$12:$M$41,C$8,FALSE)</f>
        <v>8375.4765015846315</v>
      </c>
      <c r="D42" s="284">
        <f>VLOOKUP($B40,'NCP FCST'!$A$12:$M$41,D$8,FALSE)</f>
        <v>8846.0962659761117</v>
      </c>
      <c r="E42" s="284">
        <f>VLOOKUP($B40,'NCP FCST'!$A$12:$M$41,E$8,FALSE)</f>
        <v>8251.2041621908756</v>
      </c>
      <c r="F42" s="284">
        <f>VLOOKUP($B40,'NCP FCST'!$A$12:$M$41,F$8,FALSE)</f>
        <v>8473.4787431702698</v>
      </c>
      <c r="G42" s="284">
        <f>VLOOKUP($B40,'NCP FCST'!$A$12:$M$41,G$8,FALSE)</f>
        <v>8111.2742326241614</v>
      </c>
      <c r="H42" s="284">
        <f>VLOOKUP($B40,'NCP FCST'!$A$12:$M$41,H$8,FALSE)</f>
        <v>8780.3822455607951</v>
      </c>
      <c r="I42" s="284">
        <f>VLOOKUP($B40,'NCP FCST'!$A$12:$M$41,I$8,FALSE)</f>
        <v>8241.1886657472769</v>
      </c>
      <c r="J42" s="284">
        <f>VLOOKUP($B40,'NCP FCST'!$A$12:$M$41,J$8,FALSE)</f>
        <v>8544.4900145058637</v>
      </c>
      <c r="K42" s="284">
        <f>VLOOKUP($B40,'NCP FCST'!$A$12:$M$41,K$8,FALSE)</f>
        <v>8738.2019238111643</v>
      </c>
      <c r="L42" s="284">
        <f>VLOOKUP($B40,'NCP FCST'!$A$12:$M$41,L$8,FALSE)</f>
        <v>8724.4773864508534</v>
      </c>
      <c r="M42" s="284">
        <f>VLOOKUP($B40,'NCP FCST'!$A$12:$M$41,M$8,FALSE)</f>
        <v>8613.2529490325742</v>
      </c>
      <c r="N42" s="284">
        <f>VLOOKUP($B40,'NCP FCST'!$A$12:$M$41,N$8,FALSE)</f>
        <v>8661.5012661438632</v>
      </c>
      <c r="O42" s="284"/>
      <c r="P42" s="284">
        <f>MAX(C42:N42)</f>
        <v>8846.0962659761117</v>
      </c>
      <c r="Q42" s="284"/>
      <c r="R42" s="282"/>
      <c r="T42" s="255">
        <f>+'NCP FCST'!O$16</f>
        <v>8846.0962659761117</v>
      </c>
      <c r="U42" s="255">
        <f>P42-T42</f>
        <v>0</v>
      </c>
    </row>
    <row r="43" spans="1:21">
      <c r="A43" s="253" t="str">
        <f>B40&amp;" "&amp;B43</f>
        <v>GSCU-1 GNCP</v>
      </c>
      <c r="B43" s="254" t="s">
        <v>342</v>
      </c>
      <c r="C43" s="284">
        <f>VLOOKUP($B40,'GNCP FCST'!$A$12:$M$41,C$8,FALSE)</f>
        <v>7903.6002940750614</v>
      </c>
      <c r="D43" s="284">
        <f>VLOOKUP($B40,'GNCP FCST'!$A$12:$M$41,D$8,FALSE)</f>
        <v>8454.8637887149507</v>
      </c>
      <c r="E43" s="284">
        <f>VLOOKUP($B40,'GNCP FCST'!$A$12:$M$41,E$8,FALSE)</f>
        <v>7881.805990756875</v>
      </c>
      <c r="F43" s="284">
        <f>VLOOKUP($B40,'GNCP FCST'!$A$12:$M$41,F$8,FALSE)</f>
        <v>8127.075659598544</v>
      </c>
      <c r="G43" s="284">
        <f>VLOOKUP($B40,'GNCP FCST'!$A$12:$M$41,G$8,FALSE)</f>
        <v>7853.0941796492853</v>
      </c>
      <c r="H43" s="284">
        <f>VLOOKUP($B40,'GNCP FCST'!$A$12:$M$41,H$8,FALSE)</f>
        <v>8231.1101039962959</v>
      </c>
      <c r="I43" s="284">
        <f>VLOOKUP($B40,'GNCP FCST'!$A$12:$M$41,I$8,FALSE)</f>
        <v>7894.9589416436875</v>
      </c>
      <c r="J43" s="284">
        <f>VLOOKUP($B40,'GNCP FCST'!$A$12:$M$41,J$8,FALSE)</f>
        <v>7953.9698935422002</v>
      </c>
      <c r="K43" s="284">
        <f>VLOOKUP($B40,'GNCP FCST'!$A$12:$M$41,K$8,FALSE)</f>
        <v>8163.7180603080087</v>
      </c>
      <c r="L43" s="284">
        <f>VLOOKUP($B40,'GNCP FCST'!$A$12:$M$41,L$8,FALSE)</f>
        <v>7962.2927639971449</v>
      </c>
      <c r="M43" s="284">
        <f>VLOOKUP($B40,'GNCP FCST'!$A$12:$M$41,M$8,FALSE)</f>
        <v>8212.7807016542065</v>
      </c>
      <c r="N43" s="284">
        <f>VLOOKUP($B40,'GNCP FCST'!$A$12:$M$41,N$8,FALSE)</f>
        <v>8149.8721099738796</v>
      </c>
      <c r="O43" s="284"/>
      <c r="Q43" s="284">
        <f>MAX(C43:N43)</f>
        <v>8454.8637887149507</v>
      </c>
      <c r="R43" s="282"/>
      <c r="T43" s="255">
        <f>+'GNCP FCST'!O$16</f>
        <v>8454.8637887149507</v>
      </c>
      <c r="U43" s="255">
        <f>+Q43-T43</f>
        <v>0</v>
      </c>
    </row>
    <row r="44" spans="1:21">
      <c r="A44" s="253" t="str">
        <f>B40&amp;" "&amp;B44</f>
        <v>GSCU-1 CP</v>
      </c>
      <c r="B44" s="254" t="s">
        <v>148</v>
      </c>
      <c r="C44" s="284">
        <f>VLOOKUP($B40,'CP FCST'!$A$12:$M$41,C$8,FALSE)</f>
        <v>7550.8891380471696</v>
      </c>
      <c r="D44" s="284">
        <f>VLOOKUP($B40,'CP FCST'!$A$12:$M$41,D$8,FALSE)</f>
        <v>8408.6700745323087</v>
      </c>
      <c r="E44" s="284">
        <f>VLOOKUP($B40,'CP FCST'!$A$12:$M$41,E$8,FALSE)</f>
        <v>7753.9184746811898</v>
      </c>
      <c r="F44" s="284">
        <f>VLOOKUP($B40,'CP FCST'!$A$12:$M$41,F$8,FALSE)</f>
        <v>7794.5478376615974</v>
      </c>
      <c r="G44" s="284">
        <f>VLOOKUP($B40,'CP FCST'!$A$12:$M$41,G$8,FALSE)</f>
        <v>7792.899194620536</v>
      </c>
      <c r="H44" s="284">
        <f>VLOOKUP($B40,'CP FCST'!$A$12:$M$41,H$8,FALSE)</f>
        <v>8054.9284736831551</v>
      </c>
      <c r="I44" s="284">
        <f>VLOOKUP($B40,'CP FCST'!$A$12:$M$41,I$8,FALSE)</f>
        <v>7800.1488065510202</v>
      </c>
      <c r="J44" s="284">
        <f>VLOOKUP($B40,'CP FCST'!$A$12:$M$41,J$8,FALSE)</f>
        <v>7814.5357680019397</v>
      </c>
      <c r="K44" s="284">
        <f>VLOOKUP($B40,'CP FCST'!$A$12:$M$41,K$8,FALSE)</f>
        <v>8093.1674104041122</v>
      </c>
      <c r="L44" s="284">
        <f>VLOOKUP($B40,'CP FCST'!$A$12:$M$41,L$8,FALSE)</f>
        <v>7835.1601244860221</v>
      </c>
      <c r="M44" s="284">
        <f>VLOOKUP($B40,'CP FCST'!$A$12:$M$41,M$8,FALSE)</f>
        <v>8144.5888329055688</v>
      </c>
      <c r="N44" s="284">
        <f>VLOOKUP($B40,'CP FCST'!$A$12:$M$41,N$8,FALSE)</f>
        <v>7857.8631431430522</v>
      </c>
      <c r="O44" s="284"/>
      <c r="P44" s="284"/>
      <c r="Q44" s="284"/>
      <c r="R44" s="255">
        <f>AVERAGE(C44:N44)</f>
        <v>7908.4431065598064</v>
      </c>
      <c r="T44" s="255">
        <f>+'CP FCST'!O$16</f>
        <v>7908.4431065598064</v>
      </c>
      <c r="U44" s="255">
        <f>R44-T44</f>
        <v>0</v>
      </c>
    </row>
    <row r="45" spans="1:21">
      <c r="B45" s="254" t="s">
        <v>570</v>
      </c>
      <c r="C45" s="285" t="str">
        <f t="shared" ref="C45:N45" si="4">IF(C44&gt;C43,"ERROR",IF(C43&gt;C42,"ERROR","OK"))</f>
        <v>OK</v>
      </c>
      <c r="D45" s="285" t="str">
        <f t="shared" si="4"/>
        <v>OK</v>
      </c>
      <c r="E45" s="285" t="str">
        <f t="shared" si="4"/>
        <v>OK</v>
      </c>
      <c r="F45" s="285" t="str">
        <f t="shared" si="4"/>
        <v>OK</v>
      </c>
      <c r="G45" s="285" t="str">
        <f t="shared" si="4"/>
        <v>OK</v>
      </c>
      <c r="H45" s="285" t="str">
        <f t="shared" si="4"/>
        <v>OK</v>
      </c>
      <c r="I45" s="285" t="str">
        <f t="shared" si="4"/>
        <v>OK</v>
      </c>
      <c r="J45" s="285" t="str">
        <f t="shared" si="4"/>
        <v>OK</v>
      </c>
      <c r="K45" s="285" t="str">
        <f t="shared" si="4"/>
        <v>OK</v>
      </c>
      <c r="L45" s="285" t="str">
        <f t="shared" si="4"/>
        <v>OK</v>
      </c>
      <c r="M45" s="285" t="str">
        <f t="shared" si="4"/>
        <v>OK</v>
      </c>
      <c r="N45" s="285" t="str">
        <f t="shared" si="4"/>
        <v>OK</v>
      </c>
      <c r="O45" s="284"/>
      <c r="P45" s="284"/>
      <c r="Q45" s="284"/>
      <c r="R45" s="255"/>
    </row>
    <row r="46" spans="1:21">
      <c r="B46" s="259"/>
      <c r="C46" s="284"/>
      <c r="D46" s="284"/>
      <c r="E46" s="284"/>
      <c r="F46" s="284"/>
      <c r="G46" s="284"/>
      <c r="H46" s="284"/>
      <c r="I46" s="284"/>
      <c r="J46" s="284"/>
      <c r="K46" s="284"/>
      <c r="L46" s="284"/>
      <c r="M46" s="284"/>
      <c r="N46" s="284"/>
      <c r="O46" s="284"/>
      <c r="P46" s="284"/>
      <c r="Q46" s="284"/>
      <c r="R46" s="282"/>
    </row>
    <row r="47" spans="1:21">
      <c r="B47" s="252" t="s">
        <v>67</v>
      </c>
      <c r="C47" s="284"/>
      <c r="D47" s="284"/>
      <c r="E47" s="284"/>
      <c r="F47" s="284"/>
      <c r="G47" s="284"/>
      <c r="H47" s="284"/>
      <c r="I47" s="284"/>
      <c r="J47" s="284"/>
      <c r="K47" s="284"/>
      <c r="L47" s="284"/>
      <c r="M47" s="284"/>
      <c r="N47" s="284"/>
      <c r="O47" s="284"/>
      <c r="P47" s="284"/>
      <c r="Q47" s="284"/>
      <c r="R47" s="282"/>
    </row>
    <row r="48" spans="1:21">
      <c r="A48" s="253" t="str">
        <f>B47&amp;" "&amp;B48</f>
        <v>GSD(T)-1 KWH Sales</v>
      </c>
      <c r="B48" s="254" t="s">
        <v>563</v>
      </c>
      <c r="C48" s="284">
        <f>VLOOKUP($B47,'KWH FCST'!$A$12:$M$41,C$8,FALSE)</f>
        <v>2112365487</v>
      </c>
      <c r="D48" s="284">
        <f>VLOOKUP($B47,'KWH FCST'!$A$12:$M$41,D$8,FALSE)</f>
        <v>1871127005</v>
      </c>
      <c r="E48" s="284">
        <f>VLOOKUP($B47,'KWH FCST'!$A$12:$M$41,E$8,FALSE)</f>
        <v>1926669163</v>
      </c>
      <c r="F48" s="284">
        <f>VLOOKUP($B47,'KWH FCST'!$A$12:$M$41,F$8,FALSE)</f>
        <v>1972846408</v>
      </c>
      <c r="G48" s="284">
        <f>VLOOKUP($B47,'KWH FCST'!$A$12:$M$41,G$8,FALSE)</f>
        <v>2177795095</v>
      </c>
      <c r="H48" s="284">
        <f>VLOOKUP($B47,'KWH FCST'!$A$12:$M$41,H$8,FALSE)</f>
        <v>2294095328</v>
      </c>
      <c r="I48" s="284">
        <f>VLOOKUP($B47,'KWH FCST'!$A$12:$M$41,I$8,FALSE)</f>
        <v>2384746771</v>
      </c>
      <c r="J48" s="284">
        <f>VLOOKUP($B47,'KWH FCST'!$A$12:$M$41,J$8,FALSE)</f>
        <v>2377352624</v>
      </c>
      <c r="K48" s="284">
        <f>VLOOKUP($B47,'KWH FCST'!$A$12:$M$41,K$8,FALSE)</f>
        <v>2360757443</v>
      </c>
      <c r="L48" s="284">
        <f>VLOOKUP($B47,'KWH FCST'!$A$12:$M$41,L$8,FALSE)</f>
        <v>2223054052</v>
      </c>
      <c r="M48" s="284">
        <f>VLOOKUP($B47,'KWH FCST'!$A$12:$M$41,M$8,FALSE)</f>
        <v>2043964770</v>
      </c>
      <c r="N48" s="284">
        <f>VLOOKUP($B47,'KWH FCST'!$A$12:$M$41,N$8,FALSE)</f>
        <v>2071163198</v>
      </c>
      <c r="O48" s="284">
        <f>SUM(C48:N48)</f>
        <v>25815937344</v>
      </c>
      <c r="P48" s="284"/>
      <c r="Q48" s="284"/>
      <c r="R48" s="282"/>
      <c r="T48" s="255">
        <f>VLOOKUP(B47,'Sales Forecast'!$B$7:$AO$23,38,FALSE)</f>
        <v>25815937344</v>
      </c>
      <c r="U48" s="255">
        <f>+O48-T48</f>
        <v>0</v>
      </c>
    </row>
    <row r="49" spans="1:21">
      <c r="A49" s="253" t="str">
        <f>B47&amp;" "&amp;B49</f>
        <v>GSD(T)-1 NCP</v>
      </c>
      <c r="B49" s="254" t="s">
        <v>133</v>
      </c>
      <c r="C49" s="284">
        <f>VLOOKUP($B47,'NCP FCST'!$A$12:$M$41,C$8,FALSE)</f>
        <v>6011791.3492032457</v>
      </c>
      <c r="D49" s="284">
        <f>VLOOKUP($B47,'NCP FCST'!$A$12:$M$41,D$8,FALSE)</f>
        <v>5616198.6254109694</v>
      </c>
      <c r="E49" s="284">
        <f>VLOOKUP($B47,'NCP FCST'!$A$12:$M$41,E$8,FALSE)</f>
        <v>5424261.3202618919</v>
      </c>
      <c r="F49" s="284">
        <f>VLOOKUP($B47,'NCP FCST'!$A$12:$M$41,F$8,FALSE)</f>
        <v>5547175.7921332689</v>
      </c>
      <c r="G49" s="284">
        <f>VLOOKUP($B47,'NCP FCST'!$A$12:$M$41,G$8,FALSE)</f>
        <v>5743818.5934529975</v>
      </c>
      <c r="H49" s="284">
        <f>VLOOKUP($B47,'NCP FCST'!$A$12:$M$41,H$8,FALSE)</f>
        <v>6123103.2085875003</v>
      </c>
      <c r="I49" s="284">
        <f>VLOOKUP($B47,'NCP FCST'!$A$12:$M$41,I$8,FALSE)</f>
        <v>6017189.4203604097</v>
      </c>
      <c r="J49" s="284">
        <f>VLOOKUP($B47,'NCP FCST'!$A$12:$M$41,J$8,FALSE)</f>
        <v>5975585.2614922514</v>
      </c>
      <c r="K49" s="284">
        <f>VLOOKUP($B47,'NCP FCST'!$A$12:$M$41,K$8,FALSE)</f>
        <v>6252158.274678397</v>
      </c>
      <c r="L49" s="284">
        <f>VLOOKUP($B47,'NCP FCST'!$A$12:$M$41,L$8,FALSE)</f>
        <v>5918258.2366450606</v>
      </c>
      <c r="M49" s="284">
        <f>VLOOKUP($B47,'NCP FCST'!$A$12:$M$41,M$8,FALSE)</f>
        <v>5925389.3875999954</v>
      </c>
      <c r="N49" s="284">
        <f>VLOOKUP($B47,'NCP FCST'!$A$12:$M$41,N$8,FALSE)</f>
        <v>5754534.3045162093</v>
      </c>
      <c r="O49" s="284"/>
      <c r="P49" s="284">
        <f>MAX(C49:N49)</f>
        <v>6252158.274678397</v>
      </c>
      <c r="Q49" s="284"/>
      <c r="R49" s="282"/>
      <c r="T49" s="255">
        <f>+'NCP FCST'!O$17</f>
        <v>6252158.274678397</v>
      </c>
      <c r="U49" s="255">
        <f>P49-T49</f>
        <v>0</v>
      </c>
    </row>
    <row r="50" spans="1:21">
      <c r="A50" s="253" t="str">
        <f>B47&amp;" "&amp;B50</f>
        <v>GSD(T)-1 GNCP</v>
      </c>
      <c r="B50" s="254" t="s">
        <v>342</v>
      </c>
      <c r="C50" s="284">
        <f>VLOOKUP($B47,'GNCP FCST'!$A$12:$M$41,C$8,FALSE)</f>
        <v>4138185.5835734233</v>
      </c>
      <c r="D50" s="284">
        <f>VLOOKUP($B47,'GNCP FCST'!$A$12:$M$41,D$8,FALSE)</f>
        <v>3919566.1352613694</v>
      </c>
      <c r="E50" s="284">
        <f>VLOOKUP($B47,'GNCP FCST'!$A$12:$M$41,E$8,FALSE)</f>
        <v>3742687.6822108906</v>
      </c>
      <c r="F50" s="284">
        <f>VLOOKUP($B47,'GNCP FCST'!$A$12:$M$41,F$8,FALSE)</f>
        <v>4050628.4478633427</v>
      </c>
      <c r="G50" s="284">
        <f>VLOOKUP($B47,'GNCP FCST'!$A$12:$M$41,G$8,FALSE)</f>
        <v>4230260.62094553</v>
      </c>
      <c r="H50" s="284">
        <f>VLOOKUP($B47,'GNCP FCST'!$A$12:$M$41,H$8,FALSE)</f>
        <v>4549236.6396858199</v>
      </c>
      <c r="I50" s="284">
        <f>VLOOKUP($B47,'GNCP FCST'!$A$12:$M$41,I$8,FALSE)</f>
        <v>4527440.8995806538</v>
      </c>
      <c r="J50" s="284">
        <f>VLOOKUP($B47,'GNCP FCST'!$A$12:$M$41,J$8,FALSE)</f>
        <v>4501558.6065717135</v>
      </c>
      <c r="K50" s="284">
        <f>VLOOKUP($B47,'GNCP FCST'!$A$12:$M$41,K$8,FALSE)</f>
        <v>4690276.0725559974</v>
      </c>
      <c r="L50" s="284">
        <f>VLOOKUP($B47,'GNCP FCST'!$A$12:$M$41,L$8,FALSE)</f>
        <v>4373472.4051426081</v>
      </c>
      <c r="M50" s="284">
        <f>VLOOKUP($B47,'GNCP FCST'!$A$12:$M$41,M$8,FALSE)</f>
        <v>4231490.9948495291</v>
      </c>
      <c r="N50" s="284">
        <f>VLOOKUP($B47,'GNCP FCST'!$A$12:$M$41,N$8,FALSE)</f>
        <v>4100203.5868640598</v>
      </c>
      <c r="O50" s="284"/>
      <c r="Q50" s="284">
        <f>MAX(C50:N50)</f>
        <v>4690276.0725559974</v>
      </c>
      <c r="R50" s="282"/>
      <c r="T50" s="255">
        <f>+'GNCP FCST'!O$17</f>
        <v>4690276.0725559974</v>
      </c>
      <c r="U50" s="255">
        <f>+Q50-T50</f>
        <v>0</v>
      </c>
    </row>
    <row r="51" spans="1:21">
      <c r="A51" s="253" t="str">
        <f>B47&amp;" "&amp;B51</f>
        <v>GSD(T)-1 CP</v>
      </c>
      <c r="B51" s="254" t="s">
        <v>148</v>
      </c>
      <c r="C51" s="284">
        <f>VLOOKUP($B47,'CP FCST'!$A$12:$M$41,C$8,FALSE)</f>
        <v>3062624.7470181189</v>
      </c>
      <c r="D51" s="284">
        <f>VLOOKUP($B47,'CP FCST'!$A$12:$M$41,D$8,FALSE)</f>
        <v>3803578.9320904193</v>
      </c>
      <c r="E51" s="284">
        <f>VLOOKUP($B47,'CP FCST'!$A$12:$M$41,E$8,FALSE)</f>
        <v>2934731.5679975082</v>
      </c>
      <c r="F51" s="284">
        <f>VLOOKUP($B47,'CP FCST'!$A$12:$M$41,F$8,FALSE)</f>
        <v>3679829.4180805432</v>
      </c>
      <c r="G51" s="284">
        <f>VLOOKUP($B47,'CP FCST'!$A$12:$M$41,G$8,FALSE)</f>
        <v>3927356.846821296</v>
      </c>
      <c r="H51" s="284">
        <f>VLOOKUP($B47,'CP FCST'!$A$12:$M$41,H$8,FALSE)</f>
        <v>4314790.8732021106</v>
      </c>
      <c r="I51" s="284">
        <f>VLOOKUP($B47,'CP FCST'!$A$12:$M$41,I$8,FALSE)</f>
        <v>4309559.8808891671</v>
      </c>
      <c r="J51" s="284">
        <f>VLOOKUP($B47,'CP FCST'!$A$12:$M$41,J$8,FALSE)</f>
        <v>4178111.9564455296</v>
      </c>
      <c r="K51" s="284">
        <f>VLOOKUP($B47,'CP FCST'!$A$12:$M$41,K$8,FALSE)</f>
        <v>4264720.2159055369</v>
      </c>
      <c r="L51" s="284">
        <f>VLOOKUP($B47,'CP FCST'!$A$12:$M$41,L$8,FALSE)</f>
        <v>4126240.5184608349</v>
      </c>
      <c r="M51" s="284">
        <f>VLOOKUP($B47,'CP FCST'!$A$12:$M$41,M$8,FALSE)</f>
        <v>4028591.6203315449</v>
      </c>
      <c r="N51" s="284">
        <f>VLOOKUP($B47,'CP FCST'!$A$12:$M$41,N$8,FALSE)</f>
        <v>3626441.5712043801</v>
      </c>
      <c r="O51" s="284"/>
      <c r="P51" s="284"/>
      <c r="Q51" s="284"/>
      <c r="R51" s="255">
        <f>AVERAGE(C51:N51)</f>
        <v>3854714.8457039162</v>
      </c>
      <c r="T51" s="255">
        <f>+'CP FCST'!O$17</f>
        <v>3854714.8457039162</v>
      </c>
      <c r="U51" s="255">
        <f>R51-T51</f>
        <v>0</v>
      </c>
    </row>
    <row r="52" spans="1:21">
      <c r="B52" s="254" t="s">
        <v>570</v>
      </c>
      <c r="C52" s="285" t="str">
        <f t="shared" ref="C52:N52" si="5">IF(C51&gt;C50,"ERROR",IF(C50&gt;C49,"ERROR","OK"))</f>
        <v>OK</v>
      </c>
      <c r="D52" s="285" t="str">
        <f t="shared" si="5"/>
        <v>OK</v>
      </c>
      <c r="E52" s="285" t="str">
        <f t="shared" si="5"/>
        <v>OK</v>
      </c>
      <c r="F52" s="285" t="str">
        <f t="shared" si="5"/>
        <v>OK</v>
      </c>
      <c r="G52" s="285" t="str">
        <f t="shared" si="5"/>
        <v>OK</v>
      </c>
      <c r="H52" s="285" t="str">
        <f t="shared" si="5"/>
        <v>OK</v>
      </c>
      <c r="I52" s="285" t="str">
        <f t="shared" si="5"/>
        <v>OK</v>
      </c>
      <c r="J52" s="285" t="str">
        <f t="shared" si="5"/>
        <v>OK</v>
      </c>
      <c r="K52" s="285" t="str">
        <f t="shared" si="5"/>
        <v>OK</v>
      </c>
      <c r="L52" s="285" t="str">
        <f t="shared" si="5"/>
        <v>OK</v>
      </c>
      <c r="M52" s="285" t="str">
        <f t="shared" si="5"/>
        <v>OK</v>
      </c>
      <c r="N52" s="285" t="str">
        <f t="shared" si="5"/>
        <v>OK</v>
      </c>
      <c r="O52" s="284"/>
      <c r="P52" s="284"/>
      <c r="Q52" s="284"/>
      <c r="R52" s="255"/>
    </row>
    <row r="53" spans="1:21">
      <c r="B53" s="259"/>
      <c r="C53" s="284"/>
      <c r="D53" s="284"/>
      <c r="E53" s="284"/>
      <c r="F53" s="284"/>
      <c r="G53" s="284"/>
      <c r="H53" s="284"/>
      <c r="I53" s="284"/>
      <c r="J53" s="284"/>
      <c r="K53" s="284"/>
      <c r="L53" s="284"/>
      <c r="M53" s="284"/>
      <c r="N53" s="284"/>
      <c r="O53" s="284"/>
      <c r="P53" s="284"/>
      <c r="Q53" s="284"/>
      <c r="R53" s="282"/>
    </row>
    <row r="54" spans="1:21">
      <c r="B54" s="252" t="s">
        <v>68</v>
      </c>
      <c r="C54" s="284"/>
      <c r="D54" s="284"/>
      <c r="E54" s="284"/>
      <c r="F54" s="284"/>
      <c r="G54" s="284"/>
      <c r="H54" s="284"/>
      <c r="I54" s="284"/>
      <c r="J54" s="284"/>
      <c r="K54" s="284"/>
      <c r="L54" s="284"/>
      <c r="M54" s="284"/>
      <c r="N54" s="284"/>
      <c r="O54" s="284"/>
      <c r="P54" s="284"/>
      <c r="Q54" s="284"/>
      <c r="R54" s="282"/>
    </row>
    <row r="55" spans="1:21">
      <c r="A55" s="253" t="str">
        <f>B54&amp;" "&amp;B55</f>
        <v>GSLD(T)-1 KWH Sales</v>
      </c>
      <c r="B55" s="254" t="s">
        <v>563</v>
      </c>
      <c r="C55" s="284">
        <f>VLOOKUP($B54,'KWH FCST'!$A$12:$M$41,C$8,FALSE)</f>
        <v>864051113</v>
      </c>
      <c r="D55" s="284">
        <f>VLOOKUP($B54,'KWH FCST'!$A$12:$M$41,D$8,FALSE)</f>
        <v>782290115</v>
      </c>
      <c r="E55" s="284">
        <f>VLOOKUP($B54,'KWH FCST'!$A$12:$M$41,E$8,FALSE)</f>
        <v>801428463</v>
      </c>
      <c r="F55" s="284">
        <f>VLOOKUP($B54,'KWH FCST'!$A$12:$M$41,F$8,FALSE)</f>
        <v>811043342</v>
      </c>
      <c r="G55" s="284">
        <f>VLOOKUP($B54,'KWH FCST'!$A$12:$M$41,G$8,FALSE)</f>
        <v>892700758</v>
      </c>
      <c r="H55" s="284">
        <f>VLOOKUP($B54,'KWH FCST'!$A$12:$M$41,H$8,FALSE)</f>
        <v>918461617</v>
      </c>
      <c r="I55" s="284">
        <f>VLOOKUP($B54,'KWH FCST'!$A$12:$M$41,I$8,FALSE)</f>
        <v>934371582</v>
      </c>
      <c r="J55" s="284">
        <f>VLOOKUP($B54,'KWH FCST'!$A$12:$M$41,J$8,FALSE)</f>
        <v>940896934</v>
      </c>
      <c r="K55" s="284">
        <f>VLOOKUP($B54,'KWH FCST'!$A$12:$M$41,K$8,FALSE)</f>
        <v>945979312</v>
      </c>
      <c r="L55" s="284">
        <f>VLOOKUP($B54,'KWH FCST'!$A$12:$M$41,L$8,FALSE)</f>
        <v>908664346</v>
      </c>
      <c r="M55" s="284">
        <f>VLOOKUP($B54,'KWH FCST'!$A$12:$M$41,M$8,FALSE)</f>
        <v>837707035</v>
      </c>
      <c r="N55" s="284">
        <f>VLOOKUP($B54,'KWH FCST'!$A$12:$M$41,N$8,FALSE)</f>
        <v>861696302</v>
      </c>
      <c r="O55" s="284">
        <f>SUM(C55:N55)</f>
        <v>10499290919</v>
      </c>
      <c r="P55" s="284"/>
      <c r="Q55" s="284"/>
      <c r="R55" s="282"/>
      <c r="T55" s="255">
        <f>VLOOKUP(B54,'Sales Forecast'!$B$7:$AO$23,38,FALSE)</f>
        <v>10499290919</v>
      </c>
      <c r="U55" s="255">
        <f>+O55-T55</f>
        <v>0</v>
      </c>
    </row>
    <row r="56" spans="1:21">
      <c r="A56" s="253" t="str">
        <f>B54&amp;" "&amp;B56</f>
        <v>GSLD(T)-1 NCP</v>
      </c>
      <c r="B56" s="254" t="s">
        <v>133</v>
      </c>
      <c r="C56" s="284">
        <f>VLOOKUP($B54,'NCP FCST'!$A$12:$M$41,C$8,FALSE)</f>
        <v>2094707.9040527949</v>
      </c>
      <c r="D56" s="284">
        <f>VLOOKUP($B54,'NCP FCST'!$A$12:$M$41,D$8,FALSE)</f>
        <v>1997214.5215777173</v>
      </c>
      <c r="E56" s="284">
        <f>VLOOKUP($B54,'NCP FCST'!$A$12:$M$41,E$8,FALSE)</f>
        <v>1957804.7448479398</v>
      </c>
      <c r="F56" s="284">
        <f>VLOOKUP($B54,'NCP FCST'!$A$12:$M$41,F$8,FALSE)</f>
        <v>1975902.0669592677</v>
      </c>
      <c r="G56" s="284">
        <f>VLOOKUP($B54,'NCP FCST'!$A$12:$M$41,G$8,FALSE)</f>
        <v>2096657.5425912722</v>
      </c>
      <c r="H56" s="284">
        <f>VLOOKUP($B54,'NCP FCST'!$A$12:$M$41,H$8,FALSE)</f>
        <v>2235406.2192565436</v>
      </c>
      <c r="I56" s="284">
        <f>VLOOKUP($B54,'NCP FCST'!$A$12:$M$41,I$8,FALSE)</f>
        <v>2111037.7011014572</v>
      </c>
      <c r="J56" s="284">
        <f>VLOOKUP($B54,'NCP FCST'!$A$12:$M$41,J$8,FALSE)</f>
        <v>2149295.9534328952</v>
      </c>
      <c r="K56" s="284">
        <f>VLOOKUP($B54,'NCP FCST'!$A$12:$M$41,K$8,FALSE)</f>
        <v>2271007.4470676472</v>
      </c>
      <c r="L56" s="284">
        <f>VLOOKUP($B54,'NCP FCST'!$A$12:$M$41,L$8,FALSE)</f>
        <v>2138602.5500743468</v>
      </c>
      <c r="M56" s="284">
        <f>VLOOKUP($B54,'NCP FCST'!$A$12:$M$41,M$8,FALSE)</f>
        <v>2117462.5284032319</v>
      </c>
      <c r="N56" s="284">
        <f>VLOOKUP($B54,'NCP FCST'!$A$12:$M$41,N$8,FALSE)</f>
        <v>2144420.1658218629</v>
      </c>
      <c r="O56" s="284"/>
      <c r="P56" s="284">
        <f>MAX(C56:N56)</f>
        <v>2271007.4470676472</v>
      </c>
      <c r="Q56" s="284"/>
      <c r="R56" s="282"/>
      <c r="T56" s="255">
        <f>+'NCP FCST'!O$18</f>
        <v>2271007.4470676472</v>
      </c>
      <c r="U56" s="255">
        <f>P56-T56</f>
        <v>0</v>
      </c>
    </row>
    <row r="57" spans="1:21">
      <c r="A57" s="253" t="str">
        <f>B54&amp;" "&amp;B57</f>
        <v>GSLD(T)-1 GNCP</v>
      </c>
      <c r="B57" s="254" t="s">
        <v>342</v>
      </c>
      <c r="C57" s="284">
        <f>VLOOKUP($B54,'GNCP FCST'!$A$12:$M$41,C$8,FALSE)</f>
        <v>1754072.7299008099</v>
      </c>
      <c r="D57" s="284">
        <f>VLOOKUP($B54,'GNCP FCST'!$A$12:$M$41,D$8,FALSE)</f>
        <v>1700457.5589971375</v>
      </c>
      <c r="E57" s="284">
        <f>VLOOKUP($B54,'GNCP FCST'!$A$12:$M$41,E$8,FALSE)</f>
        <v>1639118.4828027969</v>
      </c>
      <c r="F57" s="284">
        <f>VLOOKUP($B54,'GNCP FCST'!$A$12:$M$41,F$8,FALSE)</f>
        <v>1674322.825779041</v>
      </c>
      <c r="G57" s="284">
        <f>VLOOKUP($B54,'GNCP FCST'!$A$12:$M$41,G$8,FALSE)</f>
        <v>1759083.425728569</v>
      </c>
      <c r="H57" s="284">
        <f>VLOOKUP($B54,'GNCP FCST'!$A$12:$M$41,H$8,FALSE)</f>
        <v>1822540.6955156249</v>
      </c>
      <c r="I57" s="284">
        <f>VLOOKUP($B54,'GNCP FCST'!$A$12:$M$41,I$8,FALSE)</f>
        <v>1745608.0824255061</v>
      </c>
      <c r="J57" s="284">
        <f>VLOOKUP($B54,'GNCP FCST'!$A$12:$M$41,J$8,FALSE)</f>
        <v>1829502.657785614</v>
      </c>
      <c r="K57" s="284">
        <f>VLOOKUP($B54,'GNCP FCST'!$A$12:$M$41,K$8,FALSE)</f>
        <v>1928839.8797213477</v>
      </c>
      <c r="L57" s="284">
        <f>VLOOKUP($B54,'GNCP FCST'!$A$12:$M$41,L$8,FALSE)</f>
        <v>1824853.0654702007</v>
      </c>
      <c r="M57" s="284">
        <f>VLOOKUP($B54,'GNCP FCST'!$A$12:$M$41,M$8,FALSE)</f>
        <v>1823084.0920204683</v>
      </c>
      <c r="N57" s="284">
        <f>VLOOKUP($B54,'GNCP FCST'!$A$12:$M$41,N$8,FALSE)</f>
        <v>1847981.1665538014</v>
      </c>
      <c r="O57" s="284"/>
      <c r="Q57" s="284">
        <f>MAX(C57:N57)</f>
        <v>1928839.8797213477</v>
      </c>
      <c r="R57" s="282"/>
      <c r="T57" s="255">
        <f>+'GNCP FCST'!O$18</f>
        <v>1928839.8797213477</v>
      </c>
      <c r="U57" s="255">
        <f>+Q57-T57</f>
        <v>0</v>
      </c>
    </row>
    <row r="58" spans="1:21">
      <c r="A58" s="253" t="str">
        <f>B54&amp;" "&amp;B58</f>
        <v>GSLD(T)-1 CP</v>
      </c>
      <c r="B58" s="254" t="s">
        <v>148</v>
      </c>
      <c r="C58" s="284">
        <f>VLOOKUP($B54,'CP FCST'!$A$12:$M$41,C$8,FALSE)</f>
        <v>1319736.7533335742</v>
      </c>
      <c r="D58" s="284">
        <f>VLOOKUP($B54,'CP FCST'!$A$12:$M$41,D$8,FALSE)</f>
        <v>1618717.8287113006</v>
      </c>
      <c r="E58" s="284">
        <f>VLOOKUP($B54,'CP FCST'!$A$12:$M$41,E$8,FALSE)</f>
        <v>1264104.8663836792</v>
      </c>
      <c r="F58" s="284">
        <f>VLOOKUP($B54,'CP FCST'!$A$12:$M$41,F$8,FALSE)</f>
        <v>1505867.4886729794</v>
      </c>
      <c r="G58" s="284">
        <f>VLOOKUP($B54,'CP FCST'!$A$12:$M$41,G$8,FALSE)</f>
        <v>1569393.4191626958</v>
      </c>
      <c r="H58" s="284">
        <f>VLOOKUP($B54,'CP FCST'!$A$12:$M$41,H$8,FALSE)</f>
        <v>1723536.1556828057</v>
      </c>
      <c r="I58" s="284">
        <f>VLOOKUP($B54,'CP FCST'!$A$12:$M$41,I$8,FALSE)</f>
        <v>1637033.9823776055</v>
      </c>
      <c r="J58" s="284">
        <f>VLOOKUP($B54,'CP FCST'!$A$12:$M$41,J$8,FALSE)</f>
        <v>1637584.5546981171</v>
      </c>
      <c r="K58" s="284">
        <f>VLOOKUP($B54,'CP FCST'!$A$12:$M$41,K$8,FALSE)</f>
        <v>1612977.3905032882</v>
      </c>
      <c r="L58" s="284">
        <f>VLOOKUP($B54,'CP FCST'!$A$12:$M$41,L$8,FALSE)</f>
        <v>1697003.3241244138</v>
      </c>
      <c r="M58" s="284">
        <f>VLOOKUP($B54,'CP FCST'!$A$12:$M$41,M$8,FALSE)</f>
        <v>1620052.086277643</v>
      </c>
      <c r="N58" s="284">
        <f>VLOOKUP($B54,'CP FCST'!$A$12:$M$41,N$8,FALSE)</f>
        <v>1471441.591356216</v>
      </c>
      <c r="O58" s="284"/>
      <c r="P58" s="284"/>
      <c r="Q58" s="284"/>
      <c r="R58" s="255">
        <f>AVERAGE(C58:N58)</f>
        <v>1556454.1201070268</v>
      </c>
      <c r="T58" s="255">
        <f>+'CP FCST'!O$18</f>
        <v>1556454.1201070268</v>
      </c>
      <c r="U58" s="255">
        <f>R58-T58</f>
        <v>0</v>
      </c>
    </row>
    <row r="59" spans="1:21">
      <c r="B59" s="254" t="s">
        <v>570</v>
      </c>
      <c r="C59" s="285" t="str">
        <f t="shared" ref="C59:N59" si="6">IF(C58&gt;C57,"ERROR",IF(C57&gt;C56,"ERROR","OK"))</f>
        <v>OK</v>
      </c>
      <c r="D59" s="285" t="str">
        <f t="shared" si="6"/>
        <v>OK</v>
      </c>
      <c r="E59" s="285" t="str">
        <f t="shared" si="6"/>
        <v>OK</v>
      </c>
      <c r="F59" s="285" t="str">
        <f t="shared" si="6"/>
        <v>OK</v>
      </c>
      <c r="G59" s="285" t="str">
        <f t="shared" si="6"/>
        <v>OK</v>
      </c>
      <c r="H59" s="285" t="str">
        <f t="shared" si="6"/>
        <v>OK</v>
      </c>
      <c r="I59" s="285" t="str">
        <f t="shared" si="6"/>
        <v>OK</v>
      </c>
      <c r="J59" s="285" t="str">
        <f t="shared" si="6"/>
        <v>OK</v>
      </c>
      <c r="K59" s="285" t="str">
        <f t="shared" si="6"/>
        <v>OK</v>
      </c>
      <c r="L59" s="285" t="str">
        <f t="shared" si="6"/>
        <v>OK</v>
      </c>
      <c r="M59" s="285" t="str">
        <f t="shared" si="6"/>
        <v>OK</v>
      </c>
      <c r="N59" s="285" t="str">
        <f t="shared" si="6"/>
        <v>OK</v>
      </c>
      <c r="O59" s="284"/>
      <c r="P59" s="284"/>
      <c r="Q59" s="284"/>
      <c r="R59" s="255"/>
    </row>
    <row r="60" spans="1:21">
      <c r="B60" s="259"/>
      <c r="C60" s="284"/>
      <c r="D60" s="284"/>
      <c r="E60" s="284"/>
      <c r="F60" s="284"/>
      <c r="G60" s="284"/>
      <c r="H60" s="284"/>
      <c r="I60" s="284"/>
      <c r="J60" s="284"/>
      <c r="K60" s="284"/>
      <c r="L60" s="284"/>
      <c r="M60" s="284"/>
      <c r="N60" s="284"/>
      <c r="O60" s="284"/>
      <c r="P60" s="284"/>
      <c r="Q60" s="284"/>
      <c r="R60" s="282"/>
    </row>
    <row r="61" spans="1:21">
      <c r="B61" s="252" t="s">
        <v>69</v>
      </c>
      <c r="C61" s="284"/>
      <c r="D61" s="284"/>
      <c r="E61" s="284"/>
      <c r="F61" s="284"/>
      <c r="G61" s="284"/>
      <c r="H61" s="284"/>
      <c r="I61" s="284"/>
      <c r="J61" s="284"/>
      <c r="K61" s="284"/>
      <c r="L61" s="284"/>
      <c r="M61" s="284"/>
      <c r="N61" s="284"/>
      <c r="O61" s="284"/>
      <c r="P61" s="284"/>
      <c r="Q61" s="284"/>
      <c r="R61" s="282"/>
    </row>
    <row r="62" spans="1:21">
      <c r="A62" s="253" t="str">
        <f>B61&amp;" "&amp;B62</f>
        <v>GSLD(T)-2 KWH Sales</v>
      </c>
      <c r="B62" s="254" t="s">
        <v>563</v>
      </c>
      <c r="C62" s="284">
        <f>VLOOKUP($B61,'KWH FCST'!$A$12:$M$41,C$8,FALSE)</f>
        <v>210472099</v>
      </c>
      <c r="D62" s="284">
        <f>VLOOKUP($B61,'KWH FCST'!$A$12:$M$41,D$8,FALSE)</f>
        <v>186527721</v>
      </c>
      <c r="E62" s="284">
        <f>VLOOKUP($B61,'KWH FCST'!$A$12:$M$41,E$8,FALSE)</f>
        <v>191178604</v>
      </c>
      <c r="F62" s="284">
        <f>VLOOKUP($B61,'KWH FCST'!$A$12:$M$41,F$8,FALSE)</f>
        <v>192579721</v>
      </c>
      <c r="G62" s="284">
        <f>VLOOKUP($B61,'KWH FCST'!$A$12:$M$41,G$8,FALSE)</f>
        <v>206847654</v>
      </c>
      <c r="H62" s="284">
        <f>VLOOKUP($B61,'KWH FCST'!$A$12:$M$41,H$8,FALSE)</f>
        <v>218147951</v>
      </c>
      <c r="I62" s="284">
        <f>VLOOKUP($B61,'KWH FCST'!$A$12:$M$41,I$8,FALSE)</f>
        <v>223831652</v>
      </c>
      <c r="J62" s="284">
        <f>VLOOKUP($B61,'KWH FCST'!$A$12:$M$41,J$8,FALSE)</f>
        <v>226503406</v>
      </c>
      <c r="K62" s="284">
        <f>VLOOKUP($B61,'KWH FCST'!$A$12:$M$41,K$8,FALSE)</f>
        <v>221401451</v>
      </c>
      <c r="L62" s="284">
        <f>VLOOKUP($B61,'KWH FCST'!$A$12:$M$41,L$8,FALSE)</f>
        <v>214002591</v>
      </c>
      <c r="M62" s="284">
        <f>VLOOKUP($B61,'KWH FCST'!$A$12:$M$41,M$8,FALSE)</f>
        <v>201615601</v>
      </c>
      <c r="N62" s="284">
        <f>VLOOKUP($B61,'KWH FCST'!$A$12:$M$41,N$8,FALSE)</f>
        <v>207694974</v>
      </c>
      <c r="O62" s="284">
        <f>SUM(C62:N62)</f>
        <v>2500803425</v>
      </c>
      <c r="P62" s="284"/>
      <c r="Q62" s="284"/>
      <c r="R62" s="282"/>
      <c r="T62" s="255">
        <f>VLOOKUP(B61,'Sales Forecast'!$B$7:$AO$23,38,FALSE)</f>
        <v>2500803425</v>
      </c>
      <c r="U62" s="255">
        <f>+O62-T62</f>
        <v>0</v>
      </c>
    </row>
    <row r="63" spans="1:21">
      <c r="A63" s="253" t="str">
        <f>B61&amp;" "&amp;B63</f>
        <v>GSLD(T)-2 NCP</v>
      </c>
      <c r="B63" s="254" t="s">
        <v>133</v>
      </c>
      <c r="C63" s="284">
        <f>VLOOKUP($B61,'NCP FCST'!$A$12:$M$41,C$8,FALSE)</f>
        <v>443206.55806448543</v>
      </c>
      <c r="D63" s="284">
        <f>VLOOKUP($B61,'NCP FCST'!$A$12:$M$41,D$8,FALSE)</f>
        <v>417594.15614291467</v>
      </c>
      <c r="E63" s="284">
        <f>VLOOKUP($B61,'NCP FCST'!$A$12:$M$41,E$8,FALSE)</f>
        <v>402827.38503525796</v>
      </c>
      <c r="F63" s="284">
        <f>VLOOKUP($B61,'NCP FCST'!$A$12:$M$41,F$8,FALSE)</f>
        <v>410699.9199473515</v>
      </c>
      <c r="G63" s="284">
        <f>VLOOKUP($B61,'NCP FCST'!$A$12:$M$41,G$8,FALSE)</f>
        <v>419217.19838487863</v>
      </c>
      <c r="H63" s="284">
        <f>VLOOKUP($B61,'NCP FCST'!$A$12:$M$41,H$8,FALSE)</f>
        <v>434917.06197134714</v>
      </c>
      <c r="I63" s="284">
        <f>VLOOKUP($B61,'NCP FCST'!$A$12:$M$41,I$8,FALSE)</f>
        <v>442108.0114029618</v>
      </c>
      <c r="J63" s="284">
        <f>VLOOKUP($B61,'NCP FCST'!$A$12:$M$41,J$8,FALSE)</f>
        <v>437328.6236678444</v>
      </c>
      <c r="K63" s="284">
        <f>VLOOKUP($B61,'NCP FCST'!$A$12:$M$41,K$8,FALSE)</f>
        <v>458553.90741364477</v>
      </c>
      <c r="L63" s="284">
        <f>VLOOKUP($B61,'NCP FCST'!$A$12:$M$41,L$8,FALSE)</f>
        <v>439392.40734356863</v>
      </c>
      <c r="M63" s="284">
        <f>VLOOKUP($B61,'NCP FCST'!$A$12:$M$41,M$8,FALSE)</f>
        <v>442887.55636423564</v>
      </c>
      <c r="N63" s="284">
        <f>VLOOKUP($B61,'NCP FCST'!$A$12:$M$41,N$8,FALSE)</f>
        <v>443493.86154914979</v>
      </c>
      <c r="O63" s="284"/>
      <c r="P63" s="284">
        <f>MAX(C63:N63)</f>
        <v>458553.90741364477</v>
      </c>
      <c r="Q63" s="284"/>
      <c r="R63" s="282"/>
      <c r="T63" s="255">
        <f>+'NCP FCST'!O$19</f>
        <v>458553.90741364477</v>
      </c>
      <c r="U63" s="255">
        <f>P63-T63</f>
        <v>0</v>
      </c>
    </row>
    <row r="64" spans="1:21">
      <c r="A64" s="253" t="str">
        <f>B61&amp;" "&amp;B64</f>
        <v>GSLD(T)-2 GNCP</v>
      </c>
      <c r="B64" s="254" t="s">
        <v>342</v>
      </c>
      <c r="C64" s="284">
        <f>VLOOKUP($B61,'GNCP FCST'!$A$12:$M$41,C$8,FALSE)</f>
        <v>358780.27182490664</v>
      </c>
      <c r="D64" s="284">
        <f>VLOOKUP($B61,'GNCP FCST'!$A$12:$M$41,D$8,FALSE)</f>
        <v>336902.2495589641</v>
      </c>
      <c r="E64" s="284">
        <f>VLOOKUP($B61,'GNCP FCST'!$A$12:$M$41,E$8,FALSE)</f>
        <v>323989.98201791767</v>
      </c>
      <c r="F64" s="284">
        <f>VLOOKUP($B61,'GNCP FCST'!$A$12:$M$41,F$8,FALSE)</f>
        <v>331472.56921941409</v>
      </c>
      <c r="G64" s="284">
        <f>VLOOKUP($B61,'GNCP FCST'!$A$12:$M$41,G$8,FALSE)</f>
        <v>336332.8253484022</v>
      </c>
      <c r="H64" s="284">
        <f>VLOOKUP($B61,'GNCP FCST'!$A$12:$M$41,H$8,FALSE)</f>
        <v>349633.67796764756</v>
      </c>
      <c r="I64" s="284">
        <f>VLOOKUP($B61,'GNCP FCST'!$A$12:$M$41,I$8,FALSE)</f>
        <v>354272.19587428332</v>
      </c>
      <c r="J64" s="284">
        <f>VLOOKUP($B61,'GNCP FCST'!$A$12:$M$41,J$8,FALSE)</f>
        <v>349847.48983459972</v>
      </c>
      <c r="K64" s="284">
        <f>VLOOKUP($B61,'GNCP FCST'!$A$12:$M$41,K$8,FALSE)</f>
        <v>367267.64958958019</v>
      </c>
      <c r="L64" s="284">
        <f>VLOOKUP($B61,'GNCP FCST'!$A$12:$M$41,L$8,FALSE)</f>
        <v>348918.18222662574</v>
      </c>
      <c r="M64" s="284">
        <f>VLOOKUP($B61,'GNCP FCST'!$A$12:$M$41,M$8,FALSE)</f>
        <v>361219.46483301284</v>
      </c>
      <c r="N64" s="284">
        <f>VLOOKUP($B61,'GNCP FCST'!$A$12:$M$41,N$8,FALSE)</f>
        <v>359600.91844684788</v>
      </c>
      <c r="O64" s="284"/>
      <c r="Q64" s="284">
        <f>MAX(C64:N64)</f>
        <v>367267.64958958019</v>
      </c>
      <c r="R64" s="282"/>
      <c r="T64" s="255">
        <f>+'GNCP FCST'!O$19</f>
        <v>367267.64958958019</v>
      </c>
      <c r="U64" s="255">
        <f>+Q64-T64</f>
        <v>0</v>
      </c>
    </row>
    <row r="65" spans="1:21">
      <c r="A65" s="253" t="str">
        <f>B61&amp;" "&amp;B65</f>
        <v>GSLD(T)-2 CP</v>
      </c>
      <c r="B65" s="254" t="s">
        <v>148</v>
      </c>
      <c r="C65" s="284">
        <f>VLOOKUP($B61,'CP FCST'!$A$12:$M$41,C$8,FALSE)</f>
        <v>274233.81255131058</v>
      </c>
      <c r="D65" s="284">
        <f>VLOOKUP($B61,'CP FCST'!$A$12:$M$41,D$8,FALSE)</f>
        <v>324585.25838294998</v>
      </c>
      <c r="E65" s="284">
        <f>VLOOKUP($B61,'CP FCST'!$A$12:$M$41,E$8,FALSE)</f>
        <v>272616.02696433489</v>
      </c>
      <c r="F65" s="284">
        <f>VLOOKUP($B61,'CP FCST'!$A$12:$M$41,F$8,FALSE)</f>
        <v>292754.72281176876</v>
      </c>
      <c r="G65" s="284">
        <f>VLOOKUP($B61,'CP FCST'!$A$12:$M$41,G$8,FALSE)</f>
        <v>301135.56367963692</v>
      </c>
      <c r="H65" s="284">
        <f>VLOOKUP($B61,'CP FCST'!$A$12:$M$41,H$8,FALSE)</f>
        <v>316514.04634749366</v>
      </c>
      <c r="I65" s="284">
        <f>VLOOKUP($B61,'CP FCST'!$A$12:$M$41,I$8,FALSE)</f>
        <v>320156.65870253264</v>
      </c>
      <c r="J65" s="284">
        <f>VLOOKUP($B61,'CP FCST'!$A$12:$M$41,J$8,FALSE)</f>
        <v>314295.6666411031</v>
      </c>
      <c r="K65" s="284">
        <f>VLOOKUP($B61,'CP FCST'!$A$12:$M$41,K$8,FALSE)</f>
        <v>323165.94974180602</v>
      </c>
      <c r="L65" s="284">
        <f>VLOOKUP($B61,'CP FCST'!$A$12:$M$41,L$8,FALSE)</f>
        <v>320163.01994051121</v>
      </c>
      <c r="M65" s="284">
        <f>VLOOKUP($B61,'CP FCST'!$A$12:$M$41,M$8,FALSE)</f>
        <v>337913.93604631949</v>
      </c>
      <c r="N65" s="284">
        <f>VLOOKUP($B61,'CP FCST'!$A$12:$M$41,N$8,FALSE)</f>
        <v>321396.71133426781</v>
      </c>
      <c r="O65" s="284"/>
      <c r="P65" s="284"/>
      <c r="Q65" s="284"/>
      <c r="R65" s="255">
        <f>AVERAGE(C65:N65)</f>
        <v>309910.94776200294</v>
      </c>
      <c r="T65" s="255">
        <f>+'CP FCST'!O$19</f>
        <v>309910.94776200294</v>
      </c>
      <c r="U65" s="255">
        <f>R65-T65</f>
        <v>0</v>
      </c>
    </row>
    <row r="66" spans="1:21">
      <c r="B66" s="254" t="s">
        <v>570</v>
      </c>
      <c r="C66" s="285" t="str">
        <f t="shared" ref="C66:N66" si="7">IF(C65&gt;C64,"ERROR",IF(C64&gt;C63,"ERROR","OK"))</f>
        <v>OK</v>
      </c>
      <c r="D66" s="285" t="str">
        <f t="shared" si="7"/>
        <v>OK</v>
      </c>
      <c r="E66" s="285" t="str">
        <f t="shared" si="7"/>
        <v>OK</v>
      </c>
      <c r="F66" s="285" t="str">
        <f t="shared" si="7"/>
        <v>OK</v>
      </c>
      <c r="G66" s="285" t="str">
        <f t="shared" si="7"/>
        <v>OK</v>
      </c>
      <c r="H66" s="285" t="str">
        <f t="shared" si="7"/>
        <v>OK</v>
      </c>
      <c r="I66" s="285" t="str">
        <f t="shared" si="7"/>
        <v>OK</v>
      </c>
      <c r="J66" s="285" t="str">
        <f t="shared" si="7"/>
        <v>OK</v>
      </c>
      <c r="K66" s="285" t="str">
        <f t="shared" si="7"/>
        <v>OK</v>
      </c>
      <c r="L66" s="285" t="str">
        <f t="shared" si="7"/>
        <v>OK</v>
      </c>
      <c r="M66" s="285" t="str">
        <f t="shared" si="7"/>
        <v>OK</v>
      </c>
      <c r="N66" s="285" t="str">
        <f t="shared" si="7"/>
        <v>OK</v>
      </c>
      <c r="O66" s="284"/>
      <c r="P66" s="284"/>
      <c r="Q66" s="284"/>
      <c r="R66" s="255"/>
    </row>
    <row r="67" spans="1:21">
      <c r="B67" s="259"/>
      <c r="C67" s="284"/>
      <c r="D67" s="284"/>
      <c r="E67" s="284"/>
      <c r="F67" s="284"/>
      <c r="G67" s="284"/>
      <c r="H67" s="284"/>
      <c r="I67" s="284"/>
      <c r="J67" s="284"/>
      <c r="K67" s="284"/>
      <c r="L67" s="284"/>
      <c r="M67" s="284"/>
      <c r="N67" s="284"/>
      <c r="O67" s="284"/>
      <c r="P67" s="284"/>
      <c r="Q67" s="284"/>
      <c r="R67" s="282"/>
    </row>
    <row r="68" spans="1:21">
      <c r="B68" s="252" t="s">
        <v>52</v>
      </c>
      <c r="C68" s="284"/>
      <c r="D68" s="284"/>
      <c r="E68" s="284"/>
      <c r="F68" s="284"/>
      <c r="G68" s="284"/>
      <c r="H68" s="284"/>
      <c r="I68" s="284"/>
      <c r="J68" s="284"/>
      <c r="K68" s="284"/>
      <c r="L68" s="284"/>
      <c r="M68" s="284"/>
      <c r="N68" s="284"/>
      <c r="O68" s="284"/>
      <c r="P68" s="284"/>
      <c r="Q68" s="284"/>
      <c r="R68" s="282"/>
    </row>
    <row r="69" spans="1:21">
      <c r="A69" s="253" t="str">
        <f>B68&amp;" "&amp;B69</f>
        <v>GSLD(T)-3 KWH Sales</v>
      </c>
      <c r="B69" s="254" t="s">
        <v>563</v>
      </c>
      <c r="C69" s="284">
        <f>VLOOKUP($B68,'KWH FCST'!$A$12:$M$41,C$8,FALSE)</f>
        <v>14816596</v>
      </c>
      <c r="D69" s="284">
        <f>VLOOKUP($B68,'KWH FCST'!$A$12:$M$41,D$8,FALSE)</f>
        <v>16085768</v>
      </c>
      <c r="E69" s="284">
        <f>VLOOKUP($B68,'KWH FCST'!$A$12:$M$41,E$8,FALSE)</f>
        <v>14598472</v>
      </c>
      <c r="F69" s="284">
        <f>VLOOKUP($B68,'KWH FCST'!$A$12:$M$41,F$8,FALSE)</f>
        <v>14861473</v>
      </c>
      <c r="G69" s="284">
        <f>VLOOKUP($B68,'KWH FCST'!$A$12:$M$41,G$8,FALSE)</f>
        <v>15954922</v>
      </c>
      <c r="H69" s="284">
        <f>VLOOKUP($B68,'KWH FCST'!$A$12:$M$41,H$8,FALSE)</f>
        <v>15795233</v>
      </c>
      <c r="I69" s="284">
        <f>VLOOKUP($B68,'KWH FCST'!$A$12:$M$41,I$8,FALSE)</f>
        <v>13524406</v>
      </c>
      <c r="J69" s="284">
        <f>VLOOKUP($B68,'KWH FCST'!$A$12:$M$41,J$8,FALSE)</f>
        <v>13955305</v>
      </c>
      <c r="K69" s="284">
        <f>VLOOKUP($B68,'KWH FCST'!$A$12:$M$41,K$8,FALSE)</f>
        <v>12638734</v>
      </c>
      <c r="L69" s="284">
        <f>VLOOKUP($B68,'KWH FCST'!$A$12:$M$41,L$8,FALSE)</f>
        <v>12981288</v>
      </c>
      <c r="M69" s="284">
        <f>VLOOKUP($B68,'KWH FCST'!$A$12:$M$41,M$8,FALSE)</f>
        <v>11802571</v>
      </c>
      <c r="N69" s="284">
        <f>VLOOKUP($B68,'KWH FCST'!$A$12:$M$41,N$8,FALSE)</f>
        <v>12835667</v>
      </c>
      <c r="O69" s="284">
        <f>SUM(C69:N69)</f>
        <v>169850435</v>
      </c>
      <c r="P69" s="284"/>
      <c r="Q69" s="284"/>
      <c r="R69" s="282"/>
      <c r="T69" s="255">
        <f>VLOOKUP(B68,'Sales Forecast'!$B$7:$AO$23,38,FALSE)</f>
        <v>169850435</v>
      </c>
      <c r="U69" s="255">
        <f>+O69-T69</f>
        <v>0</v>
      </c>
    </row>
    <row r="70" spans="1:21">
      <c r="A70" s="253" t="str">
        <f>B68&amp;" "&amp;B70</f>
        <v>GSLD(T)-3 NCP</v>
      </c>
      <c r="B70" s="254" t="s">
        <v>133</v>
      </c>
      <c r="C70" s="284">
        <f>VLOOKUP($B68,'NCP FCST'!$A$12:$M$41,C$8,FALSE)</f>
        <v>34167.844540610349</v>
      </c>
      <c r="D70" s="284">
        <f>VLOOKUP($B68,'NCP FCST'!$A$12:$M$41,D$8,FALSE)</f>
        <v>40441.026214514146</v>
      </c>
      <c r="E70" s="284">
        <f>VLOOKUP($B68,'NCP FCST'!$A$12:$M$41,E$8,FALSE)</f>
        <v>35560.190467100452</v>
      </c>
      <c r="F70" s="284">
        <f>VLOOKUP($B68,'NCP FCST'!$A$12:$M$41,F$8,FALSE)</f>
        <v>36901.464479298986</v>
      </c>
      <c r="G70" s="284">
        <f>VLOOKUP($B68,'NCP FCST'!$A$12:$M$41,G$8,FALSE)</f>
        <v>37611.17914696956</v>
      </c>
      <c r="H70" s="284">
        <f>VLOOKUP($B68,'NCP FCST'!$A$12:$M$41,H$8,FALSE)</f>
        <v>40798.709962277142</v>
      </c>
      <c r="I70" s="284">
        <f>VLOOKUP($B68,'NCP FCST'!$A$12:$M$41,I$8,FALSE)</f>
        <v>32881.384867279623</v>
      </c>
      <c r="J70" s="284">
        <f>VLOOKUP($B68,'NCP FCST'!$A$12:$M$41,J$8,FALSE)</f>
        <v>32098.219173590944</v>
      </c>
      <c r="K70" s="284">
        <f>VLOOKUP($B68,'NCP FCST'!$A$12:$M$41,K$8,FALSE)</f>
        <v>32689.520478589446</v>
      </c>
      <c r="L70" s="284">
        <f>VLOOKUP($B68,'NCP FCST'!$A$12:$M$41,L$8,FALSE)</f>
        <v>32229.541978275745</v>
      </c>
      <c r="M70" s="284">
        <f>VLOOKUP($B68,'NCP FCST'!$A$12:$M$41,M$8,FALSE)</f>
        <v>33527.087689575899</v>
      </c>
      <c r="N70" s="284">
        <f>VLOOKUP($B68,'NCP FCST'!$A$12:$M$41,N$8,FALSE)</f>
        <v>31748.717356108817</v>
      </c>
      <c r="O70" s="284"/>
      <c r="P70" s="284">
        <f>MAX(C70:N70)</f>
        <v>40798.709962277142</v>
      </c>
      <c r="Q70" s="284"/>
      <c r="R70" s="282"/>
      <c r="T70" s="255">
        <f>+'NCP FCST'!O$20</f>
        <v>40798.709962277142</v>
      </c>
      <c r="U70" s="255">
        <f>P70-T70</f>
        <v>0</v>
      </c>
    </row>
    <row r="71" spans="1:21">
      <c r="A71" s="253" t="str">
        <f>B68&amp;" "&amp;B71</f>
        <v>GSLD(T)-3 GNCP</v>
      </c>
      <c r="B71" s="254" t="s">
        <v>342</v>
      </c>
      <c r="C71" s="284">
        <f>VLOOKUP($B68,'GNCP FCST'!$A$12:$M$41,C$8,FALSE)</f>
        <v>26781.36750865974</v>
      </c>
      <c r="D71" s="284">
        <f>VLOOKUP($B68,'GNCP FCST'!$A$12:$M$41,D$8,FALSE)</f>
        <v>34175.611078731978</v>
      </c>
      <c r="E71" s="284">
        <f>VLOOKUP($B68,'GNCP FCST'!$A$12:$M$41,E$8,FALSE)</f>
        <v>28221.723849800863</v>
      </c>
      <c r="F71" s="284">
        <f>VLOOKUP($B68,'GNCP FCST'!$A$12:$M$41,F$8,FALSE)</f>
        <v>31233.333859702281</v>
      </c>
      <c r="G71" s="284">
        <f>VLOOKUP($B68,'GNCP FCST'!$A$12:$M$41,G$8,FALSE)</f>
        <v>30727.745385050453</v>
      </c>
      <c r="H71" s="284">
        <f>VLOOKUP($B68,'GNCP FCST'!$A$12:$M$41,H$8,FALSE)</f>
        <v>33324.186596511689</v>
      </c>
      <c r="I71" s="284">
        <f>VLOOKUP($B68,'GNCP FCST'!$A$12:$M$41,I$8,FALSE)</f>
        <v>25406.658384684375</v>
      </c>
      <c r="J71" s="284">
        <f>VLOOKUP($B68,'GNCP FCST'!$A$12:$M$41,J$8,FALSE)</f>
        <v>28392.232140624565</v>
      </c>
      <c r="K71" s="284">
        <f>VLOOKUP($B68,'GNCP FCST'!$A$12:$M$41,K$8,FALSE)</f>
        <v>27094.155432733452</v>
      </c>
      <c r="L71" s="284">
        <f>VLOOKUP($B68,'GNCP FCST'!$A$12:$M$41,L$8,FALSE)</f>
        <v>26673.284376591753</v>
      </c>
      <c r="M71" s="284">
        <f>VLOOKUP($B68,'GNCP FCST'!$A$12:$M$41,M$8,FALSE)</f>
        <v>24877.037318365052</v>
      </c>
      <c r="N71" s="284">
        <f>VLOOKUP($B68,'GNCP FCST'!$A$12:$M$41,N$8,FALSE)</f>
        <v>24999.020867905972</v>
      </c>
      <c r="O71" s="284"/>
      <c r="Q71" s="284">
        <f>MAX(C71:N71)</f>
        <v>34175.611078731978</v>
      </c>
      <c r="R71" s="282"/>
      <c r="T71" s="255">
        <f>+'GNCP FCST'!O$20</f>
        <v>34175.611078731978</v>
      </c>
      <c r="U71" s="255">
        <f>+Q71-T71</f>
        <v>0</v>
      </c>
    </row>
    <row r="72" spans="1:21">
      <c r="A72" s="253" t="str">
        <f>B68&amp;" "&amp;B72</f>
        <v>GSLD(T)-3 CP</v>
      </c>
      <c r="B72" s="254" t="s">
        <v>148</v>
      </c>
      <c r="C72" s="284">
        <f>VLOOKUP($B68,'CP FCST'!$A$12:$M$41,C$8,FALSE)</f>
        <v>20193.152378748488</v>
      </c>
      <c r="D72" s="284">
        <f>VLOOKUP($B68,'CP FCST'!$A$12:$M$41,D$8,FALSE)</f>
        <v>24697.326973628551</v>
      </c>
      <c r="E72" s="284">
        <f>VLOOKUP($B68,'CP FCST'!$A$12:$M$41,E$8,FALSE)</f>
        <v>22109.858739119602</v>
      </c>
      <c r="F72" s="284">
        <f>VLOOKUP($B68,'CP FCST'!$A$12:$M$41,F$8,FALSE)</f>
        <v>24502.24403637262</v>
      </c>
      <c r="G72" s="284">
        <f>VLOOKUP($B68,'CP FCST'!$A$12:$M$41,G$8,FALSE)</f>
        <v>22345.938381176446</v>
      </c>
      <c r="H72" s="284">
        <f>VLOOKUP($B68,'CP FCST'!$A$12:$M$41,H$8,FALSE)</f>
        <v>24826.542767725598</v>
      </c>
      <c r="I72" s="284">
        <f>VLOOKUP($B68,'CP FCST'!$A$12:$M$41,I$8,FALSE)</f>
        <v>20995.653992824406</v>
      </c>
      <c r="J72" s="284">
        <f>VLOOKUP($B68,'CP FCST'!$A$12:$M$41,J$8,FALSE)</f>
        <v>22962.40860328242</v>
      </c>
      <c r="K72" s="284">
        <f>VLOOKUP($B68,'CP FCST'!$A$12:$M$41,K$8,FALSE)</f>
        <v>18532.223476679894</v>
      </c>
      <c r="L72" s="284">
        <f>VLOOKUP($B68,'CP FCST'!$A$12:$M$41,L$8,FALSE)</f>
        <v>20530.038591328521</v>
      </c>
      <c r="M72" s="284">
        <f>VLOOKUP($B68,'CP FCST'!$A$12:$M$41,M$8,FALSE)</f>
        <v>17741.49215805337</v>
      </c>
      <c r="N72" s="284">
        <f>VLOOKUP($B68,'CP FCST'!$A$12:$M$41,N$8,FALSE)</f>
        <v>16492.265311727941</v>
      </c>
      <c r="O72" s="284"/>
      <c r="P72" s="284"/>
      <c r="Q72" s="284"/>
      <c r="R72" s="255">
        <f>AVERAGE(C72:N72)</f>
        <v>21327.428784222317</v>
      </c>
      <c r="T72" s="255">
        <f>+'CP FCST'!O$20</f>
        <v>21327.428784222317</v>
      </c>
      <c r="U72" s="255">
        <f>R72-T72</f>
        <v>0</v>
      </c>
    </row>
    <row r="73" spans="1:21">
      <c r="B73" s="254" t="s">
        <v>570</v>
      </c>
      <c r="C73" s="285" t="str">
        <f t="shared" ref="C73:N73" si="8">IF(C72&gt;C71,"ERROR",IF(C71&gt;C70,"ERROR","OK"))</f>
        <v>OK</v>
      </c>
      <c r="D73" s="285" t="str">
        <f t="shared" si="8"/>
        <v>OK</v>
      </c>
      <c r="E73" s="285" t="str">
        <f t="shared" si="8"/>
        <v>OK</v>
      </c>
      <c r="F73" s="285" t="str">
        <f t="shared" si="8"/>
        <v>OK</v>
      </c>
      <c r="G73" s="285" t="str">
        <f t="shared" si="8"/>
        <v>OK</v>
      </c>
      <c r="H73" s="285" t="str">
        <f t="shared" si="8"/>
        <v>OK</v>
      </c>
      <c r="I73" s="285" t="str">
        <f t="shared" si="8"/>
        <v>OK</v>
      </c>
      <c r="J73" s="285" t="str">
        <f t="shared" si="8"/>
        <v>OK</v>
      </c>
      <c r="K73" s="285" t="str">
        <f t="shared" si="8"/>
        <v>OK</v>
      </c>
      <c r="L73" s="285" t="str">
        <f t="shared" si="8"/>
        <v>OK</v>
      </c>
      <c r="M73" s="285" t="str">
        <f t="shared" si="8"/>
        <v>OK</v>
      </c>
      <c r="N73" s="285" t="str">
        <f t="shared" si="8"/>
        <v>OK</v>
      </c>
      <c r="O73" s="284"/>
      <c r="P73" s="284"/>
      <c r="Q73" s="284"/>
      <c r="R73" s="255"/>
    </row>
    <row r="74" spans="1:21">
      <c r="B74" s="259"/>
      <c r="C74" s="284"/>
      <c r="D74" s="284"/>
      <c r="E74" s="284"/>
      <c r="F74" s="284"/>
      <c r="G74" s="284"/>
      <c r="H74" s="284"/>
      <c r="I74" s="284"/>
      <c r="J74" s="284"/>
      <c r="K74" s="284"/>
      <c r="L74" s="284"/>
      <c r="M74" s="284"/>
      <c r="N74" s="284"/>
      <c r="O74" s="284"/>
      <c r="P74" s="284"/>
      <c r="Q74" s="284"/>
      <c r="R74" s="282"/>
    </row>
    <row r="75" spans="1:21">
      <c r="B75" s="252" t="s">
        <v>15</v>
      </c>
      <c r="C75" s="284"/>
      <c r="D75" s="284"/>
      <c r="E75" s="284"/>
      <c r="F75" s="284"/>
      <c r="G75" s="284"/>
      <c r="H75" s="284"/>
      <c r="I75" s="284"/>
      <c r="J75" s="284"/>
      <c r="K75" s="284"/>
      <c r="L75" s="284"/>
      <c r="M75" s="284"/>
      <c r="N75" s="284"/>
      <c r="O75" s="284"/>
      <c r="P75" s="284"/>
      <c r="Q75" s="284"/>
      <c r="R75" s="282"/>
    </row>
    <row r="76" spans="1:21">
      <c r="A76" s="253" t="str">
        <f>B75&amp;" "&amp;B76</f>
        <v>METRO KWH Sales</v>
      </c>
      <c r="B76" s="254" t="s">
        <v>563</v>
      </c>
      <c r="C76" s="284">
        <f>VLOOKUP($B75,'KWH FCST'!$A$12:$M$41,C$8,FALSE)</f>
        <v>7754425</v>
      </c>
      <c r="D76" s="284">
        <f>VLOOKUP($B75,'KWH FCST'!$A$12:$M$41,D$8,FALSE)</f>
        <v>7096425</v>
      </c>
      <c r="E76" s="284">
        <f>VLOOKUP($B75,'KWH FCST'!$A$12:$M$41,E$8,FALSE)</f>
        <v>6611500</v>
      </c>
      <c r="F76" s="284">
        <f>VLOOKUP($B75,'KWH FCST'!$A$12:$M$41,F$8,FALSE)</f>
        <v>7592025</v>
      </c>
      <c r="G76" s="284">
        <f>VLOOKUP($B75,'KWH FCST'!$A$12:$M$41,G$8,FALSE)</f>
        <v>7956550</v>
      </c>
      <c r="H76" s="284">
        <f>VLOOKUP($B75,'KWH FCST'!$A$12:$M$41,H$8,FALSE)</f>
        <v>7737100</v>
      </c>
      <c r="I76" s="284">
        <f>VLOOKUP($B75,'KWH FCST'!$A$12:$M$41,I$8,FALSE)</f>
        <v>8150808</v>
      </c>
      <c r="J76" s="284">
        <f>VLOOKUP($B75,'KWH FCST'!$A$12:$M$41,J$8,FALSE)</f>
        <v>8111018</v>
      </c>
      <c r="K76" s="284">
        <f>VLOOKUP($B75,'KWH FCST'!$A$12:$M$41,K$8,FALSE)</f>
        <v>8063404</v>
      </c>
      <c r="L76" s="284">
        <f>VLOOKUP($B75,'KWH FCST'!$A$12:$M$41,L$8,FALSE)</f>
        <v>8004374</v>
      </c>
      <c r="M76" s="284">
        <f>VLOOKUP($B75,'KWH FCST'!$A$12:$M$41,M$8,FALSE)</f>
        <v>7282462</v>
      </c>
      <c r="N76" s="284">
        <f>VLOOKUP($B75,'KWH FCST'!$A$12:$M$41,N$8,FALSE)</f>
        <v>6913900</v>
      </c>
      <c r="O76" s="284">
        <f>SUM(C76:N76)</f>
        <v>91273991</v>
      </c>
      <c r="P76" s="284"/>
      <c r="Q76" s="284"/>
      <c r="R76" s="282"/>
      <c r="T76" s="255">
        <f>VLOOKUP(B75,'Sales Forecast'!$B$7:$AO$23,38,FALSE)</f>
        <v>91273991</v>
      </c>
      <c r="U76" s="255">
        <f>+O76-T76</f>
        <v>0</v>
      </c>
    </row>
    <row r="77" spans="1:21">
      <c r="A77" s="253" t="str">
        <f>B75&amp;" "&amp;B77</f>
        <v>METRO NCP</v>
      </c>
      <c r="B77" s="254" t="s">
        <v>133</v>
      </c>
      <c r="C77" s="284">
        <f>VLOOKUP($B75,'NCP FCST'!$A$12:$M$41,C$8,FALSE)</f>
        <v>18821.246862617107</v>
      </c>
      <c r="D77" s="284">
        <f>VLOOKUP($B75,'NCP FCST'!$A$12:$M$41,D$8,FALSE)</f>
        <v>19320.058933636446</v>
      </c>
      <c r="E77" s="284">
        <f>VLOOKUP($B75,'NCP FCST'!$A$12:$M$41,E$8,FALSE)</f>
        <v>16302.285686353969</v>
      </c>
      <c r="F77" s="284">
        <f>VLOOKUP($B75,'NCP FCST'!$A$12:$M$41,F$8,FALSE)</f>
        <v>19104.954170370009</v>
      </c>
      <c r="G77" s="284">
        <f>VLOOKUP($B75,'NCP FCST'!$A$12:$M$41,G$8,FALSE)</f>
        <v>19010.901772942467</v>
      </c>
      <c r="H77" s="284">
        <f>VLOOKUP($B75,'NCP FCST'!$A$12:$M$41,H$8,FALSE)</f>
        <v>19938.383660276424</v>
      </c>
      <c r="I77" s="284">
        <f>VLOOKUP($B75,'NCP FCST'!$A$12:$M$41,I$8,FALSE)</f>
        <v>20781.392959935798</v>
      </c>
      <c r="J77" s="284">
        <f>VLOOKUP($B75,'NCP FCST'!$A$12:$M$41,J$8,FALSE)</f>
        <v>20306.942882983905</v>
      </c>
      <c r="K77" s="284">
        <f>VLOOKUP($B75,'NCP FCST'!$A$12:$M$41,K$8,FALSE)</f>
        <v>21066.861040148448</v>
      </c>
      <c r="L77" s="284">
        <f>VLOOKUP($B75,'NCP FCST'!$A$12:$M$41,L$8,FALSE)</f>
        <v>19958.347138652523</v>
      </c>
      <c r="M77" s="284">
        <f>VLOOKUP($B75,'NCP FCST'!$A$12:$M$41,M$8,FALSE)</f>
        <v>18718.040164284957</v>
      </c>
      <c r="N77" s="284">
        <f>VLOOKUP($B75,'NCP FCST'!$A$12:$M$41,N$8,FALSE)</f>
        <v>16577.434645652731</v>
      </c>
      <c r="O77" s="284"/>
      <c r="P77" s="284">
        <f>MAX(C77:N77)</f>
        <v>21066.861040148448</v>
      </c>
      <c r="Q77" s="284"/>
      <c r="R77" s="282"/>
      <c r="T77" s="255">
        <f>+'NCP FCST'!O$21</f>
        <v>21066.861040148448</v>
      </c>
      <c r="U77" s="255">
        <f>P77-T77</f>
        <v>0</v>
      </c>
    </row>
    <row r="78" spans="1:21">
      <c r="A78" s="253" t="str">
        <f>B75&amp;" "&amp;B78</f>
        <v>METRO GNCP</v>
      </c>
      <c r="B78" s="254" t="s">
        <v>342</v>
      </c>
      <c r="C78" s="284">
        <f>VLOOKUP($B75,'GNCP FCST'!$A$12:$M$41,C$8,FALSE)</f>
        <v>16439.323515649536</v>
      </c>
      <c r="D78" s="284">
        <f>VLOOKUP($B75,'GNCP FCST'!$A$12:$M$41,D$8,FALSE)</f>
        <v>16292.264198808372</v>
      </c>
      <c r="E78" s="284">
        <f>VLOOKUP($B75,'GNCP FCST'!$A$12:$M$41,E$8,FALSE)</f>
        <v>13870.108596911057</v>
      </c>
      <c r="F78" s="284">
        <f>VLOOKUP($B75,'GNCP FCST'!$A$12:$M$41,F$8,FALSE)</f>
        <v>15909.256200852251</v>
      </c>
      <c r="G78" s="284">
        <f>VLOOKUP($B75,'GNCP FCST'!$A$12:$M$41,G$8,FALSE)</f>
        <v>15928.880960867038</v>
      </c>
      <c r="H78" s="284">
        <f>VLOOKUP($B75,'GNCP FCST'!$A$12:$M$41,H$8,FALSE)</f>
        <v>16595.248644359512</v>
      </c>
      <c r="I78" s="284">
        <f>VLOOKUP($B75,'GNCP FCST'!$A$12:$M$41,I$8,FALSE)</f>
        <v>16699.625640390437</v>
      </c>
      <c r="J78" s="284">
        <f>VLOOKUP($B75,'GNCP FCST'!$A$12:$M$41,J$8,FALSE)</f>
        <v>16344.53468836393</v>
      </c>
      <c r="K78" s="284">
        <f>VLOOKUP($B75,'GNCP FCST'!$A$12:$M$41,K$8,FALSE)</f>
        <v>17062.805326691632</v>
      </c>
      <c r="L78" s="284">
        <f>VLOOKUP($B75,'GNCP FCST'!$A$12:$M$41,L$8,FALSE)</f>
        <v>16284.855780044412</v>
      </c>
      <c r="M78" s="284">
        <f>VLOOKUP($B75,'GNCP FCST'!$A$12:$M$41,M$8,FALSE)</f>
        <v>16341.095577119573</v>
      </c>
      <c r="N78" s="284">
        <f>VLOOKUP($B75,'GNCP FCST'!$A$12:$M$41,N$8,FALSE)</f>
        <v>14660.384207602243</v>
      </c>
      <c r="O78" s="284"/>
      <c r="Q78" s="284">
        <f>MAX(C78:N78)</f>
        <v>17062.805326691632</v>
      </c>
      <c r="R78" s="282"/>
      <c r="T78" s="255">
        <f>+'GNCP FCST'!O$21</f>
        <v>17062.805326691632</v>
      </c>
      <c r="U78" s="255">
        <f>+Q78-T78</f>
        <v>0</v>
      </c>
    </row>
    <row r="79" spans="1:21">
      <c r="A79" s="253" t="str">
        <f>B75&amp;" "&amp;B79</f>
        <v>METRO CP</v>
      </c>
      <c r="B79" s="254" t="s">
        <v>148</v>
      </c>
      <c r="C79" s="284">
        <f>VLOOKUP($B75,'CP FCST'!$A$12:$M$41,C$8,FALSE)</f>
        <v>14388.723154720457</v>
      </c>
      <c r="D79" s="284">
        <f>VLOOKUP($B75,'CP FCST'!$A$12:$M$41,D$8,FALSE)</f>
        <v>13321.645461124172</v>
      </c>
      <c r="E79" s="284">
        <f>VLOOKUP($B75,'CP FCST'!$A$12:$M$41,E$8,FALSE)</f>
        <v>10861.67735901304</v>
      </c>
      <c r="F79" s="284">
        <f>VLOOKUP($B75,'CP FCST'!$A$12:$M$41,F$8,FALSE)</f>
        <v>14285.444598567168</v>
      </c>
      <c r="G79" s="284">
        <f>VLOOKUP($B75,'CP FCST'!$A$12:$M$41,G$8,FALSE)</f>
        <v>14918.093653055765</v>
      </c>
      <c r="H79" s="284">
        <f>VLOOKUP($B75,'CP FCST'!$A$12:$M$41,H$8,FALSE)</f>
        <v>14546.611044550771</v>
      </c>
      <c r="I79" s="284">
        <f>VLOOKUP($B75,'CP FCST'!$A$12:$M$41,I$8,FALSE)</f>
        <v>14869.549158852416</v>
      </c>
      <c r="J79" s="284">
        <f>VLOOKUP($B75,'CP FCST'!$A$12:$M$41,J$8,FALSE)</f>
        <v>14859.119421923442</v>
      </c>
      <c r="K79" s="284">
        <f>VLOOKUP($B75,'CP FCST'!$A$12:$M$41,K$8,FALSE)</f>
        <v>13911.105502983735</v>
      </c>
      <c r="L79" s="284">
        <f>VLOOKUP($B75,'CP FCST'!$A$12:$M$41,L$8,FALSE)</f>
        <v>13673.123728817705</v>
      </c>
      <c r="M79" s="284">
        <f>VLOOKUP($B75,'CP FCST'!$A$12:$M$41,M$8,FALSE)</f>
        <v>14138.410673590808</v>
      </c>
      <c r="N79" s="284">
        <f>VLOOKUP($B75,'CP FCST'!$A$12:$M$41,N$8,FALSE)</f>
        <v>11928.635597490023</v>
      </c>
      <c r="O79" s="284"/>
      <c r="P79" s="284"/>
      <c r="Q79" s="284"/>
      <c r="R79" s="255">
        <f>AVERAGE(C79:N79)</f>
        <v>13808.511612890792</v>
      </c>
      <c r="T79" s="255">
        <f>+'CP FCST'!O$21</f>
        <v>13808.511612890792</v>
      </c>
      <c r="U79" s="255">
        <f>R79-T79</f>
        <v>0</v>
      </c>
    </row>
    <row r="80" spans="1:21">
      <c r="B80" s="254" t="s">
        <v>570</v>
      </c>
      <c r="C80" s="285" t="str">
        <f t="shared" ref="C80:N80" si="9">IF(C79&gt;C78,"ERROR",IF(C78&gt;C77,"ERROR","OK"))</f>
        <v>OK</v>
      </c>
      <c r="D80" s="285" t="str">
        <f t="shared" si="9"/>
        <v>OK</v>
      </c>
      <c r="E80" s="285" t="str">
        <f t="shared" si="9"/>
        <v>OK</v>
      </c>
      <c r="F80" s="285" t="str">
        <f t="shared" si="9"/>
        <v>OK</v>
      </c>
      <c r="G80" s="285" t="str">
        <f t="shared" si="9"/>
        <v>OK</v>
      </c>
      <c r="H80" s="285" t="str">
        <f t="shared" si="9"/>
        <v>OK</v>
      </c>
      <c r="I80" s="285" t="str">
        <f t="shared" si="9"/>
        <v>OK</v>
      </c>
      <c r="J80" s="285" t="str">
        <f t="shared" si="9"/>
        <v>OK</v>
      </c>
      <c r="K80" s="285" t="str">
        <f t="shared" si="9"/>
        <v>OK</v>
      </c>
      <c r="L80" s="285" t="str">
        <f t="shared" si="9"/>
        <v>OK</v>
      </c>
      <c r="M80" s="285" t="str">
        <f t="shared" si="9"/>
        <v>OK</v>
      </c>
      <c r="N80" s="285" t="str">
        <f t="shared" si="9"/>
        <v>OK</v>
      </c>
      <c r="O80" s="284"/>
      <c r="P80" s="284"/>
      <c r="Q80" s="284"/>
      <c r="R80" s="255"/>
    </row>
    <row r="81" spans="1:21">
      <c r="B81" s="259"/>
      <c r="C81" s="284"/>
      <c r="D81" s="284"/>
      <c r="E81" s="284"/>
      <c r="F81" s="284"/>
      <c r="G81" s="284"/>
      <c r="H81" s="284"/>
      <c r="I81" s="284"/>
      <c r="J81" s="284"/>
      <c r="K81" s="284"/>
      <c r="L81" s="284"/>
      <c r="M81" s="284"/>
      <c r="N81" s="284"/>
      <c r="O81" s="284"/>
      <c r="P81" s="284"/>
      <c r="Q81" s="284"/>
      <c r="R81" s="282"/>
    </row>
    <row r="82" spans="1:21">
      <c r="B82" s="252" t="s">
        <v>56</v>
      </c>
      <c r="C82" s="284"/>
      <c r="D82" s="284"/>
      <c r="E82" s="284"/>
      <c r="F82" s="284"/>
      <c r="G82" s="284"/>
      <c r="H82" s="284"/>
      <c r="I82" s="284"/>
      <c r="J82" s="284"/>
      <c r="K82" s="284"/>
      <c r="L82" s="284"/>
      <c r="M82" s="284"/>
      <c r="N82" s="284"/>
      <c r="O82" s="284"/>
      <c r="P82" s="284"/>
      <c r="Q82" s="284"/>
      <c r="R82" s="282"/>
    </row>
    <row r="83" spans="1:21">
      <c r="A83" s="253" t="str">
        <f>B82&amp;" "&amp;B83</f>
        <v>OL-1 KWH Sales</v>
      </c>
      <c r="B83" s="254" t="s">
        <v>563</v>
      </c>
      <c r="C83" s="284">
        <f>VLOOKUP($B82,'KWH FCST'!$A$12:$M$41,C$8,FALSE)</f>
        <v>8229452</v>
      </c>
      <c r="D83" s="284">
        <f>VLOOKUP($B82,'KWH FCST'!$A$12:$M$41,D$8,FALSE)</f>
        <v>8225388</v>
      </c>
      <c r="E83" s="284">
        <f>VLOOKUP($B82,'KWH FCST'!$A$12:$M$41,E$8,FALSE)</f>
        <v>8221324</v>
      </c>
      <c r="F83" s="284">
        <f>VLOOKUP($B82,'KWH FCST'!$A$12:$M$41,F$8,FALSE)</f>
        <v>8217260</v>
      </c>
      <c r="G83" s="284">
        <f>VLOOKUP($B82,'KWH FCST'!$A$12:$M$41,G$8,FALSE)</f>
        <v>8213196</v>
      </c>
      <c r="H83" s="284">
        <f>VLOOKUP($B82,'KWH FCST'!$A$12:$M$41,H$8,FALSE)</f>
        <v>8209132</v>
      </c>
      <c r="I83" s="284">
        <f>VLOOKUP($B82,'KWH FCST'!$A$12:$M$41,I$8,FALSE)</f>
        <v>8205068</v>
      </c>
      <c r="J83" s="284">
        <f>VLOOKUP($B82,'KWH FCST'!$A$12:$M$41,J$8,FALSE)</f>
        <v>8201004</v>
      </c>
      <c r="K83" s="284">
        <f>VLOOKUP($B82,'KWH FCST'!$A$12:$M$41,K$8,FALSE)</f>
        <v>8196940</v>
      </c>
      <c r="L83" s="284">
        <f>VLOOKUP($B82,'KWH FCST'!$A$12:$M$41,L$8,FALSE)</f>
        <v>8192876</v>
      </c>
      <c r="M83" s="284">
        <f>VLOOKUP($B82,'KWH FCST'!$A$12:$M$41,M$8,FALSE)</f>
        <v>8188812</v>
      </c>
      <c r="N83" s="284">
        <f>VLOOKUP($B82,'KWH FCST'!$A$12:$M$41,N$8,FALSE)</f>
        <v>8184748</v>
      </c>
      <c r="O83" s="284">
        <f>SUM(C83:N83)</f>
        <v>98485200</v>
      </c>
      <c r="P83" s="284"/>
      <c r="Q83" s="284"/>
      <c r="R83" s="282"/>
      <c r="T83" s="255">
        <f>VLOOKUP(B82,'Sales Forecast'!$B$7:$AO$23,38,FALSE)</f>
        <v>98485200</v>
      </c>
      <c r="U83" s="255">
        <f>+O83-T83</f>
        <v>0</v>
      </c>
    </row>
    <row r="84" spans="1:21">
      <c r="A84" s="253" t="str">
        <f>B82&amp;" "&amp;B84</f>
        <v>OL-1 NCP</v>
      </c>
      <c r="B84" s="254" t="s">
        <v>133</v>
      </c>
      <c r="C84" s="284">
        <f>VLOOKUP($B82,'NCP FCST'!$A$12:$M$41,C$8,FALSE)</f>
        <v>20030.382614304966</v>
      </c>
      <c r="D84" s="284">
        <f>VLOOKUP($B82,'NCP FCST'!$A$12:$M$41,D$8,FALSE)</f>
        <v>22300.539739684591</v>
      </c>
      <c r="E84" s="284">
        <f>VLOOKUP($B82,'NCP FCST'!$A$12:$M$41,E$8,FALSE)</f>
        <v>22166.857468195769</v>
      </c>
      <c r="F84" s="284">
        <f>VLOOKUP($B82,'NCP FCST'!$A$12:$M$41,F$8,FALSE)</f>
        <v>24386.522225613746</v>
      </c>
      <c r="G84" s="284">
        <f>VLOOKUP($B82,'NCP FCST'!$A$12:$M$41,G$8,FALSE)</f>
        <v>24971.420132177631</v>
      </c>
      <c r="H84" s="284">
        <f>VLOOKUP($B82,'NCP FCST'!$A$12:$M$41,H$8,FALSE)</f>
        <v>26551.240314943381</v>
      </c>
      <c r="I84" s="284">
        <f>VLOOKUP($B82,'NCP FCST'!$A$12:$M$41,I$8,FALSE)</f>
        <v>25343.530349764729</v>
      </c>
      <c r="J84" s="284">
        <f>VLOOKUP($B82,'NCP FCST'!$A$12:$M$41,J$8,FALSE)</f>
        <v>24121.165930629923</v>
      </c>
      <c r="K84" s="284">
        <f>VLOOKUP($B82,'NCP FCST'!$A$12:$M$41,K$8,FALSE)</f>
        <v>23375.783757907335</v>
      </c>
      <c r="L84" s="284">
        <f>VLOOKUP($B82,'NCP FCST'!$A$12:$M$41,L$8,FALSE)</f>
        <v>21230.276451726746</v>
      </c>
      <c r="M84" s="284">
        <f>VLOOKUP($B82,'NCP FCST'!$A$12:$M$41,M$8,FALSE)</f>
        <v>20848.657785221396</v>
      </c>
      <c r="N84" s="284">
        <f>VLOOKUP($B82,'NCP FCST'!$A$12:$M$41,N$8,FALSE)</f>
        <v>19692.482037405021</v>
      </c>
      <c r="O84" s="284"/>
      <c r="P84" s="284">
        <f>MAX(C84:N84)</f>
        <v>26551.240314943381</v>
      </c>
      <c r="Q84" s="284"/>
      <c r="R84" s="282"/>
      <c r="T84" s="255">
        <f>+'NCP FCST'!O$22</f>
        <v>26551.240314943381</v>
      </c>
      <c r="U84" s="255">
        <f>P84-T84</f>
        <v>0</v>
      </c>
    </row>
    <row r="85" spans="1:21">
      <c r="A85" s="253" t="str">
        <f>B82&amp;" "&amp;B85</f>
        <v>OL-1 GNCP</v>
      </c>
      <c r="B85" s="254" t="s">
        <v>342</v>
      </c>
      <c r="C85" s="284">
        <f>VLOOKUP($B82,'GNCP FCST'!$A$12:$M$41,C$8,FALSE)</f>
        <v>20030.382614304966</v>
      </c>
      <c r="D85" s="284">
        <f>VLOOKUP($B82,'GNCP FCST'!$A$12:$M$41,D$8,FALSE)</f>
        <v>22300.539739684591</v>
      </c>
      <c r="E85" s="284">
        <f>VLOOKUP($B82,'GNCP FCST'!$A$12:$M$41,E$8,FALSE)</f>
        <v>22166.857468195769</v>
      </c>
      <c r="F85" s="284">
        <f>VLOOKUP($B82,'GNCP FCST'!$A$12:$M$41,F$8,FALSE)</f>
        <v>24386.522225613746</v>
      </c>
      <c r="G85" s="284">
        <f>VLOOKUP($B82,'GNCP FCST'!$A$12:$M$41,G$8,FALSE)</f>
        <v>24971.420132177631</v>
      </c>
      <c r="H85" s="284">
        <f>VLOOKUP($B82,'GNCP FCST'!$A$12:$M$41,H$8,FALSE)</f>
        <v>26551.240314943381</v>
      </c>
      <c r="I85" s="284">
        <f>VLOOKUP($B82,'GNCP FCST'!$A$12:$M$41,I$8,FALSE)</f>
        <v>25343.530349764729</v>
      </c>
      <c r="J85" s="284">
        <f>VLOOKUP($B82,'GNCP FCST'!$A$12:$M$41,J$8,FALSE)</f>
        <v>24121.165930629923</v>
      </c>
      <c r="K85" s="284">
        <f>VLOOKUP($B82,'GNCP FCST'!$A$12:$M$41,K$8,FALSE)</f>
        <v>23375.783757907335</v>
      </c>
      <c r="L85" s="284">
        <f>VLOOKUP($B82,'GNCP FCST'!$A$12:$M$41,L$8,FALSE)</f>
        <v>21230.276451726746</v>
      </c>
      <c r="M85" s="284">
        <f>VLOOKUP($B82,'GNCP FCST'!$A$12:$M$41,M$8,FALSE)</f>
        <v>20848.657785221396</v>
      </c>
      <c r="N85" s="284">
        <f>VLOOKUP($B82,'GNCP FCST'!$A$12:$M$41,N$8,FALSE)</f>
        <v>19692.482037405021</v>
      </c>
      <c r="O85" s="284"/>
      <c r="Q85" s="284">
        <f>MAX(C85:N85)</f>
        <v>26551.240314943381</v>
      </c>
      <c r="R85" s="282"/>
      <c r="T85" s="255">
        <f>+'GNCP FCST'!O$22</f>
        <v>26551.240314943381</v>
      </c>
      <c r="U85" s="255">
        <f>+Q85-T85</f>
        <v>0</v>
      </c>
    </row>
    <row r="86" spans="1:21">
      <c r="A86" s="253" t="str">
        <f>B82&amp;" "&amp;B86</f>
        <v>OL-1 CP</v>
      </c>
      <c r="B86" s="254" t="s">
        <v>148</v>
      </c>
      <c r="C86" s="284">
        <f>VLOOKUP($B82,'CP FCST'!$A$12:$M$41,C$8,FALSE)</f>
        <v>8253.9233700871027</v>
      </c>
      <c r="D86" s="284">
        <f>VLOOKUP($B82,'CP FCST'!$A$12:$M$41,D$8,FALSE)</f>
        <v>0</v>
      </c>
      <c r="E86" s="284">
        <f>VLOOKUP($B82,'CP FCST'!$A$12:$M$41,E$8,FALSE)</f>
        <v>0</v>
      </c>
      <c r="F86" s="284">
        <f>VLOOKUP($B82,'CP FCST'!$A$12:$M$41,F$8,FALSE)</f>
        <v>0</v>
      </c>
      <c r="G86" s="284">
        <f>VLOOKUP($B82,'CP FCST'!$A$12:$M$41,G$8,FALSE)</f>
        <v>0</v>
      </c>
      <c r="H86" s="284">
        <f>VLOOKUP($B82,'CP FCST'!$A$12:$M$41,H$8,FALSE)</f>
        <v>0</v>
      </c>
      <c r="I86" s="284">
        <f>VLOOKUP($B82,'CP FCST'!$A$12:$M$41,I$8,FALSE)</f>
        <v>0</v>
      </c>
      <c r="J86" s="284">
        <f>VLOOKUP($B82,'CP FCST'!$A$12:$M$41,J$8,FALSE)</f>
        <v>0</v>
      </c>
      <c r="K86" s="284">
        <f>VLOOKUP($B82,'CP FCST'!$A$12:$M$41,K$8,FALSE)</f>
        <v>0</v>
      </c>
      <c r="L86" s="284">
        <f>VLOOKUP($B82,'CP FCST'!$A$12:$M$41,L$8,FALSE)</f>
        <v>0</v>
      </c>
      <c r="M86" s="284">
        <f>VLOOKUP($B82,'CP FCST'!$A$12:$M$41,M$8,FALSE)</f>
        <v>6945.839060337008</v>
      </c>
      <c r="N86" s="284">
        <f>VLOOKUP($B82,'CP FCST'!$A$12:$M$41,N$8,FALSE)</f>
        <v>6563.9436175074434</v>
      </c>
      <c r="O86" s="284"/>
      <c r="P86" s="284"/>
      <c r="Q86" s="284"/>
      <c r="R86" s="255">
        <f>AVERAGE(C86:N86)</f>
        <v>1813.6421706609628</v>
      </c>
      <c r="T86" s="255">
        <f>+'CP FCST'!O$22</f>
        <v>1813.6421706609628</v>
      </c>
      <c r="U86" s="255">
        <f>R86-T86</f>
        <v>0</v>
      </c>
    </row>
    <row r="87" spans="1:21">
      <c r="B87" s="254" t="s">
        <v>570</v>
      </c>
      <c r="C87" s="285" t="str">
        <f t="shared" ref="C87:N87" si="10">IF(C86&gt;C85,"ERROR",IF(C85&gt;C84,"ERROR","OK"))</f>
        <v>OK</v>
      </c>
      <c r="D87" s="285" t="str">
        <f t="shared" si="10"/>
        <v>OK</v>
      </c>
      <c r="E87" s="285" t="str">
        <f t="shared" si="10"/>
        <v>OK</v>
      </c>
      <c r="F87" s="285" t="str">
        <f t="shared" si="10"/>
        <v>OK</v>
      </c>
      <c r="G87" s="285" t="str">
        <f t="shared" si="10"/>
        <v>OK</v>
      </c>
      <c r="H87" s="285" t="str">
        <f t="shared" si="10"/>
        <v>OK</v>
      </c>
      <c r="I87" s="285" t="str">
        <f t="shared" si="10"/>
        <v>OK</v>
      </c>
      <c r="J87" s="285" t="str">
        <f t="shared" si="10"/>
        <v>OK</v>
      </c>
      <c r="K87" s="285" t="str">
        <f t="shared" si="10"/>
        <v>OK</v>
      </c>
      <c r="L87" s="285" t="str">
        <f t="shared" si="10"/>
        <v>OK</v>
      </c>
      <c r="M87" s="285" t="str">
        <f t="shared" si="10"/>
        <v>OK</v>
      </c>
      <c r="N87" s="285" t="str">
        <f t="shared" si="10"/>
        <v>OK</v>
      </c>
      <c r="O87" s="284"/>
      <c r="P87" s="284"/>
      <c r="Q87" s="284"/>
      <c r="R87" s="255"/>
    </row>
    <row r="88" spans="1:21">
      <c r="B88" s="259"/>
      <c r="C88" s="284"/>
      <c r="D88" s="284"/>
      <c r="E88" s="284"/>
      <c r="F88" s="284"/>
      <c r="G88" s="284"/>
      <c r="H88" s="284"/>
      <c r="I88" s="284"/>
      <c r="J88" s="284"/>
      <c r="K88" s="284"/>
      <c r="L88" s="284"/>
      <c r="M88" s="284"/>
      <c r="N88" s="284"/>
      <c r="O88" s="284"/>
      <c r="P88" s="284"/>
      <c r="Q88" s="284"/>
      <c r="R88" s="282"/>
    </row>
    <row r="89" spans="1:21">
      <c r="B89" s="252" t="s">
        <v>57</v>
      </c>
      <c r="C89" s="284"/>
      <c r="D89" s="284"/>
      <c r="E89" s="284"/>
      <c r="F89" s="284"/>
      <c r="G89" s="284"/>
      <c r="H89" s="284"/>
      <c r="I89" s="284"/>
      <c r="J89" s="284"/>
      <c r="K89" s="284"/>
      <c r="L89" s="284"/>
      <c r="M89" s="284"/>
      <c r="N89" s="284"/>
      <c r="O89" s="284"/>
      <c r="P89" s="284"/>
      <c r="Q89" s="284"/>
      <c r="R89" s="282"/>
    </row>
    <row r="90" spans="1:21">
      <c r="A90" s="253" t="str">
        <f>B89&amp;" "&amp;B90</f>
        <v>OS-2 KWH Sales</v>
      </c>
      <c r="B90" s="254" t="s">
        <v>563</v>
      </c>
      <c r="C90" s="284">
        <f>VLOOKUP($B89,'KWH FCST'!$A$12:$M$41,C$8,FALSE)</f>
        <v>876403</v>
      </c>
      <c r="D90" s="284">
        <f>VLOOKUP($B89,'KWH FCST'!$A$12:$M$41,D$8,FALSE)</f>
        <v>999104</v>
      </c>
      <c r="E90" s="284">
        <f>VLOOKUP($B89,'KWH FCST'!$A$12:$M$41,E$8,FALSE)</f>
        <v>1067306</v>
      </c>
      <c r="F90" s="284">
        <f>VLOOKUP($B89,'KWH FCST'!$A$12:$M$41,F$8,FALSE)</f>
        <v>910716</v>
      </c>
      <c r="G90" s="284">
        <f>VLOOKUP($B89,'KWH FCST'!$A$12:$M$41,G$8,FALSE)</f>
        <v>882804</v>
      </c>
      <c r="H90" s="284">
        <f>VLOOKUP($B89,'KWH FCST'!$A$12:$M$41,H$8,FALSE)</f>
        <v>837955</v>
      </c>
      <c r="I90" s="284">
        <f>VLOOKUP($B89,'KWH FCST'!$A$12:$M$41,I$8,FALSE)</f>
        <v>726491</v>
      </c>
      <c r="J90" s="284">
        <f>VLOOKUP($B89,'KWH FCST'!$A$12:$M$41,J$8,FALSE)</f>
        <v>729042</v>
      </c>
      <c r="K90" s="284">
        <f>VLOOKUP($B89,'KWH FCST'!$A$12:$M$41,K$8,FALSE)</f>
        <v>927091</v>
      </c>
      <c r="L90" s="284">
        <f>VLOOKUP($B89,'KWH FCST'!$A$12:$M$41,L$8,FALSE)</f>
        <v>948179</v>
      </c>
      <c r="M90" s="284">
        <f>VLOOKUP($B89,'KWH FCST'!$A$12:$M$41,M$8,FALSE)</f>
        <v>1095816</v>
      </c>
      <c r="N90" s="284">
        <f>VLOOKUP($B89,'KWH FCST'!$A$12:$M$41,N$8,FALSE)</f>
        <v>953457</v>
      </c>
      <c r="O90" s="284">
        <f>SUM(C90:N90)</f>
        <v>10954364</v>
      </c>
      <c r="P90" s="284"/>
      <c r="Q90" s="284"/>
      <c r="R90" s="282"/>
      <c r="T90" s="255">
        <f>VLOOKUP(B89,'Sales Forecast'!$B$7:$AO$23,38,FALSE)</f>
        <v>10954364</v>
      </c>
      <c r="U90" s="255">
        <f>+O90-T90</f>
        <v>0</v>
      </c>
    </row>
    <row r="91" spans="1:21">
      <c r="A91" s="253" t="str">
        <f>B89&amp;" "&amp;B91</f>
        <v>OS-2 NCP</v>
      </c>
      <c r="B91" s="254" t="s">
        <v>133</v>
      </c>
      <c r="C91" s="284">
        <f>VLOOKUP($B89,'NCP FCST'!$A$12:$M$41,C$8,FALSE)</f>
        <v>12106.630658432199</v>
      </c>
      <c r="D91" s="284">
        <f>VLOOKUP($B89,'NCP FCST'!$A$12:$M$41,D$8,FALSE)</f>
        <v>13566.990337901774</v>
      </c>
      <c r="E91" s="284">
        <f>VLOOKUP($B89,'NCP FCST'!$A$12:$M$41,E$8,FALSE)</f>
        <v>15043.046684091218</v>
      </c>
      <c r="F91" s="284">
        <f>VLOOKUP($B89,'NCP FCST'!$A$12:$M$41,F$8,FALSE)</f>
        <v>14276.193879351697</v>
      </c>
      <c r="G91" s="284">
        <f>VLOOKUP($B89,'NCP FCST'!$A$12:$M$41,G$8,FALSE)</f>
        <v>13896.293991349627</v>
      </c>
      <c r="H91" s="284">
        <f>VLOOKUP($B89,'NCP FCST'!$A$12:$M$41,H$8,FALSE)</f>
        <v>12165.199549564923</v>
      </c>
      <c r="I91" s="284">
        <f>VLOOKUP($B89,'NCP FCST'!$A$12:$M$41,I$8,FALSE)</f>
        <v>9455.9282222220281</v>
      </c>
      <c r="J91" s="284">
        <f>VLOOKUP($B89,'NCP FCST'!$A$12:$M$41,J$8,FALSE)</f>
        <v>10073.238108101292</v>
      </c>
      <c r="K91" s="284">
        <f>VLOOKUP($B89,'NCP FCST'!$A$12:$M$41,K$8,FALSE)</f>
        <v>14557.445670447492</v>
      </c>
      <c r="L91" s="284">
        <f>VLOOKUP($B89,'NCP FCST'!$A$12:$M$41,L$8,FALSE)</f>
        <v>12957.09754889002</v>
      </c>
      <c r="M91" s="284">
        <f>VLOOKUP($B89,'NCP FCST'!$A$12:$M$41,M$8,FALSE)</f>
        <v>15008.292596672609</v>
      </c>
      <c r="N91" s="284">
        <f>VLOOKUP($B89,'NCP FCST'!$A$12:$M$41,N$8,FALSE)</f>
        <v>14021.329135272987</v>
      </c>
      <c r="O91" s="284"/>
      <c r="P91" s="284">
        <f>MAX(C91:N91)</f>
        <v>15043.046684091218</v>
      </c>
      <c r="Q91" s="284"/>
      <c r="R91" s="282"/>
      <c r="T91" s="255">
        <f>+'NCP FCST'!O$23</f>
        <v>15043.046684091218</v>
      </c>
      <c r="U91" s="255">
        <f>P91-T91</f>
        <v>0</v>
      </c>
    </row>
    <row r="92" spans="1:21">
      <c r="A92" s="253" t="str">
        <f>B89&amp;" "&amp;B92</f>
        <v>OS-2 GNCP</v>
      </c>
      <c r="B92" s="254" t="s">
        <v>342</v>
      </c>
      <c r="C92" s="284">
        <f>VLOOKUP($B89,'GNCP FCST'!$A$12:$M$41,C$8,FALSE)</f>
        <v>8297.6842904014884</v>
      </c>
      <c r="D92" s="284">
        <f>VLOOKUP($B89,'GNCP FCST'!$A$12:$M$41,D$8,FALSE)</f>
        <v>10497.86593516348</v>
      </c>
      <c r="E92" s="284">
        <f>VLOOKUP($B89,'GNCP FCST'!$A$12:$M$41,E$8,FALSE)</f>
        <v>11947.682225061662</v>
      </c>
      <c r="F92" s="284">
        <f>VLOOKUP($B89,'GNCP FCST'!$A$12:$M$41,F$8,FALSE)</f>
        <v>9125.2784660495981</v>
      </c>
      <c r="G92" s="284">
        <f>VLOOKUP($B89,'GNCP FCST'!$A$12:$M$41,G$8,FALSE)</f>
        <v>8156.7934097538118</v>
      </c>
      <c r="H92" s="284">
        <f>VLOOKUP($B89,'GNCP FCST'!$A$12:$M$41,H$8,FALSE)</f>
        <v>6759.6130012620179</v>
      </c>
      <c r="I92" s="284">
        <f>VLOOKUP($B89,'GNCP FCST'!$A$12:$M$41,I$8,FALSE)</f>
        <v>5125.2693292779122</v>
      </c>
      <c r="J92" s="284">
        <f>VLOOKUP($B89,'GNCP FCST'!$A$12:$M$41,J$8,FALSE)</f>
        <v>5749.414307933831</v>
      </c>
      <c r="K92" s="284">
        <f>VLOOKUP($B89,'GNCP FCST'!$A$12:$M$41,K$8,FALSE)</f>
        <v>8852.803477330157</v>
      </c>
      <c r="L92" s="284">
        <f>VLOOKUP($B89,'GNCP FCST'!$A$12:$M$41,L$8,FALSE)</f>
        <v>9284.2632553584663</v>
      </c>
      <c r="M92" s="284">
        <f>VLOOKUP($B89,'GNCP FCST'!$A$12:$M$41,M$8,FALSE)</f>
        <v>11177.792921746061</v>
      </c>
      <c r="N92" s="284">
        <f>VLOOKUP($B89,'GNCP FCST'!$A$12:$M$41,N$8,FALSE)</f>
        <v>9309.9459305015025</v>
      </c>
      <c r="O92" s="284"/>
      <c r="Q92" s="284">
        <f>MAX(C92:N92)</f>
        <v>11947.682225061662</v>
      </c>
      <c r="R92" s="282"/>
      <c r="T92" s="255">
        <f>+'GNCP FCST'!O$23</f>
        <v>11947.682225061662</v>
      </c>
      <c r="U92" s="255">
        <f>+Q92-T92</f>
        <v>0</v>
      </c>
    </row>
    <row r="93" spans="1:21">
      <c r="A93" s="253" t="str">
        <f>B89&amp;" "&amp;B93</f>
        <v>OS-2 CP</v>
      </c>
      <c r="B93" s="254" t="s">
        <v>148</v>
      </c>
      <c r="C93" s="284">
        <f>VLOOKUP($B89,'CP FCST'!$A$12:$M$41,C$8,FALSE)</f>
        <v>2251.0518685554439</v>
      </c>
      <c r="D93" s="284">
        <f>VLOOKUP($B89,'CP FCST'!$A$12:$M$41,D$8,FALSE)</f>
        <v>582.67610094439112</v>
      </c>
      <c r="E93" s="284">
        <f>VLOOKUP($B89,'CP FCST'!$A$12:$M$41,E$8,FALSE)</f>
        <v>849.49044064471627</v>
      </c>
      <c r="F93" s="284">
        <f>VLOOKUP($B89,'CP FCST'!$A$12:$M$41,F$8,FALSE)</f>
        <v>914.2576081615091</v>
      </c>
      <c r="G93" s="284">
        <f>VLOOKUP($B89,'CP FCST'!$A$12:$M$41,G$8,FALSE)</f>
        <v>885.74579976256962</v>
      </c>
      <c r="H93" s="284">
        <f>VLOOKUP($B89,'CP FCST'!$A$12:$M$41,H$8,FALSE)</f>
        <v>907.61520675409395</v>
      </c>
      <c r="I93" s="284">
        <f>VLOOKUP($B89,'CP FCST'!$A$12:$M$41,I$8,FALSE)</f>
        <v>769.95894415100133</v>
      </c>
      <c r="J93" s="284">
        <f>VLOOKUP($B89,'CP FCST'!$A$12:$M$41,J$8,FALSE)</f>
        <v>884.02191705643486</v>
      </c>
      <c r="K93" s="284">
        <f>VLOOKUP($B89,'CP FCST'!$A$12:$M$41,K$8,FALSE)</f>
        <v>951.10314226898493</v>
      </c>
      <c r="L93" s="284">
        <f>VLOOKUP($B89,'CP FCST'!$A$12:$M$41,L$8,FALSE)</f>
        <v>806.92459600701659</v>
      </c>
      <c r="M93" s="284">
        <f>VLOOKUP($B89,'CP FCST'!$A$12:$M$41,M$8,FALSE)</f>
        <v>2771.5000170472513</v>
      </c>
      <c r="N93" s="284">
        <f>VLOOKUP($B89,'CP FCST'!$A$12:$M$41,N$8,FALSE)</f>
        <v>3014.2623453771062</v>
      </c>
      <c r="O93" s="284"/>
      <c r="P93" s="284"/>
      <c r="Q93" s="284"/>
      <c r="R93" s="255">
        <f>AVERAGE(C93:N93)</f>
        <v>1299.0506655608767</v>
      </c>
      <c r="T93" s="255">
        <f>+'CP FCST'!O$23</f>
        <v>1299.0506655608767</v>
      </c>
      <c r="U93" s="255">
        <f>R93-T93</f>
        <v>0</v>
      </c>
    </row>
    <row r="94" spans="1:21">
      <c r="B94" s="254" t="s">
        <v>570</v>
      </c>
      <c r="C94" s="285" t="str">
        <f t="shared" ref="C94:N94" si="11">IF(C93&gt;C92,"ERROR",IF(C92&gt;C91,"ERROR","OK"))</f>
        <v>OK</v>
      </c>
      <c r="D94" s="285" t="str">
        <f t="shared" si="11"/>
        <v>OK</v>
      </c>
      <c r="E94" s="285" t="str">
        <f t="shared" si="11"/>
        <v>OK</v>
      </c>
      <c r="F94" s="285" t="str">
        <f t="shared" si="11"/>
        <v>OK</v>
      </c>
      <c r="G94" s="285" t="str">
        <f t="shared" si="11"/>
        <v>OK</v>
      </c>
      <c r="H94" s="285" t="str">
        <f t="shared" si="11"/>
        <v>OK</v>
      </c>
      <c r="I94" s="285" t="str">
        <f t="shared" si="11"/>
        <v>OK</v>
      </c>
      <c r="J94" s="285" t="str">
        <f t="shared" si="11"/>
        <v>OK</v>
      </c>
      <c r="K94" s="285" t="str">
        <f t="shared" si="11"/>
        <v>OK</v>
      </c>
      <c r="L94" s="285" t="str">
        <f t="shared" si="11"/>
        <v>OK</v>
      </c>
      <c r="M94" s="285" t="str">
        <f t="shared" si="11"/>
        <v>OK</v>
      </c>
      <c r="N94" s="285" t="str">
        <f t="shared" si="11"/>
        <v>OK</v>
      </c>
      <c r="O94" s="284"/>
      <c r="P94" s="284"/>
      <c r="Q94" s="284"/>
      <c r="R94" s="255"/>
    </row>
    <row r="95" spans="1:21">
      <c r="B95" s="259"/>
      <c r="C95" s="284"/>
      <c r="D95" s="284"/>
      <c r="E95" s="284"/>
      <c r="F95" s="284"/>
      <c r="G95" s="284"/>
      <c r="H95" s="284"/>
      <c r="I95" s="284"/>
      <c r="J95" s="284"/>
      <c r="K95" s="284"/>
      <c r="L95" s="284"/>
      <c r="M95" s="284"/>
      <c r="N95" s="284"/>
      <c r="O95" s="284"/>
      <c r="P95" s="284"/>
      <c r="Q95" s="284"/>
      <c r="R95" s="282"/>
    </row>
    <row r="96" spans="1:21">
      <c r="B96" s="252" t="s">
        <v>48</v>
      </c>
      <c r="C96" s="284"/>
      <c r="D96" s="284"/>
      <c r="E96" s="284"/>
      <c r="F96" s="284"/>
      <c r="G96" s="284"/>
      <c r="H96" s="284"/>
      <c r="I96" s="284"/>
      <c r="J96" s="284"/>
      <c r="K96" s="284"/>
      <c r="L96" s="284"/>
      <c r="M96" s="284"/>
      <c r="N96" s="284"/>
      <c r="O96" s="284"/>
      <c r="P96" s="284"/>
      <c r="Q96" s="284"/>
      <c r="R96" s="282"/>
    </row>
    <row r="97" spans="1:21">
      <c r="A97" s="253" t="str">
        <f>B96&amp;" "&amp;B97</f>
        <v>RS(T)-1 KWH Sales</v>
      </c>
      <c r="B97" s="254" t="s">
        <v>563</v>
      </c>
      <c r="C97" s="284">
        <f>VLOOKUP($B96,'KWH FCST'!$A$12:$M$41,C$8,FALSE)</f>
        <v>4412782486</v>
      </c>
      <c r="D97" s="284">
        <f>VLOOKUP($B96,'KWH FCST'!$A$12:$M$41,D$8,FALSE)</f>
        <v>4011033989</v>
      </c>
      <c r="E97" s="284">
        <f>VLOOKUP($B96,'KWH FCST'!$A$12:$M$41,E$8,FALSE)</f>
        <v>3919563463</v>
      </c>
      <c r="F97" s="284">
        <f>VLOOKUP($B96,'KWH FCST'!$A$12:$M$41,F$8,FALSE)</f>
        <v>3982448080</v>
      </c>
      <c r="G97" s="284">
        <f>VLOOKUP($B96,'KWH FCST'!$A$12:$M$41,G$8,FALSE)</f>
        <v>4652075043</v>
      </c>
      <c r="H97" s="284">
        <f>VLOOKUP($B96,'KWH FCST'!$A$12:$M$41,H$8,FALSE)</f>
        <v>5313054838</v>
      </c>
      <c r="I97" s="284">
        <f>VLOOKUP($B96,'KWH FCST'!$A$12:$M$41,I$8,FALSE)</f>
        <v>5780941741</v>
      </c>
      <c r="J97" s="284">
        <f>VLOOKUP($B96,'KWH FCST'!$A$12:$M$41,J$8,FALSE)</f>
        <v>5909135128</v>
      </c>
      <c r="K97" s="284">
        <f>VLOOKUP($B96,'KWH FCST'!$A$12:$M$41,K$8,FALSE)</f>
        <v>5714655770</v>
      </c>
      <c r="L97" s="284">
        <f>VLOOKUP($B96,'KWH FCST'!$A$12:$M$41,L$8,FALSE)</f>
        <v>5150015263</v>
      </c>
      <c r="M97" s="284">
        <f>VLOOKUP($B96,'KWH FCST'!$A$12:$M$41,M$8,FALSE)</f>
        <v>4257998507</v>
      </c>
      <c r="N97" s="284">
        <f>VLOOKUP($B96,'KWH FCST'!$A$12:$M$41,N$8,FALSE)</f>
        <v>4094996381</v>
      </c>
      <c r="O97" s="284">
        <f>SUM(C97:N97)</f>
        <v>57198700689</v>
      </c>
      <c r="P97" s="284"/>
      <c r="Q97" s="284"/>
      <c r="R97" s="282"/>
      <c r="T97" s="255">
        <f>VLOOKUP(B96,'Sales Forecast'!$B$7:$AO$23,38,FALSE)</f>
        <v>57198700689</v>
      </c>
      <c r="U97" s="255">
        <f>+O97-T97</f>
        <v>0</v>
      </c>
    </row>
    <row r="98" spans="1:21">
      <c r="A98" s="253" t="str">
        <f>B96&amp;" "&amp;B98</f>
        <v>RS(T)-1 NCP</v>
      </c>
      <c r="B98" s="254" t="s">
        <v>133</v>
      </c>
      <c r="C98" s="284">
        <f>VLOOKUP($B96,'NCP FCST'!$A$12:$M$41,C$8,FALSE)</f>
        <v>32895763.962227426</v>
      </c>
      <c r="D98" s="284">
        <f>VLOOKUP($B96,'NCP FCST'!$A$12:$M$41,D$8,FALSE)</f>
        <v>30157812.637330309</v>
      </c>
      <c r="E98" s="284">
        <f>VLOOKUP($B96,'NCP FCST'!$A$12:$M$41,E$8,FALSE)</f>
        <v>27156389.278709557</v>
      </c>
      <c r="F98" s="284">
        <f>VLOOKUP($B96,'NCP FCST'!$A$12:$M$41,F$8,FALSE)</f>
        <v>24265828.037870485</v>
      </c>
      <c r="G98" s="284">
        <f>VLOOKUP($B96,'NCP FCST'!$A$12:$M$41,G$8,FALSE)</f>
        <v>24292334.635005925</v>
      </c>
      <c r="H98" s="284">
        <f>VLOOKUP($B96,'NCP FCST'!$A$12:$M$41,H$8,FALSE)</f>
        <v>25639424.792793684</v>
      </c>
      <c r="I98" s="284">
        <f>VLOOKUP($B96,'NCP FCST'!$A$12:$M$41,I$8,FALSE)</f>
        <v>26110494.910559721</v>
      </c>
      <c r="J98" s="284">
        <f>VLOOKUP($B96,'NCP FCST'!$A$12:$M$41,J$8,FALSE)</f>
        <v>25806215.217712793</v>
      </c>
      <c r="K98" s="284">
        <f>VLOOKUP($B96,'NCP FCST'!$A$12:$M$41,K$8,FALSE)</f>
        <v>27679268.903883524</v>
      </c>
      <c r="L98" s="284">
        <f>VLOOKUP($B96,'NCP FCST'!$A$12:$M$41,L$8,FALSE)</f>
        <v>27210483.979959015</v>
      </c>
      <c r="M98" s="284">
        <f>VLOOKUP($B96,'NCP FCST'!$A$12:$M$41,M$8,FALSE)</f>
        <v>29864632.000071343</v>
      </c>
      <c r="N98" s="284">
        <f>VLOOKUP($B96,'NCP FCST'!$A$12:$M$41,N$8,FALSE)</f>
        <v>28665045.154029503</v>
      </c>
      <c r="O98" s="284"/>
      <c r="P98" s="284">
        <f>MAX(C98:N98)</f>
        <v>32895763.962227426</v>
      </c>
      <c r="Q98" s="284"/>
      <c r="R98" s="282"/>
      <c r="T98" s="255">
        <f>+'NCP FCST'!O$24</f>
        <v>32895763.962227426</v>
      </c>
      <c r="U98" s="255">
        <f>P98-T98</f>
        <v>0</v>
      </c>
    </row>
    <row r="99" spans="1:21">
      <c r="A99" s="253" t="str">
        <f>B96&amp;" "&amp;B99</f>
        <v>RS(T)-1 GNCP</v>
      </c>
      <c r="B99" s="254" t="s">
        <v>342</v>
      </c>
      <c r="C99" s="284">
        <f>VLOOKUP($B96,'GNCP FCST'!$A$12:$M$41,C$8,FALSE)</f>
        <v>11402970.92690799</v>
      </c>
      <c r="D99" s="284">
        <f>VLOOKUP($B96,'GNCP FCST'!$A$12:$M$41,D$8,FALSE)</f>
        <v>10453425.203548573</v>
      </c>
      <c r="E99" s="284">
        <f>VLOOKUP($B96,'GNCP FCST'!$A$12:$M$41,E$8,FALSE)</f>
        <v>9448867.2742184103</v>
      </c>
      <c r="F99" s="284">
        <f>VLOOKUP($B96,'GNCP FCST'!$A$12:$M$41,F$8,FALSE)</f>
        <v>9692595.4605809841</v>
      </c>
      <c r="G99" s="284">
        <f>VLOOKUP($B96,'GNCP FCST'!$A$12:$M$41,G$8,FALSE)</f>
        <v>10555178.398939686</v>
      </c>
      <c r="H99" s="284">
        <f>VLOOKUP($B96,'GNCP FCST'!$A$12:$M$41,H$8,FALSE)</f>
        <v>12003934.001785956</v>
      </c>
      <c r="I99" s="284">
        <f>VLOOKUP($B96,'GNCP FCST'!$A$12:$M$41,I$8,FALSE)</f>
        <v>12430117.092897104</v>
      </c>
      <c r="J99" s="284">
        <f>VLOOKUP($B96,'GNCP FCST'!$A$12:$M$41,J$8,FALSE)</f>
        <v>12384746.781903554</v>
      </c>
      <c r="K99" s="284">
        <f>VLOOKUP($B96,'GNCP FCST'!$A$12:$M$41,K$8,FALSE)</f>
        <v>13211503.611394707</v>
      </c>
      <c r="L99" s="284">
        <f>VLOOKUP($B96,'GNCP FCST'!$A$12:$M$41,L$8,FALSE)</f>
        <v>11748325.594517337</v>
      </c>
      <c r="M99" s="284">
        <f>VLOOKUP($B96,'GNCP FCST'!$A$12:$M$41,M$8,FALSE)</f>
        <v>9957348.4946358856</v>
      </c>
      <c r="N99" s="284">
        <f>VLOOKUP($B96,'GNCP FCST'!$A$12:$M$41,N$8,FALSE)</f>
        <v>9169389.4449011013</v>
      </c>
      <c r="O99" s="284"/>
      <c r="Q99" s="284">
        <f>MAX(C99:N99)</f>
        <v>13211503.611394707</v>
      </c>
      <c r="R99" s="282"/>
      <c r="T99" s="255">
        <f>+'GNCP FCST'!O$24</f>
        <v>13211503.611394707</v>
      </c>
      <c r="U99" s="255">
        <f>+Q99-T99</f>
        <v>0</v>
      </c>
    </row>
    <row r="100" spans="1:21">
      <c r="A100" s="253" t="str">
        <f>B96&amp;" "&amp;B100</f>
        <v>RS(T)-1 CP</v>
      </c>
      <c r="B100" s="254" t="s">
        <v>148</v>
      </c>
      <c r="C100" s="284">
        <f>VLOOKUP($B96,'CP FCST'!$A$12:$M$41,C$8,FALSE)</f>
        <v>11115519.906862644</v>
      </c>
      <c r="D100" s="284">
        <f>VLOOKUP($B96,'CP FCST'!$A$12:$M$41,D$8,FALSE)</f>
        <v>8455541.9522330165</v>
      </c>
      <c r="E100" s="284">
        <f>VLOOKUP($B96,'CP FCST'!$A$12:$M$41,E$8,FALSE)</f>
        <v>9116287.0397689007</v>
      </c>
      <c r="F100" s="284">
        <f>VLOOKUP($B96,'CP FCST'!$A$12:$M$41,F$8,FALSE)</f>
        <v>9489183.5426738858</v>
      </c>
      <c r="G100" s="284">
        <f>VLOOKUP($B96,'CP FCST'!$A$12:$M$41,G$8,FALSE)</f>
        <v>10326402.12540715</v>
      </c>
      <c r="H100" s="284">
        <f>VLOOKUP($B96,'CP FCST'!$A$12:$M$41,H$8,FALSE)</f>
        <v>11611957.800796388</v>
      </c>
      <c r="I100" s="284">
        <f>VLOOKUP($B96,'CP FCST'!$A$12:$M$41,I$8,FALSE)</f>
        <v>11873987.994849959</v>
      </c>
      <c r="J100" s="284">
        <f>VLOOKUP($B96,'CP FCST'!$A$12:$M$41,J$8,FALSE)</f>
        <v>11878583.198691728</v>
      </c>
      <c r="K100" s="284">
        <f>VLOOKUP($B96,'CP FCST'!$A$12:$M$41,K$8,FALSE)</f>
        <v>12374146.07628086</v>
      </c>
      <c r="L100" s="284">
        <f>VLOOKUP($B96,'CP FCST'!$A$12:$M$41,L$8,FALSE)</f>
        <v>11027096.588485794</v>
      </c>
      <c r="M100" s="284">
        <f>VLOOKUP($B96,'CP FCST'!$A$12:$M$41,M$8,FALSE)</f>
        <v>9579129.1974576116</v>
      </c>
      <c r="N100" s="284">
        <f>VLOOKUP($B96,'CP FCST'!$A$12:$M$41,N$8,FALSE)</f>
        <v>8928921.7042742744</v>
      </c>
      <c r="O100" s="284"/>
      <c r="P100" s="284"/>
      <c r="Q100" s="284"/>
      <c r="R100" s="255">
        <f>AVERAGE(C100:N100)</f>
        <v>10481396.427315185</v>
      </c>
      <c r="T100" s="255">
        <f>+'CP FCST'!O$24</f>
        <v>10481396.427315185</v>
      </c>
      <c r="U100" s="255">
        <f>R100-T100</f>
        <v>0</v>
      </c>
    </row>
    <row r="101" spans="1:21">
      <c r="B101" s="254" t="s">
        <v>570</v>
      </c>
      <c r="C101" s="285" t="str">
        <f>IF(C100&gt;C99,"ERROR",IF(C99&gt;C98,"ERROR","OK"))</f>
        <v>OK</v>
      </c>
      <c r="D101" s="285" t="str">
        <f t="shared" ref="D101:N101" si="12">IF(D100&gt;D99,"ERROR",IF(D99&gt;D98,"ERROR","OK"))</f>
        <v>OK</v>
      </c>
      <c r="E101" s="285" t="str">
        <f t="shared" si="12"/>
        <v>OK</v>
      </c>
      <c r="F101" s="285" t="str">
        <f t="shared" si="12"/>
        <v>OK</v>
      </c>
      <c r="G101" s="285" t="str">
        <f t="shared" si="12"/>
        <v>OK</v>
      </c>
      <c r="H101" s="285" t="str">
        <f t="shared" si="12"/>
        <v>OK</v>
      </c>
      <c r="I101" s="285" t="str">
        <f t="shared" si="12"/>
        <v>OK</v>
      </c>
      <c r="J101" s="285" t="str">
        <f t="shared" si="12"/>
        <v>OK</v>
      </c>
      <c r="K101" s="285" t="str">
        <f t="shared" si="12"/>
        <v>OK</v>
      </c>
      <c r="L101" s="285" t="str">
        <f t="shared" si="12"/>
        <v>OK</v>
      </c>
      <c r="M101" s="285" t="str">
        <f t="shared" si="12"/>
        <v>OK</v>
      </c>
      <c r="N101" s="285" t="str">
        <f t="shared" si="12"/>
        <v>OK</v>
      </c>
      <c r="O101" s="284"/>
      <c r="P101" s="284"/>
      <c r="Q101" s="284"/>
      <c r="R101" s="255"/>
    </row>
    <row r="102" spans="1:21">
      <c r="B102" s="259"/>
      <c r="C102" s="284"/>
      <c r="D102" s="284"/>
      <c r="E102" s="284"/>
      <c r="F102" s="284"/>
      <c r="G102" s="284"/>
      <c r="H102" s="284"/>
      <c r="I102" s="284"/>
      <c r="J102" s="284"/>
      <c r="K102" s="284"/>
      <c r="L102" s="284"/>
      <c r="M102" s="284"/>
      <c r="N102" s="284"/>
      <c r="O102" s="284"/>
      <c r="P102" s="284"/>
      <c r="Q102" s="284"/>
      <c r="R102" s="282"/>
    </row>
    <row r="103" spans="1:21">
      <c r="B103" s="252" t="s">
        <v>53</v>
      </c>
      <c r="C103" s="284"/>
      <c r="D103" s="284"/>
      <c r="E103" s="284"/>
      <c r="F103" s="284"/>
      <c r="G103" s="284"/>
      <c r="H103" s="284"/>
      <c r="I103" s="284"/>
      <c r="J103" s="284"/>
      <c r="K103" s="284"/>
      <c r="L103" s="284"/>
      <c r="M103" s="284"/>
      <c r="N103" s="284"/>
      <c r="O103" s="284"/>
      <c r="P103" s="284"/>
      <c r="Q103" s="284"/>
      <c r="R103" s="282"/>
    </row>
    <row r="104" spans="1:21">
      <c r="A104" s="253" t="str">
        <f>B103&amp;" "&amp;B104</f>
        <v>SL-1 KWH Sales</v>
      </c>
      <c r="B104" s="254" t="s">
        <v>563</v>
      </c>
      <c r="C104" s="284">
        <f>VLOOKUP($B103,'KWH FCST'!$A$12:$M$41,C$8,FALSE)</f>
        <v>48174083</v>
      </c>
      <c r="D104" s="284">
        <f>VLOOKUP($B103,'KWH FCST'!$A$12:$M$41,D$8,FALSE)</f>
        <v>44675133</v>
      </c>
      <c r="E104" s="284">
        <f>VLOOKUP($B103,'KWH FCST'!$A$12:$M$41,E$8,FALSE)</f>
        <v>44932085</v>
      </c>
      <c r="F104" s="284">
        <f>VLOOKUP($B103,'KWH FCST'!$A$12:$M$41,F$8,FALSE)</f>
        <v>46308634</v>
      </c>
      <c r="G104" s="284">
        <f>VLOOKUP($B103,'KWH FCST'!$A$12:$M$41,G$8,FALSE)</f>
        <v>46167749</v>
      </c>
      <c r="H104" s="284">
        <f>VLOOKUP($B103,'KWH FCST'!$A$12:$M$41,H$8,FALSE)</f>
        <v>43695955</v>
      </c>
      <c r="I104" s="284">
        <f>VLOOKUP($B103,'KWH FCST'!$A$12:$M$41,I$8,FALSE)</f>
        <v>45197734</v>
      </c>
      <c r="J104" s="284">
        <f>VLOOKUP($B103,'KWH FCST'!$A$12:$M$41,J$8,FALSE)</f>
        <v>51483554</v>
      </c>
      <c r="K104" s="284">
        <f>VLOOKUP($B103,'KWH FCST'!$A$12:$M$41,K$8,FALSE)</f>
        <v>45694635</v>
      </c>
      <c r="L104" s="284">
        <f>VLOOKUP($B103,'KWH FCST'!$A$12:$M$41,L$8,FALSE)</f>
        <v>43097778</v>
      </c>
      <c r="M104" s="284">
        <f>VLOOKUP($B103,'KWH FCST'!$A$12:$M$41,M$8,FALSE)</f>
        <v>42650157</v>
      </c>
      <c r="N104" s="284">
        <f>VLOOKUP($B103,'KWH FCST'!$A$12:$M$41,N$8,FALSE)</f>
        <v>48984218</v>
      </c>
      <c r="O104" s="284">
        <f>SUM(C104:N104)</f>
        <v>551061715</v>
      </c>
      <c r="P104" s="284"/>
      <c r="Q104" s="284"/>
      <c r="R104" s="282"/>
      <c r="T104" s="255">
        <f>VLOOKUP(B103,'Sales Forecast'!$B$7:$AO$23,38,FALSE)</f>
        <v>551061715</v>
      </c>
      <c r="U104" s="255">
        <f>+O104-T104</f>
        <v>0</v>
      </c>
    </row>
    <row r="105" spans="1:21">
      <c r="A105" s="253" t="str">
        <f>B103&amp;" "&amp;B105</f>
        <v>SL-1 NCP</v>
      </c>
      <c r="B105" s="254" t="s">
        <v>133</v>
      </c>
      <c r="C105" s="284">
        <f>VLOOKUP($B103,'NCP FCST'!$A$12:$M$41,C$8,FALSE)</f>
        <v>117255.11378672396</v>
      </c>
      <c r="D105" s="284">
        <f>VLOOKUP($B103,'NCP FCST'!$A$12:$M$41,D$8,FALSE)</f>
        <v>121114.28883906103</v>
      </c>
      <c r="E105" s="284">
        <f>VLOOKUP($B103,'NCP FCST'!$A$12:$M$41,E$8,FALSE)</f>
        <v>121146.36620608423</v>
      </c>
      <c r="F105" s="284">
        <f>VLOOKUP($B103,'NCP FCST'!$A$12:$M$41,F$8,FALSE)</f>
        <v>137431.01478214009</v>
      </c>
      <c r="G105" s="284">
        <f>VLOOKUP($B103,'NCP FCST'!$A$12:$M$41,G$8,FALSE)</f>
        <v>140367.07971371114</v>
      </c>
      <c r="H105" s="284">
        <f>VLOOKUP($B103,'NCP FCST'!$A$12:$M$41,H$8,FALSE)</f>
        <v>141322.2820267452</v>
      </c>
      <c r="I105" s="284">
        <f>VLOOKUP($B103,'NCP FCST'!$A$12:$M$41,I$8,FALSE)</f>
        <v>139614.79998537476</v>
      </c>
      <c r="J105" s="284">
        <f>VLOOKUP($B103,'NCP FCST'!$A$12:$M$41,J$8,FALSE)</f>
        <v>151424.30634080211</v>
      </c>
      <c r="K105" s="284">
        <f>VLOOKUP($B103,'NCP FCST'!$A$12:$M$41,K$8,FALSE)</f>
        <v>130311.54279554907</v>
      </c>
      <c r="L105" s="284">
        <f>VLOOKUP($B103,'NCP FCST'!$A$12:$M$41,L$8,FALSE)</f>
        <v>111683.58295983166</v>
      </c>
      <c r="M105" s="284">
        <f>VLOOKUP($B103,'NCP FCST'!$A$12:$M$41,M$8,FALSE)</f>
        <v>108584.53124152191</v>
      </c>
      <c r="N105" s="284">
        <f>VLOOKUP($B103,'NCP FCST'!$A$12:$M$41,N$8,FALSE)</f>
        <v>117789.13973260531</v>
      </c>
      <c r="O105" s="284"/>
      <c r="P105" s="284">
        <f>MAX(C105:N105)</f>
        <v>151424.30634080211</v>
      </c>
      <c r="Q105" s="284"/>
      <c r="R105" s="282"/>
      <c r="T105" s="255">
        <f>+'NCP FCST'!O$25</f>
        <v>151424.30634080211</v>
      </c>
      <c r="U105" s="255">
        <f>P105-T105</f>
        <v>0</v>
      </c>
    </row>
    <row r="106" spans="1:21">
      <c r="A106" s="253" t="str">
        <f>B103&amp;" "&amp;B106</f>
        <v>SL-1 GNCP</v>
      </c>
      <c r="B106" s="254" t="s">
        <v>342</v>
      </c>
      <c r="C106" s="284">
        <f>VLOOKUP($B103,'GNCP FCST'!$A$12:$M$41,C$8,FALSE)</f>
        <v>117255.11378672396</v>
      </c>
      <c r="D106" s="284">
        <f>VLOOKUP($B103,'GNCP FCST'!$A$12:$M$41,D$8,FALSE)</f>
        <v>121114.28883906103</v>
      </c>
      <c r="E106" s="284">
        <f>VLOOKUP($B103,'GNCP FCST'!$A$12:$M$41,E$8,FALSE)</f>
        <v>121146.36620608423</v>
      </c>
      <c r="F106" s="284">
        <f>VLOOKUP($B103,'GNCP FCST'!$A$12:$M$41,F$8,FALSE)</f>
        <v>137431.01478214009</v>
      </c>
      <c r="G106" s="284">
        <f>VLOOKUP($B103,'GNCP FCST'!$A$12:$M$41,G$8,FALSE)</f>
        <v>140367.07971371114</v>
      </c>
      <c r="H106" s="284">
        <f>VLOOKUP($B103,'GNCP FCST'!$A$12:$M$41,H$8,FALSE)</f>
        <v>141322.2820267452</v>
      </c>
      <c r="I106" s="284">
        <f>VLOOKUP($B103,'GNCP FCST'!$A$12:$M$41,I$8,FALSE)</f>
        <v>139614.79998537476</v>
      </c>
      <c r="J106" s="284">
        <f>VLOOKUP($B103,'GNCP FCST'!$A$12:$M$41,J$8,FALSE)</f>
        <v>151424.30634080211</v>
      </c>
      <c r="K106" s="284">
        <f>VLOOKUP($B103,'GNCP FCST'!$A$12:$M$41,K$8,FALSE)</f>
        <v>130311.54279554907</v>
      </c>
      <c r="L106" s="284">
        <f>VLOOKUP($B103,'GNCP FCST'!$A$12:$M$41,L$8,FALSE)</f>
        <v>111683.58295983166</v>
      </c>
      <c r="M106" s="284">
        <f>VLOOKUP($B103,'GNCP FCST'!$A$12:$M$41,M$8,FALSE)</f>
        <v>108584.53124152191</v>
      </c>
      <c r="N106" s="284">
        <f>VLOOKUP($B103,'GNCP FCST'!$A$12:$M$41,N$8,FALSE)</f>
        <v>117789.13973260531</v>
      </c>
      <c r="O106" s="284"/>
      <c r="Q106" s="284">
        <f>MAX(C106:N106)</f>
        <v>151424.30634080211</v>
      </c>
      <c r="R106" s="282"/>
      <c r="T106" s="255">
        <f>+'GNCP FCST'!O$25</f>
        <v>151424.30634080211</v>
      </c>
      <c r="U106" s="255">
        <f>+Q106-T106</f>
        <v>0</v>
      </c>
    </row>
    <row r="107" spans="1:21">
      <c r="A107" s="253" t="str">
        <f>B103&amp;" "&amp;B107</f>
        <v>SL-1 CP</v>
      </c>
      <c r="B107" s="254" t="s">
        <v>148</v>
      </c>
      <c r="C107" s="284">
        <f>VLOOKUP($B103,'CP FCST'!$A$12:$M$41,C$8,FALSE)</f>
        <v>48542.502573773476</v>
      </c>
      <c r="D107" s="284">
        <f>VLOOKUP($B103,'CP FCST'!$A$12:$M$41,D$8,FALSE)</f>
        <v>0</v>
      </c>
      <c r="E107" s="284">
        <f>VLOOKUP($B103,'CP FCST'!$A$12:$M$41,E$8,FALSE)</f>
        <v>0</v>
      </c>
      <c r="F107" s="284">
        <f>VLOOKUP($B103,'CP FCST'!$A$12:$M$41,F$8,FALSE)</f>
        <v>0</v>
      </c>
      <c r="G107" s="284">
        <f>VLOOKUP($B103,'CP FCST'!$A$12:$M$41,G$8,FALSE)</f>
        <v>0</v>
      </c>
      <c r="H107" s="284">
        <f>VLOOKUP($B103,'CP FCST'!$A$12:$M$41,H$8,FALSE)</f>
        <v>0</v>
      </c>
      <c r="I107" s="284">
        <f>VLOOKUP($B103,'CP FCST'!$A$12:$M$41,I$8,FALSE)</f>
        <v>0</v>
      </c>
      <c r="J107" s="284">
        <f>VLOOKUP($B103,'CP FCST'!$A$12:$M$41,J$8,FALSE)</f>
        <v>0</v>
      </c>
      <c r="K107" s="284">
        <f>VLOOKUP($B103,'CP FCST'!$A$12:$M$41,K$8,FALSE)</f>
        <v>0</v>
      </c>
      <c r="L107" s="284">
        <f>VLOOKUP($B103,'CP FCST'!$A$12:$M$41,L$8,FALSE)</f>
        <v>0</v>
      </c>
      <c r="M107" s="284">
        <f>VLOOKUP($B103,'CP FCST'!$A$12:$M$41,M$8,FALSE)</f>
        <v>38839.679207758498</v>
      </c>
      <c r="N107" s="284">
        <f>VLOOKUP($B103,'CP FCST'!$A$12:$M$41,N$8,FALSE)</f>
        <v>37450.254902486355</v>
      </c>
      <c r="O107" s="284"/>
      <c r="P107" s="284"/>
      <c r="Q107" s="284"/>
      <c r="R107" s="255">
        <f>AVERAGE(C107:N107)</f>
        <v>10402.703057001529</v>
      </c>
      <c r="T107" s="255">
        <f>+'CP FCST'!O$25</f>
        <v>10402.703057001529</v>
      </c>
      <c r="U107" s="255">
        <f>R107-T107</f>
        <v>0</v>
      </c>
    </row>
    <row r="108" spans="1:21">
      <c r="B108" s="254" t="s">
        <v>570</v>
      </c>
      <c r="C108" s="285" t="str">
        <f t="shared" ref="C108:N108" si="13">IF(C107&gt;C106,"ERROR",IF(C106&gt;C105,"ERROR","OK"))</f>
        <v>OK</v>
      </c>
      <c r="D108" s="285" t="str">
        <f t="shared" si="13"/>
        <v>OK</v>
      </c>
      <c r="E108" s="285" t="str">
        <f t="shared" si="13"/>
        <v>OK</v>
      </c>
      <c r="F108" s="285" t="str">
        <f t="shared" si="13"/>
        <v>OK</v>
      </c>
      <c r="G108" s="285" t="str">
        <f t="shared" si="13"/>
        <v>OK</v>
      </c>
      <c r="H108" s="285" t="str">
        <f t="shared" si="13"/>
        <v>OK</v>
      </c>
      <c r="I108" s="285" t="str">
        <f t="shared" si="13"/>
        <v>OK</v>
      </c>
      <c r="J108" s="285" t="str">
        <f t="shared" si="13"/>
        <v>OK</v>
      </c>
      <c r="K108" s="285" t="str">
        <f t="shared" si="13"/>
        <v>OK</v>
      </c>
      <c r="L108" s="285" t="str">
        <f t="shared" si="13"/>
        <v>OK</v>
      </c>
      <c r="M108" s="285" t="str">
        <f t="shared" si="13"/>
        <v>OK</v>
      </c>
      <c r="N108" s="285" t="str">
        <f t="shared" si="13"/>
        <v>OK</v>
      </c>
      <c r="O108" s="284"/>
      <c r="P108" s="284"/>
      <c r="Q108" s="284"/>
      <c r="R108" s="255"/>
    </row>
    <row r="109" spans="1:21">
      <c r="B109" s="259"/>
      <c r="C109" s="284"/>
      <c r="D109" s="284"/>
      <c r="E109" s="284"/>
      <c r="F109" s="284"/>
      <c r="G109" s="284"/>
      <c r="H109" s="284"/>
      <c r="I109" s="284"/>
      <c r="J109" s="284"/>
      <c r="K109" s="284"/>
      <c r="L109" s="284"/>
      <c r="M109" s="284"/>
      <c r="N109" s="284"/>
      <c r="O109" s="284"/>
      <c r="P109" s="284"/>
      <c r="Q109" s="284"/>
      <c r="R109" s="282"/>
    </row>
    <row r="110" spans="1:21">
      <c r="B110" s="252" t="s">
        <v>55</v>
      </c>
      <c r="C110" s="284"/>
      <c r="D110" s="284"/>
      <c r="E110" s="284"/>
      <c r="F110" s="284"/>
      <c r="G110" s="284"/>
      <c r="H110" s="284"/>
      <c r="I110" s="284"/>
      <c r="J110" s="284"/>
      <c r="K110" s="284"/>
      <c r="L110" s="284"/>
      <c r="M110" s="284"/>
      <c r="N110" s="284"/>
      <c r="O110" s="284"/>
      <c r="P110" s="284"/>
      <c r="Q110" s="284"/>
      <c r="R110" s="282"/>
    </row>
    <row r="111" spans="1:21">
      <c r="A111" s="253" t="str">
        <f>B110&amp;" "&amp;B111</f>
        <v>SL-2 KWH Sales</v>
      </c>
      <c r="B111" s="254" t="s">
        <v>563</v>
      </c>
      <c r="C111" s="284">
        <f>VLOOKUP($B110,'KWH FCST'!$A$12:$M$41,C$8,FALSE)</f>
        <v>2639277</v>
      </c>
      <c r="D111" s="284">
        <f>VLOOKUP($B110,'KWH FCST'!$A$12:$M$41,D$8,FALSE)</f>
        <v>2645291</v>
      </c>
      <c r="E111" s="284">
        <f>VLOOKUP($B110,'KWH FCST'!$A$12:$M$41,E$8,FALSE)</f>
        <v>2653067</v>
      </c>
      <c r="F111" s="284">
        <f>VLOOKUP($B110,'KWH FCST'!$A$12:$M$41,F$8,FALSE)</f>
        <v>2656076</v>
      </c>
      <c r="G111" s="284">
        <f>VLOOKUP($B110,'KWH FCST'!$A$12:$M$41,G$8,FALSE)</f>
        <v>2664746</v>
      </c>
      <c r="H111" s="284">
        <f>VLOOKUP($B110,'KWH FCST'!$A$12:$M$41,H$8,FALSE)</f>
        <v>2672542</v>
      </c>
      <c r="I111" s="284">
        <f>VLOOKUP($B110,'KWH FCST'!$A$12:$M$41,I$8,FALSE)</f>
        <v>2675556</v>
      </c>
      <c r="J111" s="284">
        <f>VLOOKUP($B110,'KWH FCST'!$A$12:$M$41,J$8,FALSE)</f>
        <v>2681584</v>
      </c>
      <c r="K111" s="284">
        <f>VLOOKUP($B110,'KWH FCST'!$A$12:$M$41,K$8,FALSE)</f>
        <v>2682818</v>
      </c>
      <c r="L111" s="284">
        <f>VLOOKUP($B110,'KWH FCST'!$A$12:$M$41,L$8,FALSE)</f>
        <v>2690626</v>
      </c>
      <c r="M111" s="284">
        <f>VLOOKUP($B110,'KWH FCST'!$A$12:$M$41,M$8,FALSE)</f>
        <v>2697548</v>
      </c>
      <c r="N111" s="284">
        <f>VLOOKUP($B110,'KWH FCST'!$A$12:$M$41,N$8,FALSE)</f>
        <v>2698773</v>
      </c>
      <c r="O111" s="284">
        <f>SUM(C111:N111)</f>
        <v>32057904</v>
      </c>
      <c r="P111" s="284"/>
      <c r="Q111" s="284"/>
      <c r="R111" s="282"/>
      <c r="T111" s="255">
        <f>VLOOKUP(B110,'Sales Forecast'!$B$7:$AO$23,38,FALSE)</f>
        <v>32057904</v>
      </c>
      <c r="U111" s="255">
        <f>+O111-T111</f>
        <v>0</v>
      </c>
    </row>
    <row r="112" spans="1:21">
      <c r="A112" s="253" t="str">
        <f>B110&amp;" "&amp;B112</f>
        <v>SL-2 NCP</v>
      </c>
      <c r="B112" s="254" t="s">
        <v>133</v>
      </c>
      <c r="C112" s="284">
        <f>VLOOKUP($B110,'NCP FCST'!$A$12:$M$41,C$8,FALSE)</f>
        <v>3547.14617263438</v>
      </c>
      <c r="D112" s="284">
        <f>VLOOKUP($B110,'NCP FCST'!$A$12:$M$41,D$8,FALSE)</f>
        <v>3801.5273754637124</v>
      </c>
      <c r="E112" s="284">
        <f>VLOOKUP($B110,'NCP FCST'!$A$12:$M$41,E$8,FALSE)</f>
        <v>3570.7796747896041</v>
      </c>
      <c r="F112" s="284">
        <f>VLOOKUP($B110,'NCP FCST'!$A$12:$M$41,F$8,FALSE)</f>
        <v>3688.905695682176</v>
      </c>
      <c r="G112" s="284">
        <f>VLOOKUP($B110,'NCP FCST'!$A$12:$M$41,G$8,FALSE)</f>
        <v>3581.5188575220513</v>
      </c>
      <c r="H112" s="284">
        <f>VLOOKUP($B110,'NCP FCST'!$A$12:$M$41,H$8,FALSE)</f>
        <v>3711.5033153802701</v>
      </c>
      <c r="I112" s="284">
        <f>VLOOKUP($B110,'NCP FCST'!$A$12:$M$41,I$8,FALSE)</f>
        <v>3596.3568242886977</v>
      </c>
      <c r="J112" s="284">
        <f>VLOOKUP($B110,'NCP FCST'!$A$12:$M$41,J$8,FALSE)</f>
        <v>3604.1318817441688</v>
      </c>
      <c r="K112" s="284">
        <f>VLOOKUP($B110,'NCP FCST'!$A$12:$M$41,K$8,FALSE)</f>
        <v>3726.4562890058628</v>
      </c>
      <c r="L112" s="284">
        <f>VLOOKUP($B110,'NCP FCST'!$A$12:$M$41,L$8,FALSE)</f>
        <v>3616.4355711845537</v>
      </c>
      <c r="M112" s="284">
        <f>VLOOKUP($B110,'NCP FCST'!$A$12:$M$41,M$8,FALSE)</f>
        <v>3751.8722899392988</v>
      </c>
      <c r="N112" s="284">
        <f>VLOOKUP($B110,'NCP FCST'!$A$12:$M$41,N$8,FALSE)</f>
        <v>3627.3765909684826</v>
      </c>
      <c r="O112" s="284"/>
      <c r="P112" s="284">
        <f>MAX(C112:N112)</f>
        <v>3801.5273754637124</v>
      </c>
      <c r="Q112" s="284"/>
      <c r="R112" s="282"/>
      <c r="T112" s="255">
        <f>+'NCP FCST'!O$26</f>
        <v>3801.5273754637124</v>
      </c>
      <c r="U112" s="255">
        <f>P112-T112</f>
        <v>0</v>
      </c>
    </row>
    <row r="113" spans="1:21">
      <c r="A113" s="253" t="str">
        <f>B110&amp;" "&amp;B113</f>
        <v>SL-2 GNCP</v>
      </c>
      <c r="B113" s="254" t="s">
        <v>342</v>
      </c>
      <c r="C113" s="284">
        <f>VLOOKUP($B110,'GNCP FCST'!$A$12:$M$41,C$8,FALSE)</f>
        <v>3547.14617263438</v>
      </c>
      <c r="D113" s="284">
        <f>VLOOKUP($B110,'GNCP FCST'!$A$12:$M$41,D$8,FALSE)</f>
        <v>3801.5273754637124</v>
      </c>
      <c r="E113" s="284">
        <f>VLOOKUP($B110,'GNCP FCST'!$A$12:$M$41,E$8,FALSE)</f>
        <v>3570.7796747896041</v>
      </c>
      <c r="F113" s="284">
        <f>VLOOKUP($B110,'GNCP FCST'!$A$12:$M$41,F$8,FALSE)</f>
        <v>3688.905695682176</v>
      </c>
      <c r="G113" s="284">
        <f>VLOOKUP($B110,'GNCP FCST'!$A$12:$M$41,G$8,FALSE)</f>
        <v>3581.5188575220513</v>
      </c>
      <c r="H113" s="284">
        <f>VLOOKUP($B110,'GNCP FCST'!$A$12:$M$41,H$8,FALSE)</f>
        <v>3711.5033153802701</v>
      </c>
      <c r="I113" s="284">
        <f>VLOOKUP($B110,'GNCP FCST'!$A$12:$M$41,I$8,FALSE)</f>
        <v>3596.3568242886977</v>
      </c>
      <c r="J113" s="284">
        <f>VLOOKUP($B110,'GNCP FCST'!$A$12:$M$41,J$8,FALSE)</f>
        <v>3604.1318817441688</v>
      </c>
      <c r="K113" s="284">
        <f>VLOOKUP($B110,'GNCP FCST'!$A$12:$M$41,K$8,FALSE)</f>
        <v>3726.4562890058628</v>
      </c>
      <c r="L113" s="284">
        <f>VLOOKUP($B110,'GNCP FCST'!$A$12:$M$41,L$8,FALSE)</f>
        <v>3616.4355711845537</v>
      </c>
      <c r="M113" s="284">
        <f>VLOOKUP($B110,'GNCP FCST'!$A$12:$M$41,M$8,FALSE)</f>
        <v>3751.8722899392988</v>
      </c>
      <c r="N113" s="284">
        <f>VLOOKUP($B110,'GNCP FCST'!$A$12:$M$41,N$8,FALSE)</f>
        <v>3627.3765909684826</v>
      </c>
      <c r="O113" s="284"/>
      <c r="Q113" s="284">
        <f>MAX(C113:N113)</f>
        <v>3801.5273754637124</v>
      </c>
      <c r="R113" s="282"/>
      <c r="T113" s="255">
        <f>+'GNCP FCST'!O$26</f>
        <v>3801.5273754637124</v>
      </c>
      <c r="U113" s="255">
        <f>+Q113-T113</f>
        <v>0</v>
      </c>
    </row>
    <row r="114" spans="1:21">
      <c r="A114" s="253" t="str">
        <f>B110&amp;" "&amp;B114</f>
        <v>SL-2 CP</v>
      </c>
      <c r="B114" s="254" t="s">
        <v>148</v>
      </c>
      <c r="C114" s="284">
        <f>VLOOKUP($B110,'CP FCST'!$A$12:$M$41,C$8,FALSE)</f>
        <v>3547.14617263438</v>
      </c>
      <c r="D114" s="284">
        <f>VLOOKUP($B110,'CP FCST'!$A$12:$M$41,D$8,FALSE)</f>
        <v>3801.5273754637124</v>
      </c>
      <c r="E114" s="284">
        <f>VLOOKUP($B110,'CP FCST'!$A$12:$M$41,E$8,FALSE)</f>
        <v>3570.7796747896041</v>
      </c>
      <c r="F114" s="284">
        <f>VLOOKUP($B110,'CP FCST'!$A$12:$M$41,F$8,FALSE)</f>
        <v>3688.905695682176</v>
      </c>
      <c r="G114" s="284">
        <f>VLOOKUP($B110,'CP FCST'!$A$12:$M$41,G$8,FALSE)</f>
        <v>3581.5188575220513</v>
      </c>
      <c r="H114" s="284">
        <f>VLOOKUP($B110,'CP FCST'!$A$12:$M$41,H$8,FALSE)</f>
        <v>3711.5033153802701</v>
      </c>
      <c r="I114" s="284">
        <f>VLOOKUP($B110,'CP FCST'!$A$12:$M$41,I$8,FALSE)</f>
        <v>3596.3568242886977</v>
      </c>
      <c r="J114" s="284">
        <f>VLOOKUP($B110,'CP FCST'!$A$12:$M$41,J$8,FALSE)</f>
        <v>3604.1318817441688</v>
      </c>
      <c r="K114" s="284">
        <f>VLOOKUP($B110,'CP FCST'!$A$12:$M$41,K$8,FALSE)</f>
        <v>3726.4562890058628</v>
      </c>
      <c r="L114" s="284">
        <f>VLOOKUP($B110,'CP FCST'!$A$12:$M$41,L$8,FALSE)</f>
        <v>3616.4355711845537</v>
      </c>
      <c r="M114" s="284">
        <f>VLOOKUP($B110,'CP FCST'!$A$12:$M$41,M$8,FALSE)</f>
        <v>3751.8722899392988</v>
      </c>
      <c r="N114" s="284">
        <f>VLOOKUP($B110,'CP FCST'!$A$12:$M$41,N$8,FALSE)</f>
        <v>3627.3765909684826</v>
      </c>
      <c r="O114" s="284"/>
      <c r="P114" s="284"/>
      <c r="Q114" s="284"/>
      <c r="R114" s="255">
        <f>AVERAGE(C114:N114)</f>
        <v>3652.0008782169384</v>
      </c>
      <c r="T114" s="255">
        <f>+'CP FCST'!O$26</f>
        <v>3652.0008782169384</v>
      </c>
      <c r="U114" s="255">
        <f>R114-T114</f>
        <v>0</v>
      </c>
    </row>
    <row r="115" spans="1:21">
      <c r="B115" s="254" t="s">
        <v>570</v>
      </c>
      <c r="C115" s="285" t="str">
        <f t="shared" ref="C115:N115" si="14">IF(C114&gt;C113,"ERROR",IF(C113&gt;C112,"ERROR","OK"))</f>
        <v>OK</v>
      </c>
      <c r="D115" s="285" t="str">
        <f t="shared" si="14"/>
        <v>OK</v>
      </c>
      <c r="E115" s="285" t="str">
        <f t="shared" si="14"/>
        <v>OK</v>
      </c>
      <c r="F115" s="285" t="str">
        <f t="shared" si="14"/>
        <v>OK</v>
      </c>
      <c r="G115" s="285" t="str">
        <f t="shared" si="14"/>
        <v>OK</v>
      </c>
      <c r="H115" s="285" t="str">
        <f t="shared" si="14"/>
        <v>OK</v>
      </c>
      <c r="I115" s="285" t="str">
        <f t="shared" si="14"/>
        <v>OK</v>
      </c>
      <c r="J115" s="285" t="str">
        <f t="shared" si="14"/>
        <v>OK</v>
      </c>
      <c r="K115" s="285" t="str">
        <f t="shared" si="14"/>
        <v>OK</v>
      </c>
      <c r="L115" s="285" t="str">
        <f t="shared" si="14"/>
        <v>OK</v>
      </c>
      <c r="M115" s="285" t="str">
        <f t="shared" si="14"/>
        <v>OK</v>
      </c>
      <c r="N115" s="285" t="str">
        <f t="shared" si="14"/>
        <v>OK</v>
      </c>
      <c r="O115" s="284"/>
      <c r="P115" s="284"/>
      <c r="Q115" s="284"/>
      <c r="R115" s="255"/>
    </row>
    <row r="116" spans="1:21">
      <c r="B116" s="259"/>
      <c r="C116" s="284"/>
      <c r="D116" s="284"/>
      <c r="E116" s="284"/>
      <c r="F116" s="284"/>
      <c r="G116" s="284"/>
      <c r="H116" s="284"/>
      <c r="I116" s="284"/>
      <c r="J116" s="284"/>
      <c r="K116" s="284"/>
      <c r="L116" s="284"/>
      <c r="M116" s="284"/>
      <c r="N116" s="284"/>
      <c r="O116" s="284"/>
      <c r="P116" s="284"/>
      <c r="Q116" s="284"/>
      <c r="R116" s="282"/>
    </row>
    <row r="117" spans="1:21">
      <c r="B117" s="252" t="s">
        <v>87</v>
      </c>
      <c r="C117" s="284"/>
      <c r="D117" s="284"/>
      <c r="E117" s="284"/>
      <c r="F117" s="284"/>
      <c r="G117" s="284"/>
      <c r="H117" s="284"/>
      <c r="I117" s="284"/>
      <c r="J117" s="284"/>
      <c r="K117" s="284"/>
      <c r="L117" s="284"/>
      <c r="M117" s="284"/>
      <c r="N117" s="284"/>
      <c r="O117" s="284"/>
      <c r="P117" s="284"/>
      <c r="Q117" s="284"/>
      <c r="R117" s="282"/>
    </row>
    <row r="118" spans="1:21">
      <c r="A118" s="253" t="str">
        <f>B117&amp;" "&amp;B118</f>
        <v>SST-D KWH Sales</v>
      </c>
      <c r="B118" s="254" t="s">
        <v>563</v>
      </c>
      <c r="C118" s="284">
        <f>VLOOKUP($B117,'KWH FCST'!$A$12:$M$41,C$8,FALSE)</f>
        <v>602856</v>
      </c>
      <c r="D118" s="284">
        <f>VLOOKUP($B117,'KWH FCST'!$A$12:$M$41,D$8,FALSE)</f>
        <v>685784</v>
      </c>
      <c r="E118" s="284">
        <f>VLOOKUP($B117,'KWH FCST'!$A$12:$M$41,E$8,FALSE)</f>
        <v>666585</v>
      </c>
      <c r="F118" s="284">
        <f>VLOOKUP($B117,'KWH FCST'!$A$12:$M$41,F$8,FALSE)</f>
        <v>1230699</v>
      </c>
      <c r="G118" s="284">
        <f>VLOOKUP($B117,'KWH FCST'!$A$12:$M$41,G$8,FALSE)</f>
        <v>1462083</v>
      </c>
      <c r="H118" s="284">
        <f>VLOOKUP($B117,'KWH FCST'!$A$12:$M$41,H$8,FALSE)</f>
        <v>1187857</v>
      </c>
      <c r="I118" s="284">
        <f>VLOOKUP($B117,'KWH FCST'!$A$12:$M$41,I$8,FALSE)</f>
        <v>1087713</v>
      </c>
      <c r="J118" s="284">
        <f>VLOOKUP($B117,'KWH FCST'!$A$12:$M$41,J$8,FALSE)</f>
        <v>1181803</v>
      </c>
      <c r="K118" s="284">
        <f>VLOOKUP($B117,'KWH FCST'!$A$12:$M$41,K$8,FALSE)</f>
        <v>1205075</v>
      </c>
      <c r="L118" s="284">
        <f>VLOOKUP($B117,'KWH FCST'!$A$12:$M$41,L$8,FALSE)</f>
        <v>1239312</v>
      </c>
      <c r="M118" s="284">
        <f>VLOOKUP($B117,'KWH FCST'!$A$12:$M$41,M$8,FALSE)</f>
        <v>799615</v>
      </c>
      <c r="N118" s="284">
        <f>VLOOKUP($B117,'KWH FCST'!$A$12:$M$41,N$8,FALSE)</f>
        <v>507544</v>
      </c>
      <c r="O118" s="284">
        <f>SUM(C118:N118)</f>
        <v>11856926</v>
      </c>
      <c r="P118" s="284"/>
      <c r="Q118" s="284"/>
      <c r="R118" s="282"/>
      <c r="T118" s="255">
        <f>VLOOKUP(B117,'Sales Forecast'!$B$7:$AO$23,38,FALSE)</f>
        <v>11856926</v>
      </c>
      <c r="U118" s="255">
        <f>+O118-T118</f>
        <v>0</v>
      </c>
    </row>
    <row r="119" spans="1:21">
      <c r="A119" s="253" t="str">
        <f>B117&amp;" "&amp;B119</f>
        <v>SST-D NCP</v>
      </c>
      <c r="B119" s="254" t="s">
        <v>133</v>
      </c>
      <c r="C119" s="284">
        <f>VLOOKUP($B117,'NCP FCST'!$A$12:$M$41,C$8,FALSE)</f>
        <v>2593.5189042567204</v>
      </c>
      <c r="D119" s="284">
        <f>VLOOKUP($B117,'NCP FCST'!$A$12:$M$41,D$8,FALSE)</f>
        <v>4050.1324098944556</v>
      </c>
      <c r="E119" s="284">
        <f>VLOOKUP($B117,'NCP FCST'!$A$12:$M$41,E$8,FALSE)</f>
        <v>2074.4309236034824</v>
      </c>
      <c r="F119" s="284">
        <f>VLOOKUP($B117,'NCP FCST'!$A$12:$M$41,F$8,FALSE)</f>
        <v>4502.7040479529442</v>
      </c>
      <c r="G119" s="284">
        <f>VLOOKUP($B117,'NCP FCST'!$A$12:$M$41,G$8,FALSE)</f>
        <v>4384.7171398394057</v>
      </c>
      <c r="H119" s="284">
        <f>VLOOKUP($B117,'NCP FCST'!$A$12:$M$41,H$8,FALSE)</f>
        <v>4269.2452020184992</v>
      </c>
      <c r="I119" s="284">
        <f>VLOOKUP($B117,'NCP FCST'!$A$12:$M$41,I$8,FALSE)</f>
        <v>3783.8880214331334</v>
      </c>
      <c r="J119" s="284">
        <f>VLOOKUP($B117,'NCP FCST'!$A$12:$M$41,J$8,FALSE)</f>
        <v>4125.9206866137783</v>
      </c>
      <c r="K119" s="284">
        <f>VLOOKUP($B117,'NCP FCST'!$A$12:$M$41,K$8,FALSE)</f>
        <v>4196.8912214794764</v>
      </c>
      <c r="L119" s="284">
        <f>VLOOKUP($B117,'NCP FCST'!$A$12:$M$41,L$8,FALSE)</f>
        <v>7191.7662933466345</v>
      </c>
      <c r="M119" s="284">
        <f>VLOOKUP($B117,'NCP FCST'!$A$12:$M$41,M$8,FALSE)</f>
        <v>9915.8901043602818</v>
      </c>
      <c r="N119" s="284">
        <f>VLOOKUP($B117,'NCP FCST'!$A$12:$M$41,N$8,FALSE)</f>
        <v>3484.258878399472</v>
      </c>
      <c r="O119" s="284"/>
      <c r="P119" s="284">
        <f>MAX(C119:N119)</f>
        <v>9915.8901043602818</v>
      </c>
      <c r="Q119" s="284"/>
      <c r="R119" s="282"/>
      <c r="T119" s="255">
        <f>+'NCP FCST'!O$27</f>
        <v>9915.8901043602818</v>
      </c>
      <c r="U119" s="255">
        <f>P119-T119</f>
        <v>0</v>
      </c>
    </row>
    <row r="120" spans="1:21">
      <c r="A120" s="253" t="str">
        <f>B117&amp;" "&amp;B120</f>
        <v>SST-D GNCP</v>
      </c>
      <c r="B120" s="254" t="s">
        <v>342</v>
      </c>
      <c r="C120" s="284">
        <f>VLOOKUP($B117,'GNCP FCST'!$A$12:$M$41,C$8,FALSE)</f>
        <v>2094.8997814579911</v>
      </c>
      <c r="D120" s="284">
        <f>VLOOKUP($B117,'GNCP FCST'!$A$12:$M$41,D$8,FALSE)</f>
        <v>3561.1033111085408</v>
      </c>
      <c r="E120" s="284">
        <f>VLOOKUP($B117,'GNCP FCST'!$A$12:$M$41,E$8,FALSE)</f>
        <v>1559.5730910102195</v>
      </c>
      <c r="F120" s="284">
        <f>VLOOKUP($B117,'GNCP FCST'!$A$12:$M$41,F$8,FALSE)</f>
        <v>3752.7793593986644</v>
      </c>
      <c r="G120" s="284">
        <f>VLOOKUP($B117,'GNCP FCST'!$A$12:$M$41,G$8,FALSE)</f>
        <v>3780.5827207051971</v>
      </c>
      <c r="H120" s="284">
        <f>VLOOKUP($B117,'GNCP FCST'!$A$12:$M$41,H$8,FALSE)</f>
        <v>3297.8128041258401</v>
      </c>
      <c r="I120" s="284">
        <f>VLOOKUP($B117,'GNCP FCST'!$A$12:$M$41,I$8,FALSE)</f>
        <v>3153.7324038724787</v>
      </c>
      <c r="J120" s="284">
        <f>VLOOKUP($B117,'GNCP FCST'!$A$12:$M$41,J$8,FALSE)</f>
        <v>3347.9186106707907</v>
      </c>
      <c r="K120" s="284">
        <f>VLOOKUP($B117,'GNCP FCST'!$A$12:$M$41,K$8,FALSE)</f>
        <v>3632.0019128777417</v>
      </c>
      <c r="L120" s="284">
        <f>VLOOKUP($B117,'GNCP FCST'!$A$12:$M$41,L$8,FALSE)</f>
        <v>5011.848283997344</v>
      </c>
      <c r="M120" s="284">
        <f>VLOOKUP($B117,'GNCP FCST'!$A$12:$M$41,M$8,FALSE)</f>
        <v>8201.2538466420647</v>
      </c>
      <c r="N120" s="284">
        <f>VLOOKUP($B117,'GNCP FCST'!$A$12:$M$41,N$8,FALSE)</f>
        <v>2237.9847529906788</v>
      </c>
      <c r="O120" s="284"/>
      <c r="Q120" s="284">
        <f>MAX(C120:N120)</f>
        <v>8201.2538466420647</v>
      </c>
      <c r="R120" s="282"/>
      <c r="T120" s="255">
        <f>+'GNCP FCST'!O$27</f>
        <v>8201.2538466420647</v>
      </c>
      <c r="U120" s="255">
        <f>+Q120-T120</f>
        <v>0</v>
      </c>
    </row>
    <row r="121" spans="1:21">
      <c r="A121" s="253" t="str">
        <f>B117&amp;" "&amp;B121</f>
        <v>SST-D CP</v>
      </c>
      <c r="B121" s="254" t="s">
        <v>148</v>
      </c>
      <c r="C121" s="284">
        <f>VLOOKUP($B117,'CP FCST'!$A$12:$M$41,C$8,FALSE)</f>
        <v>985.2474049690336</v>
      </c>
      <c r="D121" s="284">
        <f>VLOOKUP($B117,'CP FCST'!$A$12:$M$41,D$8,FALSE)</f>
        <v>1438.2724504696848</v>
      </c>
      <c r="E121" s="284">
        <f>VLOOKUP($B117,'CP FCST'!$A$12:$M$41,E$8,FALSE)</f>
        <v>1043.305040249993</v>
      </c>
      <c r="F121" s="284">
        <f>VLOOKUP($B117,'CP FCST'!$A$12:$M$41,F$8,FALSE)</f>
        <v>1991.7778813837754</v>
      </c>
      <c r="G121" s="284">
        <f>VLOOKUP($B117,'CP FCST'!$A$12:$M$41,G$8,FALSE)</f>
        <v>1717.1864196042998</v>
      </c>
      <c r="H121" s="284">
        <f>VLOOKUP($B117,'CP FCST'!$A$12:$M$41,H$8,FALSE)</f>
        <v>2116.500434801274</v>
      </c>
      <c r="I121" s="284">
        <f>VLOOKUP($B117,'CP FCST'!$A$12:$M$41,I$8,FALSE)</f>
        <v>1995.0496415316954</v>
      </c>
      <c r="J121" s="284">
        <f>VLOOKUP($B117,'CP FCST'!$A$12:$M$41,J$8,FALSE)</f>
        <v>1555.4464443046534</v>
      </c>
      <c r="K121" s="284">
        <f>VLOOKUP($B117,'CP FCST'!$A$12:$M$41,K$8,FALSE)</f>
        <v>1222.3179382354567</v>
      </c>
      <c r="L121" s="284">
        <f>VLOOKUP($B117,'CP FCST'!$A$12:$M$41,L$8,FALSE)</f>
        <v>2546.6488030279029</v>
      </c>
      <c r="M121" s="284">
        <f>VLOOKUP($B117,'CP FCST'!$A$12:$M$41,M$8,FALSE)</f>
        <v>2646.267374491119</v>
      </c>
      <c r="N121" s="284">
        <f>VLOOKUP($B117,'CP FCST'!$A$12:$M$41,N$8,FALSE)</f>
        <v>548.5628503320653</v>
      </c>
      <c r="O121" s="284"/>
      <c r="P121" s="284"/>
      <c r="Q121" s="284"/>
      <c r="R121" s="255">
        <f>AVERAGE(C121:N121)</f>
        <v>1650.5485569500795</v>
      </c>
      <c r="T121" s="255">
        <f>+'CP FCST'!O$27</f>
        <v>1650.5485569500795</v>
      </c>
      <c r="U121" s="255">
        <f>R121-T121</f>
        <v>0</v>
      </c>
    </row>
    <row r="122" spans="1:21">
      <c r="B122" s="254" t="s">
        <v>570</v>
      </c>
      <c r="C122" s="285" t="str">
        <f t="shared" ref="C122:N122" si="15">IF(C121&gt;C120,"ERROR",IF(C120&gt;C119,"ERROR","OK"))</f>
        <v>OK</v>
      </c>
      <c r="D122" s="285" t="str">
        <f t="shared" si="15"/>
        <v>OK</v>
      </c>
      <c r="E122" s="285" t="str">
        <f t="shared" si="15"/>
        <v>OK</v>
      </c>
      <c r="F122" s="285" t="str">
        <f t="shared" si="15"/>
        <v>OK</v>
      </c>
      <c r="G122" s="285" t="str">
        <f t="shared" si="15"/>
        <v>OK</v>
      </c>
      <c r="H122" s="285" t="str">
        <f t="shared" si="15"/>
        <v>OK</v>
      </c>
      <c r="I122" s="285" t="str">
        <f t="shared" si="15"/>
        <v>OK</v>
      </c>
      <c r="J122" s="285" t="str">
        <f t="shared" si="15"/>
        <v>OK</v>
      </c>
      <c r="K122" s="285" t="str">
        <f t="shared" si="15"/>
        <v>OK</v>
      </c>
      <c r="L122" s="285" t="str">
        <f t="shared" si="15"/>
        <v>OK</v>
      </c>
      <c r="M122" s="285" t="str">
        <f t="shared" si="15"/>
        <v>OK</v>
      </c>
      <c r="N122" s="285" t="str">
        <f t="shared" si="15"/>
        <v>OK</v>
      </c>
      <c r="O122" s="284"/>
      <c r="P122" s="284"/>
      <c r="Q122" s="284"/>
      <c r="R122" s="255"/>
    </row>
    <row r="123" spans="1:21">
      <c r="B123" s="259"/>
      <c r="C123" s="284"/>
      <c r="D123" s="284"/>
      <c r="E123" s="284"/>
      <c r="F123" s="284"/>
      <c r="G123" s="284"/>
      <c r="H123" s="284"/>
      <c r="I123" s="284"/>
      <c r="J123" s="284"/>
      <c r="K123" s="284"/>
      <c r="L123" s="284"/>
      <c r="M123" s="284"/>
      <c r="N123" s="284"/>
      <c r="O123" s="284"/>
      <c r="P123" s="284"/>
      <c r="Q123" s="284"/>
      <c r="R123" s="282"/>
    </row>
    <row r="124" spans="1:21">
      <c r="B124" s="252" t="s">
        <v>88</v>
      </c>
      <c r="C124" s="284"/>
      <c r="D124" s="284"/>
      <c r="E124" s="284"/>
      <c r="F124" s="284"/>
      <c r="G124" s="284"/>
      <c r="H124" s="284"/>
      <c r="I124" s="284"/>
      <c r="J124" s="284"/>
      <c r="K124" s="284"/>
      <c r="L124" s="284"/>
      <c r="M124" s="284"/>
      <c r="N124" s="284"/>
      <c r="O124" s="284"/>
      <c r="P124" s="284"/>
      <c r="Q124" s="284"/>
      <c r="R124" s="282"/>
    </row>
    <row r="125" spans="1:21">
      <c r="A125" s="253" t="str">
        <f>B124&amp;" "&amp;B125</f>
        <v>SST-1T KWH Sales</v>
      </c>
      <c r="B125" s="254" t="s">
        <v>563</v>
      </c>
      <c r="C125" s="284">
        <f>VLOOKUP($B124,'KWH FCST'!$A$12:$M$41,C$8,FALSE)</f>
        <v>5811710</v>
      </c>
      <c r="D125" s="284">
        <f>VLOOKUP($B124,'KWH FCST'!$A$12:$M$41,D$8,FALSE)</f>
        <v>6787344</v>
      </c>
      <c r="E125" s="284">
        <f>VLOOKUP($B124,'KWH FCST'!$A$12:$M$41,E$8,FALSE)</f>
        <v>8318048</v>
      </c>
      <c r="F125" s="284">
        <f>VLOOKUP($B124,'KWH FCST'!$A$12:$M$41,F$8,FALSE)</f>
        <v>7683818</v>
      </c>
      <c r="G125" s="284">
        <f>VLOOKUP($B124,'KWH FCST'!$A$12:$M$41,G$8,FALSE)</f>
        <v>10687136</v>
      </c>
      <c r="H125" s="284">
        <f>VLOOKUP($B124,'KWH FCST'!$A$12:$M$41,H$8,FALSE)</f>
        <v>7415962</v>
      </c>
      <c r="I125" s="284">
        <f>VLOOKUP($B124,'KWH FCST'!$A$12:$M$41,I$8,FALSE)</f>
        <v>7202482</v>
      </c>
      <c r="J125" s="284">
        <f>VLOOKUP($B124,'KWH FCST'!$A$12:$M$41,J$8,FALSE)</f>
        <v>6421378</v>
      </c>
      <c r="K125" s="284">
        <f>VLOOKUP($B124,'KWH FCST'!$A$12:$M$41,K$8,FALSE)</f>
        <v>4740820</v>
      </c>
      <c r="L125" s="284">
        <f>VLOOKUP($B124,'KWH FCST'!$A$12:$M$41,L$8,FALSE)</f>
        <v>9837782</v>
      </c>
      <c r="M125" s="284">
        <f>VLOOKUP($B124,'KWH FCST'!$A$12:$M$41,M$8,FALSE)</f>
        <v>9758504</v>
      </c>
      <c r="N125" s="284">
        <f>VLOOKUP($B124,'KWH FCST'!$A$12:$M$41,N$8,FALSE)</f>
        <v>5002770</v>
      </c>
      <c r="O125" s="284">
        <f>SUM(C125:N125)</f>
        <v>89667754</v>
      </c>
      <c r="P125" s="284"/>
      <c r="Q125" s="284"/>
      <c r="R125" s="282"/>
      <c r="T125" s="255">
        <f>VLOOKUP(B124,'Sales Forecast'!$B$7:$AO$23,38,FALSE)</f>
        <v>89667754</v>
      </c>
      <c r="U125" s="255">
        <f>+O125-T125</f>
        <v>0</v>
      </c>
    </row>
    <row r="126" spans="1:21">
      <c r="A126" s="253" t="str">
        <f>B124&amp;" "&amp;B126</f>
        <v>SST-1T NCP</v>
      </c>
      <c r="B126" s="254" t="s">
        <v>133</v>
      </c>
      <c r="C126" s="284">
        <f>VLOOKUP($B124,'NCP FCST'!$A$12:$M$41,C$8,FALSE)</f>
        <v>77165.349050049161</v>
      </c>
      <c r="D126" s="284">
        <f>VLOOKUP($B124,'NCP FCST'!$A$12:$M$41,D$8,FALSE)</f>
        <v>76603.989689428869</v>
      </c>
      <c r="E126" s="284">
        <f>VLOOKUP($B124,'NCP FCST'!$A$12:$M$41,E$8,FALSE)</f>
        <v>126194.63538322384</v>
      </c>
      <c r="F126" s="284">
        <f>VLOOKUP($B124,'NCP FCST'!$A$12:$M$41,F$8,FALSE)</f>
        <v>85236.757496452658</v>
      </c>
      <c r="G126" s="284">
        <f>VLOOKUP($B124,'NCP FCST'!$A$12:$M$41,G$8,FALSE)</f>
        <v>130358.62287063993</v>
      </c>
      <c r="H126" s="284">
        <f>VLOOKUP($B124,'NCP FCST'!$A$12:$M$41,H$8,FALSE)</f>
        <v>93864.854941203899</v>
      </c>
      <c r="I126" s="284">
        <f>VLOOKUP($B124,'NCP FCST'!$A$12:$M$41,I$8,FALSE)</f>
        <v>69829.322856681159</v>
      </c>
      <c r="J126" s="284">
        <f>VLOOKUP($B124,'NCP FCST'!$A$12:$M$41,J$8,FALSE)</f>
        <v>81030.196231143462</v>
      </c>
      <c r="K126" s="284">
        <f>VLOOKUP($B124,'NCP FCST'!$A$12:$M$41,K$8,FALSE)</f>
        <v>54470.549108778629</v>
      </c>
      <c r="L126" s="284">
        <f>VLOOKUP($B124,'NCP FCST'!$A$12:$M$41,L$8,FALSE)</f>
        <v>75766.052788883608</v>
      </c>
      <c r="M126" s="284">
        <f>VLOOKUP($B124,'NCP FCST'!$A$12:$M$41,M$8,FALSE)</f>
        <v>143697.99467250583</v>
      </c>
      <c r="N126" s="284">
        <f>VLOOKUP($B124,'NCP FCST'!$A$12:$M$41,N$8,FALSE)</f>
        <v>68168.578564909767</v>
      </c>
      <c r="O126" s="284"/>
      <c r="P126" s="284">
        <f>MAX(C126:N126)</f>
        <v>143697.99467250583</v>
      </c>
      <c r="Q126" s="284"/>
      <c r="R126" s="282"/>
      <c r="T126" s="255">
        <f>+'NCP FCST'!O$28</f>
        <v>143697.99467250583</v>
      </c>
      <c r="U126" s="255">
        <f>P126-T126</f>
        <v>0</v>
      </c>
    </row>
    <row r="127" spans="1:21">
      <c r="A127" s="253" t="str">
        <f>B124&amp;" "&amp;B127</f>
        <v>SST-1T GNCP</v>
      </c>
      <c r="B127" s="254" t="s">
        <v>342</v>
      </c>
      <c r="C127" s="284">
        <f>VLOOKUP($B124,'GNCP FCST'!$A$12:$M$41,C$8,FALSE)</f>
        <v>27161.062652635701</v>
      </c>
      <c r="D127" s="284">
        <f>VLOOKUP($B124,'GNCP FCST'!$A$12:$M$41,D$8,FALSE)</f>
        <v>34588.950168604053</v>
      </c>
      <c r="E127" s="284">
        <f>VLOOKUP($B124,'GNCP FCST'!$A$12:$M$41,E$8,FALSE)</f>
        <v>51499.060994838059</v>
      </c>
      <c r="F127" s="284">
        <f>VLOOKUP($B124,'GNCP FCST'!$A$12:$M$41,F$8,FALSE)</f>
        <v>38254.510631621291</v>
      </c>
      <c r="G127" s="284">
        <f>VLOOKUP($B124,'GNCP FCST'!$A$12:$M$41,G$8,FALSE)</f>
        <v>51961.080237677292</v>
      </c>
      <c r="H127" s="284">
        <f>VLOOKUP($B124,'GNCP FCST'!$A$12:$M$41,H$8,FALSE)</f>
        <v>42020.066943799786</v>
      </c>
      <c r="I127" s="284">
        <f>VLOOKUP($B124,'GNCP FCST'!$A$12:$M$41,I$8,FALSE)</f>
        <v>27417.529125675708</v>
      </c>
      <c r="J127" s="284">
        <f>VLOOKUP($B124,'GNCP FCST'!$A$12:$M$41,J$8,FALSE)</f>
        <v>33207.601247620143</v>
      </c>
      <c r="K127" s="284">
        <f>VLOOKUP($B124,'GNCP FCST'!$A$12:$M$41,K$8,FALSE)</f>
        <v>25998.538042951037</v>
      </c>
      <c r="L127" s="284">
        <f>VLOOKUP($B124,'GNCP FCST'!$A$12:$M$41,L$8,FALSE)</f>
        <v>35228.26656812647</v>
      </c>
      <c r="M127" s="284">
        <f>VLOOKUP($B124,'GNCP FCST'!$A$12:$M$41,M$8,FALSE)</f>
        <v>57625.579904252947</v>
      </c>
      <c r="N127" s="284">
        <f>VLOOKUP($B124,'GNCP FCST'!$A$12:$M$41,N$8,FALSE)</f>
        <v>29998.785873165416</v>
      </c>
      <c r="O127" s="284"/>
      <c r="Q127" s="284">
        <f>MAX(C127:N127)</f>
        <v>57625.579904252947</v>
      </c>
      <c r="R127" s="282"/>
      <c r="T127" s="255">
        <f>+'GNCP FCST'!O$28</f>
        <v>57625.579904252947</v>
      </c>
      <c r="U127" s="255">
        <f>+Q127-T127</f>
        <v>0</v>
      </c>
    </row>
    <row r="128" spans="1:21">
      <c r="A128" s="253" t="str">
        <f>B124&amp;" "&amp;B128</f>
        <v>SST-1T CP</v>
      </c>
      <c r="B128" s="254" t="s">
        <v>148</v>
      </c>
      <c r="C128" s="284">
        <f>VLOOKUP($B124,'CP FCST'!$A$12:$M$41,C$8,FALSE)</f>
        <v>10091.705184312001</v>
      </c>
      <c r="D128" s="284">
        <f>VLOOKUP($B124,'CP FCST'!$A$12:$M$41,D$8,FALSE)</f>
        <v>9303.3944562068737</v>
      </c>
      <c r="E128" s="284">
        <f>VLOOKUP($B124,'CP FCST'!$A$12:$M$41,E$8,FALSE)</f>
        <v>7653.328890952017</v>
      </c>
      <c r="F128" s="284">
        <f>VLOOKUP($B124,'CP FCST'!$A$12:$M$41,F$8,FALSE)</f>
        <v>8544.2008858225727</v>
      </c>
      <c r="G128" s="284">
        <f>VLOOKUP($B124,'CP FCST'!$A$12:$M$41,G$8,FALSE)</f>
        <v>9228.9112787339945</v>
      </c>
      <c r="H128" s="284">
        <f>VLOOKUP($B124,'CP FCST'!$A$12:$M$41,H$8,FALSE)</f>
        <v>7762.6092720236502</v>
      </c>
      <c r="I128" s="284">
        <f>VLOOKUP($B124,'CP FCST'!$A$12:$M$41,I$8,FALSE)</f>
        <v>6510.270882921991</v>
      </c>
      <c r="J128" s="284">
        <f>VLOOKUP($B124,'CP FCST'!$A$12:$M$41,J$8,FALSE)</f>
        <v>5585.5853022066722</v>
      </c>
      <c r="K128" s="284">
        <f>VLOOKUP($B124,'CP FCST'!$A$12:$M$41,K$8,FALSE)</f>
        <v>10719.206560812245</v>
      </c>
      <c r="L128" s="284">
        <f>VLOOKUP($B124,'CP FCST'!$A$12:$M$41,L$8,FALSE)</f>
        <v>7076.7278829358784</v>
      </c>
      <c r="M128" s="284">
        <f>VLOOKUP($B124,'CP FCST'!$A$12:$M$41,M$8,FALSE)</f>
        <v>19240.525740258134</v>
      </c>
      <c r="N128" s="284">
        <f>VLOOKUP($B124,'CP FCST'!$A$12:$M$41,N$8,FALSE)</f>
        <v>7796.4164241659955</v>
      </c>
      <c r="O128" s="284"/>
      <c r="P128" s="284"/>
      <c r="Q128" s="284"/>
      <c r="R128" s="255">
        <f>AVERAGE(C128:N128)</f>
        <v>9126.0735634460016</v>
      </c>
      <c r="T128" s="255">
        <f>+'CP FCST'!O$28</f>
        <v>9126.0735634460016</v>
      </c>
      <c r="U128" s="255">
        <f>R128-T128</f>
        <v>0</v>
      </c>
    </row>
    <row r="129" spans="1:26">
      <c r="B129" s="254" t="s">
        <v>570</v>
      </c>
      <c r="C129" s="285" t="str">
        <f t="shared" ref="C129:N129" si="16">IF(C128&gt;C127,"ERROR",IF(C127&gt;C126,"ERROR","OK"))</f>
        <v>OK</v>
      </c>
      <c r="D129" s="285" t="str">
        <f t="shared" si="16"/>
        <v>OK</v>
      </c>
      <c r="E129" s="285" t="str">
        <f t="shared" si="16"/>
        <v>OK</v>
      </c>
      <c r="F129" s="285" t="str">
        <f t="shared" si="16"/>
        <v>OK</v>
      </c>
      <c r="G129" s="285" t="str">
        <f t="shared" si="16"/>
        <v>OK</v>
      </c>
      <c r="H129" s="285" t="str">
        <f t="shared" si="16"/>
        <v>OK</v>
      </c>
      <c r="I129" s="285" t="str">
        <f t="shared" si="16"/>
        <v>OK</v>
      </c>
      <c r="J129" s="285" t="str">
        <f t="shared" si="16"/>
        <v>OK</v>
      </c>
      <c r="K129" s="285" t="str">
        <f t="shared" si="16"/>
        <v>OK</v>
      </c>
      <c r="L129" s="285" t="str">
        <f t="shared" si="16"/>
        <v>OK</v>
      </c>
      <c r="M129" s="285" t="str">
        <f t="shared" si="16"/>
        <v>OK</v>
      </c>
      <c r="N129" s="285" t="str">
        <f t="shared" si="16"/>
        <v>OK</v>
      </c>
      <c r="O129" s="284"/>
      <c r="P129" s="284"/>
      <c r="Q129" s="284"/>
      <c r="R129" s="255"/>
    </row>
    <row r="130" spans="1:26">
      <c r="B130" s="259"/>
      <c r="C130" s="284"/>
      <c r="D130" s="284"/>
      <c r="E130" s="284"/>
      <c r="F130" s="284"/>
      <c r="G130" s="284"/>
      <c r="H130" s="284"/>
      <c r="I130" s="284"/>
      <c r="J130" s="284"/>
      <c r="K130" s="284"/>
      <c r="L130" s="284"/>
      <c r="M130" s="284"/>
      <c r="N130" s="284"/>
      <c r="O130" s="284"/>
      <c r="P130" s="284"/>
      <c r="Q130" s="284"/>
      <c r="R130" s="282"/>
    </row>
    <row r="131" spans="1:26">
      <c r="R131" s="164"/>
    </row>
    <row r="132" spans="1:26" s="260" customFormat="1" ht="15.6">
      <c r="B132" s="286" t="s">
        <v>453</v>
      </c>
      <c r="C132" s="255"/>
      <c r="D132" s="255"/>
      <c r="E132" s="255"/>
      <c r="F132" s="255"/>
      <c r="G132" s="255"/>
      <c r="H132" s="255"/>
      <c r="I132" s="255"/>
      <c r="J132" s="255"/>
      <c r="K132" s="255"/>
      <c r="L132" s="255"/>
      <c r="M132" s="255"/>
      <c r="N132" s="255"/>
      <c r="O132" s="287">
        <f>SUM(O12:O131)</f>
        <v>107374013439</v>
      </c>
      <c r="P132" s="287">
        <f>SUM(P12:P131)</f>
        <v>45156272.154571339</v>
      </c>
      <c r="Q132" s="287">
        <f>SUM(Q12:Q131)</f>
        <v>22418016.726093665</v>
      </c>
      <c r="R132" s="287">
        <f>SUM(R12:R131)</f>
        <v>17793460.38414482</v>
      </c>
      <c r="T132" s="287">
        <f>SUM(T12:T131)</f>
        <v>107459381188.26485</v>
      </c>
      <c r="U132" s="287">
        <f>SUM(U12:U131)</f>
        <v>0</v>
      </c>
    </row>
    <row r="133" spans="1:26" s="260" customFormat="1">
      <c r="C133" s="255"/>
      <c r="D133" s="255"/>
      <c r="E133" s="255"/>
      <c r="F133" s="255"/>
      <c r="G133" s="255"/>
      <c r="H133" s="255"/>
      <c r="I133" s="255"/>
      <c r="J133" s="255"/>
      <c r="K133" s="255"/>
      <c r="L133" s="255"/>
      <c r="M133" s="255"/>
      <c r="N133" s="255"/>
      <c r="O133" s="255"/>
      <c r="P133" s="255"/>
      <c r="Q133" s="255"/>
      <c r="R133" s="288"/>
      <c r="T133" s="261"/>
      <c r="U133" s="261"/>
    </row>
    <row r="134" spans="1:26" s="260" customFormat="1" ht="15.6">
      <c r="B134" s="250" t="s">
        <v>86</v>
      </c>
      <c r="C134" s="255"/>
      <c r="D134" s="255"/>
      <c r="E134" s="255"/>
      <c r="F134" s="255"/>
      <c r="G134" s="255"/>
      <c r="H134" s="255"/>
      <c r="I134" s="255"/>
      <c r="J134" s="255"/>
      <c r="K134" s="255"/>
      <c r="L134" s="255"/>
      <c r="M134" s="255"/>
      <c r="N134" s="255"/>
      <c r="O134" s="255"/>
      <c r="P134" s="255"/>
      <c r="Q134" s="255"/>
      <c r="R134" s="288"/>
      <c r="T134" s="261"/>
      <c r="U134" s="261"/>
    </row>
    <row r="135" spans="1:26">
      <c r="B135" s="252" t="s">
        <v>603</v>
      </c>
      <c r="C135" s="284"/>
      <c r="D135" s="284"/>
      <c r="E135" s="284"/>
      <c r="F135" s="284"/>
      <c r="G135" s="284"/>
      <c r="H135" s="284"/>
      <c r="I135" s="284"/>
      <c r="J135" s="284"/>
      <c r="K135" s="284"/>
      <c r="L135" s="284"/>
      <c r="M135" s="284"/>
      <c r="N135" s="284"/>
      <c r="O135" s="284"/>
      <c r="P135" s="284"/>
      <c r="Q135" s="284"/>
      <c r="R135" s="282"/>
    </row>
    <row r="136" spans="1:26">
      <c r="A136" s="253" t="str">
        <f>B135&amp;" "&amp;B136</f>
        <v>BLOUNTSTOWN KWH Sales</v>
      </c>
      <c r="B136" s="254" t="s">
        <v>563</v>
      </c>
      <c r="C136" s="284">
        <f>VLOOKUP($B135,'KWH FCST'!$A$12:$M$41,C$8,FALSE)</f>
        <v>2930251.3967729765</v>
      </c>
      <c r="D136" s="284">
        <f>VLOOKUP($B135,'KWH FCST'!$A$12:$M$41,D$8,FALSE)</f>
        <v>3226721.7999024643</v>
      </c>
      <c r="E136" s="284">
        <f>VLOOKUP($B135,'KWH FCST'!$A$12:$M$41,E$8,FALSE)</f>
        <v>3024364.8122403212</v>
      </c>
      <c r="F136" s="284">
        <f>VLOOKUP($B135,'KWH FCST'!$A$12:$M$41,F$8,FALSE)</f>
        <v>2885799.3985291934</v>
      </c>
      <c r="G136" s="284">
        <f>VLOOKUP($B135,'KWH FCST'!$A$12:$M$41,G$8,FALSE)</f>
        <v>2338675.6481099017</v>
      </c>
      <c r="H136" s="284">
        <f>VLOOKUP($B135,'KWH FCST'!$A$12:$M$41,H$8,FALSE)</f>
        <v>3168991.3787030498</v>
      </c>
      <c r="I136" s="284">
        <f>VLOOKUP($B135,'KWH FCST'!$A$12:$M$41,I$8,FALSE)</f>
        <v>3847139.3257777081</v>
      </c>
      <c r="J136" s="284">
        <f>VLOOKUP($B135,'KWH FCST'!$A$12:$M$41,J$8,FALSE)</f>
        <v>3995566.5835242625</v>
      </c>
      <c r="K136" s="284">
        <f>VLOOKUP($B135,'KWH FCST'!$A$12:$M$41,K$8,FALSE)</f>
        <v>3848245.7528714715</v>
      </c>
      <c r="L136" s="284">
        <f>VLOOKUP($B135,'KWH FCST'!$A$12:$M$41,L$8,FALSE)</f>
        <v>3744320.3033932843</v>
      </c>
      <c r="M136" s="284">
        <f>VLOOKUP($B135,'KWH FCST'!$A$12:$M$41,M$8,FALSE)</f>
        <v>3154249.5337255239</v>
      </c>
      <c r="N136" s="284">
        <f>VLOOKUP($B135,'KWH FCST'!$A$12:$M$41,N$8,FALSE)</f>
        <v>2473687.27017977</v>
      </c>
      <c r="O136" s="284">
        <f>SUM(C136:N136)</f>
        <v>38638013.203729928</v>
      </c>
      <c r="P136" s="284"/>
      <c r="Q136" s="284"/>
      <c r="R136" s="282"/>
      <c r="T136" s="296">
        <f>VLOOKUP($B135,'KWH FCST'!$A$12:$O$41,14,FALSE)</f>
        <v>38638013.203729928</v>
      </c>
      <c r="U136" s="255">
        <f>+O136-T136</f>
        <v>0</v>
      </c>
    </row>
    <row r="137" spans="1:26">
      <c r="A137" s="253" t="str">
        <f>B135&amp;" "&amp;B137</f>
        <v>BLOUNTSTOWN NCP</v>
      </c>
      <c r="B137" s="254" t="s">
        <v>133</v>
      </c>
      <c r="C137" s="284">
        <f>VLOOKUP($B135,'NCP FCST'!$A$12:$M$41,C$8,FALSE)</f>
        <v>9000</v>
      </c>
      <c r="D137" s="284">
        <f>VLOOKUP($B135,'NCP FCST'!$A$12:$M$41,D$8,FALSE)</f>
        <v>9000</v>
      </c>
      <c r="E137" s="284">
        <f>VLOOKUP($B135,'NCP FCST'!$A$12:$M$41,E$8,FALSE)</f>
        <v>9000</v>
      </c>
      <c r="F137" s="284">
        <f>VLOOKUP($B135,'NCP FCST'!$A$12:$M$41,F$8,FALSE)</f>
        <v>9000</v>
      </c>
      <c r="G137" s="284">
        <f>VLOOKUP($B135,'NCP FCST'!$A$12:$M$41,G$8,FALSE)</f>
        <v>9000</v>
      </c>
      <c r="H137" s="284">
        <f>VLOOKUP($B135,'NCP FCST'!$A$12:$M$41,H$8,FALSE)</f>
        <v>9000</v>
      </c>
      <c r="I137" s="284">
        <f>VLOOKUP($B135,'NCP FCST'!$A$12:$M$41,I$8,FALSE)</f>
        <v>9000</v>
      </c>
      <c r="J137" s="284">
        <f>VLOOKUP($B135,'NCP FCST'!$A$12:$M$41,J$8,FALSE)</f>
        <v>9000</v>
      </c>
      <c r="K137" s="284">
        <f>VLOOKUP($B135,'NCP FCST'!$A$12:$M$41,K$8,FALSE)</f>
        <v>9000</v>
      </c>
      <c r="L137" s="284">
        <f>VLOOKUP($B135,'NCP FCST'!$A$12:$M$41,L$8,FALSE)</f>
        <v>9000</v>
      </c>
      <c r="M137" s="284">
        <f>VLOOKUP($B135,'NCP FCST'!$A$12:$M$41,M$8,FALSE)</f>
        <v>9000</v>
      </c>
      <c r="N137" s="284">
        <f>VLOOKUP($B135,'NCP FCST'!$A$12:$M$41,N$8,FALSE)</f>
        <v>9000</v>
      </c>
      <c r="O137" s="284"/>
      <c r="P137" s="284">
        <f>MAX(C137:N137)</f>
        <v>9000</v>
      </c>
      <c r="Q137" s="284"/>
      <c r="R137" s="282"/>
      <c r="T137" s="255">
        <f>VLOOKUP($B135,'NCP FCST'!$A$12:$O$41,15,FALSE)</f>
        <v>9000</v>
      </c>
      <c r="U137" s="255">
        <f>P137-T137</f>
        <v>0</v>
      </c>
      <c r="Y137" s="163"/>
      <c r="Z137" s="260"/>
    </row>
    <row r="138" spans="1:26">
      <c r="A138" s="253" t="str">
        <f>B135&amp;" "&amp;B138</f>
        <v>BLOUNTSTOWN GNCP</v>
      </c>
      <c r="B138" s="254" t="s">
        <v>342</v>
      </c>
      <c r="C138" s="284">
        <f>VLOOKUP($B135,'GNCP FCST'!$A$12:$M$41,C$8,FALSE)</f>
        <v>9000</v>
      </c>
      <c r="D138" s="284">
        <f>VLOOKUP($B135,'GNCP FCST'!$A$12:$M$41,D$8,FALSE)</f>
        <v>9000</v>
      </c>
      <c r="E138" s="284">
        <f>VLOOKUP($B135,'GNCP FCST'!$A$12:$M$41,E$8,FALSE)</f>
        <v>9000</v>
      </c>
      <c r="F138" s="284">
        <f>VLOOKUP($B135,'GNCP FCST'!$A$12:$M$41,F$8,FALSE)</f>
        <v>9000</v>
      </c>
      <c r="G138" s="284">
        <f>VLOOKUP($B135,'GNCP FCST'!$A$12:$M$41,G$8,FALSE)</f>
        <v>9000</v>
      </c>
      <c r="H138" s="284">
        <f>VLOOKUP($B135,'GNCP FCST'!$A$12:$M$41,H$8,FALSE)</f>
        <v>9000</v>
      </c>
      <c r="I138" s="284">
        <f>VLOOKUP($B135,'GNCP FCST'!$A$12:$M$41,I$8,FALSE)</f>
        <v>9000</v>
      </c>
      <c r="J138" s="284">
        <f>VLOOKUP($B135,'GNCP FCST'!$A$12:$M$41,J$8,FALSE)</f>
        <v>9000</v>
      </c>
      <c r="K138" s="284">
        <f>VLOOKUP($B135,'GNCP FCST'!$A$12:$M$41,K$8,FALSE)</f>
        <v>9000</v>
      </c>
      <c r="L138" s="284">
        <f>VLOOKUP($B135,'GNCP FCST'!$A$12:$M$41,L$8,FALSE)</f>
        <v>9000</v>
      </c>
      <c r="M138" s="284">
        <f>VLOOKUP($B135,'GNCP FCST'!$A$12:$M$41,M$8,FALSE)</f>
        <v>9000</v>
      </c>
      <c r="N138" s="284">
        <f>VLOOKUP($B135,'GNCP FCST'!$A$12:$M$41,N$8,FALSE)</f>
        <v>9000</v>
      </c>
      <c r="O138" s="284"/>
      <c r="Q138" s="284">
        <f>MAX(C138:N138)</f>
        <v>9000</v>
      </c>
      <c r="R138" s="282"/>
      <c r="T138" s="255">
        <f>VLOOKUP($B135,'GNCP FCST'!$A$12:$O$41,15,FALSE)</f>
        <v>9000</v>
      </c>
      <c r="U138" s="255">
        <f>+Q138-T138</f>
        <v>0</v>
      </c>
      <c r="Y138" s="163"/>
    </row>
    <row r="139" spans="1:26">
      <c r="A139" s="253" t="str">
        <f>B135&amp;" "&amp;B139</f>
        <v>BLOUNTSTOWN CP</v>
      </c>
      <c r="B139" s="254" t="s">
        <v>148</v>
      </c>
      <c r="C139" s="284">
        <f>VLOOKUP($B135,'CP FCST'!$A$12:$M$41,C$8,FALSE)</f>
        <v>9000</v>
      </c>
      <c r="D139" s="284">
        <f>VLOOKUP($B135,'CP FCST'!$A$12:$M$41,D$8,FALSE)</f>
        <v>9000</v>
      </c>
      <c r="E139" s="284">
        <f>VLOOKUP($B135,'CP FCST'!$A$12:$M$41,E$8,FALSE)</f>
        <v>9000</v>
      </c>
      <c r="F139" s="284">
        <f>VLOOKUP($B135,'CP FCST'!$A$12:$M$41,F$8,FALSE)</f>
        <v>9000</v>
      </c>
      <c r="G139" s="284">
        <f>VLOOKUP($B135,'CP FCST'!$A$12:$M$41,G$8,FALSE)</f>
        <v>9000</v>
      </c>
      <c r="H139" s="284">
        <f>VLOOKUP($B135,'CP FCST'!$A$12:$M$41,H$8,FALSE)</f>
        <v>9000</v>
      </c>
      <c r="I139" s="284">
        <f>VLOOKUP($B135,'CP FCST'!$A$12:$M$41,I$8,FALSE)</f>
        <v>9000</v>
      </c>
      <c r="J139" s="284">
        <f>VLOOKUP($B135,'CP FCST'!$A$12:$M$41,J$8,FALSE)</f>
        <v>9000</v>
      </c>
      <c r="K139" s="284">
        <f>VLOOKUP($B135,'CP FCST'!$A$12:$M$41,K$8,FALSE)</f>
        <v>9000</v>
      </c>
      <c r="L139" s="284">
        <f>VLOOKUP($B135,'CP FCST'!$A$12:$M$41,L$8,FALSE)</f>
        <v>9000</v>
      </c>
      <c r="M139" s="284">
        <f>VLOOKUP($B135,'CP FCST'!$A$12:$M$41,M$8,FALSE)</f>
        <v>9000</v>
      </c>
      <c r="N139" s="284">
        <f>VLOOKUP($B135,'CP FCST'!$A$12:$M$41,N$8,FALSE)</f>
        <v>9000</v>
      </c>
      <c r="O139" s="284"/>
      <c r="P139" s="284"/>
      <c r="Q139" s="284"/>
      <c r="R139" s="255">
        <f>AVERAGE(C139:N139)</f>
        <v>9000</v>
      </c>
      <c r="T139" s="255">
        <f>VLOOKUP($B135,'CP FCST'!$A$12:$O$41,15,FALSE)</f>
        <v>9000</v>
      </c>
      <c r="U139" s="255">
        <f>R139-T139</f>
        <v>0</v>
      </c>
      <c r="Y139" s="163"/>
    </row>
    <row r="140" spans="1:26">
      <c r="B140" s="254" t="s">
        <v>570</v>
      </c>
      <c r="C140" s="285" t="str">
        <f>IF(C139&gt;C138,"ERROR",IF(C138&gt;C137,"ERROR","OK"))</f>
        <v>OK</v>
      </c>
      <c r="D140" s="285" t="str">
        <f t="shared" ref="D140:N140" si="17">IF(D139&gt;D138,"ERROR",IF(D138&gt;D137,"ERROR","OK"))</f>
        <v>OK</v>
      </c>
      <c r="E140" s="285" t="str">
        <f t="shared" si="17"/>
        <v>OK</v>
      </c>
      <c r="F140" s="285" t="str">
        <f t="shared" si="17"/>
        <v>OK</v>
      </c>
      <c r="G140" s="285" t="str">
        <f t="shared" si="17"/>
        <v>OK</v>
      </c>
      <c r="H140" s="285" t="str">
        <f t="shared" si="17"/>
        <v>OK</v>
      </c>
      <c r="I140" s="285" t="str">
        <f t="shared" si="17"/>
        <v>OK</v>
      </c>
      <c r="J140" s="285" t="str">
        <f t="shared" si="17"/>
        <v>OK</v>
      </c>
      <c r="K140" s="285" t="str">
        <f t="shared" si="17"/>
        <v>OK</v>
      </c>
      <c r="L140" s="285" t="str">
        <f t="shared" si="17"/>
        <v>OK</v>
      </c>
      <c r="M140" s="285" t="str">
        <f t="shared" si="17"/>
        <v>OK</v>
      </c>
      <c r="N140" s="285" t="str">
        <f t="shared" si="17"/>
        <v>OK</v>
      </c>
      <c r="O140" s="284"/>
      <c r="P140" s="284"/>
      <c r="Q140" s="284"/>
      <c r="R140" s="255"/>
      <c r="Y140" s="163"/>
    </row>
    <row r="141" spans="1:26">
      <c r="B141" s="259"/>
      <c r="C141" s="284"/>
      <c r="D141" s="284"/>
      <c r="E141" s="284"/>
      <c r="F141" s="284"/>
      <c r="G141" s="284"/>
      <c r="H141" s="284"/>
      <c r="I141" s="284"/>
      <c r="J141" s="284"/>
      <c r="K141" s="284"/>
      <c r="L141" s="284"/>
      <c r="M141" s="284"/>
      <c r="N141" s="284"/>
      <c r="O141" s="284"/>
      <c r="P141" s="284"/>
      <c r="Q141" s="284"/>
      <c r="R141" s="282"/>
      <c r="Y141" s="163"/>
    </row>
    <row r="142" spans="1:26" s="260" customFormat="1">
      <c r="B142" s="252" t="s">
        <v>983</v>
      </c>
      <c r="C142" s="255"/>
      <c r="D142" s="255"/>
      <c r="E142" s="255"/>
      <c r="F142" s="255"/>
      <c r="G142" s="255"/>
      <c r="H142" s="255"/>
      <c r="I142" s="255"/>
      <c r="J142" s="255"/>
      <c r="K142" s="255"/>
      <c r="L142" s="255"/>
      <c r="M142" s="255"/>
      <c r="N142" s="255"/>
      <c r="O142" s="284"/>
      <c r="P142" s="284"/>
      <c r="Q142" s="284"/>
      <c r="R142" s="282"/>
      <c r="T142" s="261"/>
      <c r="U142" s="261"/>
      <c r="Y142" s="163"/>
      <c r="Z142" s="253"/>
    </row>
    <row r="143" spans="1:26">
      <c r="A143" s="253" t="str">
        <f>B142&amp;" "&amp;B143</f>
        <v>FLORIDA KEYS KWH Sales</v>
      </c>
      <c r="B143" s="254" t="s">
        <v>563</v>
      </c>
      <c r="C143" s="284">
        <f>VLOOKUP($B142,'KWH FCST'!$A$12:$M$41,C$8,FALSE)</f>
        <v>56986291.477158248</v>
      </c>
      <c r="D143" s="284">
        <f>VLOOKUP($B142,'KWH FCST'!$A$12:$M$41,D$8,FALSE)</f>
        <v>56207637.395501189</v>
      </c>
      <c r="E143" s="284">
        <f>VLOOKUP($B142,'KWH FCST'!$A$12:$M$41,E$8,FALSE)</f>
        <v>53000332.000697315</v>
      </c>
      <c r="F143" s="284">
        <f>VLOOKUP($B142,'KWH FCST'!$A$12:$M$41,F$8,FALSE)</f>
        <v>60565663.296123229</v>
      </c>
      <c r="G143" s="284">
        <f>VLOOKUP($B142,'KWH FCST'!$A$12:$M$41,G$8,FALSE)</f>
        <v>63590757.468905807</v>
      </c>
      <c r="H143" s="284">
        <f>VLOOKUP($B142,'KWH FCST'!$A$12:$M$41,H$8,FALSE)</f>
        <v>71967555.208850399</v>
      </c>
      <c r="I143" s="284">
        <f>VLOOKUP($B142,'KWH FCST'!$A$12:$M$41,I$8,FALSE)</f>
        <v>78323079.537609711</v>
      </c>
      <c r="J143" s="284">
        <f>VLOOKUP($B142,'KWH FCST'!$A$12:$M$41,J$8,FALSE)</f>
        <v>85649197.920255825</v>
      </c>
      <c r="K143" s="284">
        <f>VLOOKUP($B142,'KWH FCST'!$A$12:$M$41,K$8,FALSE)</f>
        <v>84916971.984914213</v>
      </c>
      <c r="L143" s="284">
        <f>VLOOKUP($B142,'KWH FCST'!$A$12:$M$41,L$8,FALSE)</f>
        <v>72248715.98786892</v>
      </c>
      <c r="M143" s="284">
        <f>VLOOKUP($B142,'KWH FCST'!$A$12:$M$41,M$8,FALSE)</f>
        <v>66802227.60684292</v>
      </c>
      <c r="N143" s="284">
        <f>VLOOKUP($B142,'KWH FCST'!$A$12:$M$41,N$8,FALSE)</f>
        <v>54976199.273675971</v>
      </c>
      <c r="O143" s="284">
        <f>SUM(C143:N143)</f>
        <v>805234629.15840364</v>
      </c>
      <c r="P143" s="284"/>
      <c r="Q143" s="284"/>
      <c r="R143" s="282"/>
      <c r="T143" s="296">
        <f>VLOOKUP($B142,'KWH FCST'!$A$12:$O$41,14,FALSE)</f>
        <v>805234629.15840364</v>
      </c>
      <c r="U143" s="255">
        <f>+O143-T143</f>
        <v>0</v>
      </c>
      <c r="Y143" s="163"/>
    </row>
    <row r="144" spans="1:26">
      <c r="A144" s="253" t="str">
        <f>B142&amp;" "&amp;B144</f>
        <v>FLORIDA KEYS NCP</v>
      </c>
      <c r="B144" s="254" t="s">
        <v>133</v>
      </c>
      <c r="C144" s="284">
        <f>VLOOKUP($B142,'NCP FCST'!$A$12:$M$41,C$8,FALSE)</f>
        <v>125878.30577434346</v>
      </c>
      <c r="D144" s="284">
        <f>VLOOKUP($B142,'NCP FCST'!$A$12:$M$41,D$8,FALSE)</f>
        <v>124505.42302944943</v>
      </c>
      <c r="E144" s="284">
        <f>VLOOKUP($B142,'NCP FCST'!$A$12:$M$41,E$8,FALSE)</f>
        <v>131765.55744172979</v>
      </c>
      <c r="F144" s="284">
        <f>VLOOKUP($B142,'NCP FCST'!$A$12:$M$41,F$8,FALSE)</f>
        <v>136962.79530378565</v>
      </c>
      <c r="G144" s="284">
        <f>VLOOKUP($B142,'NCP FCST'!$A$12:$M$41,G$8,FALSE)</f>
        <v>149960.02471113132</v>
      </c>
      <c r="H144" s="284">
        <f>VLOOKUP($B142,'NCP FCST'!$A$12:$M$41,H$8,FALSE)</f>
        <v>153382.74370739752</v>
      </c>
      <c r="I144" s="284">
        <f>VLOOKUP($B142,'NCP FCST'!$A$12:$M$41,I$8,FALSE)</f>
        <v>162070</v>
      </c>
      <c r="J144" s="284">
        <f>VLOOKUP($B142,'NCP FCST'!$A$12:$M$41,J$8,FALSE)</f>
        <v>160503.3728667628</v>
      </c>
      <c r="K144" s="284">
        <f>VLOOKUP($B142,'NCP FCST'!$A$12:$M$41,K$8,FALSE)</f>
        <v>151484.74068575026</v>
      </c>
      <c r="L144" s="284">
        <f>VLOOKUP($B142,'NCP FCST'!$A$12:$M$41,L$8,FALSE)</f>
        <v>136856.12107480227</v>
      </c>
      <c r="M144" s="284">
        <f>VLOOKUP($B142,'NCP FCST'!$A$12:$M$41,M$8,FALSE)</f>
        <v>122272.97665196148</v>
      </c>
      <c r="N144" s="284">
        <f>VLOOKUP($B142,'NCP FCST'!$A$12:$M$41,N$8,FALSE)</f>
        <v>126908.89560296378</v>
      </c>
      <c r="O144" s="284"/>
      <c r="P144" s="284">
        <f>MAX(C144:N144)</f>
        <v>162070</v>
      </c>
      <c r="Q144" s="284"/>
      <c r="R144" s="282"/>
      <c r="T144" s="255">
        <f>VLOOKUP($B142,'NCP FCST'!$A$12:$O$41,15,FALSE)</f>
        <v>162070</v>
      </c>
      <c r="U144" s="255">
        <f>P144-T144</f>
        <v>0</v>
      </c>
    </row>
    <row r="145" spans="1:21">
      <c r="A145" s="253" t="str">
        <f>B142&amp;" "&amp;B145</f>
        <v>FLORIDA KEYS GNCP</v>
      </c>
      <c r="B145" s="254" t="s">
        <v>342</v>
      </c>
      <c r="C145" s="284">
        <f>VLOOKUP($B142,'GNCP FCST'!$A$12:$M$41,C$8,FALSE)</f>
        <v>125878.30577434346</v>
      </c>
      <c r="D145" s="284">
        <f>VLOOKUP($B142,'GNCP FCST'!$A$12:$M$41,D$8,FALSE)</f>
        <v>124505.42302944943</v>
      </c>
      <c r="E145" s="284">
        <f>VLOOKUP($B142,'GNCP FCST'!$A$12:$M$41,E$8,FALSE)</f>
        <v>131765.55744172979</v>
      </c>
      <c r="F145" s="284">
        <f>VLOOKUP($B142,'GNCP FCST'!$A$12:$M$41,F$8,FALSE)</f>
        <v>136962.79530378565</v>
      </c>
      <c r="G145" s="284">
        <f>VLOOKUP($B142,'GNCP FCST'!$A$12:$M$41,G$8,FALSE)</f>
        <v>149960.02471113132</v>
      </c>
      <c r="H145" s="284">
        <f>VLOOKUP($B142,'GNCP FCST'!$A$12:$M$41,H$8,FALSE)</f>
        <v>153382.74370739752</v>
      </c>
      <c r="I145" s="284">
        <f>VLOOKUP($B142,'GNCP FCST'!$A$12:$M$41,I$8,FALSE)</f>
        <v>162070</v>
      </c>
      <c r="J145" s="284">
        <f>VLOOKUP($B142,'GNCP FCST'!$A$12:$M$41,J$8,FALSE)</f>
        <v>160503.3728667628</v>
      </c>
      <c r="K145" s="284">
        <f>VLOOKUP($B142,'GNCP FCST'!$A$12:$M$41,K$8,FALSE)</f>
        <v>151484.74068575026</v>
      </c>
      <c r="L145" s="284">
        <f>VLOOKUP($B142,'GNCP FCST'!$A$12:$M$41,L$8,FALSE)</f>
        <v>136856.12107480227</v>
      </c>
      <c r="M145" s="284">
        <f>VLOOKUP($B142,'GNCP FCST'!$A$12:$M$41,M$8,FALSE)</f>
        <v>122272.97665196148</v>
      </c>
      <c r="N145" s="284">
        <f>VLOOKUP($B142,'GNCP FCST'!$A$12:$M$41,N$8,FALSE)</f>
        <v>126908.89560296378</v>
      </c>
      <c r="O145" s="284"/>
      <c r="Q145" s="284">
        <f>MAX(C145:N145)</f>
        <v>162070</v>
      </c>
      <c r="R145" s="282"/>
      <c r="T145" s="255">
        <f>VLOOKUP($B142,'GNCP FCST'!$A$12:$O$41,15,FALSE)</f>
        <v>162070</v>
      </c>
      <c r="U145" s="255">
        <f>+Q145-T145</f>
        <v>0</v>
      </c>
    </row>
    <row r="146" spans="1:21">
      <c r="A146" s="253" t="str">
        <f>B142&amp;" "&amp;B146</f>
        <v>FLORIDA KEYS CP</v>
      </c>
      <c r="B146" s="254" t="s">
        <v>148</v>
      </c>
      <c r="C146" s="284">
        <f>VLOOKUP($B142,'CP FCST'!$A$12:$M$41,C$8,FALSE)</f>
        <v>111353.81326672707</v>
      </c>
      <c r="D146" s="284">
        <f>VLOOKUP($B142,'CP FCST'!$A$12:$M$41,D$8,FALSE)</f>
        <v>118484.45422819506</v>
      </c>
      <c r="E146" s="284">
        <f>VLOOKUP($B142,'CP FCST'!$A$12:$M$41,E$8,FALSE)</f>
        <v>112438.25044284546</v>
      </c>
      <c r="F146" s="284">
        <f>VLOOKUP($B142,'CP FCST'!$A$12:$M$41,F$8,FALSE)</f>
        <v>133526.34481025918</v>
      </c>
      <c r="G146" s="284">
        <f>VLOOKUP($B142,'CP FCST'!$A$12:$M$41,G$8,FALSE)</f>
        <v>141937.14102220008</v>
      </c>
      <c r="H146" s="284">
        <f>VLOOKUP($B142,'CP FCST'!$A$12:$M$41,H$8,FALSE)</f>
        <v>146075.34722002738</v>
      </c>
      <c r="I146" s="284">
        <f>VLOOKUP($B142,'CP FCST'!$A$12:$M$41,I$8,FALSE)</f>
        <v>158236.37941839121</v>
      </c>
      <c r="J146" s="284">
        <f>VLOOKUP($B142,'CP FCST'!$A$12:$M$41,J$8,FALSE)</f>
        <v>154358.27806108212</v>
      </c>
      <c r="K146" s="284">
        <f>VLOOKUP($B142,'CP FCST'!$A$12:$M$41,K$8,FALSE)</f>
        <v>142401.98851323352</v>
      </c>
      <c r="L146" s="284">
        <f>VLOOKUP($B142,'CP FCST'!$A$12:$M$41,L$8,FALSE)</f>
        <v>136147.86179669018</v>
      </c>
      <c r="M146" s="284">
        <f>VLOOKUP($B142,'CP FCST'!$A$12:$M$41,M$8,FALSE)</f>
        <v>120787.11155826182</v>
      </c>
      <c r="N146" s="284">
        <f>VLOOKUP($B142,'CP FCST'!$A$12:$M$41,N$8,FALSE)</f>
        <v>115128.13163669655</v>
      </c>
      <c r="O146" s="284"/>
      <c r="P146" s="284"/>
      <c r="Q146" s="284"/>
      <c r="R146" s="255">
        <f>AVERAGE(C146:N146)</f>
        <v>132572.9251645508</v>
      </c>
      <c r="T146" s="255">
        <f>VLOOKUP($B142,'CP FCST'!$A$12:$O$41,15,FALSE)</f>
        <v>132572.9251645508</v>
      </c>
      <c r="U146" s="255">
        <f>R146-T146</f>
        <v>0</v>
      </c>
    </row>
    <row r="147" spans="1:21">
      <c r="B147" s="254" t="s">
        <v>570</v>
      </c>
      <c r="C147" s="285" t="str">
        <f t="shared" ref="C147:N147" si="18">IF(C146&gt;C145,"ERROR",IF(C145&gt;C144,"ERROR","OK"))</f>
        <v>OK</v>
      </c>
      <c r="D147" s="285" t="str">
        <f t="shared" si="18"/>
        <v>OK</v>
      </c>
      <c r="E147" s="285" t="str">
        <f t="shared" si="18"/>
        <v>OK</v>
      </c>
      <c r="F147" s="285" t="str">
        <f t="shared" si="18"/>
        <v>OK</v>
      </c>
      <c r="G147" s="285" t="str">
        <f t="shared" si="18"/>
        <v>OK</v>
      </c>
      <c r="H147" s="285" t="str">
        <f t="shared" si="18"/>
        <v>OK</v>
      </c>
      <c r="I147" s="285" t="str">
        <f t="shared" si="18"/>
        <v>OK</v>
      </c>
      <c r="J147" s="285" t="str">
        <f t="shared" si="18"/>
        <v>OK</v>
      </c>
      <c r="K147" s="285" t="str">
        <f t="shared" si="18"/>
        <v>OK</v>
      </c>
      <c r="L147" s="285" t="str">
        <f t="shared" si="18"/>
        <v>OK</v>
      </c>
      <c r="M147" s="285" t="str">
        <f t="shared" si="18"/>
        <v>OK</v>
      </c>
      <c r="N147" s="285" t="str">
        <f t="shared" si="18"/>
        <v>OK</v>
      </c>
      <c r="O147" s="284"/>
      <c r="P147" s="284"/>
      <c r="Q147" s="284"/>
      <c r="R147" s="255"/>
    </row>
    <row r="148" spans="1:21">
      <c r="B148" s="259"/>
      <c r="C148" s="284"/>
      <c r="D148" s="284"/>
      <c r="E148" s="284"/>
      <c r="F148" s="284"/>
      <c r="G148" s="284"/>
      <c r="H148" s="284"/>
      <c r="I148" s="284"/>
      <c r="J148" s="284"/>
      <c r="K148" s="284"/>
      <c r="L148" s="284"/>
      <c r="M148" s="284"/>
      <c r="N148" s="284"/>
      <c r="O148" s="284"/>
      <c r="P148" s="284"/>
      <c r="Q148" s="284"/>
      <c r="R148" s="282"/>
    </row>
    <row r="149" spans="1:21">
      <c r="A149" s="260"/>
      <c r="B149" s="252" t="s">
        <v>1192</v>
      </c>
      <c r="O149" s="284"/>
      <c r="P149" s="284"/>
      <c r="Q149" s="284"/>
      <c r="R149" s="282"/>
      <c r="S149" s="260"/>
      <c r="T149" s="261"/>
      <c r="U149" s="261"/>
    </row>
    <row r="150" spans="1:21">
      <c r="A150" s="253" t="str">
        <f>B149&amp;" "&amp;B150</f>
        <v>HOMESTEAD KWH Sales</v>
      </c>
      <c r="B150" s="254" t="s">
        <v>563</v>
      </c>
      <c r="C150" s="284">
        <f>VLOOKUP($B149,'KWH FCST'!$A$12:$M$41,C$8,FALSE)</f>
        <v>0</v>
      </c>
      <c r="D150" s="284">
        <f>VLOOKUP($B149,'KWH FCST'!$A$12:$M$41,D$8,FALSE)</f>
        <v>72000</v>
      </c>
      <c r="E150" s="284">
        <f>VLOOKUP($B149,'KWH FCST'!$A$12:$M$41,E$8,FALSE)</f>
        <v>0</v>
      </c>
      <c r="F150" s="284">
        <f>VLOOKUP($B149,'KWH FCST'!$A$12:$M$41,F$8,FALSE)</f>
        <v>0</v>
      </c>
      <c r="G150" s="284">
        <f>VLOOKUP($B149,'KWH FCST'!$A$12:$M$41,G$8,FALSE)</f>
        <v>0</v>
      </c>
      <c r="H150" s="284">
        <f>VLOOKUP($B149,'KWH FCST'!$A$12:$M$41,H$8,FALSE)</f>
        <v>0</v>
      </c>
      <c r="I150" s="284">
        <f>VLOOKUP($B149,'KWH FCST'!$A$12:$M$41,I$8,FALSE)</f>
        <v>0</v>
      </c>
      <c r="J150" s="284">
        <f>VLOOKUP($B149,'KWH FCST'!$A$12:$M$41,J$8,FALSE)</f>
        <v>0</v>
      </c>
      <c r="K150" s="284">
        <f>VLOOKUP($B149,'KWH FCST'!$A$12:$M$41,K$8,FALSE)</f>
        <v>72000</v>
      </c>
      <c r="L150" s="284">
        <f>VLOOKUP($B149,'KWH FCST'!$A$12:$M$41,L$8,FALSE)</f>
        <v>0</v>
      </c>
      <c r="M150" s="284">
        <f>VLOOKUP($B149,'KWH FCST'!$A$12:$M$41,M$8,FALSE)</f>
        <v>0</v>
      </c>
      <c r="N150" s="284">
        <f>VLOOKUP($B149,'KWH FCST'!$A$12:$M$41,N$8,FALSE)</f>
        <v>0</v>
      </c>
      <c r="O150" s="284">
        <f>SUM(C150:N150)</f>
        <v>144000</v>
      </c>
      <c r="P150" s="284"/>
      <c r="Q150" s="284"/>
      <c r="R150" s="282"/>
      <c r="T150" s="296">
        <f>VLOOKUP($B149,'KWH FCST'!$A$12:$O$41,14,FALSE)</f>
        <v>144000</v>
      </c>
      <c r="U150" s="255">
        <f>+O150-T150</f>
        <v>0</v>
      </c>
    </row>
    <row r="151" spans="1:21">
      <c r="A151" s="253" t="str">
        <f>B149&amp;" "&amp;B151</f>
        <v>HOMESTEAD NCP</v>
      </c>
      <c r="B151" s="254" t="s">
        <v>133</v>
      </c>
      <c r="C151" s="284">
        <f>VLOOKUP($B149,'NCP FCST'!$A$12:$M$41,C$8,FALSE)</f>
        <v>18000</v>
      </c>
      <c r="D151" s="284">
        <f>VLOOKUP($B149,'NCP FCST'!$A$12:$M$41,D$8,FALSE)</f>
        <v>0</v>
      </c>
      <c r="E151" s="284">
        <f>VLOOKUP($B149,'NCP FCST'!$A$12:$M$41,E$8,FALSE)</f>
        <v>0</v>
      </c>
      <c r="F151" s="284">
        <f>VLOOKUP($B149,'NCP FCST'!$A$12:$M$41,F$8,FALSE)</f>
        <v>0</v>
      </c>
      <c r="G151" s="284">
        <f>VLOOKUP($B149,'NCP FCST'!$A$12:$M$41,G$8,FALSE)</f>
        <v>0</v>
      </c>
      <c r="H151" s="284">
        <f>VLOOKUP($B149,'NCP FCST'!$A$12:$M$41,H$8,FALSE)</f>
        <v>0</v>
      </c>
      <c r="I151" s="284">
        <f>VLOOKUP($B149,'NCP FCST'!$A$12:$M$41,I$8,FALSE)</f>
        <v>0</v>
      </c>
      <c r="J151" s="284">
        <f>VLOOKUP($B149,'NCP FCST'!$A$12:$M$41,J$8,FALSE)</f>
        <v>18000</v>
      </c>
      <c r="K151" s="284">
        <f>VLOOKUP($B149,'NCP FCST'!$A$12:$M$41,K$8,FALSE)</f>
        <v>0</v>
      </c>
      <c r="L151" s="284">
        <f>VLOOKUP($B149,'NCP FCST'!$A$12:$M$41,L$8,FALSE)</f>
        <v>0</v>
      </c>
      <c r="M151" s="284">
        <f>VLOOKUP($B149,'NCP FCST'!$A$12:$M$41,M$8,FALSE)</f>
        <v>0</v>
      </c>
      <c r="N151" s="284">
        <f>VLOOKUP($B149,'NCP FCST'!$A$12:$M$41,N$8,FALSE)</f>
        <v>0</v>
      </c>
      <c r="O151" s="284"/>
      <c r="P151" s="284">
        <f>MAX(C151:N151)</f>
        <v>18000</v>
      </c>
      <c r="Q151" s="284"/>
      <c r="R151" s="282"/>
      <c r="T151" s="255">
        <f>VLOOKUP($B149,'NCP FCST'!$A$12:$O$41,15,FALSE)</f>
        <v>18000</v>
      </c>
      <c r="U151" s="255">
        <f>P151-T151</f>
        <v>0</v>
      </c>
    </row>
    <row r="152" spans="1:21">
      <c r="A152" s="253" t="str">
        <f>B149&amp;" "&amp;B152</f>
        <v>HOMESTEAD GNCP</v>
      </c>
      <c r="B152" s="254" t="s">
        <v>342</v>
      </c>
      <c r="C152" s="284">
        <f>VLOOKUP($B149,'GNCP FCST'!$A$12:$M$41,C$8,FALSE)</f>
        <v>18000</v>
      </c>
      <c r="D152" s="284">
        <f>VLOOKUP($B149,'GNCP FCST'!$A$12:$M$41,D$8,FALSE)</f>
        <v>0</v>
      </c>
      <c r="E152" s="284">
        <f>VLOOKUP($B149,'GNCP FCST'!$A$12:$M$41,E$8,FALSE)</f>
        <v>0</v>
      </c>
      <c r="F152" s="284">
        <f>VLOOKUP($B149,'GNCP FCST'!$A$12:$M$41,F$8,FALSE)</f>
        <v>0</v>
      </c>
      <c r="G152" s="284">
        <f>VLOOKUP($B149,'GNCP FCST'!$A$12:$M$41,G$8,FALSE)</f>
        <v>0</v>
      </c>
      <c r="H152" s="284">
        <f>VLOOKUP($B149,'GNCP FCST'!$A$12:$M$41,H$8,FALSE)</f>
        <v>0</v>
      </c>
      <c r="I152" s="284">
        <f>VLOOKUP($B149,'GNCP FCST'!$A$12:$M$41,I$8,FALSE)</f>
        <v>0</v>
      </c>
      <c r="J152" s="284">
        <f>VLOOKUP($B149,'GNCP FCST'!$A$12:$M$41,J$8,FALSE)</f>
        <v>18000</v>
      </c>
      <c r="K152" s="284">
        <f>VLOOKUP($B149,'GNCP FCST'!$A$12:$M$41,K$8,FALSE)</f>
        <v>0</v>
      </c>
      <c r="L152" s="284">
        <f>VLOOKUP($B149,'GNCP FCST'!$A$12:$M$41,L$8,FALSE)</f>
        <v>0</v>
      </c>
      <c r="M152" s="284">
        <f>VLOOKUP($B149,'GNCP FCST'!$A$12:$M$41,M$8,FALSE)</f>
        <v>0</v>
      </c>
      <c r="N152" s="284">
        <f>VLOOKUP($B149,'GNCP FCST'!$A$12:$M$41,N$8,FALSE)</f>
        <v>0</v>
      </c>
      <c r="O152" s="284"/>
      <c r="Q152" s="284">
        <f>MAX(C152:N152)</f>
        <v>18000</v>
      </c>
      <c r="R152" s="282"/>
      <c r="T152" s="255">
        <f>VLOOKUP($B149,'GNCP FCST'!$A$12:$O$41,15,FALSE)</f>
        <v>18000</v>
      </c>
      <c r="U152" s="255">
        <f>+Q152-T152</f>
        <v>0</v>
      </c>
    </row>
    <row r="153" spans="1:21">
      <c r="A153" s="253" t="str">
        <f>B149&amp;" "&amp;B153</f>
        <v>HOMESTEAD CP</v>
      </c>
      <c r="B153" s="254" t="s">
        <v>148</v>
      </c>
      <c r="C153" s="284">
        <f>VLOOKUP($B149,'CP FCST'!$A$12:$M$41,C$8,FALSE)</f>
        <v>18000</v>
      </c>
      <c r="D153" s="284">
        <f>VLOOKUP($B149,'CP FCST'!$A$12:$M$41,D$8,FALSE)</f>
        <v>0</v>
      </c>
      <c r="E153" s="284">
        <f>VLOOKUP($B149,'CP FCST'!$A$12:$M$41,E$8,FALSE)</f>
        <v>0</v>
      </c>
      <c r="F153" s="284">
        <f>VLOOKUP($B149,'CP FCST'!$A$12:$M$41,F$8,FALSE)</f>
        <v>0</v>
      </c>
      <c r="G153" s="284">
        <f>VLOOKUP($B149,'CP FCST'!$A$12:$M$41,G$8,FALSE)</f>
        <v>0</v>
      </c>
      <c r="H153" s="284">
        <f>VLOOKUP($B149,'CP FCST'!$A$12:$M$41,H$8,FALSE)</f>
        <v>0</v>
      </c>
      <c r="I153" s="284">
        <f>VLOOKUP($B149,'CP FCST'!$A$12:$M$41,I$8,FALSE)</f>
        <v>0</v>
      </c>
      <c r="J153" s="284">
        <f>VLOOKUP($B149,'CP FCST'!$A$12:$M$41,J$8,FALSE)</f>
        <v>18000</v>
      </c>
      <c r="K153" s="284">
        <f>VLOOKUP($B149,'CP FCST'!$A$12:$M$41,K$8,FALSE)</f>
        <v>0</v>
      </c>
      <c r="L153" s="284">
        <f>VLOOKUP($B149,'CP FCST'!$A$12:$M$41,L$8,FALSE)</f>
        <v>0</v>
      </c>
      <c r="M153" s="284">
        <f>VLOOKUP($B149,'CP FCST'!$A$12:$M$41,M$8,FALSE)</f>
        <v>0</v>
      </c>
      <c r="N153" s="284">
        <f>VLOOKUP($B149,'CP FCST'!$A$12:$M$41,N$8,FALSE)</f>
        <v>0</v>
      </c>
      <c r="O153" s="284"/>
      <c r="P153" s="284"/>
      <c r="Q153" s="284"/>
      <c r="R153" s="255">
        <f>AVERAGE(C153:N153)</f>
        <v>3000</v>
      </c>
      <c r="T153" s="255">
        <f>VLOOKUP($B149,'CP FCST'!$A$12:$O$41,15,FALSE)</f>
        <v>3000</v>
      </c>
      <c r="U153" s="255">
        <f>R153-T153</f>
        <v>0</v>
      </c>
    </row>
    <row r="154" spans="1:21">
      <c r="B154" s="254" t="s">
        <v>570</v>
      </c>
      <c r="C154" s="285" t="str">
        <f t="shared" ref="C154:N154" si="19">IF(C153&gt;C152,"ERROR",IF(C152&gt;C151,"ERROR","OK"))</f>
        <v>OK</v>
      </c>
      <c r="D154" s="285" t="str">
        <f t="shared" si="19"/>
        <v>OK</v>
      </c>
      <c r="E154" s="285" t="str">
        <f t="shared" si="19"/>
        <v>OK</v>
      </c>
      <c r="F154" s="285" t="str">
        <f t="shared" si="19"/>
        <v>OK</v>
      </c>
      <c r="G154" s="285" t="str">
        <f t="shared" si="19"/>
        <v>OK</v>
      </c>
      <c r="H154" s="285" t="str">
        <f t="shared" si="19"/>
        <v>OK</v>
      </c>
      <c r="I154" s="285" t="str">
        <f t="shared" si="19"/>
        <v>OK</v>
      </c>
      <c r="J154" s="285" t="str">
        <f t="shared" si="19"/>
        <v>OK</v>
      </c>
      <c r="K154" s="285" t="str">
        <f t="shared" si="19"/>
        <v>OK</v>
      </c>
      <c r="L154" s="285" t="str">
        <f t="shared" si="19"/>
        <v>OK</v>
      </c>
      <c r="M154" s="285" t="str">
        <f t="shared" si="19"/>
        <v>OK</v>
      </c>
      <c r="N154" s="285" t="str">
        <f t="shared" si="19"/>
        <v>OK</v>
      </c>
      <c r="O154" s="284"/>
      <c r="P154" s="284"/>
      <c r="Q154" s="284"/>
      <c r="R154" s="255"/>
    </row>
    <row r="155" spans="1:21">
      <c r="B155" s="259"/>
      <c r="C155" s="284"/>
      <c r="D155" s="284"/>
      <c r="E155" s="284"/>
      <c r="F155" s="284"/>
      <c r="G155" s="284"/>
      <c r="H155" s="284"/>
      <c r="I155" s="284"/>
      <c r="J155" s="284"/>
      <c r="K155" s="284"/>
      <c r="L155" s="284"/>
      <c r="M155" s="284"/>
      <c r="N155" s="284"/>
      <c r="O155" s="284"/>
      <c r="P155" s="284"/>
      <c r="Q155" s="284"/>
      <c r="R155" s="282"/>
    </row>
    <row r="156" spans="1:21">
      <c r="B156" s="252" t="s">
        <v>984</v>
      </c>
      <c r="C156" s="284"/>
      <c r="D156" s="284"/>
      <c r="E156" s="284"/>
      <c r="F156" s="284"/>
      <c r="G156" s="284"/>
      <c r="H156" s="284"/>
      <c r="I156" s="284"/>
      <c r="J156" s="284"/>
      <c r="K156" s="284"/>
      <c r="L156" s="284"/>
      <c r="M156" s="284"/>
      <c r="N156" s="284"/>
      <c r="O156" s="284"/>
      <c r="P156" s="284"/>
      <c r="Q156" s="284"/>
      <c r="R156" s="282"/>
    </row>
    <row r="157" spans="1:21">
      <c r="A157" s="253" t="str">
        <f>B156&amp;" "&amp;B157</f>
        <v>LEE COUNTY KWH Sales</v>
      </c>
      <c r="B157" s="254" t="s">
        <v>563</v>
      </c>
      <c r="C157" s="284">
        <f>VLOOKUP($B156,'KWH FCST'!$A$12:$M$41,C$8,FALSE)</f>
        <v>278690861.05160964</v>
      </c>
      <c r="D157" s="284">
        <f>VLOOKUP($B156,'KWH FCST'!$A$12:$M$41,D$8,FALSE)</f>
        <v>279779942</v>
      </c>
      <c r="E157" s="284">
        <f>VLOOKUP($B156,'KWH FCST'!$A$12:$M$41,E$8,FALSE)</f>
        <v>271689087</v>
      </c>
      <c r="F157" s="284">
        <f>VLOOKUP($B156,'KWH FCST'!$A$12:$M$41,F$8,FALSE)</f>
        <v>322430747</v>
      </c>
      <c r="G157" s="284">
        <f>VLOOKUP($B156,'KWH FCST'!$A$12:$M$41,G$8,FALSE)</f>
        <v>352644260</v>
      </c>
      <c r="H157" s="284">
        <f>VLOOKUP($B156,'KWH FCST'!$A$12:$M$41,H$8,FALSE)</f>
        <v>357421431</v>
      </c>
      <c r="I157" s="284">
        <f>VLOOKUP($B156,'KWH FCST'!$A$12:$M$41,I$8,FALSE)</f>
        <v>369136080</v>
      </c>
      <c r="J157" s="284">
        <f>VLOOKUP($B156,'KWH FCST'!$A$12:$M$41,J$8,FALSE)</f>
        <v>347333561</v>
      </c>
      <c r="K157" s="284">
        <f>VLOOKUP($B156,'KWH FCST'!$A$12:$M$41,K$8,FALSE)</f>
        <v>372588691</v>
      </c>
      <c r="L157" s="284">
        <f>VLOOKUP($B156,'KWH FCST'!$A$12:$M$41,L$8,FALSE)</f>
        <v>367780053</v>
      </c>
      <c r="M157" s="284">
        <f>VLOOKUP($B156,'KWH FCST'!$A$12:$M$41,M$8,FALSE)</f>
        <v>336292253</v>
      </c>
      <c r="N157" s="284">
        <f>VLOOKUP($B156,'KWH FCST'!$A$12:$M$41,N$8,FALSE)</f>
        <v>306122189</v>
      </c>
      <c r="O157" s="284">
        <f>SUM(C157:N157)</f>
        <v>3961909155.0516095</v>
      </c>
      <c r="P157" s="284"/>
      <c r="Q157" s="284"/>
      <c r="R157" s="282"/>
      <c r="T157" s="296">
        <f>VLOOKUP($B156,'KWH FCST'!$A$12:$O$41,14,FALSE)</f>
        <v>3961909155.0516095</v>
      </c>
      <c r="U157" s="255">
        <f>+O157-T157</f>
        <v>0</v>
      </c>
    </row>
    <row r="158" spans="1:21">
      <c r="A158" s="253" t="str">
        <f>B156&amp;" "&amp;B158</f>
        <v>LEE COUNTY NCP</v>
      </c>
      <c r="B158" s="254" t="s">
        <v>133</v>
      </c>
      <c r="C158" s="284">
        <f>VLOOKUP($B156,'NCP FCST'!$A$12:$M$41,C$8,FALSE)</f>
        <v>751351</v>
      </c>
      <c r="D158" s="284">
        <f>VLOOKUP($B156,'NCP FCST'!$A$12:$M$41,D$8,FALSE)</f>
        <v>672007</v>
      </c>
      <c r="E158" s="284">
        <f>VLOOKUP($B156,'NCP FCST'!$A$12:$M$41,E$8,FALSE)</f>
        <v>618802</v>
      </c>
      <c r="F158" s="284">
        <f>VLOOKUP($B156,'NCP FCST'!$A$12:$M$41,F$8,FALSE)</f>
        <v>628268</v>
      </c>
      <c r="G158" s="284">
        <f>VLOOKUP($B156,'NCP FCST'!$A$12:$M$41,G$8,FALSE)</f>
        <v>717500</v>
      </c>
      <c r="H158" s="284">
        <f>VLOOKUP($B156,'NCP FCST'!$A$12:$M$41,H$8,FALSE)</f>
        <v>773832</v>
      </c>
      <c r="I158" s="284">
        <f>VLOOKUP($B156,'NCP FCST'!$A$12:$M$41,I$8,FALSE)</f>
        <v>778453</v>
      </c>
      <c r="J158" s="284">
        <f>VLOOKUP($B156,'NCP FCST'!$A$12:$M$41,J$8,FALSE)</f>
        <v>790759</v>
      </c>
      <c r="K158" s="284">
        <f>VLOOKUP($B156,'NCP FCST'!$A$12:$M$41,K$8,FALSE)</f>
        <v>755733</v>
      </c>
      <c r="L158" s="284">
        <f>VLOOKUP($B156,'NCP FCST'!$A$12:$M$41,L$8,FALSE)</f>
        <v>710798</v>
      </c>
      <c r="M158" s="284">
        <f>VLOOKUP($B156,'NCP FCST'!$A$12:$M$41,M$8,FALSE)</f>
        <v>584560</v>
      </c>
      <c r="N158" s="284">
        <f>VLOOKUP($B156,'NCP FCST'!$A$12:$M$41,N$8,FALSE)</f>
        <v>552739</v>
      </c>
      <c r="O158" s="284"/>
      <c r="P158" s="284">
        <f>MAX(C158:N158)</f>
        <v>790759</v>
      </c>
      <c r="Q158" s="284"/>
      <c r="R158" s="282"/>
      <c r="T158" s="255">
        <f>VLOOKUP($B156,'NCP FCST'!$A$12:$O$41,15,FALSE)</f>
        <v>790759</v>
      </c>
      <c r="U158" s="255">
        <f>P158-T158</f>
        <v>0</v>
      </c>
    </row>
    <row r="159" spans="1:21">
      <c r="A159" s="253" t="str">
        <f>B156&amp;" "&amp;B159</f>
        <v>LEE COUNTY GNCP</v>
      </c>
      <c r="B159" s="254" t="s">
        <v>342</v>
      </c>
      <c r="C159" s="284">
        <f>VLOOKUP($B156,'GNCP FCST'!$A$12:$M$41,C$8,FALSE)</f>
        <v>751351</v>
      </c>
      <c r="D159" s="284">
        <f>VLOOKUP($B156,'GNCP FCST'!$A$12:$M$41,D$8,FALSE)</f>
        <v>672007</v>
      </c>
      <c r="E159" s="284">
        <f>VLOOKUP($B156,'GNCP FCST'!$A$12:$M$41,E$8,FALSE)</f>
        <v>618802</v>
      </c>
      <c r="F159" s="284">
        <f>VLOOKUP($B156,'GNCP FCST'!$A$12:$M$41,F$8,FALSE)</f>
        <v>628268</v>
      </c>
      <c r="G159" s="284">
        <f>VLOOKUP($B156,'GNCP FCST'!$A$12:$M$41,G$8,FALSE)</f>
        <v>717500</v>
      </c>
      <c r="H159" s="284">
        <f>VLOOKUP($B156,'GNCP FCST'!$A$12:$M$41,H$8,FALSE)</f>
        <v>773832</v>
      </c>
      <c r="I159" s="284">
        <f>VLOOKUP($B156,'GNCP FCST'!$A$12:$M$41,I$8,FALSE)</f>
        <v>778453</v>
      </c>
      <c r="J159" s="284">
        <f>VLOOKUP($B156,'GNCP FCST'!$A$12:$M$41,J$8,FALSE)</f>
        <v>790759</v>
      </c>
      <c r="K159" s="284">
        <f>VLOOKUP($B156,'GNCP FCST'!$A$12:$M$41,K$8,FALSE)</f>
        <v>755733</v>
      </c>
      <c r="L159" s="284">
        <f>VLOOKUP($B156,'GNCP FCST'!$A$12:$M$41,L$8,FALSE)</f>
        <v>710798</v>
      </c>
      <c r="M159" s="284">
        <f>VLOOKUP($B156,'GNCP FCST'!$A$12:$M$41,M$8,FALSE)</f>
        <v>584560</v>
      </c>
      <c r="N159" s="284">
        <f>VLOOKUP($B156,'GNCP FCST'!$A$12:$M$41,N$8,FALSE)</f>
        <v>552739</v>
      </c>
      <c r="O159" s="284"/>
      <c r="Q159" s="284">
        <f>MAX(C159:N159)</f>
        <v>790759</v>
      </c>
      <c r="R159" s="282"/>
      <c r="T159" s="255">
        <f>VLOOKUP($B156,'GNCP FCST'!$A$12:$O$41,15,FALSE)</f>
        <v>790759</v>
      </c>
      <c r="U159" s="255">
        <f>+Q159-T159</f>
        <v>0</v>
      </c>
    </row>
    <row r="160" spans="1:21">
      <c r="A160" s="253" t="str">
        <f>B156&amp;" "&amp;B160</f>
        <v>LEE COUNTY CP</v>
      </c>
      <c r="B160" s="254" t="s">
        <v>148</v>
      </c>
      <c r="C160" s="284">
        <f>VLOOKUP($B156,'CP FCST'!$A$12:$M$41,C$8,FALSE)</f>
        <v>744423.79360659269</v>
      </c>
      <c r="D160" s="284">
        <f>VLOOKUP($B156,'CP FCST'!$A$12:$M$41,D$8,FALSE)</f>
        <v>668279.51810135087</v>
      </c>
      <c r="E160" s="284">
        <f>VLOOKUP($B156,'CP FCST'!$A$12:$M$41,E$8,FALSE)</f>
        <v>615771.4735328746</v>
      </c>
      <c r="F160" s="284">
        <f>VLOOKUP($B156,'CP FCST'!$A$12:$M$41,F$8,FALSE)</f>
        <v>600154.53483940358</v>
      </c>
      <c r="G160" s="284">
        <f>VLOOKUP($B156,'CP FCST'!$A$12:$M$41,G$8,FALSE)</f>
        <v>696314.11686990049</v>
      </c>
      <c r="H160" s="284">
        <f>VLOOKUP($B156,'CP FCST'!$A$12:$M$41,H$8,FALSE)</f>
        <v>765847.39959939185</v>
      </c>
      <c r="I160" s="284">
        <f>VLOOKUP($B156,'CP FCST'!$A$12:$M$41,I$8,FALSE)</f>
        <v>744904.02897998795</v>
      </c>
      <c r="J160" s="284">
        <f>VLOOKUP($B156,'CP FCST'!$A$12:$M$41,J$8,FALSE)</f>
        <v>779042.35336340778</v>
      </c>
      <c r="K160" s="284">
        <f>VLOOKUP($B156,'CP FCST'!$A$12:$M$41,K$8,FALSE)</f>
        <v>668999.71586675802</v>
      </c>
      <c r="L160" s="284">
        <f>VLOOKUP($B156,'CP FCST'!$A$12:$M$41,L$8,FALSE)</f>
        <v>706270.43479170382</v>
      </c>
      <c r="M160" s="284">
        <f>VLOOKUP($B156,'CP FCST'!$A$12:$M$41,M$8,FALSE)</f>
        <v>580934.50240306312</v>
      </c>
      <c r="N160" s="284">
        <f>VLOOKUP($B156,'CP FCST'!$A$12:$M$41,N$8,FALSE)</f>
        <v>545672.68567012821</v>
      </c>
      <c r="O160" s="284"/>
      <c r="P160" s="284"/>
      <c r="Q160" s="284"/>
      <c r="R160" s="255">
        <f>AVERAGE(C160:N160)</f>
        <v>676384.54646871344</v>
      </c>
      <c r="T160" s="255">
        <f>VLOOKUP($B156,'CP FCST'!$A$12:$O$41,15,FALSE)</f>
        <v>676384.54646871344</v>
      </c>
      <c r="U160" s="255">
        <f>R160-T160</f>
        <v>0</v>
      </c>
    </row>
    <row r="161" spans="1:24">
      <c r="B161" s="254" t="s">
        <v>570</v>
      </c>
      <c r="C161" s="285" t="str">
        <f t="shared" ref="C161:N161" si="20">IF(C160&gt;C159,"ERROR",IF(C159&gt;C158,"ERROR","OK"))</f>
        <v>OK</v>
      </c>
      <c r="D161" s="285" t="str">
        <f t="shared" si="20"/>
        <v>OK</v>
      </c>
      <c r="E161" s="285" t="str">
        <f t="shared" si="20"/>
        <v>OK</v>
      </c>
      <c r="F161" s="285" t="str">
        <f t="shared" si="20"/>
        <v>OK</v>
      </c>
      <c r="G161" s="285" t="str">
        <f t="shared" si="20"/>
        <v>OK</v>
      </c>
      <c r="H161" s="285" t="str">
        <f t="shared" si="20"/>
        <v>OK</v>
      </c>
      <c r="I161" s="285" t="str">
        <f t="shared" si="20"/>
        <v>OK</v>
      </c>
      <c r="J161" s="285" t="str">
        <f t="shared" si="20"/>
        <v>OK</v>
      </c>
      <c r="K161" s="285" t="str">
        <f t="shared" si="20"/>
        <v>OK</v>
      </c>
      <c r="L161" s="285" t="str">
        <f t="shared" si="20"/>
        <v>OK</v>
      </c>
      <c r="M161" s="285" t="str">
        <f t="shared" si="20"/>
        <v>OK</v>
      </c>
      <c r="N161" s="285" t="str">
        <f t="shared" si="20"/>
        <v>OK</v>
      </c>
      <c r="O161" s="284"/>
      <c r="P161" s="284"/>
      <c r="Q161" s="284"/>
      <c r="R161" s="255"/>
      <c r="X161" s="342"/>
    </row>
    <row r="162" spans="1:24">
      <c r="B162" s="259"/>
      <c r="C162" s="284"/>
      <c r="D162" s="284"/>
      <c r="E162" s="284"/>
      <c r="F162" s="284"/>
      <c r="G162" s="284"/>
      <c r="H162" s="284"/>
      <c r="I162" s="284"/>
      <c r="J162" s="284"/>
      <c r="K162" s="284"/>
      <c r="L162" s="284"/>
      <c r="M162" s="284"/>
      <c r="N162" s="284"/>
      <c r="O162" s="284"/>
      <c r="P162" s="284"/>
      <c r="Q162" s="284"/>
      <c r="R162" s="282"/>
    </row>
    <row r="163" spans="1:24" s="260" customFormat="1">
      <c r="B163" s="252" t="s">
        <v>985</v>
      </c>
      <c r="C163" s="255"/>
      <c r="D163" s="255"/>
      <c r="E163" s="255"/>
      <c r="F163" s="255"/>
      <c r="G163" s="255"/>
      <c r="H163" s="255"/>
      <c r="I163" s="255"/>
      <c r="J163" s="255"/>
      <c r="K163" s="255"/>
      <c r="L163" s="255"/>
      <c r="M163" s="255"/>
      <c r="N163" s="255"/>
      <c r="O163" s="284"/>
      <c r="P163" s="284"/>
      <c r="Q163" s="284"/>
      <c r="R163" s="282"/>
      <c r="T163" s="261"/>
      <c r="U163" s="261"/>
    </row>
    <row r="164" spans="1:24">
      <c r="A164" s="253" t="str">
        <f>B163&amp;" "&amp;B164</f>
        <v>NEW SMYRNA BEACH KWH Sales</v>
      </c>
      <c r="B164" s="254" t="s">
        <v>563</v>
      </c>
      <c r="C164" s="284">
        <f>VLOOKUP($B163,'KWH FCST'!$A$12:$M$41,C$8,FALSE)</f>
        <v>14880000</v>
      </c>
      <c r="D164" s="284">
        <f>VLOOKUP($B163,'KWH FCST'!$A$12:$M$41,D$8,FALSE)</f>
        <v>29760000</v>
      </c>
      <c r="E164" s="284">
        <f>VLOOKUP($B163,'KWH FCST'!$A$12:$M$41,E$8,FALSE)</f>
        <v>27840000</v>
      </c>
      <c r="F164" s="284">
        <f>VLOOKUP($B163,'KWH FCST'!$A$12:$M$41,F$8,FALSE)</f>
        <v>18600000</v>
      </c>
      <c r="G164" s="284">
        <f>VLOOKUP($B163,'KWH FCST'!$A$12:$M$41,G$8,FALSE)</f>
        <v>14400000</v>
      </c>
      <c r="H164" s="284">
        <f>VLOOKUP($B163,'KWH FCST'!$A$12:$M$41,H$8,FALSE)</f>
        <v>22320000</v>
      </c>
      <c r="I164" s="284">
        <f>VLOOKUP($B163,'KWH FCST'!$A$12:$M$41,I$8,FALSE)</f>
        <v>28800000</v>
      </c>
      <c r="J164" s="284">
        <f>VLOOKUP($B163,'KWH FCST'!$A$12:$M$41,J$8,FALSE)</f>
        <v>33480000</v>
      </c>
      <c r="K164" s="284">
        <f>VLOOKUP($B163,'KWH FCST'!$A$12:$M$41,K$8,FALSE)</f>
        <v>33480000</v>
      </c>
      <c r="L164" s="284">
        <f>VLOOKUP($B163,'KWH FCST'!$A$12:$M$41,L$8,FALSE)</f>
        <v>25200000</v>
      </c>
      <c r="M164" s="284">
        <f>VLOOKUP($B163,'KWH FCST'!$A$12:$M$41,M$8,FALSE)</f>
        <v>18600000</v>
      </c>
      <c r="N164" s="284">
        <f>VLOOKUP($B163,'KWH FCST'!$A$12:$M$41,N$8,FALSE)</f>
        <v>14400000</v>
      </c>
      <c r="O164" s="284">
        <f>SUM(C164:N164)</f>
        <v>281760000</v>
      </c>
      <c r="P164" s="284"/>
      <c r="Q164" s="284"/>
      <c r="R164" s="282"/>
      <c r="T164" s="296">
        <f>VLOOKUP($B163,'KWH FCST'!$A$12:$O$41,14,FALSE)</f>
        <v>281760000</v>
      </c>
      <c r="U164" s="255">
        <f>+O164-T164</f>
        <v>0</v>
      </c>
    </row>
    <row r="165" spans="1:24">
      <c r="A165" s="253" t="str">
        <f>B163&amp;" "&amp;B165</f>
        <v>NEW SMYRNA BEACH NCP</v>
      </c>
      <c r="B165" s="254" t="s">
        <v>133</v>
      </c>
      <c r="C165" s="284">
        <f>VLOOKUP($B163,'NCP FCST'!$A$12:$M$41,C$8,FALSE)</f>
        <v>40000</v>
      </c>
      <c r="D165" s="284">
        <f>VLOOKUP($B163,'NCP FCST'!$A$12:$M$41,D$8,FALSE)</f>
        <v>40000</v>
      </c>
      <c r="E165" s="284">
        <f>VLOOKUP($B163,'NCP FCST'!$A$12:$M$41,E$8,FALSE)</f>
        <v>25000</v>
      </c>
      <c r="F165" s="284">
        <f>VLOOKUP($B163,'NCP FCST'!$A$12:$M$41,F$8,FALSE)</f>
        <v>20000</v>
      </c>
      <c r="G165" s="284">
        <f>VLOOKUP($B163,'NCP FCST'!$A$12:$M$41,G$8,FALSE)</f>
        <v>30000</v>
      </c>
      <c r="H165" s="284">
        <f>VLOOKUP($B163,'NCP FCST'!$A$12:$M$41,H$8,FALSE)</f>
        <v>40000</v>
      </c>
      <c r="I165" s="284">
        <f>VLOOKUP($B163,'NCP FCST'!$A$12:$M$41,I$8,FALSE)</f>
        <v>45000</v>
      </c>
      <c r="J165" s="284">
        <f>VLOOKUP($B163,'NCP FCST'!$A$12:$M$41,J$8,FALSE)</f>
        <v>45000</v>
      </c>
      <c r="K165" s="284">
        <f>VLOOKUP($B163,'NCP FCST'!$A$12:$M$41,K$8,FALSE)</f>
        <v>35000</v>
      </c>
      <c r="L165" s="284">
        <f>VLOOKUP($B163,'NCP FCST'!$A$12:$M$41,L$8,FALSE)</f>
        <v>25000</v>
      </c>
      <c r="M165" s="284">
        <f>VLOOKUP($B163,'NCP FCST'!$A$12:$M$41,M$8,FALSE)</f>
        <v>20000</v>
      </c>
      <c r="N165" s="284">
        <f>VLOOKUP($B163,'NCP FCST'!$A$12:$M$41,N$8,FALSE)</f>
        <v>25000</v>
      </c>
      <c r="O165" s="284"/>
      <c r="P165" s="284">
        <f>MAX(C165:N165)</f>
        <v>45000</v>
      </c>
      <c r="Q165" s="284"/>
      <c r="R165" s="282"/>
      <c r="T165" s="255">
        <f>VLOOKUP($B163,'NCP FCST'!$A$12:$O$41,15,FALSE)</f>
        <v>45000</v>
      </c>
      <c r="U165" s="255">
        <f>P165-T165</f>
        <v>0</v>
      </c>
    </row>
    <row r="166" spans="1:24">
      <c r="A166" s="253" t="str">
        <f>B163&amp;" "&amp;B166</f>
        <v>NEW SMYRNA BEACH GNCP</v>
      </c>
      <c r="B166" s="254" t="s">
        <v>342</v>
      </c>
      <c r="C166" s="284">
        <f>VLOOKUP($B163,'GNCP FCST'!$A$12:$M$41,C$8,FALSE)</f>
        <v>40000</v>
      </c>
      <c r="D166" s="284">
        <f>VLOOKUP($B163,'GNCP FCST'!$A$12:$M$41,D$8,FALSE)</f>
        <v>40000</v>
      </c>
      <c r="E166" s="284">
        <f>VLOOKUP($B163,'GNCP FCST'!$A$12:$M$41,E$8,FALSE)</f>
        <v>25000</v>
      </c>
      <c r="F166" s="284">
        <f>VLOOKUP($B163,'GNCP FCST'!$A$12:$M$41,F$8,FALSE)</f>
        <v>20000</v>
      </c>
      <c r="G166" s="284">
        <f>VLOOKUP($B163,'GNCP FCST'!$A$12:$M$41,G$8,FALSE)</f>
        <v>30000</v>
      </c>
      <c r="H166" s="284">
        <f>VLOOKUP($B163,'GNCP FCST'!$A$12:$M$41,H$8,FALSE)</f>
        <v>40000</v>
      </c>
      <c r="I166" s="284">
        <f>VLOOKUP($B163,'GNCP FCST'!$A$12:$M$41,I$8,FALSE)</f>
        <v>45000</v>
      </c>
      <c r="J166" s="284">
        <f>VLOOKUP($B163,'GNCP FCST'!$A$12:$M$41,J$8,FALSE)</f>
        <v>45000</v>
      </c>
      <c r="K166" s="284">
        <f>VLOOKUP($B163,'GNCP FCST'!$A$12:$M$41,K$8,FALSE)</f>
        <v>35000</v>
      </c>
      <c r="L166" s="284">
        <f>VLOOKUP($B163,'GNCP FCST'!$A$12:$M$41,L$8,FALSE)</f>
        <v>25000</v>
      </c>
      <c r="M166" s="284">
        <f>VLOOKUP($B163,'GNCP FCST'!$A$12:$M$41,M$8,FALSE)</f>
        <v>20000</v>
      </c>
      <c r="N166" s="284">
        <f>VLOOKUP($B163,'GNCP FCST'!$A$12:$M$41,N$8,FALSE)</f>
        <v>25000</v>
      </c>
      <c r="O166" s="284"/>
      <c r="Q166" s="284">
        <f>MAX(C166:N166)</f>
        <v>45000</v>
      </c>
      <c r="R166" s="282"/>
      <c r="T166" s="255">
        <f>VLOOKUP($B163,'GNCP FCST'!$A$12:$O$41,15,FALSE)</f>
        <v>45000</v>
      </c>
      <c r="U166" s="255">
        <f>+Q166-T166</f>
        <v>0</v>
      </c>
    </row>
    <row r="167" spans="1:24">
      <c r="A167" s="253" t="str">
        <f>B163&amp;" "&amp;B167</f>
        <v>NEW SMYRNA BEACH CP</v>
      </c>
      <c r="B167" s="254" t="s">
        <v>148</v>
      </c>
      <c r="C167" s="284">
        <f>VLOOKUP($B163,'CP FCST'!$A$12:$M$41,C$8,FALSE)</f>
        <v>40000</v>
      </c>
      <c r="D167" s="284">
        <f>VLOOKUP($B163,'CP FCST'!$A$12:$M$41,D$8,FALSE)</f>
        <v>40000</v>
      </c>
      <c r="E167" s="284">
        <f>VLOOKUP($B163,'CP FCST'!$A$12:$M$41,E$8,FALSE)</f>
        <v>25000</v>
      </c>
      <c r="F167" s="284">
        <f>VLOOKUP($B163,'CP FCST'!$A$12:$M$41,F$8,FALSE)</f>
        <v>20000</v>
      </c>
      <c r="G167" s="284">
        <f>VLOOKUP($B163,'CP FCST'!$A$12:$M$41,G$8,FALSE)</f>
        <v>30000</v>
      </c>
      <c r="H167" s="284">
        <f>VLOOKUP($B163,'CP FCST'!$A$12:$M$41,H$8,FALSE)</f>
        <v>40000</v>
      </c>
      <c r="I167" s="284">
        <f>VLOOKUP($B163,'CP FCST'!$A$12:$M$41,I$8,FALSE)</f>
        <v>45000</v>
      </c>
      <c r="J167" s="284">
        <f>VLOOKUP($B163,'CP FCST'!$A$12:$M$41,J$8,FALSE)</f>
        <v>45000</v>
      </c>
      <c r="K167" s="284">
        <f>VLOOKUP($B163,'CP FCST'!$A$12:$M$41,K$8,FALSE)</f>
        <v>35000</v>
      </c>
      <c r="L167" s="284">
        <f>VLOOKUP($B163,'CP FCST'!$A$12:$M$41,L$8,FALSE)</f>
        <v>25000</v>
      </c>
      <c r="M167" s="284">
        <f>VLOOKUP($B163,'CP FCST'!$A$12:$M$41,M$8,FALSE)</f>
        <v>20000</v>
      </c>
      <c r="N167" s="284">
        <f>VLOOKUP($B163,'CP FCST'!$A$12:$M$41,N$8,FALSE)</f>
        <v>25000</v>
      </c>
      <c r="O167" s="284"/>
      <c r="P167" s="284"/>
      <c r="Q167" s="284"/>
      <c r="R167" s="255">
        <f>AVERAGE(C167:N167)</f>
        <v>32500</v>
      </c>
      <c r="T167" s="255">
        <f>VLOOKUP($B163,'CP FCST'!$A$12:$O$41,15,FALSE)</f>
        <v>32500</v>
      </c>
      <c r="U167" s="255">
        <f>R167-T167</f>
        <v>0</v>
      </c>
    </row>
    <row r="168" spans="1:24">
      <c r="B168" s="254" t="s">
        <v>570</v>
      </c>
      <c r="C168" s="285" t="str">
        <f t="shared" ref="C168:N168" si="21">IF(C167&gt;C166,"ERROR",IF(C166&gt;C165,"ERROR","OK"))</f>
        <v>OK</v>
      </c>
      <c r="D168" s="285" t="str">
        <f t="shared" si="21"/>
        <v>OK</v>
      </c>
      <c r="E168" s="285" t="str">
        <f t="shared" si="21"/>
        <v>OK</v>
      </c>
      <c r="F168" s="285" t="str">
        <f t="shared" si="21"/>
        <v>OK</v>
      </c>
      <c r="G168" s="285" t="str">
        <f t="shared" si="21"/>
        <v>OK</v>
      </c>
      <c r="H168" s="285" t="str">
        <f t="shared" si="21"/>
        <v>OK</v>
      </c>
      <c r="I168" s="285" t="str">
        <f t="shared" si="21"/>
        <v>OK</v>
      </c>
      <c r="J168" s="285" t="str">
        <f t="shared" si="21"/>
        <v>OK</v>
      </c>
      <c r="K168" s="285" t="str">
        <f t="shared" si="21"/>
        <v>OK</v>
      </c>
      <c r="L168" s="285" t="str">
        <f t="shared" si="21"/>
        <v>OK</v>
      </c>
      <c r="M168" s="285" t="str">
        <f t="shared" si="21"/>
        <v>OK</v>
      </c>
      <c r="N168" s="285" t="str">
        <f t="shared" si="21"/>
        <v>OK</v>
      </c>
      <c r="O168" s="284"/>
      <c r="P168" s="284"/>
      <c r="Q168" s="284"/>
      <c r="R168" s="255"/>
    </row>
    <row r="169" spans="1:24">
      <c r="B169" s="254"/>
      <c r="C169" s="285"/>
      <c r="D169" s="285"/>
      <c r="E169" s="285"/>
      <c r="F169" s="285"/>
      <c r="G169" s="285"/>
      <c r="H169" s="285"/>
      <c r="I169" s="285"/>
      <c r="J169" s="285"/>
      <c r="K169" s="285"/>
      <c r="L169" s="285"/>
      <c r="M169" s="285"/>
      <c r="N169" s="285"/>
      <c r="O169" s="284"/>
      <c r="P169" s="284"/>
      <c r="Q169" s="284"/>
      <c r="R169" s="255"/>
    </row>
    <row r="170" spans="1:24">
      <c r="A170" s="260"/>
      <c r="B170" s="252" t="s">
        <v>1193</v>
      </c>
      <c r="O170" s="284"/>
      <c r="P170" s="284"/>
      <c r="Q170" s="284"/>
      <c r="R170" s="282"/>
      <c r="S170" s="260"/>
      <c r="T170" s="261"/>
      <c r="U170" s="261"/>
    </row>
    <row r="171" spans="1:24">
      <c r="A171" s="253" t="str">
        <f>B170&amp;" "&amp;B171</f>
        <v>QUINCY KWH Sales</v>
      </c>
      <c r="B171" s="254" t="s">
        <v>563</v>
      </c>
      <c r="C171" s="284">
        <f>VLOOKUP($B170,'KWH FCST'!$A$12:$M$41,C$8,FALSE)</f>
        <v>0</v>
      </c>
      <c r="D171" s="284">
        <f>VLOOKUP($B170,'KWH FCST'!$A$12:$M$41,D$8,FALSE)</f>
        <v>76000</v>
      </c>
      <c r="E171" s="284">
        <f>VLOOKUP($B170,'KWH FCST'!$A$12:$M$41,E$8,FALSE)</f>
        <v>0</v>
      </c>
      <c r="F171" s="284">
        <f>VLOOKUP($B170,'KWH FCST'!$A$12:$M$41,F$8,FALSE)</f>
        <v>0</v>
      </c>
      <c r="G171" s="284">
        <f>VLOOKUP($B170,'KWH FCST'!$A$12:$M$41,G$8,FALSE)</f>
        <v>0</v>
      </c>
      <c r="H171" s="284">
        <f>VLOOKUP($B170,'KWH FCST'!$A$12:$M$41,H$8,FALSE)</f>
        <v>0</v>
      </c>
      <c r="I171" s="284">
        <f>VLOOKUP($B170,'KWH FCST'!$A$12:$M$41,I$8,FALSE)</f>
        <v>0</v>
      </c>
      <c r="J171" s="284">
        <f>VLOOKUP($B170,'KWH FCST'!$A$12:$M$41,J$8,FALSE)</f>
        <v>0</v>
      </c>
      <c r="K171" s="284">
        <f>VLOOKUP($B170,'KWH FCST'!$A$12:$M$41,K$8,FALSE)</f>
        <v>76000</v>
      </c>
      <c r="L171" s="284">
        <f>VLOOKUP($B170,'KWH FCST'!$A$12:$M$41,L$8,FALSE)</f>
        <v>0</v>
      </c>
      <c r="M171" s="284">
        <f>VLOOKUP($B170,'KWH FCST'!$A$12:$M$41,M$8,FALSE)</f>
        <v>0</v>
      </c>
      <c r="N171" s="284">
        <f>VLOOKUP($B170,'KWH FCST'!$A$12:$M$41,N$8,FALSE)</f>
        <v>0</v>
      </c>
      <c r="O171" s="284">
        <f>SUM(C171:N171)</f>
        <v>152000</v>
      </c>
      <c r="P171" s="284"/>
      <c r="Q171" s="284"/>
      <c r="R171" s="282"/>
      <c r="T171" s="296">
        <f>VLOOKUP($B170,'KWH FCST'!$A$12:$O$41,14,FALSE)</f>
        <v>152000</v>
      </c>
      <c r="U171" s="255">
        <f>+O171-T171</f>
        <v>0</v>
      </c>
    </row>
    <row r="172" spans="1:24">
      <c r="A172" s="253" t="str">
        <f>B170&amp;" "&amp;B172</f>
        <v>QUINCY NCP</v>
      </c>
      <c r="B172" s="254" t="s">
        <v>133</v>
      </c>
      <c r="C172" s="284">
        <f>VLOOKUP($B170,'NCP FCST'!$A$12:$M$41,C$8,FALSE)</f>
        <v>19000</v>
      </c>
      <c r="D172" s="284">
        <f>VLOOKUP($B170,'NCP FCST'!$A$12:$M$41,D$8,FALSE)</f>
        <v>0</v>
      </c>
      <c r="E172" s="284">
        <f>VLOOKUP($B170,'NCP FCST'!$A$12:$M$41,E$8,FALSE)</f>
        <v>0</v>
      </c>
      <c r="F172" s="284">
        <f>VLOOKUP($B170,'NCP FCST'!$A$12:$M$41,F$8,FALSE)</f>
        <v>0</v>
      </c>
      <c r="G172" s="284">
        <f>VLOOKUP($B170,'NCP FCST'!$A$12:$M$41,G$8,FALSE)</f>
        <v>0</v>
      </c>
      <c r="H172" s="284">
        <f>VLOOKUP($B170,'NCP FCST'!$A$12:$M$41,H$8,FALSE)</f>
        <v>0</v>
      </c>
      <c r="I172" s="284">
        <f>VLOOKUP($B170,'NCP FCST'!$A$12:$M$41,I$8,FALSE)</f>
        <v>0</v>
      </c>
      <c r="J172" s="284">
        <f>VLOOKUP($B170,'NCP FCST'!$A$12:$M$41,J$8,FALSE)</f>
        <v>19000</v>
      </c>
      <c r="K172" s="284">
        <f>VLOOKUP($B170,'NCP FCST'!$A$12:$M$41,K$8,FALSE)</f>
        <v>0</v>
      </c>
      <c r="L172" s="284">
        <f>VLOOKUP($B170,'NCP FCST'!$A$12:$M$41,L$8,FALSE)</f>
        <v>0</v>
      </c>
      <c r="M172" s="284">
        <f>VLOOKUP($B170,'NCP FCST'!$A$12:$M$41,M$8,FALSE)</f>
        <v>0</v>
      </c>
      <c r="N172" s="284">
        <f>VLOOKUP($B170,'NCP FCST'!$A$12:$M$41,N$8,FALSE)</f>
        <v>0</v>
      </c>
      <c r="O172" s="284"/>
      <c r="P172" s="284">
        <f>MAX(C172:N172)</f>
        <v>19000</v>
      </c>
      <c r="Q172" s="284"/>
      <c r="R172" s="282"/>
      <c r="T172" s="255">
        <f>VLOOKUP($B170,'NCP FCST'!$A$12:$O$41,15,FALSE)</f>
        <v>19000</v>
      </c>
      <c r="U172" s="255">
        <f>P172-T172</f>
        <v>0</v>
      </c>
    </row>
    <row r="173" spans="1:24">
      <c r="A173" s="253" t="str">
        <f>B170&amp;" "&amp;B173</f>
        <v>QUINCY GNCP</v>
      </c>
      <c r="B173" s="254" t="s">
        <v>342</v>
      </c>
      <c r="C173" s="284">
        <f>VLOOKUP($B170,'GNCP FCST'!$A$12:$M$41,C$8,FALSE)</f>
        <v>19000</v>
      </c>
      <c r="D173" s="284">
        <f>VLOOKUP($B170,'GNCP FCST'!$A$12:$M$41,D$8,FALSE)</f>
        <v>0</v>
      </c>
      <c r="E173" s="284">
        <f>VLOOKUP($B170,'GNCP FCST'!$A$12:$M$41,E$8,FALSE)</f>
        <v>0</v>
      </c>
      <c r="F173" s="284">
        <f>VLOOKUP($B170,'GNCP FCST'!$A$12:$M$41,F$8,FALSE)</f>
        <v>0</v>
      </c>
      <c r="G173" s="284">
        <f>VLOOKUP($B170,'GNCP FCST'!$A$12:$M$41,G$8,FALSE)</f>
        <v>0</v>
      </c>
      <c r="H173" s="284">
        <f>VLOOKUP($B170,'GNCP FCST'!$A$12:$M$41,H$8,FALSE)</f>
        <v>0</v>
      </c>
      <c r="I173" s="284">
        <f>VLOOKUP($B170,'GNCP FCST'!$A$12:$M$41,I$8,FALSE)</f>
        <v>0</v>
      </c>
      <c r="J173" s="284">
        <f>VLOOKUP($B170,'GNCP FCST'!$A$12:$M$41,J$8,FALSE)</f>
        <v>19000</v>
      </c>
      <c r="K173" s="284">
        <f>VLOOKUP($B170,'GNCP FCST'!$A$12:$M$41,K$8,FALSE)</f>
        <v>0</v>
      </c>
      <c r="L173" s="284">
        <f>VLOOKUP($B170,'GNCP FCST'!$A$12:$M$41,L$8,FALSE)</f>
        <v>0</v>
      </c>
      <c r="M173" s="284">
        <f>VLOOKUP($B170,'GNCP FCST'!$A$12:$M$41,M$8,FALSE)</f>
        <v>0</v>
      </c>
      <c r="N173" s="284">
        <f>VLOOKUP($B170,'GNCP FCST'!$A$12:$M$41,N$8,FALSE)</f>
        <v>0</v>
      </c>
      <c r="O173" s="284"/>
      <c r="Q173" s="284">
        <f>MAX(C173:N173)</f>
        <v>19000</v>
      </c>
      <c r="R173" s="282"/>
      <c r="T173" s="255">
        <f>VLOOKUP($B170,'GNCP FCST'!$A$12:$O$41,15,FALSE)</f>
        <v>19000</v>
      </c>
      <c r="U173" s="255">
        <f>+Q173-T173</f>
        <v>0</v>
      </c>
    </row>
    <row r="174" spans="1:24">
      <c r="A174" s="253" t="str">
        <f>B170&amp;" "&amp;B174</f>
        <v>QUINCY CP</v>
      </c>
      <c r="B174" s="254" t="s">
        <v>148</v>
      </c>
      <c r="C174" s="284">
        <f>VLOOKUP($B170,'CP FCST'!$A$12:$M$41,C$8,FALSE)</f>
        <v>19000</v>
      </c>
      <c r="D174" s="284">
        <f>VLOOKUP($B170,'CP FCST'!$A$12:$M$41,D$8,FALSE)</f>
        <v>0</v>
      </c>
      <c r="E174" s="284">
        <f>VLOOKUP($B170,'CP FCST'!$A$12:$M$41,E$8,FALSE)</f>
        <v>0</v>
      </c>
      <c r="F174" s="284">
        <f>VLOOKUP($B170,'CP FCST'!$A$12:$M$41,F$8,FALSE)</f>
        <v>0</v>
      </c>
      <c r="G174" s="284">
        <f>VLOOKUP($B170,'CP FCST'!$A$12:$M$41,G$8,FALSE)</f>
        <v>0</v>
      </c>
      <c r="H174" s="284">
        <f>VLOOKUP($B170,'CP FCST'!$A$12:$M$41,H$8,FALSE)</f>
        <v>0</v>
      </c>
      <c r="I174" s="284">
        <f>VLOOKUP($B170,'CP FCST'!$A$12:$M$41,I$8,FALSE)</f>
        <v>0</v>
      </c>
      <c r="J174" s="284">
        <f>VLOOKUP($B170,'CP FCST'!$A$12:$M$41,J$8,FALSE)</f>
        <v>19000</v>
      </c>
      <c r="K174" s="284">
        <f>VLOOKUP($B170,'CP FCST'!$A$12:$M$41,K$8,FALSE)</f>
        <v>0</v>
      </c>
      <c r="L174" s="284">
        <f>VLOOKUP($B170,'CP FCST'!$A$12:$M$41,L$8,FALSE)</f>
        <v>0</v>
      </c>
      <c r="M174" s="284">
        <f>VLOOKUP($B170,'CP FCST'!$A$12:$M$41,M$8,FALSE)</f>
        <v>0</v>
      </c>
      <c r="N174" s="284">
        <f>VLOOKUP($B170,'CP FCST'!$A$12:$M$41,N$8,FALSE)</f>
        <v>0</v>
      </c>
      <c r="O174" s="284"/>
      <c r="P174" s="284"/>
      <c r="Q174" s="284"/>
      <c r="R174" s="255">
        <f>AVERAGE(C174:N174)</f>
        <v>3166.6666666666665</v>
      </c>
      <c r="T174" s="255">
        <f>VLOOKUP($B170,'CP FCST'!$A$12:$O$41,15,FALSE)</f>
        <v>3166.6666666666665</v>
      </c>
      <c r="U174" s="255">
        <f>R174-T174</f>
        <v>0</v>
      </c>
    </row>
    <row r="175" spans="1:24">
      <c r="B175" s="254" t="s">
        <v>570</v>
      </c>
      <c r="C175" s="285" t="str">
        <f t="shared" ref="C175:N175" si="22">IF(C174&gt;C173,"ERROR",IF(C173&gt;C172,"ERROR","OK"))</f>
        <v>OK</v>
      </c>
      <c r="D175" s="285" t="str">
        <f t="shared" si="22"/>
        <v>OK</v>
      </c>
      <c r="E175" s="285" t="str">
        <f t="shared" si="22"/>
        <v>OK</v>
      </c>
      <c r="F175" s="285" t="str">
        <f t="shared" si="22"/>
        <v>OK</v>
      </c>
      <c r="G175" s="285" t="str">
        <f t="shared" si="22"/>
        <v>OK</v>
      </c>
      <c r="H175" s="285" t="str">
        <f t="shared" si="22"/>
        <v>OK</v>
      </c>
      <c r="I175" s="285" t="str">
        <f t="shared" si="22"/>
        <v>OK</v>
      </c>
      <c r="J175" s="285" t="str">
        <f t="shared" si="22"/>
        <v>OK</v>
      </c>
      <c r="K175" s="285" t="str">
        <f t="shared" si="22"/>
        <v>OK</v>
      </c>
      <c r="L175" s="285" t="str">
        <f t="shared" si="22"/>
        <v>OK</v>
      </c>
      <c r="M175" s="285" t="str">
        <f t="shared" si="22"/>
        <v>OK</v>
      </c>
      <c r="N175" s="285" t="str">
        <f t="shared" si="22"/>
        <v>OK</v>
      </c>
      <c r="O175" s="284"/>
      <c r="P175" s="284"/>
      <c r="Q175" s="284"/>
      <c r="R175" s="255"/>
    </row>
    <row r="176" spans="1:24">
      <c r="B176" s="254"/>
      <c r="C176" s="285"/>
      <c r="D176" s="285"/>
      <c r="E176" s="285"/>
      <c r="F176" s="285"/>
      <c r="G176" s="285"/>
      <c r="H176" s="285"/>
      <c r="I176" s="285"/>
      <c r="J176" s="285"/>
      <c r="K176" s="285"/>
      <c r="L176" s="285"/>
      <c r="M176" s="285"/>
      <c r="N176" s="285"/>
      <c r="O176" s="284"/>
      <c r="P176" s="284"/>
      <c r="Q176" s="284"/>
      <c r="R176" s="255"/>
    </row>
    <row r="177" spans="1:21">
      <c r="B177" s="252" t="s">
        <v>1060</v>
      </c>
      <c r="O177" s="284"/>
      <c r="P177" s="284"/>
      <c r="Q177" s="284"/>
      <c r="R177" s="282"/>
      <c r="S177" s="260"/>
      <c r="T177" s="261"/>
      <c r="U177" s="261"/>
    </row>
    <row r="178" spans="1:21">
      <c r="A178" s="253" t="str">
        <f>B177&amp;" "&amp;B178</f>
        <v>SEMINOLE AGREEMENT KWH Sales</v>
      </c>
      <c r="B178" s="254" t="s">
        <v>563</v>
      </c>
      <c r="C178" s="284">
        <f>VLOOKUP($B177,'KWH FCST'!$A$12:$M$41,C$8,FALSE)</f>
        <v>13575000</v>
      </c>
      <c r="D178" s="284">
        <f>VLOOKUP($B177,'KWH FCST'!$A$12:$M$41,D$8,FALSE)</f>
        <v>73250000</v>
      </c>
      <c r="E178" s="284">
        <f>VLOOKUP($B177,'KWH FCST'!$A$12:$M$41,E$8,FALSE)</f>
        <v>85800000</v>
      </c>
      <c r="F178" s="284">
        <f>VLOOKUP($B177,'KWH FCST'!$A$12:$M$41,F$8,FALSE)</f>
        <v>111860000</v>
      </c>
      <c r="G178" s="284">
        <f>VLOOKUP($B177,'KWH FCST'!$A$12:$M$41,G$8,FALSE)</f>
        <v>125830000</v>
      </c>
      <c r="H178" s="284">
        <f>VLOOKUP($B177,'KWH FCST'!$A$12:$M$41,H$8,FALSE)</f>
        <v>113525000</v>
      </c>
      <c r="I178" s="284">
        <f>VLOOKUP($B177,'KWH FCST'!$A$12:$M$41,I$8,FALSE)</f>
        <v>115975000</v>
      </c>
      <c r="J178" s="284">
        <f>VLOOKUP($B177,'KWH FCST'!$A$12:$M$41,J$8,FALSE)</f>
        <v>144250000</v>
      </c>
      <c r="K178" s="284">
        <f>VLOOKUP($B177,'KWH FCST'!$A$12:$M$41,K$8,FALSE)</f>
        <v>96050000</v>
      </c>
      <c r="L178" s="284">
        <f>VLOOKUP($B177,'KWH FCST'!$A$12:$M$41,L$8,FALSE)</f>
        <v>91130000</v>
      </c>
      <c r="M178" s="284">
        <f>VLOOKUP($B177,'KWH FCST'!$A$12:$M$41,M$8,FALSE)</f>
        <v>87075000</v>
      </c>
      <c r="N178" s="284">
        <f>VLOOKUP($B177,'KWH FCST'!$A$12:$M$41,N$8,FALSE)</f>
        <v>44020000</v>
      </c>
      <c r="O178" s="284">
        <f>SUM(C178:N178)</f>
        <v>1102340000</v>
      </c>
      <c r="P178" s="284"/>
      <c r="Q178" s="284"/>
      <c r="R178" s="282"/>
      <c r="T178" s="296">
        <f>VLOOKUP($B177,'KWH FCST'!$A$12:$O$41,14,FALSE)</f>
        <v>1102340000</v>
      </c>
      <c r="U178" s="255">
        <f>+O178-T178</f>
        <v>0</v>
      </c>
    </row>
    <row r="179" spans="1:21">
      <c r="A179" s="253" t="str">
        <f>B177&amp;" "&amp;B179</f>
        <v>SEMINOLE AGREEMENT NCP</v>
      </c>
      <c r="B179" s="254" t="s">
        <v>133</v>
      </c>
      <c r="C179" s="284">
        <f>VLOOKUP($B177,'NCP FCST'!$A$12:$M$41,C$8,FALSE)</f>
        <v>200000</v>
      </c>
      <c r="D179" s="284">
        <f>VLOOKUP($B177,'NCP FCST'!$A$12:$M$41,D$8,FALSE)</f>
        <v>200000</v>
      </c>
      <c r="E179" s="284">
        <f>VLOOKUP($B177,'NCP FCST'!$A$12:$M$41,E$8,FALSE)</f>
        <v>200000</v>
      </c>
      <c r="F179" s="284">
        <f>VLOOKUP($B177,'NCP FCST'!$A$12:$M$41,F$8,FALSE)</f>
        <v>200000</v>
      </c>
      <c r="G179" s="284">
        <f>VLOOKUP($B177,'NCP FCST'!$A$12:$M$41,G$8,FALSE)</f>
        <v>200000</v>
      </c>
      <c r="H179" s="284">
        <f>VLOOKUP($B177,'NCP FCST'!$A$12:$M$41,H$8,FALSE)</f>
        <v>200000</v>
      </c>
      <c r="I179" s="284">
        <f>VLOOKUP($B177,'NCP FCST'!$A$12:$M$41,I$8,FALSE)</f>
        <v>200000</v>
      </c>
      <c r="J179" s="284">
        <f>VLOOKUP($B177,'NCP FCST'!$A$12:$M$41,J$8,FALSE)</f>
        <v>200000</v>
      </c>
      <c r="K179" s="284">
        <f>VLOOKUP($B177,'NCP FCST'!$A$12:$M$41,K$8,FALSE)</f>
        <v>200000</v>
      </c>
      <c r="L179" s="284">
        <f>VLOOKUP($B177,'NCP FCST'!$A$12:$M$41,L$8,FALSE)</f>
        <v>200000</v>
      </c>
      <c r="M179" s="284">
        <f>VLOOKUP($B177,'NCP FCST'!$A$12:$M$41,M$8,FALSE)</f>
        <v>200000</v>
      </c>
      <c r="N179" s="284">
        <f>VLOOKUP($B177,'NCP FCST'!$A$12:$M$41,N$8,FALSE)</f>
        <v>200000</v>
      </c>
      <c r="O179" s="284"/>
      <c r="P179" s="284">
        <f>MAX(C179:N179)</f>
        <v>200000</v>
      </c>
      <c r="Q179" s="284"/>
      <c r="R179" s="282"/>
      <c r="T179" s="255">
        <f>VLOOKUP($B177,'NCP FCST'!$A$12:$O$41,15,FALSE)</f>
        <v>200000</v>
      </c>
      <c r="U179" s="255">
        <f>P179-T179</f>
        <v>0</v>
      </c>
    </row>
    <row r="180" spans="1:21">
      <c r="A180" s="253" t="str">
        <f>B177&amp;" "&amp;B180</f>
        <v>SEMINOLE AGREEMENT GNCP</v>
      </c>
      <c r="B180" s="254" t="s">
        <v>342</v>
      </c>
      <c r="C180" s="284">
        <f>VLOOKUP($B177,'GNCP FCST'!$A$12:$M$41,C$8,FALSE)</f>
        <v>200000</v>
      </c>
      <c r="D180" s="284">
        <f>VLOOKUP($B177,'GNCP FCST'!$A$12:$M$41,D$8,FALSE)</f>
        <v>200000</v>
      </c>
      <c r="E180" s="284">
        <f>VLOOKUP($B177,'GNCP FCST'!$A$12:$M$41,E$8,FALSE)</f>
        <v>200000</v>
      </c>
      <c r="F180" s="284">
        <f>VLOOKUP($B177,'GNCP FCST'!$A$12:$M$41,F$8,FALSE)</f>
        <v>200000</v>
      </c>
      <c r="G180" s="284">
        <f>VLOOKUP($B177,'GNCP FCST'!$A$12:$M$41,G$8,FALSE)</f>
        <v>200000</v>
      </c>
      <c r="H180" s="284">
        <f>VLOOKUP($B177,'GNCP FCST'!$A$12:$M$41,H$8,FALSE)</f>
        <v>200000</v>
      </c>
      <c r="I180" s="284">
        <f>VLOOKUP($B177,'GNCP FCST'!$A$12:$M$41,I$8,FALSE)</f>
        <v>200000</v>
      </c>
      <c r="J180" s="284">
        <f>VLOOKUP($B177,'GNCP FCST'!$A$12:$M$41,J$8,FALSE)</f>
        <v>200000</v>
      </c>
      <c r="K180" s="284">
        <f>VLOOKUP($B177,'GNCP FCST'!$A$12:$M$41,K$8,FALSE)</f>
        <v>200000</v>
      </c>
      <c r="L180" s="284">
        <f>VLOOKUP($B177,'GNCP FCST'!$A$12:$M$41,L$8,FALSE)</f>
        <v>200000</v>
      </c>
      <c r="M180" s="284">
        <f>VLOOKUP($B177,'GNCP FCST'!$A$12:$M$41,M$8,FALSE)</f>
        <v>200000</v>
      </c>
      <c r="N180" s="284">
        <f>VLOOKUP($B177,'GNCP FCST'!$A$12:$M$41,N$8,FALSE)</f>
        <v>200000</v>
      </c>
      <c r="O180" s="284"/>
      <c r="Q180" s="284">
        <f>MAX(C180:N180)</f>
        <v>200000</v>
      </c>
      <c r="R180" s="282"/>
      <c r="T180" s="255">
        <f>VLOOKUP($B177,'GNCP FCST'!$A$12:$O$41,15,FALSE)</f>
        <v>200000</v>
      </c>
      <c r="U180" s="255">
        <f>+Q180-T180</f>
        <v>0</v>
      </c>
    </row>
    <row r="181" spans="1:21">
      <c r="A181" s="253" t="str">
        <f>B177&amp;" "&amp;B181</f>
        <v>SEMINOLE AGREEMENT CP</v>
      </c>
      <c r="B181" s="254" t="s">
        <v>148</v>
      </c>
      <c r="C181" s="284">
        <f>VLOOKUP($B177,'CP FCST'!$A$12:$M$41,C$8,FALSE)</f>
        <v>200000</v>
      </c>
      <c r="D181" s="284">
        <f>VLOOKUP($B177,'CP FCST'!$A$12:$M$41,D$8,FALSE)</f>
        <v>200000</v>
      </c>
      <c r="E181" s="284">
        <f>VLOOKUP($B177,'CP FCST'!$A$12:$M$41,E$8,FALSE)</f>
        <v>200000</v>
      </c>
      <c r="F181" s="284">
        <f>VLOOKUP($B177,'CP FCST'!$A$12:$M$41,F$8,FALSE)</f>
        <v>200000</v>
      </c>
      <c r="G181" s="284">
        <f>VLOOKUP($B177,'CP FCST'!$A$12:$M$41,G$8,FALSE)</f>
        <v>200000</v>
      </c>
      <c r="H181" s="284">
        <f>VLOOKUP($B177,'CP FCST'!$A$12:$M$41,H$8,FALSE)</f>
        <v>200000</v>
      </c>
      <c r="I181" s="284">
        <f>VLOOKUP($B177,'CP FCST'!$A$12:$M$41,I$8,FALSE)</f>
        <v>200000</v>
      </c>
      <c r="J181" s="284">
        <f>VLOOKUP($B177,'CP FCST'!$A$12:$M$41,J$8,FALSE)</f>
        <v>200000</v>
      </c>
      <c r="K181" s="284">
        <f>VLOOKUP($B177,'CP FCST'!$A$12:$M$41,K$8,FALSE)</f>
        <v>200000</v>
      </c>
      <c r="L181" s="284">
        <f>VLOOKUP($B177,'CP FCST'!$A$12:$M$41,L$8,FALSE)</f>
        <v>200000</v>
      </c>
      <c r="M181" s="284">
        <f>VLOOKUP($B177,'CP FCST'!$A$12:$M$41,M$8,FALSE)</f>
        <v>200000</v>
      </c>
      <c r="N181" s="284">
        <f>VLOOKUP($B177,'CP FCST'!$A$12:$M$41,N$8,FALSE)</f>
        <v>200000</v>
      </c>
      <c r="O181" s="284"/>
      <c r="P181" s="284"/>
      <c r="Q181" s="284"/>
      <c r="R181" s="255">
        <f>AVERAGE(C181:N181)</f>
        <v>200000</v>
      </c>
      <c r="T181" s="255">
        <f>VLOOKUP($B177,'CP FCST'!$A$12:$O$41,15,FALSE)</f>
        <v>200000</v>
      </c>
      <c r="U181" s="255">
        <f>R181-T181</f>
        <v>0</v>
      </c>
    </row>
    <row r="182" spans="1:21">
      <c r="B182" s="254" t="s">
        <v>570</v>
      </c>
      <c r="C182" s="285" t="str">
        <f t="shared" ref="C182:N182" si="23">IF(C181&gt;C180,"ERROR",IF(C180&gt;C179,"ERROR","OK"))</f>
        <v>OK</v>
      </c>
      <c r="D182" s="285" t="str">
        <f t="shared" si="23"/>
        <v>OK</v>
      </c>
      <c r="E182" s="285" t="str">
        <f t="shared" si="23"/>
        <v>OK</v>
      </c>
      <c r="F182" s="285" t="str">
        <f t="shared" si="23"/>
        <v>OK</v>
      </c>
      <c r="G182" s="285" t="str">
        <f t="shared" si="23"/>
        <v>OK</v>
      </c>
      <c r="H182" s="285" t="str">
        <f t="shared" si="23"/>
        <v>OK</v>
      </c>
      <c r="I182" s="285" t="str">
        <f t="shared" si="23"/>
        <v>OK</v>
      </c>
      <c r="J182" s="285" t="str">
        <f t="shared" si="23"/>
        <v>OK</v>
      </c>
      <c r="K182" s="285" t="str">
        <f t="shared" si="23"/>
        <v>OK</v>
      </c>
      <c r="L182" s="285" t="str">
        <f t="shared" si="23"/>
        <v>OK</v>
      </c>
      <c r="M182" s="285" t="str">
        <f t="shared" si="23"/>
        <v>OK</v>
      </c>
      <c r="N182" s="285" t="str">
        <f t="shared" si="23"/>
        <v>OK</v>
      </c>
      <c r="O182" s="284"/>
      <c r="P182" s="284"/>
      <c r="Q182" s="284"/>
      <c r="R182" s="255"/>
    </row>
    <row r="183" spans="1:21">
      <c r="B183" s="254"/>
      <c r="C183" s="285"/>
      <c r="D183" s="285"/>
      <c r="E183" s="285"/>
      <c r="F183" s="285"/>
      <c r="G183" s="285"/>
      <c r="H183" s="285"/>
      <c r="I183" s="285"/>
      <c r="J183" s="285"/>
      <c r="K183" s="285"/>
      <c r="L183" s="285"/>
      <c r="M183" s="285"/>
      <c r="N183" s="285"/>
      <c r="O183" s="284"/>
      <c r="P183" s="284"/>
      <c r="Q183" s="284"/>
      <c r="R183" s="255"/>
    </row>
    <row r="184" spans="1:21">
      <c r="B184" s="252" t="s">
        <v>724</v>
      </c>
      <c r="O184" s="284"/>
      <c r="P184" s="284"/>
      <c r="Q184" s="284"/>
      <c r="R184" s="282"/>
      <c r="S184" s="260"/>
      <c r="T184" s="261"/>
      <c r="U184" s="261"/>
    </row>
    <row r="185" spans="1:21">
      <c r="A185" s="253" t="str">
        <f>B184&amp;" "&amp;B185</f>
        <v>WAUCHULA KWH Sales</v>
      </c>
      <c r="B185" s="254" t="s">
        <v>563</v>
      </c>
      <c r="C185" s="284">
        <f>VLOOKUP($B184,'KWH FCST'!$A$12:$M$41,C$8,FALSE)</f>
        <v>4533460.336049078</v>
      </c>
      <c r="D185" s="284">
        <f>VLOOKUP($B184,'KWH FCST'!$A$12:$M$41,D$8,FALSE)</f>
        <v>4941609.804114826</v>
      </c>
      <c r="E185" s="284">
        <f>VLOOKUP($B184,'KWH FCST'!$A$12:$M$41,E$8,FALSE)</f>
        <v>3011667.4362598946</v>
      </c>
      <c r="F185" s="284">
        <f>VLOOKUP($B184,'KWH FCST'!$A$12:$M$41,F$8,FALSE)</f>
        <v>5646320.3654786283</v>
      </c>
      <c r="G185" s="284">
        <f>VLOOKUP($B184,'KWH FCST'!$A$12:$M$41,G$8,FALSE)</f>
        <v>5479526.6777857468</v>
      </c>
      <c r="H185" s="284">
        <f>VLOOKUP($B184,'KWH FCST'!$A$12:$M$41,H$8,FALSE)</f>
        <v>5963770.2536569545</v>
      </c>
      <c r="I185" s="284">
        <f>VLOOKUP($B184,'KWH FCST'!$A$12:$M$41,I$8,FALSE)</f>
        <v>5928664.319031693</v>
      </c>
      <c r="J185" s="284">
        <f>VLOOKUP($B184,'KWH FCST'!$A$12:$M$41,J$8,FALSE)</f>
        <v>6279645.1503097797</v>
      </c>
      <c r="K185" s="284">
        <f>VLOOKUP($B184,'KWH FCST'!$A$12:$M$41,K$8,FALSE)</f>
        <v>6252167.9969719443</v>
      </c>
      <c r="L185" s="284">
        <f>VLOOKUP($B184,'KWH FCST'!$A$12:$M$41,L$8,FALSE)</f>
        <v>6537691.9070096025</v>
      </c>
      <c r="M185" s="284">
        <f>VLOOKUP($B184,'KWH FCST'!$A$12:$M$41,M$8,FALSE)</f>
        <v>5361599.0772232451</v>
      </c>
      <c r="N185" s="284">
        <f>VLOOKUP($B184,'KWH FCST'!$A$12:$M$41,N$8,FALSE)</f>
        <v>3882952.2272739159</v>
      </c>
      <c r="O185" s="284">
        <f>SUM(C185:N185)</f>
        <v>63819075.551165305</v>
      </c>
      <c r="P185" s="284"/>
      <c r="Q185" s="284"/>
      <c r="R185" s="282"/>
      <c r="T185" s="296">
        <f>VLOOKUP($B184,'KWH FCST'!$A$12:$O$41,14,FALSE)</f>
        <v>63819075.551165305</v>
      </c>
      <c r="U185" s="255">
        <f>+O185-T185</f>
        <v>0</v>
      </c>
    </row>
    <row r="186" spans="1:21">
      <c r="A186" s="253" t="str">
        <f>B184&amp;" "&amp;B186</f>
        <v>WAUCHULA NCP</v>
      </c>
      <c r="B186" s="254" t="s">
        <v>133</v>
      </c>
      <c r="C186" s="284">
        <f>VLOOKUP($B184,'NCP FCST'!$A$12:$M$41,C$8,FALSE)</f>
        <v>13000</v>
      </c>
      <c r="D186" s="284">
        <f>VLOOKUP($B184,'NCP FCST'!$A$12:$M$41,D$8,FALSE)</f>
        <v>13000</v>
      </c>
      <c r="E186" s="284">
        <f>VLOOKUP($B184,'NCP FCST'!$A$12:$M$41,E$8,FALSE)</f>
        <v>13000</v>
      </c>
      <c r="F186" s="284">
        <f>VLOOKUP($B184,'NCP FCST'!$A$12:$M$41,F$8,FALSE)</f>
        <v>13000</v>
      </c>
      <c r="G186" s="284">
        <f>VLOOKUP($B184,'NCP FCST'!$A$12:$M$41,G$8,FALSE)</f>
        <v>13000</v>
      </c>
      <c r="H186" s="284">
        <f>VLOOKUP($B184,'NCP FCST'!$A$12:$M$41,H$8,FALSE)</f>
        <v>13000</v>
      </c>
      <c r="I186" s="284">
        <f>VLOOKUP($B184,'NCP FCST'!$A$12:$M$41,I$8,FALSE)</f>
        <v>13000</v>
      </c>
      <c r="J186" s="284">
        <f>VLOOKUP($B184,'NCP FCST'!$A$12:$M$41,J$8,FALSE)</f>
        <v>13000</v>
      </c>
      <c r="K186" s="284">
        <f>VLOOKUP($B184,'NCP FCST'!$A$12:$M$41,K$8,FALSE)</f>
        <v>13000</v>
      </c>
      <c r="L186" s="284">
        <f>VLOOKUP($B184,'NCP FCST'!$A$12:$M$41,L$8,FALSE)</f>
        <v>13000</v>
      </c>
      <c r="M186" s="284">
        <f>VLOOKUP($B184,'NCP FCST'!$A$12:$M$41,M$8,FALSE)</f>
        <v>13000</v>
      </c>
      <c r="N186" s="284">
        <f>VLOOKUP($B184,'NCP FCST'!$A$12:$M$41,N$8,FALSE)</f>
        <v>13000</v>
      </c>
      <c r="O186" s="284"/>
      <c r="P186" s="284">
        <f>MAX(C186:N186)</f>
        <v>13000</v>
      </c>
      <c r="Q186" s="284"/>
      <c r="R186" s="282"/>
      <c r="T186" s="255">
        <f>VLOOKUP($B184,'NCP FCST'!$A$12:$O$41,15,FALSE)</f>
        <v>13000</v>
      </c>
      <c r="U186" s="255">
        <f>P186-T186</f>
        <v>0</v>
      </c>
    </row>
    <row r="187" spans="1:21">
      <c r="A187" s="253" t="str">
        <f>B184&amp;" "&amp;B187</f>
        <v>WAUCHULA GNCP</v>
      </c>
      <c r="B187" s="254" t="s">
        <v>342</v>
      </c>
      <c r="C187" s="284">
        <f>VLOOKUP($B184,'GNCP FCST'!$A$12:$M$41,C$8,FALSE)</f>
        <v>13000</v>
      </c>
      <c r="D187" s="284">
        <f>VLOOKUP($B184,'GNCP FCST'!$A$12:$M$41,D$8,FALSE)</f>
        <v>13000</v>
      </c>
      <c r="E187" s="284">
        <f>VLOOKUP($B184,'GNCP FCST'!$A$12:$M$41,E$8,FALSE)</f>
        <v>13000</v>
      </c>
      <c r="F187" s="284">
        <f>VLOOKUP($B184,'GNCP FCST'!$A$12:$M$41,F$8,FALSE)</f>
        <v>13000</v>
      </c>
      <c r="G187" s="284">
        <f>VLOOKUP($B184,'GNCP FCST'!$A$12:$M$41,G$8,FALSE)</f>
        <v>13000</v>
      </c>
      <c r="H187" s="284">
        <f>VLOOKUP($B184,'GNCP FCST'!$A$12:$M$41,H$8,FALSE)</f>
        <v>13000</v>
      </c>
      <c r="I187" s="284">
        <f>VLOOKUP($B184,'GNCP FCST'!$A$12:$M$41,I$8,FALSE)</f>
        <v>13000</v>
      </c>
      <c r="J187" s="284">
        <f>VLOOKUP($B184,'GNCP FCST'!$A$12:$M$41,J$8,FALSE)</f>
        <v>13000</v>
      </c>
      <c r="K187" s="284">
        <f>VLOOKUP($B184,'GNCP FCST'!$A$12:$M$41,K$8,FALSE)</f>
        <v>13000</v>
      </c>
      <c r="L187" s="284">
        <f>VLOOKUP($B184,'GNCP FCST'!$A$12:$M$41,L$8,FALSE)</f>
        <v>13000</v>
      </c>
      <c r="M187" s="284">
        <f>VLOOKUP($B184,'GNCP FCST'!$A$12:$M$41,M$8,FALSE)</f>
        <v>13000</v>
      </c>
      <c r="N187" s="284">
        <f>VLOOKUP($B184,'GNCP FCST'!$A$12:$M$41,N$8,FALSE)</f>
        <v>13000</v>
      </c>
      <c r="O187" s="284"/>
      <c r="Q187" s="284">
        <f>MAX(C187:N187)</f>
        <v>13000</v>
      </c>
      <c r="R187" s="282"/>
      <c r="T187" s="255">
        <f>VLOOKUP($B184,'GNCP FCST'!$A$12:$O$41,15,FALSE)</f>
        <v>13000</v>
      </c>
      <c r="U187" s="255">
        <f>+Q187-T187</f>
        <v>0</v>
      </c>
    </row>
    <row r="188" spans="1:21">
      <c r="A188" s="253" t="str">
        <f>B184&amp;" "&amp;B188</f>
        <v>WAUCHULA CP</v>
      </c>
      <c r="B188" s="254" t="s">
        <v>148</v>
      </c>
      <c r="C188" s="284">
        <f>VLOOKUP($B184,'CP FCST'!$A$12:$M$41,C$8,FALSE)</f>
        <v>13000</v>
      </c>
      <c r="D188" s="284">
        <f>VLOOKUP($B184,'CP FCST'!$A$12:$M$41,D$8,FALSE)</f>
        <v>13000</v>
      </c>
      <c r="E188" s="284">
        <f>VLOOKUP($B184,'CP FCST'!$A$12:$M$41,E$8,FALSE)</f>
        <v>13000</v>
      </c>
      <c r="F188" s="284">
        <f>VLOOKUP($B184,'CP FCST'!$A$12:$M$41,F$8,FALSE)</f>
        <v>13000</v>
      </c>
      <c r="G188" s="284">
        <f>VLOOKUP($B184,'CP FCST'!$A$12:$M$41,G$8,FALSE)</f>
        <v>13000</v>
      </c>
      <c r="H188" s="284">
        <f>VLOOKUP($B184,'CP FCST'!$A$12:$M$41,H$8,FALSE)</f>
        <v>13000</v>
      </c>
      <c r="I188" s="284">
        <f>VLOOKUP($B184,'CP FCST'!$A$12:$M$41,I$8,FALSE)</f>
        <v>13000</v>
      </c>
      <c r="J188" s="284">
        <f>VLOOKUP($B184,'CP FCST'!$A$12:$M$41,J$8,FALSE)</f>
        <v>13000</v>
      </c>
      <c r="K188" s="284">
        <f>VLOOKUP($B184,'CP FCST'!$A$12:$M$41,K$8,FALSE)</f>
        <v>13000</v>
      </c>
      <c r="L188" s="284">
        <f>VLOOKUP($B184,'CP FCST'!$A$12:$M$41,L$8,FALSE)</f>
        <v>13000</v>
      </c>
      <c r="M188" s="284">
        <f>VLOOKUP($B184,'CP FCST'!$A$12:$M$41,M$8,FALSE)</f>
        <v>13000</v>
      </c>
      <c r="N188" s="284">
        <f>VLOOKUP($B184,'CP FCST'!$A$12:$M$41,N$8,FALSE)</f>
        <v>13000</v>
      </c>
      <c r="O188" s="284"/>
      <c r="P188" s="284"/>
      <c r="Q188" s="284"/>
      <c r="R188" s="255">
        <f>AVERAGE(C188:N188)</f>
        <v>13000</v>
      </c>
      <c r="T188" s="255">
        <f>VLOOKUP($B184,'CP FCST'!$A$12:$O$41,15,FALSE)</f>
        <v>13000</v>
      </c>
      <c r="U188" s="255">
        <f>R188-T188</f>
        <v>0</v>
      </c>
    </row>
    <row r="189" spans="1:21">
      <c r="B189" s="254" t="s">
        <v>570</v>
      </c>
      <c r="C189" s="285" t="str">
        <f t="shared" ref="C189:N189" si="24">IF(C188&gt;C187,"ERROR",IF(C187&gt;C186,"ERROR","OK"))</f>
        <v>OK</v>
      </c>
      <c r="D189" s="285" t="str">
        <f t="shared" si="24"/>
        <v>OK</v>
      </c>
      <c r="E189" s="285" t="str">
        <f t="shared" si="24"/>
        <v>OK</v>
      </c>
      <c r="F189" s="285" t="str">
        <f t="shared" si="24"/>
        <v>OK</v>
      </c>
      <c r="G189" s="285" t="str">
        <f t="shared" si="24"/>
        <v>OK</v>
      </c>
      <c r="H189" s="285" t="str">
        <f t="shared" si="24"/>
        <v>OK</v>
      </c>
      <c r="I189" s="285" t="str">
        <f t="shared" si="24"/>
        <v>OK</v>
      </c>
      <c r="J189" s="285" t="str">
        <f t="shared" si="24"/>
        <v>OK</v>
      </c>
      <c r="K189" s="285" t="str">
        <f t="shared" si="24"/>
        <v>OK</v>
      </c>
      <c r="L189" s="285" t="str">
        <f t="shared" si="24"/>
        <v>OK</v>
      </c>
      <c r="M189" s="285" t="str">
        <f t="shared" si="24"/>
        <v>OK</v>
      </c>
      <c r="N189" s="285" t="str">
        <f t="shared" si="24"/>
        <v>OK</v>
      </c>
      <c r="O189" s="284"/>
      <c r="P189" s="284"/>
      <c r="Q189" s="284"/>
      <c r="R189" s="255"/>
    </row>
    <row r="190" spans="1:21">
      <c r="B190" s="254"/>
      <c r="C190" s="285"/>
      <c r="D190" s="285"/>
      <c r="E190" s="285"/>
      <c r="F190" s="285"/>
      <c r="G190" s="285"/>
      <c r="H190" s="285"/>
      <c r="I190" s="285"/>
      <c r="J190" s="285"/>
      <c r="K190" s="285"/>
      <c r="L190" s="285"/>
      <c r="M190" s="285"/>
      <c r="N190" s="285"/>
      <c r="O190" s="284"/>
      <c r="P190" s="284"/>
      <c r="Q190" s="284"/>
      <c r="R190" s="255"/>
    </row>
    <row r="191" spans="1:21">
      <c r="B191" s="252" t="s">
        <v>986</v>
      </c>
      <c r="O191" s="284"/>
      <c r="P191" s="284"/>
      <c r="Q191" s="284"/>
      <c r="R191" s="282"/>
      <c r="S191" s="260"/>
      <c r="T191" s="261"/>
      <c r="U191" s="261"/>
    </row>
    <row r="192" spans="1:21">
      <c r="A192" s="253" t="str">
        <f>B191&amp;" "&amp;B192</f>
        <v>WINTER PARK KWH Sales</v>
      </c>
      <c r="B192" s="254" t="s">
        <v>563</v>
      </c>
      <c r="C192" s="284">
        <f>VLOOKUP($B191,'KWH FCST'!$A$12:$M$41,C$8,FALSE)</f>
        <v>18631660.261500016</v>
      </c>
      <c r="D192" s="284">
        <f>VLOOKUP($B191,'KWH FCST'!$A$12:$M$41,D$8,FALSE)</f>
        <v>19158070.717499994</v>
      </c>
      <c r="E192" s="284">
        <f>VLOOKUP($B191,'KWH FCST'!$A$12:$M$41,E$8,FALSE)</f>
        <v>18016169.099500012</v>
      </c>
      <c r="F192" s="284">
        <f>VLOOKUP($B191,'KWH FCST'!$A$12:$M$41,F$8,FALSE)</f>
        <v>18348208.477499995</v>
      </c>
      <c r="G192" s="284">
        <f>VLOOKUP($B191,'KWH FCST'!$A$12:$M$41,G$8,FALSE)</f>
        <v>18832609.399999984</v>
      </c>
      <c r="H192" s="284">
        <f>VLOOKUP($B191,'KWH FCST'!$A$12:$M$41,H$8,FALSE)</f>
        <v>24239112.666999981</v>
      </c>
      <c r="I192" s="284">
        <f>VLOOKUP($B191,'KWH FCST'!$A$12:$M$41,I$8,FALSE)</f>
        <v>27847388.459000003</v>
      </c>
      <c r="J192" s="284">
        <f>VLOOKUP($B191,'KWH FCST'!$A$12:$M$41,J$8,FALSE)</f>
        <v>27951824.873499971</v>
      </c>
      <c r="K192" s="284">
        <f>VLOOKUP($B191,'KWH FCST'!$A$12:$M$41,K$8,FALSE)</f>
        <v>28556690.733999956</v>
      </c>
      <c r="L192" s="284">
        <f>VLOOKUP($B191,'KWH FCST'!$A$12:$M$41,L$8,FALSE)</f>
        <v>27811956.98599996</v>
      </c>
      <c r="M192" s="284">
        <f>VLOOKUP($B191,'KWH FCST'!$A$12:$M$41,M$8,FALSE)</f>
        <v>23220036.014999978</v>
      </c>
      <c r="N192" s="284">
        <f>VLOOKUP($B191,'KWH FCST'!$A$12:$M$41,N$8,FALSE)</f>
        <v>17586602.599499986</v>
      </c>
      <c r="O192" s="284">
        <f>SUM(C192:N192)</f>
        <v>270200330.28999984</v>
      </c>
      <c r="P192" s="284"/>
      <c r="Q192" s="284"/>
      <c r="R192" s="282"/>
      <c r="T192" s="296">
        <f>VLOOKUP($B191,'KWH FCST'!$A$12:$O$41,14,FALSE)</f>
        <v>270200330.28999984</v>
      </c>
      <c r="U192" s="255">
        <f>+O192-T192</f>
        <v>0</v>
      </c>
    </row>
    <row r="193" spans="1:21">
      <c r="A193" s="253" t="str">
        <f>B191&amp;" "&amp;B193</f>
        <v>WINTER PARK NCP</v>
      </c>
      <c r="B193" s="254" t="s">
        <v>133</v>
      </c>
      <c r="C193" s="284">
        <f>VLOOKUP($B191,'NCP FCST'!$A$12:$M$41,C$8,FALSE)</f>
        <v>60000</v>
      </c>
      <c r="D193" s="284">
        <f>VLOOKUP($B191,'NCP FCST'!$A$12:$M$41,D$8,FALSE)</f>
        <v>60000</v>
      </c>
      <c r="E193" s="284">
        <f>VLOOKUP($B191,'NCP FCST'!$A$12:$M$41,E$8,FALSE)</f>
        <v>60000</v>
      </c>
      <c r="F193" s="284">
        <f>VLOOKUP($B191,'NCP FCST'!$A$12:$M$41,F$8,FALSE)</f>
        <v>60000</v>
      </c>
      <c r="G193" s="284">
        <f>VLOOKUP($B191,'NCP FCST'!$A$12:$M$41,G$8,FALSE)</f>
        <v>60000</v>
      </c>
      <c r="H193" s="284">
        <f>VLOOKUP($B191,'NCP FCST'!$A$12:$M$41,H$8,FALSE)</f>
        <v>60000</v>
      </c>
      <c r="I193" s="284">
        <f>VLOOKUP($B191,'NCP FCST'!$A$12:$M$41,I$8,FALSE)</f>
        <v>60000</v>
      </c>
      <c r="J193" s="284">
        <f>VLOOKUP($B191,'NCP FCST'!$A$12:$M$41,J$8,FALSE)</f>
        <v>60000</v>
      </c>
      <c r="K193" s="284">
        <f>VLOOKUP($B191,'NCP FCST'!$A$12:$M$41,K$8,FALSE)</f>
        <v>60000</v>
      </c>
      <c r="L193" s="284">
        <f>VLOOKUP($B191,'NCP FCST'!$A$12:$M$41,L$8,FALSE)</f>
        <v>60000</v>
      </c>
      <c r="M193" s="284">
        <f>VLOOKUP($B191,'NCP FCST'!$A$12:$M$41,M$8,FALSE)</f>
        <v>60000</v>
      </c>
      <c r="N193" s="284">
        <f>VLOOKUP($B191,'NCP FCST'!$A$12:$M$41,N$8,FALSE)</f>
        <v>60000</v>
      </c>
      <c r="O193" s="284"/>
      <c r="P193" s="284">
        <f>MAX(C193:N193)</f>
        <v>60000</v>
      </c>
      <c r="Q193" s="284"/>
      <c r="R193" s="282"/>
      <c r="T193" s="255">
        <f>VLOOKUP($B191,'NCP FCST'!$A$12:$O$41,15,FALSE)</f>
        <v>60000</v>
      </c>
      <c r="U193" s="255">
        <f>P193-T193</f>
        <v>0</v>
      </c>
    </row>
    <row r="194" spans="1:21">
      <c r="A194" s="253" t="str">
        <f>B191&amp;" "&amp;B194</f>
        <v>WINTER PARK GNCP</v>
      </c>
      <c r="B194" s="254" t="s">
        <v>342</v>
      </c>
      <c r="C194" s="284">
        <f>VLOOKUP($B191,'GNCP FCST'!$A$12:$M$41,C$8,FALSE)</f>
        <v>60000</v>
      </c>
      <c r="D194" s="284">
        <f>VLOOKUP($B191,'GNCP FCST'!$A$12:$M$41,D$8,FALSE)</f>
        <v>60000</v>
      </c>
      <c r="E194" s="284">
        <f>VLOOKUP($B191,'GNCP FCST'!$A$12:$M$41,E$8,FALSE)</f>
        <v>60000</v>
      </c>
      <c r="F194" s="284">
        <f>VLOOKUP($B191,'GNCP FCST'!$A$12:$M$41,F$8,FALSE)</f>
        <v>60000</v>
      </c>
      <c r="G194" s="284">
        <f>VLOOKUP($B191,'GNCP FCST'!$A$12:$M$41,G$8,FALSE)</f>
        <v>60000</v>
      </c>
      <c r="H194" s="284">
        <f>VLOOKUP($B191,'GNCP FCST'!$A$12:$M$41,H$8,FALSE)</f>
        <v>60000</v>
      </c>
      <c r="I194" s="284">
        <f>VLOOKUP($B191,'GNCP FCST'!$A$12:$M$41,I$8,FALSE)</f>
        <v>60000</v>
      </c>
      <c r="J194" s="284">
        <f>VLOOKUP($B191,'GNCP FCST'!$A$12:$M$41,J$8,FALSE)</f>
        <v>60000</v>
      </c>
      <c r="K194" s="284">
        <f>VLOOKUP($B191,'GNCP FCST'!$A$12:$M$41,K$8,FALSE)</f>
        <v>60000</v>
      </c>
      <c r="L194" s="284">
        <f>VLOOKUP($B191,'GNCP FCST'!$A$12:$M$41,L$8,FALSE)</f>
        <v>60000</v>
      </c>
      <c r="M194" s="284">
        <f>VLOOKUP($B191,'GNCP FCST'!$A$12:$M$41,M$8,FALSE)</f>
        <v>60000</v>
      </c>
      <c r="N194" s="284">
        <f>VLOOKUP($B191,'GNCP FCST'!$A$12:$M$41,N$8,FALSE)</f>
        <v>60000</v>
      </c>
      <c r="O194" s="284"/>
      <c r="Q194" s="284">
        <f>MAX(C194:N194)</f>
        <v>60000</v>
      </c>
      <c r="R194" s="282"/>
      <c r="T194" s="255">
        <f>VLOOKUP($B191,'GNCP FCST'!$A$12:$O$41,15,FALSE)</f>
        <v>60000</v>
      </c>
      <c r="U194" s="255">
        <f>+Q194-T194</f>
        <v>0</v>
      </c>
    </row>
    <row r="195" spans="1:21">
      <c r="A195" s="253" t="str">
        <f>B191&amp;" "&amp;B195</f>
        <v>WINTER PARK CP</v>
      </c>
      <c r="B195" s="254" t="s">
        <v>148</v>
      </c>
      <c r="C195" s="284">
        <f>VLOOKUP($B191,'CP FCST'!$A$12:$M$41,C$8,FALSE)</f>
        <v>60000</v>
      </c>
      <c r="D195" s="284">
        <f>VLOOKUP($B191,'CP FCST'!$A$12:$M$41,D$8,FALSE)</f>
        <v>60000</v>
      </c>
      <c r="E195" s="284">
        <f>VLOOKUP($B191,'CP FCST'!$A$12:$M$41,E$8,FALSE)</f>
        <v>60000</v>
      </c>
      <c r="F195" s="284">
        <f>VLOOKUP($B191,'CP FCST'!$A$12:$M$41,F$8,FALSE)</f>
        <v>60000</v>
      </c>
      <c r="G195" s="284">
        <f>VLOOKUP($B191,'CP FCST'!$A$12:$M$41,G$8,FALSE)</f>
        <v>60000</v>
      </c>
      <c r="H195" s="284">
        <f>VLOOKUP($B191,'CP FCST'!$A$12:$M$41,H$8,FALSE)</f>
        <v>60000</v>
      </c>
      <c r="I195" s="284">
        <f>VLOOKUP($B191,'CP FCST'!$A$12:$M$41,I$8,FALSE)</f>
        <v>60000</v>
      </c>
      <c r="J195" s="284">
        <f>VLOOKUP($B191,'CP FCST'!$A$12:$M$41,J$8,FALSE)</f>
        <v>60000</v>
      </c>
      <c r="K195" s="284">
        <f>VLOOKUP($B191,'CP FCST'!$A$12:$M$41,K$8,FALSE)</f>
        <v>60000</v>
      </c>
      <c r="L195" s="284">
        <f>VLOOKUP($B191,'CP FCST'!$A$12:$M$41,L$8,FALSE)</f>
        <v>60000</v>
      </c>
      <c r="M195" s="284">
        <f>VLOOKUP($B191,'CP FCST'!$A$12:$M$41,M$8,FALSE)</f>
        <v>60000</v>
      </c>
      <c r="N195" s="284">
        <f>VLOOKUP($B191,'CP FCST'!$A$12:$M$41,N$8,FALSE)</f>
        <v>60000</v>
      </c>
      <c r="O195" s="284"/>
      <c r="P195" s="284"/>
      <c r="Q195" s="284"/>
      <c r="R195" s="255">
        <f>AVERAGE(C195:N195)</f>
        <v>60000</v>
      </c>
      <c r="T195" s="255">
        <f>VLOOKUP($B191,'CP FCST'!$A$12:$O$41,15,FALSE)</f>
        <v>60000</v>
      </c>
      <c r="U195" s="255">
        <f>R195-T195</f>
        <v>0</v>
      </c>
    </row>
    <row r="196" spans="1:21">
      <c r="B196" s="254" t="s">
        <v>570</v>
      </c>
      <c r="C196" s="285" t="str">
        <f t="shared" ref="C196:N196" si="25">IF(C195&gt;C194,"ERROR",IF(C194&gt;C193,"ERROR","OK"))</f>
        <v>OK</v>
      </c>
      <c r="D196" s="285" t="str">
        <f t="shared" si="25"/>
        <v>OK</v>
      </c>
      <c r="E196" s="285" t="str">
        <f t="shared" si="25"/>
        <v>OK</v>
      </c>
      <c r="F196" s="285" t="str">
        <f t="shared" si="25"/>
        <v>OK</v>
      </c>
      <c r="G196" s="285" t="str">
        <f t="shared" si="25"/>
        <v>OK</v>
      </c>
      <c r="H196" s="285" t="str">
        <f t="shared" si="25"/>
        <v>OK</v>
      </c>
      <c r="I196" s="285" t="str">
        <f t="shared" si="25"/>
        <v>OK</v>
      </c>
      <c r="J196" s="285" t="str">
        <f t="shared" si="25"/>
        <v>OK</v>
      </c>
      <c r="K196" s="285" t="str">
        <f t="shared" si="25"/>
        <v>OK</v>
      </c>
      <c r="L196" s="285" t="str">
        <f t="shared" si="25"/>
        <v>OK</v>
      </c>
      <c r="M196" s="285" t="str">
        <f t="shared" si="25"/>
        <v>OK</v>
      </c>
      <c r="N196" s="285" t="str">
        <f t="shared" si="25"/>
        <v>OK</v>
      </c>
      <c r="O196" s="284"/>
      <c r="P196" s="284"/>
      <c r="Q196" s="284"/>
      <c r="R196" s="255"/>
    </row>
    <row r="197" spans="1:21">
      <c r="B197" s="259"/>
      <c r="C197" s="284"/>
      <c r="D197" s="284"/>
      <c r="E197" s="284"/>
      <c r="F197" s="284"/>
      <c r="G197" s="284"/>
      <c r="H197" s="284"/>
      <c r="I197" s="284"/>
      <c r="J197" s="284"/>
      <c r="K197" s="284"/>
      <c r="L197" s="284"/>
      <c r="M197" s="284"/>
      <c r="N197" s="284"/>
      <c r="O197" s="284"/>
      <c r="P197" s="284"/>
      <c r="Q197" s="284"/>
      <c r="R197" s="282"/>
    </row>
    <row r="198" spans="1:21" s="260" customFormat="1">
      <c r="C198" s="255"/>
      <c r="D198" s="255"/>
      <c r="E198" s="255"/>
      <c r="F198" s="255"/>
      <c r="G198" s="255"/>
      <c r="H198" s="255"/>
      <c r="I198" s="255"/>
      <c r="J198" s="255"/>
      <c r="K198" s="255"/>
      <c r="L198" s="255"/>
      <c r="M198" s="255"/>
      <c r="N198" s="255"/>
      <c r="O198" s="255"/>
      <c r="P198" s="255"/>
      <c r="Q198" s="255"/>
      <c r="R198" s="288"/>
      <c r="T198" s="261"/>
      <c r="U198" s="261"/>
    </row>
    <row r="199" spans="1:21" s="260" customFormat="1" ht="15.6">
      <c r="B199" s="286" t="s">
        <v>509</v>
      </c>
      <c r="C199" s="255"/>
      <c r="D199" s="255"/>
      <c r="E199" s="255"/>
      <c r="F199" s="255"/>
      <c r="G199" s="255"/>
      <c r="H199" s="255"/>
      <c r="I199" s="255"/>
      <c r="J199" s="255"/>
      <c r="K199" s="255"/>
      <c r="L199" s="255"/>
      <c r="M199" s="255"/>
      <c r="N199" s="255"/>
      <c r="O199" s="287">
        <f>SUM(O135:O198)</f>
        <v>6524197203.2549086</v>
      </c>
      <c r="P199" s="287">
        <f>SUM(P135:P198)</f>
        <v>1316829</v>
      </c>
      <c r="Q199" s="287">
        <f>SUM(Q135:Q198)</f>
        <v>1316829</v>
      </c>
      <c r="R199" s="287">
        <f>SUM(R135:R198)</f>
        <v>1129624.1382999308</v>
      </c>
      <c r="T199" s="287">
        <f>SUM(T135:T198)</f>
        <v>6527960485.3932085</v>
      </c>
      <c r="U199" s="287">
        <f>SUM(U135:U198)</f>
        <v>0</v>
      </c>
    </row>
    <row r="200" spans="1:21" s="260" customFormat="1">
      <c r="C200" s="255"/>
      <c r="D200" s="255"/>
      <c r="E200" s="255"/>
      <c r="F200" s="255"/>
      <c r="G200" s="255"/>
      <c r="H200" s="255"/>
      <c r="I200" s="255"/>
      <c r="J200" s="255"/>
      <c r="K200" s="255"/>
      <c r="L200" s="255"/>
      <c r="M200" s="255"/>
      <c r="N200" s="255"/>
      <c r="O200" s="255"/>
      <c r="P200" s="255"/>
      <c r="Q200" s="255"/>
      <c r="R200" s="289"/>
      <c r="T200" s="289"/>
      <c r="U200" s="289"/>
    </row>
    <row r="201" spans="1:21" s="260" customFormat="1" ht="16.5" thickBot="1">
      <c r="B201" s="286" t="s">
        <v>571</v>
      </c>
      <c r="C201" s="255"/>
      <c r="D201" s="255"/>
      <c r="E201" s="255"/>
      <c r="F201" s="255"/>
      <c r="G201" s="255"/>
      <c r="H201" s="255"/>
      <c r="I201" s="255"/>
      <c r="J201" s="255"/>
      <c r="K201" s="255"/>
      <c r="L201" s="255"/>
      <c r="M201" s="255"/>
      <c r="N201" s="255"/>
      <c r="O201" s="290">
        <f>+O132+O199</f>
        <v>113898210642.25491</v>
      </c>
      <c r="P201" s="290">
        <f>+P132+P199</f>
        <v>46473101.154571339</v>
      </c>
      <c r="Q201" s="290">
        <f>+Q132+Q199</f>
        <v>23734845.726093665</v>
      </c>
      <c r="R201" s="290">
        <f>+R132+R199</f>
        <v>18923084.522444751</v>
      </c>
      <c r="T201" s="290">
        <f>+T132+T199</f>
        <v>113987341673.65805</v>
      </c>
      <c r="U201" s="290">
        <f>+U132+U199</f>
        <v>0</v>
      </c>
    </row>
    <row r="202" spans="1:21" s="260" customFormat="1" ht="13.8" thickTop="1">
      <c r="C202" s="255"/>
      <c r="D202" s="255"/>
      <c r="E202" s="255"/>
      <c r="F202" s="255"/>
      <c r="G202" s="255"/>
      <c r="H202" s="255"/>
      <c r="I202" s="255"/>
      <c r="J202" s="255"/>
      <c r="K202" s="255"/>
      <c r="L202" s="255"/>
      <c r="M202" s="255"/>
      <c r="N202" s="255"/>
      <c r="O202" s="255"/>
      <c r="P202" s="255"/>
      <c r="Q202" s="255"/>
      <c r="R202" s="288"/>
      <c r="T202" s="261"/>
      <c r="U202" s="261"/>
    </row>
    <row r="203" spans="1:21" s="260" customFormat="1">
      <c r="C203" s="255"/>
      <c r="D203" s="255"/>
      <c r="E203" s="255"/>
      <c r="F203" s="255"/>
      <c r="G203" s="255"/>
      <c r="H203" s="255"/>
      <c r="I203" s="255"/>
      <c r="J203" s="255"/>
      <c r="K203" s="255"/>
      <c r="L203" s="255"/>
      <c r="M203" s="255"/>
      <c r="N203" s="255"/>
      <c r="O203" s="255"/>
      <c r="P203" s="255"/>
      <c r="Q203" s="255"/>
      <c r="R203" s="288"/>
      <c r="T203" s="261"/>
      <c r="U203" s="261"/>
    </row>
    <row r="205" spans="1:21" s="263" customFormat="1">
      <c r="C205" s="264"/>
      <c r="D205" s="264"/>
      <c r="E205" s="264"/>
      <c r="F205" s="264"/>
      <c r="G205" s="264"/>
      <c r="H205" s="264"/>
      <c r="I205" s="264"/>
      <c r="J205" s="264"/>
      <c r="K205" s="264"/>
      <c r="L205" s="264"/>
      <c r="M205" s="264"/>
      <c r="N205" s="264"/>
      <c r="O205" s="264"/>
      <c r="P205" s="264"/>
      <c r="Q205" s="264"/>
      <c r="T205" s="264"/>
      <c r="U205" s="264"/>
    </row>
    <row r="206" spans="1:21" s="263" customFormat="1">
      <c r="C206" s="264"/>
      <c r="D206" s="264"/>
      <c r="E206" s="264"/>
      <c r="F206" s="264"/>
      <c r="G206" s="264"/>
      <c r="H206" s="264"/>
      <c r="I206" s="264"/>
      <c r="J206" s="264"/>
      <c r="K206" s="264"/>
      <c r="L206" s="264"/>
      <c r="M206" s="264"/>
      <c r="N206" s="264"/>
      <c r="O206" s="264"/>
      <c r="P206" s="264"/>
      <c r="Q206" s="264"/>
      <c r="T206" s="264"/>
      <c r="U206" s="264"/>
    </row>
    <row r="207" spans="1:21" s="263" customFormat="1">
      <c r="C207" s="264"/>
      <c r="D207" s="264"/>
      <c r="E207" s="264"/>
      <c r="F207" s="264"/>
      <c r="G207" s="264"/>
      <c r="H207" s="264"/>
      <c r="I207" s="264"/>
      <c r="J207" s="264"/>
      <c r="K207" s="264"/>
      <c r="L207" s="264"/>
      <c r="M207" s="264"/>
      <c r="N207" s="264"/>
      <c r="O207" s="264"/>
      <c r="P207" s="264"/>
      <c r="Q207" s="264"/>
      <c r="T207" s="264"/>
      <c r="U207" s="264"/>
    </row>
    <row r="208" spans="1:21" s="263" customFormat="1">
      <c r="C208" s="264"/>
      <c r="D208" s="264"/>
      <c r="E208" s="264"/>
      <c r="F208" s="264"/>
      <c r="G208" s="264"/>
      <c r="H208" s="264"/>
      <c r="I208" s="264"/>
      <c r="J208" s="264"/>
      <c r="K208" s="264"/>
      <c r="L208" s="264"/>
      <c r="M208" s="264"/>
      <c r="N208" s="264"/>
      <c r="O208" s="264"/>
      <c r="P208" s="264"/>
      <c r="Q208" s="264"/>
      <c r="T208" s="264"/>
      <c r="U208" s="264"/>
    </row>
    <row r="209" spans="3:21" s="263" customFormat="1">
      <c r="C209" s="264"/>
      <c r="D209" s="264"/>
      <c r="E209" s="264"/>
      <c r="F209" s="264"/>
      <c r="G209" s="264"/>
      <c r="H209" s="264"/>
      <c r="I209" s="264"/>
      <c r="J209" s="264"/>
      <c r="K209" s="264"/>
      <c r="L209" s="264"/>
      <c r="M209" s="264"/>
      <c r="N209" s="264"/>
      <c r="O209" s="264"/>
      <c r="P209" s="264"/>
      <c r="Q209" s="264"/>
      <c r="T209" s="264"/>
      <c r="U209" s="264"/>
    </row>
    <row r="210" spans="3:21" s="263" customFormat="1">
      <c r="C210" s="264"/>
      <c r="D210" s="264"/>
      <c r="E210" s="264"/>
      <c r="F210" s="264"/>
      <c r="G210" s="264"/>
      <c r="H210" s="264"/>
      <c r="I210" s="264"/>
      <c r="J210" s="264"/>
      <c r="K210" s="264"/>
      <c r="L210" s="264"/>
      <c r="M210" s="264"/>
      <c r="N210" s="264"/>
      <c r="O210" s="264"/>
      <c r="P210" s="264"/>
      <c r="Q210" s="264"/>
      <c r="T210" s="264"/>
      <c r="U210" s="264"/>
    </row>
    <row r="211" spans="3:21" s="263" customFormat="1">
      <c r="C211" s="264"/>
      <c r="D211" s="264"/>
      <c r="E211" s="264"/>
      <c r="F211" s="264"/>
      <c r="G211" s="264"/>
      <c r="H211" s="264"/>
      <c r="I211" s="264"/>
      <c r="J211" s="264"/>
      <c r="K211" s="264"/>
      <c r="L211" s="264"/>
      <c r="M211" s="264"/>
      <c r="N211" s="264"/>
      <c r="O211" s="264"/>
      <c r="P211" s="264"/>
      <c r="Q211" s="264"/>
      <c r="T211" s="264"/>
      <c r="U211" s="264"/>
    </row>
    <row r="212" spans="3:21" s="263" customFormat="1">
      <c r="C212" s="264"/>
      <c r="D212" s="264"/>
      <c r="E212" s="264"/>
      <c r="F212" s="264"/>
      <c r="G212" s="264"/>
      <c r="H212" s="264"/>
      <c r="I212" s="264"/>
      <c r="J212" s="264"/>
      <c r="K212" s="264"/>
      <c r="L212" s="264"/>
      <c r="M212" s="264"/>
      <c r="N212" s="264"/>
      <c r="O212" s="264"/>
      <c r="P212" s="264"/>
      <c r="Q212" s="264"/>
      <c r="T212" s="264"/>
      <c r="U212" s="264"/>
    </row>
    <row r="213" spans="3:21" s="263" customFormat="1">
      <c r="C213" s="264"/>
      <c r="D213" s="264"/>
      <c r="E213" s="264"/>
      <c r="F213" s="264"/>
      <c r="G213" s="264"/>
      <c r="H213" s="264"/>
      <c r="I213" s="264"/>
      <c r="J213" s="264"/>
      <c r="K213" s="264"/>
      <c r="L213" s="264"/>
      <c r="M213" s="264"/>
      <c r="N213" s="264"/>
      <c r="O213" s="264"/>
      <c r="P213" s="264"/>
      <c r="Q213" s="264"/>
      <c r="T213" s="264"/>
      <c r="U213" s="264"/>
    </row>
    <row r="214" spans="3:21" s="263" customFormat="1">
      <c r="C214" s="264"/>
      <c r="D214" s="264"/>
      <c r="E214" s="264"/>
      <c r="F214" s="264"/>
      <c r="G214" s="264"/>
      <c r="H214" s="264"/>
      <c r="I214" s="264"/>
      <c r="J214" s="264"/>
      <c r="K214" s="264"/>
      <c r="L214" s="264"/>
      <c r="M214" s="264"/>
      <c r="N214" s="264"/>
      <c r="O214" s="264"/>
      <c r="P214" s="264"/>
      <c r="Q214" s="264"/>
      <c r="T214" s="264"/>
      <c r="U214" s="264"/>
    </row>
    <row r="215" spans="3:21" s="263" customFormat="1">
      <c r="C215" s="264"/>
      <c r="D215" s="264"/>
      <c r="E215" s="264"/>
      <c r="F215" s="264"/>
      <c r="G215" s="264"/>
      <c r="H215" s="264"/>
      <c r="I215" s="264"/>
      <c r="J215" s="264"/>
      <c r="K215" s="264"/>
      <c r="L215" s="264"/>
      <c r="M215" s="264"/>
      <c r="N215" s="264"/>
      <c r="O215" s="264"/>
      <c r="P215" s="264"/>
      <c r="Q215" s="264"/>
      <c r="T215" s="264"/>
      <c r="U215" s="264"/>
    </row>
    <row r="216" spans="3:21" s="263" customFormat="1">
      <c r="C216" s="264"/>
      <c r="D216" s="264"/>
      <c r="E216" s="264"/>
      <c r="F216" s="264"/>
      <c r="G216" s="264"/>
      <c r="H216" s="264"/>
      <c r="I216" s="264"/>
      <c r="J216" s="264"/>
      <c r="K216" s="264"/>
      <c r="L216" s="264"/>
      <c r="M216" s="264"/>
      <c r="N216" s="264"/>
      <c r="O216" s="264"/>
      <c r="P216" s="264"/>
      <c r="Q216" s="264"/>
      <c r="T216" s="264"/>
      <c r="U216" s="264"/>
    </row>
    <row r="217" spans="3:21" s="263" customFormat="1">
      <c r="C217" s="264"/>
      <c r="D217" s="264"/>
      <c r="E217" s="264"/>
      <c r="F217" s="264"/>
      <c r="G217" s="264"/>
      <c r="H217" s="264"/>
      <c r="I217" s="264"/>
      <c r="J217" s="264"/>
      <c r="K217" s="264"/>
      <c r="L217" s="264"/>
      <c r="M217" s="264"/>
      <c r="N217" s="264"/>
      <c r="O217" s="264"/>
      <c r="P217" s="264"/>
      <c r="Q217" s="264"/>
      <c r="T217" s="264"/>
      <c r="U217" s="264"/>
    </row>
    <row r="218" spans="3:21" s="263" customFormat="1">
      <c r="C218" s="264"/>
      <c r="D218" s="264"/>
      <c r="E218" s="264"/>
      <c r="F218" s="264"/>
      <c r="G218" s="264"/>
      <c r="H218" s="264"/>
      <c r="I218" s="264"/>
      <c r="J218" s="264"/>
      <c r="K218" s="264"/>
      <c r="L218" s="264"/>
      <c r="M218" s="264"/>
      <c r="N218" s="264"/>
      <c r="O218" s="264"/>
      <c r="P218" s="264"/>
      <c r="Q218" s="264"/>
      <c r="T218" s="264"/>
      <c r="U218" s="264"/>
    </row>
    <row r="219" spans="3:21" s="263" customFormat="1">
      <c r="C219" s="264"/>
      <c r="D219" s="264"/>
      <c r="E219" s="264"/>
      <c r="F219" s="264"/>
      <c r="G219" s="264"/>
      <c r="H219" s="264"/>
      <c r="I219" s="264"/>
      <c r="J219" s="264"/>
      <c r="K219" s="264"/>
      <c r="L219" s="264"/>
      <c r="M219" s="264"/>
      <c r="N219" s="264"/>
      <c r="O219" s="264"/>
      <c r="P219" s="264"/>
      <c r="Q219" s="264"/>
      <c r="T219" s="264"/>
      <c r="U219" s="264"/>
    </row>
    <row r="220" spans="3:21" s="263" customFormat="1">
      <c r="C220" s="264"/>
      <c r="D220" s="264"/>
      <c r="E220" s="264"/>
      <c r="F220" s="264"/>
      <c r="G220" s="264"/>
      <c r="H220" s="264"/>
      <c r="I220" s="264"/>
      <c r="J220" s="264"/>
      <c r="K220" s="264"/>
      <c r="L220" s="264"/>
      <c r="M220" s="264"/>
      <c r="N220" s="264"/>
      <c r="O220" s="264"/>
      <c r="P220" s="264"/>
      <c r="Q220" s="264"/>
      <c r="T220" s="264"/>
      <c r="U220" s="264"/>
    </row>
    <row r="221" spans="3:21" s="263" customFormat="1">
      <c r="C221" s="264"/>
      <c r="D221" s="264"/>
      <c r="E221" s="264"/>
      <c r="F221" s="264"/>
      <c r="G221" s="264"/>
      <c r="H221" s="264"/>
      <c r="I221" s="264"/>
      <c r="J221" s="264"/>
      <c r="K221" s="264"/>
      <c r="L221" s="264"/>
      <c r="M221" s="264"/>
      <c r="N221" s="264"/>
      <c r="O221" s="264"/>
      <c r="P221" s="264"/>
      <c r="Q221" s="264"/>
      <c r="T221" s="264"/>
      <c r="U221" s="264"/>
    </row>
    <row r="222" spans="3:21" s="263" customFormat="1">
      <c r="C222" s="264"/>
      <c r="D222" s="264"/>
      <c r="E222" s="264"/>
      <c r="F222" s="264"/>
      <c r="G222" s="264"/>
      <c r="H222" s="264"/>
      <c r="I222" s="264"/>
      <c r="J222" s="264"/>
      <c r="K222" s="264"/>
      <c r="L222" s="264"/>
      <c r="M222" s="264"/>
      <c r="N222" s="264"/>
      <c r="O222" s="264"/>
      <c r="P222" s="264"/>
      <c r="Q222" s="264"/>
      <c r="T222" s="264"/>
      <c r="U222" s="264"/>
    </row>
    <row r="223" spans="3:21" s="263" customFormat="1">
      <c r="C223" s="264"/>
      <c r="D223" s="264"/>
      <c r="E223" s="264"/>
      <c r="F223" s="264"/>
      <c r="G223" s="264"/>
      <c r="H223" s="264"/>
      <c r="I223" s="264"/>
      <c r="J223" s="264"/>
      <c r="K223" s="264"/>
      <c r="L223" s="264"/>
      <c r="M223" s="264"/>
      <c r="N223" s="264"/>
      <c r="O223" s="264"/>
      <c r="P223" s="264"/>
      <c r="Q223" s="264"/>
      <c r="T223" s="264"/>
      <c r="U223" s="264"/>
    </row>
    <row r="224" spans="3:21" s="263" customFormat="1">
      <c r="C224" s="264"/>
      <c r="D224" s="264"/>
      <c r="E224" s="264"/>
      <c r="F224" s="264"/>
      <c r="G224" s="264"/>
      <c r="H224" s="264"/>
      <c r="I224" s="264"/>
      <c r="J224" s="264"/>
      <c r="K224" s="264"/>
      <c r="L224" s="264"/>
      <c r="M224" s="264"/>
      <c r="N224" s="264"/>
      <c r="O224" s="264"/>
      <c r="P224" s="264"/>
      <c r="Q224" s="264"/>
      <c r="T224" s="264"/>
      <c r="U224" s="264"/>
    </row>
    <row r="225" spans="3:21" s="263" customFormat="1">
      <c r="C225" s="264"/>
      <c r="D225" s="264"/>
      <c r="E225" s="264"/>
      <c r="F225" s="264"/>
      <c r="G225" s="264"/>
      <c r="H225" s="264"/>
      <c r="I225" s="264"/>
      <c r="J225" s="264"/>
      <c r="K225" s="264"/>
      <c r="L225" s="264"/>
      <c r="M225" s="264"/>
      <c r="N225" s="264"/>
      <c r="O225" s="264"/>
      <c r="P225" s="264"/>
      <c r="Q225" s="264"/>
      <c r="T225" s="264"/>
      <c r="U225" s="264"/>
    </row>
    <row r="226" spans="3:21" s="263" customFormat="1">
      <c r="C226" s="264"/>
      <c r="D226" s="264"/>
      <c r="E226" s="264"/>
      <c r="F226" s="264"/>
      <c r="G226" s="264"/>
      <c r="H226" s="264"/>
      <c r="I226" s="264"/>
      <c r="J226" s="264"/>
      <c r="K226" s="264"/>
      <c r="L226" s="264"/>
      <c r="M226" s="264"/>
      <c r="N226" s="264"/>
      <c r="O226" s="264"/>
      <c r="P226" s="264"/>
      <c r="Q226" s="264"/>
      <c r="T226" s="264"/>
      <c r="U226" s="264"/>
    </row>
    <row r="227" spans="3:21" s="263" customFormat="1">
      <c r="C227" s="264"/>
      <c r="D227" s="264"/>
      <c r="E227" s="264"/>
      <c r="F227" s="264"/>
      <c r="G227" s="264"/>
      <c r="H227" s="264"/>
      <c r="I227" s="264"/>
      <c r="J227" s="264"/>
      <c r="K227" s="264"/>
      <c r="L227" s="264"/>
      <c r="M227" s="264"/>
      <c r="N227" s="264"/>
      <c r="O227" s="264"/>
      <c r="P227" s="264"/>
      <c r="Q227" s="264"/>
      <c r="T227" s="264"/>
      <c r="U227" s="264"/>
    </row>
    <row r="228" spans="3:21" s="263" customFormat="1">
      <c r="C228" s="264"/>
      <c r="D228" s="264"/>
      <c r="E228" s="264"/>
      <c r="F228" s="264"/>
      <c r="G228" s="264"/>
      <c r="H228" s="264"/>
      <c r="I228" s="264"/>
      <c r="J228" s="264"/>
      <c r="K228" s="264"/>
      <c r="L228" s="264"/>
      <c r="M228" s="264"/>
      <c r="N228" s="264"/>
      <c r="O228" s="264"/>
      <c r="P228" s="264"/>
      <c r="Q228" s="264"/>
      <c r="T228" s="264"/>
      <c r="U228" s="264"/>
    </row>
    <row r="229" spans="3:21" s="263" customFormat="1">
      <c r="C229" s="264"/>
      <c r="D229" s="264"/>
      <c r="E229" s="264"/>
      <c r="F229" s="264"/>
      <c r="G229" s="264"/>
      <c r="H229" s="264"/>
      <c r="I229" s="264"/>
      <c r="J229" s="264"/>
      <c r="K229" s="264"/>
      <c r="L229" s="264"/>
      <c r="M229" s="264"/>
      <c r="N229" s="264"/>
      <c r="O229" s="264"/>
      <c r="P229" s="264"/>
      <c r="Q229" s="264"/>
      <c r="T229" s="264"/>
      <c r="U229" s="264"/>
    </row>
    <row r="230" spans="3:21" s="263" customFormat="1">
      <c r="C230" s="264"/>
      <c r="D230" s="264"/>
      <c r="E230" s="264"/>
      <c r="F230" s="264"/>
      <c r="G230" s="264"/>
      <c r="H230" s="264"/>
      <c r="I230" s="264"/>
      <c r="J230" s="264"/>
      <c r="K230" s="264"/>
      <c r="L230" s="264"/>
      <c r="M230" s="264"/>
      <c r="N230" s="264"/>
      <c r="O230" s="264"/>
      <c r="P230" s="264"/>
      <c r="Q230" s="264"/>
      <c r="T230" s="264"/>
      <c r="U230" s="264"/>
    </row>
    <row r="231" spans="3:21" s="263" customFormat="1">
      <c r="C231" s="264"/>
      <c r="D231" s="264"/>
      <c r="E231" s="264"/>
      <c r="F231" s="264"/>
      <c r="G231" s="264"/>
      <c r="H231" s="264"/>
      <c r="I231" s="264"/>
      <c r="J231" s="264"/>
      <c r="K231" s="264"/>
      <c r="L231" s="264"/>
      <c r="M231" s="264"/>
      <c r="N231" s="264"/>
      <c r="O231" s="264"/>
      <c r="P231" s="264"/>
      <c r="Q231" s="264"/>
      <c r="T231" s="264"/>
      <c r="U231" s="264"/>
    </row>
    <row r="232" spans="3:21" s="263" customFormat="1">
      <c r="C232" s="264"/>
      <c r="D232" s="264"/>
      <c r="E232" s="264"/>
      <c r="F232" s="264"/>
      <c r="G232" s="264"/>
      <c r="H232" s="264"/>
      <c r="I232" s="264"/>
      <c r="J232" s="264"/>
      <c r="K232" s="264"/>
      <c r="L232" s="264"/>
      <c r="M232" s="264"/>
      <c r="N232" s="264"/>
      <c r="O232" s="264"/>
      <c r="P232" s="264"/>
      <c r="Q232" s="264"/>
      <c r="T232" s="264"/>
      <c r="U232" s="264"/>
    </row>
    <row r="233" spans="3:21" s="263" customFormat="1">
      <c r="C233" s="264"/>
      <c r="D233" s="264"/>
      <c r="E233" s="264"/>
      <c r="F233" s="264"/>
      <c r="G233" s="264"/>
      <c r="H233" s="264"/>
      <c r="I233" s="264"/>
      <c r="J233" s="264"/>
      <c r="K233" s="264"/>
      <c r="L233" s="264"/>
      <c r="M233" s="264"/>
      <c r="N233" s="264"/>
      <c r="O233" s="264"/>
      <c r="P233" s="264"/>
      <c r="Q233" s="264"/>
      <c r="T233" s="264"/>
      <c r="U233" s="264"/>
    </row>
    <row r="234" spans="3:21" s="263" customFormat="1">
      <c r="C234" s="264"/>
      <c r="D234" s="264"/>
      <c r="E234" s="264"/>
      <c r="F234" s="264"/>
      <c r="G234" s="264"/>
      <c r="H234" s="264"/>
      <c r="I234" s="264"/>
      <c r="J234" s="264"/>
      <c r="K234" s="264"/>
      <c r="L234" s="264"/>
      <c r="M234" s="264"/>
      <c r="N234" s="264"/>
      <c r="O234" s="264"/>
      <c r="P234" s="264"/>
      <c r="Q234" s="264"/>
      <c r="T234" s="264"/>
      <c r="U234" s="264"/>
    </row>
    <row r="235" spans="3:21" s="263" customFormat="1">
      <c r="C235" s="264"/>
      <c r="D235" s="264"/>
      <c r="E235" s="264"/>
      <c r="F235" s="264"/>
      <c r="G235" s="264"/>
      <c r="H235" s="264"/>
      <c r="I235" s="264"/>
      <c r="J235" s="264"/>
      <c r="K235" s="264"/>
      <c r="L235" s="264"/>
      <c r="M235" s="264"/>
      <c r="N235" s="264"/>
      <c r="O235" s="264"/>
      <c r="P235" s="264"/>
      <c r="Q235" s="264"/>
      <c r="T235" s="264"/>
      <c r="U235" s="264"/>
    </row>
    <row r="236" spans="3:21" s="263" customFormat="1">
      <c r="C236" s="264"/>
      <c r="D236" s="264"/>
      <c r="E236" s="264"/>
      <c r="F236" s="264"/>
      <c r="G236" s="264"/>
      <c r="H236" s="264"/>
      <c r="I236" s="264"/>
      <c r="J236" s="264"/>
      <c r="K236" s="264"/>
      <c r="L236" s="264"/>
      <c r="M236" s="264"/>
      <c r="N236" s="264"/>
      <c r="O236" s="264"/>
      <c r="P236" s="264"/>
      <c r="Q236" s="264"/>
      <c r="T236" s="264"/>
      <c r="U236" s="264"/>
    </row>
    <row r="237" spans="3:21" s="263" customFormat="1">
      <c r="C237" s="264"/>
      <c r="D237" s="264"/>
      <c r="E237" s="264"/>
      <c r="F237" s="264"/>
      <c r="G237" s="264"/>
      <c r="H237" s="264"/>
      <c r="I237" s="264"/>
      <c r="J237" s="264"/>
      <c r="K237" s="264"/>
      <c r="L237" s="264"/>
      <c r="M237" s="264"/>
      <c r="N237" s="264"/>
      <c r="O237" s="264"/>
      <c r="P237" s="264"/>
      <c r="Q237" s="264"/>
      <c r="T237" s="264"/>
      <c r="U237" s="264"/>
    </row>
    <row r="238" spans="3:21" s="263" customFormat="1">
      <c r="C238" s="264"/>
      <c r="D238" s="264"/>
      <c r="E238" s="264"/>
      <c r="F238" s="264"/>
      <c r="G238" s="264"/>
      <c r="H238" s="264"/>
      <c r="I238" s="264"/>
      <c r="J238" s="264"/>
      <c r="K238" s="264"/>
      <c r="L238" s="264"/>
      <c r="M238" s="264"/>
      <c r="N238" s="264"/>
      <c r="O238" s="264"/>
      <c r="P238" s="264"/>
      <c r="Q238" s="264"/>
      <c r="T238" s="264"/>
      <c r="U238" s="264"/>
    </row>
    <row r="239" spans="3:21" s="263" customFormat="1">
      <c r="C239" s="264"/>
      <c r="D239" s="264"/>
      <c r="E239" s="264"/>
      <c r="F239" s="264"/>
      <c r="G239" s="264"/>
      <c r="H239" s="264"/>
      <c r="I239" s="264"/>
      <c r="J239" s="264"/>
      <c r="K239" s="264"/>
      <c r="L239" s="264"/>
      <c r="M239" s="264"/>
      <c r="N239" s="264"/>
      <c r="O239" s="264"/>
      <c r="P239" s="264"/>
      <c r="Q239" s="264"/>
      <c r="T239" s="264"/>
      <c r="U239" s="264"/>
    </row>
    <row r="240" spans="3:21" s="263" customFormat="1">
      <c r="C240" s="264"/>
      <c r="D240" s="264"/>
      <c r="E240" s="264"/>
      <c r="F240" s="264"/>
      <c r="G240" s="264"/>
      <c r="H240" s="264"/>
      <c r="I240" s="264"/>
      <c r="J240" s="264"/>
      <c r="K240" s="264"/>
      <c r="L240" s="264"/>
      <c r="M240" s="264"/>
      <c r="N240" s="264"/>
      <c r="O240" s="264"/>
      <c r="P240" s="264"/>
      <c r="Q240" s="264"/>
      <c r="T240" s="264"/>
      <c r="U240" s="264"/>
    </row>
    <row r="241" spans="3:21" s="263" customFormat="1">
      <c r="C241" s="264"/>
      <c r="D241" s="264"/>
      <c r="E241" s="264"/>
      <c r="F241" s="264"/>
      <c r="G241" s="264"/>
      <c r="H241" s="264"/>
      <c r="I241" s="264"/>
      <c r="J241" s="264"/>
      <c r="K241" s="264"/>
      <c r="L241" s="264"/>
      <c r="M241" s="264"/>
      <c r="N241" s="264"/>
      <c r="O241" s="264"/>
      <c r="P241" s="264"/>
      <c r="Q241" s="264"/>
      <c r="T241" s="264"/>
      <c r="U241" s="264"/>
    </row>
    <row r="242" spans="3:21" s="263" customFormat="1">
      <c r="C242" s="264"/>
      <c r="D242" s="264"/>
      <c r="E242" s="264"/>
      <c r="F242" s="264"/>
      <c r="G242" s="264"/>
      <c r="H242" s="264"/>
      <c r="I242" s="264"/>
      <c r="J242" s="264"/>
      <c r="K242" s="264"/>
      <c r="L242" s="264"/>
      <c r="M242" s="264"/>
      <c r="N242" s="264"/>
      <c r="O242" s="264"/>
      <c r="P242" s="264"/>
      <c r="Q242" s="264"/>
      <c r="T242" s="264"/>
      <c r="U242" s="264"/>
    </row>
    <row r="243" spans="3:21" s="263" customFormat="1">
      <c r="C243" s="264"/>
      <c r="D243" s="264"/>
      <c r="E243" s="264"/>
      <c r="F243" s="264"/>
      <c r="G243" s="264"/>
      <c r="H243" s="264"/>
      <c r="I243" s="264"/>
      <c r="J243" s="264"/>
      <c r="K243" s="264"/>
      <c r="L243" s="264"/>
      <c r="M243" s="264"/>
      <c r="N243" s="264"/>
      <c r="O243" s="264"/>
      <c r="P243" s="264"/>
      <c r="Q243" s="264"/>
      <c r="T243" s="264"/>
      <c r="U243" s="264"/>
    </row>
    <row r="244" spans="3:21" s="263" customFormat="1">
      <c r="C244" s="264"/>
      <c r="D244" s="264"/>
      <c r="E244" s="264"/>
      <c r="F244" s="264"/>
      <c r="G244" s="264"/>
      <c r="H244" s="264"/>
      <c r="I244" s="264"/>
      <c r="J244" s="264"/>
      <c r="K244" s="264"/>
      <c r="L244" s="264"/>
      <c r="M244" s="264"/>
      <c r="N244" s="264"/>
      <c r="O244" s="264"/>
      <c r="P244" s="264"/>
      <c r="Q244" s="264"/>
      <c r="T244" s="264"/>
      <c r="U244" s="264"/>
    </row>
    <row r="245" spans="3:21" s="263" customFormat="1">
      <c r="C245" s="264"/>
      <c r="D245" s="264"/>
      <c r="E245" s="264"/>
      <c r="F245" s="264"/>
      <c r="G245" s="264"/>
      <c r="H245" s="264"/>
      <c r="I245" s="264"/>
      <c r="J245" s="264"/>
      <c r="K245" s="264"/>
      <c r="L245" s="264"/>
      <c r="M245" s="264"/>
      <c r="N245" s="264"/>
      <c r="O245" s="264"/>
      <c r="P245" s="264"/>
      <c r="Q245" s="264"/>
      <c r="T245" s="264"/>
      <c r="U245" s="264"/>
    </row>
    <row r="246" spans="3:21" s="263" customFormat="1">
      <c r="C246" s="264"/>
      <c r="D246" s="264"/>
      <c r="E246" s="264"/>
      <c r="F246" s="264"/>
      <c r="G246" s="264"/>
      <c r="H246" s="264"/>
      <c r="I246" s="264"/>
      <c r="J246" s="264"/>
      <c r="K246" s="264"/>
      <c r="L246" s="264"/>
      <c r="M246" s="264"/>
      <c r="N246" s="264"/>
      <c r="O246" s="264"/>
      <c r="P246" s="264"/>
      <c r="Q246" s="264"/>
      <c r="T246" s="264"/>
      <c r="U246" s="264"/>
    </row>
    <row r="247" spans="3:21" s="263" customFormat="1">
      <c r="C247" s="264"/>
      <c r="D247" s="264"/>
      <c r="E247" s="264"/>
      <c r="F247" s="264"/>
      <c r="G247" s="264"/>
      <c r="H247" s="264"/>
      <c r="I247" s="264"/>
      <c r="J247" s="264"/>
      <c r="K247" s="264"/>
      <c r="L247" s="264"/>
      <c r="M247" s="264"/>
      <c r="N247" s="264"/>
      <c r="O247" s="264"/>
      <c r="P247" s="264"/>
      <c r="Q247" s="264"/>
      <c r="T247" s="264"/>
      <c r="U247" s="264"/>
    </row>
    <row r="248" spans="3:21" s="263" customFormat="1">
      <c r="C248" s="264"/>
      <c r="D248" s="264"/>
      <c r="E248" s="264"/>
      <c r="F248" s="264"/>
      <c r="G248" s="264"/>
      <c r="H248" s="264"/>
      <c r="I248" s="264"/>
      <c r="J248" s="264"/>
      <c r="K248" s="264"/>
      <c r="L248" s="264"/>
      <c r="M248" s="264"/>
      <c r="N248" s="264"/>
      <c r="O248" s="264"/>
      <c r="P248" s="264"/>
      <c r="Q248" s="264"/>
      <c r="T248" s="264"/>
      <c r="U248" s="264"/>
    </row>
    <row r="249" spans="3:21" s="263" customFormat="1">
      <c r="C249" s="264"/>
      <c r="D249" s="264"/>
      <c r="E249" s="264"/>
      <c r="F249" s="264"/>
      <c r="G249" s="264"/>
      <c r="H249" s="264"/>
      <c r="I249" s="264"/>
      <c r="J249" s="264"/>
      <c r="K249" s="264"/>
      <c r="L249" s="264"/>
      <c r="M249" s="264"/>
      <c r="N249" s="264"/>
      <c r="O249" s="264"/>
      <c r="P249" s="264"/>
      <c r="Q249" s="264"/>
      <c r="T249" s="264"/>
      <c r="U249" s="264"/>
    </row>
    <row r="250" spans="3:21" s="263" customFormat="1">
      <c r="C250" s="264"/>
      <c r="D250" s="264"/>
      <c r="E250" s="264"/>
      <c r="F250" s="264"/>
      <c r="G250" s="264"/>
      <c r="H250" s="264"/>
      <c r="I250" s="264"/>
      <c r="J250" s="264"/>
      <c r="K250" s="264"/>
      <c r="L250" s="264"/>
      <c r="M250" s="264"/>
      <c r="N250" s="264"/>
      <c r="O250" s="264"/>
      <c r="P250" s="264"/>
      <c r="Q250" s="264"/>
      <c r="T250" s="264"/>
      <c r="U250" s="264"/>
    </row>
    <row r="251" spans="3:21" s="263" customFormat="1">
      <c r="C251" s="264"/>
      <c r="D251" s="264"/>
      <c r="E251" s="264"/>
      <c r="F251" s="264"/>
      <c r="G251" s="264"/>
      <c r="H251" s="264"/>
      <c r="I251" s="264"/>
      <c r="J251" s="264"/>
      <c r="K251" s="264"/>
      <c r="L251" s="264"/>
      <c r="M251" s="264"/>
      <c r="N251" s="264"/>
      <c r="O251" s="264"/>
      <c r="P251" s="264"/>
      <c r="Q251" s="264"/>
      <c r="T251" s="264"/>
      <c r="U251" s="264"/>
    </row>
    <row r="252" spans="3:21" s="263" customFormat="1">
      <c r="C252" s="264"/>
      <c r="D252" s="264"/>
      <c r="E252" s="264"/>
      <c r="F252" s="264"/>
      <c r="G252" s="264"/>
      <c r="H252" s="264"/>
      <c r="I252" s="264"/>
      <c r="J252" s="264"/>
      <c r="K252" s="264"/>
      <c r="L252" s="264"/>
      <c r="M252" s="264"/>
      <c r="N252" s="264"/>
      <c r="O252" s="264"/>
      <c r="P252" s="264"/>
      <c r="Q252" s="264"/>
      <c r="T252" s="264"/>
      <c r="U252" s="264"/>
    </row>
    <row r="253" spans="3:21" s="263" customFormat="1">
      <c r="C253" s="264"/>
      <c r="D253" s="264"/>
      <c r="E253" s="264"/>
      <c r="F253" s="264"/>
      <c r="G253" s="264"/>
      <c r="H253" s="264"/>
      <c r="I253" s="264"/>
      <c r="J253" s="264"/>
      <c r="K253" s="264"/>
      <c r="L253" s="264"/>
      <c r="M253" s="264"/>
      <c r="N253" s="264"/>
      <c r="O253" s="264"/>
      <c r="P253" s="264"/>
      <c r="Q253" s="264"/>
      <c r="T253" s="264"/>
      <c r="U253" s="264"/>
    </row>
    <row r="254" spans="3:21" s="263" customFormat="1">
      <c r="C254" s="264"/>
      <c r="D254" s="264"/>
      <c r="E254" s="264"/>
      <c r="F254" s="264"/>
      <c r="G254" s="264"/>
      <c r="H254" s="264"/>
      <c r="I254" s="264"/>
      <c r="J254" s="264"/>
      <c r="K254" s="264"/>
      <c r="L254" s="264"/>
      <c r="M254" s="264"/>
      <c r="N254" s="264"/>
      <c r="O254" s="264"/>
      <c r="P254" s="264"/>
      <c r="Q254" s="264"/>
      <c r="T254" s="264"/>
      <c r="U254" s="264"/>
    </row>
    <row r="255" spans="3:21" s="263" customFormat="1">
      <c r="C255" s="264"/>
      <c r="D255" s="264"/>
      <c r="E255" s="264"/>
      <c r="F255" s="264"/>
      <c r="G255" s="264"/>
      <c r="H255" s="264"/>
      <c r="I255" s="264"/>
      <c r="J255" s="264"/>
      <c r="K255" s="264"/>
      <c r="L255" s="264"/>
      <c r="M255" s="264"/>
      <c r="N255" s="264"/>
      <c r="O255" s="264"/>
      <c r="P255" s="264"/>
      <c r="Q255" s="264"/>
      <c r="T255" s="264"/>
      <c r="U255" s="264"/>
    </row>
    <row r="256" spans="3:21" s="263" customFormat="1">
      <c r="C256" s="264"/>
      <c r="D256" s="264"/>
      <c r="E256" s="264"/>
      <c r="F256" s="264"/>
      <c r="G256" s="264"/>
      <c r="H256" s="264"/>
      <c r="I256" s="264"/>
      <c r="J256" s="264"/>
      <c r="K256" s="264"/>
      <c r="L256" s="264"/>
      <c r="M256" s="264"/>
      <c r="N256" s="264"/>
      <c r="O256" s="264"/>
      <c r="P256" s="264"/>
      <c r="Q256" s="264"/>
      <c r="T256" s="264"/>
      <c r="U256" s="264"/>
    </row>
    <row r="257" spans="3:21" s="263" customFormat="1">
      <c r="C257" s="264"/>
      <c r="D257" s="264"/>
      <c r="E257" s="264"/>
      <c r="F257" s="264"/>
      <c r="G257" s="264"/>
      <c r="H257" s="264"/>
      <c r="I257" s="264"/>
      <c r="J257" s="264"/>
      <c r="K257" s="264"/>
      <c r="L257" s="264"/>
      <c r="M257" s="264"/>
      <c r="N257" s="264"/>
      <c r="O257" s="264"/>
      <c r="P257" s="264"/>
      <c r="Q257" s="264"/>
      <c r="T257" s="264"/>
      <c r="U257" s="264"/>
    </row>
    <row r="258" spans="3:21" s="263" customFormat="1">
      <c r="C258" s="264"/>
      <c r="D258" s="264"/>
      <c r="E258" s="264"/>
      <c r="F258" s="264"/>
      <c r="G258" s="264"/>
      <c r="H258" s="264"/>
      <c r="I258" s="264"/>
      <c r="J258" s="264"/>
      <c r="K258" s="264"/>
      <c r="L258" s="264"/>
      <c r="M258" s="264"/>
      <c r="N258" s="264"/>
      <c r="O258" s="264"/>
      <c r="P258" s="264"/>
      <c r="Q258" s="264"/>
      <c r="T258" s="264"/>
      <c r="U258" s="264"/>
    </row>
    <row r="259" spans="3:21" s="263" customFormat="1">
      <c r="C259" s="264"/>
      <c r="D259" s="264"/>
      <c r="E259" s="264"/>
      <c r="F259" s="264"/>
      <c r="G259" s="264"/>
      <c r="H259" s="264"/>
      <c r="I259" s="264"/>
      <c r="J259" s="264"/>
      <c r="K259" s="264"/>
      <c r="L259" s="264"/>
      <c r="M259" s="264"/>
      <c r="N259" s="264"/>
      <c r="O259" s="264"/>
      <c r="P259" s="264"/>
      <c r="Q259" s="264"/>
      <c r="T259" s="264"/>
      <c r="U259" s="264"/>
    </row>
    <row r="260" spans="3:21" s="263" customFormat="1">
      <c r="C260" s="264"/>
      <c r="D260" s="264"/>
      <c r="E260" s="264"/>
      <c r="F260" s="264"/>
      <c r="G260" s="264"/>
      <c r="H260" s="264"/>
      <c r="I260" s="264"/>
      <c r="J260" s="264"/>
      <c r="K260" s="264"/>
      <c r="L260" s="264"/>
      <c r="M260" s="264"/>
      <c r="N260" s="264"/>
      <c r="O260" s="264"/>
      <c r="P260" s="264"/>
      <c r="Q260" s="264"/>
      <c r="T260" s="264"/>
      <c r="U260" s="264"/>
    </row>
    <row r="261" spans="3:21" s="263" customFormat="1">
      <c r="C261" s="264"/>
      <c r="D261" s="264"/>
      <c r="E261" s="264"/>
      <c r="F261" s="264"/>
      <c r="G261" s="264"/>
      <c r="H261" s="264"/>
      <c r="I261" s="264"/>
      <c r="J261" s="264"/>
      <c r="K261" s="264"/>
      <c r="L261" s="264"/>
      <c r="M261" s="264"/>
      <c r="N261" s="264"/>
      <c r="O261" s="264"/>
      <c r="P261" s="264"/>
      <c r="Q261" s="264"/>
      <c r="T261" s="264"/>
      <c r="U261" s="264"/>
    </row>
    <row r="262" spans="3:21" s="263" customFormat="1">
      <c r="C262" s="264"/>
      <c r="D262" s="264"/>
      <c r="E262" s="264"/>
      <c r="F262" s="264"/>
      <c r="G262" s="264"/>
      <c r="H262" s="264"/>
      <c r="I262" s="264"/>
      <c r="J262" s="264"/>
      <c r="K262" s="264"/>
      <c r="L262" s="264"/>
      <c r="M262" s="264"/>
      <c r="N262" s="264"/>
      <c r="O262" s="264"/>
      <c r="P262" s="264"/>
      <c r="Q262" s="264"/>
      <c r="T262" s="264"/>
      <c r="U262" s="264"/>
    </row>
    <row r="263" spans="3:21" s="263" customFormat="1">
      <c r="C263" s="264"/>
      <c r="D263" s="264"/>
      <c r="E263" s="264"/>
      <c r="F263" s="264"/>
      <c r="G263" s="264"/>
      <c r="H263" s="264"/>
      <c r="I263" s="264"/>
      <c r="J263" s="264"/>
      <c r="K263" s="264"/>
      <c r="L263" s="264"/>
      <c r="M263" s="264"/>
      <c r="N263" s="264"/>
      <c r="O263" s="264"/>
      <c r="P263" s="264"/>
      <c r="Q263" s="264"/>
      <c r="T263" s="264"/>
      <c r="U263" s="264"/>
    </row>
    <row r="264" spans="3:21" s="263" customFormat="1">
      <c r="C264" s="264"/>
      <c r="D264" s="264"/>
      <c r="E264" s="264"/>
      <c r="F264" s="264"/>
      <c r="G264" s="264"/>
      <c r="H264" s="264"/>
      <c r="I264" s="264"/>
      <c r="J264" s="264"/>
      <c r="K264" s="264"/>
      <c r="L264" s="264"/>
      <c r="M264" s="264"/>
      <c r="N264" s="264"/>
      <c r="O264" s="264"/>
      <c r="P264" s="264"/>
      <c r="Q264" s="264"/>
      <c r="T264" s="264"/>
      <c r="U264" s="264"/>
    </row>
    <row r="265" spans="3:21" s="263" customFormat="1">
      <c r="C265" s="264"/>
      <c r="D265" s="264"/>
      <c r="E265" s="264"/>
      <c r="F265" s="264"/>
      <c r="G265" s="264"/>
      <c r="H265" s="264"/>
      <c r="I265" s="264"/>
      <c r="J265" s="264"/>
      <c r="K265" s="264"/>
      <c r="L265" s="264"/>
      <c r="M265" s="264"/>
      <c r="N265" s="264"/>
      <c r="O265" s="264"/>
      <c r="P265" s="264"/>
      <c r="Q265" s="264"/>
      <c r="T265" s="264"/>
      <c r="U265" s="264"/>
    </row>
    <row r="266" spans="3:21" s="263" customFormat="1">
      <c r="C266" s="264"/>
      <c r="D266" s="264"/>
      <c r="E266" s="264"/>
      <c r="F266" s="264"/>
      <c r="G266" s="264"/>
      <c r="H266" s="264"/>
      <c r="I266" s="264"/>
      <c r="J266" s="264"/>
      <c r="K266" s="264"/>
      <c r="L266" s="264"/>
      <c r="M266" s="264"/>
      <c r="N266" s="264"/>
      <c r="O266" s="264"/>
      <c r="P266" s="264"/>
      <c r="Q266" s="264"/>
      <c r="T266" s="264"/>
      <c r="U266" s="264"/>
    </row>
    <row r="267" spans="3:21" s="263" customFormat="1">
      <c r="C267" s="264"/>
      <c r="D267" s="264"/>
      <c r="E267" s="264"/>
      <c r="F267" s="264"/>
      <c r="G267" s="264"/>
      <c r="H267" s="264"/>
      <c r="I267" s="264"/>
      <c r="J267" s="264"/>
      <c r="K267" s="264"/>
      <c r="L267" s="264"/>
      <c r="M267" s="264"/>
      <c r="N267" s="264"/>
      <c r="O267" s="264"/>
      <c r="P267" s="264"/>
      <c r="Q267" s="264"/>
      <c r="T267" s="264"/>
      <c r="U267" s="264"/>
    </row>
    <row r="268" spans="3:21" s="263" customFormat="1">
      <c r="C268" s="264"/>
      <c r="D268" s="264"/>
      <c r="E268" s="264"/>
      <c r="F268" s="264"/>
      <c r="G268" s="264"/>
      <c r="H268" s="264"/>
      <c r="I268" s="264"/>
      <c r="J268" s="264"/>
      <c r="K268" s="264"/>
      <c r="L268" s="264"/>
      <c r="M268" s="264"/>
      <c r="N268" s="264"/>
      <c r="O268" s="264"/>
      <c r="P268" s="264"/>
      <c r="Q268" s="264"/>
      <c r="T268" s="264"/>
      <c r="U268" s="264"/>
    </row>
    <row r="269" spans="3:21" s="263" customFormat="1">
      <c r="C269" s="264"/>
      <c r="D269" s="264"/>
      <c r="E269" s="264"/>
      <c r="F269" s="264"/>
      <c r="G269" s="264"/>
      <c r="H269" s="264"/>
      <c r="I269" s="264"/>
      <c r="J269" s="264"/>
      <c r="K269" s="264"/>
      <c r="L269" s="264"/>
      <c r="M269" s="264"/>
      <c r="N269" s="264"/>
      <c r="O269" s="264"/>
      <c r="P269" s="264"/>
      <c r="Q269" s="264"/>
      <c r="T269" s="264"/>
      <c r="U269" s="264"/>
    </row>
    <row r="270" spans="3:21" s="263" customFormat="1">
      <c r="C270" s="264"/>
      <c r="D270" s="264"/>
      <c r="E270" s="264"/>
      <c r="F270" s="264"/>
      <c r="G270" s="264"/>
      <c r="H270" s="264"/>
      <c r="I270" s="264"/>
      <c r="J270" s="264"/>
      <c r="K270" s="264"/>
      <c r="L270" s="264"/>
      <c r="M270" s="264"/>
      <c r="N270" s="264"/>
      <c r="O270" s="264"/>
      <c r="P270" s="264"/>
      <c r="Q270" s="264"/>
      <c r="T270" s="264"/>
      <c r="U270" s="264"/>
    </row>
    <row r="271" spans="3:21" s="263" customFormat="1">
      <c r="C271" s="264"/>
      <c r="D271" s="264"/>
      <c r="E271" s="264"/>
      <c r="F271" s="264"/>
      <c r="G271" s="264"/>
      <c r="H271" s="264"/>
      <c r="I271" s="264"/>
      <c r="J271" s="264"/>
      <c r="K271" s="264"/>
      <c r="L271" s="264"/>
      <c r="M271" s="264"/>
      <c r="N271" s="264"/>
      <c r="O271" s="264"/>
      <c r="P271" s="264"/>
      <c r="Q271" s="264"/>
      <c r="T271" s="264"/>
      <c r="U271" s="264"/>
    </row>
    <row r="272" spans="3:21" s="263" customFormat="1">
      <c r="C272" s="264"/>
      <c r="D272" s="264"/>
      <c r="E272" s="264"/>
      <c r="F272" s="264"/>
      <c r="G272" s="264"/>
      <c r="H272" s="264"/>
      <c r="I272" s="264"/>
      <c r="J272" s="264"/>
      <c r="K272" s="264"/>
      <c r="L272" s="264"/>
      <c r="M272" s="264"/>
      <c r="N272" s="264"/>
      <c r="O272" s="264"/>
      <c r="P272" s="264"/>
      <c r="Q272" s="264"/>
      <c r="T272" s="264"/>
      <c r="U272" s="264"/>
    </row>
    <row r="273" spans="3:21" s="263" customFormat="1">
      <c r="C273" s="264"/>
      <c r="D273" s="264"/>
      <c r="E273" s="264"/>
      <c r="F273" s="264"/>
      <c r="G273" s="264"/>
      <c r="H273" s="264"/>
      <c r="I273" s="264"/>
      <c r="J273" s="264"/>
      <c r="K273" s="264"/>
      <c r="L273" s="264"/>
      <c r="M273" s="264"/>
      <c r="N273" s="264"/>
      <c r="O273" s="264"/>
      <c r="P273" s="264"/>
      <c r="Q273" s="264"/>
      <c r="T273" s="264"/>
      <c r="U273" s="264"/>
    </row>
    <row r="274" spans="3:21" s="263" customFormat="1">
      <c r="C274" s="264"/>
      <c r="D274" s="264"/>
      <c r="E274" s="264"/>
      <c r="F274" s="264"/>
      <c r="G274" s="264"/>
      <c r="H274" s="264"/>
      <c r="I274" s="264"/>
      <c r="J274" s="264"/>
      <c r="K274" s="264"/>
      <c r="L274" s="264"/>
      <c r="M274" s="264"/>
      <c r="N274" s="264"/>
      <c r="O274" s="264"/>
      <c r="P274" s="264"/>
      <c r="Q274" s="264"/>
      <c r="T274" s="264"/>
      <c r="U274" s="264"/>
    </row>
    <row r="275" spans="3:21" s="263" customFormat="1">
      <c r="C275" s="264"/>
      <c r="D275" s="264"/>
      <c r="E275" s="264"/>
      <c r="F275" s="264"/>
      <c r="G275" s="264"/>
      <c r="H275" s="264"/>
      <c r="I275" s="264"/>
      <c r="J275" s="264"/>
      <c r="K275" s="264"/>
      <c r="L275" s="264"/>
      <c r="M275" s="264"/>
      <c r="N275" s="264"/>
      <c r="O275" s="264"/>
      <c r="P275" s="264"/>
      <c r="Q275" s="264"/>
      <c r="T275" s="264"/>
      <c r="U275" s="264"/>
    </row>
    <row r="276" spans="3:21" s="263" customFormat="1">
      <c r="C276" s="264"/>
      <c r="D276" s="264"/>
      <c r="E276" s="264"/>
      <c r="F276" s="264"/>
      <c r="G276" s="264"/>
      <c r="H276" s="264"/>
      <c r="I276" s="264"/>
      <c r="J276" s="264"/>
      <c r="K276" s="264"/>
      <c r="L276" s="264"/>
      <c r="M276" s="264"/>
      <c r="N276" s="264"/>
      <c r="O276" s="264"/>
      <c r="P276" s="264"/>
      <c r="Q276" s="264"/>
      <c r="T276" s="264"/>
      <c r="U276" s="264"/>
    </row>
    <row r="277" spans="3:21" s="263" customFormat="1">
      <c r="C277" s="264"/>
      <c r="D277" s="264"/>
      <c r="E277" s="264"/>
      <c r="F277" s="264"/>
      <c r="G277" s="264"/>
      <c r="H277" s="264"/>
      <c r="I277" s="264"/>
      <c r="J277" s="264"/>
      <c r="K277" s="264"/>
      <c r="L277" s="264"/>
      <c r="M277" s="264"/>
      <c r="N277" s="264"/>
      <c r="O277" s="264"/>
      <c r="P277" s="264"/>
      <c r="Q277" s="264"/>
      <c r="T277" s="264"/>
      <c r="U277" s="264"/>
    </row>
    <row r="278" spans="3:21" s="263" customFormat="1">
      <c r="C278" s="264"/>
      <c r="D278" s="264"/>
      <c r="E278" s="264"/>
      <c r="F278" s="264"/>
      <c r="G278" s="264"/>
      <c r="H278" s="264"/>
      <c r="I278" s="264"/>
      <c r="J278" s="264"/>
      <c r="K278" s="264"/>
      <c r="L278" s="264"/>
      <c r="M278" s="264"/>
      <c r="N278" s="264"/>
      <c r="O278" s="264"/>
      <c r="P278" s="264"/>
      <c r="Q278" s="264"/>
      <c r="T278" s="264"/>
      <c r="U278" s="264"/>
    </row>
    <row r="279" spans="3:21" s="263" customFormat="1">
      <c r="C279" s="264"/>
      <c r="D279" s="264"/>
      <c r="E279" s="264"/>
      <c r="F279" s="264"/>
      <c r="G279" s="264"/>
      <c r="H279" s="264"/>
      <c r="I279" s="264"/>
      <c r="J279" s="264"/>
      <c r="K279" s="264"/>
      <c r="L279" s="264"/>
      <c r="M279" s="264"/>
      <c r="N279" s="264"/>
      <c r="O279" s="264"/>
      <c r="P279" s="264"/>
      <c r="Q279" s="264"/>
      <c r="T279" s="264"/>
      <c r="U279" s="264"/>
    </row>
    <row r="280" spans="3:21" s="263" customFormat="1">
      <c r="C280" s="264"/>
      <c r="D280" s="264"/>
      <c r="E280" s="264"/>
      <c r="F280" s="264"/>
      <c r="G280" s="264"/>
      <c r="H280" s="264"/>
      <c r="I280" s="264"/>
      <c r="J280" s="264"/>
      <c r="K280" s="264"/>
      <c r="L280" s="264"/>
      <c r="M280" s="264"/>
      <c r="N280" s="264"/>
      <c r="O280" s="264"/>
      <c r="P280" s="264"/>
      <c r="Q280" s="264"/>
      <c r="T280" s="264"/>
      <c r="U280" s="264"/>
    </row>
    <row r="281" spans="3:21" s="263" customFormat="1">
      <c r="C281" s="264"/>
      <c r="D281" s="264"/>
      <c r="E281" s="264"/>
      <c r="F281" s="264"/>
      <c r="G281" s="264"/>
      <c r="H281" s="264"/>
      <c r="I281" s="264"/>
      <c r="J281" s="264"/>
      <c r="K281" s="264"/>
      <c r="L281" s="264"/>
      <c r="M281" s="264"/>
      <c r="N281" s="264"/>
      <c r="O281" s="264"/>
      <c r="P281" s="264"/>
      <c r="Q281" s="264"/>
      <c r="T281" s="264"/>
      <c r="U281" s="264"/>
    </row>
    <row r="282" spans="3:21" s="263" customFormat="1">
      <c r="C282" s="264"/>
      <c r="D282" s="264"/>
      <c r="E282" s="264"/>
      <c r="F282" s="264"/>
      <c r="G282" s="264"/>
      <c r="H282" s="264"/>
      <c r="I282" s="264"/>
      <c r="J282" s="264"/>
      <c r="K282" s="264"/>
      <c r="L282" s="264"/>
      <c r="M282" s="264"/>
      <c r="N282" s="264"/>
      <c r="O282" s="264"/>
      <c r="P282" s="264"/>
      <c r="Q282" s="264"/>
      <c r="T282" s="264"/>
      <c r="U282" s="264"/>
    </row>
    <row r="283" spans="3:21" s="263" customFormat="1">
      <c r="C283" s="264"/>
      <c r="D283" s="264"/>
      <c r="E283" s="264"/>
      <c r="F283" s="264"/>
      <c r="G283" s="264"/>
      <c r="H283" s="264"/>
      <c r="I283" s="264"/>
      <c r="J283" s="264"/>
      <c r="K283" s="264"/>
      <c r="L283" s="264"/>
      <c r="M283" s="264"/>
      <c r="N283" s="264"/>
      <c r="O283" s="264"/>
      <c r="P283" s="264"/>
      <c r="Q283" s="264"/>
      <c r="T283" s="264"/>
      <c r="U283" s="264"/>
    </row>
    <row r="284" spans="3:21" s="263" customFormat="1">
      <c r="C284" s="264"/>
      <c r="D284" s="264"/>
      <c r="E284" s="264"/>
      <c r="F284" s="264"/>
      <c r="G284" s="264"/>
      <c r="H284" s="264"/>
      <c r="I284" s="264"/>
      <c r="J284" s="264"/>
      <c r="K284" s="264"/>
      <c r="L284" s="264"/>
      <c r="M284" s="264"/>
      <c r="N284" s="264"/>
      <c r="O284" s="264"/>
      <c r="P284" s="264"/>
      <c r="Q284" s="264"/>
      <c r="T284" s="264"/>
      <c r="U284" s="264"/>
    </row>
    <row r="285" spans="3:21" s="263" customFormat="1">
      <c r="C285" s="264"/>
      <c r="D285" s="264"/>
      <c r="E285" s="264"/>
      <c r="F285" s="264"/>
      <c r="G285" s="264"/>
      <c r="H285" s="264"/>
      <c r="I285" s="264"/>
      <c r="J285" s="264"/>
      <c r="K285" s="264"/>
      <c r="L285" s="264"/>
      <c r="M285" s="264"/>
      <c r="N285" s="264"/>
      <c r="O285" s="264"/>
      <c r="P285" s="264"/>
      <c r="Q285" s="264"/>
      <c r="T285" s="264"/>
      <c r="U285" s="264"/>
    </row>
    <row r="286" spans="3:21" s="263" customFormat="1">
      <c r="C286" s="264"/>
      <c r="D286" s="264"/>
      <c r="E286" s="264"/>
      <c r="F286" s="264"/>
      <c r="G286" s="264"/>
      <c r="H286" s="264"/>
      <c r="I286" s="264"/>
      <c r="J286" s="264"/>
      <c r="K286" s="264"/>
      <c r="L286" s="264"/>
      <c r="M286" s="264"/>
      <c r="N286" s="264"/>
      <c r="O286" s="264"/>
      <c r="P286" s="264"/>
      <c r="Q286" s="264"/>
      <c r="T286" s="264"/>
      <c r="U286" s="264"/>
    </row>
    <row r="287" spans="3:21" s="263" customFormat="1">
      <c r="C287" s="264"/>
      <c r="D287" s="264"/>
      <c r="E287" s="264"/>
      <c r="F287" s="264"/>
      <c r="G287" s="264"/>
      <c r="H287" s="264"/>
      <c r="I287" s="264"/>
      <c r="J287" s="264"/>
      <c r="K287" s="264"/>
      <c r="L287" s="264"/>
      <c r="M287" s="264"/>
      <c r="N287" s="264"/>
      <c r="O287" s="264"/>
      <c r="P287" s="264"/>
      <c r="Q287" s="264"/>
      <c r="T287" s="264"/>
      <c r="U287" s="264"/>
    </row>
    <row r="288" spans="3:21" s="263" customFormat="1">
      <c r="C288" s="264"/>
      <c r="D288" s="264"/>
      <c r="E288" s="264"/>
      <c r="F288" s="264"/>
      <c r="G288" s="264"/>
      <c r="H288" s="264"/>
      <c r="I288" s="264"/>
      <c r="J288" s="264"/>
      <c r="K288" s="264"/>
      <c r="L288" s="264"/>
      <c r="M288" s="264"/>
      <c r="N288" s="264"/>
      <c r="O288" s="264"/>
      <c r="P288" s="264"/>
      <c r="Q288" s="264"/>
      <c r="T288" s="264"/>
      <c r="U288" s="264"/>
    </row>
    <row r="289" spans="3:21" s="263" customFormat="1">
      <c r="C289" s="264"/>
      <c r="D289" s="264"/>
      <c r="E289" s="264"/>
      <c r="F289" s="264"/>
      <c r="G289" s="264"/>
      <c r="H289" s="264"/>
      <c r="I289" s="264"/>
      <c r="J289" s="264"/>
      <c r="K289" s="264"/>
      <c r="L289" s="264"/>
      <c r="M289" s="264"/>
      <c r="N289" s="264"/>
      <c r="O289" s="264"/>
      <c r="P289" s="264"/>
      <c r="Q289" s="264"/>
      <c r="T289" s="264"/>
      <c r="U289" s="264"/>
    </row>
    <row r="290" spans="3:21" s="263" customFormat="1">
      <c r="C290" s="264"/>
      <c r="D290" s="264"/>
      <c r="E290" s="264"/>
      <c r="F290" s="264"/>
      <c r="G290" s="264"/>
      <c r="H290" s="264"/>
      <c r="I290" s="264"/>
      <c r="J290" s="264"/>
      <c r="K290" s="264"/>
      <c r="L290" s="264"/>
      <c r="M290" s="264"/>
      <c r="N290" s="264"/>
      <c r="O290" s="264"/>
      <c r="P290" s="264"/>
      <c r="Q290" s="264"/>
      <c r="T290" s="264"/>
      <c r="U290" s="264"/>
    </row>
    <row r="291" spans="3:21" s="263" customFormat="1">
      <c r="C291" s="264"/>
      <c r="D291" s="264"/>
      <c r="E291" s="264"/>
      <c r="F291" s="264"/>
      <c r="G291" s="264"/>
      <c r="H291" s="264"/>
      <c r="I291" s="264"/>
      <c r="J291" s="264"/>
      <c r="K291" s="264"/>
      <c r="L291" s="264"/>
      <c r="M291" s="264"/>
      <c r="N291" s="264"/>
      <c r="O291" s="264"/>
      <c r="P291" s="264"/>
      <c r="Q291" s="264"/>
      <c r="T291" s="264"/>
      <c r="U291" s="264"/>
    </row>
    <row r="292" spans="3:21" s="263" customFormat="1">
      <c r="C292" s="264"/>
      <c r="D292" s="264"/>
      <c r="E292" s="264"/>
      <c r="F292" s="264"/>
      <c r="G292" s="264"/>
      <c r="H292" s="264"/>
      <c r="I292" s="264"/>
      <c r="J292" s="264"/>
      <c r="K292" s="264"/>
      <c r="L292" s="264"/>
      <c r="M292" s="264"/>
      <c r="N292" s="264"/>
      <c r="O292" s="264"/>
      <c r="P292" s="264"/>
      <c r="Q292" s="264"/>
      <c r="T292" s="264"/>
      <c r="U292" s="264"/>
    </row>
    <row r="293" spans="3:21" s="263" customFormat="1">
      <c r="C293" s="264"/>
      <c r="D293" s="264"/>
      <c r="E293" s="264"/>
      <c r="F293" s="264"/>
      <c r="G293" s="264"/>
      <c r="H293" s="264"/>
      <c r="I293" s="264"/>
      <c r="J293" s="264"/>
      <c r="K293" s="264"/>
      <c r="L293" s="264"/>
      <c r="M293" s="264"/>
      <c r="N293" s="264"/>
      <c r="O293" s="264"/>
      <c r="P293" s="264"/>
      <c r="Q293" s="264"/>
      <c r="T293" s="264"/>
      <c r="U293" s="264"/>
    </row>
    <row r="294" spans="3:21" s="263" customFormat="1">
      <c r="C294" s="264"/>
      <c r="D294" s="264"/>
      <c r="E294" s="264"/>
      <c r="F294" s="264"/>
      <c r="G294" s="264"/>
      <c r="H294" s="264"/>
      <c r="I294" s="264"/>
      <c r="J294" s="264"/>
      <c r="K294" s="264"/>
      <c r="L294" s="264"/>
      <c r="M294" s="264"/>
      <c r="N294" s="264"/>
      <c r="O294" s="264"/>
      <c r="P294" s="264"/>
      <c r="Q294" s="264"/>
      <c r="T294" s="264"/>
      <c r="U294" s="264"/>
    </row>
    <row r="295" spans="3:21" s="263" customFormat="1">
      <c r="C295" s="264"/>
      <c r="D295" s="264"/>
      <c r="E295" s="264"/>
      <c r="F295" s="264"/>
      <c r="G295" s="264"/>
      <c r="H295" s="264"/>
      <c r="I295" s="264"/>
      <c r="J295" s="264"/>
      <c r="K295" s="264"/>
      <c r="L295" s="264"/>
      <c r="M295" s="264"/>
      <c r="N295" s="264"/>
      <c r="O295" s="264"/>
      <c r="P295" s="264"/>
      <c r="Q295" s="264"/>
      <c r="T295" s="264"/>
      <c r="U295" s="264"/>
    </row>
    <row r="296" spans="3:21" s="263" customFormat="1">
      <c r="C296" s="264"/>
      <c r="D296" s="264"/>
      <c r="E296" s="264"/>
      <c r="F296" s="264"/>
      <c r="G296" s="264"/>
      <c r="H296" s="264"/>
      <c r="I296" s="264"/>
      <c r="J296" s="264"/>
      <c r="K296" s="264"/>
      <c r="L296" s="264"/>
      <c r="M296" s="264"/>
      <c r="N296" s="264"/>
      <c r="O296" s="264"/>
      <c r="P296" s="264"/>
      <c r="Q296" s="264"/>
      <c r="T296" s="264"/>
      <c r="U296" s="264"/>
    </row>
    <row r="297" spans="3:21" s="263" customFormat="1">
      <c r="C297" s="264"/>
      <c r="D297" s="264"/>
      <c r="E297" s="264"/>
      <c r="F297" s="264"/>
      <c r="G297" s="264"/>
      <c r="H297" s="264"/>
      <c r="I297" s="264"/>
      <c r="J297" s="264"/>
      <c r="K297" s="264"/>
      <c r="L297" s="264"/>
      <c r="M297" s="264"/>
      <c r="N297" s="264"/>
      <c r="O297" s="264"/>
      <c r="P297" s="264"/>
      <c r="Q297" s="264"/>
      <c r="T297" s="264"/>
      <c r="U297" s="264"/>
    </row>
    <row r="298" spans="3:21" s="263" customFormat="1">
      <c r="C298" s="264"/>
      <c r="D298" s="264"/>
      <c r="E298" s="264"/>
      <c r="F298" s="264"/>
      <c r="G298" s="264"/>
      <c r="H298" s="264"/>
      <c r="I298" s="264"/>
      <c r="J298" s="264"/>
      <c r="K298" s="264"/>
      <c r="L298" s="264"/>
      <c r="M298" s="264"/>
      <c r="N298" s="264"/>
      <c r="O298" s="264"/>
      <c r="P298" s="264"/>
      <c r="Q298" s="264"/>
      <c r="T298" s="264"/>
      <c r="U298" s="264"/>
    </row>
    <row r="299" spans="3:21" s="263" customFormat="1">
      <c r="C299" s="264"/>
      <c r="D299" s="264"/>
      <c r="E299" s="264"/>
      <c r="F299" s="264"/>
      <c r="G299" s="264"/>
      <c r="H299" s="264"/>
      <c r="I299" s="264"/>
      <c r="J299" s="264"/>
      <c r="K299" s="264"/>
      <c r="L299" s="264"/>
      <c r="M299" s="264"/>
      <c r="N299" s="264"/>
      <c r="O299" s="264"/>
      <c r="P299" s="264"/>
      <c r="Q299" s="264"/>
      <c r="T299" s="264"/>
      <c r="U299" s="264"/>
    </row>
    <row r="300" spans="3:21" s="263" customFormat="1">
      <c r="C300" s="264"/>
      <c r="D300" s="264"/>
      <c r="E300" s="264"/>
      <c r="F300" s="264"/>
      <c r="G300" s="264"/>
      <c r="H300" s="264"/>
      <c r="I300" s="264"/>
      <c r="J300" s="264"/>
      <c r="K300" s="264"/>
      <c r="L300" s="264"/>
      <c r="M300" s="264"/>
      <c r="N300" s="264"/>
      <c r="O300" s="264"/>
      <c r="P300" s="264"/>
      <c r="Q300" s="264"/>
      <c r="T300" s="264"/>
      <c r="U300" s="264"/>
    </row>
    <row r="301" spans="3:21" s="263" customFormat="1">
      <c r="C301" s="264"/>
      <c r="D301" s="264"/>
      <c r="E301" s="264"/>
      <c r="F301" s="264"/>
      <c r="G301" s="264"/>
      <c r="H301" s="264"/>
      <c r="I301" s="264"/>
      <c r="J301" s="264"/>
      <c r="K301" s="264"/>
      <c r="L301" s="264"/>
      <c r="M301" s="264"/>
      <c r="N301" s="264"/>
      <c r="O301" s="264"/>
      <c r="P301" s="264"/>
      <c r="Q301" s="264"/>
      <c r="T301" s="264"/>
      <c r="U301" s="264"/>
    </row>
    <row r="302" spans="3:21" s="263" customFormat="1">
      <c r="C302" s="264"/>
      <c r="D302" s="264"/>
      <c r="E302" s="264"/>
      <c r="F302" s="264"/>
      <c r="G302" s="264"/>
      <c r="H302" s="264"/>
      <c r="I302" s="264"/>
      <c r="J302" s="264"/>
      <c r="K302" s="264"/>
      <c r="L302" s="264"/>
      <c r="M302" s="264"/>
      <c r="N302" s="264"/>
      <c r="O302" s="264"/>
      <c r="P302" s="264"/>
      <c r="Q302" s="264"/>
      <c r="T302" s="264"/>
      <c r="U302" s="264"/>
    </row>
    <row r="303" spans="3:21" s="263" customFormat="1">
      <c r="C303" s="264"/>
      <c r="D303" s="264"/>
      <c r="E303" s="264"/>
      <c r="F303" s="264"/>
      <c r="G303" s="264"/>
      <c r="H303" s="264"/>
      <c r="I303" s="264"/>
      <c r="J303" s="264"/>
      <c r="K303" s="264"/>
      <c r="L303" s="264"/>
      <c r="M303" s="264"/>
      <c r="N303" s="264"/>
      <c r="O303" s="264"/>
      <c r="P303" s="264"/>
      <c r="Q303" s="264"/>
      <c r="T303" s="264"/>
      <c r="U303" s="264"/>
    </row>
    <row r="304" spans="3:21" s="263" customFormat="1">
      <c r="C304" s="264"/>
      <c r="D304" s="264"/>
      <c r="E304" s="264"/>
      <c r="F304" s="264"/>
      <c r="G304" s="264"/>
      <c r="H304" s="264"/>
      <c r="I304" s="264"/>
      <c r="J304" s="264"/>
      <c r="K304" s="264"/>
      <c r="L304" s="264"/>
      <c r="M304" s="264"/>
      <c r="N304" s="264"/>
      <c r="O304" s="264"/>
      <c r="P304" s="264"/>
      <c r="Q304" s="264"/>
      <c r="T304" s="264"/>
      <c r="U304" s="264"/>
    </row>
    <row r="305" spans="3:21" s="263" customFormat="1">
      <c r="C305" s="264"/>
      <c r="D305" s="264"/>
      <c r="E305" s="264"/>
      <c r="F305" s="264"/>
      <c r="G305" s="264"/>
      <c r="H305" s="264"/>
      <c r="I305" s="264"/>
      <c r="J305" s="264"/>
      <c r="K305" s="264"/>
      <c r="L305" s="264"/>
      <c r="M305" s="264"/>
      <c r="N305" s="264"/>
      <c r="O305" s="264"/>
      <c r="P305" s="264"/>
      <c r="Q305" s="264"/>
      <c r="T305" s="264"/>
      <c r="U305" s="264"/>
    </row>
    <row r="306" spans="3:21" s="263" customFormat="1">
      <c r="C306" s="264"/>
      <c r="D306" s="264"/>
      <c r="E306" s="264"/>
      <c r="F306" s="264"/>
      <c r="G306" s="264"/>
      <c r="H306" s="264"/>
      <c r="I306" s="264"/>
      <c r="J306" s="264"/>
      <c r="K306" s="264"/>
      <c r="L306" s="264"/>
      <c r="M306" s="264"/>
      <c r="N306" s="264"/>
      <c r="O306" s="264"/>
      <c r="P306" s="264"/>
      <c r="Q306" s="264"/>
      <c r="T306" s="264"/>
      <c r="U306" s="264"/>
    </row>
    <row r="307" spans="3:21" s="263" customFormat="1">
      <c r="C307" s="264"/>
      <c r="D307" s="264"/>
      <c r="E307" s="264"/>
      <c r="F307" s="264"/>
      <c r="G307" s="264"/>
      <c r="H307" s="264"/>
      <c r="I307" s="264"/>
      <c r="J307" s="264"/>
      <c r="K307" s="264"/>
      <c r="L307" s="264"/>
      <c r="M307" s="264"/>
      <c r="N307" s="264"/>
      <c r="O307" s="264"/>
      <c r="P307" s="264"/>
      <c r="Q307" s="264"/>
      <c r="T307" s="264"/>
      <c r="U307" s="264"/>
    </row>
    <row r="308" spans="3:21" s="263" customFormat="1">
      <c r="C308" s="264"/>
      <c r="D308" s="264"/>
      <c r="E308" s="264"/>
      <c r="F308" s="264"/>
      <c r="G308" s="264"/>
      <c r="H308" s="264"/>
      <c r="I308" s="264"/>
      <c r="J308" s="264"/>
      <c r="K308" s="264"/>
      <c r="L308" s="264"/>
      <c r="M308" s="264"/>
      <c r="N308" s="264"/>
      <c r="O308" s="264"/>
      <c r="P308" s="264"/>
      <c r="Q308" s="264"/>
      <c r="T308" s="264"/>
      <c r="U308" s="264"/>
    </row>
    <row r="309" spans="3:21" s="263" customFormat="1">
      <c r="C309" s="264"/>
      <c r="D309" s="264"/>
      <c r="E309" s="264"/>
      <c r="F309" s="264"/>
      <c r="G309" s="264"/>
      <c r="H309" s="264"/>
      <c r="I309" s="264"/>
      <c r="J309" s="264"/>
      <c r="K309" s="264"/>
      <c r="L309" s="264"/>
      <c r="M309" s="264"/>
      <c r="N309" s="264"/>
      <c r="O309" s="264"/>
      <c r="P309" s="264"/>
      <c r="Q309" s="264"/>
      <c r="T309" s="264"/>
      <c r="U309" s="264"/>
    </row>
    <row r="310" spans="3:21" s="263" customFormat="1">
      <c r="C310" s="264"/>
      <c r="D310" s="264"/>
      <c r="E310" s="264"/>
      <c r="F310" s="264"/>
      <c r="G310" s="264"/>
      <c r="H310" s="264"/>
      <c r="I310" s="264"/>
      <c r="J310" s="264"/>
      <c r="K310" s="264"/>
      <c r="L310" s="264"/>
      <c r="M310" s="264"/>
      <c r="N310" s="264"/>
      <c r="O310" s="264"/>
      <c r="P310" s="264"/>
      <c r="Q310" s="264"/>
      <c r="T310" s="264"/>
      <c r="U310" s="264"/>
    </row>
    <row r="311" spans="3:21" s="263" customFormat="1">
      <c r="C311" s="264"/>
      <c r="D311" s="264"/>
      <c r="E311" s="264"/>
      <c r="F311" s="264"/>
      <c r="G311" s="264"/>
      <c r="H311" s="264"/>
      <c r="I311" s="264"/>
      <c r="J311" s="264"/>
      <c r="K311" s="264"/>
      <c r="L311" s="264"/>
      <c r="M311" s="264"/>
      <c r="N311" s="264"/>
      <c r="O311" s="264"/>
      <c r="P311" s="264"/>
      <c r="Q311" s="264"/>
      <c r="T311" s="264"/>
      <c r="U311" s="264"/>
    </row>
    <row r="312" spans="3:21" s="263" customFormat="1">
      <c r="C312" s="264"/>
      <c r="D312" s="264"/>
      <c r="E312" s="264"/>
      <c r="F312" s="264"/>
      <c r="G312" s="264"/>
      <c r="H312" s="264"/>
      <c r="I312" s="264"/>
      <c r="J312" s="264"/>
      <c r="K312" s="264"/>
      <c r="L312" s="264"/>
      <c r="M312" s="264"/>
      <c r="N312" s="264"/>
      <c r="O312" s="264"/>
      <c r="P312" s="264"/>
      <c r="Q312" s="264"/>
      <c r="T312" s="264"/>
      <c r="U312" s="264"/>
    </row>
    <row r="313" spans="3:21" s="263" customFormat="1">
      <c r="C313" s="264"/>
      <c r="D313" s="264"/>
      <c r="E313" s="264"/>
      <c r="F313" s="264"/>
      <c r="G313" s="264"/>
      <c r="H313" s="264"/>
      <c r="I313" s="264"/>
      <c r="J313" s="264"/>
      <c r="K313" s="264"/>
      <c r="L313" s="264"/>
      <c r="M313" s="264"/>
      <c r="N313" s="264"/>
      <c r="O313" s="264"/>
      <c r="P313" s="264"/>
      <c r="Q313" s="264"/>
      <c r="T313" s="264"/>
      <c r="U313" s="264"/>
    </row>
    <row r="314" spans="3:21" s="263" customFormat="1">
      <c r="C314" s="264"/>
      <c r="D314" s="264"/>
      <c r="E314" s="264"/>
      <c r="F314" s="264"/>
      <c r="G314" s="264"/>
      <c r="H314" s="264"/>
      <c r="I314" s="264"/>
      <c r="J314" s="264"/>
      <c r="K314" s="264"/>
      <c r="L314" s="264"/>
      <c r="M314" s="264"/>
      <c r="N314" s="264"/>
      <c r="O314" s="264"/>
      <c r="P314" s="264"/>
      <c r="Q314" s="264"/>
      <c r="T314" s="264"/>
      <c r="U314" s="264"/>
    </row>
    <row r="315" spans="3:21" s="263" customFormat="1">
      <c r="C315" s="264"/>
      <c r="D315" s="264"/>
      <c r="E315" s="264"/>
      <c r="F315" s="264"/>
      <c r="G315" s="264"/>
      <c r="H315" s="264"/>
      <c r="I315" s="264"/>
      <c r="J315" s="264"/>
      <c r="K315" s="264"/>
      <c r="L315" s="264"/>
      <c r="M315" s="264"/>
      <c r="N315" s="264"/>
      <c r="O315" s="264"/>
      <c r="P315" s="264"/>
      <c r="Q315" s="264"/>
      <c r="T315" s="264"/>
      <c r="U315" s="264"/>
    </row>
    <row r="316" spans="3:21" s="263" customFormat="1">
      <c r="C316" s="264"/>
      <c r="D316" s="264"/>
      <c r="E316" s="264"/>
      <c r="F316" s="264"/>
      <c r="G316" s="264"/>
      <c r="H316" s="264"/>
      <c r="I316" s="264"/>
      <c r="J316" s="264"/>
      <c r="K316" s="264"/>
      <c r="L316" s="264"/>
      <c r="M316" s="264"/>
      <c r="N316" s="264"/>
      <c r="O316" s="264"/>
      <c r="P316" s="264"/>
      <c r="Q316" s="264"/>
      <c r="T316" s="264"/>
      <c r="U316" s="264"/>
    </row>
    <row r="317" spans="3:21" s="263" customFormat="1">
      <c r="C317" s="264"/>
      <c r="D317" s="264"/>
      <c r="E317" s="264"/>
      <c r="F317" s="264"/>
      <c r="G317" s="264"/>
      <c r="H317" s="264"/>
      <c r="I317" s="264"/>
      <c r="J317" s="264"/>
      <c r="K317" s="264"/>
      <c r="L317" s="264"/>
      <c r="M317" s="264"/>
      <c r="N317" s="264"/>
      <c r="O317" s="264"/>
      <c r="P317" s="264"/>
      <c r="Q317" s="264"/>
      <c r="T317" s="264"/>
      <c r="U317" s="264"/>
    </row>
    <row r="318" spans="3:21" s="263" customFormat="1">
      <c r="C318" s="264"/>
      <c r="D318" s="264"/>
      <c r="E318" s="264"/>
      <c r="F318" s="264"/>
      <c r="G318" s="264"/>
      <c r="H318" s="264"/>
      <c r="I318" s="264"/>
      <c r="J318" s="264"/>
      <c r="K318" s="264"/>
      <c r="L318" s="264"/>
      <c r="M318" s="264"/>
      <c r="N318" s="264"/>
      <c r="O318" s="264"/>
      <c r="P318" s="264"/>
      <c r="Q318" s="264"/>
      <c r="T318" s="264"/>
      <c r="U318" s="264"/>
    </row>
    <row r="319" spans="3:21" s="263" customFormat="1">
      <c r="C319" s="264"/>
      <c r="D319" s="264"/>
      <c r="E319" s="264"/>
      <c r="F319" s="264"/>
      <c r="G319" s="264"/>
      <c r="H319" s="264"/>
      <c r="I319" s="264"/>
      <c r="J319" s="264"/>
      <c r="K319" s="264"/>
      <c r="L319" s="264"/>
      <c r="M319" s="264"/>
      <c r="N319" s="264"/>
      <c r="O319" s="264"/>
      <c r="P319" s="264"/>
      <c r="Q319" s="264"/>
      <c r="T319" s="264"/>
      <c r="U319" s="264"/>
    </row>
    <row r="320" spans="3:21" s="263" customFormat="1">
      <c r="C320" s="264"/>
      <c r="D320" s="264"/>
      <c r="E320" s="264"/>
      <c r="F320" s="264"/>
      <c r="G320" s="264"/>
      <c r="H320" s="264"/>
      <c r="I320" s="264"/>
      <c r="J320" s="264"/>
      <c r="K320" s="264"/>
      <c r="L320" s="264"/>
      <c r="M320" s="264"/>
      <c r="N320" s="264"/>
      <c r="O320" s="264"/>
      <c r="P320" s="264"/>
      <c r="Q320" s="264"/>
      <c r="T320" s="264"/>
      <c r="U320" s="264"/>
    </row>
    <row r="321" spans="3:21" s="263" customFormat="1">
      <c r="C321" s="264"/>
      <c r="D321" s="264"/>
      <c r="E321" s="264"/>
      <c r="F321" s="264"/>
      <c r="G321" s="264"/>
      <c r="H321" s="264"/>
      <c r="I321" s="264"/>
      <c r="J321" s="264"/>
      <c r="K321" s="264"/>
      <c r="L321" s="264"/>
      <c r="M321" s="264"/>
      <c r="N321" s="264"/>
      <c r="O321" s="264"/>
      <c r="P321" s="264"/>
      <c r="Q321" s="264"/>
      <c r="T321" s="264"/>
      <c r="U321" s="264"/>
    </row>
    <row r="322" spans="3:21" s="263" customFormat="1">
      <c r="C322" s="264"/>
      <c r="D322" s="264"/>
      <c r="E322" s="264"/>
      <c r="F322" s="264"/>
      <c r="G322" s="264"/>
      <c r="H322" s="264"/>
      <c r="I322" s="264"/>
      <c r="J322" s="264"/>
      <c r="K322" s="264"/>
      <c r="L322" s="264"/>
      <c r="M322" s="264"/>
      <c r="N322" s="264"/>
      <c r="O322" s="264"/>
      <c r="P322" s="264"/>
      <c r="Q322" s="264"/>
      <c r="T322" s="264"/>
      <c r="U322" s="264"/>
    </row>
    <row r="323" spans="3:21" s="263" customFormat="1">
      <c r="C323" s="264"/>
      <c r="D323" s="264"/>
      <c r="E323" s="264"/>
      <c r="F323" s="264"/>
      <c r="G323" s="264"/>
      <c r="H323" s="264"/>
      <c r="I323" s="264"/>
      <c r="J323" s="264"/>
      <c r="K323" s="264"/>
      <c r="L323" s="264"/>
      <c r="M323" s="264"/>
      <c r="N323" s="264"/>
      <c r="O323" s="264"/>
      <c r="P323" s="264"/>
      <c r="Q323" s="264"/>
      <c r="T323" s="264"/>
      <c r="U323" s="264"/>
    </row>
    <row r="324" spans="3:21" s="263" customFormat="1">
      <c r="C324" s="264"/>
      <c r="D324" s="264"/>
      <c r="E324" s="264"/>
      <c r="F324" s="264"/>
      <c r="G324" s="264"/>
      <c r="H324" s="264"/>
      <c r="I324" s="264"/>
      <c r="J324" s="264"/>
      <c r="K324" s="264"/>
      <c r="L324" s="264"/>
      <c r="M324" s="264"/>
      <c r="N324" s="264"/>
      <c r="O324" s="264"/>
      <c r="P324" s="264"/>
      <c r="Q324" s="264"/>
      <c r="T324" s="264"/>
      <c r="U324" s="264"/>
    </row>
    <row r="325" spans="3:21" s="263" customFormat="1">
      <c r="C325" s="264"/>
      <c r="D325" s="264"/>
      <c r="E325" s="264"/>
      <c r="F325" s="264"/>
      <c r="G325" s="264"/>
      <c r="H325" s="264"/>
      <c r="I325" s="264"/>
      <c r="J325" s="264"/>
      <c r="K325" s="264"/>
      <c r="L325" s="264"/>
      <c r="M325" s="264"/>
      <c r="N325" s="264"/>
      <c r="O325" s="264"/>
      <c r="P325" s="264"/>
      <c r="Q325" s="264"/>
      <c r="T325" s="264"/>
      <c r="U325" s="264"/>
    </row>
    <row r="326" spans="3:21" s="263" customFormat="1">
      <c r="C326" s="264"/>
      <c r="D326" s="264"/>
      <c r="E326" s="264"/>
      <c r="F326" s="264"/>
      <c r="G326" s="264"/>
      <c r="H326" s="264"/>
      <c r="I326" s="264"/>
      <c r="J326" s="264"/>
      <c r="K326" s="264"/>
      <c r="L326" s="264"/>
      <c r="M326" s="264"/>
      <c r="N326" s="264"/>
      <c r="O326" s="264"/>
      <c r="P326" s="264"/>
      <c r="Q326" s="264"/>
      <c r="T326" s="264"/>
      <c r="U326" s="264"/>
    </row>
    <row r="327" spans="3:21" s="263" customFormat="1">
      <c r="C327" s="264"/>
      <c r="D327" s="264"/>
      <c r="E327" s="264"/>
      <c r="F327" s="264"/>
      <c r="G327" s="264"/>
      <c r="H327" s="264"/>
      <c r="I327" s="264"/>
      <c r="J327" s="264"/>
      <c r="K327" s="264"/>
      <c r="L327" s="264"/>
      <c r="M327" s="264"/>
      <c r="N327" s="264"/>
      <c r="O327" s="264"/>
      <c r="P327" s="264"/>
      <c r="Q327" s="264"/>
      <c r="T327" s="264"/>
      <c r="U327" s="264"/>
    </row>
    <row r="328" spans="3:21" s="263" customFormat="1">
      <c r="C328" s="264"/>
      <c r="D328" s="264"/>
      <c r="E328" s="264"/>
      <c r="F328" s="264"/>
      <c r="G328" s="264"/>
      <c r="H328" s="264"/>
      <c r="I328" s="264"/>
      <c r="J328" s="264"/>
      <c r="K328" s="264"/>
      <c r="L328" s="264"/>
      <c r="M328" s="264"/>
      <c r="N328" s="264"/>
      <c r="O328" s="264"/>
      <c r="P328" s="264"/>
      <c r="Q328" s="264"/>
      <c r="T328" s="264"/>
      <c r="U328" s="264"/>
    </row>
    <row r="329" spans="3:21" s="263" customFormat="1">
      <c r="C329" s="264"/>
      <c r="D329" s="264"/>
      <c r="E329" s="264"/>
      <c r="F329" s="264"/>
      <c r="G329" s="264"/>
      <c r="H329" s="264"/>
      <c r="I329" s="264"/>
      <c r="J329" s="264"/>
      <c r="K329" s="264"/>
      <c r="L329" s="264"/>
      <c r="M329" s="264"/>
      <c r="N329" s="264"/>
      <c r="O329" s="264"/>
      <c r="P329" s="264"/>
      <c r="Q329" s="264"/>
      <c r="T329" s="264"/>
      <c r="U329" s="264"/>
    </row>
    <row r="330" spans="3:21" s="263" customFormat="1">
      <c r="C330" s="264"/>
      <c r="D330" s="264"/>
      <c r="E330" s="264"/>
      <c r="F330" s="264"/>
      <c r="G330" s="264"/>
      <c r="H330" s="264"/>
      <c r="I330" s="264"/>
      <c r="J330" s="264"/>
      <c r="K330" s="264"/>
      <c r="L330" s="264"/>
      <c r="M330" s="264"/>
      <c r="N330" s="264"/>
      <c r="O330" s="264"/>
      <c r="P330" s="264"/>
      <c r="Q330" s="264"/>
      <c r="T330" s="264"/>
      <c r="U330" s="264"/>
    </row>
    <row r="331" spans="3:21" s="263" customFormat="1">
      <c r="C331" s="264"/>
      <c r="D331" s="264"/>
      <c r="E331" s="264"/>
      <c r="F331" s="264"/>
      <c r="G331" s="264"/>
      <c r="H331" s="264"/>
      <c r="I331" s="264"/>
      <c r="J331" s="264"/>
      <c r="K331" s="264"/>
      <c r="L331" s="264"/>
      <c r="M331" s="264"/>
      <c r="N331" s="264"/>
      <c r="O331" s="264"/>
      <c r="P331" s="264"/>
      <c r="Q331" s="264"/>
      <c r="T331" s="264"/>
      <c r="U331" s="264"/>
    </row>
    <row r="332" spans="3:21" s="263" customFormat="1">
      <c r="C332" s="264"/>
      <c r="D332" s="264"/>
      <c r="E332" s="264"/>
      <c r="F332" s="264"/>
      <c r="G332" s="264"/>
      <c r="H332" s="264"/>
      <c r="I332" s="264"/>
      <c r="J332" s="264"/>
      <c r="K332" s="264"/>
      <c r="L332" s="264"/>
      <c r="M332" s="264"/>
      <c r="N332" s="264"/>
      <c r="O332" s="264"/>
      <c r="P332" s="264"/>
      <c r="Q332" s="264"/>
      <c r="T332" s="264"/>
      <c r="U332" s="264"/>
    </row>
    <row r="333" spans="3:21" s="263" customFormat="1">
      <c r="C333" s="264"/>
      <c r="D333" s="264"/>
      <c r="E333" s="264"/>
      <c r="F333" s="264"/>
      <c r="G333" s="264"/>
      <c r="H333" s="264"/>
      <c r="I333" s="264"/>
      <c r="J333" s="264"/>
      <c r="K333" s="264"/>
      <c r="L333" s="264"/>
      <c r="M333" s="264"/>
      <c r="N333" s="264"/>
      <c r="O333" s="264"/>
      <c r="P333" s="264"/>
      <c r="Q333" s="264"/>
      <c r="T333" s="264"/>
      <c r="U333" s="264"/>
    </row>
    <row r="334" spans="3:21" s="263" customFormat="1">
      <c r="C334" s="264"/>
      <c r="D334" s="264"/>
      <c r="E334" s="264"/>
      <c r="F334" s="264"/>
      <c r="G334" s="264"/>
      <c r="H334" s="264"/>
      <c r="I334" s="264"/>
      <c r="J334" s="264"/>
      <c r="K334" s="264"/>
      <c r="L334" s="264"/>
      <c r="M334" s="264"/>
      <c r="N334" s="264"/>
      <c r="O334" s="264"/>
      <c r="P334" s="264"/>
      <c r="Q334" s="264"/>
      <c r="T334" s="264"/>
      <c r="U334" s="264"/>
    </row>
    <row r="335" spans="3:21" s="263" customFormat="1">
      <c r="C335" s="264"/>
      <c r="D335" s="264"/>
      <c r="E335" s="264"/>
      <c r="F335" s="264"/>
      <c r="G335" s="264"/>
      <c r="H335" s="264"/>
      <c r="I335" s="264"/>
      <c r="J335" s="264"/>
      <c r="K335" s="264"/>
      <c r="L335" s="264"/>
      <c r="M335" s="264"/>
      <c r="N335" s="264"/>
      <c r="O335" s="264"/>
      <c r="P335" s="264"/>
      <c r="Q335" s="264"/>
      <c r="T335" s="264"/>
      <c r="U335" s="264"/>
    </row>
    <row r="336" spans="3:21" s="263" customFormat="1">
      <c r="C336" s="264"/>
      <c r="D336" s="264"/>
      <c r="E336" s="264"/>
      <c r="F336" s="264"/>
      <c r="G336" s="264"/>
      <c r="H336" s="264"/>
      <c r="I336" s="264"/>
      <c r="J336" s="264"/>
      <c r="K336" s="264"/>
      <c r="L336" s="264"/>
      <c r="M336" s="264"/>
      <c r="N336" s="264"/>
      <c r="O336" s="264"/>
      <c r="P336" s="264"/>
      <c r="Q336" s="264"/>
      <c r="T336" s="264"/>
      <c r="U336" s="264"/>
    </row>
    <row r="337" spans="3:21" s="263" customFormat="1">
      <c r="C337" s="264"/>
      <c r="D337" s="264"/>
      <c r="E337" s="264"/>
      <c r="F337" s="264"/>
      <c r="G337" s="264"/>
      <c r="H337" s="264"/>
      <c r="I337" s="264"/>
      <c r="J337" s="264"/>
      <c r="K337" s="264"/>
      <c r="L337" s="264"/>
      <c r="M337" s="264"/>
      <c r="N337" s="264"/>
      <c r="O337" s="264"/>
      <c r="P337" s="264"/>
      <c r="Q337" s="264"/>
      <c r="T337" s="264"/>
      <c r="U337" s="264"/>
    </row>
    <row r="338" spans="3:21" s="263" customFormat="1">
      <c r="C338" s="264"/>
      <c r="D338" s="264"/>
      <c r="E338" s="264"/>
      <c r="F338" s="264"/>
      <c r="G338" s="264"/>
      <c r="H338" s="264"/>
      <c r="I338" s="264"/>
      <c r="J338" s="264"/>
      <c r="K338" s="264"/>
      <c r="L338" s="264"/>
      <c r="M338" s="264"/>
      <c r="N338" s="264"/>
      <c r="O338" s="264"/>
      <c r="P338" s="264"/>
      <c r="Q338" s="264"/>
      <c r="T338" s="264"/>
      <c r="U338" s="264"/>
    </row>
    <row r="339" spans="3:21" s="263" customFormat="1">
      <c r="C339" s="264"/>
      <c r="D339" s="264"/>
      <c r="E339" s="264"/>
      <c r="F339" s="264"/>
      <c r="G339" s="264"/>
      <c r="H339" s="264"/>
      <c r="I339" s="264"/>
      <c r="J339" s="264"/>
      <c r="K339" s="264"/>
      <c r="L339" s="264"/>
      <c r="M339" s="264"/>
      <c r="N339" s="264"/>
      <c r="O339" s="264"/>
      <c r="P339" s="264"/>
      <c r="Q339" s="264"/>
      <c r="T339" s="264"/>
      <c r="U339" s="264"/>
    </row>
    <row r="340" spans="3:21" s="263" customFormat="1">
      <c r="C340" s="264"/>
      <c r="D340" s="264"/>
      <c r="E340" s="264"/>
      <c r="F340" s="264"/>
      <c r="G340" s="264"/>
      <c r="H340" s="264"/>
      <c r="I340" s="264"/>
      <c r="J340" s="264"/>
      <c r="K340" s="264"/>
      <c r="L340" s="264"/>
      <c r="M340" s="264"/>
      <c r="N340" s="264"/>
      <c r="O340" s="264"/>
      <c r="P340" s="264"/>
      <c r="Q340" s="264"/>
      <c r="T340" s="264"/>
      <c r="U340" s="264"/>
    </row>
    <row r="341" spans="3:21" s="263" customFormat="1">
      <c r="C341" s="264"/>
      <c r="D341" s="264"/>
      <c r="E341" s="264"/>
      <c r="F341" s="264"/>
      <c r="G341" s="264"/>
      <c r="H341" s="264"/>
      <c r="I341" s="264"/>
      <c r="J341" s="264"/>
      <c r="K341" s="264"/>
      <c r="L341" s="264"/>
      <c r="M341" s="264"/>
      <c r="N341" s="264"/>
      <c r="O341" s="264"/>
      <c r="P341" s="264"/>
      <c r="Q341" s="264"/>
      <c r="T341" s="264"/>
      <c r="U341" s="264"/>
    </row>
    <row r="342" spans="3:21" s="263" customFormat="1">
      <c r="C342" s="264"/>
      <c r="D342" s="264"/>
      <c r="E342" s="264"/>
      <c r="F342" s="264"/>
      <c r="G342" s="264"/>
      <c r="H342" s="264"/>
      <c r="I342" s="264"/>
      <c r="J342" s="264"/>
      <c r="K342" s="264"/>
      <c r="L342" s="264"/>
      <c r="M342" s="264"/>
      <c r="N342" s="264"/>
      <c r="O342" s="264"/>
      <c r="P342" s="264"/>
      <c r="Q342" s="264"/>
      <c r="T342" s="264"/>
      <c r="U342" s="264"/>
    </row>
    <row r="343" spans="3:21" s="263" customFormat="1">
      <c r="C343" s="264"/>
      <c r="D343" s="264"/>
      <c r="E343" s="264"/>
      <c r="F343" s="264"/>
      <c r="G343" s="264"/>
      <c r="H343" s="264"/>
      <c r="I343" s="264"/>
      <c r="J343" s="264"/>
      <c r="K343" s="264"/>
      <c r="L343" s="264"/>
      <c r="M343" s="264"/>
      <c r="N343" s="264"/>
      <c r="O343" s="264"/>
      <c r="P343" s="264"/>
      <c r="Q343" s="264"/>
      <c r="T343" s="264"/>
      <c r="U343" s="264"/>
    </row>
    <row r="344" spans="3:21" s="263" customFormat="1">
      <c r="C344" s="264"/>
      <c r="D344" s="264"/>
      <c r="E344" s="264"/>
      <c r="F344" s="264"/>
      <c r="G344" s="264"/>
      <c r="H344" s="264"/>
      <c r="I344" s="264"/>
      <c r="J344" s="264"/>
      <c r="K344" s="264"/>
      <c r="L344" s="264"/>
      <c r="M344" s="264"/>
      <c r="N344" s="264"/>
      <c r="O344" s="264"/>
      <c r="P344" s="264"/>
      <c r="Q344" s="264"/>
      <c r="T344" s="264"/>
      <c r="U344" s="264"/>
    </row>
    <row r="345" spans="3:21" s="263" customFormat="1">
      <c r="C345" s="264"/>
      <c r="D345" s="264"/>
      <c r="E345" s="264"/>
      <c r="F345" s="264"/>
      <c r="G345" s="264"/>
      <c r="H345" s="264"/>
      <c r="I345" s="264"/>
      <c r="J345" s="264"/>
      <c r="K345" s="264"/>
      <c r="L345" s="264"/>
      <c r="M345" s="264"/>
      <c r="N345" s="264"/>
      <c r="O345" s="264"/>
      <c r="P345" s="264"/>
      <c r="Q345" s="264"/>
      <c r="T345" s="264"/>
      <c r="U345" s="264"/>
    </row>
    <row r="346" spans="3:21" s="263" customFormat="1">
      <c r="C346" s="264"/>
      <c r="D346" s="264"/>
      <c r="E346" s="264"/>
      <c r="F346" s="264"/>
      <c r="G346" s="264"/>
      <c r="H346" s="264"/>
      <c r="I346" s="264"/>
      <c r="J346" s="264"/>
      <c r="K346" s="264"/>
      <c r="L346" s="264"/>
      <c r="M346" s="264"/>
      <c r="N346" s="264"/>
      <c r="O346" s="264"/>
      <c r="P346" s="264"/>
      <c r="Q346" s="264"/>
      <c r="T346" s="264"/>
      <c r="U346" s="264"/>
    </row>
    <row r="347" spans="3:21" s="263" customFormat="1">
      <c r="C347" s="264"/>
      <c r="D347" s="264"/>
      <c r="E347" s="264"/>
      <c r="F347" s="264"/>
      <c r="G347" s="264"/>
      <c r="H347" s="264"/>
      <c r="I347" s="264"/>
      <c r="J347" s="264"/>
      <c r="K347" s="264"/>
      <c r="L347" s="264"/>
      <c r="M347" s="264"/>
      <c r="N347" s="264"/>
      <c r="O347" s="264"/>
      <c r="P347" s="264"/>
      <c r="Q347" s="264"/>
      <c r="T347" s="264"/>
      <c r="U347" s="264"/>
    </row>
    <row r="348" spans="3:21" s="263" customFormat="1">
      <c r="C348" s="264"/>
      <c r="D348" s="264"/>
      <c r="E348" s="264"/>
      <c r="F348" s="264"/>
      <c r="G348" s="264"/>
      <c r="H348" s="264"/>
      <c r="I348" s="264"/>
      <c r="J348" s="264"/>
      <c r="K348" s="264"/>
      <c r="L348" s="264"/>
      <c r="M348" s="264"/>
      <c r="N348" s="264"/>
      <c r="O348" s="264"/>
      <c r="P348" s="264"/>
      <c r="Q348" s="264"/>
      <c r="T348" s="264"/>
      <c r="U348" s="264"/>
    </row>
    <row r="349" spans="3:21" s="263" customFormat="1">
      <c r="C349" s="264"/>
      <c r="D349" s="264"/>
      <c r="E349" s="264"/>
      <c r="F349" s="264"/>
      <c r="G349" s="264"/>
      <c r="H349" s="264"/>
      <c r="I349" s="264"/>
      <c r="J349" s="264"/>
      <c r="K349" s="264"/>
      <c r="L349" s="264"/>
      <c r="M349" s="264"/>
      <c r="N349" s="264"/>
      <c r="O349" s="264"/>
      <c r="P349" s="264"/>
      <c r="Q349" s="264"/>
      <c r="T349" s="264"/>
      <c r="U349" s="264"/>
    </row>
    <row r="350" spans="3:21" s="263" customFormat="1">
      <c r="C350" s="264"/>
      <c r="D350" s="264"/>
      <c r="E350" s="264"/>
      <c r="F350" s="264"/>
      <c r="G350" s="264"/>
      <c r="H350" s="264"/>
      <c r="I350" s="264"/>
      <c r="J350" s="264"/>
      <c r="K350" s="264"/>
      <c r="L350" s="264"/>
      <c r="M350" s="264"/>
      <c r="N350" s="264"/>
      <c r="O350" s="264"/>
      <c r="P350" s="264"/>
      <c r="Q350" s="264"/>
      <c r="T350" s="264"/>
      <c r="U350" s="264"/>
    </row>
    <row r="351" spans="3:21" s="263" customFormat="1">
      <c r="C351" s="264"/>
      <c r="D351" s="264"/>
      <c r="E351" s="264"/>
      <c r="F351" s="264"/>
      <c r="G351" s="264"/>
      <c r="H351" s="264"/>
      <c r="I351" s="264"/>
      <c r="J351" s="264"/>
      <c r="K351" s="264"/>
      <c r="L351" s="264"/>
      <c r="M351" s="264"/>
      <c r="N351" s="264"/>
      <c r="O351" s="264"/>
      <c r="P351" s="264"/>
      <c r="Q351" s="264"/>
      <c r="T351" s="264"/>
      <c r="U351" s="264"/>
    </row>
    <row r="352" spans="3:21" s="263" customFormat="1">
      <c r="C352" s="264"/>
      <c r="D352" s="264"/>
      <c r="E352" s="264"/>
      <c r="F352" s="264"/>
      <c r="G352" s="264"/>
      <c r="H352" s="264"/>
      <c r="I352" s="264"/>
      <c r="J352" s="264"/>
      <c r="K352" s="264"/>
      <c r="L352" s="264"/>
      <c r="M352" s="264"/>
      <c r="N352" s="264"/>
      <c r="O352" s="264"/>
      <c r="P352" s="264"/>
      <c r="Q352" s="264"/>
      <c r="T352" s="264"/>
      <c r="U352" s="264"/>
    </row>
    <row r="353" spans="3:21" s="263" customFormat="1">
      <c r="C353" s="264"/>
      <c r="D353" s="264"/>
      <c r="E353" s="264"/>
      <c r="F353" s="264"/>
      <c r="G353" s="264"/>
      <c r="H353" s="264"/>
      <c r="I353" s="264"/>
      <c r="J353" s="264"/>
      <c r="K353" s="264"/>
      <c r="L353" s="264"/>
      <c r="M353" s="264"/>
      <c r="N353" s="264"/>
      <c r="O353" s="264"/>
      <c r="P353" s="264"/>
      <c r="Q353" s="264"/>
      <c r="T353" s="264"/>
      <c r="U353" s="264"/>
    </row>
    <row r="354" spans="3:21" s="263" customFormat="1">
      <c r="C354" s="264"/>
      <c r="D354" s="264"/>
      <c r="E354" s="264"/>
      <c r="F354" s="264"/>
      <c r="G354" s="264"/>
      <c r="H354" s="264"/>
      <c r="I354" s="264"/>
      <c r="J354" s="264"/>
      <c r="K354" s="264"/>
      <c r="L354" s="264"/>
      <c r="M354" s="264"/>
      <c r="N354" s="264"/>
      <c r="O354" s="264"/>
      <c r="P354" s="264"/>
      <c r="Q354" s="264"/>
      <c r="T354" s="264"/>
      <c r="U354" s="264"/>
    </row>
    <row r="355" spans="3:21" s="263" customFormat="1">
      <c r="C355" s="264"/>
      <c r="D355" s="264"/>
      <c r="E355" s="264"/>
      <c r="F355" s="264"/>
      <c r="G355" s="264"/>
      <c r="H355" s="264"/>
      <c r="I355" s="264"/>
      <c r="J355" s="264"/>
      <c r="K355" s="264"/>
      <c r="L355" s="264"/>
      <c r="M355" s="264"/>
      <c r="N355" s="264"/>
      <c r="O355" s="264"/>
      <c r="P355" s="264"/>
      <c r="Q355" s="264"/>
      <c r="T355" s="264"/>
      <c r="U355" s="264"/>
    </row>
    <row r="356" spans="3:21" s="263" customFormat="1">
      <c r="C356" s="264"/>
      <c r="D356" s="264"/>
      <c r="E356" s="264"/>
      <c r="F356" s="264"/>
      <c r="G356" s="264"/>
      <c r="H356" s="264"/>
      <c r="I356" s="264"/>
      <c r="J356" s="264"/>
      <c r="K356" s="264"/>
      <c r="L356" s="264"/>
      <c r="M356" s="264"/>
      <c r="N356" s="264"/>
      <c r="O356" s="264"/>
      <c r="P356" s="264"/>
      <c r="Q356" s="264"/>
      <c r="T356" s="264"/>
      <c r="U356" s="264"/>
    </row>
    <row r="357" spans="3:21" s="263" customFormat="1">
      <c r="C357" s="264"/>
      <c r="D357" s="264"/>
      <c r="E357" s="264"/>
      <c r="F357" s="264"/>
      <c r="G357" s="264"/>
      <c r="H357" s="264"/>
      <c r="I357" s="264"/>
      <c r="J357" s="264"/>
      <c r="K357" s="264"/>
      <c r="L357" s="264"/>
      <c r="M357" s="264"/>
      <c r="N357" s="264"/>
      <c r="O357" s="264"/>
      <c r="P357" s="264"/>
      <c r="Q357" s="264"/>
      <c r="T357" s="264"/>
      <c r="U357" s="264"/>
    </row>
    <row r="358" spans="3:21" s="263" customFormat="1">
      <c r="C358" s="264"/>
      <c r="D358" s="264"/>
      <c r="E358" s="264"/>
      <c r="F358" s="264"/>
      <c r="G358" s="264"/>
      <c r="H358" s="264"/>
      <c r="I358" s="264"/>
      <c r="J358" s="264"/>
      <c r="K358" s="264"/>
      <c r="L358" s="264"/>
      <c r="M358" s="264"/>
      <c r="N358" s="264"/>
      <c r="O358" s="264"/>
      <c r="P358" s="264"/>
      <c r="Q358" s="264"/>
      <c r="T358" s="264"/>
      <c r="U358" s="264"/>
    </row>
    <row r="359" spans="3:21" s="263" customFormat="1">
      <c r="C359" s="264"/>
      <c r="D359" s="264"/>
      <c r="E359" s="264"/>
      <c r="F359" s="264"/>
      <c r="G359" s="264"/>
      <c r="H359" s="264"/>
      <c r="I359" s="264"/>
      <c r="J359" s="264"/>
      <c r="K359" s="264"/>
      <c r="L359" s="264"/>
      <c r="M359" s="264"/>
      <c r="N359" s="264"/>
      <c r="O359" s="264"/>
      <c r="P359" s="264"/>
      <c r="Q359" s="264"/>
      <c r="T359" s="264"/>
      <c r="U359" s="264"/>
    </row>
    <row r="360" spans="3:21" s="263" customFormat="1">
      <c r="C360" s="264"/>
      <c r="D360" s="264"/>
      <c r="E360" s="264"/>
      <c r="F360" s="264"/>
      <c r="G360" s="264"/>
      <c r="H360" s="264"/>
      <c r="I360" s="264"/>
      <c r="J360" s="264"/>
      <c r="K360" s="264"/>
      <c r="L360" s="264"/>
      <c r="M360" s="264"/>
      <c r="N360" s="264"/>
      <c r="O360" s="264"/>
      <c r="P360" s="264"/>
      <c r="Q360" s="264"/>
      <c r="T360" s="264"/>
      <c r="U360" s="264"/>
    </row>
    <row r="361" spans="3:21" s="263" customFormat="1">
      <c r="C361" s="264"/>
      <c r="D361" s="264"/>
      <c r="E361" s="264"/>
      <c r="F361" s="264"/>
      <c r="G361" s="264"/>
      <c r="H361" s="264"/>
      <c r="I361" s="264"/>
      <c r="J361" s="264"/>
      <c r="K361" s="264"/>
      <c r="L361" s="264"/>
      <c r="M361" s="264"/>
      <c r="N361" s="264"/>
      <c r="O361" s="264"/>
      <c r="P361" s="264"/>
      <c r="Q361" s="264"/>
      <c r="T361" s="264"/>
      <c r="U361" s="264"/>
    </row>
    <row r="362" spans="3:21" s="263" customFormat="1" ht="409.6">
      <c r="C362" s="264"/>
      <c r="D362" s="264"/>
      <c r="E362" s="264"/>
      <c r="F362" s="264"/>
      <c r="G362" s="264"/>
      <c r="H362" s="264"/>
      <c r="I362" s="264"/>
      <c r="J362" s="264"/>
      <c r="K362" s="264"/>
      <c r="L362" s="264"/>
      <c r="M362" s="264"/>
      <c r="N362" s="264"/>
      <c r="O362" s="264"/>
      <c r="P362" s="264"/>
      <c r="Q362" s="264"/>
      <c r="T362" s="264"/>
      <c r="U362" s="264"/>
    </row>
    <row r="363" spans="3:21" s="263" customFormat="1" ht="409.6">
      <c r="C363" s="264"/>
      <c r="D363" s="264"/>
      <c r="E363" s="264"/>
      <c r="F363" s="264"/>
      <c r="G363" s="264"/>
      <c r="H363" s="264"/>
      <c r="I363" s="264"/>
      <c r="J363" s="264"/>
      <c r="K363" s="264"/>
      <c r="L363" s="264"/>
      <c r="M363" s="264"/>
      <c r="N363" s="264"/>
      <c r="O363" s="264"/>
      <c r="P363" s="264"/>
      <c r="Q363" s="264"/>
      <c r="T363" s="264"/>
      <c r="U363" s="264"/>
    </row>
    <row r="364" spans="3:21" s="263" customFormat="1">
      <c r="C364" s="264"/>
      <c r="D364" s="264"/>
      <c r="E364" s="264"/>
      <c r="F364" s="264"/>
      <c r="G364" s="264"/>
      <c r="H364" s="264"/>
      <c r="I364" s="264"/>
      <c r="J364" s="264"/>
      <c r="K364" s="264"/>
      <c r="L364" s="264"/>
      <c r="M364" s="264"/>
      <c r="N364" s="264"/>
      <c r="O364" s="264"/>
      <c r="P364" s="264"/>
      <c r="Q364" s="264"/>
      <c r="T364" s="264"/>
      <c r="U364" s="264"/>
    </row>
  </sheetData>
  <conditionalFormatting sqref="C168:N169 C147:N147 C161:N161 C17:N17 C24:N24 C31:N31 C45:N45 C52:N52 C59:N59 C66:N66 C73:N73 C80:N80 C87:N87 C94:N94 C101:N101 C108:N108 C115:N115 C122:N122 C129:N129 C140:N140 C38:N38 C183:N183 C190:N190 C176:N176">
    <cfRule type="cellIs" dxfId="294" priority="6" stopIfTrue="1" operator="equal">
      <formula>"ERROR"</formula>
    </cfRule>
  </conditionalFormatting>
  <conditionalFormatting sqref="C182:N182">
    <cfRule type="cellIs" dxfId="293" priority="5" stopIfTrue="1" operator="equal">
      <formula>"ERROR"</formula>
    </cfRule>
  </conditionalFormatting>
  <conditionalFormatting sqref="C189:N189">
    <cfRule type="cellIs" dxfId="292" priority="4" stopIfTrue="1" operator="equal">
      <formula>"ERROR"</formula>
    </cfRule>
  </conditionalFormatting>
  <conditionalFormatting sqref="C196:N196">
    <cfRule type="cellIs" dxfId="291" priority="3" stopIfTrue="1" operator="equal">
      <formula>"ERROR"</formula>
    </cfRule>
  </conditionalFormatting>
  <conditionalFormatting sqref="C175:N175">
    <cfRule type="cellIs" dxfId="290" priority="2" stopIfTrue="1" operator="equal">
      <formula>"ERROR"</formula>
    </cfRule>
  </conditionalFormatting>
  <conditionalFormatting sqref="C154:N154">
    <cfRule type="cellIs" dxfId="289" priority="1" stopIfTrue="1" operator="equal">
      <formula>"ERROR"</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1" tint="4.9989318521683403E-2"/>
  </sheetPr>
  <dimension ref="A1:S222"/>
  <sheetViews>
    <sheetView showGridLines="0" zoomScale="75" zoomScaleNormal="75" workbookViewId="0">
      <pane xSplit="1" topLeftCell="B1" activePane="topRight" state="frozen"/>
      <selection activeCell="B3" sqref="A1:XFD3"/>
      <selection pane="topRight" activeCell="A2" sqref="A1:A2"/>
    </sheetView>
  </sheetViews>
  <sheetFormatPr defaultColWidth="9.109375" defaultRowHeight="13.2"/>
  <cols>
    <col min="1" max="1" width="22.44140625" style="154" customWidth="1"/>
    <col min="2" max="4" width="14.33203125" style="155" bestFit="1" customWidth="1"/>
    <col min="5" max="5" width="13.5546875" style="155" bestFit="1" customWidth="1"/>
    <col min="6" max="10" width="14.33203125" style="155" bestFit="1" customWidth="1"/>
    <col min="11" max="11" width="14.5546875" style="155" bestFit="1" customWidth="1"/>
    <col min="12" max="13" width="14.33203125" style="155" bestFit="1" customWidth="1"/>
    <col min="14" max="14" width="15.88671875" style="155" bestFit="1" customWidth="1"/>
    <col min="15" max="15" width="14.33203125" style="154" bestFit="1" customWidth="1"/>
    <col min="16" max="16" width="11.44140625" style="154" bestFit="1" customWidth="1"/>
    <col min="17" max="17" width="1.6640625" style="154" customWidth="1"/>
    <col min="18" max="18" width="14.33203125" style="154" hidden="1" customWidth="1"/>
    <col min="19" max="19" width="9.6640625" style="154" hidden="1" customWidth="1"/>
    <col min="20" max="16384" width="9.109375" style="154"/>
  </cols>
  <sheetData>
    <row r="1" spans="1:19" s="164" customFormat="1">
      <c r="A1" s="158" t="s">
        <v>1274</v>
      </c>
      <c r="C1" s="158"/>
      <c r="D1" s="158"/>
      <c r="E1" s="158"/>
      <c r="F1" s="158"/>
      <c r="G1" s="158"/>
      <c r="H1" s="158"/>
      <c r="I1" s="158"/>
      <c r="J1" s="158"/>
      <c r="K1" s="158"/>
      <c r="L1" s="158"/>
      <c r="M1" s="158"/>
      <c r="N1" s="158"/>
    </row>
    <row r="2" spans="1:19" s="164" customFormat="1">
      <c r="A2" s="158" t="s">
        <v>1267</v>
      </c>
      <c r="C2" s="158"/>
      <c r="D2" s="158"/>
      <c r="E2" s="158"/>
      <c r="F2" s="158"/>
      <c r="G2" s="158"/>
      <c r="H2" s="158"/>
      <c r="I2" s="158"/>
      <c r="J2" s="158"/>
      <c r="K2" s="158"/>
      <c r="L2" s="158"/>
      <c r="M2" s="158"/>
      <c r="N2" s="158"/>
    </row>
    <row r="3" spans="1:19" s="164" customFormat="1">
      <c r="B3" s="158"/>
      <c r="C3" s="158"/>
      <c r="D3" s="158"/>
      <c r="E3" s="158"/>
      <c r="F3" s="158"/>
      <c r="G3" s="158"/>
      <c r="H3" s="158"/>
      <c r="I3" s="158"/>
      <c r="J3" s="158"/>
      <c r="K3" s="158"/>
      <c r="L3" s="158"/>
      <c r="M3" s="158"/>
      <c r="N3" s="158"/>
    </row>
    <row r="4" spans="1:19" s="172" customFormat="1" ht="21">
      <c r="A4" s="124" t="s">
        <v>530</v>
      </c>
      <c r="B4" s="165"/>
      <c r="C4" s="165"/>
      <c r="D4" s="165"/>
      <c r="E4" s="165"/>
      <c r="F4" s="165"/>
      <c r="G4" s="165"/>
      <c r="H4" s="165"/>
      <c r="I4" s="165"/>
      <c r="J4" s="165"/>
      <c r="K4" s="165"/>
      <c r="L4" s="165"/>
      <c r="M4" s="165"/>
      <c r="N4" s="165"/>
      <c r="O4" s="165"/>
    </row>
    <row r="5" spans="1:19" s="172" customFormat="1" ht="21">
      <c r="A5" s="124" t="str">
        <f>MANUAL!$B$9&amp;" - PRIOR YEAR"</f>
        <v>2016 - PRIOR YEAR</v>
      </c>
      <c r="B5" s="165"/>
      <c r="C5" s="165"/>
      <c r="D5" s="165"/>
      <c r="E5" s="165"/>
      <c r="F5" s="165"/>
      <c r="G5" s="165"/>
      <c r="H5" s="165"/>
      <c r="I5" s="165"/>
      <c r="J5" s="165"/>
      <c r="K5" s="165"/>
      <c r="L5" s="165"/>
      <c r="M5" s="165"/>
      <c r="N5" s="165"/>
      <c r="O5" s="165"/>
    </row>
    <row r="6" spans="1:19" s="172" customFormat="1" ht="21.6" thickBot="1">
      <c r="A6" s="124"/>
      <c r="B6" s="165"/>
      <c r="C6" s="165"/>
      <c r="D6" s="165"/>
      <c r="E6" s="165"/>
      <c r="F6" s="165"/>
      <c r="G6" s="165"/>
      <c r="H6" s="165"/>
      <c r="I6" s="165"/>
      <c r="J6" s="165"/>
      <c r="K6" s="165"/>
      <c r="L6" s="165"/>
      <c r="M6" s="165"/>
      <c r="N6" s="165"/>
      <c r="O6" s="165"/>
    </row>
    <row r="7" spans="1:19" s="164" customFormat="1" ht="13.8" thickBot="1">
      <c r="A7" s="168"/>
      <c r="B7" s="572" t="s">
        <v>339</v>
      </c>
      <c r="C7" s="573"/>
      <c r="D7" s="574"/>
      <c r="E7" s="575" t="s">
        <v>340</v>
      </c>
      <c r="F7" s="576"/>
      <c r="G7" s="576"/>
      <c r="H7" s="576"/>
      <c r="I7" s="576"/>
      <c r="J7" s="576"/>
      <c r="K7" s="577"/>
      <c r="L7" s="572" t="s">
        <v>339</v>
      </c>
      <c r="M7" s="574"/>
      <c r="N7" s="166"/>
    </row>
    <row r="8" spans="1:19" s="165" customFormat="1" ht="13.8" thickBot="1">
      <c r="A8" s="171" t="s">
        <v>454</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496</v>
      </c>
      <c r="P8" s="169" t="s">
        <v>455</v>
      </c>
      <c r="R8" s="580" t="s">
        <v>495</v>
      </c>
      <c r="S8" s="581"/>
    </row>
    <row r="9" spans="1:19" s="164" customFormat="1">
      <c r="A9" s="168"/>
      <c r="B9" s="167"/>
      <c r="C9" s="167"/>
      <c r="D9" s="167"/>
      <c r="E9" s="167"/>
      <c r="F9" s="167"/>
      <c r="G9" s="167"/>
      <c r="H9" s="167"/>
      <c r="I9" s="167"/>
      <c r="J9" s="167"/>
      <c r="K9" s="167"/>
      <c r="L9" s="167"/>
      <c r="M9" s="167"/>
      <c r="N9" s="166"/>
      <c r="O9" s="165"/>
    </row>
    <row r="10" spans="1:19" s="164" customFormat="1">
      <c r="A10" s="168"/>
      <c r="B10" s="167"/>
      <c r="C10" s="167"/>
      <c r="D10" s="167"/>
      <c r="E10" s="167"/>
      <c r="F10" s="167"/>
      <c r="G10" s="167"/>
      <c r="H10" s="167"/>
      <c r="I10" s="167"/>
      <c r="J10" s="167"/>
      <c r="K10" s="167"/>
      <c r="L10" s="167"/>
      <c r="M10" s="167"/>
      <c r="N10" s="166"/>
      <c r="O10" s="165"/>
    </row>
    <row r="11" spans="1:19" s="81" customFormat="1">
      <c r="A11" s="42" t="s">
        <v>83</v>
      </c>
    </row>
    <row r="12" spans="1:19">
      <c r="A12" s="163" t="s">
        <v>98</v>
      </c>
      <c r="B12" s="162">
        <f>+'CILC-1D'!C$58</f>
        <v>320980.38428535068</v>
      </c>
      <c r="C12" s="162">
        <f>+'CILC-1D'!D$58</f>
        <v>345060.57986160798</v>
      </c>
      <c r="D12" s="162">
        <f>+'CILC-1D'!E$58</f>
        <v>295033.33275182598</v>
      </c>
      <c r="E12" s="162">
        <f>+'CILC-1D'!F$58</f>
        <v>329604.049037683</v>
      </c>
      <c r="F12" s="162">
        <f>+'CILC-1D'!G$58</f>
        <v>323687.73703776515</v>
      </c>
      <c r="G12" s="162">
        <f>+'CILC-1D'!H$58</f>
        <v>353389.48371124017</v>
      </c>
      <c r="H12" s="162">
        <f>+'CILC-1D'!I$58</f>
        <v>343995.16619941941</v>
      </c>
      <c r="I12" s="162">
        <f>+'CILC-1D'!J$58</f>
        <v>343532.20591553033</v>
      </c>
      <c r="J12" s="162">
        <f>+'CILC-1D'!K$58</f>
        <v>348134.7690042567</v>
      </c>
      <c r="K12" s="162">
        <f>+'CILC-1D'!L$58</f>
        <v>335174.91613651288</v>
      </c>
      <c r="L12" s="162">
        <f>+'CILC-1D'!M$58</f>
        <v>343870.66551603214</v>
      </c>
      <c r="M12" s="162">
        <f>+'CILC-1D'!N$58</f>
        <v>333234.33941645263</v>
      </c>
      <c r="N12" s="162">
        <f t="shared" ref="N12:N28" si="0">SUM(B12:M12)</f>
        <v>4015697.628873677</v>
      </c>
      <c r="O12" s="158">
        <f>+N12/12</f>
        <v>334641.46907280642</v>
      </c>
      <c r="P12" s="159">
        <f t="shared" ref="P12:P28" si="1">+O12/$O$45</f>
        <v>1.7684298174321777E-2</v>
      </c>
      <c r="R12" s="197">
        <v>383366.70566149958</v>
      </c>
      <c r="S12" s="198">
        <f t="shared" ref="S12:S28" si="2">+R12/$R$45</f>
        <v>2.4223394174847989E-2</v>
      </c>
    </row>
    <row r="13" spans="1:19">
      <c r="A13" s="163" t="s">
        <v>99</v>
      </c>
      <c r="B13" s="162">
        <f>+'CILC-1G'!C$58</f>
        <v>12494.963979292857</v>
      </c>
      <c r="C13" s="162">
        <f>+'CILC-1G'!D$58</f>
        <v>13450.377764121278</v>
      </c>
      <c r="D13" s="162">
        <f>+'CILC-1G'!E$58</f>
        <v>11588.171856161547</v>
      </c>
      <c r="E13" s="162">
        <f>+'CILC-1G'!F$58</f>
        <v>12659.003021166202</v>
      </c>
      <c r="F13" s="162">
        <f>+'CILC-1G'!G$58</f>
        <v>12770.85510919978</v>
      </c>
      <c r="G13" s="162">
        <f>+'CILC-1G'!H$58</f>
        <v>13626.42045942971</v>
      </c>
      <c r="H13" s="162">
        <f>+'CILC-1G'!I$58</f>
        <v>13284.377539434547</v>
      </c>
      <c r="I13" s="162">
        <f>+'CILC-1G'!J$58</f>
        <v>13293.879132234091</v>
      </c>
      <c r="J13" s="162">
        <f>+'CILC-1G'!K$58</f>
        <v>13485.637979706818</v>
      </c>
      <c r="K13" s="162">
        <f>+'CILC-1G'!L$58</f>
        <v>13114.683509869245</v>
      </c>
      <c r="L13" s="162">
        <f>+'CILC-1G'!M$58</f>
        <v>12995.801509544199</v>
      </c>
      <c r="M13" s="162">
        <f>+'CILC-1G'!N$58</f>
        <v>12736.626121209452</v>
      </c>
      <c r="N13" s="162">
        <f t="shared" si="0"/>
        <v>155500.79798136972</v>
      </c>
      <c r="O13" s="158">
        <f t="shared" ref="O13:O28" si="3">+N13/12</f>
        <v>12958.399831780809</v>
      </c>
      <c r="P13" s="159">
        <f t="shared" si="1"/>
        <v>6.8479321203743476E-4</v>
      </c>
      <c r="R13" s="197">
        <v>25426.874615229714</v>
      </c>
      <c r="S13" s="198">
        <f t="shared" si="2"/>
        <v>1.6066215384467626E-3</v>
      </c>
    </row>
    <row r="14" spans="1:19">
      <c r="A14" s="163" t="s">
        <v>50</v>
      </c>
      <c r="B14" s="162">
        <f>+'CILC-1T'!C$58</f>
        <v>160082.29848813682</v>
      </c>
      <c r="C14" s="162">
        <f>+'CILC-1T'!D$58</f>
        <v>178045.84102476717</v>
      </c>
      <c r="D14" s="162">
        <f>+'CILC-1T'!E$58</f>
        <v>170038.20964516478</v>
      </c>
      <c r="E14" s="162">
        <f>+'CILC-1T'!F$58</f>
        <v>168527.91903261127</v>
      </c>
      <c r="F14" s="162">
        <f>+'CILC-1T'!G$58</f>
        <v>175303.40579056696</v>
      </c>
      <c r="G14" s="162">
        <f>+'CILC-1T'!H$58</f>
        <v>179024.53876155007</v>
      </c>
      <c r="H14" s="162">
        <f>+'CILC-1T'!I$58</f>
        <v>175789.04193440522</v>
      </c>
      <c r="I14" s="162">
        <f>+'CILC-1T'!J$58</f>
        <v>173451.85048336379</v>
      </c>
      <c r="J14" s="162">
        <f>+'CILC-1T'!K$58</f>
        <v>178879.80893964294</v>
      </c>
      <c r="K14" s="162">
        <f>+'CILC-1T'!L$58</f>
        <v>174052.57282544338</v>
      </c>
      <c r="L14" s="162">
        <f>+'CILC-1T'!M$58</f>
        <v>192285.92848512228</v>
      </c>
      <c r="M14" s="162">
        <f>+'CILC-1T'!N$58</f>
        <v>184680.40412308136</v>
      </c>
      <c r="N14" s="162">
        <f t="shared" si="0"/>
        <v>2110161.8195338561</v>
      </c>
      <c r="O14" s="158">
        <f t="shared" si="3"/>
        <v>175846.81829448801</v>
      </c>
      <c r="P14" s="159">
        <f t="shared" si="1"/>
        <v>9.2927143080672372E-3</v>
      </c>
      <c r="R14" s="197">
        <v>184379.99522846192</v>
      </c>
      <c r="S14" s="198">
        <f t="shared" si="2"/>
        <v>1.1650227409991184E-2</v>
      </c>
    </row>
    <row r="15" spans="1:19">
      <c r="A15" s="163" t="s">
        <v>49</v>
      </c>
      <c r="B15" s="162">
        <f>+'GS(T)-1'!C$59</f>
        <v>628241.20993750053</v>
      </c>
      <c r="C15" s="162">
        <f>+'GS(T)-1'!D$59</f>
        <v>990250.10013783665</v>
      </c>
      <c r="D15" s="162">
        <f>+'GS(T)-1'!E$59</f>
        <v>603909.17352259695</v>
      </c>
      <c r="E15" s="162">
        <f>+'GS(T)-1'!F$59</f>
        <v>964753.60653135309</v>
      </c>
      <c r="F15" s="162">
        <f>+'GS(T)-1'!G$59</f>
        <v>1043863.3948092745</v>
      </c>
      <c r="G15" s="162">
        <f>+'GS(T)-1'!H$59</f>
        <v>1221618.8152911121</v>
      </c>
      <c r="H15" s="162">
        <f>+'GS(T)-1'!I$59</f>
        <v>1200672.0970909919</v>
      </c>
      <c r="I15" s="162">
        <f>+'GS(T)-1'!J$59</f>
        <v>1185731.9519249836</v>
      </c>
      <c r="J15" s="162">
        <f>+'GS(T)-1'!K$59</f>
        <v>1140787.9546395477</v>
      </c>
      <c r="K15" s="162">
        <f>+'GS(T)-1'!L$59</f>
        <v>1082279.007193828</v>
      </c>
      <c r="L15" s="162">
        <f>+'GS(T)-1'!M$59</f>
        <v>1024269.0828097948</v>
      </c>
      <c r="M15" s="162">
        <f>+'GS(T)-1'!N$59</f>
        <v>872211.05005638604</v>
      </c>
      <c r="N15" s="162">
        <f t="shared" si="0"/>
        <v>11958587.443945207</v>
      </c>
      <c r="O15" s="158">
        <f t="shared" si="3"/>
        <v>996548.9536621006</v>
      </c>
      <c r="P15" s="159">
        <f t="shared" si="1"/>
        <v>5.266313493870884E-2</v>
      </c>
      <c r="R15" s="197">
        <v>1023631.9017974692</v>
      </c>
      <c r="S15" s="198">
        <f t="shared" si="2"/>
        <v>6.4679166659515064E-2</v>
      </c>
    </row>
    <row r="16" spans="1:19">
      <c r="A16" s="163" t="s">
        <v>325</v>
      </c>
      <c r="B16" s="162">
        <f>+'GSCU-1'!C$59</f>
        <v>7550.8891380471696</v>
      </c>
      <c r="C16" s="162">
        <f>+'GSCU-1'!D$59</f>
        <v>8408.6700745323087</v>
      </c>
      <c r="D16" s="162">
        <f>+'GSCU-1'!E$59</f>
        <v>7753.9184746811898</v>
      </c>
      <c r="E16" s="162">
        <f>+'GSCU-1'!F$59</f>
        <v>7794.5478376615974</v>
      </c>
      <c r="F16" s="162">
        <f>+'GSCU-1'!G$59</f>
        <v>7792.899194620536</v>
      </c>
      <c r="G16" s="162">
        <f>+'GSCU-1'!H$59</f>
        <v>8054.9284736831551</v>
      </c>
      <c r="H16" s="162">
        <f>+'GSCU-1'!I$59</f>
        <v>7800.1488065510202</v>
      </c>
      <c r="I16" s="162">
        <f>+'GSCU-1'!J$59</f>
        <v>7814.5357680019397</v>
      </c>
      <c r="J16" s="162">
        <f>+'GSCU-1'!K$59</f>
        <v>8093.1674104041122</v>
      </c>
      <c r="K16" s="162">
        <f>+'GSCU-1'!L$59</f>
        <v>7835.1601244860221</v>
      </c>
      <c r="L16" s="162">
        <f>+'GSCU-1'!M$59</f>
        <v>8144.5888329055688</v>
      </c>
      <c r="M16" s="162">
        <f>+'GSCU-1'!N$59</f>
        <v>7857.8631431430522</v>
      </c>
      <c r="N16" s="162">
        <f t="shared" si="0"/>
        <v>94901.317278717674</v>
      </c>
      <c r="O16" s="158">
        <f t="shared" si="3"/>
        <v>7908.4431065598064</v>
      </c>
      <c r="P16" s="159">
        <f t="shared" si="1"/>
        <v>4.1792568738883816E-4</v>
      </c>
      <c r="R16" s="197">
        <v>3600.8727036524633</v>
      </c>
      <c r="S16" s="198">
        <f t="shared" si="2"/>
        <v>2.2752460656049091E-4</v>
      </c>
    </row>
    <row r="17" spans="1:19">
      <c r="A17" s="163" t="s">
        <v>67</v>
      </c>
      <c r="B17" s="162">
        <f>+'GSD(T)-1'!C$59</f>
        <v>3062624.7470181189</v>
      </c>
      <c r="C17" s="162">
        <f>+'GSD(T)-1'!D$59</f>
        <v>3803578.9320904193</v>
      </c>
      <c r="D17" s="162">
        <f>+'GSD(T)-1'!E$59</f>
        <v>2934731.5679975082</v>
      </c>
      <c r="E17" s="162">
        <f>+'GSD(T)-1'!F$59</f>
        <v>3679829.4180805432</v>
      </c>
      <c r="F17" s="162">
        <f>+'GSD(T)-1'!G$59</f>
        <v>3927356.846821296</v>
      </c>
      <c r="G17" s="162">
        <f>+'GSD(T)-1'!H$59</f>
        <v>4314790.8732021106</v>
      </c>
      <c r="H17" s="162">
        <f>+'GSD(T)-1'!I$59</f>
        <v>4309559.8808891671</v>
      </c>
      <c r="I17" s="162">
        <f>+'GSD(T)-1'!J$59</f>
        <v>4178111.9564455296</v>
      </c>
      <c r="J17" s="162">
        <f>+'GSD(T)-1'!K$59</f>
        <v>4264720.2159055369</v>
      </c>
      <c r="K17" s="162">
        <f>+'GSD(T)-1'!L$59</f>
        <v>4126240.5184608349</v>
      </c>
      <c r="L17" s="162">
        <f>+'GSD(T)-1'!M$59</f>
        <v>4028591.6203315449</v>
      </c>
      <c r="M17" s="162">
        <f>+'GSD(T)-1'!N$59</f>
        <v>3626441.5712043801</v>
      </c>
      <c r="N17" s="162">
        <f t="shared" si="0"/>
        <v>46256578.148446992</v>
      </c>
      <c r="O17" s="158">
        <f t="shared" si="3"/>
        <v>3854714.8457039162</v>
      </c>
      <c r="P17" s="159">
        <f t="shared" si="1"/>
        <v>0.20370436125948824</v>
      </c>
      <c r="R17" s="197">
        <v>3506652.6027068556</v>
      </c>
      <c r="S17" s="198">
        <f t="shared" si="2"/>
        <v>0.2215712188231253</v>
      </c>
    </row>
    <row r="18" spans="1:19">
      <c r="A18" s="163" t="s">
        <v>68</v>
      </c>
      <c r="B18" s="162">
        <f>+'GSLD(T)-1'!C$58</f>
        <v>1319736.7533335742</v>
      </c>
      <c r="C18" s="162">
        <f>+'GSLD(T)-1'!D$58</f>
        <v>1618717.8287113006</v>
      </c>
      <c r="D18" s="162">
        <f>+'GSLD(T)-1'!E$58</f>
        <v>1264104.8663836792</v>
      </c>
      <c r="E18" s="162">
        <f>+'GSLD(T)-1'!F$58</f>
        <v>1505867.4886729794</v>
      </c>
      <c r="F18" s="162">
        <f>+'GSLD(T)-1'!G$58</f>
        <v>1569393.4191626958</v>
      </c>
      <c r="G18" s="162">
        <f>+'GSLD(T)-1'!H$58</f>
        <v>1723536.1556828057</v>
      </c>
      <c r="H18" s="162">
        <f>+'GSLD(T)-1'!I$58</f>
        <v>1637033.9823776055</v>
      </c>
      <c r="I18" s="162">
        <f>+'GSLD(T)-1'!J$58</f>
        <v>1637584.5546981171</v>
      </c>
      <c r="J18" s="162">
        <f>+'GSLD(T)-1'!K$58</f>
        <v>1612977.3905032882</v>
      </c>
      <c r="K18" s="162">
        <f>+'GSLD(T)-1'!L$58</f>
        <v>1697003.3241244138</v>
      </c>
      <c r="L18" s="162">
        <f>+'GSLD(T)-1'!M$58</f>
        <v>1620052.086277643</v>
      </c>
      <c r="M18" s="162">
        <f>+'GSLD(T)-1'!N$58</f>
        <v>1471441.591356216</v>
      </c>
      <c r="N18" s="162">
        <f t="shared" si="0"/>
        <v>18677449.441284321</v>
      </c>
      <c r="O18" s="158">
        <f t="shared" si="3"/>
        <v>1556454.1201070268</v>
      </c>
      <c r="P18" s="159">
        <f t="shared" si="1"/>
        <v>8.225160746182314E-2</v>
      </c>
      <c r="R18" s="197">
        <v>802498.47753117012</v>
      </c>
      <c r="S18" s="198">
        <f t="shared" si="2"/>
        <v>5.0706638471409528E-2</v>
      </c>
    </row>
    <row r="19" spans="1:19">
      <c r="A19" s="163" t="s">
        <v>69</v>
      </c>
      <c r="B19" s="162">
        <f>+'GSLD(T)-2'!C$58</f>
        <v>274233.81255131058</v>
      </c>
      <c r="C19" s="162">
        <f>+'GSLD(T)-2'!D$58</f>
        <v>324585.25838294998</v>
      </c>
      <c r="D19" s="162">
        <f>+'GSLD(T)-2'!E$58</f>
        <v>272616.02696433489</v>
      </c>
      <c r="E19" s="162">
        <f>+'GSLD(T)-2'!F$58</f>
        <v>292754.72281176876</v>
      </c>
      <c r="F19" s="162">
        <f>+'GSLD(T)-2'!G$58</f>
        <v>301135.56367963692</v>
      </c>
      <c r="G19" s="162">
        <f>+'GSLD(T)-2'!H$58</f>
        <v>316514.04634749366</v>
      </c>
      <c r="H19" s="162">
        <f>+'GSLD(T)-2'!I$58</f>
        <v>320156.65870253264</v>
      </c>
      <c r="I19" s="162">
        <f>+'GSLD(T)-2'!J$58</f>
        <v>314295.6666411031</v>
      </c>
      <c r="J19" s="162">
        <f>+'GSLD(T)-2'!K$58</f>
        <v>323165.94974180602</v>
      </c>
      <c r="K19" s="162">
        <f>+'GSLD(T)-2'!L$58</f>
        <v>320163.01994051121</v>
      </c>
      <c r="L19" s="162">
        <f>+'GSLD(T)-2'!M$58</f>
        <v>337913.93604631949</v>
      </c>
      <c r="M19" s="162">
        <f>+'GSLD(T)-2'!N$58</f>
        <v>321396.71133426781</v>
      </c>
      <c r="N19" s="162">
        <f t="shared" si="0"/>
        <v>3718931.3731440352</v>
      </c>
      <c r="O19" s="158">
        <f t="shared" si="3"/>
        <v>309910.94776200294</v>
      </c>
      <c r="P19" s="159">
        <f t="shared" si="1"/>
        <v>1.6377401231517846E-2</v>
      </c>
      <c r="R19" s="197">
        <v>112897.1252285207</v>
      </c>
      <c r="S19" s="198">
        <f t="shared" si="2"/>
        <v>7.133513487820535E-3</v>
      </c>
    </row>
    <row r="20" spans="1:19">
      <c r="A20" s="163" t="s">
        <v>52</v>
      </c>
      <c r="B20" s="162">
        <f>+'GSLD(T)-3'!C$58</f>
        <v>20193.152378748488</v>
      </c>
      <c r="C20" s="162">
        <f>+'GSLD(T)-3'!D$58</f>
        <v>24697.326973628551</v>
      </c>
      <c r="D20" s="162">
        <f>+'GSLD(T)-3'!E$58</f>
        <v>22109.858739119602</v>
      </c>
      <c r="E20" s="162">
        <f>+'GSLD(T)-3'!F$58</f>
        <v>24502.24403637262</v>
      </c>
      <c r="F20" s="162">
        <f>+'GSLD(T)-3'!G$58</f>
        <v>22345.938381176446</v>
      </c>
      <c r="G20" s="162">
        <f>+'GSLD(T)-3'!H$58</f>
        <v>24826.542767725598</v>
      </c>
      <c r="H20" s="162">
        <f>+'GSLD(T)-3'!I$58</f>
        <v>20995.653992824406</v>
      </c>
      <c r="I20" s="162">
        <f>+'GSLD(T)-3'!J$58</f>
        <v>22962.40860328242</v>
      </c>
      <c r="J20" s="162">
        <f>+'GSLD(T)-3'!K$58</f>
        <v>18532.223476679894</v>
      </c>
      <c r="K20" s="162">
        <f>+'GSLD(T)-3'!L$58</f>
        <v>20530.038591328521</v>
      </c>
      <c r="L20" s="162">
        <f>+'GSLD(T)-3'!M$58</f>
        <v>17741.49215805337</v>
      </c>
      <c r="M20" s="162">
        <f>+'GSLD(T)-3'!N$58</f>
        <v>16492.265311727941</v>
      </c>
      <c r="N20" s="162">
        <f t="shared" si="0"/>
        <v>255929.14541066781</v>
      </c>
      <c r="O20" s="158">
        <f t="shared" si="3"/>
        <v>21327.428784222317</v>
      </c>
      <c r="P20" s="159">
        <f t="shared" si="1"/>
        <v>1.1270587920761948E-3</v>
      </c>
      <c r="R20" s="197">
        <v>30440.976058191329</v>
      </c>
      <c r="S20" s="198">
        <f t="shared" si="2"/>
        <v>1.9234423627172387E-3</v>
      </c>
    </row>
    <row r="21" spans="1:19">
      <c r="A21" s="163" t="s">
        <v>15</v>
      </c>
      <c r="B21" s="162">
        <f>+MET!C$58</f>
        <v>14388.723154720457</v>
      </c>
      <c r="C21" s="162">
        <f>+MET!D$58</f>
        <v>13321.645461124172</v>
      </c>
      <c r="D21" s="162">
        <f>+MET!E$58</f>
        <v>10861.67735901304</v>
      </c>
      <c r="E21" s="162">
        <f>+MET!F$58</f>
        <v>14285.444598567168</v>
      </c>
      <c r="F21" s="162">
        <f>+MET!G$58</f>
        <v>14918.093653055765</v>
      </c>
      <c r="G21" s="162">
        <f>+MET!H$58</f>
        <v>14546.611044550771</v>
      </c>
      <c r="H21" s="162">
        <f>+MET!I$58</f>
        <v>14869.549158852416</v>
      </c>
      <c r="I21" s="162">
        <f>+MET!J$58</f>
        <v>14859.119421923442</v>
      </c>
      <c r="J21" s="162">
        <f>+MET!K$58</f>
        <v>13911.105502983735</v>
      </c>
      <c r="K21" s="162">
        <f>+MET!L$58</f>
        <v>13673.123728817705</v>
      </c>
      <c r="L21" s="162">
        <f>+MET!M$58</f>
        <v>14138.410673590808</v>
      </c>
      <c r="M21" s="162">
        <f>+MET!N$58</f>
        <v>11928.635597490023</v>
      </c>
      <c r="N21" s="162">
        <f t="shared" si="0"/>
        <v>165702.13935468951</v>
      </c>
      <c r="O21" s="158">
        <f t="shared" si="3"/>
        <v>13808.511612890792</v>
      </c>
      <c r="P21" s="159">
        <f t="shared" si="1"/>
        <v>7.2971780031487249E-4</v>
      </c>
      <c r="R21" s="197">
        <v>15120.794118450385</v>
      </c>
      <c r="S21" s="198">
        <f t="shared" si="2"/>
        <v>9.554219256884491E-4</v>
      </c>
    </row>
    <row r="22" spans="1:19">
      <c r="A22" s="163" t="s">
        <v>56</v>
      </c>
      <c r="B22" s="162">
        <f>+'OL-1'!C$58</f>
        <v>8253.9233700871027</v>
      </c>
      <c r="C22" s="162">
        <f>+'OL-1'!D$58</f>
        <v>0</v>
      </c>
      <c r="D22" s="162">
        <f>+'OL-1'!E$58</f>
        <v>0</v>
      </c>
      <c r="E22" s="162">
        <f>+'OL-1'!F$58</f>
        <v>0</v>
      </c>
      <c r="F22" s="162">
        <f>+'OL-1'!G$58</f>
        <v>0</v>
      </c>
      <c r="G22" s="162">
        <f>+'OL-1'!H$58</f>
        <v>0</v>
      </c>
      <c r="H22" s="162">
        <f>+'OL-1'!I$58</f>
        <v>0</v>
      </c>
      <c r="I22" s="162">
        <f>+'OL-1'!J$58</f>
        <v>0</v>
      </c>
      <c r="J22" s="162">
        <f>+'OL-1'!K$58</f>
        <v>0</v>
      </c>
      <c r="K22" s="162">
        <f>+'OL-1'!L$58</f>
        <v>0</v>
      </c>
      <c r="L22" s="162">
        <f>+'OL-1'!M$58</f>
        <v>6945.839060337008</v>
      </c>
      <c r="M22" s="162">
        <f>+'OL-1'!N$58</f>
        <v>6563.9436175074434</v>
      </c>
      <c r="N22" s="162">
        <f t="shared" si="0"/>
        <v>21763.706047931555</v>
      </c>
      <c r="O22" s="158">
        <f t="shared" si="3"/>
        <v>1813.6421706609628</v>
      </c>
      <c r="P22" s="159">
        <f t="shared" si="1"/>
        <v>9.5842840447591629E-5</v>
      </c>
      <c r="R22" s="197">
        <v>5680.7861083201178</v>
      </c>
      <c r="S22" s="198">
        <f t="shared" si="2"/>
        <v>3.5894593633893255E-4</v>
      </c>
    </row>
    <row r="23" spans="1:19">
      <c r="A23" s="163" t="s">
        <v>57</v>
      </c>
      <c r="B23" s="162">
        <f>+'OS-2'!C$58</f>
        <v>2251.0518685554439</v>
      </c>
      <c r="C23" s="162">
        <f>+'OS-2'!D$58</f>
        <v>582.67610094439112</v>
      </c>
      <c r="D23" s="162">
        <f>+'OS-2'!E$58</f>
        <v>849.49044064471627</v>
      </c>
      <c r="E23" s="162">
        <f>+'OS-2'!F$58</f>
        <v>914.2576081615091</v>
      </c>
      <c r="F23" s="162">
        <f>+'OS-2'!G$58</f>
        <v>885.74579976256962</v>
      </c>
      <c r="G23" s="162">
        <f>+'OS-2'!H$58</f>
        <v>907.61520675409395</v>
      </c>
      <c r="H23" s="162">
        <f>+'OS-2'!I$58</f>
        <v>769.95894415100133</v>
      </c>
      <c r="I23" s="162">
        <f>+'OS-2'!J$58</f>
        <v>884.02191705643486</v>
      </c>
      <c r="J23" s="162">
        <f>+'OS-2'!K$58</f>
        <v>951.10314226898493</v>
      </c>
      <c r="K23" s="162">
        <f>+'OS-2'!L$58</f>
        <v>806.92459600701659</v>
      </c>
      <c r="L23" s="162">
        <f>+'OS-2'!M$58</f>
        <v>2771.5000170472513</v>
      </c>
      <c r="M23" s="162">
        <f>+'OS-2'!N$58</f>
        <v>3014.2623453771062</v>
      </c>
      <c r="N23" s="162">
        <f t="shared" si="0"/>
        <v>15588.607986730522</v>
      </c>
      <c r="O23" s="158">
        <f t="shared" si="3"/>
        <v>1299.0506655608767</v>
      </c>
      <c r="P23" s="159">
        <f t="shared" si="1"/>
        <v>6.8648991342826118E-5</v>
      </c>
      <c r="R23" s="197">
        <v>2336.6560812199496</v>
      </c>
      <c r="S23" s="198">
        <f t="shared" si="2"/>
        <v>1.4764386283566306E-4</v>
      </c>
    </row>
    <row r="24" spans="1:19">
      <c r="A24" s="163" t="s">
        <v>48</v>
      </c>
      <c r="B24" s="162">
        <f>+'RS(T)-1'!C$58</f>
        <v>11115519.906862644</v>
      </c>
      <c r="C24" s="162">
        <f>+'RS(T)-1'!D$58</f>
        <v>8455541.9522330165</v>
      </c>
      <c r="D24" s="162">
        <f>+'RS(T)-1'!E$58</f>
        <v>9116287.0397689007</v>
      </c>
      <c r="E24" s="162">
        <f>+'RS(T)-1'!F$58</f>
        <v>9489183.5426738858</v>
      </c>
      <c r="F24" s="162">
        <f>+'RS(T)-1'!G$58</f>
        <v>10326402.12540715</v>
      </c>
      <c r="G24" s="162">
        <f>+'RS(T)-1'!H$58</f>
        <v>11611957.800796388</v>
      </c>
      <c r="H24" s="162">
        <f>+'RS(T)-1'!I$58</f>
        <v>11873987.994849959</v>
      </c>
      <c r="I24" s="162">
        <f>+'RS(T)-1'!J$58</f>
        <v>11878583.198691728</v>
      </c>
      <c r="J24" s="162">
        <f>+'RS(T)-1'!K$58</f>
        <v>12374146.07628086</v>
      </c>
      <c r="K24" s="162">
        <f>+'RS(T)-1'!L$58</f>
        <v>11027096.588485794</v>
      </c>
      <c r="L24" s="162">
        <f>+'RS(T)-1'!M$58</f>
        <v>9579129.1974576116</v>
      </c>
      <c r="M24" s="162">
        <f>+'RS(T)-1'!N$58</f>
        <v>8928921.7042742744</v>
      </c>
      <c r="N24" s="162">
        <f t="shared" si="0"/>
        <v>125776757.12778223</v>
      </c>
      <c r="O24" s="158">
        <f t="shared" si="3"/>
        <v>10481396.427315185</v>
      </c>
      <c r="P24" s="159">
        <f t="shared" si="1"/>
        <v>0.55389471071078056</v>
      </c>
      <c r="R24" s="197">
        <v>9460231.1367219836</v>
      </c>
      <c r="S24" s="198">
        <f t="shared" si="2"/>
        <v>0.59775380706202164</v>
      </c>
    </row>
    <row r="25" spans="1:19">
      <c r="A25" s="163" t="s">
        <v>53</v>
      </c>
      <c r="B25" s="162">
        <f>+'SL-1'!C$58</f>
        <v>48542.502573773476</v>
      </c>
      <c r="C25" s="162">
        <f>+'SL-1'!D$58</f>
        <v>0</v>
      </c>
      <c r="D25" s="162">
        <f>+'SL-1'!E$58</f>
        <v>0</v>
      </c>
      <c r="E25" s="162">
        <f>+'SL-1'!F$58</f>
        <v>0</v>
      </c>
      <c r="F25" s="162">
        <f>+'SL-1'!G$58</f>
        <v>0</v>
      </c>
      <c r="G25" s="162">
        <f>+'SL-1'!H$58</f>
        <v>0</v>
      </c>
      <c r="H25" s="162">
        <f>+'SL-1'!I$58</f>
        <v>0</v>
      </c>
      <c r="I25" s="162">
        <f>+'SL-1'!J$58</f>
        <v>0</v>
      </c>
      <c r="J25" s="162">
        <f>+'SL-1'!K$58</f>
        <v>0</v>
      </c>
      <c r="K25" s="162">
        <f>+'SL-1'!L$58</f>
        <v>0</v>
      </c>
      <c r="L25" s="162">
        <f>+'SL-1'!M$58</f>
        <v>38839.679207758498</v>
      </c>
      <c r="M25" s="162">
        <f>+'SL-1'!N$58</f>
        <v>37450.254902486355</v>
      </c>
      <c r="N25" s="162">
        <f t="shared" si="0"/>
        <v>124832.43668401834</v>
      </c>
      <c r="O25" s="158">
        <f t="shared" si="3"/>
        <v>10402.703057001529</v>
      </c>
      <c r="P25" s="159">
        <f t="shared" si="1"/>
        <v>5.4973611964068744E-4</v>
      </c>
      <c r="R25" s="197">
        <v>28927.425327853172</v>
      </c>
      <c r="S25" s="198">
        <f t="shared" si="2"/>
        <v>1.827807203473695E-3</v>
      </c>
    </row>
    <row r="26" spans="1:19">
      <c r="A26" s="163" t="s">
        <v>55</v>
      </c>
      <c r="B26" s="162">
        <f>+'SL-2'!C$58</f>
        <v>3547.14617263438</v>
      </c>
      <c r="C26" s="162">
        <f>+'SL-2'!D$58</f>
        <v>3801.5273754637124</v>
      </c>
      <c r="D26" s="162">
        <f>+'SL-2'!E$58</f>
        <v>3570.7796747896041</v>
      </c>
      <c r="E26" s="162">
        <f>+'SL-2'!F$58</f>
        <v>3688.905695682176</v>
      </c>
      <c r="F26" s="162">
        <f>+'SL-2'!G$58</f>
        <v>3581.5188575220513</v>
      </c>
      <c r="G26" s="162">
        <f>+'SL-2'!H$58</f>
        <v>3711.5033153802701</v>
      </c>
      <c r="H26" s="162">
        <f>+'SL-2'!I$58</f>
        <v>3596.3568242886977</v>
      </c>
      <c r="I26" s="162">
        <f>+'SL-2'!J$58</f>
        <v>3604.1318817441688</v>
      </c>
      <c r="J26" s="162">
        <f>+'SL-2'!K$58</f>
        <v>3726.4562890058628</v>
      </c>
      <c r="K26" s="162">
        <f>+'SL-2'!L$58</f>
        <v>3616.4355711845537</v>
      </c>
      <c r="L26" s="162">
        <f>+'SL-2'!M$58</f>
        <v>3751.8722899392988</v>
      </c>
      <c r="M26" s="162">
        <f>+'SL-2'!N$58</f>
        <v>3627.3765909684826</v>
      </c>
      <c r="N26" s="162">
        <f t="shared" si="0"/>
        <v>43824.010538603259</v>
      </c>
      <c r="O26" s="158">
        <f t="shared" si="3"/>
        <v>3652.0008782169384</v>
      </c>
      <c r="P26" s="159">
        <f t="shared" si="1"/>
        <v>1.9299183882444135E-4</v>
      </c>
      <c r="R26" s="197">
        <v>3960.9930869113887</v>
      </c>
      <c r="S26" s="198">
        <f t="shared" si="2"/>
        <v>2.5027915948658849E-4</v>
      </c>
    </row>
    <row r="27" spans="1:19">
      <c r="A27" s="163" t="s">
        <v>87</v>
      </c>
      <c r="B27" s="162">
        <f>+'SST-1D'!C$58</f>
        <v>985.2474049690336</v>
      </c>
      <c r="C27" s="162">
        <f>+'SST-1D'!D$58</f>
        <v>1438.2724504696848</v>
      </c>
      <c r="D27" s="162">
        <f>+'SST-1D'!E$58</f>
        <v>1043.305040249993</v>
      </c>
      <c r="E27" s="162">
        <f>+'SST-1D'!F$58</f>
        <v>1991.7778813837754</v>
      </c>
      <c r="F27" s="162">
        <f>+'SST-1D'!G$58</f>
        <v>1717.1864196042998</v>
      </c>
      <c r="G27" s="162">
        <f>+'SST-1D'!H$58</f>
        <v>2116.500434801274</v>
      </c>
      <c r="H27" s="162">
        <f>+'SST-1D'!I$58</f>
        <v>1995.0496415316954</v>
      </c>
      <c r="I27" s="162">
        <f>+'SST-1D'!J$58</f>
        <v>1555.4464443046534</v>
      </c>
      <c r="J27" s="162">
        <f>+'SST-1D'!K$58</f>
        <v>1222.3179382354567</v>
      </c>
      <c r="K27" s="162">
        <f>+'SST-1D'!L$58</f>
        <v>2546.6488030279029</v>
      </c>
      <c r="L27" s="162">
        <f>+'SST-1D'!M$58</f>
        <v>2646.267374491119</v>
      </c>
      <c r="M27" s="162">
        <f>+'SST-1D'!N$58</f>
        <v>548.5628503320653</v>
      </c>
      <c r="N27" s="162">
        <f t="shared" si="0"/>
        <v>19806.582683400953</v>
      </c>
      <c r="O27" s="158">
        <f t="shared" si="3"/>
        <v>1650.5485569500795</v>
      </c>
      <c r="P27" s="159">
        <f t="shared" si="1"/>
        <v>8.722407570459017E-5</v>
      </c>
      <c r="R27" s="197">
        <v>1129.5720451108725</v>
      </c>
      <c r="S27" s="198">
        <f t="shared" si="2"/>
        <v>7.1373096550981304E-5</v>
      </c>
    </row>
    <row r="28" spans="1:19">
      <c r="A28" s="163" t="s">
        <v>88</v>
      </c>
      <c r="B28" s="162">
        <f>+'SST-1T'!C$58</f>
        <v>10091.705184312001</v>
      </c>
      <c r="C28" s="162">
        <f>+'SST-1T'!D$58</f>
        <v>9303.3944562068737</v>
      </c>
      <c r="D28" s="162">
        <f>+'SST-1T'!E$58</f>
        <v>7653.328890952017</v>
      </c>
      <c r="E28" s="162">
        <f>+'SST-1T'!F$58</f>
        <v>8544.2008858225727</v>
      </c>
      <c r="F28" s="162">
        <f>+'SST-1T'!G$58</f>
        <v>9228.9112787339945</v>
      </c>
      <c r="G28" s="162">
        <f>+'SST-1T'!H$58</f>
        <v>7762.6092720236502</v>
      </c>
      <c r="H28" s="162">
        <f>+'SST-1T'!I$58</f>
        <v>6510.270882921991</v>
      </c>
      <c r="I28" s="162">
        <f>+'SST-1T'!J$58</f>
        <v>5585.5853022066722</v>
      </c>
      <c r="J28" s="162">
        <f>+'SST-1T'!K$58</f>
        <v>10719.206560812245</v>
      </c>
      <c r="K28" s="162">
        <f>+'SST-1T'!L$58</f>
        <v>7076.7278829358784</v>
      </c>
      <c r="L28" s="162">
        <f>+'SST-1T'!M$58</f>
        <v>19240.525740258134</v>
      </c>
      <c r="M28" s="162">
        <f>+'SST-1T'!N$58</f>
        <v>7796.4164241659955</v>
      </c>
      <c r="N28" s="162">
        <f t="shared" si="0"/>
        <v>109512.88276135203</v>
      </c>
      <c r="O28" s="158">
        <f t="shared" si="3"/>
        <v>9126.0735634460016</v>
      </c>
      <c r="P28" s="159">
        <f t="shared" si="1"/>
        <v>4.8227198650524055E-4</v>
      </c>
      <c r="R28" s="197">
        <v>9890.1239228063459</v>
      </c>
      <c r="S28" s="198">
        <f t="shared" si="2"/>
        <v>6.2491699639604769E-4</v>
      </c>
    </row>
    <row r="29" spans="1:19">
      <c r="O29" s="164"/>
      <c r="R29" s="199"/>
      <c r="S29" s="199"/>
    </row>
    <row r="30" spans="1:19">
      <c r="A30" s="126" t="s">
        <v>453</v>
      </c>
      <c r="B30" s="161">
        <f t="shared" ref="B30:O30" si="4">SUM(B12:B29)</f>
        <v>17009718.417701777</v>
      </c>
      <c r="C30" s="161">
        <f t="shared" si="4"/>
        <v>15790784.38309839</v>
      </c>
      <c r="D30" s="161">
        <f t="shared" si="4"/>
        <v>14722150.747509619</v>
      </c>
      <c r="E30" s="161">
        <f t="shared" si="4"/>
        <v>16504901.128405642</v>
      </c>
      <c r="F30" s="161">
        <f t="shared" si="4"/>
        <v>17740383.641402062</v>
      </c>
      <c r="G30" s="161">
        <f t="shared" si="4"/>
        <v>19796384.444767047</v>
      </c>
      <c r="H30" s="161">
        <f t="shared" si="4"/>
        <v>19931016.187834639</v>
      </c>
      <c r="I30" s="161">
        <f t="shared" si="4"/>
        <v>19781850.513271108</v>
      </c>
      <c r="J30" s="161">
        <f t="shared" si="4"/>
        <v>20313453.383315034</v>
      </c>
      <c r="K30" s="161">
        <f t="shared" si="4"/>
        <v>18831209.689974997</v>
      </c>
      <c r="L30" s="161">
        <f t="shared" si="4"/>
        <v>17253328.493787993</v>
      </c>
      <c r="M30" s="161">
        <f t="shared" si="4"/>
        <v>15846343.578669466</v>
      </c>
      <c r="N30" s="161">
        <f t="shared" si="4"/>
        <v>213521524.60973781</v>
      </c>
      <c r="O30" s="161">
        <f t="shared" si="4"/>
        <v>17793460.38414482</v>
      </c>
      <c r="P30" s="159">
        <f>+O30/$O$45</f>
        <v>0.94030443942899067</v>
      </c>
      <c r="Q30" s="126"/>
      <c r="R30" s="200">
        <f>SUM(R12:R29)</f>
        <v>15600173.018943705</v>
      </c>
      <c r="S30" s="198">
        <f>+R30/$R$45</f>
        <v>0.98571194277722596</v>
      </c>
    </row>
    <row r="31" spans="1:19">
      <c r="A31" s="125"/>
      <c r="O31" s="157"/>
      <c r="P31" s="125"/>
      <c r="Q31" s="125"/>
      <c r="R31" s="201"/>
      <c r="S31" s="202"/>
    </row>
    <row r="32" spans="1:19">
      <c r="A32" s="42" t="s">
        <v>86</v>
      </c>
      <c r="O32" s="157"/>
      <c r="P32" s="125"/>
      <c r="Q32" s="125"/>
      <c r="R32" s="201"/>
      <c r="S32" s="202"/>
    </row>
    <row r="33" spans="1:19">
      <c r="A33" s="163" t="s">
        <v>1055</v>
      </c>
      <c r="B33" s="162">
        <f>BLOUNTSTOWN!C53</f>
        <v>9000</v>
      </c>
      <c r="C33" s="162">
        <f>BLOUNTSTOWN!D53</f>
        <v>9000</v>
      </c>
      <c r="D33" s="162">
        <f>BLOUNTSTOWN!E53</f>
        <v>9000</v>
      </c>
      <c r="E33" s="162">
        <f>BLOUNTSTOWN!F53</f>
        <v>9000</v>
      </c>
      <c r="F33" s="162">
        <f>BLOUNTSTOWN!G53</f>
        <v>9000</v>
      </c>
      <c r="G33" s="162">
        <f>BLOUNTSTOWN!H53</f>
        <v>9000</v>
      </c>
      <c r="H33" s="162">
        <f>BLOUNTSTOWN!I53</f>
        <v>9000</v>
      </c>
      <c r="I33" s="162">
        <f>BLOUNTSTOWN!J53</f>
        <v>9000</v>
      </c>
      <c r="J33" s="162">
        <f>BLOUNTSTOWN!K53</f>
        <v>9000</v>
      </c>
      <c r="K33" s="162">
        <f>BLOUNTSTOWN!L53</f>
        <v>9000</v>
      </c>
      <c r="L33" s="162">
        <f>BLOUNTSTOWN!M53</f>
        <v>9000</v>
      </c>
      <c r="M33" s="162">
        <f>BLOUNTSTOWN!N53</f>
        <v>9000</v>
      </c>
      <c r="N33" s="162">
        <f>SUM(B33:M33)</f>
        <v>108000</v>
      </c>
      <c r="O33" s="158">
        <f>+N33/12</f>
        <v>9000</v>
      </c>
      <c r="P33" s="159">
        <f>+O33/$O$45</f>
        <v>4.7560956509627494E-4</v>
      </c>
      <c r="R33" s="203">
        <f>149813.081459353-45000</f>
        <v>104813.08145935301</v>
      </c>
      <c r="S33" s="198">
        <f>+R33/$R$45</f>
        <v>6.6227154037527495E-3</v>
      </c>
    </row>
    <row r="34" spans="1:19">
      <c r="A34" s="163" t="s">
        <v>485</v>
      </c>
      <c r="B34" s="162">
        <f>FKEC!C53</f>
        <v>111353.81326672707</v>
      </c>
      <c r="C34" s="162">
        <f>FKEC!D53</f>
        <v>118484.45422819506</v>
      </c>
      <c r="D34" s="162">
        <f>FKEC!E53</f>
        <v>112438.25044284546</v>
      </c>
      <c r="E34" s="162">
        <f>FKEC!F53</f>
        <v>133526.34481025918</v>
      </c>
      <c r="F34" s="162">
        <f>FKEC!G53</f>
        <v>141937.14102220008</v>
      </c>
      <c r="G34" s="162">
        <f>FKEC!H53</f>
        <v>146075.34722002738</v>
      </c>
      <c r="H34" s="162">
        <f>FKEC!I53</f>
        <v>158236.37941839121</v>
      </c>
      <c r="I34" s="162">
        <f>FKEC!J53</f>
        <v>154358.27806108212</v>
      </c>
      <c r="J34" s="162">
        <f>FKEC!K53</f>
        <v>142401.98851323352</v>
      </c>
      <c r="K34" s="162">
        <f>FKEC!L53</f>
        <v>136147.86179669018</v>
      </c>
      <c r="L34" s="162">
        <f>FKEC!M53</f>
        <v>120787.11155826182</v>
      </c>
      <c r="M34" s="162">
        <f>FKEC!N53</f>
        <v>115128.13163669655</v>
      </c>
      <c r="N34" s="162">
        <f>SUM(B34:M34)</f>
        <v>1590875.1019746098</v>
      </c>
      <c r="O34" s="158">
        <f>+N34/12</f>
        <v>132572.9251645508</v>
      </c>
      <c r="P34" s="159">
        <f>+O34/$O$45</f>
        <v>7.005883475672557E-3</v>
      </c>
      <c r="Q34" s="125"/>
      <c r="R34" s="203">
        <v>45000</v>
      </c>
      <c r="S34" s="198">
        <f>+R34/$R$45</f>
        <v>2.8433682992561196E-3</v>
      </c>
    </row>
    <row r="35" spans="1:19">
      <c r="A35" s="163" t="s">
        <v>1057</v>
      </c>
      <c r="B35" s="162">
        <f>HOMESTEAD!C53</f>
        <v>18000</v>
      </c>
      <c r="C35" s="162">
        <f>HOMESTEAD!D53</f>
        <v>0</v>
      </c>
      <c r="D35" s="162">
        <f>HOMESTEAD!E53</f>
        <v>0</v>
      </c>
      <c r="E35" s="162">
        <f>HOMESTEAD!F53</f>
        <v>0</v>
      </c>
      <c r="F35" s="162">
        <f>HOMESTEAD!G53</f>
        <v>0</v>
      </c>
      <c r="G35" s="162">
        <f>HOMESTEAD!H53</f>
        <v>0</v>
      </c>
      <c r="H35" s="162">
        <f>HOMESTEAD!I53</f>
        <v>0</v>
      </c>
      <c r="I35" s="162">
        <f>HOMESTEAD!J53</f>
        <v>18000</v>
      </c>
      <c r="J35" s="162">
        <f>HOMESTEAD!K53</f>
        <v>0</v>
      </c>
      <c r="K35" s="162">
        <f>HOMESTEAD!L53</f>
        <v>0</v>
      </c>
      <c r="L35" s="162">
        <f>HOMESTEAD!M53</f>
        <v>0</v>
      </c>
      <c r="M35" s="162">
        <f>HOMESTEAD!N53</f>
        <v>0</v>
      </c>
      <c r="N35" s="162">
        <f t="shared" ref="N35:N39" si="5">SUM(B35:M35)</f>
        <v>36000</v>
      </c>
      <c r="O35" s="158">
        <f t="shared" ref="O35:O39" si="6">+N35/12</f>
        <v>3000</v>
      </c>
      <c r="P35" s="159">
        <f t="shared" ref="P35:P39" si="7">+O35/$O$45</f>
        <v>1.5853652169875833E-4</v>
      </c>
      <c r="Q35" s="125"/>
      <c r="R35" s="203"/>
      <c r="S35" s="198"/>
    </row>
    <row r="36" spans="1:19">
      <c r="A36" s="163" t="s">
        <v>487</v>
      </c>
      <c r="B36" s="162">
        <f>LCEC!C54</f>
        <v>744423.79360659269</v>
      </c>
      <c r="C36" s="162">
        <f>LCEC!D54</f>
        <v>668279.51810135087</v>
      </c>
      <c r="D36" s="162">
        <f>LCEC!E54</f>
        <v>615771.4735328746</v>
      </c>
      <c r="E36" s="162">
        <f>LCEC!F54</f>
        <v>600154.53483940358</v>
      </c>
      <c r="F36" s="162">
        <f>LCEC!G54</f>
        <v>696314.11686990049</v>
      </c>
      <c r="G36" s="162">
        <f>LCEC!H54</f>
        <v>765847.39959939185</v>
      </c>
      <c r="H36" s="162">
        <f>LCEC!I54</f>
        <v>744904.02897998795</v>
      </c>
      <c r="I36" s="162">
        <f>LCEC!J54</f>
        <v>779042.35336340778</v>
      </c>
      <c r="J36" s="162">
        <f>LCEC!K54</f>
        <v>668999.71586675802</v>
      </c>
      <c r="K36" s="162">
        <f>LCEC!L54</f>
        <v>706270.43479170382</v>
      </c>
      <c r="L36" s="162">
        <f>LCEC!M54</f>
        <v>580934.50240306312</v>
      </c>
      <c r="M36" s="162">
        <f>LCEC!N54</f>
        <v>545672.68567012821</v>
      </c>
      <c r="N36" s="162">
        <f t="shared" si="5"/>
        <v>8116614.5576245617</v>
      </c>
      <c r="O36" s="158">
        <f t="shared" si="6"/>
        <v>676384.54646871344</v>
      </c>
      <c r="P36" s="159">
        <f t="shared" si="7"/>
        <v>3.5743884442647332E-2</v>
      </c>
      <c r="Q36" s="125"/>
      <c r="R36" s="197">
        <v>1314</v>
      </c>
      <c r="S36" s="198">
        <f>+R36/$R$45</f>
        <v>8.3026354338278704E-5</v>
      </c>
    </row>
    <row r="37" spans="1:19">
      <c r="A37" s="163" t="s">
        <v>1053</v>
      </c>
      <c r="B37" s="162">
        <f>'NEW SMYRNA'!C53</f>
        <v>40000</v>
      </c>
      <c r="C37" s="162">
        <f>'NEW SMYRNA'!D53</f>
        <v>40000</v>
      </c>
      <c r="D37" s="162">
        <f>'NEW SMYRNA'!E53</f>
        <v>25000</v>
      </c>
      <c r="E37" s="162">
        <f>'NEW SMYRNA'!F53</f>
        <v>20000</v>
      </c>
      <c r="F37" s="162">
        <f>'NEW SMYRNA'!G53</f>
        <v>30000</v>
      </c>
      <c r="G37" s="162">
        <f>'NEW SMYRNA'!H53</f>
        <v>40000</v>
      </c>
      <c r="H37" s="162">
        <f>'NEW SMYRNA'!I53</f>
        <v>45000</v>
      </c>
      <c r="I37" s="162">
        <f>'NEW SMYRNA'!J53</f>
        <v>45000</v>
      </c>
      <c r="J37" s="162">
        <f>'NEW SMYRNA'!K53</f>
        <v>35000</v>
      </c>
      <c r="K37" s="162">
        <f>'NEW SMYRNA'!L53</f>
        <v>25000</v>
      </c>
      <c r="L37" s="162">
        <f>'NEW SMYRNA'!M53</f>
        <v>20000</v>
      </c>
      <c r="M37" s="162">
        <f>'NEW SMYRNA'!N53</f>
        <v>25000</v>
      </c>
      <c r="N37" s="162">
        <f t="shared" si="5"/>
        <v>390000</v>
      </c>
      <c r="O37" s="158">
        <f t="shared" si="6"/>
        <v>32500</v>
      </c>
      <c r="P37" s="159">
        <f t="shared" si="7"/>
        <v>1.7174789850698817E-3</v>
      </c>
      <c r="Q37" s="125"/>
      <c r="R37" s="197">
        <v>0</v>
      </c>
      <c r="S37" s="198">
        <f>+R37/$R$45</f>
        <v>0</v>
      </c>
    </row>
    <row r="38" spans="1:19">
      <c r="A38" s="163" t="s">
        <v>1058</v>
      </c>
      <c r="B38" s="162">
        <f>QUINCY!C53</f>
        <v>19000</v>
      </c>
      <c r="C38" s="162">
        <f>QUINCY!D53</f>
        <v>0</v>
      </c>
      <c r="D38" s="162">
        <f>QUINCY!E53</f>
        <v>0</v>
      </c>
      <c r="E38" s="162">
        <f>QUINCY!F53</f>
        <v>0</v>
      </c>
      <c r="F38" s="162">
        <f>QUINCY!G53</f>
        <v>0</v>
      </c>
      <c r="G38" s="162">
        <f>QUINCY!H53</f>
        <v>0</v>
      </c>
      <c r="H38" s="162">
        <f>QUINCY!I53</f>
        <v>0</v>
      </c>
      <c r="I38" s="162">
        <f>QUINCY!J53</f>
        <v>19000</v>
      </c>
      <c r="J38" s="162">
        <f>QUINCY!K53</f>
        <v>0</v>
      </c>
      <c r="K38" s="162">
        <f>QUINCY!L53</f>
        <v>0</v>
      </c>
      <c r="L38" s="162">
        <f>QUINCY!M53</f>
        <v>0</v>
      </c>
      <c r="M38" s="162">
        <f>QUINCY!N53</f>
        <v>0</v>
      </c>
      <c r="N38" s="162">
        <f t="shared" si="5"/>
        <v>38000</v>
      </c>
      <c r="O38" s="158">
        <f t="shared" si="6"/>
        <v>3166.6666666666665</v>
      </c>
      <c r="P38" s="159">
        <f t="shared" si="7"/>
        <v>1.6734410623757821E-4</v>
      </c>
      <c r="Q38" s="125"/>
      <c r="R38" s="197"/>
      <c r="S38" s="198"/>
    </row>
    <row r="39" spans="1:19">
      <c r="A39" s="163" t="s">
        <v>489</v>
      </c>
      <c r="B39" s="156">
        <f>SEMINOLE!C54</f>
        <v>200000</v>
      </c>
      <c r="C39" s="156">
        <f>SEMINOLE!D54</f>
        <v>200000</v>
      </c>
      <c r="D39" s="156">
        <f>SEMINOLE!E54</f>
        <v>200000</v>
      </c>
      <c r="E39" s="156">
        <f>SEMINOLE!F54</f>
        <v>200000</v>
      </c>
      <c r="F39" s="156">
        <f>SEMINOLE!G54</f>
        <v>200000</v>
      </c>
      <c r="G39" s="156">
        <f>SEMINOLE!H54</f>
        <v>200000</v>
      </c>
      <c r="H39" s="156">
        <f>SEMINOLE!I54</f>
        <v>200000</v>
      </c>
      <c r="I39" s="156">
        <f>SEMINOLE!J54</f>
        <v>200000</v>
      </c>
      <c r="J39" s="156">
        <f>SEMINOLE!K54</f>
        <v>200000</v>
      </c>
      <c r="K39" s="156">
        <f>SEMINOLE!L54</f>
        <v>200000</v>
      </c>
      <c r="L39" s="156">
        <f>SEMINOLE!M54</f>
        <v>200000</v>
      </c>
      <c r="M39" s="156">
        <f>SEMINOLE!N54</f>
        <v>200000</v>
      </c>
      <c r="N39" s="162">
        <f t="shared" si="5"/>
        <v>2400000</v>
      </c>
      <c r="O39" s="158">
        <f t="shared" si="6"/>
        <v>200000</v>
      </c>
      <c r="P39" s="159">
        <f t="shared" si="7"/>
        <v>1.0569101446583889E-2</v>
      </c>
      <c r="Q39" s="112"/>
      <c r="R39" s="197">
        <v>75000</v>
      </c>
      <c r="S39" s="198">
        <f>+R39/$R$45</f>
        <v>4.7389471654268661E-3</v>
      </c>
    </row>
    <row r="40" spans="1:19">
      <c r="A40" s="163" t="s">
        <v>1054</v>
      </c>
      <c r="B40" s="156">
        <f>WAUCHULA!C53</f>
        <v>13000</v>
      </c>
      <c r="C40" s="156">
        <f>WAUCHULA!D53</f>
        <v>13000</v>
      </c>
      <c r="D40" s="156">
        <f>WAUCHULA!E53</f>
        <v>13000</v>
      </c>
      <c r="E40" s="156">
        <f>WAUCHULA!F53</f>
        <v>13000</v>
      </c>
      <c r="F40" s="156">
        <f>WAUCHULA!G53</f>
        <v>13000</v>
      </c>
      <c r="G40" s="156">
        <f>WAUCHULA!H53</f>
        <v>13000</v>
      </c>
      <c r="H40" s="156">
        <f>WAUCHULA!I53</f>
        <v>13000</v>
      </c>
      <c r="I40" s="156">
        <f>WAUCHULA!J53</f>
        <v>13000</v>
      </c>
      <c r="J40" s="156">
        <f>WAUCHULA!K53</f>
        <v>13000</v>
      </c>
      <c r="K40" s="156">
        <f>WAUCHULA!L53</f>
        <v>13000</v>
      </c>
      <c r="L40" s="156">
        <f>WAUCHULA!M53</f>
        <v>13000</v>
      </c>
      <c r="M40" s="156">
        <f>WAUCHULA!N53</f>
        <v>13000</v>
      </c>
      <c r="N40" s="162">
        <f t="shared" ref="N40:N41" si="8">SUM(B40:M40)</f>
        <v>156000</v>
      </c>
      <c r="O40" s="158">
        <f t="shared" ref="O40:O41" si="9">+N40/12</f>
        <v>13000</v>
      </c>
      <c r="P40" s="159">
        <f t="shared" ref="P40:P41" si="10">+O40/$O$45</f>
        <v>6.8699159402795277E-4</v>
      </c>
      <c r="Q40" s="112"/>
      <c r="R40" s="197"/>
      <c r="S40" s="198"/>
    </row>
    <row r="41" spans="1:19">
      <c r="A41" s="163" t="s">
        <v>1056</v>
      </c>
      <c r="B41" s="156">
        <f>'WINTER PARK'!C53</f>
        <v>60000</v>
      </c>
      <c r="C41" s="156">
        <f>'WINTER PARK'!D53</f>
        <v>60000</v>
      </c>
      <c r="D41" s="156">
        <f>'WINTER PARK'!E53</f>
        <v>60000</v>
      </c>
      <c r="E41" s="156">
        <f>'WINTER PARK'!F53</f>
        <v>60000</v>
      </c>
      <c r="F41" s="156">
        <f>'WINTER PARK'!G53</f>
        <v>60000</v>
      </c>
      <c r="G41" s="156">
        <f>'WINTER PARK'!H53</f>
        <v>60000</v>
      </c>
      <c r="H41" s="156">
        <f>'WINTER PARK'!I53</f>
        <v>60000</v>
      </c>
      <c r="I41" s="156">
        <f>'WINTER PARK'!J53</f>
        <v>60000</v>
      </c>
      <c r="J41" s="156">
        <f>'WINTER PARK'!K53</f>
        <v>60000</v>
      </c>
      <c r="K41" s="156">
        <f>'WINTER PARK'!L53</f>
        <v>60000</v>
      </c>
      <c r="L41" s="156">
        <f>'WINTER PARK'!M53</f>
        <v>60000</v>
      </c>
      <c r="M41" s="156">
        <f>'WINTER PARK'!N53</f>
        <v>60000</v>
      </c>
      <c r="N41" s="162">
        <f t="shared" si="8"/>
        <v>720000</v>
      </c>
      <c r="O41" s="158">
        <f t="shared" si="9"/>
        <v>60000</v>
      </c>
      <c r="P41" s="159">
        <f t="shared" si="10"/>
        <v>3.1707304339751662E-3</v>
      </c>
      <c r="Q41" s="112"/>
      <c r="R41" s="197"/>
      <c r="S41" s="198"/>
    </row>
    <row r="42" spans="1:19">
      <c r="A42" s="125"/>
      <c r="O42" s="157"/>
      <c r="P42" s="125"/>
      <c r="Q42" s="125"/>
      <c r="R42" s="201"/>
      <c r="S42" s="202"/>
    </row>
    <row r="43" spans="1:19" s="126" customFormat="1">
      <c r="A43" s="126" t="s">
        <v>509</v>
      </c>
      <c r="B43" s="161">
        <f t="shared" ref="B43:O43" si="11">SUM(B33:B42)</f>
        <v>1214777.6068733197</v>
      </c>
      <c r="C43" s="161">
        <f t="shared" si="11"/>
        <v>1108763.9723295458</v>
      </c>
      <c r="D43" s="161">
        <f t="shared" si="11"/>
        <v>1035209.7239757201</v>
      </c>
      <c r="E43" s="161">
        <f t="shared" si="11"/>
        <v>1035680.8796496628</v>
      </c>
      <c r="F43" s="161">
        <f t="shared" si="11"/>
        <v>1150251.2578921006</v>
      </c>
      <c r="G43" s="161">
        <f t="shared" si="11"/>
        <v>1233922.7468194193</v>
      </c>
      <c r="H43" s="161">
        <f t="shared" si="11"/>
        <v>1230140.4083983791</v>
      </c>
      <c r="I43" s="161">
        <f t="shared" si="11"/>
        <v>1297400.6314244899</v>
      </c>
      <c r="J43" s="161">
        <f t="shared" si="11"/>
        <v>1128401.7043799916</v>
      </c>
      <c r="K43" s="161">
        <f t="shared" si="11"/>
        <v>1149418.2965883939</v>
      </c>
      <c r="L43" s="161">
        <f t="shared" si="11"/>
        <v>1003721.6139613249</v>
      </c>
      <c r="M43" s="161">
        <f t="shared" si="11"/>
        <v>967800.81730682473</v>
      </c>
      <c r="N43" s="161">
        <f t="shared" si="11"/>
        <v>13555489.659599172</v>
      </c>
      <c r="O43" s="161">
        <f t="shared" si="11"/>
        <v>1129624.1382999308</v>
      </c>
      <c r="P43" s="159">
        <f>+O43/$O$45</f>
        <v>5.9695560571009387E-2</v>
      </c>
      <c r="R43" s="200">
        <f>SUM(R33:R42)</f>
        <v>226127.08145935301</v>
      </c>
      <c r="S43" s="198">
        <f>+R43/$R$45</f>
        <v>1.4288057222774014E-2</v>
      </c>
    </row>
    <row r="44" spans="1:19" s="125" customFormat="1">
      <c r="B44" s="155"/>
      <c r="C44" s="155"/>
      <c r="D44" s="155"/>
      <c r="E44" s="155"/>
      <c r="F44" s="155"/>
      <c r="G44" s="155"/>
      <c r="H44" s="155"/>
      <c r="I44" s="155"/>
      <c r="J44" s="155"/>
      <c r="K44" s="155"/>
      <c r="L44" s="155"/>
      <c r="M44" s="155"/>
      <c r="N44" s="155"/>
      <c r="O44" s="157"/>
      <c r="R44" s="201"/>
      <c r="S44" s="202"/>
    </row>
    <row r="45" spans="1:19" s="125" customFormat="1" ht="13.8" thickBot="1">
      <c r="A45" s="126" t="s">
        <v>498</v>
      </c>
      <c r="B45" s="160">
        <f t="shared" ref="B45:O45" si="12">+B30+B43</f>
        <v>18224496.024575096</v>
      </c>
      <c r="C45" s="160">
        <f t="shared" si="12"/>
        <v>16899548.355427936</v>
      </c>
      <c r="D45" s="160">
        <f t="shared" si="12"/>
        <v>15757360.471485339</v>
      </c>
      <c r="E45" s="160">
        <f t="shared" si="12"/>
        <v>17540582.008055303</v>
      </c>
      <c r="F45" s="160">
        <f t="shared" si="12"/>
        <v>18890634.899294164</v>
      </c>
      <c r="G45" s="160">
        <f t="shared" si="12"/>
        <v>21030307.191586465</v>
      </c>
      <c r="H45" s="160">
        <f t="shared" si="12"/>
        <v>21161156.596233018</v>
      </c>
      <c r="I45" s="160">
        <f t="shared" si="12"/>
        <v>21079251.144695599</v>
      </c>
      <c r="J45" s="160">
        <f t="shared" si="12"/>
        <v>21441855.087695025</v>
      </c>
      <c r="K45" s="160">
        <f t="shared" si="12"/>
        <v>19980627.986563392</v>
      </c>
      <c r="L45" s="160">
        <f t="shared" si="12"/>
        <v>18257050.107749317</v>
      </c>
      <c r="M45" s="160">
        <f t="shared" si="12"/>
        <v>16814144.39597629</v>
      </c>
      <c r="N45" s="160">
        <f t="shared" si="12"/>
        <v>227077014.269337</v>
      </c>
      <c r="O45" s="160">
        <f t="shared" si="12"/>
        <v>18923084.522444751</v>
      </c>
      <c r="P45" s="159">
        <f>+O45/$O$45</f>
        <v>1</v>
      </c>
      <c r="R45" s="204">
        <f>+R30+R43</f>
        <v>15826300.100403057</v>
      </c>
      <c r="S45" s="198">
        <f>+R45/$R$45</f>
        <v>1</v>
      </c>
    </row>
    <row r="46" spans="1:19" ht="13.8" thickTop="1">
      <c r="A46" s="126"/>
      <c r="B46" s="158"/>
      <c r="C46" s="158"/>
      <c r="D46" s="158"/>
      <c r="E46" s="158"/>
      <c r="F46" s="158"/>
      <c r="G46" s="158"/>
      <c r="H46" s="158"/>
      <c r="I46" s="158"/>
      <c r="J46" s="158"/>
      <c r="K46" s="158"/>
      <c r="L46" s="158"/>
      <c r="M46" s="158"/>
      <c r="N46" s="158"/>
      <c r="O46" s="158"/>
      <c r="P46" s="125"/>
      <c r="Q46" s="125"/>
      <c r="R46" s="155"/>
      <c r="S46" s="125"/>
    </row>
    <row r="47" spans="1:19" s="125" customFormat="1">
      <c r="A47" s="112"/>
      <c r="B47" s="156"/>
      <c r="C47" s="156"/>
      <c r="D47" s="156"/>
      <c r="E47" s="156"/>
      <c r="F47" s="156"/>
      <c r="G47" s="156"/>
      <c r="H47" s="156"/>
      <c r="I47" s="156"/>
      <c r="J47" s="156"/>
      <c r="K47" s="156"/>
      <c r="L47" s="156"/>
      <c r="M47" s="156"/>
      <c r="N47" s="156"/>
      <c r="O47" s="112"/>
      <c r="P47" s="154"/>
      <c r="Q47" s="112"/>
      <c r="R47" s="112"/>
      <c r="S47" s="112"/>
    </row>
    <row r="48" spans="1:19" s="125" customFormat="1">
      <c r="A48" s="112"/>
      <c r="B48" s="156"/>
      <c r="C48" s="156"/>
      <c r="D48" s="156"/>
      <c r="E48" s="156"/>
      <c r="F48" s="156"/>
      <c r="G48" s="156"/>
      <c r="H48" s="156"/>
      <c r="I48" s="156"/>
      <c r="J48" s="156"/>
      <c r="K48" s="156"/>
      <c r="L48" s="156"/>
      <c r="M48" s="156"/>
      <c r="N48" s="156"/>
      <c r="O48" s="112"/>
      <c r="P48" s="154"/>
      <c r="Q48" s="112"/>
      <c r="R48" s="112"/>
      <c r="S48" s="112"/>
    </row>
    <row r="49" spans="1:19" s="125" customFormat="1">
      <c r="A49" s="112"/>
      <c r="B49" s="156"/>
      <c r="C49" s="156"/>
      <c r="D49" s="156"/>
      <c r="E49" s="156"/>
      <c r="F49" s="156"/>
      <c r="G49" s="156"/>
      <c r="H49" s="156"/>
      <c r="I49" s="156"/>
      <c r="J49" s="156"/>
      <c r="K49" s="156"/>
      <c r="L49" s="156"/>
      <c r="M49" s="156"/>
      <c r="N49" s="156"/>
      <c r="O49" s="112"/>
      <c r="P49" s="154"/>
      <c r="Q49" s="112"/>
      <c r="R49" s="112"/>
      <c r="S49" s="112"/>
    </row>
    <row r="50" spans="1:19" s="112" customFormat="1" ht="21">
      <c r="A50" s="124" t="s">
        <v>530</v>
      </c>
      <c r="B50" s="165"/>
      <c r="C50" s="165"/>
      <c r="D50" s="165"/>
      <c r="E50" s="165"/>
      <c r="F50" s="165"/>
      <c r="G50" s="165"/>
      <c r="H50" s="165"/>
      <c r="I50" s="165"/>
      <c r="J50" s="165"/>
      <c r="K50" s="165"/>
      <c r="L50" s="165"/>
      <c r="M50" s="165"/>
      <c r="N50" s="165"/>
      <c r="O50" s="165"/>
      <c r="P50" s="172"/>
      <c r="Q50" s="172"/>
      <c r="R50" s="172"/>
      <c r="S50" s="172"/>
    </row>
    <row r="51" spans="1:19" s="125" customFormat="1" ht="21">
      <c r="A51" s="124" t="str">
        <f>MANUAL!$B$10&amp;" - TEST YEAR"</f>
        <v>2017 - TEST YEAR</v>
      </c>
      <c r="B51" s="165"/>
      <c r="C51" s="165"/>
      <c r="D51" s="165"/>
      <c r="E51" s="165"/>
      <c r="F51" s="165"/>
      <c r="G51" s="165"/>
      <c r="H51" s="165"/>
      <c r="I51" s="165"/>
      <c r="J51" s="165"/>
      <c r="K51" s="165"/>
      <c r="L51" s="165"/>
      <c r="M51" s="165"/>
      <c r="N51" s="165"/>
      <c r="O51" s="165"/>
      <c r="P51" s="172"/>
      <c r="Q51" s="172"/>
      <c r="R51" s="172"/>
      <c r="S51" s="172"/>
    </row>
    <row r="52" spans="1:19" s="126" customFormat="1" ht="21.6" thickBot="1">
      <c r="A52" s="124"/>
      <c r="B52" s="165"/>
      <c r="C52" s="165"/>
      <c r="D52" s="165"/>
      <c r="E52" s="165"/>
      <c r="F52" s="165"/>
      <c r="G52" s="165"/>
      <c r="H52" s="165"/>
      <c r="I52" s="165"/>
      <c r="J52" s="165"/>
      <c r="K52" s="165"/>
      <c r="L52" s="165"/>
      <c r="M52" s="165"/>
      <c r="N52" s="165"/>
      <c r="O52" s="165"/>
      <c r="P52" s="172"/>
      <c r="Q52" s="172"/>
      <c r="R52" s="172"/>
      <c r="S52" s="172"/>
    </row>
    <row r="53" spans="1:19" s="125" customFormat="1" ht="13.8" thickBot="1">
      <c r="A53" s="168"/>
      <c r="B53" s="572" t="s">
        <v>339</v>
      </c>
      <c r="C53" s="573"/>
      <c r="D53" s="574"/>
      <c r="E53" s="575" t="s">
        <v>340</v>
      </c>
      <c r="F53" s="576"/>
      <c r="G53" s="576"/>
      <c r="H53" s="576"/>
      <c r="I53" s="576"/>
      <c r="J53" s="576"/>
      <c r="K53" s="577"/>
      <c r="L53" s="572" t="s">
        <v>339</v>
      </c>
      <c r="M53" s="574"/>
      <c r="N53" s="166"/>
      <c r="O53" s="164"/>
      <c r="P53" s="164"/>
      <c r="Q53" s="164"/>
      <c r="R53" s="154"/>
      <c r="S53" s="154"/>
    </row>
    <row r="54" spans="1:19" s="125" customFormat="1" ht="13.8" thickBot="1">
      <c r="A54" s="171" t="s">
        <v>454</v>
      </c>
      <c r="B54" s="100" t="s">
        <v>70</v>
      </c>
      <c r="C54" s="100" t="s">
        <v>71</v>
      </c>
      <c r="D54" s="100" t="s">
        <v>72</v>
      </c>
      <c r="E54" s="103" t="s">
        <v>73</v>
      </c>
      <c r="F54" s="103" t="s">
        <v>74</v>
      </c>
      <c r="G54" s="103" t="s">
        <v>75</v>
      </c>
      <c r="H54" s="103" t="s">
        <v>76</v>
      </c>
      <c r="I54" s="103" t="s">
        <v>77</v>
      </c>
      <c r="J54" s="103" t="s">
        <v>78</v>
      </c>
      <c r="K54" s="103" t="s">
        <v>79</v>
      </c>
      <c r="L54" s="100" t="s">
        <v>80</v>
      </c>
      <c r="M54" s="100" t="s">
        <v>81</v>
      </c>
      <c r="N54" s="170" t="s">
        <v>60</v>
      </c>
      <c r="O54" s="169" t="s">
        <v>496</v>
      </c>
      <c r="P54" s="169" t="s">
        <v>455</v>
      </c>
      <c r="Q54" s="165"/>
      <c r="R54" s="578" t="s">
        <v>456</v>
      </c>
      <c r="S54" s="579"/>
    </row>
    <row r="55" spans="1:19" s="125" customFormat="1">
      <c r="A55" s="168"/>
      <c r="B55" s="167"/>
      <c r="C55" s="167"/>
      <c r="D55" s="167"/>
      <c r="E55" s="167"/>
      <c r="F55" s="167"/>
      <c r="G55" s="167"/>
      <c r="H55" s="167"/>
      <c r="I55" s="167"/>
      <c r="J55" s="167"/>
      <c r="K55" s="167"/>
      <c r="L55" s="167"/>
      <c r="M55" s="167"/>
      <c r="N55" s="166"/>
      <c r="O55" s="165"/>
      <c r="P55" s="164"/>
      <c r="Q55" s="164"/>
      <c r="R55" s="154"/>
      <c r="S55" s="154"/>
    </row>
    <row r="56" spans="1:19" s="112" customFormat="1">
      <c r="A56" s="42" t="s">
        <v>83</v>
      </c>
      <c r="B56" s="81"/>
      <c r="C56" s="81"/>
      <c r="D56" s="81"/>
      <c r="E56" s="81"/>
      <c r="F56" s="81"/>
      <c r="G56" s="81"/>
      <c r="H56" s="81"/>
      <c r="I56" s="81"/>
      <c r="J56" s="81"/>
      <c r="K56" s="81"/>
      <c r="L56" s="81"/>
      <c r="M56" s="81"/>
      <c r="N56" s="81"/>
      <c r="O56" s="81"/>
      <c r="P56" s="81"/>
      <c r="Q56" s="81"/>
      <c r="R56" s="81"/>
      <c r="S56" s="81"/>
    </row>
    <row r="57" spans="1:19" s="112" customFormat="1">
      <c r="A57" s="163" t="s">
        <v>84</v>
      </c>
      <c r="B57" s="162">
        <f>+'CILC-1D'!C$63</f>
        <v>351155.87972676073</v>
      </c>
      <c r="C57" s="162">
        <f>+'CILC-1D'!D$63</f>
        <v>358903.67479102348</v>
      </c>
      <c r="D57" s="162">
        <f>+'CILC-1D'!E$63</f>
        <v>328923.87121299258</v>
      </c>
      <c r="E57" s="162">
        <f>+'CILC-1D'!F$63</f>
        <v>356044.37322312244</v>
      </c>
      <c r="F57" s="162">
        <f>+'CILC-1D'!G$63</f>
        <v>354909.5923296024</v>
      </c>
      <c r="G57" s="162">
        <f>+'CILC-1D'!H$63</f>
        <v>370328.22040459391</v>
      </c>
      <c r="H57" s="162">
        <f>+'CILC-1D'!I$63</f>
        <v>364462.16816610948</v>
      </c>
      <c r="I57" s="162">
        <f>+'CILC-1D'!J$63</f>
        <v>375555.65660119057</v>
      </c>
      <c r="J57" s="162">
        <f>+'CILC-1D'!K$63</f>
        <v>349750.01691181923</v>
      </c>
      <c r="K57" s="162">
        <f>+'CILC-1D'!L$63</f>
        <v>340949.4587733543</v>
      </c>
      <c r="L57" s="162">
        <f>+'CILC-1D'!M$63</f>
        <v>336112.19759368058</v>
      </c>
      <c r="M57" s="162">
        <f>+'CILC-1D'!N$63</f>
        <v>340881.29108935053</v>
      </c>
      <c r="N57" s="162">
        <f t="shared" ref="N57:N73" si="13">SUM(B57:M57)</f>
        <v>4227976.4008235997</v>
      </c>
      <c r="O57" s="158">
        <f t="shared" ref="O57:O73" si="14">+N57/12</f>
        <v>352331.36673529999</v>
      </c>
      <c r="P57" s="159">
        <f t="shared" ref="P57:P73" si="15">+O57/$O$45</f>
        <v>1.8619129789194687E-2</v>
      </c>
      <c r="Q57" s="154"/>
      <c r="R57" s="197">
        <v>381841.99298296799</v>
      </c>
      <c r="S57" s="198">
        <v>1.233500985483421E-2</v>
      </c>
    </row>
    <row r="58" spans="1:19" s="112" customFormat="1">
      <c r="A58" s="163" t="s">
        <v>85</v>
      </c>
      <c r="B58" s="162">
        <f>+'CILC-1G'!C$63</f>
        <v>13652.207167938855</v>
      </c>
      <c r="C58" s="162">
        <f>+'CILC-1G'!D$63</f>
        <v>13966.238582213718</v>
      </c>
      <c r="D58" s="162">
        <f>+'CILC-1G'!E$63</f>
        <v>12895.782058481334</v>
      </c>
      <c r="E58" s="162">
        <f>+'CILC-1G'!F$63</f>
        <v>13653.94816517401</v>
      </c>
      <c r="F58" s="162">
        <f>+'CILC-1G'!G$63</f>
        <v>13981.703267041546</v>
      </c>
      <c r="G58" s="162">
        <f>+'CILC-1G'!H$63</f>
        <v>14261.658386714136</v>
      </c>
      <c r="H58" s="162">
        <f>+'CILC-1G'!I$63</f>
        <v>14060.015602793876</v>
      </c>
      <c r="I58" s="162">
        <f>+'CILC-1G'!J$63</f>
        <v>14517.481215724356</v>
      </c>
      <c r="J58" s="162">
        <f>+'CILC-1G'!K$63</f>
        <v>13532.90543943611</v>
      </c>
      <c r="K58" s="162">
        <f>+'CILC-1G'!L$63</f>
        <v>13324.076569427223</v>
      </c>
      <c r="L58" s="162">
        <f>+'CILC-1G'!M$63</f>
        <v>12685.917220739571</v>
      </c>
      <c r="M58" s="162">
        <f>+'CILC-1G'!N$63</f>
        <v>13012.028854087373</v>
      </c>
      <c r="N58" s="162">
        <f t="shared" si="13"/>
        <v>163543.96252977211</v>
      </c>
      <c r="O58" s="158">
        <f t="shared" si="14"/>
        <v>13628.663544147676</v>
      </c>
      <c r="P58" s="159">
        <f t="shared" si="15"/>
        <v>7.2021363789728148E-4</v>
      </c>
      <c r="Q58" s="154"/>
      <c r="R58" s="197">
        <v>25331.553062027349</v>
      </c>
      <c r="S58" s="198">
        <v>8.0077391883775844E-4</v>
      </c>
    </row>
    <row r="59" spans="1:19" s="112" customFormat="1">
      <c r="A59" s="163" t="s">
        <v>50</v>
      </c>
      <c r="B59" s="162">
        <f>+'CILC-1T'!C$63</f>
        <v>178847.2601098239</v>
      </c>
      <c r="C59" s="162">
        <f>+'CILC-1T'!D$63</f>
        <v>189732.33528198898</v>
      </c>
      <c r="D59" s="162">
        <f>+'CILC-1T'!E$63</f>
        <v>194425.96339507116</v>
      </c>
      <c r="E59" s="162">
        <f>+'CILC-1T'!F$63</f>
        <v>186008.45398665025</v>
      </c>
      <c r="F59" s="162">
        <f>+'CILC-1T'!G$63</f>
        <v>197021.87838095258</v>
      </c>
      <c r="G59" s="162">
        <f>+'CILC-1T'!H$63</f>
        <v>192145.77024849469</v>
      </c>
      <c r="H59" s="162">
        <f>+'CILC-1T'!I$63</f>
        <v>190790.68636265636</v>
      </c>
      <c r="I59" s="162">
        <f>+'CILC-1T'!J$63</f>
        <v>194012.58544435649</v>
      </c>
      <c r="J59" s="162">
        <f>+'CILC-1T'!K$63</f>
        <v>183900.95405735151</v>
      </c>
      <c r="K59" s="162">
        <f>+'CILC-1T'!L$63</f>
        <v>180860.84249159557</v>
      </c>
      <c r="L59" s="162">
        <f>+'CILC-1T'!M$63</f>
        <v>191816.03131902794</v>
      </c>
      <c r="M59" s="162">
        <f>+'CILC-1T'!N$63</f>
        <v>192914.64874432838</v>
      </c>
      <c r="N59" s="162">
        <f t="shared" si="13"/>
        <v>2272477.4098222973</v>
      </c>
      <c r="O59" s="158">
        <f t="shared" si="14"/>
        <v>189373.11748519144</v>
      </c>
      <c r="P59" s="159">
        <f t="shared" si="15"/>
        <v>1.0007518449784187E-2</v>
      </c>
      <c r="Q59" s="154"/>
      <c r="R59" s="197">
        <v>183520.70459243518</v>
      </c>
      <c r="S59" s="198">
        <v>6.5542578457231434E-3</v>
      </c>
    </row>
    <row r="60" spans="1:19" s="112" customFormat="1">
      <c r="A60" s="163" t="s">
        <v>49</v>
      </c>
      <c r="B60" s="162">
        <f>+'GS(T)-1'!C$64</f>
        <v>690874.0856189474</v>
      </c>
      <c r="C60" s="162">
        <f>+'GS(T)-1'!D$64</f>
        <v>1032435.2478433686</v>
      </c>
      <c r="D60" s="162">
        <f>+'GS(T)-1'!E$64</f>
        <v>674749.89799366985</v>
      </c>
      <c r="E60" s="162">
        <f>+'GS(T)-1'!F$64</f>
        <v>1046339.897575738</v>
      </c>
      <c r="F60" s="162">
        <f>+'GS(T)-1'!G$64</f>
        <v>1148792.0451476327</v>
      </c>
      <c r="G60" s="162">
        <f>+'GS(T)-1'!H$64</f>
        <v>1285830.723460472</v>
      </c>
      <c r="H60" s="162">
        <f>+'GS(T)-1'!I$64</f>
        <v>1277840.4318736196</v>
      </c>
      <c r="I60" s="162">
        <f>+'GS(T)-1'!J$64</f>
        <v>1302483.2359596684</v>
      </c>
      <c r="J60" s="162">
        <f>+'GS(T)-1'!K$64</f>
        <v>1151450.1952714974</v>
      </c>
      <c r="K60" s="162">
        <f>+'GS(T)-1'!L$64</f>
        <v>1106355.7830160926</v>
      </c>
      <c r="L60" s="162">
        <f>+'GS(T)-1'!M$64</f>
        <v>1005807.8886286853</v>
      </c>
      <c r="M60" s="162">
        <f>+'GS(T)-1'!N$64</f>
        <v>896019.50969358871</v>
      </c>
      <c r="N60" s="162">
        <f t="shared" si="13"/>
        <v>12618978.942082983</v>
      </c>
      <c r="O60" s="158">
        <f>+N60/12</f>
        <v>1051581.5785069151</v>
      </c>
      <c r="P60" s="159">
        <f t="shared" si="15"/>
        <v>5.5571361912992022E-2</v>
      </c>
      <c r="Q60" s="154"/>
      <c r="R60" s="197">
        <v>1016225.3294178162</v>
      </c>
      <c r="S60" s="198">
        <v>4.8679488836756178E-2</v>
      </c>
    </row>
    <row r="61" spans="1:19" s="112" customFormat="1">
      <c r="A61" s="163" t="s">
        <v>325</v>
      </c>
      <c r="B61" s="162">
        <f>+'GSCU-1'!C$64</f>
        <v>8352.0499438606785</v>
      </c>
      <c r="C61" s="162">
        <f>+'GSCU-1'!D$64</f>
        <v>8881.3220129599667</v>
      </c>
      <c r="D61" s="162">
        <f>+'GSCU-1'!E$64</f>
        <v>8787.0483368337991</v>
      </c>
      <c r="E61" s="162">
        <f>+'GSCU-1'!F$64</f>
        <v>8526.2688225451529</v>
      </c>
      <c r="F61" s="162">
        <f>+'GSCU-1'!G$64</f>
        <v>8682.739079162664</v>
      </c>
      <c r="G61" s="162">
        <f>+'GSCU-1'!H$64</f>
        <v>8577.4234656477165</v>
      </c>
      <c r="H61" s="162">
        <f>+'GSCU-1'!I$64</f>
        <v>8404.21576573938</v>
      </c>
      <c r="I61" s="162">
        <f>+'GSCU-1'!J$64</f>
        <v>8683.4211337929682</v>
      </c>
      <c r="J61" s="162">
        <f>+'GSCU-1'!K$64</f>
        <v>8272.1285186423611</v>
      </c>
      <c r="K61" s="162">
        <f>+'GSCU-1'!L$64</f>
        <v>8091.9164223082653</v>
      </c>
      <c r="L61" s="162">
        <f>+'GSCU-1'!M$64</f>
        <v>8075.4296004775097</v>
      </c>
      <c r="M61" s="162">
        <f>+'GSCU-1'!N$64</f>
        <v>8162.2486779021019</v>
      </c>
      <c r="N61" s="162">
        <f t="shared" si="13"/>
        <v>101496.21177987257</v>
      </c>
      <c r="O61" s="158">
        <f t="shared" si="14"/>
        <v>8458.0176483227133</v>
      </c>
      <c r="P61" s="159">
        <f t="shared" si="15"/>
        <v>4.4696823281059823E-4</v>
      </c>
      <c r="Q61" s="154"/>
      <c r="R61" s="197">
        <v>3647.5456916255389</v>
      </c>
      <c r="S61" s="198">
        <v>9.9432619672031332E-5</v>
      </c>
    </row>
    <row r="62" spans="1:19" s="112" customFormat="1">
      <c r="A62" s="163" t="s">
        <v>67</v>
      </c>
      <c r="B62" s="162">
        <f>+'GSD(T)-1'!C$64</f>
        <v>3364719.4257909395</v>
      </c>
      <c r="C62" s="162">
        <f>+'GSD(T)-1'!D$64</f>
        <v>3961309.4661161024</v>
      </c>
      <c r="D62" s="162">
        <f>+'GSD(T)-1'!E$64</f>
        <v>3275109.4076653617</v>
      </c>
      <c r="E62" s="162">
        <f>+'GSD(T)-1'!F$64</f>
        <v>3986241.5397746819</v>
      </c>
      <c r="F62" s="162">
        <f>+'GSD(T)-1'!G$64</f>
        <v>4317220.3999030599</v>
      </c>
      <c r="G62" s="162">
        <f>+'GSD(T)-1'!H$64</f>
        <v>4536044.4577455465</v>
      </c>
      <c r="H62" s="162">
        <f>+'GSD(T)-1'!I$64</f>
        <v>4580720.2179859588</v>
      </c>
      <c r="I62" s="162">
        <f>+'GSD(T)-1'!J$64</f>
        <v>4583823.9927705741</v>
      </c>
      <c r="J62" s="162">
        <f>+'GSD(T)-1'!K$64</f>
        <v>4299307.7008263785</v>
      </c>
      <c r="K62" s="162">
        <f>+'GSD(T)-1'!L$64</f>
        <v>4213048.7621833598</v>
      </c>
      <c r="L62" s="162">
        <f>+'GSD(T)-1'!M$64</f>
        <v>3951865.6764787845</v>
      </c>
      <c r="M62" s="162">
        <f>+'GSD(T)-1'!N$64</f>
        <v>3721863.1454595318</v>
      </c>
      <c r="N62" s="162">
        <f t="shared" si="13"/>
        <v>48791274.192700282</v>
      </c>
      <c r="O62" s="158">
        <f t="shared" si="14"/>
        <v>4065939.516058357</v>
      </c>
      <c r="P62" s="159">
        <f t="shared" si="15"/>
        <v>0.21486663610447487</v>
      </c>
      <c r="Q62" s="154"/>
      <c r="R62" s="197">
        <v>3506934.8702252735</v>
      </c>
      <c r="S62" s="198">
        <v>0.13513361819416622</v>
      </c>
    </row>
    <row r="63" spans="1:19" s="112" customFormat="1">
      <c r="A63" s="163" t="s">
        <v>68</v>
      </c>
      <c r="B63" s="162">
        <f>+'GSLD(T)-1'!C$63</f>
        <v>1450115.2703090464</v>
      </c>
      <c r="C63" s="162">
        <f>+'GSLD(T)-1'!D$63</f>
        <v>1687241.7255671695</v>
      </c>
      <c r="D63" s="162">
        <f>+'GSLD(T)-1'!E$63</f>
        <v>1411690.3401294961</v>
      </c>
      <c r="E63" s="162">
        <f>+'GSLD(T)-1'!F$63</f>
        <v>1630929.2496511149</v>
      </c>
      <c r="F63" s="162">
        <f>+'GSLD(T)-1'!G$63</f>
        <v>1725281.702437904</v>
      </c>
      <c r="G63" s="162">
        <f>+'GSLD(T)-1'!H$63</f>
        <v>1812707.4866920363</v>
      </c>
      <c r="H63" s="162">
        <f>+'GSLD(T)-1'!I$63</f>
        <v>1741961.5381444162</v>
      </c>
      <c r="I63" s="162">
        <f>+'GSLD(T)-1'!J$63</f>
        <v>1797589.45455448</v>
      </c>
      <c r="J63" s="162">
        <f>+'GSLD(T)-1'!K$63</f>
        <v>1626717.0502425006</v>
      </c>
      <c r="K63" s="162">
        <f>+'GSLD(T)-1'!L$63</f>
        <v>1733418.1780960683</v>
      </c>
      <c r="L63" s="162">
        <f>+'GSLD(T)-1'!M$63</f>
        <v>1589539.059413231</v>
      </c>
      <c r="M63" s="162">
        <f>+'GSLD(T)-1'!N$63</f>
        <v>1510533.215283229</v>
      </c>
      <c r="N63" s="162">
        <f t="shared" si="13"/>
        <v>19717724.270520695</v>
      </c>
      <c r="O63" s="158">
        <f t="shared" si="14"/>
        <v>1643143.689210058</v>
      </c>
      <c r="P63" s="159">
        <f t="shared" si="15"/>
        <v>8.6832761712876044E-2</v>
      </c>
      <c r="Q63" s="154"/>
      <c r="R63" s="197">
        <v>800537.38074261136</v>
      </c>
      <c r="S63" s="198">
        <v>2.6477954229070105E-2</v>
      </c>
    </row>
    <row r="64" spans="1:19" s="112" customFormat="1">
      <c r="A64" s="163" t="s">
        <v>69</v>
      </c>
      <c r="B64" s="162">
        <f>+'GSLD(T)-2'!C$63</f>
        <v>304591.18204203673</v>
      </c>
      <c r="C64" s="162">
        <f>+'GSLD(T)-2'!D$63</f>
        <v>342033.2990072653</v>
      </c>
      <c r="D64" s="162">
        <f>+'GSLD(T)-2'!E$63</f>
        <v>307882.04605695495</v>
      </c>
      <c r="E64" s="162">
        <f>+'GSLD(T)-2'!F$63</f>
        <v>318876.35361237591</v>
      </c>
      <c r="F64" s="162">
        <f>+'GSLD(T)-2'!G$63</f>
        <v>332897.31550847436</v>
      </c>
      <c r="G64" s="162">
        <f>+'GSLD(T)-2'!H$63</f>
        <v>334532.63402922382</v>
      </c>
      <c r="H64" s="162">
        <f>+'GSLD(T)-2'!I$63</f>
        <v>344056.70838933898</v>
      </c>
      <c r="I64" s="162">
        <f>+'GSLD(T)-2'!J$63</f>
        <v>348553.29453942197</v>
      </c>
      <c r="J64" s="162">
        <f>+'GSLD(T)-2'!K$63</f>
        <v>327748.93450638035</v>
      </c>
      <c r="K64" s="162">
        <f>+'GSLD(T)-2'!L$63</f>
        <v>325394.2894738153</v>
      </c>
      <c r="L64" s="162">
        <f>+'GSLD(T)-2'!M$63</f>
        <v>330022.84873199061</v>
      </c>
      <c r="M64" s="162">
        <f>+'GSLD(T)-2'!N$63</f>
        <v>328472.66411577549</v>
      </c>
      <c r="N64" s="162">
        <f t="shared" si="13"/>
        <v>3945061.5700130532</v>
      </c>
      <c r="O64" s="158">
        <f t="shared" si="14"/>
        <v>328755.13083442108</v>
      </c>
      <c r="P64" s="159">
        <f t="shared" si="15"/>
        <v>1.7373231644369776E-2</v>
      </c>
      <c r="Q64" s="154"/>
      <c r="R64" s="197">
        <v>112019.60749566353</v>
      </c>
      <c r="S64" s="198">
        <v>4.0575218272521918E-3</v>
      </c>
    </row>
    <row r="65" spans="1:19" s="112" customFormat="1">
      <c r="A65" s="163" t="s">
        <v>52</v>
      </c>
      <c r="B65" s="162">
        <f>+'GSLD(T)-3'!C$63</f>
        <v>22546.288741339005</v>
      </c>
      <c r="C65" s="162">
        <f>+'GSLD(T)-3'!D$63</f>
        <v>26328.467026883409</v>
      </c>
      <c r="D65" s="162">
        <f>+'GSLD(T)-3'!E$63</f>
        <v>25352.986687441775</v>
      </c>
      <c r="E65" s="162">
        <f>+'GSLD(T)-3'!F$63</f>
        <v>27078.354683110661</v>
      </c>
      <c r="F65" s="162">
        <f>+'GSLD(T)-3'!G$63</f>
        <v>24834.778915500832</v>
      </c>
      <c r="G65" s="162">
        <f>+'GSLD(T)-3'!H$63</f>
        <v>26616.790102447776</v>
      </c>
      <c r="H65" s="162">
        <f>+'GSLD(T)-3'!I$63</f>
        <v>22699.210291129508</v>
      </c>
      <c r="I65" s="162">
        <f>+'GSLD(T)-3'!J$63</f>
        <v>25653.857937895773</v>
      </c>
      <c r="J65" s="162">
        <f>+'GSLD(T)-3'!K$63</f>
        <v>18977.582687882652</v>
      </c>
      <c r="K65" s="162">
        <f>+'GSLD(T)-3'!L$63</f>
        <v>21283.473050646378</v>
      </c>
      <c r="L65" s="162">
        <f>+'GSLD(T)-3'!M$63</f>
        <v>17671.113815647899</v>
      </c>
      <c r="M65" s="162">
        <f>+'GSLD(T)-3'!N$63</f>
        <v>17189.029539196759</v>
      </c>
      <c r="N65" s="162">
        <f t="shared" si="13"/>
        <v>276231.93347912241</v>
      </c>
      <c r="O65" s="158">
        <f t="shared" si="14"/>
        <v>23019.327789926869</v>
      </c>
      <c r="P65" s="159">
        <f t="shared" si="15"/>
        <v>1.2164680532195239E-3</v>
      </c>
      <c r="Q65" s="154"/>
      <c r="R65" s="197">
        <v>30542.207510430326</v>
      </c>
      <c r="S65" s="198">
        <v>1.2310216097430467E-3</v>
      </c>
    </row>
    <row r="66" spans="1:19" s="112" customFormat="1">
      <c r="A66" s="163" t="s">
        <v>15</v>
      </c>
      <c r="B66" s="162">
        <f>+MET!C$63</f>
        <v>15651.905036883067</v>
      </c>
      <c r="C66" s="162">
        <f>+MET!D$63</f>
        <v>13769.013940389981</v>
      </c>
      <c r="D66" s="162">
        <f>+MET!E$63</f>
        <v>12228.866683931303</v>
      </c>
      <c r="E66" s="162">
        <f>+MET!F$63</f>
        <v>15782.496183618012</v>
      </c>
      <c r="F66" s="162">
        <f>+MET!G$63</f>
        <v>16039.320369401192</v>
      </c>
      <c r="G66" s="162">
        <f>+MET!H$63</f>
        <v>15236.084905668758</v>
      </c>
      <c r="H66" s="162">
        <f>+MET!I$63</f>
        <v>15694.569686031606</v>
      </c>
      <c r="I66" s="162">
        <f>+MET!J$63</f>
        <v>16417.310312346486</v>
      </c>
      <c r="J66" s="162">
        <f>+MET!K$63</f>
        <v>14104.048953653575</v>
      </c>
      <c r="K66" s="162">
        <f>+MET!L$63</f>
        <v>13957.614862208729</v>
      </c>
      <c r="L66" s="162">
        <f>+MET!M$63</f>
        <v>13801.52586131289</v>
      </c>
      <c r="M66" s="162">
        <f>+MET!N$63</f>
        <v>12264.339278454803</v>
      </c>
      <c r="N66" s="162">
        <f t="shared" si="13"/>
        <v>174947.09607390041</v>
      </c>
      <c r="O66" s="158">
        <f t="shared" si="14"/>
        <v>14578.924672825035</v>
      </c>
      <c r="P66" s="159">
        <f t="shared" si="15"/>
        <v>7.7043066924596302E-4</v>
      </c>
      <c r="Q66" s="154"/>
      <c r="R66" s="197">
        <v>14755.886198300241</v>
      </c>
      <c r="S66" s="198">
        <v>5.6085749854204738E-4</v>
      </c>
    </row>
    <row r="67" spans="1:19" s="112" customFormat="1">
      <c r="A67" s="163" t="s">
        <v>56</v>
      </c>
      <c r="B67" s="162">
        <f>+'OL-1'!C$63</f>
        <v>8960.6300009775732</v>
      </c>
      <c r="C67" s="162">
        <f>+'OL-1'!D$63</f>
        <v>0</v>
      </c>
      <c r="D67" s="162">
        <f>+'OL-1'!E$63</f>
        <v>0</v>
      </c>
      <c r="E67" s="162">
        <f>+'OL-1'!F$63</f>
        <v>0</v>
      </c>
      <c r="F67" s="162">
        <f>+'OL-1'!G$63</f>
        <v>0</v>
      </c>
      <c r="G67" s="162">
        <f>+'OL-1'!H$63</f>
        <v>0</v>
      </c>
      <c r="H67" s="162">
        <f>+'OL-1'!I$63</f>
        <v>0</v>
      </c>
      <c r="I67" s="162">
        <f>+'OL-1'!J$63</f>
        <v>0</v>
      </c>
      <c r="J67" s="162">
        <f>+'OL-1'!K$63</f>
        <v>0</v>
      </c>
      <c r="K67" s="162">
        <f>+'OL-1'!L$63</f>
        <v>0</v>
      </c>
      <c r="L67" s="162">
        <f>+'OL-1'!M$63</f>
        <v>6761.2971105993411</v>
      </c>
      <c r="M67" s="162">
        <f>+'OL-1'!N$63</f>
        <v>6694.5732339721153</v>
      </c>
      <c r="N67" s="162">
        <f t="shared" si="13"/>
        <v>22416.50034554903</v>
      </c>
      <c r="O67" s="158">
        <f t="shared" si="14"/>
        <v>1868.0416954624191</v>
      </c>
      <c r="P67" s="159">
        <f t="shared" si="15"/>
        <v>9.8717610928954354E-5</v>
      </c>
      <c r="Q67" s="154"/>
      <c r="R67" s="197">
        <v>5676.0618639927843</v>
      </c>
      <c r="S67" s="198">
        <v>6.4243818971941862E-4</v>
      </c>
    </row>
    <row r="68" spans="1:19" s="112" customFormat="1">
      <c r="A68" s="163" t="s">
        <v>57</v>
      </c>
      <c r="B68" s="162">
        <f>+'OS-2'!C$63</f>
        <v>2434.9177674053576</v>
      </c>
      <c r="C68" s="162">
        <f>+'OS-2'!D$63</f>
        <v>596.38358712346064</v>
      </c>
      <c r="D68" s="162">
        <f>+'OS-2'!E$63</f>
        <v>936.19886833619989</v>
      </c>
      <c r="E68" s="162">
        <f>+'OS-2'!F$63</f>
        <v>984.98678523120191</v>
      </c>
      <c r="F68" s="162">
        <f>+'OS-2'!G$63</f>
        <v>950.52470366677721</v>
      </c>
      <c r="G68" s="162">
        <f>+'OS-2'!H$63</f>
        <v>938.22790036790718</v>
      </c>
      <c r="H68" s="162">
        <f>+'OS-2'!I$63</f>
        <v>805.49187546696589</v>
      </c>
      <c r="I68" s="162">
        <f>+'OS-2'!J$63</f>
        <v>958.60115186981579</v>
      </c>
      <c r="J68" s="162">
        <f>+'OS-2'!K$63</f>
        <v>941.04252046484748</v>
      </c>
      <c r="K68" s="162">
        <f>+'OS-2'!L$63</f>
        <v>812.8098036272105</v>
      </c>
      <c r="L68" s="162">
        <f>+'OS-2'!M$63</f>
        <v>2664.6745134017392</v>
      </c>
      <c r="M68" s="162">
        <f>+'OS-2'!N$63</f>
        <v>3062.8612562171766</v>
      </c>
      <c r="N68" s="162">
        <f t="shared" si="13"/>
        <v>16086.720733178659</v>
      </c>
      <c r="O68" s="158">
        <f t="shared" si="14"/>
        <v>1340.5600610982217</v>
      </c>
      <c r="P68" s="159">
        <f t="shared" si="15"/>
        <v>7.0842576404929006E-5</v>
      </c>
      <c r="Q68" s="154"/>
      <c r="R68" s="197">
        <v>2267.2619683784033</v>
      </c>
      <c r="S68" s="198">
        <v>3.8461168824753159E-4</v>
      </c>
    </row>
    <row r="69" spans="1:19" s="112" customFormat="1">
      <c r="A69" s="163" t="s">
        <v>48</v>
      </c>
      <c r="B69" s="162">
        <f>+'RS(T)-1'!C$63</f>
        <v>12266415.5011626</v>
      </c>
      <c r="C69" s="162">
        <f>+'RS(T)-1'!D$63</f>
        <v>8706747.477381099</v>
      </c>
      <c r="D69" s="162">
        <f>+'RS(T)-1'!E$63</f>
        <v>10092364.182004977</v>
      </c>
      <c r="E69" s="162">
        <f>+'RS(T)-1'!F$63</f>
        <v>10223846.749515673</v>
      </c>
      <c r="F69" s="162">
        <f>+'RS(T)-1'!G$63</f>
        <v>11309070.385756409</v>
      </c>
      <c r="G69" s="162">
        <f>+'RS(T)-1'!H$63</f>
        <v>12157236.44132923</v>
      </c>
      <c r="H69" s="162">
        <f>+'RS(T)-1'!I$63</f>
        <v>12587426.233733175</v>
      </c>
      <c r="I69" s="162">
        <f>+'RS(T)-1'!J$63</f>
        <v>12995922.179471279</v>
      </c>
      <c r="J69" s="162">
        <f>+'RS(T)-1'!K$63</f>
        <v>12467281.231084516</v>
      </c>
      <c r="K69" s="162">
        <f>+'RS(T)-1'!L$63</f>
        <v>11211195.882100441</v>
      </c>
      <c r="L69" s="162">
        <f>+'RS(T)-1'!M$63</f>
        <v>9341457.0087480452</v>
      </c>
      <c r="M69" s="162">
        <f>+'RS(T)-1'!N$63</f>
        <v>9111417.9954972304</v>
      </c>
      <c r="N69" s="162">
        <f t="shared" si="13"/>
        <v>132470381.26778467</v>
      </c>
      <c r="O69" s="158">
        <f t="shared" si="14"/>
        <v>11039198.438982056</v>
      </c>
      <c r="P69" s="159">
        <f t="shared" si="15"/>
        <v>0.58337204095285922</v>
      </c>
      <c r="Q69" s="154"/>
      <c r="R69" s="197">
        <v>9380715.9609845113</v>
      </c>
      <c r="S69" s="198">
        <v>0.7056834082181499</v>
      </c>
    </row>
    <row r="70" spans="1:19" s="112" customFormat="1">
      <c r="A70" s="163" t="s">
        <v>53</v>
      </c>
      <c r="B70" s="162">
        <f>+'SL-1'!C$63</f>
        <v>54020.564074318027</v>
      </c>
      <c r="C70" s="162">
        <f>+'SL-1'!D$63</f>
        <v>0</v>
      </c>
      <c r="D70" s="162">
        <f>+'SL-1'!E$63</f>
        <v>0</v>
      </c>
      <c r="E70" s="162">
        <f>+'SL-1'!F$63</f>
        <v>0</v>
      </c>
      <c r="F70" s="162">
        <f>+'SL-1'!G$63</f>
        <v>0</v>
      </c>
      <c r="G70" s="162">
        <f>+'SL-1'!H$63</f>
        <v>0</v>
      </c>
      <c r="H70" s="162">
        <f>+'SL-1'!I$63</f>
        <v>0</v>
      </c>
      <c r="I70" s="162">
        <f>+'SL-1'!J$63</f>
        <v>0</v>
      </c>
      <c r="J70" s="162">
        <f>+'SL-1'!K$63</f>
        <v>0</v>
      </c>
      <c r="K70" s="162">
        <f>+'SL-1'!L$63</f>
        <v>0</v>
      </c>
      <c r="L70" s="162">
        <f>+'SL-1'!M$63</f>
        <v>38700.43993345058</v>
      </c>
      <c r="M70" s="162">
        <f>+'SL-1'!N$63</f>
        <v>39095.873467606427</v>
      </c>
      <c r="N70" s="162">
        <f t="shared" si="13"/>
        <v>131816.87747537505</v>
      </c>
      <c r="O70" s="158">
        <f t="shared" si="14"/>
        <v>10984.739789614587</v>
      </c>
      <c r="P70" s="159">
        <f t="shared" si="15"/>
        <v>5.8049414600381557E-4</v>
      </c>
      <c r="Q70" s="154"/>
      <c r="R70" s="197">
        <v>29509.001872396471</v>
      </c>
      <c r="S70" s="198">
        <v>3.2290252233607092E-3</v>
      </c>
    </row>
    <row r="71" spans="1:19" s="112" customFormat="1">
      <c r="A71" s="163" t="s">
        <v>55</v>
      </c>
      <c r="B71" s="162">
        <f>+'SL-2'!C$63</f>
        <v>3962.0823928458581</v>
      </c>
      <c r="C71" s="162">
        <f>+'SL-2'!D$63</f>
        <v>4054.539319730723</v>
      </c>
      <c r="D71" s="162">
        <f>+'SL-2'!E$63</f>
        <v>4081.4998214886623</v>
      </c>
      <c r="E71" s="162">
        <f>+'SL-2'!F$63</f>
        <v>4074.5319442008267</v>
      </c>
      <c r="F71" s="162">
        <f>+'SL-2'!G$63</f>
        <v>4025.1455470028263</v>
      </c>
      <c r="G71" s="162">
        <f>+'SL-2'!H$63</f>
        <v>3986.4576620040561</v>
      </c>
      <c r="H71" s="162">
        <f>+'SL-2'!I$63</f>
        <v>3912.3106958443718</v>
      </c>
      <c r="I71" s="162">
        <f>+'SL-2'!J$63</f>
        <v>4039.3490313857428</v>
      </c>
      <c r="J71" s="162">
        <f>+'SL-2'!K$63</f>
        <v>3845.8361742166671</v>
      </c>
      <c r="K71" s="162">
        <f>+'SL-2'!L$63</f>
        <v>3766.9366092699011</v>
      </c>
      <c r="L71" s="162">
        <f>+'SL-2'!M$63</f>
        <v>3752.0930057116352</v>
      </c>
      <c r="M71" s="162">
        <f>+'SL-2'!N$63</f>
        <v>3804.8424594890562</v>
      </c>
      <c r="N71" s="162">
        <f t="shared" si="13"/>
        <v>47305.624663190327</v>
      </c>
      <c r="O71" s="158">
        <f t="shared" si="14"/>
        <v>3942.1353885991939</v>
      </c>
      <c r="P71" s="159">
        <f t="shared" si="15"/>
        <v>2.0832414419136639E-4</v>
      </c>
      <c r="Q71" s="154"/>
      <c r="R71" s="197">
        <v>3485.1091490671974</v>
      </c>
      <c r="S71" s="198">
        <v>9.2958242398677207E-5</v>
      </c>
    </row>
    <row r="72" spans="1:19" s="112" customFormat="1">
      <c r="A72" s="163" t="s">
        <v>87</v>
      </c>
      <c r="B72" s="162">
        <f>+'SST-1D'!C$63</f>
        <v>1075.9812695726557</v>
      </c>
      <c r="C72" s="162">
        <f>+'SST-1D'!D$63</f>
        <v>1499.8973860562123</v>
      </c>
      <c r="D72" s="162">
        <f>+'SST-1D'!E$63</f>
        <v>1167.3707862224389</v>
      </c>
      <c r="E72" s="162">
        <f>+'SST-1D'!F$63</f>
        <v>2151.2499749676181</v>
      </c>
      <c r="F72" s="162">
        <f>+'SST-1D'!G$63</f>
        <v>1889.3118054345764</v>
      </c>
      <c r="G72" s="162">
        <f>+'SST-1D'!H$63</f>
        <v>2225.6050705951811</v>
      </c>
      <c r="H72" s="162">
        <f>+'SST-1D'!I$63</f>
        <v>2122.5027104877245</v>
      </c>
      <c r="I72" s="162">
        <f>+'SST-1D'!J$63</f>
        <v>1706.8247332163101</v>
      </c>
      <c r="J72" s="162">
        <f>+'SST-1D'!K$63</f>
        <v>1233.7726965818874</v>
      </c>
      <c r="K72" s="162">
        <f>+'SST-1D'!L$63</f>
        <v>2597.3490188439355</v>
      </c>
      <c r="L72" s="162">
        <f>+'SST-1D'!M$63</f>
        <v>2591.3923655165499</v>
      </c>
      <c r="M72" s="162">
        <f>+'SST-1D'!N$63</f>
        <v>562.83343419499784</v>
      </c>
      <c r="N72" s="162">
        <f t="shared" si="13"/>
        <v>20824.09125169009</v>
      </c>
      <c r="O72" s="158">
        <f t="shared" si="14"/>
        <v>1735.3409376408408</v>
      </c>
      <c r="P72" s="159">
        <f t="shared" si="15"/>
        <v>9.1704972071680258E-5</v>
      </c>
      <c r="Q72" s="154"/>
      <c r="R72" s="197">
        <v>1167.5125870815241</v>
      </c>
      <c r="S72" s="198">
        <v>6.7071937024415032E-5</v>
      </c>
    </row>
    <row r="73" spans="1:19" s="112" customFormat="1">
      <c r="A73" s="163" t="s">
        <v>88</v>
      </c>
      <c r="B73" s="162">
        <f>+'SST-1T'!C$63</f>
        <v>11021.075215833998</v>
      </c>
      <c r="C73" s="162">
        <f>+'SST-1T'!D$63</f>
        <v>9702.0123146749138</v>
      </c>
      <c r="D73" s="162">
        <f>+'SST-1T'!E$63</f>
        <v>8563.4327641211858</v>
      </c>
      <c r="E73" s="162">
        <f>+'SST-1T'!F$63</f>
        <v>9228.2940349624841</v>
      </c>
      <c r="F73" s="162">
        <f>+'SST-1T'!G$63</f>
        <v>10153.988426159569</v>
      </c>
      <c r="G73" s="162">
        <f>+'SST-1T'!H$63</f>
        <v>8162.7682530984976</v>
      </c>
      <c r="H73" s="162">
        <f>+'SST-1T'!I$63</f>
        <v>6926.1773277994444</v>
      </c>
      <c r="I73" s="162">
        <f>+'SST-1T'!J$63</f>
        <v>6129.1825110428363</v>
      </c>
      <c r="J73" s="162">
        <f>+'SST-1T'!K$63</f>
        <v>10819.659901942814</v>
      </c>
      <c r="K73" s="162">
        <f>+'SST-1T'!L$63</f>
        <v>7217.6156372699625</v>
      </c>
      <c r="L73" s="162">
        <f>+'SST-1T'!M$63</f>
        <v>18841.53959363902</v>
      </c>
      <c r="M73" s="162">
        <f>+'SST-1T'!N$63</f>
        <v>7999.2362365977997</v>
      </c>
      <c r="N73" s="162">
        <f t="shared" si="13"/>
        <v>114764.98221714252</v>
      </c>
      <c r="O73" s="158">
        <f t="shared" si="14"/>
        <v>9563.7485180952099</v>
      </c>
      <c r="P73" s="159">
        <f t="shared" si="15"/>
        <v>5.0540114148682296E-4</v>
      </c>
      <c r="Q73" s="154"/>
      <c r="R73" s="197">
        <v>10566.389912044111</v>
      </c>
      <c r="S73" s="198">
        <v>3.366388577094038E-3</v>
      </c>
    </row>
    <row r="74" spans="1:19" s="112" customFormat="1">
      <c r="A74" s="154"/>
      <c r="B74" s="155"/>
      <c r="C74" s="155"/>
      <c r="D74" s="155"/>
      <c r="E74" s="155"/>
      <c r="F74" s="155"/>
      <c r="G74" s="155"/>
      <c r="H74" s="155"/>
      <c r="I74" s="155"/>
      <c r="J74" s="155"/>
      <c r="K74" s="155"/>
      <c r="L74" s="155"/>
      <c r="M74" s="155"/>
      <c r="N74" s="155"/>
      <c r="O74" s="164"/>
      <c r="P74" s="154"/>
      <c r="Q74" s="154"/>
      <c r="R74" s="199"/>
      <c r="S74" s="199"/>
    </row>
    <row r="75" spans="1:19" s="112" customFormat="1">
      <c r="A75" s="126" t="s">
        <v>453</v>
      </c>
      <c r="B75" s="161">
        <f t="shared" ref="B75:O75" si="16">SUM(B57:B74)</f>
        <v>18748396.30637113</v>
      </c>
      <c r="C75" s="161">
        <f t="shared" si="16"/>
        <v>16357201.100158051</v>
      </c>
      <c r="D75" s="161">
        <f t="shared" si="16"/>
        <v>16359158.894465378</v>
      </c>
      <c r="E75" s="161">
        <f t="shared" si="16"/>
        <v>17829766.747933164</v>
      </c>
      <c r="F75" s="161">
        <f t="shared" si="16"/>
        <v>19465750.831577405</v>
      </c>
      <c r="G75" s="161">
        <f t="shared" si="16"/>
        <v>20768830.749656145</v>
      </c>
      <c r="H75" s="161">
        <f t="shared" si="16"/>
        <v>21161882.478610571</v>
      </c>
      <c r="I75" s="161">
        <f t="shared" si="16"/>
        <v>21676046.427368242</v>
      </c>
      <c r="J75" s="161">
        <f t="shared" si="16"/>
        <v>20477883.05979326</v>
      </c>
      <c r="K75" s="161">
        <f t="shared" si="16"/>
        <v>19182274.988108326</v>
      </c>
      <c r="L75" s="161">
        <f t="shared" si="16"/>
        <v>16872166.133933943</v>
      </c>
      <c r="M75" s="161">
        <f t="shared" si="16"/>
        <v>16213950.336320752</v>
      </c>
      <c r="N75" s="161">
        <f t="shared" si="16"/>
        <v>225113308.05429637</v>
      </c>
      <c r="O75" s="161">
        <f t="shared" si="16"/>
        <v>18759442.337858032</v>
      </c>
      <c r="P75" s="159">
        <f>+O75/$O$45</f>
        <v>0.99135224575081182</v>
      </c>
      <c r="Q75" s="126"/>
      <c r="R75" s="200">
        <f>SUM(R57:R74)</f>
        <v>15508744.376256621</v>
      </c>
      <c r="S75" s="198">
        <v>0.98782694110598424</v>
      </c>
    </row>
    <row r="76" spans="1:19" s="112" customFormat="1">
      <c r="A76" s="125"/>
      <c r="B76" s="155"/>
      <c r="C76" s="155"/>
      <c r="D76" s="155"/>
      <c r="E76" s="155"/>
      <c r="F76" s="155"/>
      <c r="G76" s="155"/>
      <c r="H76" s="155"/>
      <c r="I76" s="155"/>
      <c r="J76" s="155"/>
      <c r="K76" s="155"/>
      <c r="L76" s="155"/>
      <c r="M76" s="155"/>
      <c r="N76" s="155"/>
      <c r="O76" s="157"/>
      <c r="P76" s="125"/>
      <c r="Q76" s="125"/>
      <c r="R76" s="201"/>
      <c r="S76" s="202"/>
    </row>
    <row r="77" spans="1:19" s="112" customFormat="1">
      <c r="A77" s="42" t="s">
        <v>86</v>
      </c>
      <c r="B77" s="155"/>
      <c r="C77" s="155"/>
      <c r="D77" s="155"/>
      <c r="E77" s="155"/>
      <c r="F77" s="155"/>
      <c r="G77" s="155"/>
      <c r="H77" s="155"/>
      <c r="I77" s="155"/>
      <c r="J77" s="155"/>
      <c r="K77" s="155"/>
      <c r="L77" s="155"/>
      <c r="M77" s="155"/>
      <c r="N77" s="155"/>
      <c r="O77" s="157"/>
      <c r="P77" s="125"/>
      <c r="Q77" s="125"/>
      <c r="R77" s="201"/>
      <c r="S77" s="202"/>
    </row>
    <row r="78" spans="1:19" s="112" customFormat="1">
      <c r="A78" s="163" t="s">
        <v>1055</v>
      </c>
      <c r="B78" s="162">
        <f>BLOUNTSTOWN!C58</f>
        <v>0</v>
      </c>
      <c r="C78" s="162">
        <f>BLOUNTSTOWN!D58</f>
        <v>0</v>
      </c>
      <c r="D78" s="162">
        <f>BLOUNTSTOWN!E58</f>
        <v>0</v>
      </c>
      <c r="E78" s="162">
        <f>BLOUNTSTOWN!F58</f>
        <v>0</v>
      </c>
      <c r="F78" s="162">
        <f>BLOUNTSTOWN!G58</f>
        <v>0</v>
      </c>
      <c r="G78" s="162">
        <f>BLOUNTSTOWN!H58</f>
        <v>0</v>
      </c>
      <c r="H78" s="162">
        <f>BLOUNTSTOWN!I58</f>
        <v>0</v>
      </c>
      <c r="I78" s="162">
        <f>BLOUNTSTOWN!J58</f>
        <v>0</v>
      </c>
      <c r="J78" s="162">
        <f>BLOUNTSTOWN!K58</f>
        <v>0</v>
      </c>
      <c r="K78" s="162">
        <f>BLOUNTSTOWN!L58</f>
        <v>0</v>
      </c>
      <c r="L78" s="162">
        <f>BLOUNTSTOWN!M58</f>
        <v>0</v>
      </c>
      <c r="M78" s="162">
        <f>BLOUNTSTOWN!N58</f>
        <v>0</v>
      </c>
      <c r="N78" s="162">
        <f>SUM(B78:M78)</f>
        <v>0</v>
      </c>
      <c r="O78" s="158">
        <f>+N78/12</f>
        <v>0</v>
      </c>
      <c r="P78" s="159">
        <f>+O78/$O$45</f>
        <v>0</v>
      </c>
      <c r="Q78" s="154"/>
      <c r="R78" s="203">
        <f>152658.502622339-45000</f>
        <v>107658.502622339</v>
      </c>
      <c r="S78" s="198">
        <f>+R78/$R$90</f>
        <v>6.7829690233683678E-3</v>
      </c>
    </row>
    <row r="79" spans="1:19" s="112" customFormat="1">
      <c r="A79" s="163" t="s">
        <v>485</v>
      </c>
      <c r="B79" s="162">
        <f>FKEC!C58</f>
        <v>110001.33761168281</v>
      </c>
      <c r="C79" s="162">
        <f>FKEC!D58</f>
        <v>117045.37158572645</v>
      </c>
      <c r="D79" s="162">
        <f>FKEC!E58</f>
        <v>111072.60348421408</v>
      </c>
      <c r="E79" s="162">
        <f>FKEC!F58</f>
        <v>131904.56711477655</v>
      </c>
      <c r="F79" s="162">
        <f>FKEC!G58</f>
        <v>140213.20789276794</v>
      </c>
      <c r="G79" s="162">
        <f>FKEC!H58</f>
        <v>144301.15246978568</v>
      </c>
      <c r="H79" s="162">
        <f>FKEC!I58</f>
        <v>155346.66662196617</v>
      </c>
      <c r="I79" s="162">
        <f>FKEC!J58</f>
        <v>152483.48089780848</v>
      </c>
      <c r="J79" s="162">
        <f>FKEC!K58</f>
        <v>140672.40946206337</v>
      </c>
      <c r="K79" s="162">
        <f>FKEC!L58</f>
        <v>134494.24380944361</v>
      </c>
      <c r="L79" s="162">
        <f>FKEC!M58</f>
        <v>119320.06141392268</v>
      </c>
      <c r="M79" s="162">
        <f>FKEC!N58</f>
        <v>113729.81405168137</v>
      </c>
      <c r="N79" s="162">
        <f>SUM(B79:M79)</f>
        <v>1570584.9164158392</v>
      </c>
      <c r="O79" s="158">
        <f>+N79/12</f>
        <v>130882.07636798661</v>
      </c>
      <c r="P79" s="159">
        <f>+O79/$O$45</f>
        <v>6.9165297133639506E-3</v>
      </c>
      <c r="Q79" s="125"/>
      <c r="R79" s="203">
        <v>45000</v>
      </c>
      <c r="S79" s="198">
        <f>+R79/$R$90</f>
        <v>2.8352020380807428E-3</v>
      </c>
    </row>
    <row r="80" spans="1:19" s="112" customFormat="1">
      <c r="A80" s="163" t="s">
        <v>1057</v>
      </c>
      <c r="B80" s="162">
        <f>HOMESTEAD!C58</f>
        <v>20551.230994807815</v>
      </c>
      <c r="C80" s="162">
        <f>HOMESTEAD!D58</f>
        <v>0</v>
      </c>
      <c r="D80" s="162">
        <f>HOMESTEAD!E58</f>
        <v>0</v>
      </c>
      <c r="E80" s="162">
        <f>HOMESTEAD!F58</f>
        <v>0</v>
      </c>
      <c r="F80" s="162">
        <f>HOMESTEAD!G58</f>
        <v>0</v>
      </c>
      <c r="G80" s="162">
        <f>HOMESTEAD!H58</f>
        <v>0</v>
      </c>
      <c r="H80" s="162">
        <f>HOMESTEAD!I58</f>
        <v>0</v>
      </c>
      <c r="I80" s="162">
        <f>HOMESTEAD!J58</f>
        <v>20551.230994807815</v>
      </c>
      <c r="J80" s="162">
        <f>HOMESTEAD!K58</f>
        <v>0</v>
      </c>
      <c r="K80" s="162">
        <f>HOMESTEAD!L58</f>
        <v>0</v>
      </c>
      <c r="L80" s="162">
        <f>HOMESTEAD!M58</f>
        <v>0</v>
      </c>
      <c r="M80" s="162">
        <f>HOMESTEAD!N58</f>
        <v>0</v>
      </c>
      <c r="N80" s="162">
        <f t="shared" ref="N80:N84" si="17">SUM(B80:M80)</f>
        <v>41102.461989615629</v>
      </c>
      <c r="O80" s="158">
        <f t="shared" ref="O80:O84" si="18">+N80/12</f>
        <v>3425.2051658013024</v>
      </c>
      <c r="P80" s="159">
        <f t="shared" ref="P80:P84" si="19">+O80/$O$45</f>
        <v>1.8100670436358576E-4</v>
      </c>
      <c r="Q80" s="125"/>
      <c r="R80" s="203"/>
      <c r="S80" s="198"/>
    </row>
    <row r="81" spans="1:19" s="112" customFormat="1">
      <c r="A81" s="163" t="s">
        <v>487</v>
      </c>
      <c r="B81" s="162">
        <f>LCEC!C59</f>
        <v>729243.6675621185</v>
      </c>
      <c r="C81" s="162">
        <f>LCEC!D59</f>
        <v>654650.46165759023</v>
      </c>
      <c r="D81" s="162">
        <f>LCEC!E59</f>
        <v>603275.64951211831</v>
      </c>
      <c r="E81" s="162">
        <f>LCEC!F59</f>
        <v>591012.52546677541</v>
      </c>
      <c r="F81" s="162">
        <f>LCEC!G59</f>
        <v>684847.26003287057</v>
      </c>
      <c r="G81" s="162">
        <f>LCEC!H59</f>
        <v>752108.90504498081</v>
      </c>
      <c r="H81" s="162">
        <f>LCEC!I59</f>
        <v>733115.22753193637</v>
      </c>
      <c r="I81" s="162">
        <f>LCEC!J59</f>
        <v>766732.83892759238</v>
      </c>
      <c r="J81" s="162">
        <f>LCEC!K59</f>
        <v>658437.90981861157</v>
      </c>
      <c r="K81" s="162">
        <f>LCEC!L59</f>
        <v>693524.83414618904</v>
      </c>
      <c r="L81" s="162">
        <f>LCEC!M59</f>
        <v>569677.30658885243</v>
      </c>
      <c r="M81" s="162">
        <f>LCEC!N59</f>
        <v>535486.95004009875</v>
      </c>
      <c r="N81" s="162">
        <f t="shared" si="17"/>
        <v>7972113.5363297332</v>
      </c>
      <c r="O81" s="158">
        <f t="shared" si="18"/>
        <v>664342.7946941444</v>
      </c>
      <c r="P81" s="159">
        <f t="shared" si="19"/>
        <v>3.5107531962147324E-2</v>
      </c>
      <c r="Q81" s="125"/>
      <c r="R81" s="197">
        <v>1314</v>
      </c>
      <c r="S81" s="198">
        <f>+R81/$R$90</f>
        <v>8.2787899511957696E-5</v>
      </c>
    </row>
    <row r="82" spans="1:19" s="112" customFormat="1">
      <c r="A82" s="163" t="s">
        <v>1053</v>
      </c>
      <c r="B82" s="162">
        <f>'NEW SMYRNA'!C58</f>
        <v>44038.35213173103</v>
      </c>
      <c r="C82" s="162">
        <f>'NEW SMYRNA'!D58</f>
        <v>0</v>
      </c>
      <c r="D82" s="162">
        <f>'NEW SMYRNA'!E58</f>
        <v>0</v>
      </c>
      <c r="E82" s="162">
        <f>'NEW SMYRNA'!F58</f>
        <v>0</v>
      </c>
      <c r="F82" s="162">
        <f>'NEW SMYRNA'!G58</f>
        <v>0</v>
      </c>
      <c r="G82" s="162">
        <f>'NEW SMYRNA'!H58</f>
        <v>0</v>
      </c>
      <c r="H82" s="162">
        <f>'NEW SMYRNA'!I58</f>
        <v>0</v>
      </c>
      <c r="I82" s="162">
        <f>'NEW SMYRNA'!J58</f>
        <v>44038.35213173103</v>
      </c>
      <c r="J82" s="162">
        <f>'NEW SMYRNA'!K58</f>
        <v>0</v>
      </c>
      <c r="K82" s="162">
        <f>'NEW SMYRNA'!L58</f>
        <v>0</v>
      </c>
      <c r="L82" s="162">
        <f>'NEW SMYRNA'!M58</f>
        <v>0</v>
      </c>
      <c r="M82" s="162">
        <f>'NEW SMYRNA'!N58</f>
        <v>0</v>
      </c>
      <c r="N82" s="162">
        <f t="shared" si="17"/>
        <v>88076.704263462059</v>
      </c>
      <c r="O82" s="158">
        <f t="shared" si="18"/>
        <v>7339.7253552885049</v>
      </c>
      <c r="P82" s="159">
        <f t="shared" si="19"/>
        <v>3.8787150935054088E-4</v>
      </c>
      <c r="Q82" s="125"/>
      <c r="R82" s="197">
        <v>209167.87416044922</v>
      </c>
      <c r="S82" s="198">
        <f>+R82/$R$90</f>
        <v>1.3178515180460489E-2</v>
      </c>
    </row>
    <row r="83" spans="1:19" s="112" customFormat="1">
      <c r="A83" s="163" t="s">
        <v>1058</v>
      </c>
      <c r="B83" s="162">
        <f>QUINCY!C58</f>
        <v>18593.970900064214</v>
      </c>
      <c r="C83" s="162">
        <f>QUINCY!D58</f>
        <v>0</v>
      </c>
      <c r="D83" s="162">
        <f>QUINCY!E58</f>
        <v>0</v>
      </c>
      <c r="E83" s="162">
        <f>QUINCY!F58</f>
        <v>0</v>
      </c>
      <c r="F83" s="162">
        <f>QUINCY!G58</f>
        <v>0</v>
      </c>
      <c r="G83" s="162">
        <f>QUINCY!H58</f>
        <v>0</v>
      </c>
      <c r="H83" s="162">
        <f>QUINCY!I58</f>
        <v>0</v>
      </c>
      <c r="I83" s="162">
        <f>QUINCY!J58</f>
        <v>18593.970900064211</v>
      </c>
      <c r="J83" s="162">
        <f>QUINCY!K58</f>
        <v>0</v>
      </c>
      <c r="K83" s="162">
        <f>QUINCY!L58</f>
        <v>0</v>
      </c>
      <c r="L83" s="162">
        <f>QUINCY!M58</f>
        <v>0</v>
      </c>
      <c r="M83" s="162">
        <f>QUINCY!N58</f>
        <v>0</v>
      </c>
      <c r="N83" s="162">
        <f t="shared" si="17"/>
        <v>37187.941800128421</v>
      </c>
      <c r="O83" s="158">
        <f t="shared" si="18"/>
        <v>3098.9951500107018</v>
      </c>
      <c r="P83" s="159">
        <f t="shared" si="19"/>
        <v>1.637679706146728E-4</v>
      </c>
      <c r="Q83" s="125"/>
      <c r="R83" s="197"/>
      <c r="S83" s="198"/>
    </row>
    <row r="84" spans="1:19" s="112" customFormat="1">
      <c r="A84" s="163" t="s">
        <v>489</v>
      </c>
      <c r="B84" s="156">
        <f>SEMINOLE!C59</f>
        <v>195726.00947436012</v>
      </c>
      <c r="C84" s="156">
        <f>SEMINOLE!D59</f>
        <v>195726.00947436015</v>
      </c>
      <c r="D84" s="156">
        <f>SEMINOLE!E59</f>
        <v>195726.00947436018</v>
      </c>
      <c r="E84" s="156">
        <f>SEMINOLE!F59</f>
        <v>195726.00947436015</v>
      </c>
      <c r="F84" s="156">
        <f>SEMINOLE!G59</f>
        <v>195726.00947436012</v>
      </c>
      <c r="G84" s="156">
        <f>SEMINOLE!H59</f>
        <v>195726.00947436015</v>
      </c>
      <c r="H84" s="156">
        <f>SEMINOLE!I59</f>
        <v>195726.00947436015</v>
      </c>
      <c r="I84" s="156">
        <f>SEMINOLE!J59</f>
        <v>195726.00947436012</v>
      </c>
      <c r="J84" s="156">
        <f>SEMINOLE!K59</f>
        <v>195726.00947436015</v>
      </c>
      <c r="K84" s="156">
        <f>SEMINOLE!L59</f>
        <v>195726.00947436015</v>
      </c>
      <c r="L84" s="156">
        <f>SEMINOLE!M59</f>
        <v>195726.00947436012</v>
      </c>
      <c r="M84" s="156">
        <f>SEMINOLE!N59</f>
        <v>195726.00947436015</v>
      </c>
      <c r="N84" s="162">
        <f t="shared" si="17"/>
        <v>2348712.1136923218</v>
      </c>
      <c r="O84" s="158">
        <f t="shared" si="18"/>
        <v>195726.00947436015</v>
      </c>
      <c r="P84" s="159">
        <f t="shared" si="19"/>
        <v>1.0343240249347758E-2</v>
      </c>
      <c r="Q84" s="125"/>
      <c r="R84" s="197">
        <v>0</v>
      </c>
      <c r="S84" s="198">
        <f>+R84/$R$90</f>
        <v>0</v>
      </c>
    </row>
    <row r="85" spans="1:19" s="112" customFormat="1">
      <c r="A85" s="163" t="s">
        <v>1054</v>
      </c>
      <c r="B85" s="156">
        <f>WAUCHULA!C58</f>
        <v>0</v>
      </c>
      <c r="C85" s="156">
        <f>WAUCHULA!D58</f>
        <v>0</v>
      </c>
      <c r="D85" s="156">
        <f>WAUCHULA!E58</f>
        <v>0</v>
      </c>
      <c r="E85" s="156">
        <f>WAUCHULA!F58</f>
        <v>0</v>
      </c>
      <c r="F85" s="156">
        <f>WAUCHULA!G58</f>
        <v>0</v>
      </c>
      <c r="G85" s="156">
        <f>WAUCHULA!H58</f>
        <v>0</v>
      </c>
      <c r="H85" s="156">
        <f>WAUCHULA!I58</f>
        <v>0</v>
      </c>
      <c r="I85" s="156">
        <f>WAUCHULA!J58</f>
        <v>0</v>
      </c>
      <c r="J85" s="156">
        <f>WAUCHULA!K58</f>
        <v>0</v>
      </c>
      <c r="K85" s="156">
        <f>WAUCHULA!L58</f>
        <v>0</v>
      </c>
      <c r="L85" s="156">
        <f>WAUCHULA!M58</f>
        <v>0</v>
      </c>
      <c r="M85" s="156">
        <f>WAUCHULA!N58</f>
        <v>0</v>
      </c>
      <c r="N85" s="162">
        <f t="shared" ref="N85:N86" si="20">SUM(B85:M85)</f>
        <v>0</v>
      </c>
      <c r="O85" s="158">
        <f t="shared" ref="O85:O86" si="21">+N85/12</f>
        <v>0</v>
      </c>
      <c r="P85" s="159">
        <f t="shared" ref="P85:P86" si="22">+O85/$O$45</f>
        <v>0</v>
      </c>
      <c r="Q85" s="125"/>
      <c r="R85" s="197"/>
      <c r="S85" s="198"/>
    </row>
    <row r="86" spans="1:19" s="112" customFormat="1">
      <c r="A86" s="163" t="s">
        <v>1056</v>
      </c>
      <c r="B86" s="156">
        <f>'WINTER PARK'!C58</f>
        <v>58717.80284230804</v>
      </c>
      <c r="C86" s="156">
        <f>'WINTER PARK'!D58</f>
        <v>0</v>
      </c>
      <c r="D86" s="156">
        <f>'WINTER PARK'!E58</f>
        <v>0</v>
      </c>
      <c r="E86" s="156">
        <f>'WINTER PARK'!F58</f>
        <v>0</v>
      </c>
      <c r="F86" s="156">
        <f>'WINTER PARK'!G58</f>
        <v>0</v>
      </c>
      <c r="G86" s="156">
        <f>'WINTER PARK'!H58</f>
        <v>0</v>
      </c>
      <c r="H86" s="156">
        <f>'WINTER PARK'!I58</f>
        <v>0</v>
      </c>
      <c r="I86" s="156">
        <f>'WINTER PARK'!J58</f>
        <v>58717.80284230804</v>
      </c>
      <c r="J86" s="156">
        <f>'WINTER PARK'!K58</f>
        <v>0</v>
      </c>
      <c r="K86" s="156">
        <f>'WINTER PARK'!L58</f>
        <v>0</v>
      </c>
      <c r="L86" s="156">
        <f>'WINTER PARK'!M58</f>
        <v>0</v>
      </c>
      <c r="M86" s="156">
        <f>'WINTER PARK'!N58</f>
        <v>0</v>
      </c>
      <c r="N86" s="162">
        <f t="shared" si="20"/>
        <v>117435.60568461608</v>
      </c>
      <c r="O86" s="158">
        <f t="shared" si="21"/>
        <v>9786.3004737180072</v>
      </c>
      <c r="P86" s="159">
        <f t="shared" si="22"/>
        <v>5.1716201246738785E-4</v>
      </c>
      <c r="Q86" s="125"/>
      <c r="R86" s="197"/>
      <c r="S86" s="198"/>
    </row>
    <row r="87" spans="1:19" s="112" customFormat="1">
      <c r="A87" s="125"/>
      <c r="B87" s="155"/>
      <c r="C87" s="155"/>
      <c r="D87" s="155"/>
      <c r="E87" s="155"/>
      <c r="F87" s="155"/>
      <c r="G87" s="155"/>
      <c r="H87" s="155"/>
      <c r="I87" s="155"/>
      <c r="J87" s="155"/>
      <c r="K87" s="155"/>
      <c r="L87" s="155"/>
      <c r="M87" s="155"/>
      <c r="N87" s="155"/>
      <c r="O87" s="157"/>
      <c r="P87" s="125"/>
      <c r="Q87" s="125"/>
      <c r="R87" s="201"/>
      <c r="S87" s="198"/>
    </row>
    <row r="88" spans="1:19" s="112" customFormat="1">
      <c r="A88" s="126" t="s">
        <v>509</v>
      </c>
      <c r="B88" s="161">
        <f t="shared" ref="B88:O88" si="23">SUM(B78:B87)</f>
        <v>1176872.3715170724</v>
      </c>
      <c r="C88" s="161">
        <f t="shared" si="23"/>
        <v>967421.84271767689</v>
      </c>
      <c r="D88" s="161">
        <f t="shared" si="23"/>
        <v>910074.26247069251</v>
      </c>
      <c r="E88" s="161">
        <f t="shared" si="23"/>
        <v>918643.10205591214</v>
      </c>
      <c r="F88" s="161">
        <f t="shared" si="23"/>
        <v>1020786.4773999987</v>
      </c>
      <c r="G88" s="161">
        <f t="shared" si="23"/>
        <v>1092136.0669891266</v>
      </c>
      <c r="H88" s="161">
        <f t="shared" si="23"/>
        <v>1084187.9036282627</v>
      </c>
      <c r="I88" s="161">
        <f t="shared" si="23"/>
        <v>1256843.6861686721</v>
      </c>
      <c r="J88" s="161">
        <f t="shared" si="23"/>
        <v>994836.32875503507</v>
      </c>
      <c r="K88" s="161">
        <f t="shared" si="23"/>
        <v>1023745.0874299929</v>
      </c>
      <c r="L88" s="161">
        <f t="shared" si="23"/>
        <v>884723.37747713528</v>
      </c>
      <c r="M88" s="161">
        <f t="shared" si="23"/>
        <v>844942.77356614033</v>
      </c>
      <c r="N88" s="161">
        <f t="shared" si="23"/>
        <v>12175213.280175716</v>
      </c>
      <c r="O88" s="161">
        <f t="shared" si="23"/>
        <v>1014601.1066813095</v>
      </c>
      <c r="P88" s="159">
        <f>+O88/$O$45</f>
        <v>5.3617110121655209E-2</v>
      </c>
      <c r="Q88" s="126"/>
      <c r="R88" s="200">
        <f>SUM(R78:R87)</f>
        <v>363140.3767827882</v>
      </c>
      <c r="S88" s="198">
        <f>+R88/$R$90</f>
        <v>2.2879474141421555E-2</v>
      </c>
    </row>
    <row r="89" spans="1:19" s="112" customFormat="1">
      <c r="A89" s="125"/>
      <c r="B89" s="155"/>
      <c r="C89" s="155"/>
      <c r="D89" s="155"/>
      <c r="E89" s="155"/>
      <c r="F89" s="155"/>
      <c r="G89" s="155"/>
      <c r="H89" s="155"/>
      <c r="I89" s="155"/>
      <c r="J89" s="155"/>
      <c r="K89" s="155"/>
      <c r="L89" s="155"/>
      <c r="M89" s="155"/>
      <c r="N89" s="155"/>
      <c r="O89" s="157"/>
      <c r="P89" s="125"/>
      <c r="Q89" s="125"/>
      <c r="R89" s="201"/>
      <c r="S89" s="198"/>
    </row>
    <row r="90" spans="1:19" s="112" customFormat="1" ht="13.8" thickBot="1">
      <c r="A90" s="126" t="s">
        <v>498</v>
      </c>
      <c r="B90" s="160">
        <f t="shared" ref="B90:N90" si="24">+B75+B88</f>
        <v>19925268.677888203</v>
      </c>
      <c r="C90" s="160">
        <f t="shared" si="24"/>
        <v>17324622.942875728</v>
      </c>
      <c r="D90" s="160">
        <f t="shared" si="24"/>
        <v>17269233.156936072</v>
      </c>
      <c r="E90" s="160">
        <f t="shared" si="24"/>
        <v>18748409.849989075</v>
      </c>
      <c r="F90" s="160">
        <f t="shared" si="24"/>
        <v>20486537.308977403</v>
      </c>
      <c r="G90" s="160">
        <f t="shared" si="24"/>
        <v>21860966.816645272</v>
      </c>
      <c r="H90" s="160">
        <f t="shared" si="24"/>
        <v>22246070.382238835</v>
      </c>
      <c r="I90" s="160">
        <f t="shared" si="24"/>
        <v>22932890.113536913</v>
      </c>
      <c r="J90" s="160">
        <f t="shared" si="24"/>
        <v>21472719.388548296</v>
      </c>
      <c r="K90" s="160">
        <f t="shared" si="24"/>
        <v>20206020.075538319</v>
      </c>
      <c r="L90" s="160">
        <f t="shared" si="24"/>
        <v>17756889.511411078</v>
      </c>
      <c r="M90" s="160">
        <f t="shared" si="24"/>
        <v>17058893.109886892</v>
      </c>
      <c r="N90" s="160">
        <f t="shared" si="24"/>
        <v>237288521.33447209</v>
      </c>
      <c r="O90" s="160">
        <f>+O75+O88</f>
        <v>19774043.444539342</v>
      </c>
      <c r="P90" s="159">
        <f>+O90/$O$45</f>
        <v>1.0449693558724671</v>
      </c>
      <c r="Q90" s="125"/>
      <c r="R90" s="204">
        <f>+R75+R88</f>
        <v>15871884.753039408</v>
      </c>
      <c r="S90" s="198">
        <f>+R90/$R$90</f>
        <v>1</v>
      </c>
    </row>
    <row r="91" spans="1:19" s="112" customFormat="1" ht="13.8" thickTop="1">
      <c r="B91" s="156"/>
      <c r="C91" s="156"/>
      <c r="D91" s="156"/>
      <c r="E91" s="156"/>
      <c r="F91" s="156"/>
      <c r="G91" s="156"/>
      <c r="H91" s="156"/>
      <c r="I91" s="156"/>
      <c r="J91" s="156"/>
      <c r="K91" s="156"/>
      <c r="L91" s="156"/>
      <c r="M91" s="156"/>
      <c r="N91" s="156"/>
      <c r="S91" s="198"/>
    </row>
    <row r="92" spans="1:19" s="112" customFormat="1">
      <c r="B92" s="156"/>
      <c r="C92" s="156"/>
      <c r="D92" s="156"/>
      <c r="E92" s="156"/>
      <c r="F92" s="156"/>
      <c r="G92" s="156"/>
      <c r="H92" s="156"/>
      <c r="I92" s="156"/>
      <c r="J92" s="156"/>
      <c r="K92" s="156"/>
      <c r="L92" s="156"/>
      <c r="M92" s="156"/>
      <c r="N92" s="156"/>
    </row>
    <row r="93" spans="1:19" s="112" customFormat="1">
      <c r="B93" s="156"/>
      <c r="C93" s="156"/>
      <c r="D93" s="156"/>
      <c r="E93" s="156"/>
      <c r="F93" s="156"/>
      <c r="G93" s="156"/>
      <c r="H93" s="156"/>
      <c r="I93" s="156"/>
      <c r="J93" s="156"/>
      <c r="K93" s="156"/>
      <c r="L93" s="156"/>
      <c r="M93" s="156"/>
      <c r="N93" s="156"/>
    </row>
    <row r="94" spans="1:19" s="112" customFormat="1">
      <c r="B94" s="156"/>
      <c r="C94" s="156"/>
      <c r="D94" s="156"/>
      <c r="E94" s="156"/>
      <c r="F94" s="156"/>
      <c r="G94" s="156"/>
      <c r="H94" s="156"/>
      <c r="I94" s="156"/>
      <c r="J94" s="156"/>
      <c r="K94" s="156"/>
      <c r="L94" s="156"/>
      <c r="M94" s="156"/>
      <c r="N94" s="156"/>
    </row>
    <row r="95" spans="1:19" s="112" customFormat="1" ht="21">
      <c r="A95" s="124" t="s">
        <v>530</v>
      </c>
      <c r="B95" s="165"/>
      <c r="C95" s="165"/>
      <c r="D95" s="165"/>
      <c r="E95" s="165"/>
      <c r="F95" s="165"/>
      <c r="G95" s="165"/>
      <c r="H95" s="165"/>
      <c r="I95" s="165"/>
      <c r="J95" s="165"/>
      <c r="K95" s="165"/>
      <c r="L95" s="165"/>
      <c r="M95" s="165"/>
      <c r="N95" s="165"/>
      <c r="O95" s="165"/>
      <c r="P95" s="172"/>
      <c r="Q95" s="172"/>
      <c r="R95" s="172"/>
      <c r="S95" s="172"/>
    </row>
    <row r="96" spans="1:19" s="112" customFormat="1" ht="21">
      <c r="A96" s="124" t="str">
        <f>MANUAL!$B$11&amp;" - SUBSEQUENT YEAR"</f>
        <v>2018 - SUBSEQUENT YEAR</v>
      </c>
      <c r="B96" s="165"/>
      <c r="C96" s="165"/>
      <c r="D96" s="165"/>
      <c r="E96" s="165"/>
      <c r="F96" s="165"/>
      <c r="G96" s="165"/>
      <c r="H96" s="165"/>
      <c r="I96" s="165"/>
      <c r="J96" s="165"/>
      <c r="K96" s="165"/>
      <c r="L96" s="165"/>
      <c r="M96" s="165"/>
      <c r="N96" s="165"/>
      <c r="O96" s="165"/>
      <c r="P96" s="172"/>
      <c r="Q96" s="172"/>
      <c r="R96" s="172"/>
      <c r="S96" s="172"/>
    </row>
    <row r="97" spans="1:19" s="112" customFormat="1" ht="21.6" thickBot="1">
      <c r="A97" s="124"/>
      <c r="B97" s="165"/>
      <c r="C97" s="165"/>
      <c r="D97" s="165"/>
      <c r="E97" s="165"/>
      <c r="F97" s="165"/>
      <c r="G97" s="165"/>
      <c r="H97" s="165"/>
      <c r="I97" s="165"/>
      <c r="J97" s="165"/>
      <c r="K97" s="165"/>
      <c r="L97" s="165"/>
      <c r="M97" s="165"/>
      <c r="N97" s="165"/>
      <c r="O97" s="165"/>
      <c r="P97" s="172"/>
      <c r="Q97" s="172"/>
      <c r="R97" s="172"/>
      <c r="S97" s="172"/>
    </row>
    <row r="98" spans="1:19" s="112" customFormat="1" ht="13.8" thickBot="1">
      <c r="A98" s="168"/>
      <c r="B98" s="572" t="s">
        <v>339</v>
      </c>
      <c r="C98" s="573"/>
      <c r="D98" s="574"/>
      <c r="E98" s="575" t="s">
        <v>340</v>
      </c>
      <c r="F98" s="576"/>
      <c r="G98" s="576"/>
      <c r="H98" s="576"/>
      <c r="I98" s="576"/>
      <c r="J98" s="576"/>
      <c r="K98" s="577"/>
      <c r="L98" s="572" t="s">
        <v>339</v>
      </c>
      <c r="M98" s="574"/>
      <c r="N98" s="166"/>
      <c r="O98" s="164"/>
      <c r="P98" s="164"/>
      <c r="Q98" s="164"/>
      <c r="R98" s="154"/>
      <c r="S98" s="154"/>
    </row>
    <row r="99" spans="1:19" s="112" customFormat="1" ht="13.8" thickBot="1">
      <c r="A99" s="171" t="s">
        <v>454</v>
      </c>
      <c r="B99" s="100" t="s">
        <v>70</v>
      </c>
      <c r="C99" s="100" t="s">
        <v>71</v>
      </c>
      <c r="D99" s="100" t="s">
        <v>72</v>
      </c>
      <c r="E99" s="103" t="s">
        <v>73</v>
      </c>
      <c r="F99" s="103" t="s">
        <v>74</v>
      </c>
      <c r="G99" s="103" t="s">
        <v>75</v>
      </c>
      <c r="H99" s="103" t="s">
        <v>76</v>
      </c>
      <c r="I99" s="103" t="s">
        <v>77</v>
      </c>
      <c r="J99" s="103" t="s">
        <v>78</v>
      </c>
      <c r="K99" s="103" t="s">
        <v>79</v>
      </c>
      <c r="L99" s="100" t="s">
        <v>80</v>
      </c>
      <c r="M99" s="100" t="s">
        <v>81</v>
      </c>
      <c r="N99" s="170" t="s">
        <v>60</v>
      </c>
      <c r="O99" s="348" t="s">
        <v>496</v>
      </c>
      <c r="P99" s="348" t="s">
        <v>455</v>
      </c>
      <c r="Q99" s="165"/>
      <c r="R99" s="578" t="s">
        <v>456</v>
      </c>
      <c r="S99" s="579"/>
    </row>
    <row r="100" spans="1:19" s="112" customFormat="1">
      <c r="A100" s="168"/>
      <c r="B100" s="167"/>
      <c r="C100" s="167"/>
      <c r="D100" s="167"/>
      <c r="E100" s="167"/>
      <c r="F100" s="167"/>
      <c r="G100" s="167"/>
      <c r="H100" s="167"/>
      <c r="I100" s="167"/>
      <c r="J100" s="167"/>
      <c r="K100" s="167"/>
      <c r="L100" s="167"/>
      <c r="M100" s="167"/>
      <c r="N100" s="166"/>
      <c r="O100" s="165"/>
      <c r="P100" s="164"/>
      <c r="Q100" s="164"/>
      <c r="R100" s="154"/>
      <c r="S100" s="154"/>
    </row>
    <row r="101" spans="1:19" s="112" customFormat="1">
      <c r="A101" s="42" t="s">
        <v>83</v>
      </c>
      <c r="B101" s="81"/>
      <c r="C101" s="81"/>
      <c r="D101" s="81"/>
      <c r="E101" s="81"/>
      <c r="F101" s="81"/>
      <c r="G101" s="81"/>
      <c r="H101" s="81"/>
      <c r="I101" s="81"/>
      <c r="J101" s="81"/>
      <c r="K101" s="81"/>
      <c r="L101" s="81"/>
      <c r="M101" s="81"/>
      <c r="N101" s="81"/>
      <c r="O101" s="81"/>
      <c r="P101" s="81"/>
      <c r="Q101" s="81"/>
      <c r="R101" s="81"/>
      <c r="S101" s="81"/>
    </row>
    <row r="102" spans="1:19" s="112" customFormat="1">
      <c r="A102" s="163" t="s">
        <v>84</v>
      </c>
      <c r="B102" s="162">
        <f>+'CILC-1D'!C$71</f>
        <v>353349.64192348311</v>
      </c>
      <c r="C102" s="162">
        <f>+'CILC-1D'!D$71</f>
        <v>361802.60855519096</v>
      </c>
      <c r="D102" s="162">
        <f>+'CILC-1D'!E$71</f>
        <v>331170.12827320758</v>
      </c>
      <c r="E102" s="162">
        <f>+'CILC-1D'!F$71</f>
        <v>357970.56168578489</v>
      </c>
      <c r="F102" s="162">
        <f>+'CILC-1D'!G$71</f>
        <v>356505.57573414472</v>
      </c>
      <c r="G102" s="162">
        <f>+'CILC-1D'!H$71</f>
        <v>372146.08755869948</v>
      </c>
      <c r="H102" s="162">
        <f>+'CILC-1D'!I$71</f>
        <v>366251.3279572592</v>
      </c>
      <c r="I102" s="162">
        <f>+'CILC-1D'!J$71</f>
        <v>378101.7542149417</v>
      </c>
      <c r="J102" s="162">
        <f>+'CILC-1D'!K$71</f>
        <v>351181.87214276835</v>
      </c>
      <c r="K102" s="162">
        <f>+'CILC-1D'!L$71</f>
        <v>342734.72407989472</v>
      </c>
      <c r="L102" s="162">
        <f>+'CILC-1D'!M$71</f>
        <v>337864.34817893896</v>
      </c>
      <c r="M102" s="162">
        <f>+'CILC-1D'!N$71</f>
        <v>342430.20208395738</v>
      </c>
      <c r="N102" s="162">
        <f t="shared" ref="N102:N118" si="25">SUM(B102:M102)</f>
        <v>4251508.8323882706</v>
      </c>
      <c r="O102" s="158">
        <f t="shared" ref="O102:O104" si="26">+N102/12</f>
        <v>354292.40269902255</v>
      </c>
      <c r="P102" s="159">
        <f t="shared" ref="P102:P118" si="27">+O102/$O$45</f>
        <v>1.8722761729399604E-2</v>
      </c>
      <c r="Q102" s="154"/>
      <c r="R102" s="197">
        <v>381841.99298296799</v>
      </c>
      <c r="S102" s="198">
        <v>1.233500985483421E-2</v>
      </c>
    </row>
    <row r="103" spans="1:19" s="112" customFormat="1">
      <c r="A103" s="163" t="s">
        <v>85</v>
      </c>
      <c r="B103" s="162">
        <f>+'CILC-1G'!C$71</f>
        <v>13720.296068439491</v>
      </c>
      <c r="C103" s="162">
        <f>+'CILC-1G'!D$71</f>
        <v>14060.789784890174</v>
      </c>
      <c r="D103" s="162">
        <f>+'CILC-1G'!E$71</f>
        <v>12967.781719779785</v>
      </c>
      <c r="E103" s="162">
        <f>+'CILC-1G'!F$71</f>
        <v>13712.655918622437</v>
      </c>
      <c r="F103" s="162">
        <f>+'CILC-1G'!G$71</f>
        <v>14030.841019289326</v>
      </c>
      <c r="G103" s="162">
        <f>+'CILC-1G'!H$71</f>
        <v>14319.676838183637</v>
      </c>
      <c r="H103" s="162">
        <f>+'CILC-1G'!I$71</f>
        <v>14119.258489668797</v>
      </c>
      <c r="I103" s="162">
        <f>+'CILC-1G'!J$71</f>
        <v>14605.193285210538</v>
      </c>
      <c r="J103" s="162">
        <f>+'CILC-1G'!K$71</f>
        <v>13577.49940013334</v>
      </c>
      <c r="K103" s="162">
        <f>+'CILC-1G'!L$71</f>
        <v>13381.881340895996</v>
      </c>
      <c r="L103" s="162">
        <f>+'CILC-1G'!M$71</f>
        <v>12740.195131787899</v>
      </c>
      <c r="M103" s="162">
        <f>+'CILC-1G'!N$71</f>
        <v>13060.274113905869</v>
      </c>
      <c r="N103" s="162">
        <f t="shared" si="25"/>
        <v>164296.34311080727</v>
      </c>
      <c r="O103" s="158">
        <f t="shared" si="26"/>
        <v>13691.361925900606</v>
      </c>
      <c r="P103" s="159">
        <f t="shared" si="27"/>
        <v>7.2352696568369831E-4</v>
      </c>
      <c r="Q103" s="154"/>
      <c r="R103" s="197">
        <v>25331.553062027349</v>
      </c>
      <c r="S103" s="198">
        <v>8.0077391883775844E-4</v>
      </c>
    </row>
    <row r="104" spans="1:19" s="112" customFormat="1">
      <c r="A104" s="163" t="s">
        <v>50</v>
      </c>
      <c r="B104" s="162">
        <f>+'CILC-1T'!C$71</f>
        <v>183675.59962899442</v>
      </c>
      <c r="C104" s="162">
        <f>+'CILC-1T'!D$71</f>
        <v>194756.89863740801</v>
      </c>
      <c r="D104" s="162">
        <f>+'CILC-1T'!E$71</f>
        <v>199103.10885575155</v>
      </c>
      <c r="E104" s="162">
        <f>+'CILC-1T'!F$71</f>
        <v>189963.92653296088</v>
      </c>
      <c r="F104" s="162">
        <f>+'CILC-1T'!G$71</f>
        <v>201089.4628712103</v>
      </c>
      <c r="G104" s="162">
        <f>+'CILC-1T'!H$71</f>
        <v>196147.56332278685</v>
      </c>
      <c r="H104" s="162">
        <f>+'CILC-1T'!I$71</f>
        <v>194765.70425145232</v>
      </c>
      <c r="I104" s="162">
        <f>+'CILC-1T'!J$71</f>
        <v>198378.86341107805</v>
      </c>
      <c r="J104" s="162">
        <f>+'CILC-1T'!K$71</f>
        <v>187615.29172549956</v>
      </c>
      <c r="K104" s="162">
        <f>+'CILC-1T'!L$71</f>
        <v>184565.46929095453</v>
      </c>
      <c r="L104" s="162">
        <f>+'CILC-1T'!M$71</f>
        <v>195555.52071977025</v>
      </c>
      <c r="M104" s="162">
        <f>+'CILC-1T'!N$71</f>
        <v>196375.00174022606</v>
      </c>
      <c r="N104" s="162">
        <f t="shared" si="25"/>
        <v>2321992.4109880929</v>
      </c>
      <c r="O104" s="158">
        <f t="shared" si="26"/>
        <v>193499.36758234107</v>
      </c>
      <c r="P104" s="159">
        <f t="shared" si="27"/>
        <v>1.0225572229137943E-2</v>
      </c>
      <c r="Q104" s="154"/>
      <c r="R104" s="197">
        <v>183520.70459243518</v>
      </c>
      <c r="S104" s="198">
        <v>6.5542578457231434E-3</v>
      </c>
    </row>
    <row r="105" spans="1:19" s="112" customFormat="1">
      <c r="A105" s="163" t="s">
        <v>49</v>
      </c>
      <c r="B105" s="162">
        <f>+'GS(T)-1'!C$72</f>
        <v>698388.79686254682</v>
      </c>
      <c r="C105" s="162">
        <f>+'GS(T)-1'!D$72</f>
        <v>1045276.209628881</v>
      </c>
      <c r="D105" s="162">
        <f>+'GS(T)-1'!E$72</f>
        <v>682749.59508606733</v>
      </c>
      <c r="E105" s="162">
        <f>+'GS(T)-1'!F$72</f>
        <v>1057906.844032916</v>
      </c>
      <c r="F105" s="162">
        <f>+'GS(T)-1'!G$72</f>
        <v>1160990.2290927269</v>
      </c>
      <c r="G105" s="162">
        <f>+'GS(T)-1'!H$72</f>
        <v>1300351.4494133252</v>
      </c>
      <c r="H105" s="162">
        <f>+'GS(T)-1'!I$72</f>
        <v>1292281.4120257662</v>
      </c>
      <c r="I105" s="162">
        <f>+'GS(T)-1'!J$72</f>
        <v>1319438.5177063679</v>
      </c>
      <c r="J105" s="162">
        <f>+'GS(T)-1'!K$72</f>
        <v>1162923.0268580697</v>
      </c>
      <c r="K105" s="162">
        <f>+'GS(T)-1'!L$72</f>
        <v>1118592.4969217153</v>
      </c>
      <c r="L105" s="162">
        <f>+'GS(T)-1'!M$72</f>
        <v>1016830.6016671542</v>
      </c>
      <c r="M105" s="162">
        <f>+'GS(T)-1'!N$72</f>
        <v>905518.90608711855</v>
      </c>
      <c r="N105" s="162">
        <f t="shared" si="25"/>
        <v>12761248.085382655</v>
      </c>
      <c r="O105" s="158">
        <f>+N105/12</f>
        <v>1063437.3404485546</v>
      </c>
      <c r="P105" s="159">
        <f t="shared" si="27"/>
        <v>5.6197885666430705E-2</v>
      </c>
      <c r="Q105" s="154"/>
      <c r="R105" s="197">
        <v>1016225.3294178162</v>
      </c>
      <c r="S105" s="198">
        <v>4.8679488836756178E-2</v>
      </c>
    </row>
    <row r="106" spans="1:19" s="112" customFormat="1">
      <c r="A106" s="163" t="s">
        <v>325</v>
      </c>
      <c r="B106" s="162">
        <f>+'GSCU-1'!C$72</f>
        <v>8531.748535400835</v>
      </c>
      <c r="C106" s="162">
        <f>+'GSCU-1'!D$72</f>
        <v>9067.9539690662405</v>
      </c>
      <c r="D106" s="162">
        <f>+'GSCU-1'!E$72</f>
        <v>8949.1726749414593</v>
      </c>
      <c r="E106" s="162">
        <f>+'GSCU-1'!F$72</f>
        <v>8663.9866414519947</v>
      </c>
      <c r="F106" s="162">
        <f>+'GSCU-1'!G$72</f>
        <v>8821.7218010160232</v>
      </c>
      <c r="G106" s="162">
        <f>+'GSCU-1'!H$72</f>
        <v>8721.7268171029773</v>
      </c>
      <c r="H106" s="162">
        <f>+'GSCU-1'!I$72</f>
        <v>8548.9609338665232</v>
      </c>
      <c r="I106" s="162">
        <f>+'GSCU-1'!J$72</f>
        <v>8851.5968546986278</v>
      </c>
      <c r="J106" s="162">
        <f>+'GSCU-1'!K$72</f>
        <v>8415.6707327519671</v>
      </c>
      <c r="K106" s="162">
        <f>+'GSCU-1'!L$72</f>
        <v>8231.2436242605145</v>
      </c>
      <c r="L106" s="162">
        <f>+'GSCU-1'!M$72</f>
        <v>8208.580694640661</v>
      </c>
      <c r="M106" s="162">
        <f>+'GSCU-1'!N$72</f>
        <v>8287.4191306817102</v>
      </c>
      <c r="N106" s="162">
        <f t="shared" si="25"/>
        <v>103299.78240987954</v>
      </c>
      <c r="O106" s="158">
        <f t="shared" ref="O106:O118" si="28">+N106/12</f>
        <v>8608.3152008232955</v>
      </c>
      <c r="P106" s="159">
        <f t="shared" si="27"/>
        <v>4.5491078320835781E-4</v>
      </c>
      <c r="Q106" s="154"/>
      <c r="R106" s="197">
        <v>3647.5456916255389</v>
      </c>
      <c r="S106" s="198">
        <v>9.9432619672031332E-5</v>
      </c>
    </row>
    <row r="107" spans="1:19" s="112" customFormat="1">
      <c r="A107" s="163" t="s">
        <v>67</v>
      </c>
      <c r="B107" s="162">
        <f>+'GSD(T)-1'!C$72</f>
        <v>3398141.6433676942</v>
      </c>
      <c r="C107" s="162">
        <f>+'GSD(T)-1'!D$72</f>
        <v>4006471.3723642332</v>
      </c>
      <c r="D107" s="162">
        <f>+'GSD(T)-1'!E$72</f>
        <v>3310986.9986908417</v>
      </c>
      <c r="E107" s="162">
        <f>+'GSD(T)-1'!F$72</f>
        <v>4027006.3795206537</v>
      </c>
      <c r="F107" s="162">
        <f>+'GSD(T)-1'!G$72</f>
        <v>4359904.1155952932</v>
      </c>
      <c r="G107" s="162">
        <f>+'GSD(T)-1'!H$72</f>
        <v>4584118.0830018204</v>
      </c>
      <c r="H107" s="162">
        <f>+'GSD(T)-1'!I$72</f>
        <v>4629134.3161336724</v>
      </c>
      <c r="I107" s="162">
        <f>+'GSD(T)-1'!J$72</f>
        <v>4640186.6403206792</v>
      </c>
      <c r="J107" s="162">
        <f>+'GSD(T)-1'!K$72</f>
        <v>4339386.8120165234</v>
      </c>
      <c r="K107" s="162">
        <f>+'GSD(T)-1'!L$72</f>
        <v>4257396.1907815654</v>
      </c>
      <c r="L107" s="162">
        <f>+'GSD(T)-1'!M$72</f>
        <v>3993425.9239700236</v>
      </c>
      <c r="M107" s="162">
        <f>+'GSD(T)-1'!N$72</f>
        <v>3759950.3183885794</v>
      </c>
      <c r="N107" s="162">
        <f t="shared" si="25"/>
        <v>49306108.794151574</v>
      </c>
      <c r="O107" s="158">
        <f t="shared" si="28"/>
        <v>4108842.3995126314</v>
      </c>
      <c r="P107" s="159">
        <f t="shared" si="27"/>
        <v>0.21713386074237082</v>
      </c>
      <c r="Q107" s="154"/>
      <c r="R107" s="197">
        <v>3506934.8702252735</v>
      </c>
      <c r="S107" s="198">
        <v>0.13513361819416622</v>
      </c>
    </row>
    <row r="108" spans="1:19" s="112" customFormat="1">
      <c r="A108" s="163" t="s">
        <v>68</v>
      </c>
      <c r="B108" s="162">
        <f>+'GSLD(T)-1'!C$71</f>
        <v>1465290.5325141579</v>
      </c>
      <c r="C108" s="162">
        <f>+'GSLD(T)-1'!D$71</f>
        <v>1706370.3543894158</v>
      </c>
      <c r="D108" s="162">
        <f>+'GSLD(T)-1'!E$71</f>
        <v>1427294.3552634828</v>
      </c>
      <c r="E108" s="162">
        <f>+'GSLD(T)-1'!F$71</f>
        <v>1648082.1303820838</v>
      </c>
      <c r="F108" s="162">
        <f>+'GSLD(T)-1'!G$71</f>
        <v>1743381.2687417087</v>
      </c>
      <c r="G108" s="162">
        <f>+'GSLD(T)-1'!H$71</f>
        <v>1831843.6754303798</v>
      </c>
      <c r="H108" s="162">
        <f>+'GSLD(T)-1'!I$71</f>
        <v>1759659.0978182687</v>
      </c>
      <c r="I108" s="162">
        <f>+'GSLD(T)-1'!J$71</f>
        <v>1820958.3490329061</v>
      </c>
      <c r="J108" s="162">
        <f>+'GSLD(T)-1'!K$71</f>
        <v>1642440.8767967934</v>
      </c>
      <c r="K108" s="162">
        <f>+'GSLD(T)-1'!L$71</f>
        <v>1752718.1086424384</v>
      </c>
      <c r="L108" s="162">
        <f>+'GSLD(T)-1'!M$71</f>
        <v>1607578.2087142812</v>
      </c>
      <c r="M108" s="162">
        <f>+'GSLD(T)-1'!N$71</f>
        <v>1526885.3365716282</v>
      </c>
      <c r="N108" s="162">
        <f t="shared" si="25"/>
        <v>19932502.294297546</v>
      </c>
      <c r="O108" s="158">
        <f t="shared" si="28"/>
        <v>1661041.8578581288</v>
      </c>
      <c r="P108" s="159">
        <f t="shared" si="27"/>
        <v>8.7778599513623698E-2</v>
      </c>
      <c r="Q108" s="154"/>
      <c r="R108" s="197">
        <v>800537.38074261136</v>
      </c>
      <c r="S108" s="198">
        <v>2.6477954229070105E-2</v>
      </c>
    </row>
    <row r="109" spans="1:19" s="112" customFormat="1">
      <c r="A109" s="163" t="s">
        <v>69</v>
      </c>
      <c r="B109" s="162">
        <f>+'GSLD(T)-2'!C$71</f>
        <v>306325.56955002289</v>
      </c>
      <c r="C109" s="162">
        <f>+'GSLD(T)-2'!D$71</f>
        <v>344549.13822153688</v>
      </c>
      <c r="D109" s="162">
        <f>+'GSLD(T)-2'!E$71</f>
        <v>309951.94873697363</v>
      </c>
      <c r="E109" s="162">
        <f>+'GSLD(T)-2'!F$71</f>
        <v>320700.9764646776</v>
      </c>
      <c r="F109" s="162">
        <f>+'GSLD(T)-2'!G$71</f>
        <v>334659.02347613667</v>
      </c>
      <c r="G109" s="162">
        <f>+'GSLD(T)-2'!H$71</f>
        <v>336530.56730394077</v>
      </c>
      <c r="H109" s="162">
        <f>+'GSLD(T)-2'!I$71</f>
        <v>344117.04519037978</v>
      </c>
      <c r="I109" s="162">
        <f>+'GSLD(T)-2'!J$71</f>
        <v>349260.67174394475</v>
      </c>
      <c r="J109" s="162">
        <f>+'GSLD(T)-2'!K$71</f>
        <v>327498.98899022304</v>
      </c>
      <c r="K109" s="162">
        <f>+'GSLD(T)-2'!L$71</f>
        <v>325543.3149252967</v>
      </c>
      <c r="L109" s="162">
        <f>+'GSLD(T)-2'!M$71</f>
        <v>332058.35253853607</v>
      </c>
      <c r="M109" s="162">
        <f>+'GSLD(T)-2'!N$71</f>
        <v>330392.23330520146</v>
      </c>
      <c r="N109" s="162">
        <f t="shared" si="25"/>
        <v>3961587.8304468705</v>
      </c>
      <c r="O109" s="158">
        <f t="shared" si="28"/>
        <v>330132.31920390588</v>
      </c>
      <c r="P109" s="159">
        <f t="shared" si="27"/>
        <v>1.7446009862310478E-2</v>
      </c>
      <c r="Q109" s="154"/>
      <c r="R109" s="197">
        <v>112019.60749566353</v>
      </c>
      <c r="S109" s="198">
        <v>4.0575218272521918E-3</v>
      </c>
    </row>
    <row r="110" spans="1:19" s="112" customFormat="1">
      <c r="A110" s="163" t="s">
        <v>52</v>
      </c>
      <c r="B110" s="162">
        <f>+'GSLD(T)-3'!C$71</f>
        <v>23165.48104411742</v>
      </c>
      <c r="C110" s="162">
        <f>+'GSLD(T)-3'!D$71</f>
        <v>27048.622753068437</v>
      </c>
      <c r="D110" s="162">
        <f>+'GSLD(T)-3'!E$71</f>
        <v>25915.162707454678</v>
      </c>
      <c r="E110" s="162">
        <f>+'GSLD(T)-3'!F$71</f>
        <v>27616.336604310727</v>
      </c>
      <c r="F110" s="162">
        <f>+'GSLD(T)-3'!G$71</f>
        <v>25458.303023398716</v>
      </c>
      <c r="G110" s="162">
        <f>+'GSLD(T)-3'!H$71</f>
        <v>27155.051708630894</v>
      </c>
      <c r="H110" s="162">
        <f>+'GSLD(T)-3'!I$71</f>
        <v>23158.88716181169</v>
      </c>
      <c r="I110" s="162">
        <f>+'GSLD(T)-3'!J$71</f>
        <v>26210.127863961945</v>
      </c>
      <c r="J110" s="162">
        <f>+'GSLD(T)-3'!K$71</f>
        <v>19357.439222751524</v>
      </c>
      <c r="K110" s="162">
        <f>+'GSLD(T)-3'!L$71</f>
        <v>21710.413972268983</v>
      </c>
      <c r="L110" s="162">
        <f>+'GSLD(T)-3'!M$71</f>
        <v>18008.354814466064</v>
      </c>
      <c r="M110" s="162">
        <f>+'GSLD(T)-3'!N$71</f>
        <v>17499.523647236445</v>
      </c>
      <c r="N110" s="162">
        <f t="shared" si="25"/>
        <v>282303.70452347759</v>
      </c>
      <c r="O110" s="158">
        <f t="shared" si="28"/>
        <v>23525.308710289799</v>
      </c>
      <c r="P110" s="159">
        <f t="shared" si="27"/>
        <v>1.2432068716062823E-3</v>
      </c>
      <c r="Q110" s="154"/>
      <c r="R110" s="197">
        <v>30542.207510430326</v>
      </c>
      <c r="S110" s="198">
        <v>1.2310216097430467E-3</v>
      </c>
    </row>
    <row r="111" spans="1:19" s="112" customFormat="1">
      <c r="A111" s="163" t="s">
        <v>15</v>
      </c>
      <c r="B111" s="162">
        <f>+MET!C$71</f>
        <v>15822.838692788855</v>
      </c>
      <c r="C111" s="162">
        <f>+MET!D$71</f>
        <v>13949.797490312923</v>
      </c>
      <c r="D111" s="162">
        <f>+MET!E$71</f>
        <v>12268.751694524557</v>
      </c>
      <c r="E111" s="162">
        <f>+MET!F$71</f>
        <v>15674.143769544473</v>
      </c>
      <c r="F111" s="162">
        <f>+MET!G$71</f>
        <v>16279.185770652499</v>
      </c>
      <c r="G111" s="162">
        <f>+MET!H$71</f>
        <v>15337.583152045403</v>
      </c>
      <c r="H111" s="162">
        <f>+MET!I$71</f>
        <v>15837.323546937088</v>
      </c>
      <c r="I111" s="162">
        <f>+MET!J$71</f>
        <v>16485.648609040738</v>
      </c>
      <c r="J111" s="162">
        <f>+MET!K$71</f>
        <v>14151.079674803599</v>
      </c>
      <c r="K111" s="162">
        <f>+MET!L$71</f>
        <v>14028.611964977883</v>
      </c>
      <c r="L111" s="162">
        <f>+MET!M$71</f>
        <v>13890.154713914797</v>
      </c>
      <c r="M111" s="162">
        <f>+MET!N$71</f>
        <v>12296.955439030145</v>
      </c>
      <c r="N111" s="162">
        <f t="shared" si="25"/>
        <v>176022.07451857295</v>
      </c>
      <c r="O111" s="158">
        <f t="shared" si="28"/>
        <v>14668.506209881079</v>
      </c>
      <c r="P111" s="159">
        <f t="shared" si="27"/>
        <v>7.7516465101039431E-4</v>
      </c>
      <c r="Q111" s="154"/>
      <c r="R111" s="197">
        <v>14755.886198300241</v>
      </c>
      <c r="S111" s="198">
        <v>5.6085749854204738E-4</v>
      </c>
    </row>
    <row r="112" spans="1:19" s="112" customFormat="1">
      <c r="A112" s="163" t="s">
        <v>56</v>
      </c>
      <c r="B112" s="162">
        <f>+'OL-1'!C$71</f>
        <v>8987.5190980299012</v>
      </c>
      <c r="C112" s="162">
        <f>+'OL-1'!D$71</f>
        <v>0</v>
      </c>
      <c r="D112" s="162">
        <f>+'OL-1'!E$71</f>
        <v>0</v>
      </c>
      <c r="E112" s="162">
        <f>+'OL-1'!F$71</f>
        <v>0</v>
      </c>
      <c r="F112" s="162">
        <f>+'OL-1'!G$71</f>
        <v>0</v>
      </c>
      <c r="G112" s="162">
        <f>+'OL-1'!H$71</f>
        <v>0</v>
      </c>
      <c r="H112" s="162">
        <f>+'OL-1'!I$71</f>
        <v>0</v>
      </c>
      <c r="I112" s="162">
        <f>+'OL-1'!J$71</f>
        <v>0</v>
      </c>
      <c r="J112" s="162">
        <f>+'OL-1'!K$71</f>
        <v>0</v>
      </c>
      <c r="K112" s="162">
        <f>+'OL-1'!L$71</f>
        <v>0</v>
      </c>
      <c r="L112" s="162">
        <f>+'OL-1'!M$71</f>
        <v>6753.1442852286291</v>
      </c>
      <c r="M112" s="162">
        <f>+'OL-1'!N$71</f>
        <v>6678.9655183355871</v>
      </c>
      <c r="N112" s="162">
        <f t="shared" si="25"/>
        <v>22419.628901594118</v>
      </c>
      <c r="O112" s="158">
        <f t="shared" si="28"/>
        <v>1868.3024084661765</v>
      </c>
      <c r="P112" s="159">
        <f t="shared" si="27"/>
        <v>9.8731388439880142E-5</v>
      </c>
      <c r="Q112" s="154"/>
      <c r="R112" s="197">
        <v>5676.0618639927843</v>
      </c>
      <c r="S112" s="198">
        <v>6.4243818971941862E-4</v>
      </c>
    </row>
    <row r="113" spans="1:19" s="112" customFormat="1">
      <c r="A113" s="163" t="s">
        <v>57</v>
      </c>
      <c r="B113" s="162">
        <f>+'OS-2'!C$71</f>
        <v>2456.3528167616623</v>
      </c>
      <c r="C113" s="162">
        <f>+'OS-2'!D$71</f>
        <v>604.1688781476746</v>
      </c>
      <c r="D113" s="162">
        <f>+'OS-2'!E$71</f>
        <v>944.45276821490859</v>
      </c>
      <c r="E113" s="162">
        <f>+'OS-2'!F$71</f>
        <v>985.1573860512359</v>
      </c>
      <c r="F113" s="162">
        <f>+'OS-2'!G$71</f>
        <v>961.362510372629</v>
      </c>
      <c r="G113" s="162">
        <f>+'OS-2'!H$71</f>
        <v>946.02830314816902</v>
      </c>
      <c r="H113" s="162">
        <f>+'OS-2'!I$71</f>
        <v>812.47663284751911</v>
      </c>
      <c r="I113" s="162">
        <f>+'OS-2'!J$71</f>
        <v>966.6482443452652</v>
      </c>
      <c r="J113" s="162">
        <f>+'OS-2'!K$71</f>
        <v>951.02962729381125</v>
      </c>
      <c r="K113" s="162">
        <f>+'OS-2'!L$71</f>
        <v>818.30588149386813</v>
      </c>
      <c r="L113" s="162">
        <f>+'OS-2'!M$71</f>
        <v>2688.7861774663033</v>
      </c>
      <c r="M113" s="162">
        <f>+'OS-2'!N$71</f>
        <v>3073.662215580418</v>
      </c>
      <c r="N113" s="162">
        <f t="shared" si="25"/>
        <v>16208.431441723465</v>
      </c>
      <c r="O113" s="158">
        <f t="shared" si="28"/>
        <v>1350.7026201436222</v>
      </c>
      <c r="P113" s="159">
        <f t="shared" si="27"/>
        <v>7.1378565082323023E-5</v>
      </c>
      <c r="Q113" s="154"/>
      <c r="R113" s="197">
        <v>2267.2619683784033</v>
      </c>
      <c r="S113" s="198">
        <v>3.8461168824753159E-4</v>
      </c>
    </row>
    <row r="114" spans="1:19" s="112" customFormat="1">
      <c r="A114" s="163" t="s">
        <v>48</v>
      </c>
      <c r="B114" s="162">
        <f>+'RS(T)-1'!C$71</f>
        <v>12436715.479783271</v>
      </c>
      <c r="C114" s="162">
        <f>+'RS(T)-1'!D$71</f>
        <v>8804289.4707257971</v>
      </c>
      <c r="D114" s="162">
        <f>+'RS(T)-1'!E$71</f>
        <v>10208714.097423151</v>
      </c>
      <c r="E114" s="162">
        <f>+'RS(T)-1'!F$71</f>
        <v>10344494.673365265</v>
      </c>
      <c r="F114" s="162">
        <f>+'RS(T)-1'!G$71</f>
        <v>11445348.265144141</v>
      </c>
      <c r="G114" s="162">
        <f>+'RS(T)-1'!H$71</f>
        <v>12300186.666364992</v>
      </c>
      <c r="H114" s="162">
        <f>+'RS(T)-1'!I$71</f>
        <v>12735059.301057592</v>
      </c>
      <c r="I114" s="162">
        <f>+'RS(T)-1'!J$71</f>
        <v>13173312.797917232</v>
      </c>
      <c r="J114" s="162">
        <f>+'RS(T)-1'!K$71</f>
        <v>12622476.509656837</v>
      </c>
      <c r="K114" s="162">
        <f>+'RS(T)-1'!L$71</f>
        <v>11344658.573166814</v>
      </c>
      <c r="L114" s="162">
        <f>+'RS(T)-1'!M$71</f>
        <v>9452192.0060957503</v>
      </c>
      <c r="M114" s="162">
        <f>+'RS(T)-1'!N$71</f>
        <v>9221765.9555183072</v>
      </c>
      <c r="N114" s="162">
        <f t="shared" si="25"/>
        <v>134089213.79621916</v>
      </c>
      <c r="O114" s="158">
        <f t="shared" si="28"/>
        <v>11174101.14968493</v>
      </c>
      <c r="P114" s="159">
        <f t="shared" si="27"/>
        <v>0.59050104312704843</v>
      </c>
      <c r="Q114" s="154"/>
      <c r="R114" s="197">
        <v>9380715.9609845113</v>
      </c>
      <c r="S114" s="198">
        <v>0.7056834082181499</v>
      </c>
    </row>
    <row r="115" spans="1:19" s="112" customFormat="1">
      <c r="A115" s="163" t="s">
        <v>53</v>
      </c>
      <c r="B115" s="162">
        <f>+'SL-1'!C$71</f>
        <v>55467.77652848899</v>
      </c>
      <c r="C115" s="162">
        <f>+'SL-1'!D$71</f>
        <v>0</v>
      </c>
      <c r="D115" s="162">
        <f>+'SL-1'!E$71</f>
        <v>0</v>
      </c>
      <c r="E115" s="162">
        <f>+'SL-1'!F$71</f>
        <v>0</v>
      </c>
      <c r="F115" s="162">
        <f>+'SL-1'!G$71</f>
        <v>0</v>
      </c>
      <c r="G115" s="162">
        <f>+'SL-1'!H$71</f>
        <v>0</v>
      </c>
      <c r="H115" s="162">
        <f>+'SL-1'!I$71</f>
        <v>0</v>
      </c>
      <c r="I115" s="162">
        <f>+'SL-1'!J$71</f>
        <v>0</v>
      </c>
      <c r="J115" s="162">
        <f>+'SL-1'!K$71</f>
        <v>0</v>
      </c>
      <c r="K115" s="162">
        <f>+'SL-1'!L$71</f>
        <v>0</v>
      </c>
      <c r="L115" s="162">
        <f>+'SL-1'!M$71</f>
        <v>39583.030255968602</v>
      </c>
      <c r="M115" s="162">
        <f>+'SL-1'!N$71</f>
        <v>39957.723614630529</v>
      </c>
      <c r="N115" s="162">
        <f t="shared" si="25"/>
        <v>135008.53039908811</v>
      </c>
      <c r="O115" s="158">
        <f t="shared" si="28"/>
        <v>11250.710866590676</v>
      </c>
      <c r="P115" s="159">
        <f t="shared" si="27"/>
        <v>5.9454952247590292E-4</v>
      </c>
      <c r="Q115" s="154"/>
      <c r="R115" s="197">
        <v>29509.001872396471</v>
      </c>
      <c r="S115" s="198">
        <v>3.2290252233607092E-3</v>
      </c>
    </row>
    <row r="116" spans="1:19" s="112" customFormat="1">
      <c r="A116" s="163" t="s">
        <v>55</v>
      </c>
      <c r="B116" s="162">
        <f>+'SL-2'!C$71</f>
        <v>4082.4174626986128</v>
      </c>
      <c r="C116" s="162">
        <f>+'SL-2'!D$71</f>
        <v>4175.8718451179866</v>
      </c>
      <c r="D116" s="162">
        <f>+'SL-2'!E$71</f>
        <v>4193.4220486998647</v>
      </c>
      <c r="E116" s="162">
        <f>+'SL-2'!F$71</f>
        <v>4176.6809373448541</v>
      </c>
      <c r="F116" s="162">
        <f>+'SL-2'!G$71</f>
        <v>4129.8977679217123</v>
      </c>
      <c r="G116" s="162">
        <f>+'SL-2'!H$71</f>
        <v>4089.2996824841457</v>
      </c>
      <c r="H116" s="162">
        <f>+'SL-2'!I$71</f>
        <v>4015.0511741078994</v>
      </c>
      <c r="I116" s="162">
        <f>+'SL-2'!J$71</f>
        <v>4154.4975651873465</v>
      </c>
      <c r="J116" s="162">
        <f>+'SL-2'!K$71</f>
        <v>3947.8805294235653</v>
      </c>
      <c r="K116" s="162">
        <f>+'SL-2'!L$71</f>
        <v>3870.8395149901908</v>
      </c>
      <c r="L116" s="162">
        <f>+'SL-2'!M$71</f>
        <v>3848.5541689872525</v>
      </c>
      <c r="M116" s="162">
        <f>+'SL-2'!N$71</f>
        <v>3898.09989429098</v>
      </c>
      <c r="N116" s="162">
        <f t="shared" si="25"/>
        <v>48582.51259125441</v>
      </c>
      <c r="O116" s="158">
        <f t="shared" si="28"/>
        <v>4048.5427159378673</v>
      </c>
      <c r="P116" s="159">
        <f t="shared" si="27"/>
        <v>2.1394729337787788E-4</v>
      </c>
      <c r="Q116" s="154"/>
      <c r="R116" s="197">
        <v>3485.1091490671974</v>
      </c>
      <c r="S116" s="198">
        <v>9.2958242398677207E-5</v>
      </c>
    </row>
    <row r="117" spans="1:19" s="112" customFormat="1">
      <c r="A117" s="163" t="s">
        <v>87</v>
      </c>
      <c r="B117" s="162">
        <f>+'SST-1D'!C$71</f>
        <v>1085.6822210455634</v>
      </c>
      <c r="C117" s="162">
        <f>+'SST-1D'!D$71</f>
        <v>1512.8341091982998</v>
      </c>
      <c r="D117" s="162">
        <f>+'SST-1D'!E$71</f>
        <v>1174.6045923760191</v>
      </c>
      <c r="E117" s="162">
        <f>+'SST-1D'!F$71</f>
        <v>2159.7247780484176</v>
      </c>
      <c r="F117" s="162">
        <f>+'SST-1D'!G$71</f>
        <v>1896.5084914924219</v>
      </c>
      <c r="G117" s="162">
        <f>+'SST-1D'!H$71</f>
        <v>2236.1116648501552</v>
      </c>
      <c r="H117" s="162">
        <f>+'SST-1D'!I$71</f>
        <v>2133.581641346801</v>
      </c>
      <c r="I117" s="162">
        <f>+'SST-1D'!J$71</f>
        <v>1719.5274694945347</v>
      </c>
      <c r="J117" s="162">
        <f>+'SST-1D'!K$71</f>
        <v>1240.6262840323066</v>
      </c>
      <c r="K117" s="162">
        <f>+'SST-1D'!L$71</f>
        <v>2611.6989883816514</v>
      </c>
      <c r="L117" s="162">
        <f>+'SST-1D'!M$71</f>
        <v>2603.8677344965945</v>
      </c>
      <c r="M117" s="162">
        <f>+'SST-1D'!N$71</f>
        <v>564.90736509667909</v>
      </c>
      <c r="N117" s="162">
        <f t="shared" si="25"/>
        <v>20939.675339859445</v>
      </c>
      <c r="O117" s="158">
        <f t="shared" si="28"/>
        <v>1744.9729449882871</v>
      </c>
      <c r="P117" s="159">
        <f t="shared" si="27"/>
        <v>9.221398038562726E-5</v>
      </c>
      <c r="Q117" s="154"/>
      <c r="R117" s="197">
        <v>1167.5125870815241</v>
      </c>
      <c r="S117" s="198">
        <v>6.7071937024415032E-5</v>
      </c>
    </row>
    <row r="118" spans="1:19" s="112" customFormat="1">
      <c r="A118" s="163" t="s">
        <v>88</v>
      </c>
      <c r="B118" s="162">
        <f>+'SST-1T'!C$71</f>
        <v>11120.440250218409</v>
      </c>
      <c r="C118" s="162">
        <f>+'SST-1T'!D$71</f>
        <v>9785.6928706935432</v>
      </c>
      <c r="D118" s="162">
        <f>+'SST-1T'!E$71</f>
        <v>8616.4974915890762</v>
      </c>
      <c r="E118" s="162">
        <f>+'SST-1T'!F$71</f>
        <v>9264.6487011463614</v>
      </c>
      <c r="F118" s="162">
        <f>+'SST-1T'!G$71</f>
        <v>10192.66656638389</v>
      </c>
      <c r="G118" s="162">
        <f>+'SST-1T'!H$71</f>
        <v>8201.3028948306674</v>
      </c>
      <c r="H118" s="162">
        <f>+'SST-1T'!I$71</f>
        <v>6962.3302332130543</v>
      </c>
      <c r="I118" s="162">
        <f>+'SST-1T'!J$71</f>
        <v>6174.797850171517</v>
      </c>
      <c r="J118" s="162">
        <f>+'SST-1T'!K$71</f>
        <v>10879.762938366943</v>
      </c>
      <c r="K118" s="162">
        <f>+'SST-1T'!L$71</f>
        <v>7257.4918971712459</v>
      </c>
      <c r="L118" s="162">
        <f>+'SST-1T'!M$71</f>
        <v>18932.245718157494</v>
      </c>
      <c r="M118" s="162">
        <f>+'SST-1T'!N$71</f>
        <v>8028.7118544502764</v>
      </c>
      <c r="N118" s="162">
        <f t="shared" si="25"/>
        <v>115416.58926639248</v>
      </c>
      <c r="O118" s="158">
        <f t="shared" si="28"/>
        <v>9618.0491055327057</v>
      </c>
      <c r="P118" s="159">
        <f t="shared" si="27"/>
        <v>5.082706835730029E-4</v>
      </c>
      <c r="Q118" s="154"/>
      <c r="R118" s="197">
        <v>10566.389912044111</v>
      </c>
      <c r="S118" s="198">
        <v>3.366388577094038E-3</v>
      </c>
    </row>
    <row r="119" spans="1:19" s="112" customFormat="1">
      <c r="A119" s="154"/>
      <c r="B119" s="155"/>
      <c r="C119" s="155"/>
      <c r="D119" s="155"/>
      <c r="E119" s="155"/>
      <c r="F119" s="155"/>
      <c r="G119" s="155"/>
      <c r="H119" s="155"/>
      <c r="I119" s="155"/>
      <c r="J119" s="155"/>
      <c r="K119" s="155"/>
      <c r="L119" s="155"/>
      <c r="M119" s="155"/>
      <c r="N119" s="155"/>
      <c r="O119" s="164"/>
      <c r="P119" s="154"/>
      <c r="Q119" s="154"/>
      <c r="R119" s="199"/>
      <c r="S119" s="199"/>
    </row>
    <row r="120" spans="1:19" s="112" customFormat="1">
      <c r="A120" s="126" t="s">
        <v>453</v>
      </c>
      <c r="B120" s="161">
        <f t="shared" ref="B120:O120" si="29">SUM(B102:B119)</f>
        <v>18986327.816348158</v>
      </c>
      <c r="C120" s="161">
        <f t="shared" si="29"/>
        <v>16543721.784222959</v>
      </c>
      <c r="D120" s="161">
        <f t="shared" si="29"/>
        <v>16545000.078027055</v>
      </c>
      <c r="E120" s="161">
        <f t="shared" si="29"/>
        <v>18028378.826720867</v>
      </c>
      <c r="F120" s="161">
        <f t="shared" si="29"/>
        <v>19683648.42760589</v>
      </c>
      <c r="G120" s="161">
        <f t="shared" si="29"/>
        <v>21002330.873457219</v>
      </c>
      <c r="H120" s="161">
        <f t="shared" si="29"/>
        <v>21396856.074248187</v>
      </c>
      <c r="I120" s="161">
        <f t="shared" si="29"/>
        <v>21958805.632089261</v>
      </c>
      <c r="J120" s="161">
        <f t="shared" si="29"/>
        <v>20706044.36659627</v>
      </c>
      <c r="K120" s="161">
        <f t="shared" si="29"/>
        <v>19398119.364993114</v>
      </c>
      <c r="L120" s="161">
        <f t="shared" si="29"/>
        <v>17062761.875579573</v>
      </c>
      <c r="M120" s="161">
        <f t="shared" si="29"/>
        <v>16396664.196488259</v>
      </c>
      <c r="N120" s="161">
        <f t="shared" si="29"/>
        <v>227708659.31637681</v>
      </c>
      <c r="O120" s="161">
        <f t="shared" si="29"/>
        <v>18975721.609698068</v>
      </c>
      <c r="P120" s="159">
        <f>+O120/$O$45</f>
        <v>1.0027816335751649</v>
      </c>
      <c r="Q120" s="126"/>
      <c r="R120" s="200">
        <f>SUM(R102:R119)</f>
        <v>15508744.376256621</v>
      </c>
      <c r="S120" s="198">
        <v>0.98782694110598424</v>
      </c>
    </row>
    <row r="121" spans="1:19" s="112" customFormat="1">
      <c r="A121" s="125"/>
      <c r="B121" s="155"/>
      <c r="C121" s="155"/>
      <c r="D121" s="155"/>
      <c r="E121" s="155"/>
      <c r="F121" s="155"/>
      <c r="G121" s="155"/>
      <c r="H121" s="155"/>
      <c r="I121" s="155"/>
      <c r="J121" s="155"/>
      <c r="K121" s="155"/>
      <c r="L121" s="155"/>
      <c r="M121" s="155"/>
      <c r="N121" s="155"/>
      <c r="O121" s="157"/>
      <c r="P121" s="125"/>
      <c r="Q121" s="125"/>
      <c r="R121" s="201"/>
      <c r="S121" s="202"/>
    </row>
    <row r="122" spans="1:19" s="112" customFormat="1">
      <c r="A122" s="42" t="s">
        <v>86</v>
      </c>
      <c r="B122" s="155"/>
      <c r="C122" s="155"/>
      <c r="D122" s="155"/>
      <c r="E122" s="155"/>
      <c r="F122" s="155"/>
      <c r="G122" s="155"/>
      <c r="H122" s="155"/>
      <c r="I122" s="155"/>
      <c r="J122" s="155"/>
      <c r="K122" s="155"/>
      <c r="L122" s="155"/>
      <c r="M122" s="155"/>
      <c r="N122" s="155"/>
      <c r="O122" s="157"/>
      <c r="P122" s="125"/>
      <c r="Q122" s="125"/>
      <c r="R122" s="201"/>
      <c r="S122" s="202"/>
    </row>
    <row r="123" spans="1:19" s="112" customFormat="1">
      <c r="A123" s="163" t="s">
        <v>1055</v>
      </c>
      <c r="B123" s="162">
        <f>BLOUNTSTOWN!C66</f>
        <v>0</v>
      </c>
      <c r="C123" s="162">
        <f>BLOUNTSTOWN!D66</f>
        <v>0</v>
      </c>
      <c r="D123" s="162">
        <f>BLOUNTSTOWN!E66</f>
        <v>0</v>
      </c>
      <c r="E123" s="162">
        <f>BLOUNTSTOWN!F66</f>
        <v>0</v>
      </c>
      <c r="F123" s="162">
        <f>BLOUNTSTOWN!G66</f>
        <v>0</v>
      </c>
      <c r="G123" s="162">
        <f>BLOUNTSTOWN!H66</f>
        <v>0</v>
      </c>
      <c r="H123" s="162">
        <f>BLOUNTSTOWN!I66</f>
        <v>0</v>
      </c>
      <c r="I123" s="162">
        <f>BLOUNTSTOWN!J66</f>
        <v>0</v>
      </c>
      <c r="J123" s="162">
        <f>BLOUNTSTOWN!K66</f>
        <v>0</v>
      </c>
      <c r="K123" s="162">
        <f>BLOUNTSTOWN!L66</f>
        <v>0</v>
      </c>
      <c r="L123" s="162">
        <f>BLOUNTSTOWN!M66</f>
        <v>0</v>
      </c>
      <c r="M123" s="162">
        <f>BLOUNTSTOWN!N66</f>
        <v>0</v>
      </c>
      <c r="N123" s="162">
        <f>SUM(B123:M123)</f>
        <v>0</v>
      </c>
      <c r="O123" s="158">
        <f>+N123/12</f>
        <v>0</v>
      </c>
      <c r="P123" s="159">
        <f>+O123/$O$45</f>
        <v>0</v>
      </c>
      <c r="Q123" s="154"/>
      <c r="R123" s="203">
        <f>152658.502622339-45000</f>
        <v>107658.502622339</v>
      </c>
      <c r="S123" s="198">
        <f>+R123/$R$90</f>
        <v>6.7829690233683678E-3</v>
      </c>
    </row>
    <row r="124" spans="1:19" s="112" customFormat="1">
      <c r="A124" s="163" t="s">
        <v>485</v>
      </c>
      <c r="B124" s="162">
        <f>FKEC!C66</f>
        <v>111029.50077166939</v>
      </c>
      <c r="C124" s="162">
        <f>FKEC!D66</f>
        <v>118139.37409264322</v>
      </c>
      <c r="D124" s="162">
        <f>FKEC!E66</f>
        <v>112110.77957793939</v>
      </c>
      <c r="E124" s="162">
        <f>FKEC!F66</f>
        <v>133137.4559094577</v>
      </c>
      <c r="F124" s="162">
        <f>FKEC!G66</f>
        <v>141523.75609180695</v>
      </c>
      <c r="G124" s="162">
        <f>FKEC!H66</f>
        <v>145649.9099679607</v>
      </c>
      <c r="H124" s="162">
        <f>FKEC!I66</f>
        <v>157775.88540399523</v>
      </c>
      <c r="I124" s="162">
        <f>FKEC!J66</f>
        <v>153908.71718101701</v>
      </c>
      <c r="J124" s="162">
        <f>FKEC!K66</f>
        <v>141987.24973742448</v>
      </c>
      <c r="K124" s="162">
        <f>FKEC!L66</f>
        <v>135751.33785682029</v>
      </c>
      <c r="L124" s="162">
        <f>FKEC!M66</f>
        <v>120435.32504668142</v>
      </c>
      <c r="M124" s="162">
        <f>FKEC!N66</f>
        <v>114792.82662533609</v>
      </c>
      <c r="N124" s="162">
        <f>SUM(B124:M124)</f>
        <v>1586242.118262752</v>
      </c>
      <c r="O124" s="158">
        <f>+N124/12</f>
        <v>132186.84318856266</v>
      </c>
      <c r="P124" s="159">
        <f>+O124/$O$45</f>
        <v>6.9854807778179763E-3</v>
      </c>
      <c r="Q124" s="125"/>
      <c r="R124" s="203">
        <v>45000</v>
      </c>
      <c r="S124" s="198">
        <f>+R124/$R$90</f>
        <v>2.8352020380807428E-3</v>
      </c>
    </row>
    <row r="125" spans="1:19" s="112" customFormat="1">
      <c r="A125" s="163" t="s">
        <v>1057</v>
      </c>
      <c r="B125" s="162">
        <f>HOMESTEAD!C66</f>
        <v>23485.287564417671</v>
      </c>
      <c r="C125" s="162">
        <f>HOMESTEAD!D66</f>
        <v>0</v>
      </c>
      <c r="D125" s="162">
        <f>HOMESTEAD!E66</f>
        <v>0</v>
      </c>
      <c r="E125" s="162">
        <f>HOMESTEAD!F66</f>
        <v>0</v>
      </c>
      <c r="F125" s="162">
        <f>HOMESTEAD!G66</f>
        <v>0</v>
      </c>
      <c r="G125" s="162">
        <f>HOMESTEAD!H66</f>
        <v>0</v>
      </c>
      <c r="H125" s="162">
        <f>HOMESTEAD!I66</f>
        <v>0</v>
      </c>
      <c r="I125" s="162">
        <f>HOMESTEAD!J66</f>
        <v>23485.287564417671</v>
      </c>
      <c r="J125" s="162">
        <f>HOMESTEAD!K66</f>
        <v>0</v>
      </c>
      <c r="K125" s="162">
        <f>HOMESTEAD!L66</f>
        <v>0</v>
      </c>
      <c r="L125" s="162">
        <f>HOMESTEAD!M66</f>
        <v>0</v>
      </c>
      <c r="M125" s="162">
        <f>HOMESTEAD!N66</f>
        <v>0</v>
      </c>
      <c r="N125" s="162">
        <f>SUM(B125:M125)</f>
        <v>46970.575128835342</v>
      </c>
      <c r="O125" s="158">
        <f>+N125/12</f>
        <v>3914.2145940696118</v>
      </c>
      <c r="P125" s="159">
        <f>+O125/$O$45</f>
        <v>2.068486556421045E-4</v>
      </c>
      <c r="Q125" s="125"/>
      <c r="R125" s="203">
        <v>45001</v>
      </c>
      <c r="S125" s="198">
        <f>+R125/$R$90</f>
        <v>2.835265042570478E-3</v>
      </c>
    </row>
    <row r="126" spans="1:19" s="112" customFormat="1">
      <c r="A126" s="163" t="s">
        <v>487</v>
      </c>
      <c r="B126" s="162">
        <f>LCEC!C67</f>
        <v>729914.85590419127</v>
      </c>
      <c r="C126" s="162">
        <f>LCEC!D67</f>
        <v>655255.24176510237</v>
      </c>
      <c r="D126" s="162">
        <f>LCEC!E67</f>
        <v>603892.65869103943</v>
      </c>
      <c r="E126" s="162">
        <f>LCEC!F67</f>
        <v>594680.21114026208</v>
      </c>
      <c r="F126" s="162">
        <f>LCEC!G67</f>
        <v>688347.42195884278</v>
      </c>
      <c r="G126" s="162">
        <f>LCEC!H67</f>
        <v>754689.23449373618</v>
      </c>
      <c r="H126" s="162">
        <f>LCEC!I67</f>
        <v>737213.65395021671</v>
      </c>
      <c r="I126" s="162">
        <f>LCEC!J67</f>
        <v>771038.22085824702</v>
      </c>
      <c r="J126" s="162">
        <f>LCEC!K67</f>
        <v>662144.29077524377</v>
      </c>
      <c r="K126" s="162">
        <f>LCEC!L67</f>
        <v>695825.65304306929</v>
      </c>
      <c r="L126" s="162">
        <f>LCEC!M67</f>
        <v>570797.87001558079</v>
      </c>
      <c r="M126" s="162">
        <f>LCEC!N67</f>
        <v>536929.95518244593</v>
      </c>
      <c r="N126" s="162">
        <f>SUM(B126:M126)</f>
        <v>8000729.2677779784</v>
      </c>
      <c r="O126" s="158">
        <f>+N126/12</f>
        <v>666727.43898149824</v>
      </c>
      <c r="P126" s="159">
        <f>+O126/$O$45</f>
        <v>3.5233549699082621E-2</v>
      </c>
      <c r="Q126" s="125"/>
      <c r="R126" s="197">
        <v>1314</v>
      </c>
      <c r="S126" s="198">
        <f>+R126/$R$90</f>
        <v>8.2787899511957696E-5</v>
      </c>
    </row>
    <row r="127" spans="1:19" s="112" customFormat="1">
      <c r="A127" s="163" t="s">
        <v>1053</v>
      </c>
      <c r="B127" s="162">
        <f>'NEW SMYRNA'!C66</f>
        <v>0</v>
      </c>
      <c r="C127" s="162">
        <f>'NEW SMYRNA'!D66</f>
        <v>0</v>
      </c>
      <c r="D127" s="162">
        <f>'NEW SMYRNA'!E66</f>
        <v>0</v>
      </c>
      <c r="E127" s="162">
        <f>'NEW SMYRNA'!F66</f>
        <v>0</v>
      </c>
      <c r="F127" s="162">
        <f>'NEW SMYRNA'!G66</f>
        <v>0</v>
      </c>
      <c r="G127" s="162">
        <f>'NEW SMYRNA'!H66</f>
        <v>0</v>
      </c>
      <c r="H127" s="162">
        <f>'NEW SMYRNA'!I66</f>
        <v>0</v>
      </c>
      <c r="I127" s="162">
        <f>'NEW SMYRNA'!J66</f>
        <v>0</v>
      </c>
      <c r="J127" s="162">
        <f>'NEW SMYRNA'!K66</f>
        <v>0</v>
      </c>
      <c r="K127" s="162">
        <f>'NEW SMYRNA'!L66</f>
        <v>0</v>
      </c>
      <c r="L127" s="162">
        <f>'NEW SMYRNA'!M66</f>
        <v>0</v>
      </c>
      <c r="M127" s="162">
        <f>'NEW SMYRNA'!N66</f>
        <v>0</v>
      </c>
      <c r="N127" s="162">
        <f t="shared" ref="N127:N128" si="30">SUM(B127:M127)</f>
        <v>0</v>
      </c>
      <c r="O127" s="158">
        <f t="shared" ref="O127:O128" si="31">+N127/12</f>
        <v>0</v>
      </c>
      <c r="P127" s="159">
        <f t="shared" ref="P127:P128" si="32">+O127/$O$45</f>
        <v>0</v>
      </c>
      <c r="Q127" s="125"/>
      <c r="R127" s="197">
        <v>209167.87416044922</v>
      </c>
      <c r="S127" s="198">
        <f>+R127/$R$90</f>
        <v>1.3178515180460489E-2</v>
      </c>
    </row>
    <row r="128" spans="1:19" s="112" customFormat="1">
      <c r="A128" s="163" t="s">
        <v>1058</v>
      </c>
      <c r="B128" s="162">
        <f>QUINCY!C66</f>
        <v>18592.519321830656</v>
      </c>
      <c r="C128" s="162">
        <f>QUINCY!D66</f>
        <v>0</v>
      </c>
      <c r="D128" s="162">
        <f>QUINCY!E66</f>
        <v>0</v>
      </c>
      <c r="E128" s="162">
        <f>QUINCY!F66</f>
        <v>0</v>
      </c>
      <c r="F128" s="162">
        <f>QUINCY!G66</f>
        <v>0</v>
      </c>
      <c r="G128" s="162">
        <f>QUINCY!H66</f>
        <v>0</v>
      </c>
      <c r="H128" s="162">
        <f>QUINCY!I66</f>
        <v>0</v>
      </c>
      <c r="I128" s="162">
        <f>QUINCY!J66</f>
        <v>18592.519321830656</v>
      </c>
      <c r="J128" s="162">
        <f>QUINCY!K66</f>
        <v>0</v>
      </c>
      <c r="K128" s="162">
        <f>QUINCY!L66</f>
        <v>0</v>
      </c>
      <c r="L128" s="162">
        <f>QUINCY!M66</f>
        <v>0</v>
      </c>
      <c r="M128" s="162">
        <f>QUINCY!N66</f>
        <v>0</v>
      </c>
      <c r="N128" s="162">
        <f t="shared" si="30"/>
        <v>37185.038643661312</v>
      </c>
      <c r="O128" s="158">
        <f t="shared" si="31"/>
        <v>3098.7532203051092</v>
      </c>
      <c r="P128" s="159">
        <f t="shared" si="32"/>
        <v>1.6375518571666605E-4</v>
      </c>
      <c r="Q128" s="125"/>
      <c r="R128" s="197"/>
      <c r="S128" s="198"/>
    </row>
    <row r="129" spans="1:19" s="112" customFormat="1">
      <c r="A129" s="163" t="s">
        <v>489</v>
      </c>
      <c r="B129" s="156">
        <f>SEMINOLE!C67</f>
        <v>195710.72970348061</v>
      </c>
      <c r="C129" s="156">
        <f>SEMINOLE!D67</f>
        <v>195710.72970348058</v>
      </c>
      <c r="D129" s="156">
        <f>SEMINOLE!E67</f>
        <v>195710.72970348052</v>
      </c>
      <c r="E129" s="156">
        <f>SEMINOLE!F67</f>
        <v>195710.72970348055</v>
      </c>
      <c r="F129" s="156">
        <f>SEMINOLE!G67</f>
        <v>195710.72970348052</v>
      </c>
      <c r="G129" s="156">
        <f>SEMINOLE!H67</f>
        <v>195710.72970348058</v>
      </c>
      <c r="H129" s="156">
        <f>SEMINOLE!I67</f>
        <v>195710.72970348061</v>
      </c>
      <c r="I129" s="156">
        <f>SEMINOLE!J67</f>
        <v>195710.72970348058</v>
      </c>
      <c r="J129" s="156">
        <f>SEMINOLE!K67</f>
        <v>195710.72970348052</v>
      </c>
      <c r="K129" s="156">
        <f>SEMINOLE!L67</f>
        <v>195710.72970348055</v>
      </c>
      <c r="L129" s="156">
        <f>SEMINOLE!M67</f>
        <v>195710.72970348055</v>
      </c>
      <c r="M129" s="156">
        <f>SEMINOLE!N67</f>
        <v>195710.72970348055</v>
      </c>
      <c r="N129" s="162">
        <f t="shared" ref="N129:N131" si="33">SUM(B129:M129)</f>
        <v>2348528.7564417664</v>
      </c>
      <c r="O129" s="158">
        <f t="shared" ref="O129:O131" si="34">+N129/12</f>
        <v>195710.72970348052</v>
      </c>
      <c r="P129" s="159">
        <f t="shared" ref="P129:P131" si="35">+O129/$O$45</f>
        <v>1.0342432782105221E-2</v>
      </c>
      <c r="Q129" s="125"/>
      <c r="R129" s="197">
        <v>0</v>
      </c>
      <c r="S129" s="198">
        <f>+R129/$R$90</f>
        <v>0</v>
      </c>
    </row>
    <row r="130" spans="1:19" s="112" customFormat="1">
      <c r="A130" s="163" t="s">
        <v>1054</v>
      </c>
      <c r="B130" s="156">
        <f>WAUCHULA!C63</f>
        <v>0</v>
      </c>
      <c r="C130" s="156">
        <f>WAUCHULA!D63</f>
        <v>0</v>
      </c>
      <c r="D130" s="156">
        <f>WAUCHULA!E63</f>
        <v>0</v>
      </c>
      <c r="E130" s="156">
        <f>WAUCHULA!F63</f>
        <v>0</v>
      </c>
      <c r="F130" s="156">
        <f>WAUCHULA!G63</f>
        <v>0</v>
      </c>
      <c r="G130" s="156">
        <f>WAUCHULA!H63</f>
        <v>0</v>
      </c>
      <c r="H130" s="156">
        <f>WAUCHULA!I63</f>
        <v>0</v>
      </c>
      <c r="I130" s="156">
        <f>WAUCHULA!J63</f>
        <v>0</v>
      </c>
      <c r="J130" s="156">
        <f>WAUCHULA!K63</f>
        <v>0</v>
      </c>
      <c r="K130" s="156">
        <f>WAUCHULA!L63</f>
        <v>0</v>
      </c>
      <c r="L130" s="156">
        <f>WAUCHULA!M63</f>
        <v>0</v>
      </c>
      <c r="M130" s="156">
        <f>WAUCHULA!N63</f>
        <v>0</v>
      </c>
      <c r="N130" s="162">
        <f t="shared" si="33"/>
        <v>0</v>
      </c>
      <c r="O130" s="158">
        <f t="shared" si="34"/>
        <v>0</v>
      </c>
      <c r="P130" s="159">
        <f t="shared" si="35"/>
        <v>0</v>
      </c>
      <c r="Q130" s="125"/>
      <c r="R130" s="197"/>
      <c r="S130" s="198"/>
    </row>
    <row r="131" spans="1:19" s="112" customFormat="1">
      <c r="A131" s="163" t="s">
        <v>1056</v>
      </c>
      <c r="B131" s="156">
        <f>'WINTER PARK'!C66</f>
        <v>58713.218911044183</v>
      </c>
      <c r="C131" s="156">
        <f>'WINTER PARK'!D66</f>
        <v>0</v>
      </c>
      <c r="D131" s="156">
        <f>'WINTER PARK'!E66</f>
        <v>0</v>
      </c>
      <c r="E131" s="156">
        <f>'WINTER PARK'!F66</f>
        <v>0</v>
      </c>
      <c r="F131" s="156">
        <f>'WINTER PARK'!G66</f>
        <v>0</v>
      </c>
      <c r="G131" s="156">
        <f>'WINTER PARK'!H66</f>
        <v>0</v>
      </c>
      <c r="H131" s="156">
        <f>'WINTER PARK'!I66</f>
        <v>0</v>
      </c>
      <c r="I131" s="156">
        <f>'WINTER PARK'!J66</f>
        <v>58713.218911044176</v>
      </c>
      <c r="J131" s="156">
        <f>'WINTER PARK'!K66</f>
        <v>0</v>
      </c>
      <c r="K131" s="156">
        <f>'WINTER PARK'!L66</f>
        <v>0</v>
      </c>
      <c r="L131" s="156">
        <f>'WINTER PARK'!M66</f>
        <v>0</v>
      </c>
      <c r="M131" s="156">
        <f>'WINTER PARK'!N66</f>
        <v>0</v>
      </c>
      <c r="N131" s="162">
        <f t="shared" si="33"/>
        <v>117426.43782208837</v>
      </c>
      <c r="O131" s="158">
        <f t="shared" si="34"/>
        <v>9785.5364851740305</v>
      </c>
      <c r="P131" s="159">
        <f t="shared" si="35"/>
        <v>5.1712163910526128E-4</v>
      </c>
      <c r="Q131" s="125"/>
      <c r="R131" s="197"/>
      <c r="S131" s="198"/>
    </row>
    <row r="132" spans="1:19" s="112" customFormat="1">
      <c r="A132" s="125"/>
      <c r="B132" s="155"/>
      <c r="C132" s="155"/>
      <c r="D132" s="155"/>
      <c r="E132" s="155"/>
      <c r="F132" s="155"/>
      <c r="G132" s="155"/>
      <c r="H132" s="155"/>
      <c r="I132" s="155"/>
      <c r="J132" s="155"/>
      <c r="K132" s="155"/>
      <c r="L132" s="155"/>
      <c r="M132" s="155"/>
      <c r="N132" s="155"/>
      <c r="O132" s="157"/>
      <c r="P132" s="125"/>
      <c r="Q132" s="125"/>
      <c r="R132" s="201"/>
      <c r="S132" s="198"/>
    </row>
    <row r="133" spans="1:19" s="112" customFormat="1">
      <c r="A133" s="126" t="s">
        <v>509</v>
      </c>
      <c r="B133" s="161">
        <f t="shared" ref="B133:O133" si="36">SUM(B123:B132)</f>
        <v>1137446.1121766339</v>
      </c>
      <c r="C133" s="161">
        <f t="shared" si="36"/>
        <v>969105.34556122625</v>
      </c>
      <c r="D133" s="161">
        <f t="shared" si="36"/>
        <v>911714.16797245934</v>
      </c>
      <c r="E133" s="161">
        <f t="shared" si="36"/>
        <v>923528.39675320033</v>
      </c>
      <c r="F133" s="161">
        <f t="shared" si="36"/>
        <v>1025581.9077541302</v>
      </c>
      <c r="G133" s="161">
        <f t="shared" si="36"/>
        <v>1096049.8741651773</v>
      </c>
      <c r="H133" s="161">
        <f t="shared" si="36"/>
        <v>1090700.2690576925</v>
      </c>
      <c r="I133" s="161">
        <f t="shared" si="36"/>
        <v>1221448.6935400371</v>
      </c>
      <c r="J133" s="161">
        <f t="shared" si="36"/>
        <v>999842.2702161487</v>
      </c>
      <c r="K133" s="161">
        <f t="shared" si="36"/>
        <v>1027287.7206033701</v>
      </c>
      <c r="L133" s="161">
        <f t="shared" si="36"/>
        <v>886943.92476574285</v>
      </c>
      <c r="M133" s="161">
        <f t="shared" si="36"/>
        <v>847433.51151126251</v>
      </c>
      <c r="N133" s="161">
        <f t="shared" si="36"/>
        <v>12137082.194077082</v>
      </c>
      <c r="O133" s="161">
        <f t="shared" si="36"/>
        <v>1011423.5161730901</v>
      </c>
      <c r="P133" s="159">
        <f>+O133/$O$45</f>
        <v>5.3449188739469841E-2</v>
      </c>
      <c r="Q133" s="126"/>
      <c r="R133" s="200">
        <f>SUM(R123:R132)</f>
        <v>408141.3767827882</v>
      </c>
      <c r="S133" s="198">
        <f>+R133/$R$90</f>
        <v>2.5714739183992034E-2</v>
      </c>
    </row>
    <row r="134" spans="1:19" s="112" customFormat="1">
      <c r="A134" s="125"/>
      <c r="B134" s="155"/>
      <c r="C134" s="155"/>
      <c r="D134" s="155"/>
      <c r="E134" s="155"/>
      <c r="F134" s="155"/>
      <c r="G134" s="155"/>
      <c r="H134" s="155"/>
      <c r="I134" s="155"/>
      <c r="J134" s="155"/>
      <c r="K134" s="155"/>
      <c r="L134" s="155"/>
      <c r="M134" s="155"/>
      <c r="N134" s="155"/>
      <c r="O134" s="157"/>
      <c r="P134" s="125"/>
      <c r="Q134" s="125"/>
      <c r="R134" s="201"/>
      <c r="S134" s="198"/>
    </row>
    <row r="135" spans="1:19" s="112" customFormat="1" ht="13.8" thickBot="1">
      <c r="A135" s="126" t="s">
        <v>498</v>
      </c>
      <c r="B135" s="160">
        <f t="shared" ref="B135:O135" si="37">+B120+B133</f>
        <v>20123773.928524792</v>
      </c>
      <c r="C135" s="160">
        <f t="shared" si="37"/>
        <v>17512827.129784185</v>
      </c>
      <c r="D135" s="160">
        <f t="shared" si="37"/>
        <v>17456714.245999515</v>
      </c>
      <c r="E135" s="160">
        <f t="shared" si="37"/>
        <v>18951907.223474067</v>
      </c>
      <c r="F135" s="160">
        <f t="shared" si="37"/>
        <v>20709230.33536002</v>
      </c>
      <c r="G135" s="160">
        <f t="shared" si="37"/>
        <v>22098380.747622397</v>
      </c>
      <c r="H135" s="160">
        <f t="shared" si="37"/>
        <v>22487556.343305878</v>
      </c>
      <c r="I135" s="160">
        <f t="shared" si="37"/>
        <v>23180254.325629298</v>
      </c>
      <c r="J135" s="160">
        <f t="shared" si="37"/>
        <v>21705886.636812419</v>
      </c>
      <c r="K135" s="160">
        <f t="shared" si="37"/>
        <v>20425407.085596483</v>
      </c>
      <c r="L135" s="160">
        <f t="shared" si="37"/>
        <v>17949705.800345317</v>
      </c>
      <c r="M135" s="160">
        <f t="shared" si="37"/>
        <v>17244097.70799952</v>
      </c>
      <c r="N135" s="160">
        <f t="shared" si="37"/>
        <v>239845741.51045388</v>
      </c>
      <c r="O135" s="160">
        <f t="shared" si="37"/>
        <v>19987145.125871159</v>
      </c>
      <c r="P135" s="159">
        <f>+O135/$O$45</f>
        <v>1.0562308223146348</v>
      </c>
      <c r="Q135" s="125"/>
      <c r="R135" s="204">
        <f>+R120+R133</f>
        <v>15916885.753039408</v>
      </c>
      <c r="S135" s="198">
        <f>+R135/$R$90</f>
        <v>1.0028352650425705</v>
      </c>
    </row>
    <row r="136" spans="1:19" s="112" customFormat="1" ht="13.8" thickTop="1">
      <c r="B136" s="156"/>
      <c r="C136" s="156"/>
      <c r="D136" s="156"/>
      <c r="E136" s="156"/>
      <c r="F136" s="156"/>
      <c r="G136" s="156"/>
      <c r="H136" s="156"/>
      <c r="I136" s="156"/>
      <c r="J136" s="156"/>
      <c r="K136" s="156"/>
      <c r="L136" s="156"/>
      <c r="M136" s="156"/>
      <c r="N136" s="156"/>
    </row>
    <row r="137" spans="1:19" s="112" customFormat="1">
      <c r="B137" s="156"/>
      <c r="C137" s="156"/>
      <c r="D137" s="156"/>
      <c r="E137" s="156"/>
      <c r="F137" s="156"/>
      <c r="G137" s="156"/>
      <c r="H137" s="156"/>
      <c r="I137" s="156"/>
      <c r="J137" s="156"/>
      <c r="K137" s="156"/>
      <c r="L137" s="156"/>
      <c r="M137" s="156"/>
      <c r="N137" s="156"/>
    </row>
    <row r="138" spans="1:19" s="112" customFormat="1">
      <c r="B138" s="156"/>
      <c r="C138" s="156"/>
      <c r="D138" s="156"/>
      <c r="E138" s="156"/>
      <c r="F138" s="156"/>
      <c r="G138" s="156"/>
      <c r="H138" s="156"/>
      <c r="I138" s="156"/>
      <c r="J138" s="156"/>
      <c r="K138" s="156"/>
      <c r="L138" s="156"/>
      <c r="M138" s="156"/>
      <c r="N138" s="156"/>
    </row>
    <row r="139" spans="1:19" s="112" customFormat="1">
      <c r="B139" s="156"/>
      <c r="C139" s="156"/>
      <c r="D139" s="156"/>
      <c r="E139" s="156"/>
      <c r="F139" s="156"/>
      <c r="G139" s="156"/>
      <c r="H139" s="156"/>
      <c r="I139" s="156"/>
      <c r="J139" s="156"/>
      <c r="K139" s="156"/>
      <c r="L139" s="156"/>
      <c r="M139" s="156"/>
      <c r="N139" s="156"/>
    </row>
    <row r="140" spans="1:19" s="112" customFormat="1">
      <c r="B140" s="156"/>
      <c r="C140" s="156"/>
      <c r="D140" s="156"/>
      <c r="E140" s="156"/>
      <c r="F140" s="156"/>
      <c r="G140" s="156"/>
      <c r="H140" s="156"/>
      <c r="I140" s="156"/>
      <c r="J140" s="156"/>
      <c r="K140" s="156"/>
      <c r="L140" s="156"/>
      <c r="M140" s="156"/>
      <c r="N140" s="156"/>
    </row>
    <row r="141" spans="1:19" s="112" customFormat="1">
      <c r="B141" s="156"/>
      <c r="C141" s="156"/>
      <c r="D141" s="156"/>
      <c r="E141" s="156"/>
      <c r="F141" s="156"/>
      <c r="G141" s="156"/>
      <c r="H141" s="156"/>
      <c r="I141" s="156"/>
      <c r="J141" s="156"/>
      <c r="K141" s="156"/>
      <c r="L141" s="156"/>
      <c r="M141" s="156"/>
      <c r="N141" s="156"/>
    </row>
    <row r="142" spans="1:19" s="112" customFormat="1">
      <c r="B142" s="156"/>
      <c r="C142" s="156"/>
      <c r="D142" s="156"/>
      <c r="E142" s="156"/>
      <c r="F142" s="156"/>
      <c r="G142" s="156"/>
      <c r="H142" s="156"/>
      <c r="I142" s="156"/>
      <c r="J142" s="156"/>
      <c r="K142" s="156"/>
      <c r="L142" s="156"/>
      <c r="M142" s="156"/>
      <c r="N142" s="156"/>
    </row>
    <row r="143" spans="1:19" s="112" customFormat="1">
      <c r="B143" s="156"/>
      <c r="C143" s="156"/>
      <c r="D143" s="156"/>
      <c r="E143" s="156"/>
      <c r="F143" s="156"/>
      <c r="G143" s="156"/>
      <c r="H143" s="156"/>
      <c r="I143" s="156"/>
      <c r="J143" s="156"/>
      <c r="K143" s="156"/>
      <c r="L143" s="156"/>
      <c r="M143" s="156"/>
      <c r="N143" s="156"/>
    </row>
    <row r="144" spans="1:19"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1:19" s="112" customFormat="1">
      <c r="B193" s="156"/>
      <c r="C193" s="156"/>
      <c r="D193" s="156"/>
      <c r="E193" s="156"/>
      <c r="F193" s="156"/>
      <c r="G193" s="156"/>
      <c r="H193" s="156"/>
      <c r="I193" s="156"/>
      <c r="J193" s="156"/>
      <c r="K193" s="156"/>
      <c r="L193" s="156"/>
      <c r="M193" s="156"/>
      <c r="N193" s="156"/>
    </row>
    <row r="194" spans="1:19" s="112" customFormat="1">
      <c r="B194" s="156"/>
      <c r="C194" s="156"/>
      <c r="D194" s="156"/>
      <c r="E194" s="156"/>
      <c r="F194" s="156"/>
      <c r="G194" s="156"/>
      <c r="H194" s="156"/>
      <c r="I194" s="156"/>
      <c r="J194" s="156"/>
      <c r="K194" s="156"/>
      <c r="L194" s="156"/>
      <c r="M194" s="156"/>
      <c r="N194" s="156"/>
    </row>
    <row r="195" spans="1:19" s="112" customFormat="1">
      <c r="B195" s="156"/>
      <c r="C195" s="156"/>
      <c r="D195" s="156"/>
      <c r="E195" s="156"/>
      <c r="F195" s="156"/>
      <c r="G195" s="156"/>
      <c r="H195" s="156"/>
      <c r="I195" s="156"/>
      <c r="J195" s="156"/>
      <c r="K195" s="156"/>
      <c r="L195" s="156"/>
      <c r="M195" s="156"/>
      <c r="N195" s="156"/>
    </row>
    <row r="196" spans="1:19" s="112" customFormat="1">
      <c r="B196" s="156"/>
      <c r="C196" s="156"/>
      <c r="D196" s="156"/>
      <c r="E196" s="156"/>
      <c r="F196" s="156"/>
      <c r="G196" s="156"/>
      <c r="H196" s="156"/>
      <c r="I196" s="156"/>
      <c r="J196" s="156"/>
      <c r="K196" s="156"/>
      <c r="L196" s="156"/>
      <c r="M196" s="156"/>
      <c r="N196" s="156"/>
    </row>
    <row r="197" spans="1:19" s="112" customFormat="1">
      <c r="B197" s="156"/>
      <c r="C197" s="156"/>
      <c r="D197" s="156"/>
      <c r="E197" s="156"/>
      <c r="F197" s="156"/>
      <c r="G197" s="156"/>
      <c r="H197" s="156"/>
      <c r="I197" s="156"/>
      <c r="J197" s="156"/>
      <c r="K197" s="156"/>
      <c r="L197" s="156"/>
      <c r="M197" s="156"/>
      <c r="N197" s="156"/>
    </row>
    <row r="198" spans="1:19" s="112" customFormat="1">
      <c r="B198" s="156"/>
      <c r="C198" s="156"/>
      <c r="D198" s="156"/>
      <c r="E198" s="156"/>
      <c r="F198" s="156"/>
      <c r="G198" s="156"/>
      <c r="H198" s="156"/>
      <c r="I198" s="156"/>
      <c r="J198" s="156"/>
      <c r="K198" s="156"/>
      <c r="L198" s="156"/>
      <c r="M198" s="156"/>
      <c r="N198" s="156"/>
    </row>
    <row r="199" spans="1:19" s="112" customFormat="1">
      <c r="B199" s="156"/>
      <c r="C199" s="156"/>
      <c r="D199" s="156"/>
      <c r="E199" s="156"/>
      <c r="F199" s="156"/>
      <c r="G199" s="156"/>
      <c r="H199" s="156"/>
      <c r="I199" s="156"/>
      <c r="J199" s="156"/>
      <c r="K199" s="156"/>
      <c r="L199" s="156"/>
      <c r="M199" s="156"/>
      <c r="N199" s="156"/>
    </row>
    <row r="200" spans="1:19" s="112" customFormat="1">
      <c r="B200" s="156"/>
      <c r="C200" s="156"/>
      <c r="D200" s="156"/>
      <c r="E200" s="156"/>
      <c r="F200" s="156"/>
      <c r="G200" s="156"/>
      <c r="H200" s="156"/>
      <c r="I200" s="156"/>
      <c r="J200" s="156"/>
      <c r="K200" s="156"/>
      <c r="L200" s="156"/>
      <c r="M200" s="156"/>
      <c r="N200" s="156"/>
    </row>
    <row r="201" spans="1:19" s="112" customFormat="1">
      <c r="B201" s="156"/>
      <c r="C201" s="156"/>
      <c r="D201" s="156"/>
      <c r="E201" s="156"/>
      <c r="F201" s="156"/>
      <c r="G201" s="156"/>
      <c r="H201" s="156"/>
      <c r="I201" s="156"/>
      <c r="J201" s="156"/>
      <c r="K201" s="156"/>
      <c r="L201" s="156"/>
      <c r="M201" s="156"/>
      <c r="N201" s="156"/>
    </row>
    <row r="202" spans="1:19" s="112" customFormat="1">
      <c r="B202" s="156"/>
      <c r="C202" s="156"/>
      <c r="D202" s="156"/>
      <c r="E202" s="156"/>
      <c r="F202" s="156"/>
      <c r="G202" s="156"/>
      <c r="H202" s="156"/>
      <c r="I202" s="156"/>
      <c r="J202" s="156"/>
      <c r="K202" s="156"/>
      <c r="L202" s="156"/>
      <c r="M202" s="156"/>
      <c r="N202" s="156"/>
    </row>
    <row r="203" spans="1:19" s="112" customFormat="1">
      <c r="B203" s="156"/>
      <c r="C203" s="156"/>
      <c r="D203" s="156"/>
      <c r="E203" s="156"/>
      <c r="F203" s="156"/>
      <c r="G203" s="156"/>
      <c r="H203" s="156"/>
      <c r="I203" s="156"/>
      <c r="J203" s="156"/>
      <c r="K203" s="156"/>
      <c r="L203" s="156"/>
      <c r="M203" s="156"/>
      <c r="N203" s="156"/>
    </row>
    <row r="204" spans="1:19" s="112" customFormat="1">
      <c r="B204" s="156"/>
      <c r="C204" s="156"/>
      <c r="D204" s="156"/>
      <c r="E204" s="156"/>
      <c r="F204" s="156"/>
      <c r="G204" s="156"/>
      <c r="H204" s="156"/>
      <c r="I204" s="156"/>
      <c r="J204" s="156"/>
      <c r="K204" s="156"/>
      <c r="L204" s="156"/>
      <c r="M204" s="156"/>
      <c r="N204" s="156"/>
      <c r="R204" s="154"/>
    </row>
    <row r="205" spans="1:19" s="112" customFormat="1">
      <c r="A205" s="154"/>
      <c r="B205" s="155"/>
      <c r="C205" s="155"/>
      <c r="D205" s="155"/>
      <c r="E205" s="155"/>
      <c r="F205" s="155"/>
      <c r="G205" s="155"/>
      <c r="H205" s="155"/>
      <c r="I205" s="155"/>
      <c r="J205" s="155"/>
      <c r="K205" s="155"/>
      <c r="L205" s="155"/>
      <c r="M205" s="155"/>
      <c r="N205" s="155"/>
      <c r="O205" s="154"/>
      <c r="Q205" s="154"/>
      <c r="R205" s="154"/>
      <c r="S205" s="154"/>
    </row>
    <row r="206" spans="1:19" s="112" customFormat="1">
      <c r="A206" s="154"/>
      <c r="B206" s="155"/>
      <c r="C206" s="155"/>
      <c r="D206" s="155"/>
      <c r="E206" s="155"/>
      <c r="F206" s="155"/>
      <c r="G206" s="155"/>
      <c r="H206" s="155"/>
      <c r="I206" s="155"/>
      <c r="J206" s="155"/>
      <c r="K206" s="155"/>
      <c r="L206" s="155"/>
      <c r="M206" s="155"/>
      <c r="N206" s="155"/>
      <c r="O206" s="154"/>
      <c r="Q206" s="154"/>
      <c r="R206" s="154"/>
      <c r="S206" s="154"/>
    </row>
    <row r="207" spans="1:19" s="112" customFormat="1">
      <c r="A207" s="154"/>
      <c r="B207" s="154"/>
      <c r="C207" s="154"/>
      <c r="D207" s="154"/>
      <c r="E207" s="154"/>
      <c r="F207" s="154"/>
      <c r="G207" s="154"/>
      <c r="H207" s="154"/>
      <c r="I207" s="154"/>
      <c r="J207" s="154"/>
      <c r="K207" s="154"/>
      <c r="L207" s="154"/>
      <c r="M207" s="154"/>
      <c r="N207" s="154"/>
      <c r="O207" s="154"/>
      <c r="Q207" s="154"/>
      <c r="R207" s="154"/>
      <c r="S207" s="154"/>
    </row>
    <row r="208" spans="1:19" s="112" customFormat="1">
      <c r="A208" s="154"/>
      <c r="B208" s="154"/>
      <c r="C208" s="154"/>
      <c r="D208" s="154"/>
      <c r="E208" s="154"/>
      <c r="F208" s="154"/>
      <c r="G208" s="154"/>
      <c r="H208" s="154"/>
      <c r="I208" s="154"/>
      <c r="J208" s="154"/>
      <c r="K208" s="154"/>
      <c r="L208" s="154"/>
      <c r="M208" s="154"/>
      <c r="N208" s="154"/>
      <c r="O208" s="154"/>
      <c r="Q208" s="154"/>
      <c r="R208" s="154"/>
      <c r="S208" s="154"/>
    </row>
    <row r="209" spans="1:19" s="112" customFormat="1">
      <c r="A209" s="154"/>
      <c r="B209" s="155"/>
      <c r="C209" s="155"/>
      <c r="D209" s="155"/>
      <c r="E209" s="155"/>
      <c r="F209" s="155"/>
      <c r="G209" s="155"/>
      <c r="H209" s="155"/>
      <c r="I209" s="155"/>
      <c r="J209" s="155"/>
      <c r="K209" s="155"/>
      <c r="L209" s="155"/>
      <c r="M209" s="155"/>
      <c r="N209" s="155"/>
      <c r="O209" s="154"/>
      <c r="P209" s="154"/>
      <c r="Q209" s="154"/>
      <c r="R209" s="154"/>
      <c r="S209" s="154"/>
    </row>
    <row r="210" spans="1:19" s="112" customFormat="1">
      <c r="A210" s="154"/>
      <c r="B210" s="155"/>
      <c r="C210" s="155"/>
      <c r="D210" s="155"/>
      <c r="E210" s="155"/>
      <c r="F210" s="155"/>
      <c r="G210" s="155"/>
      <c r="H210" s="155"/>
      <c r="I210" s="155"/>
      <c r="J210" s="155"/>
      <c r="K210" s="155"/>
      <c r="L210" s="155"/>
      <c r="M210" s="155"/>
      <c r="N210" s="155"/>
      <c r="O210" s="154"/>
      <c r="P210" s="154"/>
      <c r="Q210" s="154"/>
      <c r="R210" s="154"/>
      <c r="S210" s="154"/>
    </row>
    <row r="211" spans="1:19" s="112" customFormat="1">
      <c r="A211" s="154"/>
      <c r="B211" s="155"/>
      <c r="C211" s="155"/>
      <c r="D211" s="155"/>
      <c r="E211" s="155"/>
      <c r="F211" s="155"/>
      <c r="G211" s="155"/>
      <c r="H211" s="155"/>
      <c r="I211" s="155"/>
      <c r="J211" s="155"/>
      <c r="K211" s="155"/>
      <c r="L211" s="155"/>
      <c r="M211" s="155"/>
      <c r="N211" s="155"/>
      <c r="O211" s="154"/>
      <c r="P211" s="154"/>
      <c r="Q211" s="154"/>
      <c r="R211" s="154"/>
      <c r="S211" s="154"/>
    </row>
    <row r="212" spans="1:19" s="112" customFormat="1">
      <c r="A212" s="154"/>
      <c r="B212" s="155"/>
      <c r="C212" s="155"/>
      <c r="D212" s="155"/>
      <c r="E212" s="155"/>
      <c r="F212" s="155"/>
      <c r="G212" s="155"/>
      <c r="H212" s="155"/>
      <c r="I212" s="155"/>
      <c r="J212" s="155"/>
      <c r="K212" s="155"/>
      <c r="L212" s="155"/>
      <c r="M212" s="155"/>
      <c r="N212" s="155"/>
      <c r="O212" s="154"/>
      <c r="P212" s="154"/>
      <c r="Q212" s="154"/>
      <c r="R212" s="154"/>
      <c r="S212" s="154"/>
    </row>
    <row r="213" spans="1:19" s="112" customFormat="1">
      <c r="A213" s="154"/>
      <c r="B213" s="155"/>
      <c r="C213" s="155"/>
      <c r="D213" s="155"/>
      <c r="E213" s="155"/>
      <c r="F213" s="155"/>
      <c r="G213" s="155"/>
      <c r="H213" s="155"/>
      <c r="I213" s="155"/>
      <c r="J213" s="155"/>
      <c r="K213" s="155"/>
      <c r="L213" s="155"/>
      <c r="M213" s="155"/>
      <c r="N213" s="155"/>
      <c r="O213" s="154"/>
      <c r="P213" s="154"/>
      <c r="Q213" s="154"/>
      <c r="R213" s="154"/>
      <c r="S213" s="154"/>
    </row>
    <row r="214" spans="1:19" s="112" customFormat="1">
      <c r="A214" s="154"/>
      <c r="B214" s="155"/>
      <c r="C214" s="155"/>
      <c r="D214" s="155"/>
      <c r="E214" s="155"/>
      <c r="F214" s="155"/>
      <c r="G214" s="155"/>
      <c r="H214" s="155"/>
      <c r="I214" s="155"/>
      <c r="J214" s="155"/>
      <c r="K214" s="155"/>
      <c r="L214" s="155"/>
      <c r="M214" s="155"/>
      <c r="N214" s="155"/>
      <c r="O214" s="154"/>
      <c r="P214" s="154"/>
      <c r="Q214" s="154"/>
      <c r="R214" s="154"/>
      <c r="S214" s="154"/>
    </row>
    <row r="215" spans="1:19" s="112" customFormat="1">
      <c r="A215" s="154"/>
      <c r="B215" s="155"/>
      <c r="C215" s="155"/>
      <c r="D215" s="155"/>
      <c r="E215" s="155"/>
      <c r="F215" s="155"/>
      <c r="G215" s="155"/>
      <c r="H215" s="155"/>
      <c r="I215" s="155"/>
      <c r="J215" s="155"/>
      <c r="K215" s="155"/>
      <c r="L215" s="155"/>
      <c r="M215" s="155"/>
      <c r="N215" s="155"/>
      <c r="O215" s="154"/>
      <c r="P215" s="154"/>
      <c r="Q215" s="154"/>
      <c r="R215" s="154"/>
      <c r="S215" s="154"/>
    </row>
    <row r="216" spans="1:19" s="112" customFormat="1">
      <c r="A216" s="154"/>
      <c r="B216" s="155"/>
      <c r="C216" s="155"/>
      <c r="D216" s="155"/>
      <c r="E216" s="155"/>
      <c r="F216" s="155"/>
      <c r="G216" s="155"/>
      <c r="H216" s="155"/>
      <c r="I216" s="155"/>
      <c r="J216" s="155"/>
      <c r="K216" s="155"/>
      <c r="L216" s="155"/>
      <c r="M216" s="155"/>
      <c r="N216" s="155"/>
      <c r="O216" s="154"/>
      <c r="P216" s="154"/>
      <c r="Q216" s="154"/>
      <c r="R216" s="154"/>
      <c r="S216" s="154"/>
    </row>
    <row r="217" spans="1:19" s="112" customFormat="1">
      <c r="A217" s="154"/>
      <c r="B217" s="155"/>
      <c r="C217" s="155"/>
      <c r="D217" s="155"/>
      <c r="E217" s="155"/>
      <c r="F217" s="155"/>
      <c r="G217" s="155"/>
      <c r="H217" s="155"/>
      <c r="I217" s="155"/>
      <c r="J217" s="155"/>
      <c r="K217" s="155"/>
      <c r="L217" s="155"/>
      <c r="M217" s="155"/>
      <c r="N217" s="155"/>
      <c r="O217" s="154"/>
      <c r="P217" s="154"/>
      <c r="Q217" s="154"/>
      <c r="R217" s="154"/>
      <c r="S217" s="154"/>
    </row>
    <row r="218" spans="1:19" s="112" customFormat="1">
      <c r="A218" s="154"/>
      <c r="B218" s="155"/>
      <c r="C218" s="155"/>
      <c r="D218" s="155"/>
      <c r="E218" s="155"/>
      <c r="F218" s="155"/>
      <c r="G218" s="155"/>
      <c r="H218" s="155"/>
      <c r="I218" s="155"/>
      <c r="J218" s="155"/>
      <c r="K218" s="155"/>
      <c r="L218" s="155"/>
      <c r="M218" s="155"/>
      <c r="N218" s="155"/>
      <c r="O218" s="154"/>
      <c r="P218" s="154"/>
      <c r="Q218" s="154"/>
      <c r="R218" s="154"/>
      <c r="S218" s="154"/>
    </row>
    <row r="219" spans="1:19" s="112" customFormat="1">
      <c r="A219" s="154"/>
      <c r="B219" s="155"/>
      <c r="C219" s="155"/>
      <c r="D219" s="155"/>
      <c r="E219" s="155"/>
      <c r="F219" s="155"/>
      <c r="G219" s="155"/>
      <c r="H219" s="155"/>
      <c r="I219" s="155"/>
      <c r="J219" s="155"/>
      <c r="K219" s="155"/>
      <c r="L219" s="155"/>
      <c r="M219" s="155"/>
      <c r="N219" s="155"/>
      <c r="O219" s="154"/>
      <c r="P219" s="154"/>
      <c r="Q219" s="154"/>
      <c r="R219" s="154"/>
      <c r="S219" s="154"/>
    </row>
    <row r="220" spans="1:19" s="112" customFormat="1" ht="409.6">
      <c r="A220" s="154"/>
      <c r="B220" s="155"/>
      <c r="C220" s="155"/>
      <c r="D220" s="155"/>
      <c r="E220" s="155"/>
      <c r="F220" s="155"/>
      <c r="G220" s="155"/>
      <c r="H220" s="155"/>
      <c r="I220" s="155"/>
      <c r="J220" s="155"/>
      <c r="K220" s="155"/>
      <c r="L220" s="155"/>
      <c r="M220" s="155"/>
      <c r="N220" s="155"/>
      <c r="O220" s="154"/>
      <c r="P220" s="154"/>
      <c r="Q220" s="154"/>
      <c r="R220" s="154"/>
      <c r="S220" s="154"/>
    </row>
    <row r="221" spans="1:19" s="112" customFormat="1" ht="409.6">
      <c r="A221" s="154"/>
      <c r="B221" s="155"/>
      <c r="C221" s="155"/>
      <c r="D221" s="155"/>
      <c r="E221" s="155"/>
      <c r="F221" s="155"/>
      <c r="G221" s="155"/>
      <c r="H221" s="155"/>
      <c r="I221" s="155"/>
      <c r="J221" s="155"/>
      <c r="K221" s="155"/>
      <c r="L221" s="155"/>
      <c r="M221" s="155"/>
      <c r="N221" s="155"/>
      <c r="O221" s="154"/>
      <c r="P221" s="154"/>
      <c r="Q221" s="154"/>
      <c r="R221" s="154"/>
      <c r="S221" s="154"/>
    </row>
    <row r="222" spans="1:19" s="112" customFormat="1">
      <c r="A222" s="154"/>
      <c r="B222" s="155"/>
      <c r="C222" s="155"/>
      <c r="D222" s="155"/>
      <c r="E222" s="155"/>
      <c r="F222" s="155"/>
      <c r="G222" s="155"/>
      <c r="H222" s="155"/>
      <c r="I222" s="155"/>
      <c r="J222" s="155"/>
      <c r="K222" s="155"/>
      <c r="L222" s="155"/>
      <c r="M222" s="155"/>
      <c r="N222" s="155"/>
      <c r="O222" s="154"/>
      <c r="P222" s="154"/>
      <c r="Q222" s="154"/>
      <c r="R222" s="154"/>
      <c r="S222" s="154"/>
    </row>
  </sheetData>
  <mergeCells count="12">
    <mergeCell ref="R8:S8"/>
    <mergeCell ref="B7:D7"/>
    <mergeCell ref="E7:K7"/>
    <mergeCell ref="L7:M7"/>
    <mergeCell ref="B53:D53"/>
    <mergeCell ref="E53:K53"/>
    <mergeCell ref="L53:M53"/>
    <mergeCell ref="B98:D98"/>
    <mergeCell ref="E98:K98"/>
    <mergeCell ref="L98:M98"/>
    <mergeCell ref="R99:S99"/>
    <mergeCell ref="R54:S54"/>
  </mergeCells>
  <conditionalFormatting sqref="B33:M38">
    <cfRule type="cellIs" dxfId="288" priority="15" operator="equal">
      <formula>$O$12</formula>
    </cfRule>
  </conditionalFormatting>
  <conditionalFormatting sqref="B33:M33">
    <cfRule type="cellIs" dxfId="287" priority="14" operator="equal">
      <formula>$O33</formula>
    </cfRule>
  </conditionalFormatting>
  <conditionalFormatting sqref="B34:M35">
    <cfRule type="cellIs" dxfId="286" priority="13" operator="equal">
      <formula>$O34</formula>
    </cfRule>
  </conditionalFormatting>
  <conditionalFormatting sqref="B36:M36">
    <cfRule type="cellIs" dxfId="285" priority="12" operator="equal">
      <formula>$O36</formula>
    </cfRule>
  </conditionalFormatting>
  <conditionalFormatting sqref="B37:M38">
    <cfRule type="cellIs" dxfId="284" priority="11" operator="equal">
      <formula>$O37</formula>
    </cfRule>
  </conditionalFormatting>
  <conditionalFormatting sqref="B78:M83">
    <cfRule type="cellIs" dxfId="283" priority="10" operator="equal">
      <formula>$O$12</formula>
    </cfRule>
  </conditionalFormatting>
  <conditionalFormatting sqref="B78:M78">
    <cfRule type="cellIs" dxfId="282" priority="9" operator="equal">
      <formula>$O78</formula>
    </cfRule>
  </conditionalFormatting>
  <conditionalFormatting sqref="B79:M80">
    <cfRule type="cellIs" dxfId="281" priority="8" operator="equal">
      <formula>$O79</formula>
    </cfRule>
  </conditionalFormatting>
  <conditionalFormatting sqref="B81:M81">
    <cfRule type="cellIs" dxfId="280" priority="7" operator="equal">
      <formula>$O81</formula>
    </cfRule>
  </conditionalFormatting>
  <conditionalFormatting sqref="B82:M83">
    <cfRule type="cellIs" dxfId="279" priority="6" operator="equal">
      <formula>$O82</formula>
    </cfRule>
  </conditionalFormatting>
  <conditionalFormatting sqref="B123:M128">
    <cfRule type="cellIs" dxfId="278" priority="5" operator="equal">
      <formula>$O$12</formula>
    </cfRule>
  </conditionalFormatting>
  <conditionalFormatting sqref="B123:M123">
    <cfRule type="cellIs" dxfId="277" priority="4" operator="equal">
      <formula>$O123</formula>
    </cfRule>
  </conditionalFormatting>
  <conditionalFormatting sqref="B124:M125">
    <cfRule type="cellIs" dxfId="276" priority="3" operator="equal">
      <formula>$O124</formula>
    </cfRule>
  </conditionalFormatting>
  <conditionalFormatting sqref="B126:M126">
    <cfRule type="cellIs" dxfId="275" priority="2" operator="equal">
      <formula>$O126</formula>
    </cfRule>
  </conditionalFormatting>
  <conditionalFormatting sqref="B127:M128">
    <cfRule type="cellIs" dxfId="274" priority="1" operator="equal">
      <formula>$O127</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tint="4.9989318521683403E-2"/>
  </sheetPr>
  <dimension ref="A1:S222"/>
  <sheetViews>
    <sheetView showGridLines="0" zoomScale="75" zoomScaleNormal="75" workbookViewId="0">
      <pane xSplit="1" topLeftCell="B1" activePane="topRight" state="frozen"/>
      <selection activeCell="B3" sqref="A1:XFD3"/>
      <selection pane="topRight" activeCell="A2" sqref="A1:A2"/>
    </sheetView>
  </sheetViews>
  <sheetFormatPr defaultColWidth="9.109375" defaultRowHeight="13.2"/>
  <cols>
    <col min="1" max="1" width="22.44140625" style="154" customWidth="1"/>
    <col min="2" max="2" width="14.5546875" style="155" bestFit="1" customWidth="1"/>
    <col min="3" max="5" width="14.33203125" style="155" bestFit="1" customWidth="1"/>
    <col min="6" max="6" width="14.5546875" style="155" bestFit="1" customWidth="1"/>
    <col min="7" max="12" width="14.33203125" style="155" bestFit="1" customWidth="1"/>
    <col min="13" max="13" width="14.5546875" style="155" bestFit="1" customWidth="1"/>
    <col min="14" max="14" width="15.88671875" style="155" bestFit="1" customWidth="1"/>
    <col min="15" max="15" width="14.33203125" style="154" bestFit="1" customWidth="1"/>
    <col min="16" max="16" width="11.44140625" style="154" bestFit="1" customWidth="1"/>
    <col min="17" max="17" width="1.6640625" style="154" customWidth="1"/>
    <col min="18" max="18" width="14.5546875" style="154" hidden="1" customWidth="1"/>
    <col min="19" max="19" width="9.6640625" style="154" hidden="1" customWidth="1"/>
    <col min="20" max="16384" width="9.109375" style="154"/>
  </cols>
  <sheetData>
    <row r="1" spans="1:19" s="164" customFormat="1">
      <c r="A1" s="158" t="s">
        <v>1275</v>
      </c>
      <c r="C1" s="158"/>
      <c r="D1" s="158"/>
      <c r="E1" s="158"/>
      <c r="F1" s="158"/>
      <c r="G1" s="158"/>
      <c r="H1" s="158"/>
      <c r="I1" s="158"/>
      <c r="J1" s="158"/>
      <c r="K1" s="158"/>
      <c r="L1" s="158"/>
      <c r="M1" s="158"/>
      <c r="N1" s="158"/>
    </row>
    <row r="2" spans="1:19" s="164" customFormat="1">
      <c r="A2" s="158" t="s">
        <v>1267</v>
      </c>
      <c r="C2" s="158"/>
      <c r="D2" s="158"/>
      <c r="E2" s="158"/>
      <c r="F2" s="158"/>
      <c r="G2" s="158"/>
      <c r="H2" s="158"/>
      <c r="I2" s="158"/>
      <c r="J2" s="158"/>
      <c r="K2" s="158"/>
      <c r="L2" s="158"/>
      <c r="M2" s="158"/>
      <c r="N2" s="158"/>
    </row>
    <row r="3" spans="1:19" s="164" customFormat="1">
      <c r="B3" s="158"/>
      <c r="C3" s="158"/>
      <c r="D3" s="158"/>
      <c r="E3" s="158"/>
      <c r="F3" s="158"/>
      <c r="G3" s="158"/>
      <c r="H3" s="158"/>
      <c r="I3" s="158"/>
      <c r="J3" s="158"/>
      <c r="K3" s="158"/>
      <c r="L3" s="158"/>
      <c r="M3" s="158"/>
      <c r="N3" s="158"/>
    </row>
    <row r="4" spans="1:19" s="172" customFormat="1" ht="21">
      <c r="A4" s="124" t="s">
        <v>531</v>
      </c>
      <c r="B4" s="165"/>
      <c r="C4" s="165"/>
      <c r="D4" s="165"/>
      <c r="E4" s="165"/>
      <c r="F4" s="165"/>
      <c r="G4" s="165"/>
      <c r="H4" s="165"/>
      <c r="I4" s="165"/>
      <c r="J4" s="165"/>
      <c r="K4" s="165"/>
      <c r="L4" s="165"/>
      <c r="M4" s="165"/>
      <c r="N4" s="165"/>
      <c r="O4" s="165"/>
    </row>
    <row r="5" spans="1:19" s="172" customFormat="1" ht="21">
      <c r="A5" s="124" t="str">
        <f>MANUAL!$B$9&amp;" - PRIOR YEAR"</f>
        <v>2016 - PRIOR YEAR</v>
      </c>
      <c r="B5" s="165"/>
      <c r="C5" s="165"/>
      <c r="D5" s="165"/>
      <c r="E5" s="165"/>
      <c r="F5" s="165"/>
      <c r="G5" s="165"/>
      <c r="H5" s="165"/>
      <c r="I5" s="165"/>
      <c r="J5" s="165"/>
      <c r="K5" s="165"/>
      <c r="L5" s="165"/>
      <c r="M5" s="165"/>
      <c r="N5" s="165"/>
      <c r="O5" s="165"/>
    </row>
    <row r="6" spans="1:19" s="172" customFormat="1" ht="21.6" thickBot="1">
      <c r="A6" s="124"/>
      <c r="B6" s="165"/>
      <c r="C6" s="165"/>
      <c r="D6" s="165"/>
      <c r="E6" s="165"/>
      <c r="F6" s="165"/>
      <c r="G6" s="165"/>
      <c r="H6" s="165"/>
      <c r="I6" s="165"/>
      <c r="J6" s="165"/>
      <c r="K6" s="165"/>
      <c r="L6" s="165"/>
      <c r="M6" s="165"/>
      <c r="N6" s="165"/>
      <c r="O6" s="165"/>
    </row>
    <row r="7" spans="1:19" s="164" customFormat="1" ht="13.8" thickBot="1">
      <c r="A7" s="168"/>
      <c r="B7" s="572" t="s">
        <v>339</v>
      </c>
      <c r="C7" s="573"/>
      <c r="D7" s="574"/>
      <c r="E7" s="575" t="s">
        <v>340</v>
      </c>
      <c r="F7" s="576"/>
      <c r="G7" s="576"/>
      <c r="H7" s="576"/>
      <c r="I7" s="576"/>
      <c r="J7" s="576"/>
      <c r="K7" s="577"/>
      <c r="L7" s="572" t="s">
        <v>339</v>
      </c>
      <c r="M7" s="574"/>
      <c r="N7" s="166"/>
    </row>
    <row r="8" spans="1:19" s="165" customFormat="1" ht="13.8" thickBot="1">
      <c r="A8" s="171" t="s">
        <v>454</v>
      </c>
      <c r="B8" s="100" t="s">
        <v>70</v>
      </c>
      <c r="C8" s="100" t="s">
        <v>71</v>
      </c>
      <c r="D8" s="100" t="s">
        <v>72</v>
      </c>
      <c r="E8" s="103" t="s">
        <v>73</v>
      </c>
      <c r="F8" s="103" t="s">
        <v>74</v>
      </c>
      <c r="G8" s="103" t="s">
        <v>75</v>
      </c>
      <c r="H8" s="103" t="s">
        <v>76</v>
      </c>
      <c r="I8" s="103" t="s">
        <v>77</v>
      </c>
      <c r="J8" s="103" t="s">
        <v>78</v>
      </c>
      <c r="K8" s="103" t="s">
        <v>79</v>
      </c>
      <c r="L8" s="100" t="s">
        <v>80</v>
      </c>
      <c r="M8" s="100" t="s">
        <v>81</v>
      </c>
      <c r="N8" s="170" t="s">
        <v>60</v>
      </c>
      <c r="O8" s="169" t="s">
        <v>342</v>
      </c>
      <c r="P8" s="169" t="s">
        <v>455</v>
      </c>
      <c r="R8" s="580" t="s">
        <v>495</v>
      </c>
      <c r="S8" s="581"/>
    </row>
    <row r="9" spans="1:19" s="164" customFormat="1">
      <c r="A9" s="168"/>
      <c r="B9" s="167"/>
      <c r="C9" s="167"/>
      <c r="D9" s="167"/>
      <c r="E9" s="167"/>
      <c r="F9" s="167"/>
      <c r="G9" s="167"/>
      <c r="H9" s="167"/>
      <c r="I9" s="167"/>
      <c r="J9" s="167"/>
      <c r="K9" s="167"/>
      <c r="L9" s="167"/>
      <c r="M9" s="167"/>
      <c r="N9" s="166"/>
      <c r="O9" s="165"/>
    </row>
    <row r="10" spans="1:19" s="164" customFormat="1">
      <c r="A10" s="168"/>
      <c r="B10" s="167"/>
      <c r="C10" s="167"/>
      <c r="D10" s="167"/>
      <c r="E10" s="167"/>
      <c r="F10" s="167"/>
      <c r="G10" s="167"/>
      <c r="H10" s="167"/>
      <c r="I10" s="167"/>
      <c r="J10" s="167"/>
      <c r="K10" s="167"/>
      <c r="L10" s="167"/>
      <c r="M10" s="167"/>
      <c r="N10" s="166"/>
      <c r="O10" s="165"/>
    </row>
    <row r="11" spans="1:19" s="81" customFormat="1">
      <c r="A11" s="42" t="s">
        <v>83</v>
      </c>
    </row>
    <row r="12" spans="1:19">
      <c r="A12" s="163" t="s">
        <v>98</v>
      </c>
      <c r="B12" s="162">
        <f>+'CILC-1D'!C$59</f>
        <v>365236.76523739443</v>
      </c>
      <c r="C12" s="162">
        <f>+'CILC-1D'!D$59</f>
        <v>359936.31283351575</v>
      </c>
      <c r="D12" s="162">
        <f>+'CILC-1D'!E$59</f>
        <v>339045.54463675513</v>
      </c>
      <c r="E12" s="162">
        <f>+'CILC-1D'!F$59</f>
        <v>349489.98673583753</v>
      </c>
      <c r="F12" s="162">
        <f>+'CILC-1D'!G$59</f>
        <v>346308.41998354561</v>
      </c>
      <c r="G12" s="162">
        <f>+'CILC-1D'!H$59</f>
        <v>367837.80999938585</v>
      </c>
      <c r="H12" s="162">
        <f>+'CILC-1D'!I$59</f>
        <v>365493.73786702991</v>
      </c>
      <c r="I12" s="162">
        <f>+'CILC-1D'!J$59</f>
        <v>365314.8043000981</v>
      </c>
      <c r="J12" s="162">
        <f>+'CILC-1D'!K$59</f>
        <v>373655.37537047628</v>
      </c>
      <c r="K12" s="162">
        <f>+'CILC-1D'!L$59</f>
        <v>354304.56447053305</v>
      </c>
      <c r="L12" s="162">
        <f>+'CILC-1D'!M$59</f>
        <v>358843.92415363039</v>
      </c>
      <c r="M12" s="162">
        <f>+'CILC-1D'!N$59</f>
        <v>359644.13354556594</v>
      </c>
      <c r="N12" s="162">
        <f t="shared" ref="N12:N28" si="0">SUM(B12:M12)</f>
        <v>4305111.3791337693</v>
      </c>
      <c r="O12" s="158">
        <f t="shared" ref="O12:O28" si="1">MAX(B12:M12)</f>
        <v>373655.37537047628</v>
      </c>
      <c r="P12" s="159">
        <f t="shared" ref="P12:P28" si="2">+O12/$O$45</f>
        <v>1.5742903058336977E-2</v>
      </c>
      <c r="R12" s="197">
        <v>442576.01672456594</v>
      </c>
      <c r="S12" s="198">
        <f t="shared" ref="S12:S28" si="3">+R12/$R$45</f>
        <v>2.2942606610173305E-2</v>
      </c>
    </row>
    <row r="13" spans="1:19">
      <c r="A13" s="163" t="s">
        <v>99</v>
      </c>
      <c r="B13" s="162">
        <f>+'CILC-1G'!C$59</f>
        <v>13882.499246296913</v>
      </c>
      <c r="C13" s="162">
        <f>+'CILC-1G'!D$59</f>
        <v>14000.773159565279</v>
      </c>
      <c r="D13" s="162">
        <f>+'CILC-1G'!E$59</f>
        <v>12818.897438564551</v>
      </c>
      <c r="E13" s="162">
        <f>+'CILC-1G'!F$59</f>
        <v>13373.223877575223</v>
      </c>
      <c r="F13" s="162">
        <f>+'CILC-1G'!G$59</f>
        <v>13286.825163414032</v>
      </c>
      <c r="G13" s="162">
        <f>+'CILC-1G'!H$59</f>
        <v>14071.942011800633</v>
      </c>
      <c r="H13" s="162">
        <f>+'CILC-1G'!I$59</f>
        <v>13981.618875897037</v>
      </c>
      <c r="I13" s="162">
        <f>+'CILC-1G'!J$59</f>
        <v>13923.298276555452</v>
      </c>
      <c r="J13" s="162">
        <f>+'CILC-1G'!K$59</f>
        <v>14481.35019877888</v>
      </c>
      <c r="K13" s="162">
        <f>+'CILC-1G'!L$59</f>
        <v>13717.491172576967</v>
      </c>
      <c r="L13" s="162">
        <f>+'CILC-1G'!M$59</f>
        <v>13638.130191244087</v>
      </c>
      <c r="M13" s="162">
        <f>+'CILC-1G'!N$59</f>
        <v>13861.482484814267</v>
      </c>
      <c r="N13" s="162">
        <f t="shared" si="0"/>
        <v>165037.53209708334</v>
      </c>
      <c r="O13" s="158">
        <f t="shared" si="1"/>
        <v>14481.35019877888</v>
      </c>
      <c r="P13" s="159">
        <f t="shared" si="2"/>
        <v>6.1013036974823655E-4</v>
      </c>
      <c r="R13" s="197">
        <v>28711.096584808067</v>
      </c>
      <c r="S13" s="198">
        <f t="shared" si="3"/>
        <v>1.4883485986586652E-3</v>
      </c>
    </row>
    <row r="14" spans="1:19">
      <c r="A14" s="163" t="s">
        <v>50</v>
      </c>
      <c r="B14" s="162">
        <f>+'CILC-1T'!C$59</f>
        <v>193088.9504398584</v>
      </c>
      <c r="C14" s="162">
        <f>+'CILC-1T'!D$59</f>
        <v>196879.30128791358</v>
      </c>
      <c r="D14" s="162">
        <f>+'CILC-1T'!E$59</f>
        <v>185883.05010491359</v>
      </c>
      <c r="E14" s="162">
        <f>+'CILC-1T'!F$59</f>
        <v>194358.89882718981</v>
      </c>
      <c r="F14" s="162">
        <f>+'CILC-1T'!G$59</f>
        <v>186495.29698992302</v>
      </c>
      <c r="G14" s="162">
        <f>+'CILC-1T'!H$59</f>
        <v>201366.86933956316</v>
      </c>
      <c r="H14" s="162">
        <f>+'CILC-1T'!I$59</f>
        <v>196053.11579853087</v>
      </c>
      <c r="I14" s="162">
        <f>+'CILC-1T'!J$59</f>
        <v>193541.43011542736</v>
      </c>
      <c r="J14" s="162">
        <f>+'CILC-1T'!K$59</f>
        <v>211943.35946898794</v>
      </c>
      <c r="K14" s="162">
        <f>+'CILC-1T'!L$59</f>
        <v>196586.38539948474</v>
      </c>
      <c r="L14" s="162">
        <f>+'CILC-1T'!M$59</f>
        <v>209093.14413938974</v>
      </c>
      <c r="M14" s="162">
        <f>+'CILC-1T'!N$59</f>
        <v>204701.3553768151</v>
      </c>
      <c r="N14" s="162">
        <f t="shared" si="0"/>
        <v>2369991.1572879967</v>
      </c>
      <c r="O14" s="158">
        <f t="shared" si="1"/>
        <v>211943.35946898794</v>
      </c>
      <c r="P14" s="159">
        <f t="shared" si="2"/>
        <v>8.9296286950785279E-3</v>
      </c>
      <c r="R14" s="197">
        <v>248863.15845851868</v>
      </c>
      <c r="S14" s="198">
        <f t="shared" si="3"/>
        <v>1.2900765808627916E-2</v>
      </c>
    </row>
    <row r="15" spans="1:19">
      <c r="A15" s="163" t="s">
        <v>49</v>
      </c>
      <c r="B15" s="162">
        <f>+'GS(T)-1'!C$60</f>
        <v>1028198.3322939005</v>
      </c>
      <c r="C15" s="162">
        <f>+'GS(T)-1'!D$60</f>
        <v>1007514.9221199374</v>
      </c>
      <c r="D15" s="162">
        <f>+'GS(T)-1'!E$60</f>
        <v>945777.89135493163</v>
      </c>
      <c r="E15" s="162">
        <f>+'GS(T)-1'!F$60</f>
        <v>1085419.2695663529</v>
      </c>
      <c r="F15" s="162">
        <f>+'GS(T)-1'!G$60</f>
        <v>1139802.027415151</v>
      </c>
      <c r="G15" s="162">
        <f>+'GS(T)-1'!H$60</f>
        <v>1266919.2103742999</v>
      </c>
      <c r="H15" s="162">
        <f>+'GS(T)-1'!I$60</f>
        <v>1267425.4458075629</v>
      </c>
      <c r="I15" s="162">
        <f>+'GS(T)-1'!J$60</f>
        <v>1251649.2760354974</v>
      </c>
      <c r="J15" s="162">
        <f>+'GS(T)-1'!K$60</f>
        <v>1300804.557592486</v>
      </c>
      <c r="K15" s="162">
        <f>+'GS(T)-1'!L$60</f>
        <v>1183257.1324510886</v>
      </c>
      <c r="L15" s="162">
        <f>+'GS(T)-1'!M$60</f>
        <v>1098482.5063947425</v>
      </c>
      <c r="M15" s="162">
        <f>+'GS(T)-1'!N$60</f>
        <v>1048895.0505855344</v>
      </c>
      <c r="N15" s="162">
        <f t="shared" si="0"/>
        <v>13624145.621991485</v>
      </c>
      <c r="O15" s="158">
        <f t="shared" si="1"/>
        <v>1300804.557592486</v>
      </c>
      <c r="P15" s="159">
        <f t="shared" si="2"/>
        <v>5.4805688337059837E-2</v>
      </c>
      <c r="R15" s="197">
        <v>1307760.436733797</v>
      </c>
      <c r="S15" s="198">
        <f t="shared" si="3"/>
        <v>6.7792722846534995E-2</v>
      </c>
    </row>
    <row r="16" spans="1:19">
      <c r="A16" s="163" t="s">
        <v>325</v>
      </c>
      <c r="B16" s="162">
        <f>+'GSCU-1'!C$60</f>
        <v>7903.6002940750614</v>
      </c>
      <c r="C16" s="162">
        <f>+'GSCU-1'!D$60</f>
        <v>8454.8637887149507</v>
      </c>
      <c r="D16" s="162">
        <f>+'GSCU-1'!E$60</f>
        <v>7881.805990756875</v>
      </c>
      <c r="E16" s="162">
        <f>+'GSCU-1'!F$60</f>
        <v>8127.075659598544</v>
      </c>
      <c r="F16" s="162">
        <f>+'GSCU-1'!G$60</f>
        <v>7853.0941796492853</v>
      </c>
      <c r="G16" s="162">
        <f>+'GSCU-1'!H$60</f>
        <v>8231.1101039962959</v>
      </c>
      <c r="H16" s="162">
        <f>+'GSCU-1'!I$60</f>
        <v>7894.9589416436875</v>
      </c>
      <c r="I16" s="162">
        <f>+'GSCU-1'!J$60</f>
        <v>7953.9698935422002</v>
      </c>
      <c r="J16" s="162">
        <f>+'GSCU-1'!K$60</f>
        <v>8163.7180603080087</v>
      </c>
      <c r="K16" s="162">
        <f>+'GSCU-1'!L$60</f>
        <v>7962.2927639971449</v>
      </c>
      <c r="L16" s="162">
        <f>+'GSCU-1'!M$60</f>
        <v>8212.7807016542065</v>
      </c>
      <c r="M16" s="162">
        <f>+'GSCU-1'!N$60</f>
        <v>8149.8721099738796</v>
      </c>
      <c r="N16" s="162">
        <f t="shared" si="0"/>
        <v>96789.14248791014</v>
      </c>
      <c r="O16" s="158">
        <f t="shared" si="1"/>
        <v>8454.8637887149507</v>
      </c>
      <c r="P16" s="159">
        <f t="shared" si="2"/>
        <v>3.5622156075022744E-4</v>
      </c>
      <c r="R16" s="197">
        <v>4086.9128698440782</v>
      </c>
      <c r="S16" s="198">
        <f t="shared" si="3"/>
        <v>2.1186063112236091E-4</v>
      </c>
    </row>
    <row r="17" spans="1:19">
      <c r="A17" s="163" t="s">
        <v>67</v>
      </c>
      <c r="B17" s="162">
        <f>+'GSD(T)-1'!C$60</f>
        <v>4138185.5835734233</v>
      </c>
      <c r="C17" s="162">
        <f>+'GSD(T)-1'!D$60</f>
        <v>3919566.1352613694</v>
      </c>
      <c r="D17" s="162">
        <f>+'GSD(T)-1'!E$60</f>
        <v>3742687.6822108906</v>
      </c>
      <c r="E17" s="162">
        <f>+'GSD(T)-1'!F$60</f>
        <v>4050628.4478633427</v>
      </c>
      <c r="F17" s="162">
        <f>+'GSD(T)-1'!G$60</f>
        <v>4230260.62094553</v>
      </c>
      <c r="G17" s="162">
        <f>+'GSD(T)-1'!H$60</f>
        <v>4549236.6396858199</v>
      </c>
      <c r="H17" s="162">
        <f>+'GSD(T)-1'!I$60</f>
        <v>4527440.8995806538</v>
      </c>
      <c r="I17" s="162">
        <f>+'GSD(T)-1'!J$60</f>
        <v>4501558.6065717135</v>
      </c>
      <c r="J17" s="162">
        <f>+'GSD(T)-1'!K$60</f>
        <v>4690276.0725559974</v>
      </c>
      <c r="K17" s="162">
        <f>+'GSD(T)-1'!L$60</f>
        <v>4373472.4051426081</v>
      </c>
      <c r="L17" s="162">
        <f>+'GSD(T)-1'!M$60</f>
        <v>4231490.9948495291</v>
      </c>
      <c r="M17" s="162">
        <f>+'GSD(T)-1'!N$60</f>
        <v>4100203.5868640598</v>
      </c>
      <c r="N17" s="162">
        <f t="shared" si="0"/>
        <v>51055007.675104938</v>
      </c>
      <c r="O17" s="158">
        <f t="shared" si="1"/>
        <v>4690276.0725559974</v>
      </c>
      <c r="P17" s="159">
        <f t="shared" si="2"/>
        <v>0.19761139915055745</v>
      </c>
      <c r="R17" s="197">
        <v>4184984.4854621948</v>
      </c>
      <c r="S17" s="198">
        <f t="shared" si="3"/>
        <v>0.2169445453240445</v>
      </c>
    </row>
    <row r="18" spans="1:19">
      <c r="A18" s="163" t="s">
        <v>68</v>
      </c>
      <c r="B18" s="162">
        <f>+'GSLD(T)-1'!C$59</f>
        <v>1754072.7299008099</v>
      </c>
      <c r="C18" s="162">
        <f>+'GSLD(T)-1'!D$59</f>
        <v>1700457.5589971375</v>
      </c>
      <c r="D18" s="162">
        <f>+'GSLD(T)-1'!E$59</f>
        <v>1639118.4828027969</v>
      </c>
      <c r="E18" s="162">
        <f>+'GSLD(T)-1'!F$59</f>
        <v>1674322.825779041</v>
      </c>
      <c r="F18" s="162">
        <f>+'GSLD(T)-1'!G$59</f>
        <v>1759083.425728569</v>
      </c>
      <c r="G18" s="162">
        <f>+'GSLD(T)-1'!H$59</f>
        <v>1822540.6955156249</v>
      </c>
      <c r="H18" s="162">
        <f>+'GSLD(T)-1'!I$59</f>
        <v>1745608.0824255061</v>
      </c>
      <c r="I18" s="162">
        <f>+'GSLD(T)-1'!J$59</f>
        <v>1829502.657785614</v>
      </c>
      <c r="J18" s="162">
        <f>+'GSLD(T)-1'!K$59</f>
        <v>1928839.8797213477</v>
      </c>
      <c r="K18" s="162">
        <f>+'GSLD(T)-1'!L$59</f>
        <v>1824853.0654702007</v>
      </c>
      <c r="L18" s="162">
        <f>+'GSLD(T)-1'!M$59</f>
        <v>1823084.0920204683</v>
      </c>
      <c r="M18" s="162">
        <f>+'GSLD(T)-1'!N$59</f>
        <v>1847981.1665538014</v>
      </c>
      <c r="N18" s="162">
        <f t="shared" si="0"/>
        <v>21349464.662700918</v>
      </c>
      <c r="O18" s="158">
        <f t="shared" si="1"/>
        <v>1928839.8797213477</v>
      </c>
      <c r="P18" s="159">
        <f t="shared" si="2"/>
        <v>8.1266164607963542E-2</v>
      </c>
      <c r="R18" s="197">
        <v>972421.19813105976</v>
      </c>
      <c r="S18" s="198">
        <f t="shared" si="3"/>
        <v>5.0409141401800563E-2</v>
      </c>
    </row>
    <row r="19" spans="1:19">
      <c r="A19" s="163" t="s">
        <v>69</v>
      </c>
      <c r="B19" s="162">
        <f>+'GSLD(T)-2'!C$59</f>
        <v>358780.27182490664</v>
      </c>
      <c r="C19" s="162">
        <f>+'GSLD(T)-2'!D$59</f>
        <v>336902.2495589641</v>
      </c>
      <c r="D19" s="162">
        <f>+'GSLD(T)-2'!E$59</f>
        <v>323989.98201791767</v>
      </c>
      <c r="E19" s="162">
        <f>+'GSLD(T)-2'!F$59</f>
        <v>331472.56921941409</v>
      </c>
      <c r="F19" s="162">
        <f>+'GSLD(T)-2'!G$59</f>
        <v>336332.8253484022</v>
      </c>
      <c r="G19" s="162">
        <f>+'GSLD(T)-2'!H$59</f>
        <v>349633.67796764756</v>
      </c>
      <c r="H19" s="162">
        <f>+'GSLD(T)-2'!I$59</f>
        <v>354272.19587428332</v>
      </c>
      <c r="I19" s="162">
        <f>+'GSLD(T)-2'!J$59</f>
        <v>349847.48983459972</v>
      </c>
      <c r="J19" s="162">
        <f>+'GSLD(T)-2'!K$59</f>
        <v>367267.64958958019</v>
      </c>
      <c r="K19" s="162">
        <f>+'GSLD(T)-2'!L$59</f>
        <v>348918.18222662574</v>
      </c>
      <c r="L19" s="162">
        <f>+'GSLD(T)-2'!M$59</f>
        <v>361219.46483301284</v>
      </c>
      <c r="M19" s="162">
        <f>+'GSLD(T)-2'!N$59</f>
        <v>359600.91844684788</v>
      </c>
      <c r="N19" s="162">
        <f t="shared" si="0"/>
        <v>4178237.4767422015</v>
      </c>
      <c r="O19" s="158">
        <f t="shared" si="1"/>
        <v>367267.64958958019</v>
      </c>
      <c r="P19" s="159">
        <f t="shared" si="2"/>
        <v>1.5473774459204203E-2</v>
      </c>
      <c r="R19" s="197">
        <v>141310.7243457734</v>
      </c>
      <c r="S19" s="198">
        <f t="shared" si="3"/>
        <v>7.3253774175507953E-3</v>
      </c>
    </row>
    <row r="20" spans="1:19">
      <c r="A20" s="163" t="s">
        <v>52</v>
      </c>
      <c r="B20" s="162">
        <f>+'GSLD(T)-3'!C$59</f>
        <v>26781.36750865974</v>
      </c>
      <c r="C20" s="162">
        <f>+'GSLD(T)-3'!D$59</f>
        <v>34175.611078731978</v>
      </c>
      <c r="D20" s="162">
        <f>+'GSLD(T)-3'!E$59</f>
        <v>28221.723849800863</v>
      </c>
      <c r="E20" s="162">
        <f>+'GSLD(T)-3'!F$59</f>
        <v>31233.333859702281</v>
      </c>
      <c r="F20" s="162">
        <f>+'GSLD(T)-3'!G$59</f>
        <v>30727.745385050453</v>
      </c>
      <c r="G20" s="162">
        <f>+'GSLD(T)-3'!H$59</f>
        <v>33324.186596511689</v>
      </c>
      <c r="H20" s="162">
        <f>+'GSLD(T)-3'!I$59</f>
        <v>25406.658384684375</v>
      </c>
      <c r="I20" s="162">
        <f>+'GSLD(T)-3'!J$59</f>
        <v>28392.232140624565</v>
      </c>
      <c r="J20" s="162">
        <f>+'GSLD(T)-3'!K$59</f>
        <v>27094.155432733452</v>
      </c>
      <c r="K20" s="162">
        <f>+'GSLD(T)-3'!L$59</f>
        <v>26673.284376591753</v>
      </c>
      <c r="L20" s="162">
        <f>+'GSLD(T)-3'!M$59</f>
        <v>24877.037318365052</v>
      </c>
      <c r="M20" s="162">
        <f>+'GSLD(T)-3'!N$59</f>
        <v>24999.020867905972</v>
      </c>
      <c r="N20" s="162">
        <f t="shared" si="0"/>
        <v>341906.35679936223</v>
      </c>
      <c r="O20" s="158">
        <f t="shared" si="1"/>
        <v>34175.611078731978</v>
      </c>
      <c r="P20" s="159">
        <f t="shared" si="2"/>
        <v>1.4398918566030502E-3</v>
      </c>
      <c r="R20" s="197">
        <v>47881.221432709564</v>
      </c>
      <c r="S20" s="198">
        <f t="shared" si="3"/>
        <v>2.4821047364365213E-3</v>
      </c>
    </row>
    <row r="21" spans="1:19">
      <c r="A21" s="163" t="s">
        <v>15</v>
      </c>
      <c r="B21" s="162">
        <f>+MET!C$59</f>
        <v>16439.323515649536</v>
      </c>
      <c r="C21" s="162">
        <f>+MET!D$59</f>
        <v>16292.264198808372</v>
      </c>
      <c r="D21" s="162">
        <f>+MET!E$59</f>
        <v>13870.108596911057</v>
      </c>
      <c r="E21" s="162">
        <f>+MET!F$59</f>
        <v>15909.256200852251</v>
      </c>
      <c r="F21" s="162">
        <f>+MET!G$59</f>
        <v>15928.880960867038</v>
      </c>
      <c r="G21" s="162">
        <f>+MET!H$59</f>
        <v>16595.248644359512</v>
      </c>
      <c r="H21" s="162">
        <f>+MET!I$59</f>
        <v>16699.625640390437</v>
      </c>
      <c r="I21" s="162">
        <f>+MET!J$59</f>
        <v>16344.53468836393</v>
      </c>
      <c r="J21" s="162">
        <f>+MET!K$59</f>
        <v>17062.805326691632</v>
      </c>
      <c r="K21" s="162">
        <f>+MET!L$59</f>
        <v>16284.855780044412</v>
      </c>
      <c r="L21" s="162">
        <f>+MET!M$59</f>
        <v>16341.095577119573</v>
      </c>
      <c r="M21" s="162">
        <f>+MET!N$59</f>
        <v>14660.384207602243</v>
      </c>
      <c r="N21" s="162">
        <f t="shared" si="0"/>
        <v>192428.38333765999</v>
      </c>
      <c r="O21" s="158">
        <f t="shared" si="1"/>
        <v>17062.805326691632</v>
      </c>
      <c r="P21" s="159">
        <f t="shared" si="2"/>
        <v>7.1889261567573994E-4</v>
      </c>
      <c r="R21" s="197">
        <v>19189.166976287222</v>
      </c>
      <c r="S21" s="198">
        <f t="shared" si="3"/>
        <v>9.9474325873349944E-4</v>
      </c>
    </row>
    <row r="22" spans="1:19">
      <c r="A22" s="163" t="s">
        <v>56</v>
      </c>
      <c r="B22" s="162">
        <f>+'OL-1'!C$59</f>
        <v>20030.382614304966</v>
      </c>
      <c r="C22" s="162">
        <f>+'OL-1'!D$59</f>
        <v>22300.539739684591</v>
      </c>
      <c r="D22" s="162">
        <f>+'OL-1'!E$59</f>
        <v>22166.857468195769</v>
      </c>
      <c r="E22" s="162">
        <f>+'OL-1'!F$59</f>
        <v>24386.522225613746</v>
      </c>
      <c r="F22" s="162">
        <f>+'OL-1'!G$59</f>
        <v>24971.420132177631</v>
      </c>
      <c r="G22" s="162">
        <f>+'OL-1'!H$59</f>
        <v>26551.240314943381</v>
      </c>
      <c r="H22" s="162">
        <f>+'OL-1'!I$59</f>
        <v>25343.530349764729</v>
      </c>
      <c r="I22" s="162">
        <f>+'OL-1'!J$59</f>
        <v>24121.165930629923</v>
      </c>
      <c r="J22" s="162">
        <f>+'OL-1'!K$59</f>
        <v>23375.783757907335</v>
      </c>
      <c r="K22" s="162">
        <f>+'OL-1'!L$59</f>
        <v>21230.276451726746</v>
      </c>
      <c r="L22" s="162">
        <f>+'OL-1'!M$59</f>
        <v>20848.657785221396</v>
      </c>
      <c r="M22" s="162">
        <f>+'OL-1'!N$59</f>
        <v>19692.482037405021</v>
      </c>
      <c r="N22" s="162">
        <f t="shared" si="0"/>
        <v>275018.85880757525</v>
      </c>
      <c r="O22" s="158">
        <f t="shared" si="1"/>
        <v>26551.240314943381</v>
      </c>
      <c r="P22" s="159">
        <f t="shared" si="2"/>
        <v>1.1186607497411885E-3</v>
      </c>
      <c r="R22" s="197">
        <v>27424.432034561854</v>
      </c>
      <c r="S22" s="198">
        <f t="shared" si="3"/>
        <v>1.4216494611093171E-3</v>
      </c>
    </row>
    <row r="23" spans="1:19">
      <c r="A23" s="163" t="s">
        <v>57</v>
      </c>
      <c r="B23" s="162">
        <f>+'OS-2'!C$59</f>
        <v>8297.6842904014884</v>
      </c>
      <c r="C23" s="162">
        <f>+'OS-2'!D$59</f>
        <v>10497.86593516348</v>
      </c>
      <c r="D23" s="162">
        <f>+'OS-2'!E$59</f>
        <v>11947.682225061662</v>
      </c>
      <c r="E23" s="162">
        <f>+'OS-2'!F$59</f>
        <v>9125.2784660495981</v>
      </c>
      <c r="F23" s="162">
        <f>+'OS-2'!G$59</f>
        <v>8156.7934097538118</v>
      </c>
      <c r="G23" s="162">
        <f>+'OS-2'!H$59</f>
        <v>6759.6130012620179</v>
      </c>
      <c r="H23" s="162">
        <f>+'OS-2'!I$59</f>
        <v>5125.2693292779122</v>
      </c>
      <c r="I23" s="162">
        <f>+'OS-2'!J$59</f>
        <v>5749.414307933831</v>
      </c>
      <c r="J23" s="162">
        <f>+'OS-2'!K$59</f>
        <v>8852.803477330157</v>
      </c>
      <c r="K23" s="162">
        <f>+'OS-2'!L$59</f>
        <v>9284.2632553584663</v>
      </c>
      <c r="L23" s="162">
        <f>+'OS-2'!M$59</f>
        <v>11177.792921746061</v>
      </c>
      <c r="M23" s="162">
        <f>+'OS-2'!N$59</f>
        <v>9309.9459305015025</v>
      </c>
      <c r="N23" s="162">
        <f t="shared" si="0"/>
        <v>104284.40654984</v>
      </c>
      <c r="O23" s="158">
        <f t="shared" si="1"/>
        <v>11947.682225061662</v>
      </c>
      <c r="P23" s="159">
        <f t="shared" si="2"/>
        <v>5.0338149920758045E-4</v>
      </c>
      <c r="R23" s="197">
        <v>11438.506233226408</v>
      </c>
      <c r="S23" s="198">
        <f t="shared" si="3"/>
        <v>5.9295835924215847E-4</v>
      </c>
    </row>
    <row r="24" spans="1:19">
      <c r="A24" s="163" t="s">
        <v>48</v>
      </c>
      <c r="B24" s="162">
        <f>+'RS(T)-1'!C$59</f>
        <v>11402970.92690799</v>
      </c>
      <c r="C24" s="162">
        <f>+'RS(T)-1'!D$59</f>
        <v>10453425.203548573</v>
      </c>
      <c r="D24" s="162">
        <f>+'RS(T)-1'!E$59</f>
        <v>9448867.2742184103</v>
      </c>
      <c r="E24" s="162">
        <f>+'RS(T)-1'!F$59</f>
        <v>9692595.4605809841</v>
      </c>
      <c r="F24" s="162">
        <f>+'RS(T)-1'!G$59</f>
        <v>10555178.398939686</v>
      </c>
      <c r="G24" s="162">
        <f>+'RS(T)-1'!H$59</f>
        <v>12003934.001785956</v>
      </c>
      <c r="H24" s="162">
        <f>+'RS(T)-1'!I$59</f>
        <v>12430117.092897104</v>
      </c>
      <c r="I24" s="162">
        <f>+'RS(T)-1'!J$59</f>
        <v>12384746.781903554</v>
      </c>
      <c r="J24" s="162">
        <f>+'RS(T)-1'!K$59</f>
        <v>13211503.611394707</v>
      </c>
      <c r="K24" s="162">
        <f>+'RS(T)-1'!L$59</f>
        <v>11748325.594517337</v>
      </c>
      <c r="L24" s="162">
        <f>+'RS(T)-1'!M$59</f>
        <v>9957348.4946358856</v>
      </c>
      <c r="M24" s="162">
        <f>+'RS(T)-1'!N$59</f>
        <v>9169389.4449011013</v>
      </c>
      <c r="N24" s="162">
        <f t="shared" si="0"/>
        <v>132458402.28623128</v>
      </c>
      <c r="O24" s="158">
        <f t="shared" si="1"/>
        <v>13211503.611394707</v>
      </c>
      <c r="P24" s="159">
        <f t="shared" si="2"/>
        <v>0.55662900715087504</v>
      </c>
      <c r="R24" s="197">
        <v>11437104.259834381</v>
      </c>
      <c r="S24" s="198">
        <f t="shared" si="3"/>
        <v>0.59288568263340491</v>
      </c>
    </row>
    <row r="25" spans="1:19">
      <c r="A25" s="163" t="s">
        <v>53</v>
      </c>
      <c r="B25" s="162">
        <f>+'SL-1'!C$59</f>
        <v>117255.11378672396</v>
      </c>
      <c r="C25" s="162">
        <f>+'SL-1'!D$59</f>
        <v>121114.28883906103</v>
      </c>
      <c r="D25" s="162">
        <f>+'SL-1'!E$59</f>
        <v>121146.36620608423</v>
      </c>
      <c r="E25" s="162">
        <f>+'SL-1'!F$59</f>
        <v>137431.01478214009</v>
      </c>
      <c r="F25" s="162">
        <f>+'SL-1'!G$59</f>
        <v>140367.07971371114</v>
      </c>
      <c r="G25" s="162">
        <f>+'SL-1'!H$59</f>
        <v>141322.2820267452</v>
      </c>
      <c r="H25" s="162">
        <f>+'SL-1'!I$59</f>
        <v>139614.79998537476</v>
      </c>
      <c r="I25" s="162">
        <f>+'SL-1'!J$59</f>
        <v>151424.30634080211</v>
      </c>
      <c r="J25" s="162">
        <f>+'SL-1'!K$59</f>
        <v>130311.54279554907</v>
      </c>
      <c r="K25" s="162">
        <f>+'SL-1'!L$59</f>
        <v>111683.58295983166</v>
      </c>
      <c r="L25" s="162">
        <f>+'SL-1'!M$59</f>
        <v>108584.53124152191</v>
      </c>
      <c r="M25" s="162">
        <f>+'SL-1'!N$59</f>
        <v>117789.13973260531</v>
      </c>
      <c r="N25" s="162">
        <f t="shared" si="0"/>
        <v>1538044.0484101505</v>
      </c>
      <c r="O25" s="158">
        <f t="shared" si="1"/>
        <v>151424.30634080211</v>
      </c>
      <c r="P25" s="159">
        <f t="shared" si="2"/>
        <v>6.3798310757220951E-3</v>
      </c>
      <c r="R25" s="197">
        <v>135131.28458759366</v>
      </c>
      <c r="S25" s="198">
        <f t="shared" si="3"/>
        <v>7.0050427177800814E-3</v>
      </c>
    </row>
    <row r="26" spans="1:19">
      <c r="A26" s="163" t="s">
        <v>55</v>
      </c>
      <c r="B26" s="162">
        <f>+'SL-2'!C$59</f>
        <v>3547.14617263438</v>
      </c>
      <c r="C26" s="162">
        <f>+'SL-2'!D$59</f>
        <v>3801.5273754637124</v>
      </c>
      <c r="D26" s="162">
        <f>+'SL-2'!E$59</f>
        <v>3570.7796747896041</v>
      </c>
      <c r="E26" s="162">
        <f>+'SL-2'!F$59</f>
        <v>3688.905695682176</v>
      </c>
      <c r="F26" s="162">
        <f>+'SL-2'!G$59</f>
        <v>3581.5188575220513</v>
      </c>
      <c r="G26" s="162">
        <f>+'SL-2'!H$59</f>
        <v>3711.5033153802701</v>
      </c>
      <c r="H26" s="162">
        <f>+'SL-2'!I$59</f>
        <v>3596.3568242886977</v>
      </c>
      <c r="I26" s="162">
        <f>+'SL-2'!J$59</f>
        <v>3604.1318817441688</v>
      </c>
      <c r="J26" s="162">
        <f>+'SL-2'!K$59</f>
        <v>3726.4562890058628</v>
      </c>
      <c r="K26" s="162">
        <f>+'SL-2'!L$59</f>
        <v>3616.4355711845537</v>
      </c>
      <c r="L26" s="162">
        <f>+'SL-2'!M$59</f>
        <v>3751.8722899392988</v>
      </c>
      <c r="M26" s="162">
        <f>+'SL-2'!N$59</f>
        <v>3627.3765909684826</v>
      </c>
      <c r="N26" s="162">
        <f t="shared" si="0"/>
        <v>43824.010538603259</v>
      </c>
      <c r="O26" s="158">
        <f t="shared" si="1"/>
        <v>3801.5273754637124</v>
      </c>
      <c r="P26" s="159">
        <f t="shared" si="2"/>
        <v>1.6016650874138108E-4</v>
      </c>
      <c r="R26" s="197">
        <v>4506.3056390642214</v>
      </c>
      <c r="S26" s="198">
        <f t="shared" si="3"/>
        <v>2.3360144615924326E-4</v>
      </c>
    </row>
    <row r="27" spans="1:19">
      <c r="A27" s="163" t="s">
        <v>87</v>
      </c>
      <c r="B27" s="162">
        <f>+'SST-1D'!C$59</f>
        <v>2094.8997814579911</v>
      </c>
      <c r="C27" s="162">
        <f>+'SST-1D'!D$59</f>
        <v>3561.1033111085408</v>
      </c>
      <c r="D27" s="162">
        <f>+'SST-1D'!E$59</f>
        <v>1559.5730910102195</v>
      </c>
      <c r="E27" s="162">
        <f>+'SST-1D'!F$59</f>
        <v>3752.7793593986644</v>
      </c>
      <c r="F27" s="162">
        <f>+'SST-1D'!G$59</f>
        <v>3780.5827207051971</v>
      </c>
      <c r="G27" s="162">
        <f>+'SST-1D'!H$59</f>
        <v>3297.8128041258401</v>
      </c>
      <c r="H27" s="162">
        <f>+'SST-1D'!I$59</f>
        <v>3153.7324038724787</v>
      </c>
      <c r="I27" s="162">
        <f>+'SST-1D'!J$59</f>
        <v>3347.9186106707907</v>
      </c>
      <c r="J27" s="162">
        <f>+'SST-1D'!K$59</f>
        <v>3632.0019128777417</v>
      </c>
      <c r="K27" s="162">
        <f>+'SST-1D'!L$59</f>
        <v>5011.848283997344</v>
      </c>
      <c r="L27" s="162">
        <f>+'SST-1D'!M$59</f>
        <v>8201.2538466420647</v>
      </c>
      <c r="M27" s="162">
        <f>+'SST-1D'!N$59</f>
        <v>2237.9847529906788</v>
      </c>
      <c r="N27" s="162">
        <f t="shared" si="0"/>
        <v>43631.490878857549</v>
      </c>
      <c r="O27" s="158">
        <f t="shared" si="1"/>
        <v>8201.2538466420647</v>
      </c>
      <c r="P27" s="159">
        <f t="shared" si="2"/>
        <v>3.4553642948796388E-4</v>
      </c>
      <c r="R27" s="197">
        <v>2710.9018027015977</v>
      </c>
      <c r="S27" s="198">
        <f t="shared" si="3"/>
        <v>1.4052987795969775E-4</v>
      </c>
    </row>
    <row r="28" spans="1:19">
      <c r="A28" s="163" t="s">
        <v>88</v>
      </c>
      <c r="B28" s="162">
        <f>+'SST-1T'!C$59</f>
        <v>27161.062652635701</v>
      </c>
      <c r="C28" s="162">
        <f>+'SST-1T'!D$59</f>
        <v>34588.950168604053</v>
      </c>
      <c r="D28" s="162">
        <f>+'SST-1T'!E$59</f>
        <v>51499.060994838059</v>
      </c>
      <c r="E28" s="162">
        <f>+'SST-1T'!F$59</f>
        <v>38254.510631621291</v>
      </c>
      <c r="F28" s="162">
        <f>+'SST-1T'!G$59</f>
        <v>51961.080237677292</v>
      </c>
      <c r="G28" s="162">
        <f>+'SST-1T'!H$59</f>
        <v>42020.066943799786</v>
      </c>
      <c r="H28" s="162">
        <f>+'SST-1T'!I$59</f>
        <v>27417.529125675708</v>
      </c>
      <c r="I28" s="162">
        <f>+'SST-1T'!J$59</f>
        <v>33207.601247620143</v>
      </c>
      <c r="J28" s="162">
        <f>+'SST-1T'!K$59</f>
        <v>25998.538042951037</v>
      </c>
      <c r="K28" s="162">
        <f>+'SST-1T'!L$59</f>
        <v>35228.26656812647</v>
      </c>
      <c r="L28" s="162">
        <f>+'SST-1T'!M$59</f>
        <v>57625.579904252947</v>
      </c>
      <c r="M28" s="162">
        <f>+'SST-1T'!N$59</f>
        <v>29998.785873165416</v>
      </c>
      <c r="N28" s="162">
        <f t="shared" si="0"/>
        <v>454961.03239096788</v>
      </c>
      <c r="O28" s="158">
        <f t="shared" si="1"/>
        <v>57625.579904252947</v>
      </c>
      <c r="P28" s="159">
        <f t="shared" si="2"/>
        <v>2.427889381261089E-3</v>
      </c>
      <c r="R28" s="197">
        <v>81499.823980460642</v>
      </c>
      <c r="S28" s="198">
        <f t="shared" si="3"/>
        <v>4.2248525218792988E-3</v>
      </c>
    </row>
    <row r="29" spans="1:19">
      <c r="O29" s="164"/>
      <c r="R29" s="199"/>
      <c r="S29" s="199"/>
    </row>
    <row r="30" spans="1:19">
      <c r="A30" s="126" t="s">
        <v>453</v>
      </c>
      <c r="B30" s="161">
        <f t="shared" ref="B30:O30" si="4">SUM(B12:B29)</f>
        <v>19483926.640041124</v>
      </c>
      <c r="C30" s="161">
        <f t="shared" si="4"/>
        <v>18243469.471202318</v>
      </c>
      <c r="D30" s="161">
        <f t="shared" si="4"/>
        <v>16900052.762882631</v>
      </c>
      <c r="E30" s="161">
        <f t="shared" si="4"/>
        <v>17663569.359330397</v>
      </c>
      <c r="F30" s="161">
        <f t="shared" si="4"/>
        <v>18854076.036111332</v>
      </c>
      <c r="G30" s="161">
        <f t="shared" si="4"/>
        <v>20857353.910431221</v>
      </c>
      <c r="H30" s="161">
        <f t="shared" si="4"/>
        <v>21154644.650111541</v>
      </c>
      <c r="I30" s="161">
        <f t="shared" si="4"/>
        <v>21164229.619864993</v>
      </c>
      <c r="J30" s="161">
        <f t="shared" si="4"/>
        <v>22346989.660987712</v>
      </c>
      <c r="K30" s="161">
        <f t="shared" si="4"/>
        <v>20280409.92686132</v>
      </c>
      <c r="L30" s="161">
        <f t="shared" si="4"/>
        <v>18312821.352804366</v>
      </c>
      <c r="M30" s="161">
        <f t="shared" si="4"/>
        <v>17334742.130861662</v>
      </c>
      <c r="N30" s="161">
        <f t="shared" si="4"/>
        <v>232596285.52149063</v>
      </c>
      <c r="O30" s="161">
        <f t="shared" si="4"/>
        <v>22418016.726093665</v>
      </c>
      <c r="P30" s="159">
        <f>+O30/$O$45</f>
        <v>0.94451916750601406</v>
      </c>
      <c r="Q30" s="126"/>
      <c r="R30" s="200">
        <f>SUM(R12:R29)</f>
        <v>19097599.931831546</v>
      </c>
      <c r="S30" s="198">
        <f>+R30/$R$45</f>
        <v>0.98999653365121776</v>
      </c>
    </row>
    <row r="31" spans="1:19">
      <c r="A31" s="125"/>
      <c r="O31" s="157"/>
      <c r="P31" s="125"/>
      <c r="Q31" s="125"/>
      <c r="R31" s="201"/>
      <c r="S31" s="202"/>
    </row>
    <row r="32" spans="1:19">
      <c r="A32" s="42" t="s">
        <v>86</v>
      </c>
      <c r="O32" s="157"/>
      <c r="P32" s="125"/>
      <c r="Q32" s="125"/>
      <c r="R32" s="201"/>
      <c r="S32" s="202"/>
    </row>
    <row r="33" spans="1:19">
      <c r="A33" s="163" t="s">
        <v>1055</v>
      </c>
      <c r="B33" s="162">
        <f>BLOUNTSTOWN!C54</f>
        <v>9000</v>
      </c>
      <c r="C33" s="162">
        <f>BLOUNTSTOWN!D54</f>
        <v>9000</v>
      </c>
      <c r="D33" s="162">
        <f>BLOUNTSTOWN!E54</f>
        <v>9000</v>
      </c>
      <c r="E33" s="162">
        <f>BLOUNTSTOWN!F54</f>
        <v>9000</v>
      </c>
      <c r="F33" s="162">
        <f>BLOUNTSTOWN!G54</f>
        <v>9000</v>
      </c>
      <c r="G33" s="162">
        <f>BLOUNTSTOWN!H54</f>
        <v>9000</v>
      </c>
      <c r="H33" s="162">
        <f>BLOUNTSTOWN!I54</f>
        <v>9000</v>
      </c>
      <c r="I33" s="162">
        <f>BLOUNTSTOWN!J54</f>
        <v>9000</v>
      </c>
      <c r="J33" s="162">
        <f>BLOUNTSTOWN!K54</f>
        <v>9000</v>
      </c>
      <c r="K33" s="162">
        <f>BLOUNTSTOWN!L54</f>
        <v>9000</v>
      </c>
      <c r="L33" s="162">
        <f>BLOUNTSTOWN!M54</f>
        <v>9000</v>
      </c>
      <c r="M33" s="162">
        <f>BLOUNTSTOWN!N54</f>
        <v>9000</v>
      </c>
      <c r="N33" s="162">
        <f>SUM(B33:M33)</f>
        <v>108000</v>
      </c>
      <c r="O33" s="158">
        <f>MAX(B33:M33)</f>
        <v>9000</v>
      </c>
      <c r="P33" s="159">
        <f>+O33/$O$45</f>
        <v>3.7918931952886305E-4</v>
      </c>
      <c r="R33" s="203">
        <f>191652.593101914-45000</f>
        <v>146652.59310191401</v>
      </c>
      <c r="S33" s="198">
        <f>+R33/$R$45</f>
        <v>7.6022934473490887E-3</v>
      </c>
    </row>
    <row r="34" spans="1:19">
      <c r="A34" s="163" t="s">
        <v>485</v>
      </c>
      <c r="B34" s="162">
        <f>FKEC!C54</f>
        <v>125878.30577434346</v>
      </c>
      <c r="C34" s="162">
        <f>FKEC!D54</f>
        <v>124505.42302944943</v>
      </c>
      <c r="D34" s="162">
        <f>FKEC!E54</f>
        <v>131765.55744172979</v>
      </c>
      <c r="E34" s="162">
        <f>FKEC!F54</f>
        <v>136962.79530378565</v>
      </c>
      <c r="F34" s="162">
        <f>FKEC!G54</f>
        <v>149960.02471113132</v>
      </c>
      <c r="G34" s="162">
        <f>FKEC!H54</f>
        <v>153382.74370739752</v>
      </c>
      <c r="H34" s="162">
        <f>FKEC!I54</f>
        <v>162070</v>
      </c>
      <c r="I34" s="162">
        <f>FKEC!J54</f>
        <v>160503.3728667628</v>
      </c>
      <c r="J34" s="162">
        <f>FKEC!K54</f>
        <v>151484.74068575026</v>
      </c>
      <c r="K34" s="162">
        <f>FKEC!L54</f>
        <v>136856.12107480227</v>
      </c>
      <c r="L34" s="162">
        <f>FKEC!M54</f>
        <v>122272.97665196148</v>
      </c>
      <c r="M34" s="162">
        <f>FKEC!N54</f>
        <v>126908.89560296378</v>
      </c>
      <c r="N34" s="162">
        <f t="shared" ref="N34:N41" si="5">SUM(B34:M34)</f>
        <v>1682550.9568500777</v>
      </c>
      <c r="O34" s="158">
        <f t="shared" ref="O34:O41" si="6">MAX(B34:M34)</f>
        <v>162070</v>
      </c>
      <c r="P34" s="159">
        <f t="shared" ref="P34:P41" si="7">+O34/$O$45</f>
        <v>6.828357001782537E-3</v>
      </c>
      <c r="Q34" s="125"/>
      <c r="R34" s="203">
        <v>45000</v>
      </c>
      <c r="S34" s="198">
        <f>+R34/$R$45</f>
        <v>2.3327456943974356E-3</v>
      </c>
    </row>
    <row r="35" spans="1:19">
      <c r="A35" s="163" t="s">
        <v>1057</v>
      </c>
      <c r="B35" s="162">
        <f>HOMESTEAD!C54</f>
        <v>18000</v>
      </c>
      <c r="C35" s="162">
        <f>HOMESTEAD!D54</f>
        <v>0</v>
      </c>
      <c r="D35" s="162">
        <f>HOMESTEAD!E54</f>
        <v>0</v>
      </c>
      <c r="E35" s="162">
        <f>HOMESTEAD!F54</f>
        <v>0</v>
      </c>
      <c r="F35" s="162">
        <f>HOMESTEAD!G54</f>
        <v>0</v>
      </c>
      <c r="G35" s="162">
        <f>HOMESTEAD!H54</f>
        <v>0</v>
      </c>
      <c r="H35" s="162">
        <f>HOMESTEAD!I54</f>
        <v>0</v>
      </c>
      <c r="I35" s="162">
        <f>HOMESTEAD!J54</f>
        <v>18000</v>
      </c>
      <c r="J35" s="162">
        <f>HOMESTEAD!K54</f>
        <v>0</v>
      </c>
      <c r="K35" s="162">
        <f>HOMESTEAD!L54</f>
        <v>0</v>
      </c>
      <c r="L35" s="162">
        <f>HOMESTEAD!M54</f>
        <v>0</v>
      </c>
      <c r="M35" s="162">
        <f>HOMESTEAD!N54</f>
        <v>0</v>
      </c>
      <c r="N35" s="162">
        <f t="shared" si="5"/>
        <v>36000</v>
      </c>
      <c r="O35" s="158">
        <f t="shared" si="6"/>
        <v>18000</v>
      </c>
      <c r="P35" s="159">
        <f t="shared" si="7"/>
        <v>7.583786390577261E-4</v>
      </c>
      <c r="Q35" s="125"/>
      <c r="R35" s="203"/>
      <c r="S35" s="198"/>
    </row>
    <row r="36" spans="1:19">
      <c r="A36" s="163" t="s">
        <v>487</v>
      </c>
      <c r="B36" s="162">
        <f>LCEC!C55</f>
        <v>751351</v>
      </c>
      <c r="C36" s="162">
        <f>LCEC!D55</f>
        <v>672007</v>
      </c>
      <c r="D36" s="162">
        <f>LCEC!E55</f>
        <v>618802</v>
      </c>
      <c r="E36" s="162">
        <f>LCEC!F55</f>
        <v>628268</v>
      </c>
      <c r="F36" s="162">
        <f>LCEC!G55</f>
        <v>717500</v>
      </c>
      <c r="G36" s="162">
        <f>LCEC!H55</f>
        <v>773832</v>
      </c>
      <c r="H36" s="162">
        <f>LCEC!I55</f>
        <v>778453</v>
      </c>
      <c r="I36" s="162">
        <f>LCEC!J55</f>
        <v>790759</v>
      </c>
      <c r="J36" s="162">
        <f>LCEC!K55</f>
        <v>755733</v>
      </c>
      <c r="K36" s="162">
        <f>LCEC!L55</f>
        <v>710798</v>
      </c>
      <c r="L36" s="162">
        <f>LCEC!M55</f>
        <v>584560</v>
      </c>
      <c r="M36" s="162">
        <f>LCEC!N55</f>
        <v>552739</v>
      </c>
      <c r="N36" s="162">
        <f t="shared" si="5"/>
        <v>8334802</v>
      </c>
      <c r="O36" s="158">
        <f t="shared" si="6"/>
        <v>790759</v>
      </c>
      <c r="P36" s="159">
        <f t="shared" si="7"/>
        <v>3.3316374124591576E-2</v>
      </c>
      <c r="Q36" s="125"/>
      <c r="R36" s="197">
        <v>1314</v>
      </c>
      <c r="S36" s="198">
        <f>+R36/$R$45</f>
        <v>6.8116174276405125E-5</v>
      </c>
    </row>
    <row r="37" spans="1:19">
      <c r="A37" s="163" t="s">
        <v>1053</v>
      </c>
      <c r="B37" s="162">
        <f>'NEW SMYRNA'!C54</f>
        <v>40000</v>
      </c>
      <c r="C37" s="162">
        <f>'NEW SMYRNA'!D54</f>
        <v>40000</v>
      </c>
      <c r="D37" s="162">
        <f>'NEW SMYRNA'!E54</f>
        <v>25000</v>
      </c>
      <c r="E37" s="162">
        <f>'NEW SMYRNA'!F54</f>
        <v>20000</v>
      </c>
      <c r="F37" s="162">
        <f>'NEW SMYRNA'!G54</f>
        <v>30000</v>
      </c>
      <c r="G37" s="162">
        <f>'NEW SMYRNA'!H54</f>
        <v>40000</v>
      </c>
      <c r="H37" s="162">
        <f>'NEW SMYRNA'!I54</f>
        <v>45000</v>
      </c>
      <c r="I37" s="162">
        <f>'NEW SMYRNA'!J54</f>
        <v>45000</v>
      </c>
      <c r="J37" s="162">
        <f>'NEW SMYRNA'!K54</f>
        <v>35000</v>
      </c>
      <c r="K37" s="162">
        <f>'NEW SMYRNA'!L54</f>
        <v>25000</v>
      </c>
      <c r="L37" s="162">
        <f>'NEW SMYRNA'!M54</f>
        <v>20000</v>
      </c>
      <c r="M37" s="162">
        <f>'NEW SMYRNA'!N54</f>
        <v>25000</v>
      </c>
      <c r="N37" s="162">
        <f t="shared" si="5"/>
        <v>390000</v>
      </c>
      <c r="O37" s="158">
        <f t="shared" si="6"/>
        <v>45000</v>
      </c>
      <c r="P37" s="159">
        <f t="shared" si="7"/>
        <v>1.8959465976443152E-3</v>
      </c>
      <c r="Q37" s="125"/>
      <c r="R37" s="197">
        <v>0</v>
      </c>
      <c r="S37" s="198">
        <f>+R37/$R$45</f>
        <v>0</v>
      </c>
    </row>
    <row r="38" spans="1:19">
      <c r="A38" s="163" t="s">
        <v>1058</v>
      </c>
      <c r="B38" s="162">
        <f>QUINCY!C54</f>
        <v>19000</v>
      </c>
      <c r="C38" s="162">
        <f>QUINCY!D54</f>
        <v>0</v>
      </c>
      <c r="D38" s="162">
        <f>QUINCY!E54</f>
        <v>0</v>
      </c>
      <c r="E38" s="162">
        <f>QUINCY!F54</f>
        <v>0</v>
      </c>
      <c r="F38" s="162">
        <f>QUINCY!G54</f>
        <v>0</v>
      </c>
      <c r="G38" s="162">
        <f>QUINCY!H54</f>
        <v>0</v>
      </c>
      <c r="H38" s="162">
        <f>QUINCY!I54</f>
        <v>0</v>
      </c>
      <c r="I38" s="162">
        <f>QUINCY!J54</f>
        <v>19000</v>
      </c>
      <c r="J38" s="162">
        <f>QUINCY!K54</f>
        <v>0</v>
      </c>
      <c r="K38" s="162">
        <f>QUINCY!L54</f>
        <v>0</v>
      </c>
      <c r="L38" s="162">
        <f>QUINCY!M54</f>
        <v>0</v>
      </c>
      <c r="M38" s="162">
        <f>QUINCY!N54</f>
        <v>0</v>
      </c>
      <c r="N38" s="162">
        <f t="shared" si="5"/>
        <v>38000</v>
      </c>
      <c r="O38" s="158">
        <f t="shared" si="6"/>
        <v>19000</v>
      </c>
      <c r="P38" s="159">
        <f t="shared" si="7"/>
        <v>8.0051078567204418E-4</v>
      </c>
      <c r="Q38" s="125"/>
      <c r="R38" s="197"/>
      <c r="S38" s="198"/>
    </row>
    <row r="39" spans="1:19">
      <c r="A39" s="163" t="s">
        <v>489</v>
      </c>
      <c r="B39" s="156">
        <f>SEMINOLE!C55</f>
        <v>200000</v>
      </c>
      <c r="C39" s="156">
        <f>SEMINOLE!D55</f>
        <v>200000</v>
      </c>
      <c r="D39" s="156">
        <f>SEMINOLE!E55</f>
        <v>200000</v>
      </c>
      <c r="E39" s="156">
        <f>SEMINOLE!F55</f>
        <v>200000</v>
      </c>
      <c r="F39" s="156">
        <f>SEMINOLE!G55</f>
        <v>200000</v>
      </c>
      <c r="G39" s="156">
        <f>SEMINOLE!H55</f>
        <v>200000</v>
      </c>
      <c r="H39" s="156">
        <f>SEMINOLE!I55</f>
        <v>200000</v>
      </c>
      <c r="I39" s="156">
        <f>SEMINOLE!J55</f>
        <v>200000</v>
      </c>
      <c r="J39" s="156">
        <f>SEMINOLE!K55</f>
        <v>200000</v>
      </c>
      <c r="K39" s="156">
        <f>SEMINOLE!L55</f>
        <v>200000</v>
      </c>
      <c r="L39" s="156">
        <f>SEMINOLE!M55</f>
        <v>200000</v>
      </c>
      <c r="M39" s="156">
        <f>SEMINOLE!N55</f>
        <v>200000</v>
      </c>
      <c r="N39" s="162">
        <f t="shared" si="5"/>
        <v>2400000</v>
      </c>
      <c r="O39" s="158">
        <f t="shared" si="6"/>
        <v>200000</v>
      </c>
      <c r="P39" s="159">
        <f>+O39/$O$45</f>
        <v>8.4264293228636239E-3</v>
      </c>
      <c r="Q39" s="125"/>
      <c r="R39" s="197">
        <v>1</v>
      </c>
      <c r="S39" s="198">
        <f t="shared" ref="S39:S41" si="8">+R39/$R$45</f>
        <v>5.1838793208831905E-8</v>
      </c>
    </row>
    <row r="40" spans="1:19">
      <c r="A40" s="163" t="s">
        <v>1054</v>
      </c>
      <c r="B40" s="156">
        <f>WAUCHULA!C54</f>
        <v>13000</v>
      </c>
      <c r="C40" s="156">
        <f>WAUCHULA!D54</f>
        <v>13000</v>
      </c>
      <c r="D40" s="156">
        <f>WAUCHULA!E54</f>
        <v>13000</v>
      </c>
      <c r="E40" s="156">
        <f>WAUCHULA!F54</f>
        <v>13000</v>
      </c>
      <c r="F40" s="156">
        <f>WAUCHULA!G54</f>
        <v>13000</v>
      </c>
      <c r="G40" s="156">
        <f>WAUCHULA!H54</f>
        <v>13000</v>
      </c>
      <c r="H40" s="156">
        <f>WAUCHULA!I54</f>
        <v>13000</v>
      </c>
      <c r="I40" s="156">
        <f>WAUCHULA!J54</f>
        <v>13000</v>
      </c>
      <c r="J40" s="156">
        <f>WAUCHULA!K54</f>
        <v>13000</v>
      </c>
      <c r="K40" s="156">
        <f>WAUCHULA!L54</f>
        <v>13000</v>
      </c>
      <c r="L40" s="156">
        <f>WAUCHULA!M54</f>
        <v>13000</v>
      </c>
      <c r="M40" s="156">
        <f>WAUCHULA!N54</f>
        <v>13000</v>
      </c>
      <c r="N40" s="162">
        <f t="shared" si="5"/>
        <v>156000</v>
      </c>
      <c r="O40" s="158">
        <f t="shared" si="6"/>
        <v>13000</v>
      </c>
      <c r="P40" s="159">
        <f t="shared" si="7"/>
        <v>5.4771790598613548E-4</v>
      </c>
      <c r="Q40" s="125"/>
      <c r="R40" s="197">
        <v>2</v>
      </c>
      <c r="S40" s="198">
        <f t="shared" si="8"/>
        <v>1.0367758641766381E-7</v>
      </c>
    </row>
    <row r="41" spans="1:19">
      <c r="A41" s="163" t="s">
        <v>1056</v>
      </c>
      <c r="B41" s="156">
        <f>'WINTER PARK'!C54</f>
        <v>60000</v>
      </c>
      <c r="C41" s="156">
        <f>'WINTER PARK'!D54</f>
        <v>60000</v>
      </c>
      <c r="D41" s="156">
        <f>'WINTER PARK'!E54</f>
        <v>60000</v>
      </c>
      <c r="E41" s="156">
        <f>'WINTER PARK'!F54</f>
        <v>60000</v>
      </c>
      <c r="F41" s="156">
        <f>'WINTER PARK'!G54</f>
        <v>60000</v>
      </c>
      <c r="G41" s="156">
        <f>'WINTER PARK'!H54</f>
        <v>60000</v>
      </c>
      <c r="H41" s="156">
        <f>'WINTER PARK'!I54</f>
        <v>60000</v>
      </c>
      <c r="I41" s="156">
        <f>'WINTER PARK'!J54</f>
        <v>60000</v>
      </c>
      <c r="J41" s="156">
        <f>'WINTER PARK'!K54</f>
        <v>60000</v>
      </c>
      <c r="K41" s="156">
        <f>'WINTER PARK'!L54</f>
        <v>60000</v>
      </c>
      <c r="L41" s="156">
        <f>'WINTER PARK'!M54</f>
        <v>60000</v>
      </c>
      <c r="M41" s="156">
        <f>'WINTER PARK'!N54</f>
        <v>60000</v>
      </c>
      <c r="N41" s="162">
        <f t="shared" si="5"/>
        <v>720000</v>
      </c>
      <c r="O41" s="158">
        <f t="shared" si="6"/>
        <v>60000</v>
      </c>
      <c r="P41" s="159">
        <f t="shared" si="7"/>
        <v>2.527928796859087E-3</v>
      </c>
      <c r="Q41" s="125"/>
      <c r="R41" s="197">
        <v>3</v>
      </c>
      <c r="S41" s="198">
        <f t="shared" si="8"/>
        <v>1.5551637962649572E-7</v>
      </c>
    </row>
    <row r="42" spans="1:19">
      <c r="A42" s="125"/>
      <c r="O42" s="157"/>
      <c r="P42" s="125"/>
      <c r="Q42" s="125"/>
      <c r="R42" s="201"/>
      <c r="S42" s="202"/>
    </row>
    <row r="43" spans="1:19" s="126" customFormat="1">
      <c r="A43" s="126" t="s">
        <v>509</v>
      </c>
      <c r="B43" s="161">
        <f t="shared" ref="B43:O43" si="9">SUM(B33:B42)</f>
        <v>1236229.3057743434</v>
      </c>
      <c r="C43" s="161">
        <f t="shared" si="9"/>
        <v>1118512.4230294493</v>
      </c>
      <c r="D43" s="161">
        <f t="shared" si="9"/>
        <v>1057567.5574417298</v>
      </c>
      <c r="E43" s="161">
        <f t="shared" si="9"/>
        <v>1067230.7953037857</v>
      </c>
      <c r="F43" s="161">
        <f t="shared" si="9"/>
        <v>1179460.0247111314</v>
      </c>
      <c r="G43" s="161">
        <f t="shared" si="9"/>
        <v>1249214.7437073975</v>
      </c>
      <c r="H43" s="161">
        <f t="shared" si="9"/>
        <v>1267523</v>
      </c>
      <c r="I43" s="161">
        <f t="shared" si="9"/>
        <v>1315262.3728667628</v>
      </c>
      <c r="J43" s="161">
        <f t="shared" si="9"/>
        <v>1224217.7406857503</v>
      </c>
      <c r="K43" s="161">
        <f t="shared" si="9"/>
        <v>1154654.1210748022</v>
      </c>
      <c r="L43" s="161">
        <f t="shared" si="9"/>
        <v>1008832.9766519614</v>
      </c>
      <c r="M43" s="161">
        <f t="shared" si="9"/>
        <v>986647.89560296375</v>
      </c>
      <c r="N43" s="161">
        <f t="shared" si="9"/>
        <v>13865352.956850078</v>
      </c>
      <c r="O43" s="161">
        <f t="shared" si="9"/>
        <v>1316829</v>
      </c>
      <c r="P43" s="159">
        <f>+O43/$O$45</f>
        <v>5.5480832493985908E-2</v>
      </c>
      <c r="R43" s="200">
        <f>SUM(R33:R42)</f>
        <v>192972.59310191401</v>
      </c>
      <c r="S43" s="198">
        <f>+R43/$R$45</f>
        <v>1.0003466348782183E-2</v>
      </c>
    </row>
    <row r="44" spans="1:19" s="125" customFormat="1">
      <c r="B44" s="155"/>
      <c r="C44" s="155"/>
      <c r="D44" s="155"/>
      <c r="E44" s="155"/>
      <c r="F44" s="155"/>
      <c r="G44" s="155"/>
      <c r="H44" s="155"/>
      <c r="I44" s="155"/>
      <c r="J44" s="155"/>
      <c r="K44" s="155"/>
      <c r="L44" s="155"/>
      <c r="M44" s="155"/>
      <c r="N44" s="155"/>
      <c r="O44" s="157"/>
      <c r="R44" s="201"/>
      <c r="S44" s="202"/>
    </row>
    <row r="45" spans="1:19" s="125" customFormat="1" ht="13.8" thickBot="1">
      <c r="A45" s="126" t="s">
        <v>497</v>
      </c>
      <c r="B45" s="160">
        <f t="shared" ref="B45:O45" si="10">+B30+B43</f>
        <v>20720155.945815466</v>
      </c>
      <c r="C45" s="160">
        <f t="shared" si="10"/>
        <v>19361981.894231766</v>
      </c>
      <c r="D45" s="160">
        <f t="shared" si="10"/>
        <v>17957620.320324361</v>
      </c>
      <c r="E45" s="160">
        <f t="shared" si="10"/>
        <v>18730800.154634181</v>
      </c>
      <c r="F45" s="160">
        <f t="shared" si="10"/>
        <v>20033536.060822465</v>
      </c>
      <c r="G45" s="160">
        <f t="shared" si="10"/>
        <v>22106568.654138617</v>
      </c>
      <c r="H45" s="160">
        <f t="shared" si="10"/>
        <v>22422167.650111541</v>
      </c>
      <c r="I45" s="160">
        <f t="shared" si="10"/>
        <v>22479491.992731757</v>
      </c>
      <c r="J45" s="160">
        <f t="shared" si="10"/>
        <v>23571207.401673462</v>
      </c>
      <c r="K45" s="160">
        <f t="shared" si="10"/>
        <v>21435064.047936123</v>
      </c>
      <c r="L45" s="160">
        <f t="shared" si="10"/>
        <v>19321654.329456329</v>
      </c>
      <c r="M45" s="160">
        <f t="shared" si="10"/>
        <v>18321390.026464626</v>
      </c>
      <c r="N45" s="160">
        <f t="shared" si="10"/>
        <v>246461638.47834072</v>
      </c>
      <c r="O45" s="160">
        <f t="shared" si="10"/>
        <v>23734845.726093665</v>
      </c>
      <c r="P45" s="159">
        <f>+O45/$O$45</f>
        <v>1</v>
      </c>
      <c r="R45" s="204">
        <f>+R30+R43</f>
        <v>19290572.524933461</v>
      </c>
      <c r="S45" s="198">
        <f>+R45/$R$45</f>
        <v>1</v>
      </c>
    </row>
    <row r="46" spans="1:19" ht="13.8" thickTop="1">
      <c r="A46" s="126"/>
      <c r="B46" s="158"/>
      <c r="C46" s="158"/>
      <c r="D46" s="158"/>
      <c r="E46" s="158"/>
      <c r="F46" s="158"/>
      <c r="G46" s="158"/>
      <c r="H46" s="158"/>
      <c r="I46" s="158"/>
      <c r="J46" s="158"/>
      <c r="K46" s="158"/>
      <c r="L46" s="158"/>
      <c r="M46" s="158"/>
      <c r="N46" s="158"/>
      <c r="O46" s="158"/>
      <c r="P46" s="125"/>
      <c r="Q46" s="125"/>
      <c r="R46" s="155"/>
      <c r="S46" s="125"/>
    </row>
    <row r="47" spans="1:19" s="125" customFormat="1">
      <c r="B47" s="155"/>
      <c r="C47" s="155"/>
      <c r="D47" s="155"/>
      <c r="E47" s="155"/>
      <c r="F47" s="155"/>
      <c r="G47" s="155"/>
      <c r="H47" s="155"/>
      <c r="I47" s="155"/>
      <c r="J47" s="155"/>
      <c r="K47" s="155"/>
      <c r="L47" s="155"/>
      <c r="M47" s="155"/>
      <c r="N47" s="155"/>
      <c r="O47" s="157"/>
      <c r="R47" s="196"/>
    </row>
    <row r="48" spans="1:19" s="125" customFormat="1">
      <c r="A48" s="112"/>
      <c r="B48" s="156"/>
      <c r="C48" s="156"/>
      <c r="D48" s="156"/>
      <c r="E48" s="156"/>
      <c r="F48" s="156"/>
      <c r="G48" s="156"/>
      <c r="H48" s="156"/>
      <c r="I48" s="156"/>
      <c r="J48" s="156"/>
      <c r="K48" s="156"/>
      <c r="L48" s="156"/>
      <c r="M48" s="156"/>
      <c r="N48" s="156"/>
      <c r="O48" s="112"/>
      <c r="P48" s="154"/>
      <c r="Q48" s="112"/>
      <c r="R48" s="112"/>
      <c r="S48" s="112"/>
    </row>
    <row r="49" spans="1:19" s="125" customFormat="1">
      <c r="A49" s="112"/>
      <c r="B49" s="156"/>
      <c r="C49" s="156"/>
      <c r="D49" s="156"/>
      <c r="E49" s="156"/>
      <c r="F49" s="156"/>
      <c r="G49" s="156"/>
      <c r="H49" s="156"/>
      <c r="I49" s="156"/>
      <c r="J49" s="156"/>
      <c r="K49" s="156"/>
      <c r="L49" s="156"/>
      <c r="M49" s="156"/>
      <c r="N49" s="156"/>
      <c r="O49" s="112"/>
      <c r="P49" s="154"/>
      <c r="Q49" s="112"/>
      <c r="R49" s="112"/>
      <c r="S49" s="112"/>
    </row>
    <row r="50" spans="1:19" s="112" customFormat="1" ht="21">
      <c r="A50" s="124" t="s">
        <v>531</v>
      </c>
      <c r="B50" s="165"/>
      <c r="C50" s="165"/>
      <c r="D50" s="165"/>
      <c r="E50" s="165"/>
      <c r="F50" s="165"/>
      <c r="G50" s="165"/>
      <c r="H50" s="165"/>
      <c r="I50" s="165"/>
      <c r="J50" s="165"/>
      <c r="K50" s="165"/>
      <c r="L50" s="165"/>
      <c r="M50" s="165"/>
      <c r="N50" s="165"/>
      <c r="O50" s="165"/>
      <c r="P50" s="172"/>
      <c r="Q50" s="172"/>
      <c r="R50" s="172"/>
      <c r="S50" s="172"/>
    </row>
    <row r="51" spans="1:19" s="125" customFormat="1" ht="21">
      <c r="A51" s="124" t="str">
        <f>MANUAL!$B$10&amp;" - TEST YEAR"</f>
        <v>2017 - TEST YEAR</v>
      </c>
      <c r="B51" s="165"/>
      <c r="C51" s="165"/>
      <c r="D51" s="165"/>
      <c r="E51" s="165"/>
      <c r="F51" s="165"/>
      <c r="G51" s="165"/>
      <c r="H51" s="165"/>
      <c r="I51" s="165"/>
      <c r="J51" s="165"/>
      <c r="K51" s="165"/>
      <c r="L51" s="165"/>
      <c r="M51" s="165"/>
      <c r="N51" s="165"/>
      <c r="O51" s="165"/>
      <c r="P51" s="172"/>
      <c r="Q51" s="172"/>
      <c r="R51" s="172"/>
      <c r="S51" s="172"/>
    </row>
    <row r="52" spans="1:19" s="126" customFormat="1" ht="21.6" thickBot="1">
      <c r="A52" s="124"/>
      <c r="B52" s="165"/>
      <c r="C52" s="165"/>
      <c r="D52" s="165"/>
      <c r="E52" s="165"/>
      <c r="F52" s="165"/>
      <c r="G52" s="165"/>
      <c r="H52" s="165"/>
      <c r="I52" s="165"/>
      <c r="J52" s="165"/>
      <c r="K52" s="165"/>
      <c r="L52" s="165"/>
      <c r="M52" s="165"/>
      <c r="N52" s="165"/>
      <c r="O52" s="165"/>
      <c r="P52" s="172"/>
      <c r="Q52" s="172"/>
      <c r="R52" s="172"/>
      <c r="S52" s="172"/>
    </row>
    <row r="53" spans="1:19" s="125" customFormat="1" ht="13.8" thickBot="1">
      <c r="A53" s="168"/>
      <c r="B53" s="572" t="s">
        <v>339</v>
      </c>
      <c r="C53" s="573"/>
      <c r="D53" s="574"/>
      <c r="E53" s="575" t="s">
        <v>340</v>
      </c>
      <c r="F53" s="576"/>
      <c r="G53" s="576"/>
      <c r="H53" s="576"/>
      <c r="I53" s="576"/>
      <c r="J53" s="576"/>
      <c r="K53" s="577"/>
      <c r="L53" s="572" t="s">
        <v>339</v>
      </c>
      <c r="M53" s="574"/>
      <c r="N53" s="166"/>
      <c r="O53" s="164"/>
      <c r="P53" s="164"/>
      <c r="Q53" s="164"/>
      <c r="R53" s="154"/>
      <c r="S53" s="154"/>
    </row>
    <row r="54" spans="1:19" s="125" customFormat="1" ht="13.8" thickBot="1">
      <c r="A54" s="171" t="s">
        <v>454</v>
      </c>
      <c r="B54" s="100" t="s">
        <v>70</v>
      </c>
      <c r="C54" s="100" t="s">
        <v>71</v>
      </c>
      <c r="D54" s="100" t="s">
        <v>72</v>
      </c>
      <c r="E54" s="103" t="s">
        <v>73</v>
      </c>
      <c r="F54" s="103" t="s">
        <v>74</v>
      </c>
      <c r="G54" s="103" t="s">
        <v>75</v>
      </c>
      <c r="H54" s="103" t="s">
        <v>76</v>
      </c>
      <c r="I54" s="103" t="s">
        <v>77</v>
      </c>
      <c r="J54" s="103" t="s">
        <v>78</v>
      </c>
      <c r="K54" s="103" t="s">
        <v>79</v>
      </c>
      <c r="L54" s="100" t="s">
        <v>80</v>
      </c>
      <c r="M54" s="100" t="s">
        <v>81</v>
      </c>
      <c r="N54" s="170" t="s">
        <v>60</v>
      </c>
      <c r="O54" s="169" t="s">
        <v>342</v>
      </c>
      <c r="P54" s="169" t="s">
        <v>455</v>
      </c>
      <c r="Q54" s="165"/>
      <c r="R54" s="578" t="s">
        <v>456</v>
      </c>
      <c r="S54" s="579"/>
    </row>
    <row r="55" spans="1:19" s="125" customFormat="1">
      <c r="A55" s="168"/>
      <c r="B55" s="167"/>
      <c r="C55" s="167"/>
      <c r="D55" s="167"/>
      <c r="E55" s="167"/>
      <c r="F55" s="167"/>
      <c r="G55" s="167"/>
      <c r="H55" s="167"/>
      <c r="I55" s="167"/>
      <c r="J55" s="167"/>
      <c r="K55" s="167"/>
      <c r="L55" s="167"/>
      <c r="M55" s="167"/>
      <c r="N55" s="166"/>
      <c r="O55" s="165"/>
      <c r="P55" s="164"/>
      <c r="Q55" s="164"/>
      <c r="R55" s="154"/>
      <c r="S55" s="154"/>
    </row>
    <row r="56" spans="1:19" s="125" customFormat="1">
      <c r="A56" s="42" t="s">
        <v>83</v>
      </c>
      <c r="B56" s="81"/>
      <c r="C56" s="81"/>
      <c r="D56" s="81"/>
      <c r="E56" s="81"/>
      <c r="F56" s="81"/>
      <c r="G56" s="81"/>
      <c r="H56" s="81"/>
      <c r="I56" s="81"/>
      <c r="J56" s="81"/>
      <c r="K56" s="81"/>
      <c r="L56" s="81"/>
      <c r="M56" s="81"/>
      <c r="N56" s="81"/>
      <c r="O56" s="81"/>
      <c r="P56" s="81"/>
      <c r="Q56" s="81"/>
      <c r="R56" s="81"/>
      <c r="S56" s="81"/>
    </row>
    <row r="57" spans="1:19" s="112" customFormat="1">
      <c r="A57" s="163" t="s">
        <v>84</v>
      </c>
      <c r="B57" s="162">
        <f>+'CILC-1D'!C$64</f>
        <v>365872.35045226075</v>
      </c>
      <c r="C57" s="162">
        <f>+'CILC-1D'!D$64</f>
        <v>371815.28404389712</v>
      </c>
      <c r="D57" s="162">
        <f>+'CILC-1D'!E$64</f>
        <v>337812.7917205859</v>
      </c>
      <c r="E57" s="162">
        <f>+'CILC-1D'!F$64</f>
        <v>356044.37322312244</v>
      </c>
      <c r="F57" s="162">
        <f>+'CILC-1D'!G$64</f>
        <v>354909.5923296024</v>
      </c>
      <c r="G57" s="162">
        <f>+'CILC-1D'!H$64</f>
        <v>370328.22040459391</v>
      </c>
      <c r="H57" s="162">
        <f>+'CILC-1D'!I$64</f>
        <v>364462.16816610948</v>
      </c>
      <c r="I57" s="162">
        <f>+'CILC-1D'!J$64</f>
        <v>375555.65660119057</v>
      </c>
      <c r="J57" s="162">
        <f>+'CILC-1D'!K$64</f>
        <v>371903.1403282141</v>
      </c>
      <c r="K57" s="162">
        <f>+'CILC-1D'!L$64</f>
        <v>353372.20217944362</v>
      </c>
      <c r="L57" s="162">
        <f>+'CILC-1D'!M$64</f>
        <v>358176.45288412669</v>
      </c>
      <c r="M57" s="162">
        <f>+'CILC-1D'!N$64</f>
        <v>358567.41233050398</v>
      </c>
      <c r="N57" s="162">
        <f t="shared" ref="N57:N73" si="11">SUM(B57:M57)</f>
        <v>4338819.6446636505</v>
      </c>
      <c r="O57" s="158">
        <f t="shared" ref="O57:O73" si="12">MAX(B57:M57)</f>
        <v>375555.65660119057</v>
      </c>
      <c r="P57" s="159">
        <f>+O57/$O$90</f>
        <v>1.5843756581677939E-2</v>
      </c>
      <c r="Q57" s="154"/>
      <c r="R57" s="197">
        <v>442576.01672456594</v>
      </c>
      <c r="S57" s="198">
        <v>1.233500985483421E-2</v>
      </c>
    </row>
    <row r="58" spans="1:19" s="112" customFormat="1">
      <c r="A58" s="163" t="s">
        <v>85</v>
      </c>
      <c r="B58" s="162">
        <f>+'CILC-1G'!C$64</f>
        <v>13889.150974322791</v>
      </c>
      <c r="C58" s="162">
        <f>+'CILC-1G'!D$64</f>
        <v>14438.315939332228</v>
      </c>
      <c r="D58" s="162">
        <f>+'CILC-1G'!E$64</f>
        <v>12895.782058481334</v>
      </c>
      <c r="E58" s="162">
        <f>+'CILC-1G'!F$64</f>
        <v>13653.94816517401</v>
      </c>
      <c r="F58" s="162">
        <f>+'CILC-1G'!G$64</f>
        <v>13981.703267041546</v>
      </c>
      <c r="G58" s="162">
        <f>+'CILC-1G'!H$64</f>
        <v>14261.658386714136</v>
      </c>
      <c r="H58" s="162">
        <f>+'CILC-1G'!I$64</f>
        <v>14060.015602793876</v>
      </c>
      <c r="I58" s="162">
        <f>+'CILC-1G'!J$64</f>
        <v>14517.481215724356</v>
      </c>
      <c r="J58" s="162">
        <f>+'CILC-1G'!K$64</f>
        <v>14397.185208889656</v>
      </c>
      <c r="K58" s="162">
        <f>+'CILC-1G'!L$64</f>
        <v>13664.465406347614</v>
      </c>
      <c r="L58" s="162">
        <f>+'CILC-1G'!M$64</f>
        <v>13594.845800257863</v>
      </c>
      <c r="M58" s="162">
        <f>+'CILC-1G'!N$64</f>
        <v>13802.147984461857</v>
      </c>
      <c r="N58" s="162">
        <f t="shared" si="11"/>
        <v>167156.70000954127</v>
      </c>
      <c r="O58" s="158">
        <f t="shared" si="12"/>
        <v>14517.481215724356</v>
      </c>
      <c r="P58" s="159">
        <f t="shared" ref="P58:P73" si="13">+O58/$O$90</f>
        <v>6.1245632842450292E-4</v>
      </c>
      <c r="Q58" s="154"/>
      <c r="R58" s="197">
        <v>28711.096584808067</v>
      </c>
      <c r="S58" s="198">
        <v>8.0077391883775844E-4</v>
      </c>
    </row>
    <row r="59" spans="1:19" s="112" customFormat="1">
      <c r="A59" s="163" t="s">
        <v>50</v>
      </c>
      <c r="B59" s="162">
        <f>+'CILC-1T'!C$64</f>
        <v>197531.78586438962</v>
      </c>
      <c r="C59" s="162">
        <f>+'CILC-1T'!D$64</f>
        <v>208367.105216803</v>
      </c>
      <c r="D59" s="162">
        <f>+'CILC-1T'!E$64</f>
        <v>194425.96339507116</v>
      </c>
      <c r="E59" s="162">
        <f>+'CILC-1T'!F$64</f>
        <v>198616.4804224238</v>
      </c>
      <c r="F59" s="162">
        <f>+'CILC-1T'!G$64</f>
        <v>197021.87838095258</v>
      </c>
      <c r="G59" s="162">
        <f>+'CILC-1T'!H$64</f>
        <v>205530.62516474395</v>
      </c>
      <c r="H59" s="162">
        <f>+'CILC-1T'!I$64</f>
        <v>200006.71315031929</v>
      </c>
      <c r="I59" s="162">
        <f>+'CILC-1T'!J$64</f>
        <v>197283.62826070774</v>
      </c>
      <c r="J59" s="162">
        <f>+'CILC-1T'!K$64</f>
        <v>215869.608656397</v>
      </c>
      <c r="K59" s="162">
        <f>+'CILC-1T'!L$64</f>
        <v>200288.62506937026</v>
      </c>
      <c r="L59" s="162">
        <f>+'CILC-1T'!M$64</f>
        <v>212999.08518869491</v>
      </c>
      <c r="M59" s="162">
        <f>+'CILC-1T'!N$64</f>
        <v>208406.66961784184</v>
      </c>
      <c r="N59" s="162">
        <f t="shared" si="11"/>
        <v>2436348.1683877152</v>
      </c>
      <c r="O59" s="158">
        <f t="shared" si="12"/>
        <v>215869.608656397</v>
      </c>
      <c r="P59" s="159">
        <f t="shared" si="13"/>
        <v>9.1070004480480731E-3</v>
      </c>
      <c r="Q59" s="154"/>
      <c r="R59" s="197">
        <v>248863.15845851868</v>
      </c>
      <c r="S59" s="198">
        <v>6.5542578457231434E-3</v>
      </c>
    </row>
    <row r="60" spans="1:19" s="112" customFormat="1">
      <c r="A60" s="163" t="s">
        <v>49</v>
      </c>
      <c r="B60" s="162">
        <f>+'GS(T)-1'!C$65</f>
        <v>1035356.6217146016</v>
      </c>
      <c r="C60" s="162">
        <f>+'GS(T)-1'!D$65</f>
        <v>1043251.4460692422</v>
      </c>
      <c r="D60" s="162">
        <f>+'GS(T)-1'!E$65</f>
        <v>944414.92815516086</v>
      </c>
      <c r="E60" s="162">
        <f>+'GS(T)-1'!F$65</f>
        <v>1089943.3578611384</v>
      </c>
      <c r="F60" s="162">
        <f>+'GS(T)-1'!G$65</f>
        <v>1148792.0451476327</v>
      </c>
      <c r="G60" s="162">
        <f>+'GS(T)-1'!H$65</f>
        <v>1285830.723460472</v>
      </c>
      <c r="H60" s="162">
        <f>+'GS(T)-1'!I$65</f>
        <v>1277840.4318736196</v>
      </c>
      <c r="I60" s="162">
        <f>+'GS(T)-1'!J$65</f>
        <v>1302483.2359596684</v>
      </c>
      <c r="J60" s="162">
        <f>+'GS(T)-1'!K$65</f>
        <v>1300772.3928079293</v>
      </c>
      <c r="K60" s="162">
        <f>+'GS(T)-1'!L$65</f>
        <v>1185969.3143891741</v>
      </c>
      <c r="L60" s="162">
        <f>+'GS(T)-1'!M$65</f>
        <v>1101525.7809872732</v>
      </c>
      <c r="M60" s="162">
        <f>+'GS(T)-1'!N$65</f>
        <v>1050205.8245858378</v>
      </c>
      <c r="N60" s="162">
        <f t="shared" si="11"/>
        <v>13766386.103011752</v>
      </c>
      <c r="O60" s="158">
        <f t="shared" si="12"/>
        <v>1302483.2359596684</v>
      </c>
      <c r="P60" s="159">
        <f t="shared" si="13"/>
        <v>5.4948519559046775E-2</v>
      </c>
      <c r="Q60" s="154"/>
      <c r="R60" s="197">
        <v>1319919.0671032353</v>
      </c>
      <c r="S60" s="198">
        <v>4.8679488836756178E-2</v>
      </c>
    </row>
    <row r="61" spans="1:19" s="112" customFormat="1">
      <c r="A61" s="163" t="s">
        <v>325</v>
      </c>
      <c r="B61" s="162">
        <f>+'GSCU-1'!C$65</f>
        <v>8352.0499438606785</v>
      </c>
      <c r="C61" s="162">
        <f>+'GSCU-1'!D$65</f>
        <v>8881.3220129599667</v>
      </c>
      <c r="D61" s="162">
        <f>+'GSCU-1'!E$65</f>
        <v>8787.0483368337991</v>
      </c>
      <c r="E61" s="162">
        <f>+'GSCU-1'!F$65</f>
        <v>8526.2688225451529</v>
      </c>
      <c r="F61" s="162">
        <f>+'GSCU-1'!G$65</f>
        <v>8682.739079162664</v>
      </c>
      <c r="G61" s="162">
        <f>+'GSCU-1'!H$65</f>
        <v>8577.4234656477165</v>
      </c>
      <c r="H61" s="162">
        <f>+'GSCU-1'!I$65</f>
        <v>8404.21576573938</v>
      </c>
      <c r="I61" s="162">
        <f>+'GSCU-1'!J$65</f>
        <v>8683.4211337929682</v>
      </c>
      <c r="J61" s="162">
        <f>+'GSCU-1'!K$65</f>
        <v>8272.1285186423611</v>
      </c>
      <c r="K61" s="162">
        <f>+'GSCU-1'!L$65</f>
        <v>8091.9164223082653</v>
      </c>
      <c r="L61" s="162">
        <f>+'GSCU-1'!M$65</f>
        <v>8315.4784966452517</v>
      </c>
      <c r="M61" s="162">
        <f>+'GSCU-1'!N$65</f>
        <v>8250.925396060351</v>
      </c>
      <c r="N61" s="162">
        <f t="shared" si="11"/>
        <v>101824.93739419857</v>
      </c>
      <c r="O61" s="158">
        <f t="shared" si="12"/>
        <v>8881.3220129599667</v>
      </c>
      <c r="P61" s="159">
        <f t="shared" si="13"/>
        <v>3.7468082725821349E-4</v>
      </c>
      <c r="Q61" s="154"/>
      <c r="R61" s="197">
        <v>4165.658771748047</v>
      </c>
      <c r="S61" s="198">
        <v>9.9432619672031332E-5</v>
      </c>
    </row>
    <row r="62" spans="1:19" s="112" customFormat="1">
      <c r="A62" s="163" t="s">
        <v>67</v>
      </c>
      <c r="B62" s="162">
        <f>+'GSD(T)-1'!C$65</f>
        <v>4162991.6159461164</v>
      </c>
      <c r="C62" s="162">
        <f>+'GSD(T)-1'!D$65</f>
        <v>4054188.2313848315</v>
      </c>
      <c r="D62" s="162">
        <f>+'GSD(T)-1'!E$65</f>
        <v>3732874.5601373231</v>
      </c>
      <c r="E62" s="162">
        <f>+'GSD(T)-1'!F$65</f>
        <v>4062639.4880217826</v>
      </c>
      <c r="F62" s="162">
        <f>+'GSD(T)-1'!G$65</f>
        <v>4317220.3999030599</v>
      </c>
      <c r="G62" s="162">
        <f>+'GSD(T)-1'!H$65</f>
        <v>4548061.1015355242</v>
      </c>
      <c r="H62" s="162">
        <f>+'GSD(T)-1'!I$65</f>
        <v>4580720.2179859588</v>
      </c>
      <c r="I62" s="162">
        <f>+'GSD(T)-1'!J$65</f>
        <v>4583823.9927705741</v>
      </c>
      <c r="J62" s="162">
        <f>+'GSD(T)-1'!K$65</f>
        <v>4684415.5198050505</v>
      </c>
      <c r="K62" s="162">
        <f>+'GSD(T)-1'!L$65</f>
        <v>4378315.5982081927</v>
      </c>
      <c r="L62" s="162">
        <f>+'GSD(T)-1'!M$65</f>
        <v>4238799.9346630806</v>
      </c>
      <c r="M62" s="162">
        <f>+'GSD(T)-1'!N$65</f>
        <v>4101395.1772440812</v>
      </c>
      <c r="N62" s="162">
        <f t="shared" si="11"/>
        <v>51445445.837605573</v>
      </c>
      <c r="O62" s="158">
        <f t="shared" si="12"/>
        <v>4684415.5198050505</v>
      </c>
      <c r="P62" s="159">
        <f t="shared" si="13"/>
        <v>0.19762380866503573</v>
      </c>
      <c r="Q62" s="154"/>
      <c r="R62" s="197">
        <v>4225289.3548750272</v>
      </c>
      <c r="S62" s="198">
        <v>0.13513361819416622</v>
      </c>
    </row>
    <row r="63" spans="1:19" s="112" customFormat="1">
      <c r="A63" s="163" t="s">
        <v>68</v>
      </c>
      <c r="B63" s="162">
        <f>+'GSLD(T)-1'!C$64</f>
        <v>1764827.6494185436</v>
      </c>
      <c r="C63" s="162">
        <f>+'GSLD(T)-1'!D$64</f>
        <v>1760319.2765099823</v>
      </c>
      <c r="D63" s="162">
        <f>+'GSLD(T)-1'!E$64</f>
        <v>1635941.5589993983</v>
      </c>
      <c r="E63" s="162">
        <f>+'GSLD(T)-1'!F$64</f>
        <v>1678945.5904998013</v>
      </c>
      <c r="F63" s="162">
        <f>+'GSLD(T)-1'!G$64</f>
        <v>1757629.1396686677</v>
      </c>
      <c r="G63" s="162">
        <f>+'GSLD(T)-1'!H$64</f>
        <v>1822863.6509203871</v>
      </c>
      <c r="H63" s="162">
        <f>+'GSLD(T)-1'!I$64</f>
        <v>1745951.9220038231</v>
      </c>
      <c r="I63" s="162">
        <f>+'GSLD(T)-1'!J$64</f>
        <v>1830142.0544232647</v>
      </c>
      <c r="J63" s="162">
        <f>+'GSLD(T)-1'!K$64</f>
        <v>1927209.0425614775</v>
      </c>
      <c r="K63" s="162">
        <f>+'GSLD(T)-1'!L$64</f>
        <v>1827624.8141559793</v>
      </c>
      <c r="L63" s="162">
        <f>+'GSLD(T)-1'!M$64</f>
        <v>1826626.4907246556</v>
      </c>
      <c r="M63" s="162">
        <f>+'GSLD(T)-1'!N$64</f>
        <v>1848974.6928449143</v>
      </c>
      <c r="N63" s="162">
        <f t="shared" si="11"/>
        <v>21427055.882730894</v>
      </c>
      <c r="O63" s="158">
        <f t="shared" si="12"/>
        <v>1927209.0425614775</v>
      </c>
      <c r="P63" s="159">
        <f t="shared" si="13"/>
        <v>8.1304143382341612E-2</v>
      </c>
      <c r="Q63" s="154"/>
      <c r="R63" s="197">
        <v>976884.31030671962</v>
      </c>
      <c r="S63" s="198">
        <v>2.6477954229070105E-2</v>
      </c>
    </row>
    <row r="64" spans="1:19" s="112" customFormat="1">
      <c r="A64" s="163" t="s">
        <v>69</v>
      </c>
      <c r="B64" s="162">
        <f>+'GSLD(T)-2'!C$64</f>
        <v>364887.57950277161</v>
      </c>
      <c r="C64" s="162">
        <f>+'GSLD(T)-2'!D$64</f>
        <v>352583.97572562215</v>
      </c>
      <c r="D64" s="162">
        <f>+'GSLD(T)-2'!E$64</f>
        <v>327008.4660980269</v>
      </c>
      <c r="E64" s="162">
        <f>+'GSLD(T)-2'!F$64</f>
        <v>334280.01410252368</v>
      </c>
      <c r="F64" s="162">
        <f>+'GSLD(T)-2'!G$64</f>
        <v>337928.17807881092</v>
      </c>
      <c r="G64" s="162">
        <f>+'GSLD(T)-2'!H$64</f>
        <v>351419.05588015489</v>
      </c>
      <c r="H64" s="162">
        <f>+'GSLD(T)-2'!I$64</f>
        <v>357853.66143690783</v>
      </c>
      <c r="I64" s="162">
        <f>+'GSLD(T)-2'!J$64</f>
        <v>353564.7650832223</v>
      </c>
      <c r="J64" s="162">
        <f>+'GSLD(T)-2'!K$64</f>
        <v>369017.27366884856</v>
      </c>
      <c r="K64" s="162">
        <f>+'GSLD(T)-2'!L$64</f>
        <v>347695.94641523022</v>
      </c>
      <c r="L64" s="162">
        <f>+'GSLD(T)-2'!M$64</f>
        <v>360255.98288697412</v>
      </c>
      <c r="M64" s="162">
        <f>+'GSLD(T)-2'!N$64</f>
        <v>358198.02019957156</v>
      </c>
      <c r="N64" s="162">
        <f t="shared" si="11"/>
        <v>4214692.9190786649</v>
      </c>
      <c r="O64" s="158">
        <f t="shared" si="12"/>
        <v>369017.27366884856</v>
      </c>
      <c r="P64" s="159">
        <f t="shared" si="13"/>
        <v>1.556791851134944E-2</v>
      </c>
      <c r="Q64" s="154"/>
      <c r="R64" s="197">
        <v>141362.86270845862</v>
      </c>
      <c r="S64" s="198">
        <v>4.0575218272521918E-3</v>
      </c>
    </row>
    <row r="65" spans="1:19" s="112" customFormat="1">
      <c r="A65" s="163" t="s">
        <v>52</v>
      </c>
      <c r="B65" s="162">
        <f>+'GSLD(T)-3'!C$64</f>
        <v>27380.683146390817</v>
      </c>
      <c r="C65" s="162">
        <f>+'GSLD(T)-3'!D$64</f>
        <v>36183.576392223775</v>
      </c>
      <c r="D65" s="162">
        <f>+'GSLD(T)-3'!E$64</f>
        <v>28922.057366479581</v>
      </c>
      <c r="E65" s="162">
        <f>+'GSLD(T)-3'!F$64</f>
        <v>31958.381878042073</v>
      </c>
      <c r="F65" s="162">
        <f>+'GSLD(T)-3'!G$64</f>
        <v>31038.891568586663</v>
      </c>
      <c r="G65" s="162">
        <f>+'GSLD(T)-3'!H$64</f>
        <v>33975.765575338191</v>
      </c>
      <c r="H65" s="162">
        <f>+'GSLD(T)-3'!I$64</f>
        <v>25818.698279335804</v>
      </c>
      <c r="I65" s="162">
        <f>+'GSLD(T)-3'!J$64</f>
        <v>28906.859855872557</v>
      </c>
      <c r="J65" s="162">
        <f>+'GSLD(T)-3'!K$64</f>
        <v>27487.675292421976</v>
      </c>
      <c r="K65" s="162">
        <f>+'GSLD(T)-3'!L$64</f>
        <v>27112.400607396637</v>
      </c>
      <c r="L65" s="162">
        <f>+'GSLD(T)-3'!M$64</f>
        <v>25303.056522634241</v>
      </c>
      <c r="M65" s="162">
        <f>+'GSLD(T)-3'!N$64</f>
        <v>25394.551630268208</v>
      </c>
      <c r="N65" s="162">
        <f t="shared" si="11"/>
        <v>349482.59811499051</v>
      </c>
      <c r="O65" s="158">
        <f t="shared" si="12"/>
        <v>36183.576392223775</v>
      </c>
      <c r="P65" s="159">
        <f t="shared" si="13"/>
        <v>1.5264948524573081E-3</v>
      </c>
      <c r="Q65" s="154"/>
      <c r="R65" s="197">
        <v>47688.340897675211</v>
      </c>
      <c r="S65" s="198">
        <v>1.2310216097430467E-3</v>
      </c>
    </row>
    <row r="66" spans="1:19" s="112" customFormat="1">
      <c r="A66" s="163" t="s">
        <v>15</v>
      </c>
      <c r="B66" s="162">
        <f>+MET!C$64</f>
        <v>16371.617312401802</v>
      </c>
      <c r="C66" s="162">
        <f>+MET!D$64</f>
        <v>16723.704152489394</v>
      </c>
      <c r="D66" s="162">
        <f>+MET!E$64</f>
        <v>13961.156424651501</v>
      </c>
      <c r="E66" s="162">
        <f>+MET!F$64</f>
        <v>16287.525182393336</v>
      </c>
      <c r="F66" s="162">
        <f>+MET!G$64</f>
        <v>16039.320369401192</v>
      </c>
      <c r="G66" s="162">
        <f>+MET!H$64</f>
        <v>16528.05988322361</v>
      </c>
      <c r="H66" s="162">
        <f>+MET!I$64</f>
        <v>16563.659088807668</v>
      </c>
      <c r="I66" s="162">
        <f>+MET!J$64</f>
        <v>16462.083692263444</v>
      </c>
      <c r="J66" s="162">
        <f>+MET!K$64</f>
        <v>17139.200035167636</v>
      </c>
      <c r="K66" s="162">
        <f>+MET!L$64</f>
        <v>16299.325105729056</v>
      </c>
      <c r="L66" s="162">
        <f>+MET!M$64</f>
        <v>16290.060380807394</v>
      </c>
      <c r="M66" s="162">
        <f>+MET!N$64</f>
        <v>14691.183334088801</v>
      </c>
      <c r="N66" s="162">
        <f t="shared" si="11"/>
        <v>193356.89496142484</v>
      </c>
      <c r="O66" s="158">
        <f>MAX(B66:M66)</f>
        <v>17139.200035167636</v>
      </c>
      <c r="P66" s="159">
        <f t="shared" si="13"/>
        <v>7.2306010730719783E-4</v>
      </c>
      <c r="Q66" s="154"/>
      <c r="R66" s="197">
        <v>19189.166976287222</v>
      </c>
      <c r="S66" s="198">
        <v>5.6085749854204738E-4</v>
      </c>
    </row>
    <row r="67" spans="1:19" s="112" customFormat="1">
      <c r="A67" s="163" t="s">
        <v>56</v>
      </c>
      <c r="B67" s="162">
        <f>+'OL-1'!C$64</f>
        <v>19911.681915967529</v>
      </c>
      <c r="C67" s="162">
        <f>+'OL-1'!D$64</f>
        <v>22960.046461997095</v>
      </c>
      <c r="D67" s="162">
        <f>+'OL-1'!E$64</f>
        <v>22035.366080067903</v>
      </c>
      <c r="E67" s="162">
        <f>+'OL-1'!F$64</f>
        <v>24241.792484082052</v>
      </c>
      <c r="F67" s="162">
        <f>+'OL-1'!G$64</f>
        <v>24823.14579207835</v>
      </c>
      <c r="G67" s="162">
        <f>+'OL-1'!H$64</f>
        <v>26393.507330788761</v>
      </c>
      <c r="H67" s="162">
        <f>+'OL-1'!I$64</f>
        <v>25192.897437508876</v>
      </c>
      <c r="I67" s="162">
        <f>+'OL-1'!J$64</f>
        <v>23977.727271155429</v>
      </c>
      <c r="J67" s="162">
        <f>+'OL-1'!K$64</f>
        <v>23236.708661309625</v>
      </c>
      <c r="K67" s="162">
        <f>+'OL-1'!L$64</f>
        <v>21103.903475741536</v>
      </c>
      <c r="L67" s="162">
        <f>+'OL-1'!M$64</f>
        <v>20724.494800057044</v>
      </c>
      <c r="M67" s="162">
        <f>+'OL-1'!N$64</f>
        <v>19575.146358407917</v>
      </c>
      <c r="N67" s="162">
        <f t="shared" si="11"/>
        <v>274176.41806916211</v>
      </c>
      <c r="O67" s="158">
        <f t="shared" si="12"/>
        <v>26393.507330788761</v>
      </c>
      <c r="P67" s="159">
        <f t="shared" si="13"/>
        <v>1.1134762534806238E-3</v>
      </c>
      <c r="Q67" s="154"/>
      <c r="R67" s="197">
        <v>27401.630423001348</v>
      </c>
      <c r="S67" s="198">
        <v>6.4243818971941862E-4</v>
      </c>
    </row>
    <row r="68" spans="1:19" s="112" customFormat="1">
      <c r="A68" s="163" t="s">
        <v>57</v>
      </c>
      <c r="B68" s="162">
        <f>+'OS-2'!C$64</f>
        <v>8218.5706292996947</v>
      </c>
      <c r="C68" s="162">
        <f>+'OS-2'!D$64</f>
        <v>10671.343011832641</v>
      </c>
      <c r="D68" s="162">
        <f>+'OS-2'!E$64</f>
        <v>11767.813135979159</v>
      </c>
      <c r="E68" s="162">
        <f>+'OS-2'!F$64</f>
        <v>9102.4431259170797</v>
      </c>
      <c r="F68" s="162">
        <f>+'OS-2'!G$64</f>
        <v>7955.8681426633748</v>
      </c>
      <c r="G68" s="162">
        <f>+'OS-2'!H$64</f>
        <v>6645.0564150122536</v>
      </c>
      <c r="H68" s="162">
        <f>+'OS-2'!I$64</f>
        <v>5039.8283026899926</v>
      </c>
      <c r="I68" s="162">
        <f>+'OS-2'!J$64</f>
        <v>5681.5215009666026</v>
      </c>
      <c r="J68" s="162">
        <f>+'OS-2'!K$64</f>
        <v>8677.8369226822088</v>
      </c>
      <c r="K68" s="162">
        <f>+'OS-2'!L$64</f>
        <v>9169.4264582359356</v>
      </c>
      <c r="L68" s="162">
        <f>+'OS-2'!M$64</f>
        <v>10974.528980033554</v>
      </c>
      <c r="M68" s="162">
        <f>+'OS-2'!N$64</f>
        <v>9220.191465441023</v>
      </c>
      <c r="N68" s="162">
        <f t="shared" si="11"/>
        <v>103124.42809075353</v>
      </c>
      <c r="O68" s="158">
        <f t="shared" si="12"/>
        <v>11767.813135979159</v>
      </c>
      <c r="P68" s="159">
        <f t="shared" si="13"/>
        <v>4.9645468933281621E-4</v>
      </c>
      <c r="Q68" s="154"/>
      <c r="R68" s="197">
        <v>11463.127432288436</v>
      </c>
      <c r="S68" s="198">
        <v>3.8461168824753159E-4</v>
      </c>
    </row>
    <row r="69" spans="1:19" s="112" customFormat="1">
      <c r="A69" s="163" t="s">
        <v>48</v>
      </c>
      <c r="B69" s="162">
        <f>+'RS(T)-1'!C$64</f>
        <v>12266415.5011626</v>
      </c>
      <c r="C69" s="162">
        <f>+'RS(T)-1'!D$64</f>
        <v>10690369.007435217</v>
      </c>
      <c r="D69" s="162">
        <f>+'RS(T)-1'!E$64</f>
        <v>10092364.182004977</v>
      </c>
      <c r="E69" s="162">
        <f>+'RS(T)-1'!F$64</f>
        <v>10223846.749515673</v>
      </c>
      <c r="F69" s="162">
        <f>+'RS(T)-1'!G$64</f>
        <v>11309070.385756409</v>
      </c>
      <c r="G69" s="162">
        <f>+'RS(T)-1'!H$64</f>
        <v>12157236.44132923</v>
      </c>
      <c r="H69" s="162">
        <f>+'RS(T)-1'!I$64</f>
        <v>12587426.233733175</v>
      </c>
      <c r="I69" s="162">
        <f>+'RS(T)-1'!J$64</f>
        <v>12995922.179471279</v>
      </c>
      <c r="J69" s="162">
        <f>+'RS(T)-1'!K$64</f>
        <v>13187357.985081904</v>
      </c>
      <c r="K69" s="162">
        <f>+'RS(T)-1'!L$64</f>
        <v>11711310.127020253</v>
      </c>
      <c r="L69" s="162">
        <f>+'RS(T)-1'!M$64</f>
        <v>9915916.0956708156</v>
      </c>
      <c r="M69" s="162">
        <f>+'RS(T)-1'!N$64</f>
        <v>9119559.8866352905</v>
      </c>
      <c r="N69" s="162">
        <f t="shared" si="11"/>
        <v>136256794.77481684</v>
      </c>
      <c r="O69" s="158">
        <f t="shared" si="12"/>
        <v>13187357.985081904</v>
      </c>
      <c r="P69" s="159">
        <f t="shared" si="13"/>
        <v>0.55634174641911693</v>
      </c>
      <c r="Q69" s="154"/>
      <c r="R69" s="197">
        <v>11273194.667094544</v>
      </c>
      <c r="S69" s="198">
        <v>0.7056834082181499</v>
      </c>
    </row>
    <row r="70" spans="1:19" s="112" customFormat="1">
      <c r="A70" s="163" t="s">
        <v>53</v>
      </c>
      <c r="B70" s="162">
        <f>+'SL-1'!C$64</f>
        <v>119483.88445949471</v>
      </c>
      <c r="C70" s="162">
        <f>+'SL-1'!D$64</f>
        <v>127621.49050286223</v>
      </c>
      <c r="D70" s="162">
        <f>+'SL-1'!E$64</f>
        <v>123213.8151418301</v>
      </c>
      <c r="E70" s="162">
        <f>+'SL-1'!F$64</f>
        <v>139960.60055607607</v>
      </c>
      <c r="F70" s="162">
        <f>+'SL-1'!G$64</f>
        <v>142845.08839493283</v>
      </c>
      <c r="G70" s="162">
        <f>+'SL-1'!H$64</f>
        <v>143774.11424105286</v>
      </c>
      <c r="H70" s="162">
        <f>+'SL-1'!I$64</f>
        <v>142026.89631069452</v>
      </c>
      <c r="I70" s="162">
        <f>+'SL-1'!J$64</f>
        <v>154156.97344601792</v>
      </c>
      <c r="J70" s="162">
        <f>+'SL-1'!K$64</f>
        <v>132575.29153453262</v>
      </c>
      <c r="K70" s="162">
        <f>+'SL-1'!L$64</f>
        <v>113636.47497520296</v>
      </c>
      <c r="L70" s="162">
        <f>+'SL-1'!M$64</f>
        <v>110486.38803361877</v>
      </c>
      <c r="M70" s="162">
        <f>+'SL-1'!N$64</f>
        <v>119847.20146159657</v>
      </c>
      <c r="N70" s="162">
        <f t="shared" si="11"/>
        <v>1569628.219057912</v>
      </c>
      <c r="O70" s="158">
        <f t="shared" si="12"/>
        <v>154156.97344601792</v>
      </c>
      <c r="P70" s="159">
        <f t="shared" si="13"/>
        <v>6.5034982690742801E-3</v>
      </c>
      <c r="Q70" s="154"/>
      <c r="R70" s="197">
        <v>137726.17695053734</v>
      </c>
      <c r="S70" s="198">
        <v>3.2290252233607092E-3</v>
      </c>
    </row>
    <row r="71" spans="1:19" s="112" customFormat="1">
      <c r="A71" s="163" t="s">
        <v>55</v>
      </c>
      <c r="B71" s="162">
        <f>+'SL-2'!C$64</f>
        <v>3962.0823928458581</v>
      </c>
      <c r="C71" s="162">
        <f>+'SL-2'!D$64</f>
        <v>4054.539319730723</v>
      </c>
      <c r="D71" s="162">
        <f>+'SL-2'!E$64</f>
        <v>4081.4998214886623</v>
      </c>
      <c r="E71" s="162">
        <f>+'SL-2'!F$64</f>
        <v>4074.5319442008267</v>
      </c>
      <c r="F71" s="162">
        <f>+'SL-2'!G$64</f>
        <v>4025.1455470028263</v>
      </c>
      <c r="G71" s="162">
        <f>+'SL-2'!H$64</f>
        <v>3986.4576620040561</v>
      </c>
      <c r="H71" s="162">
        <f>+'SL-2'!I$64</f>
        <v>3912.3106958443718</v>
      </c>
      <c r="I71" s="162">
        <f>+'SL-2'!J$64</f>
        <v>4039.3490313857428</v>
      </c>
      <c r="J71" s="162">
        <f>+'SL-2'!K$64</f>
        <v>3845.8361742166671</v>
      </c>
      <c r="K71" s="162">
        <f>+'SL-2'!L$64</f>
        <v>3766.9366092699011</v>
      </c>
      <c r="L71" s="162">
        <f>+'SL-2'!M$64</f>
        <v>3831.5468700131928</v>
      </c>
      <c r="M71" s="162">
        <f>+'SL-2'!N$64</f>
        <v>3804.8424594890562</v>
      </c>
      <c r="N71" s="162">
        <f t="shared" si="11"/>
        <v>47385.078527491882</v>
      </c>
      <c r="O71" s="158">
        <f t="shared" si="12"/>
        <v>4081.4998214886623</v>
      </c>
      <c r="P71" s="159">
        <f t="shared" si="13"/>
        <v>1.7218829891969551E-4</v>
      </c>
      <c r="Q71" s="154"/>
      <c r="R71" s="197">
        <v>3964.9065758260822</v>
      </c>
      <c r="S71" s="198">
        <v>9.2958242398677207E-5</v>
      </c>
    </row>
    <row r="72" spans="1:19" s="112" customFormat="1">
      <c r="A72" s="163" t="s">
        <v>87</v>
      </c>
      <c r="B72" s="162">
        <f>+'SST-1D'!C$64</f>
        <v>2094.8997814579911</v>
      </c>
      <c r="C72" s="162">
        <f>+'SST-1D'!D$64</f>
        <v>3688.2855722195604</v>
      </c>
      <c r="D72" s="162">
        <f>+'SST-1D'!E$64</f>
        <v>1559.5730910102195</v>
      </c>
      <c r="E72" s="162">
        <f>+'SST-1D'!F$64</f>
        <v>3752.7793593986644</v>
      </c>
      <c r="F72" s="162">
        <f>+'SST-1D'!G$64</f>
        <v>3780.5827207051971</v>
      </c>
      <c r="G72" s="162">
        <f>+'SST-1D'!H$64</f>
        <v>3297.8128041258401</v>
      </c>
      <c r="H72" s="162">
        <f>+'SST-1D'!I$64</f>
        <v>3153.7324038724787</v>
      </c>
      <c r="I72" s="162">
        <f>+'SST-1D'!J$64</f>
        <v>3347.9186106707907</v>
      </c>
      <c r="J72" s="162">
        <f>+'SST-1D'!K$64</f>
        <v>3632.0019128777417</v>
      </c>
      <c r="K72" s="162">
        <f>+'SST-1D'!L$64</f>
        <v>5011.848283997344</v>
      </c>
      <c r="L72" s="162">
        <f>+'SST-1D'!M$64</f>
        <v>8201.2538466420647</v>
      </c>
      <c r="M72" s="162">
        <f>+'SST-1D'!N$64</f>
        <v>2237.9847529906788</v>
      </c>
      <c r="N72" s="162">
        <f t="shared" si="11"/>
        <v>43758.673139968574</v>
      </c>
      <c r="O72" s="158">
        <f t="shared" si="12"/>
        <v>8201.2538466420647</v>
      </c>
      <c r="P72" s="159">
        <f t="shared" si="13"/>
        <v>3.4599044729269243E-4</v>
      </c>
      <c r="Q72" s="154"/>
      <c r="R72" s="197">
        <v>2710.9018027015977</v>
      </c>
      <c r="S72" s="198">
        <v>6.7071937024415032E-5</v>
      </c>
    </row>
    <row r="73" spans="1:19" s="112" customFormat="1">
      <c r="A73" s="163" t="s">
        <v>88</v>
      </c>
      <c r="B73" s="162">
        <f>+'SST-1T'!C$64</f>
        <v>27161.062652635701</v>
      </c>
      <c r="C73" s="162">
        <f>+'SST-1T'!D$64</f>
        <v>35824.269817482767</v>
      </c>
      <c r="D73" s="162">
        <f>+'SST-1T'!E$64</f>
        <v>51499.060994838059</v>
      </c>
      <c r="E73" s="162">
        <f>+'SST-1T'!F$64</f>
        <v>38254.510631621291</v>
      </c>
      <c r="F73" s="162">
        <f>+'SST-1T'!G$64</f>
        <v>51961.080237677292</v>
      </c>
      <c r="G73" s="162">
        <f>+'SST-1T'!H$64</f>
        <v>42020.066943799786</v>
      </c>
      <c r="H73" s="162">
        <f>+'SST-1T'!I$64</f>
        <v>27417.529125675708</v>
      </c>
      <c r="I73" s="162">
        <f>+'SST-1T'!J$64</f>
        <v>33207.601247620143</v>
      </c>
      <c r="J73" s="162">
        <f>+'SST-1T'!K$64</f>
        <v>25998.538042951037</v>
      </c>
      <c r="K73" s="162">
        <f>+'SST-1T'!L$64</f>
        <v>35228.26656812647</v>
      </c>
      <c r="L73" s="162">
        <f>+'SST-1T'!M$64</f>
        <v>57625.579904252947</v>
      </c>
      <c r="M73" s="162">
        <f>+'SST-1T'!N$64</f>
        <v>29998.785873165416</v>
      </c>
      <c r="N73" s="162">
        <f t="shared" si="11"/>
        <v>456196.35203984659</v>
      </c>
      <c r="O73" s="158">
        <f t="shared" si="12"/>
        <v>57625.579904252947</v>
      </c>
      <c r="P73" s="159">
        <f t="shared" si="13"/>
        <v>2.4310795080116528E-3</v>
      </c>
      <c r="Q73" s="154"/>
      <c r="R73" s="197">
        <v>81499.823980460642</v>
      </c>
      <c r="S73" s="198">
        <v>3.366388577094038E-3</v>
      </c>
    </row>
    <row r="74" spans="1:19" s="112" customFormat="1">
      <c r="A74" s="154"/>
      <c r="B74" s="155"/>
      <c r="C74" s="155"/>
      <c r="D74" s="155"/>
      <c r="E74" s="155"/>
      <c r="F74" s="155"/>
      <c r="G74" s="155"/>
      <c r="H74" s="155"/>
      <c r="I74" s="155"/>
      <c r="J74" s="155"/>
      <c r="K74" s="155"/>
      <c r="L74" s="155"/>
      <c r="M74" s="155"/>
      <c r="N74" s="155"/>
      <c r="O74" s="164"/>
      <c r="P74" s="154"/>
      <c r="Q74" s="154"/>
      <c r="R74" s="199"/>
      <c r="S74" s="199"/>
    </row>
    <row r="75" spans="1:19" s="112" customFormat="1">
      <c r="A75" s="126" t="s">
        <v>453</v>
      </c>
      <c r="B75" s="161">
        <f t="shared" ref="B75:O75" si="14">SUM(B57:B74)</f>
        <v>20404708.787269961</v>
      </c>
      <c r="C75" s="161">
        <f t="shared" si="14"/>
        <v>18761941.219568726</v>
      </c>
      <c r="D75" s="161">
        <f t="shared" si="14"/>
        <v>17543565.622962207</v>
      </c>
      <c r="E75" s="161">
        <f t="shared" si="14"/>
        <v>18234128.835795917</v>
      </c>
      <c r="F75" s="161">
        <f t="shared" si="14"/>
        <v>19727705.184384383</v>
      </c>
      <c r="G75" s="161">
        <f t="shared" si="14"/>
        <v>21040729.741402809</v>
      </c>
      <c r="H75" s="161">
        <f t="shared" si="14"/>
        <v>21385851.131362878</v>
      </c>
      <c r="I75" s="161">
        <f t="shared" si="14"/>
        <v>21931756.449575372</v>
      </c>
      <c r="J75" s="161">
        <f t="shared" si="14"/>
        <v>22321807.36521351</v>
      </c>
      <c r="K75" s="161">
        <f t="shared" si="14"/>
        <v>20257661.59135</v>
      </c>
      <c r="L75" s="161">
        <f t="shared" si="14"/>
        <v>18289647.05664058</v>
      </c>
      <c r="M75" s="161">
        <f t="shared" si="14"/>
        <v>17292130.644174013</v>
      </c>
      <c r="N75" s="161">
        <f t="shared" si="14"/>
        <v>237191633.62970039</v>
      </c>
      <c r="O75" s="161">
        <f t="shared" si="14"/>
        <v>22400856.529475782</v>
      </c>
      <c r="P75" s="159">
        <f>+O75/$O$90</f>
        <v>0.94503627314817551</v>
      </c>
      <c r="Q75" s="126"/>
      <c r="R75" s="200">
        <f>SUM(R57:R74)</f>
        <v>18992610.267666399</v>
      </c>
      <c r="S75" s="198">
        <v>0.98782694110598424</v>
      </c>
    </row>
    <row r="76" spans="1:19" s="112" customFormat="1">
      <c r="A76" s="125"/>
      <c r="B76" s="155"/>
      <c r="C76" s="155"/>
      <c r="D76" s="155"/>
      <c r="E76" s="155"/>
      <c r="F76" s="155"/>
      <c r="G76" s="155"/>
      <c r="H76" s="155"/>
      <c r="I76" s="155"/>
      <c r="J76" s="155"/>
      <c r="K76" s="155"/>
      <c r="L76" s="155"/>
      <c r="M76" s="155"/>
      <c r="N76" s="155"/>
      <c r="O76" s="157"/>
      <c r="P76" s="125"/>
      <c r="Q76" s="125"/>
      <c r="R76" s="201"/>
      <c r="S76" s="202"/>
    </row>
    <row r="77" spans="1:19" s="112" customFormat="1">
      <c r="A77" s="42" t="s">
        <v>86</v>
      </c>
      <c r="B77" s="155"/>
      <c r="C77" s="155"/>
      <c r="D77" s="155"/>
      <c r="E77" s="155"/>
      <c r="F77" s="155"/>
      <c r="G77" s="155"/>
      <c r="H77" s="155"/>
      <c r="I77" s="155"/>
      <c r="J77" s="155"/>
      <c r="K77" s="155"/>
      <c r="L77" s="155"/>
      <c r="M77" s="155"/>
      <c r="N77" s="155"/>
      <c r="O77" s="157"/>
      <c r="P77" s="125"/>
      <c r="Q77" s="125"/>
      <c r="R77" s="201"/>
      <c r="S77" s="202"/>
    </row>
    <row r="78" spans="1:19" s="112" customFormat="1">
      <c r="A78" s="163" t="s">
        <v>1055</v>
      </c>
      <c r="B78" s="162">
        <f>BLOUNTSTOWN!C59</f>
        <v>0</v>
      </c>
      <c r="C78" s="162">
        <f>BLOUNTSTOWN!D59</f>
        <v>0</v>
      </c>
      <c r="D78" s="162">
        <f>BLOUNTSTOWN!E59</f>
        <v>0</v>
      </c>
      <c r="E78" s="162">
        <f>BLOUNTSTOWN!F59</f>
        <v>0</v>
      </c>
      <c r="F78" s="162">
        <f>BLOUNTSTOWN!G59</f>
        <v>0</v>
      </c>
      <c r="G78" s="162">
        <f>BLOUNTSTOWN!H59</f>
        <v>0</v>
      </c>
      <c r="H78" s="162">
        <f>BLOUNTSTOWN!I59</f>
        <v>0</v>
      </c>
      <c r="I78" s="162">
        <f>BLOUNTSTOWN!J59</f>
        <v>0</v>
      </c>
      <c r="J78" s="162">
        <f>BLOUNTSTOWN!K59</f>
        <v>0</v>
      </c>
      <c r="K78" s="162">
        <f>BLOUNTSTOWN!L59</f>
        <v>0</v>
      </c>
      <c r="L78" s="162">
        <f>BLOUNTSTOWN!M59</f>
        <v>0</v>
      </c>
      <c r="M78" s="162">
        <f>BLOUNTSTOWN!N59</f>
        <v>0</v>
      </c>
      <c r="N78" s="162">
        <f>SUM(B78:M78)</f>
        <v>0</v>
      </c>
      <c r="O78" s="158">
        <f>MAX(B78:M78)</f>
        <v>0</v>
      </c>
      <c r="P78" s="159">
        <f t="shared" ref="P78:P86" si="15">+O78/$O$90</f>
        <v>0</v>
      </c>
      <c r="Q78" s="154"/>
      <c r="R78" s="203">
        <f>193266.867317667-45000</f>
        <v>148266.867317667</v>
      </c>
      <c r="S78" s="198">
        <f>+R78/$R$90</f>
        <v>7.5988221278545749E-3</v>
      </c>
    </row>
    <row r="79" spans="1:19" s="112" customFormat="1">
      <c r="A79" s="163" t="s">
        <v>485</v>
      </c>
      <c r="B79" s="162">
        <f>FKEC!C59</f>
        <v>127064.78774922132</v>
      </c>
      <c r="C79" s="162">
        <f>FKEC!D59</f>
        <v>125678.96472347097</v>
      </c>
      <c r="D79" s="162">
        <f>FKEC!E59</f>
        <v>133007.53045568668</v>
      </c>
      <c r="E79" s="162">
        <f>FKEC!F59</f>
        <v>138253.75554397303</v>
      </c>
      <c r="F79" s="162">
        <f>FKEC!G59</f>
        <v>151373.4919895276</v>
      </c>
      <c r="G79" s="162">
        <f>FKEC!H59</f>
        <v>154828.47225884761</v>
      </c>
      <c r="H79" s="162">
        <f>FKEC!I59</f>
        <v>162584.70506904923</v>
      </c>
      <c r="I79" s="162">
        <f>FKEC!J59</f>
        <v>162016.21781365061</v>
      </c>
      <c r="J79" s="162">
        <f>FKEC!K59</f>
        <v>152912.57936841325</v>
      </c>
      <c r="K79" s="162">
        <f>FKEC!L59</f>
        <v>138146.0758434821</v>
      </c>
      <c r="L79" s="162">
        <f>FKEC!M59</f>
        <v>123425.47613882527</v>
      </c>
      <c r="M79" s="162">
        <f>FKEC!N59</f>
        <v>128105.0915332975</v>
      </c>
      <c r="N79" s="162">
        <f t="shared" ref="N79:N86" si="16">SUM(B79:M79)</f>
        <v>1697397.148487445</v>
      </c>
      <c r="O79" s="158">
        <f t="shared" ref="O79:O86" si="17">MAX(B79:M79)</f>
        <v>162584.70506904923</v>
      </c>
      <c r="P79" s="159">
        <f t="shared" si="15"/>
        <v>6.8590432489567489E-3</v>
      </c>
      <c r="Q79" s="125"/>
      <c r="R79" s="203">
        <v>45000</v>
      </c>
      <c r="S79" s="198">
        <f>+R79/$R$90</f>
        <v>2.3062940624544413E-3</v>
      </c>
    </row>
    <row r="80" spans="1:19" s="112" customFormat="1">
      <c r="A80" s="163" t="s">
        <v>1057</v>
      </c>
      <c r="B80" s="162">
        <f>HOMESTEAD!C59</f>
        <v>21000</v>
      </c>
      <c r="C80" s="162">
        <f>HOMESTEAD!D59</f>
        <v>0</v>
      </c>
      <c r="D80" s="162">
        <f>HOMESTEAD!E59</f>
        <v>0</v>
      </c>
      <c r="E80" s="162">
        <f>HOMESTEAD!F59</f>
        <v>0</v>
      </c>
      <c r="F80" s="162">
        <f>HOMESTEAD!G59</f>
        <v>0</v>
      </c>
      <c r="G80" s="162">
        <f>HOMESTEAD!H59</f>
        <v>0</v>
      </c>
      <c r="H80" s="162">
        <f>HOMESTEAD!I59</f>
        <v>0</v>
      </c>
      <c r="I80" s="162">
        <f>HOMESTEAD!J59</f>
        <v>21000</v>
      </c>
      <c r="J80" s="162">
        <f>HOMESTEAD!K59</f>
        <v>0</v>
      </c>
      <c r="K80" s="162">
        <f>HOMESTEAD!L59</f>
        <v>0</v>
      </c>
      <c r="L80" s="162">
        <f>HOMESTEAD!M59</f>
        <v>0</v>
      </c>
      <c r="M80" s="162">
        <f>HOMESTEAD!N59</f>
        <v>0</v>
      </c>
      <c r="N80" s="162">
        <f t="shared" si="16"/>
        <v>42000</v>
      </c>
      <c r="O80" s="158">
        <f t="shared" si="17"/>
        <v>21000</v>
      </c>
      <c r="P80" s="159">
        <f t="shared" si="15"/>
        <v>8.8593762966152577E-4</v>
      </c>
      <c r="Q80" s="125"/>
      <c r="R80" s="203"/>
      <c r="S80" s="198"/>
    </row>
    <row r="81" spans="1:19" s="112" customFormat="1">
      <c r="A81" s="163" t="s">
        <v>487</v>
      </c>
      <c r="B81" s="162">
        <f>LCEC!C60</f>
        <v>752102</v>
      </c>
      <c r="C81" s="162">
        <f>LCEC!D60</f>
        <v>672677</v>
      </c>
      <c r="D81" s="162">
        <f>LCEC!E60</f>
        <v>619483</v>
      </c>
      <c r="E81" s="162">
        <f>LCEC!F60</f>
        <v>632208</v>
      </c>
      <c r="F81" s="162">
        <f>LCEC!G60</f>
        <v>721094</v>
      </c>
      <c r="G81" s="162">
        <f>LCEC!H60</f>
        <v>776545</v>
      </c>
      <c r="H81" s="162">
        <f>LCEC!I60</f>
        <v>782863</v>
      </c>
      <c r="I81" s="162">
        <f>LCEC!J60</f>
        <v>795259</v>
      </c>
      <c r="J81" s="162">
        <f>LCEC!K60</f>
        <v>760044</v>
      </c>
      <c r="K81" s="162">
        <f>LCEC!L60</f>
        <v>713212</v>
      </c>
      <c r="L81" s="162">
        <f>LCEC!M60</f>
        <v>585750</v>
      </c>
      <c r="M81" s="162">
        <f>LCEC!N60</f>
        <v>554266</v>
      </c>
      <c r="N81" s="162">
        <f t="shared" si="16"/>
        <v>8365503</v>
      </c>
      <c r="O81" s="158">
        <f t="shared" si="17"/>
        <v>795259</v>
      </c>
      <c r="P81" s="159">
        <f t="shared" si="15"/>
        <v>3.3549993972714062E-2</v>
      </c>
      <c r="Q81" s="125"/>
      <c r="R81" s="197">
        <v>1360.840019478341</v>
      </c>
      <c r="S81" s="198">
        <f>+R81/$R$90</f>
        <v>6.974438348607299E-5</v>
      </c>
    </row>
    <row r="82" spans="1:19" s="112" customFormat="1">
      <c r="A82" s="163" t="s">
        <v>1053</v>
      </c>
      <c r="B82" s="162">
        <f>'NEW SMYRNA'!C59</f>
        <v>45000</v>
      </c>
      <c r="C82" s="162">
        <f>'NEW SMYRNA'!D59</f>
        <v>0</v>
      </c>
      <c r="D82" s="162">
        <f>'NEW SMYRNA'!E59</f>
        <v>0</v>
      </c>
      <c r="E82" s="162">
        <f>'NEW SMYRNA'!F59</f>
        <v>0</v>
      </c>
      <c r="F82" s="162">
        <f>'NEW SMYRNA'!G59</f>
        <v>0</v>
      </c>
      <c r="G82" s="162">
        <f>'NEW SMYRNA'!H59</f>
        <v>0</v>
      </c>
      <c r="H82" s="162">
        <f>'NEW SMYRNA'!I59</f>
        <v>0</v>
      </c>
      <c r="I82" s="162">
        <f>'NEW SMYRNA'!J59</f>
        <v>45000</v>
      </c>
      <c r="J82" s="162">
        <f>'NEW SMYRNA'!K59</f>
        <v>0</v>
      </c>
      <c r="K82" s="162">
        <f>'NEW SMYRNA'!L59</f>
        <v>0</v>
      </c>
      <c r="L82" s="162">
        <f>'NEW SMYRNA'!M59</f>
        <v>0</v>
      </c>
      <c r="M82" s="162">
        <f>'NEW SMYRNA'!N59</f>
        <v>0</v>
      </c>
      <c r="N82" s="162">
        <f t="shared" si="16"/>
        <v>90000</v>
      </c>
      <c r="O82" s="158">
        <f t="shared" si="17"/>
        <v>45000</v>
      </c>
      <c r="P82" s="159">
        <f t="shared" si="15"/>
        <v>1.8984377778461265E-3</v>
      </c>
      <c r="Q82" s="125"/>
      <c r="R82" s="197">
        <v>249584.36048361912</v>
      </c>
      <c r="S82" s="198">
        <f>+R82/$R$90</f>
        <v>1.2791442859219104E-2</v>
      </c>
    </row>
    <row r="83" spans="1:19" s="112" customFormat="1">
      <c r="A83" s="163" t="s">
        <v>1058</v>
      </c>
      <c r="B83" s="162">
        <f>QUINCY!C59</f>
        <v>19000</v>
      </c>
      <c r="C83" s="162">
        <f>QUINCY!D59</f>
        <v>0</v>
      </c>
      <c r="D83" s="162">
        <f>QUINCY!E59</f>
        <v>0</v>
      </c>
      <c r="E83" s="162">
        <f>QUINCY!F59</f>
        <v>0</v>
      </c>
      <c r="F83" s="162">
        <f>QUINCY!G59</f>
        <v>0</v>
      </c>
      <c r="G83" s="162">
        <f>QUINCY!H59</f>
        <v>0</v>
      </c>
      <c r="H83" s="162">
        <f>QUINCY!I59</f>
        <v>0</v>
      </c>
      <c r="I83" s="162">
        <f>QUINCY!J59</f>
        <v>19000</v>
      </c>
      <c r="J83" s="162">
        <f>QUINCY!K59</f>
        <v>0</v>
      </c>
      <c r="K83" s="162">
        <f>QUINCY!L59</f>
        <v>0</v>
      </c>
      <c r="L83" s="162">
        <f>QUINCY!M59</f>
        <v>0</v>
      </c>
      <c r="M83" s="162">
        <f>QUINCY!N59</f>
        <v>0</v>
      </c>
      <c r="N83" s="162">
        <f t="shared" si="16"/>
        <v>38000</v>
      </c>
      <c r="O83" s="158">
        <f t="shared" si="17"/>
        <v>19000</v>
      </c>
      <c r="P83" s="159">
        <f t="shared" si="15"/>
        <v>8.0156261731280896E-4</v>
      </c>
      <c r="Q83" s="125"/>
      <c r="R83" s="197"/>
      <c r="S83" s="198"/>
    </row>
    <row r="84" spans="1:19" s="112" customFormat="1">
      <c r="A84" s="163" t="s">
        <v>489</v>
      </c>
      <c r="B84" s="156">
        <f>SEMINOLE!C60</f>
        <v>200000</v>
      </c>
      <c r="C84" s="156">
        <f>SEMINOLE!D60</f>
        <v>200000</v>
      </c>
      <c r="D84" s="156">
        <f>SEMINOLE!E60</f>
        <v>200000</v>
      </c>
      <c r="E84" s="156">
        <f>SEMINOLE!F60</f>
        <v>200000</v>
      </c>
      <c r="F84" s="156">
        <f>SEMINOLE!G60</f>
        <v>200000</v>
      </c>
      <c r="G84" s="156">
        <f>SEMINOLE!H60</f>
        <v>200000</v>
      </c>
      <c r="H84" s="156">
        <f>SEMINOLE!I60</f>
        <v>200000</v>
      </c>
      <c r="I84" s="156">
        <f>SEMINOLE!J60</f>
        <v>200000</v>
      </c>
      <c r="J84" s="156">
        <f>SEMINOLE!K60</f>
        <v>200000</v>
      </c>
      <c r="K84" s="156">
        <f>SEMINOLE!L60</f>
        <v>200000</v>
      </c>
      <c r="L84" s="156">
        <f>SEMINOLE!M60</f>
        <v>200000</v>
      </c>
      <c r="M84" s="156">
        <f>SEMINOLE!N60</f>
        <v>200000</v>
      </c>
      <c r="N84" s="162">
        <f t="shared" si="16"/>
        <v>2400000</v>
      </c>
      <c r="O84" s="158">
        <f t="shared" si="17"/>
        <v>200000</v>
      </c>
      <c r="P84" s="159">
        <f t="shared" si="15"/>
        <v>8.4375012348716742E-3</v>
      </c>
      <c r="Q84" s="125"/>
      <c r="R84" s="197">
        <v>75000</v>
      </c>
      <c r="S84" s="198">
        <f>+R84/$R$90</f>
        <v>3.8438234374240689E-3</v>
      </c>
    </row>
    <row r="85" spans="1:19" s="112" customFormat="1">
      <c r="A85" s="163" t="s">
        <v>1054</v>
      </c>
      <c r="B85" s="156">
        <f>WAUCHULA!C59</f>
        <v>0</v>
      </c>
      <c r="C85" s="156">
        <f>WAUCHULA!D59</f>
        <v>0</v>
      </c>
      <c r="D85" s="156">
        <f>WAUCHULA!E59</f>
        <v>0</v>
      </c>
      <c r="E85" s="156">
        <f>WAUCHULA!F59</f>
        <v>0</v>
      </c>
      <c r="F85" s="156">
        <f>WAUCHULA!G59</f>
        <v>0</v>
      </c>
      <c r="G85" s="156">
        <f>WAUCHULA!H59</f>
        <v>0</v>
      </c>
      <c r="H85" s="156">
        <f>WAUCHULA!I59</f>
        <v>0</v>
      </c>
      <c r="I85" s="156">
        <f>WAUCHULA!J59</f>
        <v>0</v>
      </c>
      <c r="J85" s="156">
        <f>WAUCHULA!K59</f>
        <v>0</v>
      </c>
      <c r="K85" s="156">
        <f>WAUCHULA!L59</f>
        <v>0</v>
      </c>
      <c r="L85" s="156">
        <f>WAUCHULA!M59</f>
        <v>0</v>
      </c>
      <c r="M85" s="156">
        <f>WAUCHULA!N59</f>
        <v>0</v>
      </c>
      <c r="N85" s="162">
        <f t="shared" si="16"/>
        <v>0</v>
      </c>
      <c r="O85" s="158">
        <f t="shared" si="17"/>
        <v>0</v>
      </c>
      <c r="P85" s="159">
        <f t="shared" si="15"/>
        <v>0</v>
      </c>
      <c r="Q85" s="125"/>
      <c r="R85" s="197"/>
      <c r="S85" s="198"/>
    </row>
    <row r="86" spans="1:19" s="112" customFormat="1">
      <c r="A86" s="163" t="s">
        <v>1056</v>
      </c>
      <c r="B86" s="156">
        <f>'WINTER PARK'!C59</f>
        <v>60000</v>
      </c>
      <c r="C86" s="156">
        <f>'WINTER PARK'!D59</f>
        <v>0</v>
      </c>
      <c r="D86" s="156">
        <f>'WINTER PARK'!E59</f>
        <v>0</v>
      </c>
      <c r="E86" s="156">
        <f>'WINTER PARK'!F59</f>
        <v>0</v>
      </c>
      <c r="F86" s="156">
        <f>'WINTER PARK'!G59</f>
        <v>0</v>
      </c>
      <c r="G86" s="156">
        <f>'WINTER PARK'!H59</f>
        <v>0</v>
      </c>
      <c r="H86" s="156">
        <f>'WINTER PARK'!I59</f>
        <v>0</v>
      </c>
      <c r="I86" s="156">
        <f>'WINTER PARK'!J59</f>
        <v>60000</v>
      </c>
      <c r="J86" s="156">
        <f>'WINTER PARK'!K59</f>
        <v>0</v>
      </c>
      <c r="K86" s="156">
        <f>'WINTER PARK'!L59</f>
        <v>0</v>
      </c>
      <c r="L86" s="156">
        <f>'WINTER PARK'!M59</f>
        <v>0</v>
      </c>
      <c r="M86" s="156">
        <f>'WINTER PARK'!N59</f>
        <v>0</v>
      </c>
      <c r="N86" s="162">
        <f t="shared" si="16"/>
        <v>120000</v>
      </c>
      <c r="O86" s="158">
        <f t="shared" si="17"/>
        <v>60000</v>
      </c>
      <c r="P86" s="159">
        <f t="shared" si="15"/>
        <v>2.5312503704615023E-3</v>
      </c>
      <c r="Q86" s="125"/>
      <c r="R86" s="197"/>
      <c r="S86" s="198"/>
    </row>
    <row r="87" spans="1:19" s="112" customFormat="1">
      <c r="A87" s="125"/>
      <c r="B87" s="155"/>
      <c r="C87" s="155"/>
      <c r="D87" s="155"/>
      <c r="E87" s="155"/>
      <c r="F87" s="155"/>
      <c r="G87" s="155"/>
      <c r="H87" s="155"/>
      <c r="I87" s="155"/>
      <c r="J87" s="155"/>
      <c r="K87" s="155"/>
      <c r="L87" s="155"/>
      <c r="M87" s="155"/>
      <c r="N87" s="155"/>
      <c r="O87" s="157"/>
      <c r="P87" s="125"/>
      <c r="Q87" s="125"/>
      <c r="R87" s="201"/>
      <c r="S87" s="198"/>
    </row>
    <row r="88" spans="1:19" s="112" customFormat="1">
      <c r="A88" s="126" t="s">
        <v>509</v>
      </c>
      <c r="B88" s="161">
        <f t="shared" ref="B88:O88" si="18">SUM(B78:B87)</f>
        <v>1224166.7877492213</v>
      </c>
      <c r="C88" s="161">
        <f t="shared" si="18"/>
        <v>998355.96472347097</v>
      </c>
      <c r="D88" s="161">
        <f t="shared" si="18"/>
        <v>952490.53045568662</v>
      </c>
      <c r="E88" s="161">
        <f t="shared" si="18"/>
        <v>970461.75554397306</v>
      </c>
      <c r="F88" s="161">
        <f t="shared" si="18"/>
        <v>1072467.4919895276</v>
      </c>
      <c r="G88" s="161">
        <f t="shared" si="18"/>
        <v>1131373.4722588477</v>
      </c>
      <c r="H88" s="161">
        <f t="shared" si="18"/>
        <v>1145447.7050690493</v>
      </c>
      <c r="I88" s="161">
        <f t="shared" si="18"/>
        <v>1302275.2178136506</v>
      </c>
      <c r="J88" s="161">
        <f t="shared" si="18"/>
        <v>1112956.5793684132</v>
      </c>
      <c r="K88" s="161">
        <f t="shared" si="18"/>
        <v>1051358.075843482</v>
      </c>
      <c r="L88" s="161">
        <f t="shared" si="18"/>
        <v>909175.4761388253</v>
      </c>
      <c r="M88" s="161">
        <f t="shared" si="18"/>
        <v>882371.09153329744</v>
      </c>
      <c r="N88" s="161">
        <f t="shared" si="18"/>
        <v>12752900.148487445</v>
      </c>
      <c r="O88" s="161">
        <f t="shared" si="18"/>
        <v>1302843.7050690493</v>
      </c>
      <c r="P88" s="159">
        <f>+O88/$O$90</f>
        <v>5.4963726851824449E-2</v>
      </c>
      <c r="Q88" s="126"/>
      <c r="R88" s="200">
        <f>SUM(R78:R87)</f>
        <v>519212.0678207645</v>
      </c>
      <c r="S88" s="198">
        <f>+R88/$R$90</f>
        <v>2.6610126870438264E-2</v>
      </c>
    </row>
    <row r="89" spans="1:19" s="112" customFormat="1">
      <c r="A89" s="125"/>
      <c r="B89" s="155"/>
      <c r="C89" s="155"/>
      <c r="D89" s="155"/>
      <c r="E89" s="155"/>
      <c r="F89" s="155"/>
      <c r="G89" s="155"/>
      <c r="H89" s="155"/>
      <c r="I89" s="155"/>
      <c r="J89" s="155"/>
      <c r="K89" s="155"/>
      <c r="L89" s="155"/>
      <c r="M89" s="155"/>
      <c r="N89" s="155"/>
      <c r="O89" s="157"/>
      <c r="P89" s="125"/>
      <c r="Q89" s="125"/>
      <c r="R89" s="201"/>
      <c r="S89" s="198"/>
    </row>
    <row r="90" spans="1:19" s="112" customFormat="1" ht="13.8" thickBot="1">
      <c r="A90" s="126" t="s">
        <v>497</v>
      </c>
      <c r="B90" s="160">
        <f t="shared" ref="B90:O90" si="19">+B75+B88</f>
        <v>21628875.575019181</v>
      </c>
      <c r="C90" s="160">
        <f t="shared" si="19"/>
        <v>19760297.184292197</v>
      </c>
      <c r="D90" s="160">
        <f t="shared" si="19"/>
        <v>18496056.153417893</v>
      </c>
      <c r="E90" s="160">
        <f t="shared" si="19"/>
        <v>19204590.59133989</v>
      </c>
      <c r="F90" s="160">
        <f t="shared" si="19"/>
        <v>20800172.67637391</v>
      </c>
      <c r="G90" s="160">
        <f t="shared" si="19"/>
        <v>22172103.213661656</v>
      </c>
      <c r="H90" s="160">
        <f t="shared" si="19"/>
        <v>22531298.836431928</v>
      </c>
      <c r="I90" s="160">
        <f t="shared" si="19"/>
        <v>23234031.667389024</v>
      </c>
      <c r="J90" s="160">
        <f t="shared" si="19"/>
        <v>23434763.944581922</v>
      </c>
      <c r="K90" s="160">
        <f t="shared" si="19"/>
        <v>21309019.667193484</v>
      </c>
      <c r="L90" s="160">
        <f t="shared" si="19"/>
        <v>19198822.532779407</v>
      </c>
      <c r="M90" s="160">
        <f t="shared" si="19"/>
        <v>18174501.735707309</v>
      </c>
      <c r="N90" s="160">
        <f t="shared" si="19"/>
        <v>249944533.77818784</v>
      </c>
      <c r="O90" s="160">
        <f t="shared" si="19"/>
        <v>23703700.234544832</v>
      </c>
      <c r="P90" s="159">
        <f>+O90/$O$90</f>
        <v>1</v>
      </c>
      <c r="Q90" s="125"/>
      <c r="R90" s="204">
        <f>+R75+R88</f>
        <v>19511822.335487165</v>
      </c>
      <c r="S90" s="198">
        <f>+R90/$R$90</f>
        <v>1</v>
      </c>
    </row>
    <row r="91" spans="1:19" s="112" customFormat="1" ht="13.8" thickTop="1">
      <c r="B91" s="156"/>
      <c r="C91" s="156"/>
      <c r="D91" s="156"/>
      <c r="E91" s="156"/>
      <c r="F91" s="156"/>
      <c r="G91" s="156"/>
      <c r="H91" s="156"/>
      <c r="I91" s="156"/>
      <c r="J91" s="156"/>
      <c r="K91" s="156"/>
      <c r="L91" s="156"/>
      <c r="M91" s="156"/>
      <c r="N91" s="156"/>
      <c r="S91" s="198"/>
    </row>
    <row r="92" spans="1:19" s="112" customFormat="1">
      <c r="B92" s="156"/>
      <c r="C92" s="156"/>
      <c r="D92" s="156"/>
      <c r="E92" s="156"/>
      <c r="F92" s="156"/>
      <c r="G92" s="156"/>
      <c r="H92" s="156"/>
      <c r="I92" s="156"/>
      <c r="J92" s="156"/>
      <c r="K92" s="156"/>
      <c r="L92" s="156"/>
      <c r="M92" s="156"/>
      <c r="N92" s="156"/>
    </row>
    <row r="93" spans="1:19" s="112" customFormat="1">
      <c r="B93" s="156"/>
      <c r="C93" s="156"/>
      <c r="D93" s="156"/>
      <c r="E93" s="156"/>
      <c r="F93" s="156"/>
      <c r="G93" s="156"/>
      <c r="H93" s="156"/>
      <c r="I93" s="156"/>
      <c r="J93" s="156"/>
      <c r="K93" s="156"/>
      <c r="L93" s="156"/>
      <c r="M93" s="156"/>
      <c r="N93" s="156"/>
    </row>
    <row r="94" spans="1:19" s="112" customFormat="1">
      <c r="B94" s="156"/>
      <c r="C94" s="156"/>
      <c r="D94" s="156"/>
      <c r="E94" s="156"/>
      <c r="F94" s="156"/>
      <c r="G94" s="156"/>
      <c r="H94" s="156"/>
      <c r="I94" s="156"/>
      <c r="J94" s="156"/>
      <c r="K94" s="156"/>
      <c r="L94" s="156"/>
      <c r="M94" s="156"/>
      <c r="N94" s="156"/>
    </row>
    <row r="95" spans="1:19" s="112" customFormat="1" ht="21">
      <c r="A95" s="124" t="s">
        <v>531</v>
      </c>
      <c r="B95" s="165"/>
      <c r="C95" s="165"/>
      <c r="D95" s="165"/>
      <c r="E95" s="165"/>
      <c r="F95" s="165"/>
      <c r="G95" s="165"/>
      <c r="H95" s="165"/>
      <c r="I95" s="165"/>
      <c r="J95" s="165"/>
      <c r="K95" s="165"/>
      <c r="L95" s="165"/>
      <c r="M95" s="165"/>
      <c r="N95" s="165"/>
      <c r="O95" s="165"/>
      <c r="P95" s="172"/>
      <c r="Q95" s="172"/>
      <c r="R95" s="172"/>
      <c r="S95" s="172"/>
    </row>
    <row r="96" spans="1:19" s="112" customFormat="1" ht="21">
      <c r="A96" s="124" t="str">
        <f>MANUAL!$B$11&amp;" - SUBSEQUENT YEAR"</f>
        <v>2018 - SUBSEQUENT YEAR</v>
      </c>
      <c r="B96" s="165"/>
      <c r="C96" s="165"/>
      <c r="D96" s="165"/>
      <c r="E96" s="165"/>
      <c r="F96" s="165"/>
      <c r="G96" s="165"/>
      <c r="H96" s="165"/>
      <c r="I96" s="165"/>
      <c r="J96" s="165"/>
      <c r="K96" s="165"/>
      <c r="L96" s="165"/>
      <c r="M96" s="165"/>
      <c r="N96" s="165"/>
      <c r="O96" s="165"/>
      <c r="P96" s="172"/>
      <c r="Q96" s="172"/>
      <c r="R96" s="172"/>
      <c r="S96" s="172"/>
    </row>
    <row r="97" spans="1:19" s="112" customFormat="1" ht="21.6" thickBot="1">
      <c r="A97" s="124"/>
      <c r="B97" s="165"/>
      <c r="C97" s="165"/>
      <c r="D97" s="165"/>
      <c r="E97" s="165"/>
      <c r="F97" s="165"/>
      <c r="G97" s="165"/>
      <c r="H97" s="165"/>
      <c r="I97" s="165"/>
      <c r="J97" s="165"/>
      <c r="K97" s="165"/>
      <c r="L97" s="165"/>
      <c r="M97" s="165"/>
      <c r="N97" s="165"/>
      <c r="O97" s="165"/>
      <c r="P97" s="172"/>
      <c r="Q97" s="172"/>
      <c r="R97" s="172"/>
      <c r="S97" s="172"/>
    </row>
    <row r="98" spans="1:19" s="112" customFormat="1" ht="13.8" thickBot="1">
      <c r="A98" s="168"/>
      <c r="B98" s="572" t="s">
        <v>339</v>
      </c>
      <c r="C98" s="573"/>
      <c r="D98" s="574"/>
      <c r="E98" s="575" t="s">
        <v>340</v>
      </c>
      <c r="F98" s="576"/>
      <c r="G98" s="576"/>
      <c r="H98" s="576"/>
      <c r="I98" s="576"/>
      <c r="J98" s="576"/>
      <c r="K98" s="577"/>
      <c r="L98" s="572" t="s">
        <v>339</v>
      </c>
      <c r="M98" s="574"/>
      <c r="N98" s="166"/>
      <c r="O98" s="164"/>
      <c r="P98" s="164"/>
      <c r="Q98" s="164"/>
      <c r="R98" s="154"/>
      <c r="S98" s="154"/>
    </row>
    <row r="99" spans="1:19" s="112" customFormat="1" ht="13.8" thickBot="1">
      <c r="A99" s="171" t="s">
        <v>454</v>
      </c>
      <c r="B99" s="100" t="s">
        <v>70</v>
      </c>
      <c r="C99" s="100" t="s">
        <v>71</v>
      </c>
      <c r="D99" s="100" t="s">
        <v>72</v>
      </c>
      <c r="E99" s="103" t="s">
        <v>73</v>
      </c>
      <c r="F99" s="103" t="s">
        <v>74</v>
      </c>
      <c r="G99" s="103" t="s">
        <v>75</v>
      </c>
      <c r="H99" s="103" t="s">
        <v>76</v>
      </c>
      <c r="I99" s="103" t="s">
        <v>77</v>
      </c>
      <c r="J99" s="103" t="s">
        <v>78</v>
      </c>
      <c r="K99" s="103" t="s">
        <v>79</v>
      </c>
      <c r="L99" s="100" t="s">
        <v>80</v>
      </c>
      <c r="M99" s="100" t="s">
        <v>81</v>
      </c>
      <c r="N99" s="170" t="s">
        <v>60</v>
      </c>
      <c r="O99" s="348" t="s">
        <v>342</v>
      </c>
      <c r="P99" s="348" t="s">
        <v>455</v>
      </c>
      <c r="Q99" s="165"/>
      <c r="R99" s="578" t="s">
        <v>456</v>
      </c>
      <c r="S99" s="579"/>
    </row>
    <row r="100" spans="1:19" s="112" customFormat="1">
      <c r="A100" s="168"/>
      <c r="B100" s="167"/>
      <c r="C100" s="167"/>
      <c r="D100" s="167"/>
      <c r="E100" s="167"/>
      <c r="F100" s="167"/>
      <c r="G100" s="167"/>
      <c r="H100" s="167"/>
      <c r="I100" s="167"/>
      <c r="J100" s="167"/>
      <c r="K100" s="167"/>
      <c r="L100" s="167"/>
      <c r="M100" s="167"/>
      <c r="N100" s="166"/>
      <c r="O100" s="165"/>
      <c r="P100" s="164"/>
      <c r="Q100" s="164"/>
      <c r="R100" s="154"/>
      <c r="S100" s="154"/>
    </row>
    <row r="101" spans="1:19" s="112" customFormat="1">
      <c r="A101" s="42" t="s">
        <v>83</v>
      </c>
      <c r="B101" s="81"/>
      <c r="C101" s="81"/>
      <c r="D101" s="81"/>
      <c r="E101" s="81"/>
      <c r="F101" s="81"/>
      <c r="G101" s="81"/>
      <c r="H101" s="81"/>
      <c r="I101" s="81"/>
      <c r="J101" s="81"/>
      <c r="K101" s="81"/>
      <c r="L101" s="81"/>
      <c r="M101" s="81"/>
      <c r="N101" s="81"/>
      <c r="O101" s="81"/>
      <c r="P101" s="81"/>
      <c r="Q101" s="81"/>
      <c r="R101" s="81"/>
      <c r="S101" s="81"/>
    </row>
    <row r="102" spans="1:19" s="112" customFormat="1">
      <c r="A102" s="163" t="s">
        <v>84</v>
      </c>
      <c r="B102" s="162">
        <f>+'CILC-1D'!C$72</f>
        <v>364867.76853508234</v>
      </c>
      <c r="C102" s="162">
        <f>+'CILC-1D'!D$72</f>
        <v>371612.70180661982</v>
      </c>
      <c r="D102" s="162">
        <f>+'CILC-1D'!E$72</f>
        <v>338024.66493062145</v>
      </c>
      <c r="E102" s="162">
        <f>+'CILC-1D'!F$72</f>
        <v>357970.56168578489</v>
      </c>
      <c r="F102" s="162">
        <f>+'CILC-1D'!G$72</f>
        <v>356505.57573414472</v>
      </c>
      <c r="G102" s="162">
        <f>+'CILC-1D'!H$72</f>
        <v>372146.08755869948</v>
      </c>
      <c r="H102" s="162">
        <f>+'CILC-1D'!I$72</f>
        <v>366251.3279572592</v>
      </c>
      <c r="I102" s="162">
        <f>+'CILC-1D'!J$72</f>
        <v>378101.7542149417</v>
      </c>
      <c r="J102" s="162">
        <f>+'CILC-1D'!K$72</f>
        <v>371362.38490919338</v>
      </c>
      <c r="K102" s="162">
        <f>+'CILC-1D'!L$72</f>
        <v>353270.37603858131</v>
      </c>
      <c r="L102" s="162">
        <f>+'CILC-1D'!M$72</f>
        <v>358318.30657937762</v>
      </c>
      <c r="M102" s="162">
        <f>+'CILC-1D'!N$72</f>
        <v>358874.03234484338</v>
      </c>
      <c r="N102" s="162">
        <f t="shared" ref="N102:N118" si="20">SUM(B102:M102)</f>
        <v>4347305.5422951486</v>
      </c>
      <c r="O102" s="158">
        <f t="shared" ref="O102:O118" si="21">MAX(B102:M102)</f>
        <v>378101.7542149417</v>
      </c>
      <c r="P102" s="159">
        <f>+O102/$O$135</f>
        <v>1.5880838126719098E-2</v>
      </c>
      <c r="Q102" s="154"/>
      <c r="R102" s="197">
        <v>442576.01672456594</v>
      </c>
      <c r="S102" s="198">
        <v>1.233500985483421E-2</v>
      </c>
    </row>
    <row r="103" spans="1:19" s="112" customFormat="1">
      <c r="A103" s="163" t="s">
        <v>85</v>
      </c>
      <c r="B103" s="162">
        <f>+'CILC-1G'!C$72</f>
        <v>13833.696734357884</v>
      </c>
      <c r="C103" s="162">
        <f>+'CILC-1G'!D$72</f>
        <v>14411.759217036153</v>
      </c>
      <c r="D103" s="162">
        <f>+'CILC-1G'!E$72</f>
        <v>12967.781719779785</v>
      </c>
      <c r="E103" s="162">
        <f>+'CILC-1G'!F$72</f>
        <v>13712.655918622437</v>
      </c>
      <c r="F103" s="162">
        <f>+'CILC-1G'!G$72</f>
        <v>14030.841019289326</v>
      </c>
      <c r="G103" s="162">
        <f>+'CILC-1G'!H$72</f>
        <v>14319.676838183637</v>
      </c>
      <c r="H103" s="162">
        <f>+'CILC-1G'!I$72</f>
        <v>14119.258489668797</v>
      </c>
      <c r="I103" s="162">
        <f>+'CILC-1G'!J$72</f>
        <v>14605.193285210538</v>
      </c>
      <c r="J103" s="162">
        <f>+'CILC-1G'!K$72</f>
        <v>14364.829847272595</v>
      </c>
      <c r="K103" s="162">
        <f>+'CILC-1G'!L$72</f>
        <v>13648.340959544084</v>
      </c>
      <c r="L103" s="162">
        <f>+'CILC-1G'!M$72</f>
        <v>13587.599107278642</v>
      </c>
      <c r="M103" s="162">
        <f>+'CILC-1G'!N$72</f>
        <v>13802.462811454141</v>
      </c>
      <c r="N103" s="162">
        <f t="shared" si="20"/>
        <v>167404.09594769799</v>
      </c>
      <c r="O103" s="158">
        <f t="shared" si="21"/>
        <v>14605.193285210538</v>
      </c>
      <c r="P103" s="159">
        <f t="shared" ref="P103:P118" si="22">+O103/$O$135</f>
        <v>6.1343992136047968E-4</v>
      </c>
      <c r="Q103" s="154"/>
      <c r="R103" s="197">
        <v>28711.096584808067</v>
      </c>
      <c r="S103" s="198">
        <v>8.0077391883775844E-4</v>
      </c>
    </row>
    <row r="104" spans="1:19" s="112" customFormat="1">
      <c r="A104" s="163" t="s">
        <v>50</v>
      </c>
      <c r="B104" s="162">
        <f>+'CILC-1T'!C$72</f>
        <v>201051.97737590069</v>
      </c>
      <c r="C104" s="162">
        <f>+'CILC-1T'!D$72</f>
        <v>212056.17035280471</v>
      </c>
      <c r="D104" s="162">
        <f>+'CILC-1T'!E$72</f>
        <v>199103.10885575155</v>
      </c>
      <c r="E104" s="162">
        <f>+'CILC-1T'!F$72</f>
        <v>202044.20435800703</v>
      </c>
      <c r="F104" s="162">
        <f>+'CILC-1T'!G$72</f>
        <v>201089.4628712103</v>
      </c>
      <c r="G104" s="162">
        <f>+'CILC-1T'!H$72</f>
        <v>208825.42964257335</v>
      </c>
      <c r="H104" s="162">
        <f>+'CILC-1T'!I$72</f>
        <v>203113.59807110066</v>
      </c>
      <c r="I104" s="162">
        <f>+'CILC-1T'!J$72</f>
        <v>200233.39566681464</v>
      </c>
      <c r="J104" s="162">
        <f>+'CILC-1T'!K$72</f>
        <v>219013.02650990119</v>
      </c>
      <c r="K104" s="162">
        <f>+'CILC-1T'!L$72</f>
        <v>203268.18061016209</v>
      </c>
      <c r="L104" s="162">
        <f>+'CILC-1T'!M$72</f>
        <v>216111.1289084258</v>
      </c>
      <c r="M104" s="162">
        <f>+'CILC-1T'!N$72</f>
        <v>211366.07241254897</v>
      </c>
      <c r="N104" s="162">
        <f t="shared" si="20"/>
        <v>2477275.7556352015</v>
      </c>
      <c r="O104" s="158">
        <f t="shared" si="21"/>
        <v>219013.02650990119</v>
      </c>
      <c r="P104" s="159">
        <f t="shared" si="22"/>
        <v>9.1988740672950108E-3</v>
      </c>
      <c r="Q104" s="154"/>
      <c r="R104" s="197">
        <v>248863.15845851868</v>
      </c>
      <c r="S104" s="198">
        <v>6.5542578457231434E-3</v>
      </c>
    </row>
    <row r="105" spans="1:19" s="112" customFormat="1">
      <c r="A105" s="163" t="s">
        <v>49</v>
      </c>
      <c r="B105" s="162">
        <f>+'GS(T)-1'!C$73</f>
        <v>1037266.4961644633</v>
      </c>
      <c r="C105" s="162">
        <f>+'GS(T)-1'!D$73</f>
        <v>1047194.8134079314</v>
      </c>
      <c r="D105" s="162">
        <f>+'GS(T)-1'!E$73</f>
        <v>949726.58097520657</v>
      </c>
      <c r="E105" s="162">
        <f>+'GS(T)-1'!F$73</f>
        <v>1097668.0865012596</v>
      </c>
      <c r="F105" s="162">
        <f>+'GS(T)-1'!G$73</f>
        <v>1160990.2290927269</v>
      </c>
      <c r="G105" s="162">
        <f>+'GS(T)-1'!H$73</f>
        <v>1300351.4494133252</v>
      </c>
      <c r="H105" s="162">
        <f>+'GS(T)-1'!I$73</f>
        <v>1292281.4120257662</v>
      </c>
      <c r="I105" s="162">
        <f>+'GS(T)-1'!J$73</f>
        <v>1319438.5177063679</v>
      </c>
      <c r="J105" s="162">
        <f>+'GS(T)-1'!K$73</f>
        <v>1306475.6038530883</v>
      </c>
      <c r="K105" s="162">
        <f>+'GS(T)-1'!L$73</f>
        <v>1192498.2355266109</v>
      </c>
      <c r="L105" s="162">
        <f>+'GS(T)-1'!M$73</f>
        <v>1108262.1057331755</v>
      </c>
      <c r="M105" s="162">
        <f>+'GS(T)-1'!N$73</f>
        <v>1057443.4326390622</v>
      </c>
      <c r="N105" s="162">
        <f t="shared" si="20"/>
        <v>13869596.963038983</v>
      </c>
      <c r="O105" s="158">
        <f t="shared" si="21"/>
        <v>1319438.5177063679</v>
      </c>
      <c r="P105" s="159">
        <f t="shared" si="22"/>
        <v>5.5418387469160738E-2</v>
      </c>
      <c r="Q105" s="154"/>
      <c r="R105" s="197">
        <v>1319919.0671032353</v>
      </c>
      <c r="S105" s="198">
        <v>4.8679488836756178E-2</v>
      </c>
    </row>
    <row r="106" spans="1:19" s="112" customFormat="1">
      <c r="A106" s="163" t="s">
        <v>325</v>
      </c>
      <c r="B106" s="162">
        <f>+'GSCU-1'!C$73</f>
        <v>8531.748535400835</v>
      </c>
      <c r="C106" s="162">
        <f>+'GSCU-1'!D$73</f>
        <v>9067.9539690662405</v>
      </c>
      <c r="D106" s="162">
        <f>+'GSCU-1'!E$73</f>
        <v>8949.1726749414593</v>
      </c>
      <c r="E106" s="162">
        <f>+'GSCU-1'!F$73</f>
        <v>8663.9866414519947</v>
      </c>
      <c r="F106" s="162">
        <f>+'GSCU-1'!G$73</f>
        <v>8821.7218010160232</v>
      </c>
      <c r="G106" s="162">
        <f>+'GSCU-1'!H$73</f>
        <v>8721.7268171029773</v>
      </c>
      <c r="H106" s="162">
        <f>+'GSCU-1'!I$73</f>
        <v>8548.9609338665232</v>
      </c>
      <c r="I106" s="162">
        <f>+'GSCU-1'!J$73</f>
        <v>8851.5968546986278</v>
      </c>
      <c r="J106" s="162">
        <f>+'GSCU-1'!K$73</f>
        <v>8415.6707327519671</v>
      </c>
      <c r="K106" s="162">
        <f>+'GSCU-1'!L$73</f>
        <v>8231.2436242605145</v>
      </c>
      <c r="L106" s="162">
        <f>+'GSCU-1'!M$73</f>
        <v>8412.0904963775683</v>
      </c>
      <c r="M106" s="162">
        <f>+'GSCU-1'!N$73</f>
        <v>8346.6997791423055</v>
      </c>
      <c r="N106" s="162">
        <f t="shared" si="20"/>
        <v>103562.57286007704</v>
      </c>
      <c r="O106" s="158">
        <f t="shared" si="21"/>
        <v>9067.9539690662405</v>
      </c>
      <c r="P106" s="159">
        <f t="shared" si="22"/>
        <v>3.8086760380756283E-4</v>
      </c>
      <c r="Q106" s="154"/>
      <c r="R106" s="197">
        <v>4165.658771748047</v>
      </c>
      <c r="S106" s="198">
        <v>9.9432619672031332E-5</v>
      </c>
    </row>
    <row r="107" spans="1:19" s="112" customFormat="1">
      <c r="A107" s="163" t="s">
        <v>67</v>
      </c>
      <c r="B107" s="162">
        <f>+'GSD(T)-1'!C$73</f>
        <v>4166776.1468367078</v>
      </c>
      <c r="C107" s="162">
        <f>+'GSD(T)-1'!D$73</f>
        <v>4065345.095823904</v>
      </c>
      <c r="D107" s="162">
        <f>+'GSD(T)-1'!E$73</f>
        <v>3750526.2354018199</v>
      </c>
      <c r="E107" s="162">
        <f>+'GSD(T)-1'!F$73</f>
        <v>4088080.918029733</v>
      </c>
      <c r="F107" s="162">
        <f>+'GSD(T)-1'!G$73</f>
        <v>4359904.1155952932</v>
      </c>
      <c r="G107" s="162">
        <f>+'GSD(T)-1'!H$73</f>
        <v>4584118.0830018204</v>
      </c>
      <c r="H107" s="162">
        <f>+'GSD(T)-1'!I$73</f>
        <v>4629134.3161336724</v>
      </c>
      <c r="I107" s="162">
        <f>+'GSD(T)-1'!J$73</f>
        <v>4640186.6403206792</v>
      </c>
      <c r="J107" s="162">
        <f>+'GSD(T)-1'!K$73</f>
        <v>4701965.3420960875</v>
      </c>
      <c r="K107" s="162">
        <f>+'GSD(T)-1'!L$73</f>
        <v>4400092.8306087535</v>
      </c>
      <c r="L107" s="162">
        <f>+'GSD(T)-1'!M$73</f>
        <v>4262855.6137539707</v>
      </c>
      <c r="M107" s="162">
        <f>+'GSD(T)-1'!N$73</f>
        <v>4128154.8597730217</v>
      </c>
      <c r="N107" s="162">
        <f t="shared" si="20"/>
        <v>51777140.197375476</v>
      </c>
      <c r="O107" s="158">
        <f t="shared" si="21"/>
        <v>4701965.3420960875</v>
      </c>
      <c r="P107" s="159">
        <f t="shared" si="22"/>
        <v>0.19748956370306234</v>
      </c>
      <c r="Q107" s="154"/>
      <c r="R107" s="197">
        <v>4225289.3548750272</v>
      </c>
      <c r="S107" s="198">
        <v>0.13513361819416622</v>
      </c>
    </row>
    <row r="108" spans="1:19" s="112" customFormat="1">
      <c r="A108" s="163" t="s">
        <v>68</v>
      </c>
      <c r="B108" s="162">
        <f>+'GSLD(T)-1'!C$72</f>
        <v>1767361.5925516135</v>
      </c>
      <c r="C108" s="162">
        <f>+'GSLD(T)-1'!D$72</f>
        <v>1765052.2565956744</v>
      </c>
      <c r="D108" s="162">
        <f>+'GSLD(T)-1'!E$72</f>
        <v>1643837.8453562816</v>
      </c>
      <c r="E108" s="162">
        <f>+'GSLD(T)-1'!F$72</f>
        <v>1689945.7908110449</v>
      </c>
      <c r="F108" s="162">
        <f>+'GSLD(T)-1'!G$72</f>
        <v>1769328.3133835248</v>
      </c>
      <c r="G108" s="162">
        <f>+'GSLD(T)-1'!H$72</f>
        <v>1833451.5368590944</v>
      </c>
      <c r="H108" s="162">
        <f>+'GSLD(T)-1'!I$72</f>
        <v>1759659.0978182687</v>
      </c>
      <c r="I108" s="162">
        <f>+'GSLD(T)-1'!J$72</f>
        <v>1840238.2198085808</v>
      </c>
      <c r="J108" s="162">
        <f>+'GSLD(T)-1'!K$72</f>
        <v>1935087.724463901</v>
      </c>
      <c r="K108" s="162">
        <f>+'GSLD(T)-1'!L$72</f>
        <v>1837819.6864316307</v>
      </c>
      <c r="L108" s="162">
        <f>+'GSLD(T)-1'!M$72</f>
        <v>1838505.1342197452</v>
      </c>
      <c r="M108" s="162">
        <f>+'GSLD(T)-1'!N$72</f>
        <v>1862128.804482775</v>
      </c>
      <c r="N108" s="162">
        <f t="shared" si="20"/>
        <v>21542416.00278214</v>
      </c>
      <c r="O108" s="158">
        <f t="shared" si="21"/>
        <v>1935087.724463901</v>
      </c>
      <c r="P108" s="159">
        <f t="shared" si="22"/>
        <v>8.1276573225689652E-2</v>
      </c>
      <c r="Q108" s="154"/>
      <c r="R108" s="197">
        <v>976884.31030671962</v>
      </c>
      <c r="S108" s="198">
        <v>2.6477954229070105E-2</v>
      </c>
    </row>
    <row r="109" spans="1:19" s="112" customFormat="1">
      <c r="A109" s="163" t="s">
        <v>69</v>
      </c>
      <c r="B109" s="162">
        <f>+'GSLD(T)-2'!C$72</f>
        <v>363685.80627934641</v>
      </c>
      <c r="C109" s="162">
        <f>+'GSLD(T)-2'!D$72</f>
        <v>352139.64892819215</v>
      </c>
      <c r="D109" s="162">
        <f>+'GSLD(T)-2'!E$72</f>
        <v>327179.15437755245</v>
      </c>
      <c r="E109" s="162">
        <f>+'GSLD(T)-2'!F$72</f>
        <v>334873.32986210642</v>
      </c>
      <c r="F109" s="162">
        <f>+'GSLD(T)-2'!G$72</f>
        <v>338427.08149301959</v>
      </c>
      <c r="G109" s="162">
        <f>+'GSLD(T)-2'!H$72</f>
        <v>351856.50356811011</v>
      </c>
      <c r="H109" s="162">
        <f>+'GSLD(T)-2'!I$72</f>
        <v>356057.56071883789</v>
      </c>
      <c r="I109" s="162">
        <f>+'GSLD(T)-2'!J$72</f>
        <v>351664.65686761087</v>
      </c>
      <c r="J109" s="162">
        <f>+'GSLD(T)-2'!K$72</f>
        <v>366698.48301689303</v>
      </c>
      <c r="K109" s="162">
        <f>+'GSLD(T)-2'!L$72</f>
        <v>345943.56519292278</v>
      </c>
      <c r="L109" s="162">
        <f>+'GSLD(T)-2'!M$72</f>
        <v>360740.98819996353</v>
      </c>
      <c r="M109" s="162">
        <f>+'GSLD(T)-2'!N$72</f>
        <v>358968.3223592217</v>
      </c>
      <c r="N109" s="162">
        <f t="shared" si="20"/>
        <v>4208235.1008637771</v>
      </c>
      <c r="O109" s="158">
        <f t="shared" si="21"/>
        <v>366698.48301689303</v>
      </c>
      <c r="P109" s="159">
        <f t="shared" si="22"/>
        <v>1.5401883713012935E-2</v>
      </c>
      <c r="Q109" s="154"/>
      <c r="R109" s="197">
        <v>141362.86270845862</v>
      </c>
      <c r="S109" s="198">
        <v>4.0575218272521918E-3</v>
      </c>
    </row>
    <row r="110" spans="1:19" s="112" customFormat="1">
      <c r="A110" s="163" t="s">
        <v>52</v>
      </c>
      <c r="B110" s="162">
        <f>+'GSLD(T)-3'!C$72</f>
        <v>27881.268154221616</v>
      </c>
      <c r="C110" s="162">
        <f>+'GSLD(T)-3'!D$72</f>
        <v>36855.415748213207</v>
      </c>
      <c r="D110" s="162">
        <f>+'GSLD(T)-3'!E$72</f>
        <v>29381.307671426475</v>
      </c>
      <c r="E110" s="162">
        <f>+'GSLD(T)-3'!F$72</f>
        <v>32465.421397408139</v>
      </c>
      <c r="F110" s="162">
        <f>+'GSLD(T)-3'!G$72</f>
        <v>31697.44111915513</v>
      </c>
      <c r="G110" s="162">
        <f>+'GSLD(T)-3'!H$72</f>
        <v>34499.978206049956</v>
      </c>
      <c r="H110" s="162">
        <f>+'GSLD(T)-3'!I$72</f>
        <v>26204.764947597349</v>
      </c>
      <c r="I110" s="162">
        <f>+'GSLD(T)-3'!J$72</f>
        <v>29315.491542922355</v>
      </c>
      <c r="J110" s="162">
        <f>+'GSLD(T)-3'!K$72</f>
        <v>27882.980887254183</v>
      </c>
      <c r="K110" s="162">
        <f>+'GSLD(T)-3'!L$72</f>
        <v>27504.311042038007</v>
      </c>
      <c r="L110" s="162">
        <f>+'GSLD(T)-3'!M$72</f>
        <v>25662.405035626318</v>
      </c>
      <c r="M110" s="162">
        <f>+'GSLD(T)-3'!N$72</f>
        <v>25758.351743340467</v>
      </c>
      <c r="N110" s="162">
        <f t="shared" si="20"/>
        <v>355109.13749525329</v>
      </c>
      <c r="O110" s="158">
        <f t="shared" si="21"/>
        <v>36855.415748213207</v>
      </c>
      <c r="P110" s="159">
        <f t="shared" si="22"/>
        <v>1.5479824810798993E-3</v>
      </c>
      <c r="Q110" s="154"/>
      <c r="R110" s="197">
        <v>47688.340897675211</v>
      </c>
      <c r="S110" s="198">
        <v>1.2310216097430467E-3</v>
      </c>
    </row>
    <row r="111" spans="1:19" s="112" customFormat="1">
      <c r="A111" s="163" t="s">
        <v>15</v>
      </c>
      <c r="B111" s="162">
        <f>+MET!C$72</f>
        <v>16405.469354029377</v>
      </c>
      <c r="C111" s="162">
        <f>+MET!D$72</f>
        <v>16798.917464913317</v>
      </c>
      <c r="D111" s="162">
        <f>+MET!E$72</f>
        <v>13915.632510781281</v>
      </c>
      <c r="E111" s="162">
        <f>+MET!F$72</f>
        <v>16098.389643861741</v>
      </c>
      <c r="F111" s="162">
        <f>+MET!G$72</f>
        <v>16279.185770652499</v>
      </c>
      <c r="G111" s="162">
        <f>+MET!H$72</f>
        <v>16561.655336237865</v>
      </c>
      <c r="H111" s="162">
        <f>+MET!I$72</f>
        <v>16631.643389014404</v>
      </c>
      <c r="I111" s="162">
        <f>+MET!J$72</f>
        <v>16485.648609040738</v>
      </c>
      <c r="J111" s="162">
        <f>+MET!K$72</f>
        <v>17101.002680929632</v>
      </c>
      <c r="K111" s="162">
        <f>+MET!L$72</f>
        <v>16292.090442886734</v>
      </c>
      <c r="L111" s="162">
        <f>+MET!M$72</f>
        <v>16315.577978963482</v>
      </c>
      <c r="M111" s="162">
        <f>+MET!N$72</f>
        <v>14675.784831056417</v>
      </c>
      <c r="N111" s="162">
        <f t="shared" si="20"/>
        <v>193560.99801236749</v>
      </c>
      <c r="O111" s="158">
        <f t="shared" si="21"/>
        <v>17101.002680929632</v>
      </c>
      <c r="P111" s="159">
        <f t="shared" si="22"/>
        <v>7.1826764185295769E-4</v>
      </c>
      <c r="Q111" s="154"/>
      <c r="R111" s="197">
        <v>19189.166976287222</v>
      </c>
      <c r="S111" s="198">
        <v>5.6085749854204738E-4</v>
      </c>
    </row>
    <row r="112" spans="1:19" s="112" customFormat="1">
      <c r="A112" s="163" t="s">
        <v>56</v>
      </c>
      <c r="B112" s="162">
        <f>+'OL-1'!C$72</f>
        <v>19792.981217630091</v>
      </c>
      <c r="C112" s="162">
        <f>+'OL-1'!D$72</f>
        <v>22823.105336463726</v>
      </c>
      <c r="D112" s="162">
        <f>+'OL-1'!E$72</f>
        <v>21903.874691940029</v>
      </c>
      <c r="E112" s="162">
        <f>+'OL-1'!F$72</f>
        <v>24097.062742550355</v>
      </c>
      <c r="F112" s="162">
        <f>+'OL-1'!G$72</f>
        <v>24674.871451979074</v>
      </c>
      <c r="G112" s="162">
        <f>+'OL-1'!H$72</f>
        <v>26235.774346634145</v>
      </c>
      <c r="H112" s="162">
        <f>+'OL-1'!I$72</f>
        <v>25042.26452525302</v>
      </c>
      <c r="I112" s="162">
        <f>+'OL-1'!J$72</f>
        <v>23834.288611680935</v>
      </c>
      <c r="J112" s="162">
        <f>+'OL-1'!K$72</f>
        <v>23097.633564711916</v>
      </c>
      <c r="K112" s="162">
        <f>+'OL-1'!L$72</f>
        <v>20977.530499756325</v>
      </c>
      <c r="L112" s="162">
        <f>+'OL-1'!M$72</f>
        <v>20600.331814892688</v>
      </c>
      <c r="M112" s="162">
        <f>+'OL-1'!N$72</f>
        <v>19457.810679410817</v>
      </c>
      <c r="N112" s="162">
        <f t="shared" si="20"/>
        <v>272537.52948290308</v>
      </c>
      <c r="O112" s="158">
        <f t="shared" si="21"/>
        <v>26235.774346634145</v>
      </c>
      <c r="P112" s="159">
        <f t="shared" si="22"/>
        <v>1.1019416886682127E-3</v>
      </c>
      <c r="Q112" s="154"/>
      <c r="R112" s="197">
        <v>27401.630423001348</v>
      </c>
      <c r="S112" s="198">
        <v>6.4243818971941862E-4</v>
      </c>
    </row>
    <row r="113" spans="1:19" s="112" customFormat="1">
      <c r="A113" s="163" t="s">
        <v>57</v>
      </c>
      <c r="B113" s="162">
        <f>+'OS-2'!C$72</f>
        <v>8216.8380060371746</v>
      </c>
      <c r="C113" s="162">
        <f>+'OS-2'!D$72</f>
        <v>10718.203231117248</v>
      </c>
      <c r="D113" s="162">
        <f>+'OS-2'!E$72</f>
        <v>11798.451777802586</v>
      </c>
      <c r="E113" s="162">
        <f>+'OS-2'!F$72</f>
        <v>9068.2953246131638</v>
      </c>
      <c r="F113" s="162">
        <f>+'OS-2'!G$72</f>
        <v>8016.0459346508678</v>
      </c>
      <c r="G113" s="162">
        <f>+'OS-2'!H$72</f>
        <v>6668.8211994000994</v>
      </c>
      <c r="H113" s="162">
        <f>+'OS-2'!I$72</f>
        <v>5057.1337967218778</v>
      </c>
      <c r="I113" s="162">
        <f>+'OS-2'!J$72</f>
        <v>5686.8920436015987</v>
      </c>
      <c r="J113" s="162">
        <f>+'OS-2'!K$72</f>
        <v>8721.4854584730601</v>
      </c>
      <c r="K113" s="162">
        <f>+'OS-2'!L$72</f>
        <v>9180.7064710501545</v>
      </c>
      <c r="L113" s="162">
        <f>+'OS-2'!M$72</f>
        <v>11020.777723533552</v>
      </c>
      <c r="M113" s="162">
        <f>+'OS-2'!N$72</f>
        <v>9218.7365682158252</v>
      </c>
      <c r="N113" s="162">
        <f t="shared" si="20"/>
        <v>103372.38753521722</v>
      </c>
      <c r="O113" s="158">
        <f t="shared" si="21"/>
        <v>11798.451777802586</v>
      </c>
      <c r="P113" s="159">
        <f t="shared" si="22"/>
        <v>4.955525880016656E-4</v>
      </c>
      <c r="Q113" s="154"/>
      <c r="R113" s="197">
        <v>11463.127432288436</v>
      </c>
      <c r="S113" s="198">
        <v>3.8461168824753159E-4</v>
      </c>
    </row>
    <row r="114" spans="1:19" s="112" customFormat="1">
      <c r="A114" s="163" t="s">
        <v>48</v>
      </c>
      <c r="B114" s="162">
        <f>+'RS(T)-1'!C$72</f>
        <v>12436715.479783271</v>
      </c>
      <c r="C114" s="162">
        <f>+'RS(T)-1'!D$72</f>
        <v>10717692.831553455</v>
      </c>
      <c r="D114" s="162">
        <f>+'RS(T)-1'!E$72</f>
        <v>10208714.097423151</v>
      </c>
      <c r="E114" s="162">
        <f>+'RS(T)-1'!F$72</f>
        <v>10344494.673365265</v>
      </c>
      <c r="F114" s="162">
        <f>+'RS(T)-1'!G$72</f>
        <v>11445348.265144141</v>
      </c>
      <c r="G114" s="162">
        <f>+'RS(T)-1'!H$72</f>
        <v>12300186.666364992</v>
      </c>
      <c r="H114" s="162">
        <f>+'RS(T)-1'!I$72</f>
        <v>12735059.301057592</v>
      </c>
      <c r="I114" s="162">
        <f>+'RS(T)-1'!J$72</f>
        <v>13173312.797917232</v>
      </c>
      <c r="J114" s="162">
        <f>+'RS(T)-1'!K$72</f>
        <v>13277759.346655909</v>
      </c>
      <c r="K114" s="162">
        <f>+'RS(T)-1'!L$72</f>
        <v>11785612.851307558</v>
      </c>
      <c r="L114" s="162">
        <f>+'RS(T)-1'!M$72</f>
        <v>9985389.4595095515</v>
      </c>
      <c r="M114" s="162">
        <f>+'RS(T)-1'!N$72</f>
        <v>9221765.9555183072</v>
      </c>
      <c r="N114" s="162">
        <f t="shared" si="20"/>
        <v>137632051.72560042</v>
      </c>
      <c r="O114" s="158">
        <f t="shared" si="21"/>
        <v>13277759.346655909</v>
      </c>
      <c r="P114" s="159">
        <f t="shared" si="22"/>
        <v>0.55768571427971769</v>
      </c>
      <c r="Q114" s="154"/>
      <c r="R114" s="197">
        <v>11273194.667094544</v>
      </c>
      <c r="S114" s="198">
        <v>0.7056834082181499</v>
      </c>
    </row>
    <row r="115" spans="1:19" s="112" customFormat="1">
      <c r="A115" s="163" t="s">
        <v>53</v>
      </c>
      <c r="B115" s="162">
        <f>+'SL-1'!C$72</f>
        <v>121588.62886739362</v>
      </c>
      <c r="C115" s="162">
        <f>+'SL-1'!D$72</f>
        <v>129896.03650813719</v>
      </c>
      <c r="D115" s="162">
        <f>+'SL-1'!E$72</f>
        <v>125445.352761663</v>
      </c>
      <c r="E115" s="162">
        <f>+'SL-1'!F$72</f>
        <v>142562.10900091712</v>
      </c>
      <c r="F115" s="162">
        <f>+'SL-1'!G$72</f>
        <v>145476.63276528814</v>
      </c>
      <c r="G115" s="162">
        <f>+'SL-1'!H$72</f>
        <v>146386.42192705124</v>
      </c>
      <c r="H115" s="162">
        <f>+'SL-1'!I$72</f>
        <v>144598.50127513421</v>
      </c>
      <c r="I115" s="162">
        <f>+'SL-1'!J$72</f>
        <v>157002.30975241194</v>
      </c>
      <c r="J115" s="162">
        <f>+'SL-1'!K$72</f>
        <v>134950.17456363016</v>
      </c>
      <c r="K115" s="162">
        <f>+'SL-1'!L$72</f>
        <v>115656.6941546076</v>
      </c>
      <c r="L115" s="162">
        <f>+'SL-1'!M$72</f>
        <v>112464.68398081642</v>
      </c>
      <c r="M115" s="162">
        <f>+'SL-1'!N$72</f>
        <v>122039.48507816791</v>
      </c>
      <c r="N115" s="162">
        <f t="shared" si="20"/>
        <v>1598067.0306352186</v>
      </c>
      <c r="O115" s="158">
        <f t="shared" si="21"/>
        <v>157002.30975241194</v>
      </c>
      <c r="P115" s="159">
        <f t="shared" si="22"/>
        <v>6.5943313907019544E-3</v>
      </c>
      <c r="Q115" s="154"/>
      <c r="R115" s="197">
        <v>137726.17695053734</v>
      </c>
      <c r="S115" s="198">
        <v>3.2290252233607092E-3</v>
      </c>
    </row>
    <row r="116" spans="1:19" s="112" customFormat="1">
      <c r="A116" s="163" t="s">
        <v>55</v>
      </c>
      <c r="B116" s="162">
        <f>+'SL-2'!C$72</f>
        <v>4082.4174626986128</v>
      </c>
      <c r="C116" s="162">
        <f>+'SL-2'!D$72</f>
        <v>4175.8718451179866</v>
      </c>
      <c r="D116" s="162">
        <f>+'SL-2'!E$72</f>
        <v>4193.4220486998647</v>
      </c>
      <c r="E116" s="162">
        <f>+'SL-2'!F$72</f>
        <v>4176.6809373448541</v>
      </c>
      <c r="F116" s="162">
        <f>+'SL-2'!G$72</f>
        <v>4129.8977679217123</v>
      </c>
      <c r="G116" s="162">
        <f>+'SL-2'!H$72</f>
        <v>4089.2996824841457</v>
      </c>
      <c r="H116" s="162">
        <f>+'SL-2'!I$72</f>
        <v>4015.0511741078994</v>
      </c>
      <c r="I116" s="162">
        <f>+'SL-2'!J$72</f>
        <v>4154.4975651873465</v>
      </c>
      <c r="J116" s="162">
        <f>+'SL-2'!K$72</f>
        <v>3947.8805294235653</v>
      </c>
      <c r="K116" s="162">
        <f>+'SL-2'!L$72</f>
        <v>3870.8395149901908</v>
      </c>
      <c r="L116" s="162">
        <f>+'SL-2'!M$72</f>
        <v>3911.2214500870864</v>
      </c>
      <c r="M116" s="162">
        <f>+'SL-2'!N$72</f>
        <v>3898.09989429098</v>
      </c>
      <c r="N116" s="162">
        <f t="shared" si="20"/>
        <v>48645.179872354238</v>
      </c>
      <c r="O116" s="158">
        <f t="shared" si="21"/>
        <v>4193.4220486998647</v>
      </c>
      <c r="P116" s="159">
        <f t="shared" si="22"/>
        <v>1.761299862009094E-4</v>
      </c>
      <c r="Q116" s="154"/>
      <c r="R116" s="197">
        <v>3964.9065758260822</v>
      </c>
      <c r="S116" s="198">
        <v>9.2958242398677207E-5</v>
      </c>
    </row>
    <row r="117" spans="1:19" s="112" customFormat="1">
      <c r="A117" s="163" t="s">
        <v>87</v>
      </c>
      <c r="B117" s="162">
        <f>+'SST-1D'!C$72</f>
        <v>2094.8997814579911</v>
      </c>
      <c r="C117" s="162">
        <f>+'SST-1D'!D$72</f>
        <v>3688.2855722195604</v>
      </c>
      <c r="D117" s="162">
        <f>+'SST-1D'!E$72</f>
        <v>1559.5730910102195</v>
      </c>
      <c r="E117" s="162">
        <f>+'SST-1D'!F$72</f>
        <v>3752.7793593986644</v>
      </c>
      <c r="F117" s="162">
        <f>+'SST-1D'!G$72</f>
        <v>3780.5827207051971</v>
      </c>
      <c r="G117" s="162">
        <f>+'SST-1D'!H$72</f>
        <v>3297.8128041258406</v>
      </c>
      <c r="H117" s="162">
        <f>+'SST-1D'!I$72</f>
        <v>3153.7324038724792</v>
      </c>
      <c r="I117" s="162">
        <f>+'SST-1D'!J$72</f>
        <v>3347.9186106707912</v>
      </c>
      <c r="J117" s="162">
        <f>+'SST-1D'!K$72</f>
        <v>3632.0019128777417</v>
      </c>
      <c r="K117" s="162">
        <f>+'SST-1D'!L$72</f>
        <v>5011.848283997344</v>
      </c>
      <c r="L117" s="162">
        <f>+'SST-1D'!M$72</f>
        <v>8201.2538466420629</v>
      </c>
      <c r="M117" s="162">
        <f>+'SST-1D'!N$72</f>
        <v>2237.9847529906792</v>
      </c>
      <c r="N117" s="162">
        <f t="shared" si="20"/>
        <v>43758.673139968574</v>
      </c>
      <c r="O117" s="158">
        <f t="shared" si="21"/>
        <v>8201.2538466420629</v>
      </c>
      <c r="P117" s="159">
        <f t="shared" si="22"/>
        <v>3.4446490481135155E-4</v>
      </c>
      <c r="Q117" s="154"/>
      <c r="R117" s="197">
        <v>2710.9018027015977</v>
      </c>
      <c r="S117" s="198">
        <v>6.7071937024415032E-5</v>
      </c>
    </row>
    <row r="118" spans="1:19" s="112" customFormat="1">
      <c r="A118" s="163" t="s">
        <v>88</v>
      </c>
      <c r="B118" s="162">
        <f>+'SST-1T'!C$72</f>
        <v>27161.062652635697</v>
      </c>
      <c r="C118" s="162">
        <f>+'SST-1T'!D$72</f>
        <v>35824.269817482767</v>
      </c>
      <c r="D118" s="162">
        <f>+'SST-1T'!E$72</f>
        <v>51499.060994838066</v>
      </c>
      <c r="E118" s="162">
        <f>+'SST-1T'!F$72</f>
        <v>38254.510631621291</v>
      </c>
      <c r="F118" s="162">
        <f>+'SST-1T'!G$72</f>
        <v>51961.080237677292</v>
      </c>
      <c r="G118" s="162">
        <f>+'SST-1T'!H$72</f>
        <v>42020.066943799779</v>
      </c>
      <c r="H118" s="162">
        <f>+'SST-1T'!I$72</f>
        <v>27417.529125675705</v>
      </c>
      <c r="I118" s="162">
        <f>+'SST-1T'!J$72</f>
        <v>33207.601247620143</v>
      </c>
      <c r="J118" s="162">
        <f>+'SST-1T'!K$72</f>
        <v>25998.538042951033</v>
      </c>
      <c r="K118" s="162">
        <f>+'SST-1T'!L$72</f>
        <v>35228.26656812647</v>
      </c>
      <c r="L118" s="162">
        <f>+'SST-1T'!M$72</f>
        <v>57625.579904252954</v>
      </c>
      <c r="M118" s="162">
        <f>+'SST-1T'!N$72</f>
        <v>29998.785873165416</v>
      </c>
      <c r="N118" s="162">
        <f t="shared" si="20"/>
        <v>456196.35203984659</v>
      </c>
      <c r="O118" s="158">
        <f t="shared" si="21"/>
        <v>57625.579904252954</v>
      </c>
      <c r="P118" s="159">
        <f t="shared" si="22"/>
        <v>2.4203603823999232E-3</v>
      </c>
      <c r="Q118" s="154"/>
      <c r="R118" s="197">
        <v>81499.823980460642</v>
      </c>
      <c r="S118" s="198">
        <v>3.366388577094038E-3</v>
      </c>
    </row>
    <row r="119" spans="1:19" s="112" customFormat="1">
      <c r="A119" s="154"/>
      <c r="B119" s="155"/>
      <c r="C119" s="155"/>
      <c r="D119" s="155"/>
      <c r="E119" s="155"/>
      <c r="F119" s="155"/>
      <c r="G119" s="155"/>
      <c r="H119" s="155"/>
      <c r="I119" s="155"/>
      <c r="J119" s="155"/>
      <c r="K119" s="155"/>
      <c r="L119" s="155"/>
      <c r="M119" s="155"/>
      <c r="N119" s="155"/>
      <c r="O119" s="164"/>
      <c r="P119" s="154"/>
      <c r="Q119" s="154"/>
      <c r="R119" s="199"/>
      <c r="S119" s="199"/>
    </row>
    <row r="120" spans="1:19" s="112" customFormat="1">
      <c r="A120" s="126" t="s">
        <v>453</v>
      </c>
      <c r="B120" s="161">
        <f t="shared" ref="B120:O120" si="23">SUM(B102:B119)</f>
        <v>20587314.27829225</v>
      </c>
      <c r="C120" s="161">
        <f t="shared" si="23"/>
        <v>18815353.337178349</v>
      </c>
      <c r="D120" s="161">
        <f t="shared" si="23"/>
        <v>17698725.317263268</v>
      </c>
      <c r="E120" s="161">
        <f t="shared" si="23"/>
        <v>18407929.456210993</v>
      </c>
      <c r="F120" s="161">
        <f t="shared" si="23"/>
        <v>19940461.343902394</v>
      </c>
      <c r="G120" s="161">
        <f t="shared" si="23"/>
        <v>21253736.990509681</v>
      </c>
      <c r="H120" s="161">
        <f t="shared" si="23"/>
        <v>21616345.453843404</v>
      </c>
      <c r="I120" s="161">
        <f t="shared" si="23"/>
        <v>22199667.420625269</v>
      </c>
      <c r="J120" s="161">
        <f t="shared" si="23"/>
        <v>22446474.109725252</v>
      </c>
      <c r="K120" s="161">
        <f t="shared" si="23"/>
        <v>20374107.597277481</v>
      </c>
      <c r="L120" s="161">
        <f t="shared" si="23"/>
        <v>18407984.258242678</v>
      </c>
      <c r="M120" s="161">
        <f t="shared" si="23"/>
        <v>17448135.681541018</v>
      </c>
      <c r="N120" s="161">
        <f t="shared" si="23"/>
        <v>239196235.24461204</v>
      </c>
      <c r="O120" s="161">
        <f t="shared" si="23"/>
        <v>22540750.552023865</v>
      </c>
      <c r="P120" s="159">
        <f>+O120/$O$135</f>
        <v>0.94674517317354234</v>
      </c>
      <c r="Q120" s="126"/>
      <c r="R120" s="200">
        <f>SUM(R102:R119)</f>
        <v>18992610.267666399</v>
      </c>
      <c r="S120" s="198">
        <v>0.98782694110598424</v>
      </c>
    </row>
    <row r="121" spans="1:19" s="112" customFormat="1">
      <c r="A121" s="125"/>
      <c r="B121" s="155"/>
      <c r="C121" s="155"/>
      <c r="D121" s="155"/>
      <c r="E121" s="155"/>
      <c r="F121" s="155"/>
      <c r="G121" s="155"/>
      <c r="H121" s="155"/>
      <c r="I121" s="155"/>
      <c r="J121" s="155"/>
      <c r="K121" s="155"/>
      <c r="L121" s="155"/>
      <c r="M121" s="155"/>
      <c r="N121" s="155"/>
      <c r="O121" s="157"/>
      <c r="P121" s="125"/>
      <c r="Q121" s="125"/>
      <c r="R121" s="201"/>
      <c r="S121" s="202"/>
    </row>
    <row r="122" spans="1:19" s="112" customFormat="1">
      <c r="A122" s="42" t="s">
        <v>86</v>
      </c>
      <c r="B122" s="155"/>
      <c r="C122" s="155"/>
      <c r="D122" s="155"/>
      <c r="E122" s="155"/>
      <c r="F122" s="155"/>
      <c r="G122" s="155"/>
      <c r="H122" s="155"/>
      <c r="I122" s="155"/>
      <c r="J122" s="155"/>
      <c r="K122" s="155"/>
      <c r="L122" s="155"/>
      <c r="M122" s="155"/>
      <c r="N122" s="155"/>
      <c r="O122" s="157"/>
      <c r="P122" s="125"/>
      <c r="Q122" s="125"/>
      <c r="R122" s="201"/>
      <c r="S122" s="202"/>
    </row>
    <row r="123" spans="1:19" s="112" customFormat="1">
      <c r="A123" s="163" t="s">
        <v>1055</v>
      </c>
      <c r="B123" s="162">
        <f>BLOUNTSTOWN!C67</f>
        <v>0</v>
      </c>
      <c r="C123" s="162">
        <f>BLOUNTSTOWN!D67</f>
        <v>0</v>
      </c>
      <c r="D123" s="162">
        <f>BLOUNTSTOWN!E67</f>
        <v>0</v>
      </c>
      <c r="E123" s="162">
        <f>BLOUNTSTOWN!F67</f>
        <v>0</v>
      </c>
      <c r="F123" s="162">
        <f>BLOUNTSTOWN!G67</f>
        <v>0</v>
      </c>
      <c r="G123" s="162">
        <f>BLOUNTSTOWN!H67</f>
        <v>0</v>
      </c>
      <c r="H123" s="162">
        <f>BLOUNTSTOWN!I67</f>
        <v>0</v>
      </c>
      <c r="I123" s="162">
        <f>BLOUNTSTOWN!J67</f>
        <v>0</v>
      </c>
      <c r="J123" s="162">
        <f>BLOUNTSTOWN!K67</f>
        <v>0</v>
      </c>
      <c r="K123" s="162">
        <f>BLOUNTSTOWN!L67</f>
        <v>0</v>
      </c>
      <c r="L123" s="162">
        <f>BLOUNTSTOWN!M67</f>
        <v>0</v>
      </c>
      <c r="M123" s="162">
        <f>BLOUNTSTOWN!N67</f>
        <v>0</v>
      </c>
      <c r="N123" s="162">
        <f>SUM(B123:M123)</f>
        <v>0</v>
      </c>
      <c r="O123" s="158">
        <f>MAX(B123:M123)</f>
        <v>0</v>
      </c>
      <c r="P123" s="159">
        <f t="shared" ref="P123:P131" si="24">+O123/$O$135</f>
        <v>0</v>
      </c>
      <c r="Q123" s="154"/>
      <c r="R123" s="203">
        <f>193266.867317667-45000</f>
        <v>148266.867317667</v>
      </c>
      <c r="S123" s="198">
        <f>+R123/$R$90</f>
        <v>7.5988221278545749E-3</v>
      </c>
    </row>
    <row r="124" spans="1:19" s="112" customFormat="1">
      <c r="A124" s="163" t="s">
        <v>485</v>
      </c>
      <c r="B124" s="162">
        <f>FKEC!C67</f>
        <v>128262.45306079926</v>
      </c>
      <c r="C124" s="162">
        <f>FKEC!D67</f>
        <v>126863.56778393018</v>
      </c>
      <c r="D124" s="162">
        <f>FKEC!E67</f>
        <v>134261.20984418743</v>
      </c>
      <c r="E124" s="162">
        <f>FKEC!F67</f>
        <v>139556.88389403324</v>
      </c>
      <c r="F124" s="162">
        <f>FKEC!G67</f>
        <v>152800.28208346051</v>
      </c>
      <c r="G124" s="162">
        <f>FKEC!H67</f>
        <v>156287.82770856516</v>
      </c>
      <c r="H124" s="162">
        <f>FKEC!I67</f>
        <v>165140</v>
      </c>
      <c r="I124" s="162">
        <f>FKEC!J67</f>
        <v>163543.32227292401</v>
      </c>
      <c r="J124" s="162">
        <f>FKEC!K67</f>
        <v>154353.87632611097</v>
      </c>
      <c r="K124" s="162">
        <f>FKEC!L67</f>
        <v>139448.18924483523</v>
      </c>
      <c r="L124" s="162">
        <f>FKEC!M67</f>
        <v>124588.83865612792</v>
      </c>
      <c r="M124" s="162">
        <f>FKEC!N67</f>
        <v>129312.56236045343</v>
      </c>
      <c r="N124" s="162">
        <f>SUM(B124:M124)</f>
        <v>1714419.0132354272</v>
      </c>
      <c r="O124" s="158">
        <f>MAX(B124:M124)</f>
        <v>165140</v>
      </c>
      <c r="P124" s="159">
        <f t="shared" si="24"/>
        <v>6.9361265294620366E-3</v>
      </c>
      <c r="Q124" s="125"/>
      <c r="R124" s="203">
        <v>45000</v>
      </c>
      <c r="S124" s="198">
        <f>+R124/$R$90</f>
        <v>2.3062940624544413E-3</v>
      </c>
    </row>
    <row r="125" spans="1:19" s="112" customFormat="1">
      <c r="A125" s="163" t="s">
        <v>1057</v>
      </c>
      <c r="B125" s="162">
        <f>HOMESTEAD!C67</f>
        <v>24000</v>
      </c>
      <c r="C125" s="162">
        <f>HOMESTEAD!D67</f>
        <v>0</v>
      </c>
      <c r="D125" s="162">
        <f>HOMESTEAD!E67</f>
        <v>0</v>
      </c>
      <c r="E125" s="162">
        <f>HOMESTEAD!F67</f>
        <v>0</v>
      </c>
      <c r="F125" s="162">
        <f>HOMESTEAD!G67</f>
        <v>0</v>
      </c>
      <c r="G125" s="162">
        <f>HOMESTEAD!H67</f>
        <v>0</v>
      </c>
      <c r="H125" s="162">
        <f>HOMESTEAD!I67</f>
        <v>0</v>
      </c>
      <c r="I125" s="162">
        <f>HOMESTEAD!J67</f>
        <v>24000</v>
      </c>
      <c r="J125" s="162">
        <f>HOMESTEAD!K67</f>
        <v>0</v>
      </c>
      <c r="K125" s="162">
        <f>HOMESTEAD!L67</f>
        <v>0</v>
      </c>
      <c r="L125" s="162">
        <f>HOMESTEAD!M67</f>
        <v>0</v>
      </c>
      <c r="M125" s="162">
        <f>HOMESTEAD!N67</f>
        <v>0</v>
      </c>
      <c r="N125" s="162">
        <f t="shared" ref="N125:N126" si="25">SUM(B125:M125)</f>
        <v>48000</v>
      </c>
      <c r="O125" s="158">
        <f t="shared" ref="O125:O126" si="26">MAX(B125:M125)</f>
        <v>24000</v>
      </c>
      <c r="P125" s="159">
        <f t="shared" si="24"/>
        <v>1.008035828430961E-3</v>
      </c>
      <c r="Q125" s="125"/>
      <c r="R125" s="203"/>
      <c r="S125" s="198"/>
    </row>
    <row r="126" spans="1:19" s="112" customFormat="1">
      <c r="A126" s="163" t="s">
        <v>487</v>
      </c>
      <c r="B126" s="162">
        <f>LCEC!C68</f>
        <v>752853</v>
      </c>
      <c r="C126" s="162">
        <f>LCEC!D68</f>
        <v>673351</v>
      </c>
      <c r="D126" s="162">
        <f>LCEC!E68</f>
        <v>620165</v>
      </c>
      <c r="E126" s="162">
        <f>LCEC!F68</f>
        <v>636181</v>
      </c>
      <c r="F126" s="162">
        <f>LCEC!G68</f>
        <v>724836</v>
      </c>
      <c r="G126" s="162">
        <f>LCEC!H68</f>
        <v>779270</v>
      </c>
      <c r="H126" s="162">
        <f>LCEC!I68</f>
        <v>787301</v>
      </c>
      <c r="I126" s="162">
        <f>LCEC!J68</f>
        <v>799787</v>
      </c>
      <c r="J126" s="162">
        <f>LCEC!K68</f>
        <v>764382</v>
      </c>
      <c r="K126" s="162">
        <f>LCEC!L68</f>
        <v>715634</v>
      </c>
      <c r="L126" s="162">
        <f>LCEC!M68</f>
        <v>586948</v>
      </c>
      <c r="M126" s="162">
        <f>LCEC!N68</f>
        <v>555803</v>
      </c>
      <c r="N126" s="162">
        <f t="shared" si="25"/>
        <v>8396511</v>
      </c>
      <c r="O126" s="158">
        <f t="shared" si="26"/>
        <v>799787</v>
      </c>
      <c r="P126" s="159">
        <f t="shared" si="24"/>
        <v>3.3592247963054704E-2</v>
      </c>
      <c r="Q126" s="125"/>
      <c r="R126" s="197">
        <v>1360.840019478341</v>
      </c>
      <c r="S126" s="198">
        <f>+R126/$R$90</f>
        <v>6.974438348607299E-5</v>
      </c>
    </row>
    <row r="127" spans="1:19" s="112" customFormat="1">
      <c r="A127" s="163" t="s">
        <v>1053</v>
      </c>
      <c r="B127" s="162">
        <f>'NEW SMYRNA'!C67</f>
        <v>0</v>
      </c>
      <c r="C127" s="162">
        <f>'NEW SMYRNA'!D67</f>
        <v>0</v>
      </c>
      <c r="D127" s="162">
        <f>'NEW SMYRNA'!E67</f>
        <v>0</v>
      </c>
      <c r="E127" s="162">
        <f>'NEW SMYRNA'!F67</f>
        <v>0</v>
      </c>
      <c r="F127" s="162">
        <f>'NEW SMYRNA'!G67</f>
        <v>0</v>
      </c>
      <c r="G127" s="162">
        <f>'NEW SMYRNA'!H67</f>
        <v>0</v>
      </c>
      <c r="H127" s="162">
        <f>'NEW SMYRNA'!I67</f>
        <v>0</v>
      </c>
      <c r="I127" s="162">
        <f>'NEW SMYRNA'!J67</f>
        <v>0</v>
      </c>
      <c r="J127" s="162">
        <f>'NEW SMYRNA'!K67</f>
        <v>0</v>
      </c>
      <c r="K127" s="162">
        <f>'NEW SMYRNA'!L67</f>
        <v>0</v>
      </c>
      <c r="L127" s="162">
        <f>'NEW SMYRNA'!M67</f>
        <v>0</v>
      </c>
      <c r="M127" s="162">
        <f>'NEW SMYRNA'!N67</f>
        <v>0</v>
      </c>
      <c r="N127" s="162">
        <f t="shared" ref="N127:N131" si="27">SUM(B127:M127)</f>
        <v>0</v>
      </c>
      <c r="O127" s="158">
        <f t="shared" ref="O127:O131" si="28">MAX(B127:M127)</f>
        <v>0</v>
      </c>
      <c r="P127" s="159">
        <f t="shared" si="24"/>
        <v>0</v>
      </c>
      <c r="Q127" s="125"/>
      <c r="R127" s="197">
        <v>249584.36048361912</v>
      </c>
      <c r="S127" s="198">
        <f>+R127/$R$90</f>
        <v>1.2791442859219104E-2</v>
      </c>
    </row>
    <row r="128" spans="1:19" s="112" customFormat="1">
      <c r="A128" s="163" t="s">
        <v>1058</v>
      </c>
      <c r="B128" s="162">
        <f>QUINCY!C67</f>
        <v>19000</v>
      </c>
      <c r="C128" s="162">
        <f>QUINCY!D67</f>
        <v>0</v>
      </c>
      <c r="D128" s="162">
        <f>QUINCY!E67</f>
        <v>0</v>
      </c>
      <c r="E128" s="162">
        <f>QUINCY!F67</f>
        <v>0</v>
      </c>
      <c r="F128" s="162">
        <f>QUINCY!G67</f>
        <v>0</v>
      </c>
      <c r="G128" s="162">
        <f>QUINCY!H67</f>
        <v>0</v>
      </c>
      <c r="H128" s="162">
        <f>QUINCY!I67</f>
        <v>0</v>
      </c>
      <c r="I128" s="162">
        <f>QUINCY!J67</f>
        <v>19000</v>
      </c>
      <c r="J128" s="162">
        <f>QUINCY!K67</f>
        <v>0</v>
      </c>
      <c r="K128" s="162">
        <f>QUINCY!L67</f>
        <v>0</v>
      </c>
      <c r="L128" s="162">
        <f>QUINCY!M67</f>
        <v>0</v>
      </c>
      <c r="M128" s="162">
        <f>QUINCY!N67</f>
        <v>0</v>
      </c>
      <c r="N128" s="162">
        <f t="shared" si="27"/>
        <v>38000</v>
      </c>
      <c r="O128" s="158">
        <f t="shared" si="28"/>
        <v>19000</v>
      </c>
      <c r="P128" s="159">
        <f t="shared" si="24"/>
        <v>7.9802836417451075E-4</v>
      </c>
      <c r="Q128" s="125"/>
      <c r="R128" s="197"/>
      <c r="S128" s="198"/>
    </row>
    <row r="129" spans="1:19" s="112" customFormat="1">
      <c r="A129" s="163" t="s">
        <v>489</v>
      </c>
      <c r="B129" s="156">
        <f>SEMINOLE!C68</f>
        <v>200000</v>
      </c>
      <c r="C129" s="156">
        <f>SEMINOLE!D68</f>
        <v>200000</v>
      </c>
      <c r="D129" s="156">
        <f>SEMINOLE!E68</f>
        <v>200000</v>
      </c>
      <c r="E129" s="156">
        <f>SEMINOLE!F68</f>
        <v>200000</v>
      </c>
      <c r="F129" s="156">
        <f>SEMINOLE!G68</f>
        <v>200000</v>
      </c>
      <c r="G129" s="156">
        <f>SEMINOLE!H68</f>
        <v>200000</v>
      </c>
      <c r="H129" s="156">
        <f>SEMINOLE!I68</f>
        <v>200000</v>
      </c>
      <c r="I129" s="156">
        <f>SEMINOLE!J68</f>
        <v>200000</v>
      </c>
      <c r="J129" s="156">
        <f>SEMINOLE!K68</f>
        <v>200000</v>
      </c>
      <c r="K129" s="156">
        <f>SEMINOLE!L68</f>
        <v>200000</v>
      </c>
      <c r="L129" s="156">
        <f>SEMINOLE!M68</f>
        <v>200000</v>
      </c>
      <c r="M129" s="156">
        <f>SEMINOLE!N68</f>
        <v>200000</v>
      </c>
      <c r="N129" s="162">
        <f t="shared" si="27"/>
        <v>2400000</v>
      </c>
      <c r="O129" s="158">
        <f t="shared" si="28"/>
        <v>200000</v>
      </c>
      <c r="P129" s="159">
        <f t="shared" si="24"/>
        <v>8.400298570258008E-3</v>
      </c>
      <c r="Q129" s="125"/>
      <c r="R129" s="197">
        <v>75000</v>
      </c>
      <c r="S129" s="198">
        <f>+R129/$R$90</f>
        <v>3.8438234374240689E-3</v>
      </c>
    </row>
    <row r="130" spans="1:19" s="112" customFormat="1">
      <c r="A130" s="163" t="s">
        <v>1054</v>
      </c>
      <c r="B130" s="156">
        <f>WAUCHULA!C64</f>
        <v>0</v>
      </c>
      <c r="C130" s="156">
        <f>WAUCHULA!D64</f>
        <v>0</v>
      </c>
      <c r="D130" s="156">
        <f>WAUCHULA!E64</f>
        <v>0</v>
      </c>
      <c r="E130" s="156">
        <f>WAUCHULA!F64</f>
        <v>0</v>
      </c>
      <c r="F130" s="156">
        <f>WAUCHULA!G64</f>
        <v>0</v>
      </c>
      <c r="G130" s="156">
        <f>WAUCHULA!H64</f>
        <v>0</v>
      </c>
      <c r="H130" s="156">
        <f>WAUCHULA!I64</f>
        <v>0</v>
      </c>
      <c r="I130" s="156">
        <f>WAUCHULA!J64</f>
        <v>0</v>
      </c>
      <c r="J130" s="156">
        <f>WAUCHULA!K64</f>
        <v>0</v>
      </c>
      <c r="K130" s="156">
        <f>WAUCHULA!L64</f>
        <v>0</v>
      </c>
      <c r="L130" s="156">
        <f>WAUCHULA!M64</f>
        <v>0</v>
      </c>
      <c r="M130" s="156">
        <f>WAUCHULA!N64</f>
        <v>0</v>
      </c>
      <c r="N130" s="162">
        <f t="shared" si="27"/>
        <v>0</v>
      </c>
      <c r="O130" s="158">
        <f t="shared" si="28"/>
        <v>0</v>
      </c>
      <c r="P130" s="159">
        <f t="shared" si="24"/>
        <v>0</v>
      </c>
      <c r="Q130" s="125"/>
      <c r="R130" s="197"/>
      <c r="S130" s="198"/>
    </row>
    <row r="131" spans="1:19" s="112" customFormat="1">
      <c r="A131" s="163" t="s">
        <v>1056</v>
      </c>
      <c r="B131" s="156">
        <f>'WINTER PARK'!C67</f>
        <v>60000</v>
      </c>
      <c r="C131" s="156">
        <f>'WINTER PARK'!D67</f>
        <v>0</v>
      </c>
      <c r="D131" s="156">
        <f>'WINTER PARK'!E67</f>
        <v>0</v>
      </c>
      <c r="E131" s="156">
        <f>'WINTER PARK'!F67</f>
        <v>0</v>
      </c>
      <c r="F131" s="156">
        <f>'WINTER PARK'!G67</f>
        <v>0</v>
      </c>
      <c r="G131" s="156">
        <f>'WINTER PARK'!H67</f>
        <v>0</v>
      </c>
      <c r="H131" s="156">
        <f>'WINTER PARK'!I67</f>
        <v>0</v>
      </c>
      <c r="I131" s="156">
        <f>'WINTER PARK'!J67</f>
        <v>60000</v>
      </c>
      <c r="J131" s="156">
        <f>'WINTER PARK'!K67</f>
        <v>0</v>
      </c>
      <c r="K131" s="156">
        <f>'WINTER PARK'!L67</f>
        <v>0</v>
      </c>
      <c r="L131" s="156">
        <f>'WINTER PARK'!M67</f>
        <v>0</v>
      </c>
      <c r="M131" s="156">
        <f>'WINTER PARK'!N67</f>
        <v>0</v>
      </c>
      <c r="N131" s="162">
        <f t="shared" si="27"/>
        <v>120000</v>
      </c>
      <c r="O131" s="158">
        <f t="shared" si="28"/>
        <v>60000</v>
      </c>
      <c r="P131" s="159">
        <f t="shared" si="24"/>
        <v>2.5200895710774025E-3</v>
      </c>
      <c r="Q131" s="125"/>
      <c r="R131" s="197"/>
      <c r="S131" s="198"/>
    </row>
    <row r="132" spans="1:19" s="112" customFormat="1">
      <c r="A132" s="125"/>
      <c r="B132" s="155"/>
      <c r="C132" s="155"/>
      <c r="D132" s="155"/>
      <c r="E132" s="155"/>
      <c r="F132" s="155"/>
      <c r="G132" s="155"/>
      <c r="H132" s="155"/>
      <c r="I132" s="155"/>
      <c r="J132" s="155"/>
      <c r="K132" s="155"/>
      <c r="L132" s="155"/>
      <c r="M132" s="155"/>
      <c r="N132" s="155"/>
      <c r="O132" s="157"/>
      <c r="P132" s="125"/>
      <c r="Q132" s="125"/>
      <c r="R132" s="201"/>
      <c r="S132" s="198"/>
    </row>
    <row r="133" spans="1:19" s="112" customFormat="1">
      <c r="A133" s="126" t="s">
        <v>509</v>
      </c>
      <c r="B133" s="161">
        <f t="shared" ref="B133:O133" si="29">SUM(B123:B132)</f>
        <v>1184115.4530607993</v>
      </c>
      <c r="C133" s="161">
        <f t="shared" si="29"/>
        <v>1000214.5677839302</v>
      </c>
      <c r="D133" s="161">
        <f t="shared" si="29"/>
        <v>954426.20984418737</v>
      </c>
      <c r="E133" s="161">
        <f t="shared" si="29"/>
        <v>975737.88389403326</v>
      </c>
      <c r="F133" s="161">
        <f t="shared" si="29"/>
        <v>1077636.2820834606</v>
      </c>
      <c r="G133" s="161">
        <f t="shared" si="29"/>
        <v>1135557.8277085652</v>
      </c>
      <c r="H133" s="161">
        <f t="shared" si="29"/>
        <v>1152441</v>
      </c>
      <c r="I133" s="161">
        <f t="shared" si="29"/>
        <v>1266330.322272924</v>
      </c>
      <c r="J133" s="161">
        <f t="shared" si="29"/>
        <v>1118735.8763261109</v>
      </c>
      <c r="K133" s="161">
        <f t="shared" si="29"/>
        <v>1055082.1892448352</v>
      </c>
      <c r="L133" s="161">
        <f t="shared" si="29"/>
        <v>911536.83865612792</v>
      </c>
      <c r="M133" s="161">
        <f t="shared" si="29"/>
        <v>885115.56236045342</v>
      </c>
      <c r="N133" s="161">
        <f t="shared" si="29"/>
        <v>12716930.013235427</v>
      </c>
      <c r="O133" s="161">
        <f t="shared" si="29"/>
        <v>1267927</v>
      </c>
      <c r="P133" s="159">
        <f>+O133/$O$135</f>
        <v>5.3254826826457623E-2</v>
      </c>
      <c r="Q133" s="126"/>
      <c r="R133" s="200">
        <f>SUM(R123:R132)</f>
        <v>519212.0678207645</v>
      </c>
      <c r="S133" s="198">
        <f>+R133/$R$90</f>
        <v>2.6610126870438264E-2</v>
      </c>
    </row>
    <row r="134" spans="1:19" s="112" customFormat="1">
      <c r="A134" s="125"/>
      <c r="B134" s="155"/>
      <c r="C134" s="155"/>
      <c r="D134" s="155"/>
      <c r="E134" s="155"/>
      <c r="F134" s="155"/>
      <c r="G134" s="155"/>
      <c r="H134" s="155"/>
      <c r="I134" s="155"/>
      <c r="J134" s="155"/>
      <c r="K134" s="155"/>
      <c r="L134" s="155"/>
      <c r="M134" s="155"/>
      <c r="N134" s="155"/>
      <c r="O134" s="157"/>
      <c r="P134" s="125"/>
      <c r="Q134" s="125"/>
      <c r="R134" s="201"/>
      <c r="S134" s="198"/>
    </row>
    <row r="135" spans="1:19" s="112" customFormat="1" ht="13.8" thickBot="1">
      <c r="A135" s="126" t="s">
        <v>497</v>
      </c>
      <c r="B135" s="160">
        <f t="shared" ref="B135:O135" si="30">+B120+B133</f>
        <v>21771429.731353048</v>
      </c>
      <c r="C135" s="160">
        <f t="shared" si="30"/>
        <v>19815567.904962279</v>
      </c>
      <c r="D135" s="160">
        <f t="shared" si="30"/>
        <v>18653151.527107455</v>
      </c>
      <c r="E135" s="160">
        <f t="shared" si="30"/>
        <v>19383667.340105027</v>
      </c>
      <c r="F135" s="160">
        <f t="shared" si="30"/>
        <v>21018097.625985853</v>
      </c>
      <c r="G135" s="160">
        <f t="shared" si="30"/>
        <v>22389294.818218246</v>
      </c>
      <c r="H135" s="160">
        <f t="shared" si="30"/>
        <v>22768786.453843404</v>
      </c>
      <c r="I135" s="160">
        <f t="shared" si="30"/>
        <v>23465997.742898192</v>
      </c>
      <c r="J135" s="160">
        <f t="shared" si="30"/>
        <v>23565209.986051362</v>
      </c>
      <c r="K135" s="160">
        <f t="shared" si="30"/>
        <v>21429189.786522318</v>
      </c>
      <c r="L135" s="160">
        <f t="shared" si="30"/>
        <v>19319521.096898805</v>
      </c>
      <c r="M135" s="160">
        <f t="shared" si="30"/>
        <v>18333251.243901473</v>
      </c>
      <c r="N135" s="160">
        <f t="shared" si="30"/>
        <v>251913165.25784746</v>
      </c>
      <c r="O135" s="160">
        <f t="shared" si="30"/>
        <v>23808677.552023865</v>
      </c>
      <c r="P135" s="159">
        <f>+O135/$O$135</f>
        <v>1</v>
      </c>
      <c r="Q135" s="125"/>
      <c r="R135" s="204">
        <f>+R120+R133</f>
        <v>19511822.335487165</v>
      </c>
      <c r="S135" s="198">
        <f>+R135/$R$90</f>
        <v>1</v>
      </c>
    </row>
    <row r="136" spans="1:19" s="112" customFormat="1" ht="13.8" thickTop="1">
      <c r="B136" s="156"/>
      <c r="C136" s="156"/>
      <c r="D136" s="156"/>
      <c r="E136" s="156"/>
      <c r="F136" s="156"/>
      <c r="G136" s="156"/>
      <c r="H136" s="156"/>
      <c r="I136" s="156"/>
      <c r="J136" s="156"/>
      <c r="K136" s="156"/>
      <c r="L136" s="156"/>
      <c r="M136" s="156"/>
      <c r="N136" s="156"/>
    </row>
    <row r="137" spans="1:19" s="112" customFormat="1">
      <c r="B137" s="156"/>
      <c r="C137" s="156"/>
      <c r="D137" s="156"/>
      <c r="E137" s="156"/>
      <c r="F137" s="156"/>
      <c r="G137" s="156"/>
      <c r="H137" s="156"/>
      <c r="I137" s="156"/>
      <c r="J137" s="156"/>
      <c r="K137" s="156"/>
      <c r="L137" s="156"/>
      <c r="M137" s="156"/>
      <c r="N137" s="156"/>
    </row>
    <row r="138" spans="1:19" s="112" customFormat="1">
      <c r="B138" s="156"/>
      <c r="C138" s="156"/>
      <c r="D138" s="156"/>
      <c r="E138" s="156"/>
      <c r="F138" s="156"/>
      <c r="G138" s="156"/>
      <c r="H138" s="156"/>
      <c r="I138" s="156"/>
      <c r="J138" s="156"/>
      <c r="K138" s="156"/>
      <c r="L138" s="156"/>
      <c r="M138" s="156"/>
      <c r="N138" s="156"/>
    </row>
    <row r="139" spans="1:19" s="112" customFormat="1">
      <c r="B139" s="156"/>
      <c r="C139" s="156"/>
      <c r="D139" s="156"/>
      <c r="E139" s="156"/>
      <c r="F139" s="156"/>
      <c r="G139" s="156"/>
      <c r="H139" s="156"/>
      <c r="I139" s="156"/>
      <c r="J139" s="156"/>
      <c r="K139" s="156"/>
      <c r="L139" s="156"/>
      <c r="M139" s="156"/>
      <c r="N139" s="156"/>
    </row>
    <row r="140" spans="1:19" s="112" customFormat="1">
      <c r="B140" s="156"/>
      <c r="C140" s="156"/>
      <c r="D140" s="156"/>
      <c r="E140" s="156"/>
      <c r="F140" s="156"/>
      <c r="G140" s="156"/>
      <c r="H140" s="156"/>
      <c r="I140" s="156"/>
      <c r="J140" s="156"/>
      <c r="K140" s="156"/>
      <c r="L140" s="156"/>
      <c r="M140" s="156"/>
      <c r="N140" s="156"/>
    </row>
    <row r="141" spans="1:19" s="112" customFormat="1">
      <c r="B141" s="156"/>
      <c r="C141" s="156"/>
      <c r="D141" s="156"/>
      <c r="E141" s="156"/>
      <c r="F141" s="156"/>
      <c r="G141" s="156"/>
      <c r="H141" s="156"/>
      <c r="I141" s="156"/>
      <c r="J141" s="156"/>
      <c r="K141" s="156"/>
      <c r="L141" s="156"/>
      <c r="M141" s="156"/>
      <c r="N141" s="156"/>
    </row>
    <row r="142" spans="1:19" s="112" customFormat="1">
      <c r="B142" s="156"/>
      <c r="C142" s="156"/>
      <c r="D142" s="156"/>
      <c r="E142" s="156"/>
      <c r="F142" s="156"/>
      <c r="G142" s="156"/>
      <c r="H142" s="156"/>
      <c r="I142" s="156"/>
      <c r="J142" s="156"/>
      <c r="K142" s="156"/>
      <c r="L142" s="156"/>
      <c r="M142" s="156"/>
      <c r="N142" s="156"/>
    </row>
    <row r="143" spans="1:19" s="112" customFormat="1">
      <c r="B143" s="156"/>
      <c r="C143" s="156"/>
      <c r="D143" s="156"/>
      <c r="E143" s="156"/>
      <c r="F143" s="156"/>
      <c r="G143" s="156"/>
      <c r="H143" s="156"/>
      <c r="I143" s="156"/>
      <c r="J143" s="156"/>
      <c r="K143" s="156"/>
      <c r="L143" s="156"/>
      <c r="M143" s="156"/>
      <c r="N143" s="156"/>
    </row>
    <row r="144" spans="1:19" s="112" customFormat="1">
      <c r="B144" s="156"/>
      <c r="C144" s="156"/>
      <c r="D144" s="156"/>
      <c r="E144" s="156"/>
      <c r="F144" s="156"/>
      <c r="G144" s="156"/>
      <c r="H144" s="156"/>
      <c r="I144" s="156"/>
      <c r="J144" s="156"/>
      <c r="K144" s="156"/>
      <c r="L144" s="156"/>
      <c r="M144" s="156"/>
      <c r="N144" s="156"/>
    </row>
    <row r="145" spans="2:14" s="112" customFormat="1">
      <c r="B145" s="156"/>
      <c r="C145" s="156"/>
      <c r="D145" s="156"/>
      <c r="E145" s="156"/>
      <c r="F145" s="156"/>
      <c r="G145" s="156"/>
      <c r="H145" s="156"/>
      <c r="I145" s="156"/>
      <c r="J145" s="156"/>
      <c r="K145" s="156"/>
      <c r="L145" s="156"/>
      <c r="M145" s="156"/>
      <c r="N145" s="156"/>
    </row>
    <row r="146" spans="2:14" s="112" customFormat="1">
      <c r="B146" s="156"/>
      <c r="C146" s="156"/>
      <c r="D146" s="156"/>
      <c r="E146" s="156"/>
      <c r="F146" s="156"/>
      <c r="G146" s="156"/>
      <c r="H146" s="156"/>
      <c r="I146" s="156"/>
      <c r="J146" s="156"/>
      <c r="K146" s="156"/>
      <c r="L146" s="156"/>
      <c r="M146" s="156"/>
      <c r="N146" s="156"/>
    </row>
    <row r="147" spans="2:14" s="112" customFormat="1">
      <c r="B147" s="156"/>
      <c r="C147" s="156"/>
      <c r="D147" s="156"/>
      <c r="E147" s="156"/>
      <c r="F147" s="156"/>
      <c r="G147" s="156"/>
      <c r="H147" s="156"/>
      <c r="I147" s="156"/>
      <c r="J147" s="156"/>
      <c r="K147" s="156"/>
      <c r="L147" s="156"/>
      <c r="M147" s="156"/>
      <c r="N147" s="156"/>
    </row>
    <row r="148" spans="2:14" s="112" customFormat="1">
      <c r="B148" s="156"/>
      <c r="C148" s="156"/>
      <c r="D148" s="156"/>
      <c r="E148" s="156"/>
      <c r="F148" s="156"/>
      <c r="G148" s="156"/>
      <c r="H148" s="156"/>
      <c r="I148" s="156"/>
      <c r="J148" s="156"/>
      <c r="K148" s="156"/>
      <c r="L148" s="156"/>
      <c r="M148" s="156"/>
      <c r="N148" s="156"/>
    </row>
    <row r="149" spans="2:14" s="112" customFormat="1">
      <c r="B149" s="156"/>
      <c r="C149" s="156"/>
      <c r="D149" s="156"/>
      <c r="E149" s="156"/>
      <c r="F149" s="156"/>
      <c r="G149" s="156"/>
      <c r="H149" s="156"/>
      <c r="I149" s="156"/>
      <c r="J149" s="156"/>
      <c r="K149" s="156"/>
      <c r="L149" s="156"/>
      <c r="M149" s="156"/>
      <c r="N149" s="156"/>
    </row>
    <row r="150" spans="2:14" s="112" customFormat="1">
      <c r="B150" s="156"/>
      <c r="C150" s="156"/>
      <c r="D150" s="156"/>
      <c r="E150" s="156"/>
      <c r="F150" s="156"/>
      <c r="G150" s="156"/>
      <c r="H150" s="156"/>
      <c r="I150" s="156"/>
      <c r="J150" s="156"/>
      <c r="K150" s="156"/>
      <c r="L150" s="156"/>
      <c r="M150" s="156"/>
      <c r="N150" s="156"/>
    </row>
    <row r="151" spans="2:14" s="112" customFormat="1">
      <c r="B151" s="156"/>
      <c r="C151" s="156"/>
      <c r="D151" s="156"/>
      <c r="E151" s="156"/>
      <c r="F151" s="156"/>
      <c r="G151" s="156"/>
      <c r="H151" s="156"/>
      <c r="I151" s="156"/>
      <c r="J151" s="156"/>
      <c r="K151" s="156"/>
      <c r="L151" s="156"/>
      <c r="M151" s="156"/>
      <c r="N151" s="156"/>
    </row>
    <row r="152" spans="2:14" s="112" customFormat="1">
      <c r="B152" s="156"/>
      <c r="C152" s="156"/>
      <c r="D152" s="156"/>
      <c r="E152" s="156"/>
      <c r="F152" s="156"/>
      <c r="G152" s="156"/>
      <c r="H152" s="156"/>
      <c r="I152" s="156"/>
      <c r="J152" s="156"/>
      <c r="K152" s="156"/>
      <c r="L152" s="156"/>
      <c r="M152" s="156"/>
      <c r="N152" s="156"/>
    </row>
    <row r="153" spans="2:14" s="112" customFormat="1">
      <c r="B153" s="156"/>
      <c r="C153" s="156"/>
      <c r="D153" s="156"/>
      <c r="E153" s="156"/>
      <c r="F153" s="156"/>
      <c r="G153" s="156"/>
      <c r="H153" s="156"/>
      <c r="I153" s="156"/>
      <c r="J153" s="156"/>
      <c r="K153" s="156"/>
      <c r="L153" s="156"/>
      <c r="M153" s="156"/>
      <c r="N153" s="156"/>
    </row>
    <row r="154" spans="2:14" s="112" customFormat="1">
      <c r="B154" s="156"/>
      <c r="C154" s="156"/>
      <c r="D154" s="156"/>
      <c r="E154" s="156"/>
      <c r="F154" s="156"/>
      <c r="G154" s="156"/>
      <c r="H154" s="156"/>
      <c r="I154" s="156"/>
      <c r="J154" s="156"/>
      <c r="K154" s="156"/>
      <c r="L154" s="156"/>
      <c r="M154" s="156"/>
      <c r="N154" s="156"/>
    </row>
    <row r="155" spans="2:14" s="112" customFormat="1">
      <c r="B155" s="156"/>
      <c r="C155" s="156"/>
      <c r="D155" s="156"/>
      <c r="E155" s="156"/>
      <c r="F155" s="156"/>
      <c r="G155" s="156"/>
      <c r="H155" s="156"/>
      <c r="I155" s="156"/>
      <c r="J155" s="156"/>
      <c r="K155" s="156"/>
      <c r="L155" s="156"/>
      <c r="M155" s="156"/>
      <c r="N155" s="156"/>
    </row>
    <row r="156" spans="2:14" s="112" customFormat="1">
      <c r="B156" s="156"/>
      <c r="C156" s="156"/>
      <c r="D156" s="156"/>
      <c r="E156" s="156"/>
      <c r="F156" s="156"/>
      <c r="G156" s="156"/>
      <c r="H156" s="156"/>
      <c r="I156" s="156"/>
      <c r="J156" s="156"/>
      <c r="K156" s="156"/>
      <c r="L156" s="156"/>
      <c r="M156" s="156"/>
      <c r="N156" s="156"/>
    </row>
    <row r="157" spans="2:14" s="112" customFormat="1">
      <c r="B157" s="156"/>
      <c r="C157" s="156"/>
      <c r="D157" s="156"/>
      <c r="E157" s="156"/>
      <c r="F157" s="156"/>
      <c r="G157" s="156"/>
      <c r="H157" s="156"/>
      <c r="I157" s="156"/>
      <c r="J157" s="156"/>
      <c r="K157" s="156"/>
      <c r="L157" s="156"/>
      <c r="M157" s="156"/>
      <c r="N157" s="156"/>
    </row>
    <row r="158" spans="2:14" s="112" customFormat="1">
      <c r="B158" s="156"/>
      <c r="C158" s="156"/>
      <c r="D158" s="156"/>
      <c r="E158" s="156"/>
      <c r="F158" s="156"/>
      <c r="G158" s="156"/>
      <c r="H158" s="156"/>
      <c r="I158" s="156"/>
      <c r="J158" s="156"/>
      <c r="K158" s="156"/>
      <c r="L158" s="156"/>
      <c r="M158" s="156"/>
      <c r="N158" s="156"/>
    </row>
    <row r="159" spans="2:14" s="112" customFormat="1">
      <c r="B159" s="156"/>
      <c r="C159" s="156"/>
      <c r="D159" s="156"/>
      <c r="E159" s="156"/>
      <c r="F159" s="156"/>
      <c r="G159" s="156"/>
      <c r="H159" s="156"/>
      <c r="I159" s="156"/>
      <c r="J159" s="156"/>
      <c r="K159" s="156"/>
      <c r="L159" s="156"/>
      <c r="M159" s="156"/>
      <c r="N159" s="156"/>
    </row>
    <row r="160" spans="2:14" s="112" customFormat="1">
      <c r="B160" s="156"/>
      <c r="C160" s="156"/>
      <c r="D160" s="156"/>
      <c r="E160" s="156"/>
      <c r="F160" s="156"/>
      <c r="G160" s="156"/>
      <c r="H160" s="156"/>
      <c r="I160" s="156"/>
      <c r="J160" s="156"/>
      <c r="K160" s="156"/>
      <c r="L160" s="156"/>
      <c r="M160" s="156"/>
      <c r="N160" s="156"/>
    </row>
    <row r="161" spans="2:14" s="112" customFormat="1">
      <c r="B161" s="156"/>
      <c r="C161" s="156"/>
      <c r="D161" s="156"/>
      <c r="E161" s="156"/>
      <c r="F161" s="156"/>
      <c r="G161" s="156"/>
      <c r="H161" s="156"/>
      <c r="I161" s="156"/>
      <c r="J161" s="156"/>
      <c r="K161" s="156"/>
      <c r="L161" s="156"/>
      <c r="M161" s="156"/>
      <c r="N161" s="156"/>
    </row>
    <row r="162" spans="2:14" s="112" customFormat="1">
      <c r="B162" s="156"/>
      <c r="C162" s="156"/>
      <c r="D162" s="156"/>
      <c r="E162" s="156"/>
      <c r="F162" s="156"/>
      <c r="G162" s="156"/>
      <c r="H162" s="156"/>
      <c r="I162" s="156"/>
      <c r="J162" s="156"/>
      <c r="K162" s="156"/>
      <c r="L162" s="156"/>
      <c r="M162" s="156"/>
      <c r="N162" s="156"/>
    </row>
    <row r="163" spans="2:14" s="112" customFormat="1">
      <c r="B163" s="156"/>
      <c r="C163" s="156"/>
      <c r="D163" s="156"/>
      <c r="E163" s="156"/>
      <c r="F163" s="156"/>
      <c r="G163" s="156"/>
      <c r="H163" s="156"/>
      <c r="I163" s="156"/>
      <c r="J163" s="156"/>
      <c r="K163" s="156"/>
      <c r="L163" s="156"/>
      <c r="M163" s="156"/>
      <c r="N163" s="156"/>
    </row>
    <row r="164" spans="2:14" s="112" customFormat="1">
      <c r="B164" s="156"/>
      <c r="C164" s="156"/>
      <c r="D164" s="156"/>
      <c r="E164" s="156"/>
      <c r="F164" s="156"/>
      <c r="G164" s="156"/>
      <c r="H164" s="156"/>
      <c r="I164" s="156"/>
      <c r="J164" s="156"/>
      <c r="K164" s="156"/>
      <c r="L164" s="156"/>
      <c r="M164" s="156"/>
      <c r="N164" s="156"/>
    </row>
    <row r="165" spans="2:14" s="112" customFormat="1">
      <c r="B165" s="156"/>
      <c r="C165" s="156"/>
      <c r="D165" s="156"/>
      <c r="E165" s="156"/>
      <c r="F165" s="156"/>
      <c r="G165" s="156"/>
      <c r="H165" s="156"/>
      <c r="I165" s="156"/>
      <c r="J165" s="156"/>
      <c r="K165" s="156"/>
      <c r="L165" s="156"/>
      <c r="M165" s="156"/>
      <c r="N165" s="156"/>
    </row>
    <row r="166" spans="2:14" s="112" customFormat="1">
      <c r="B166" s="156"/>
      <c r="C166" s="156"/>
      <c r="D166" s="156"/>
      <c r="E166" s="156"/>
      <c r="F166" s="156"/>
      <c r="G166" s="156"/>
      <c r="H166" s="156"/>
      <c r="I166" s="156"/>
      <c r="J166" s="156"/>
      <c r="K166" s="156"/>
      <c r="L166" s="156"/>
      <c r="M166" s="156"/>
      <c r="N166" s="156"/>
    </row>
    <row r="167" spans="2:14" s="112" customFormat="1">
      <c r="B167" s="156"/>
      <c r="C167" s="156"/>
      <c r="D167" s="156"/>
      <c r="E167" s="156"/>
      <c r="F167" s="156"/>
      <c r="G167" s="156"/>
      <c r="H167" s="156"/>
      <c r="I167" s="156"/>
      <c r="J167" s="156"/>
      <c r="K167" s="156"/>
      <c r="L167" s="156"/>
      <c r="M167" s="156"/>
      <c r="N167" s="156"/>
    </row>
    <row r="168" spans="2:14" s="112" customFormat="1">
      <c r="B168" s="156"/>
      <c r="C168" s="156"/>
      <c r="D168" s="156"/>
      <c r="E168" s="156"/>
      <c r="F168" s="156"/>
      <c r="G168" s="156"/>
      <c r="H168" s="156"/>
      <c r="I168" s="156"/>
      <c r="J168" s="156"/>
      <c r="K168" s="156"/>
      <c r="L168" s="156"/>
      <c r="M168" s="156"/>
      <c r="N168" s="156"/>
    </row>
    <row r="169" spans="2:14" s="112" customFormat="1">
      <c r="B169" s="156"/>
      <c r="C169" s="156"/>
      <c r="D169" s="156"/>
      <c r="E169" s="156"/>
      <c r="F169" s="156"/>
      <c r="G169" s="156"/>
      <c r="H169" s="156"/>
      <c r="I169" s="156"/>
      <c r="J169" s="156"/>
      <c r="K169" s="156"/>
      <c r="L169" s="156"/>
      <c r="M169" s="156"/>
      <c r="N169" s="156"/>
    </row>
    <row r="170" spans="2:14" s="112" customFormat="1">
      <c r="B170" s="156"/>
      <c r="C170" s="156"/>
      <c r="D170" s="156"/>
      <c r="E170" s="156"/>
      <c r="F170" s="156"/>
      <c r="G170" s="156"/>
      <c r="H170" s="156"/>
      <c r="I170" s="156"/>
      <c r="J170" s="156"/>
      <c r="K170" s="156"/>
      <c r="L170" s="156"/>
      <c r="M170" s="156"/>
      <c r="N170" s="156"/>
    </row>
    <row r="171" spans="2:14" s="112" customFormat="1">
      <c r="B171" s="156"/>
      <c r="C171" s="156"/>
      <c r="D171" s="156"/>
      <c r="E171" s="156"/>
      <c r="F171" s="156"/>
      <c r="G171" s="156"/>
      <c r="H171" s="156"/>
      <c r="I171" s="156"/>
      <c r="J171" s="156"/>
      <c r="K171" s="156"/>
      <c r="L171" s="156"/>
      <c r="M171" s="156"/>
      <c r="N171" s="156"/>
    </row>
    <row r="172" spans="2:14" s="112" customFormat="1">
      <c r="B172" s="156"/>
      <c r="C172" s="156"/>
      <c r="D172" s="156"/>
      <c r="E172" s="156"/>
      <c r="F172" s="156"/>
      <c r="G172" s="156"/>
      <c r="H172" s="156"/>
      <c r="I172" s="156"/>
      <c r="J172" s="156"/>
      <c r="K172" s="156"/>
      <c r="L172" s="156"/>
      <c r="M172" s="156"/>
      <c r="N172" s="156"/>
    </row>
    <row r="173" spans="2:14" s="112" customFormat="1">
      <c r="B173" s="156"/>
      <c r="C173" s="156"/>
      <c r="D173" s="156"/>
      <c r="E173" s="156"/>
      <c r="F173" s="156"/>
      <c r="G173" s="156"/>
      <c r="H173" s="156"/>
      <c r="I173" s="156"/>
      <c r="J173" s="156"/>
      <c r="K173" s="156"/>
      <c r="L173" s="156"/>
      <c r="M173" s="156"/>
      <c r="N173" s="156"/>
    </row>
    <row r="174" spans="2:14" s="112" customFormat="1">
      <c r="B174" s="156"/>
      <c r="C174" s="156"/>
      <c r="D174" s="156"/>
      <c r="E174" s="156"/>
      <c r="F174" s="156"/>
      <c r="G174" s="156"/>
      <c r="H174" s="156"/>
      <c r="I174" s="156"/>
      <c r="J174" s="156"/>
      <c r="K174" s="156"/>
      <c r="L174" s="156"/>
      <c r="M174" s="156"/>
      <c r="N174" s="156"/>
    </row>
    <row r="175" spans="2:14" s="112" customFormat="1">
      <c r="B175" s="156"/>
      <c r="C175" s="156"/>
      <c r="D175" s="156"/>
      <c r="E175" s="156"/>
      <c r="F175" s="156"/>
      <c r="G175" s="156"/>
      <c r="H175" s="156"/>
      <c r="I175" s="156"/>
      <c r="J175" s="156"/>
      <c r="K175" s="156"/>
      <c r="L175" s="156"/>
      <c r="M175" s="156"/>
      <c r="N175" s="156"/>
    </row>
    <row r="176" spans="2:14" s="112" customFormat="1">
      <c r="B176" s="156"/>
      <c r="C176" s="156"/>
      <c r="D176" s="156"/>
      <c r="E176" s="156"/>
      <c r="F176" s="156"/>
      <c r="G176" s="156"/>
      <c r="H176" s="156"/>
      <c r="I176" s="156"/>
      <c r="J176" s="156"/>
      <c r="K176" s="156"/>
      <c r="L176" s="156"/>
      <c r="M176" s="156"/>
      <c r="N176" s="156"/>
    </row>
    <row r="177" spans="2:14" s="112" customFormat="1">
      <c r="B177" s="156"/>
      <c r="C177" s="156"/>
      <c r="D177" s="156"/>
      <c r="E177" s="156"/>
      <c r="F177" s="156"/>
      <c r="G177" s="156"/>
      <c r="H177" s="156"/>
      <c r="I177" s="156"/>
      <c r="J177" s="156"/>
      <c r="K177" s="156"/>
      <c r="L177" s="156"/>
      <c r="M177" s="156"/>
      <c r="N177" s="156"/>
    </row>
    <row r="178" spans="2:14" s="112" customFormat="1">
      <c r="B178" s="156"/>
      <c r="C178" s="156"/>
      <c r="D178" s="156"/>
      <c r="E178" s="156"/>
      <c r="F178" s="156"/>
      <c r="G178" s="156"/>
      <c r="H178" s="156"/>
      <c r="I178" s="156"/>
      <c r="J178" s="156"/>
      <c r="K178" s="156"/>
      <c r="L178" s="156"/>
      <c r="M178" s="156"/>
      <c r="N178" s="156"/>
    </row>
    <row r="179" spans="2:14" s="112" customFormat="1">
      <c r="B179" s="156"/>
      <c r="C179" s="156"/>
      <c r="D179" s="156"/>
      <c r="E179" s="156"/>
      <c r="F179" s="156"/>
      <c r="G179" s="156"/>
      <c r="H179" s="156"/>
      <c r="I179" s="156"/>
      <c r="J179" s="156"/>
      <c r="K179" s="156"/>
      <c r="L179" s="156"/>
      <c r="M179" s="156"/>
      <c r="N179" s="156"/>
    </row>
    <row r="180" spans="2:14" s="112" customFormat="1">
      <c r="B180" s="156"/>
      <c r="C180" s="156"/>
      <c r="D180" s="156"/>
      <c r="E180" s="156"/>
      <c r="F180" s="156"/>
      <c r="G180" s="156"/>
      <c r="H180" s="156"/>
      <c r="I180" s="156"/>
      <c r="J180" s="156"/>
      <c r="K180" s="156"/>
      <c r="L180" s="156"/>
      <c r="M180" s="156"/>
      <c r="N180" s="156"/>
    </row>
    <row r="181" spans="2:14" s="112" customFormat="1">
      <c r="B181" s="156"/>
      <c r="C181" s="156"/>
      <c r="D181" s="156"/>
      <c r="E181" s="156"/>
      <c r="F181" s="156"/>
      <c r="G181" s="156"/>
      <c r="H181" s="156"/>
      <c r="I181" s="156"/>
      <c r="J181" s="156"/>
      <c r="K181" s="156"/>
      <c r="L181" s="156"/>
      <c r="M181" s="156"/>
      <c r="N181" s="156"/>
    </row>
    <row r="182" spans="2:14" s="112" customFormat="1">
      <c r="B182" s="156"/>
      <c r="C182" s="156"/>
      <c r="D182" s="156"/>
      <c r="E182" s="156"/>
      <c r="F182" s="156"/>
      <c r="G182" s="156"/>
      <c r="H182" s="156"/>
      <c r="I182" s="156"/>
      <c r="J182" s="156"/>
      <c r="K182" s="156"/>
      <c r="L182" s="156"/>
      <c r="M182" s="156"/>
      <c r="N182" s="156"/>
    </row>
    <row r="183" spans="2:14" s="112" customFormat="1">
      <c r="B183" s="156"/>
      <c r="C183" s="156"/>
      <c r="D183" s="156"/>
      <c r="E183" s="156"/>
      <c r="F183" s="156"/>
      <c r="G183" s="156"/>
      <c r="H183" s="156"/>
      <c r="I183" s="156"/>
      <c r="J183" s="156"/>
      <c r="K183" s="156"/>
      <c r="L183" s="156"/>
      <c r="M183" s="156"/>
      <c r="N183" s="156"/>
    </row>
    <row r="184" spans="2:14" s="112" customFormat="1">
      <c r="B184" s="156"/>
      <c r="C184" s="156"/>
      <c r="D184" s="156"/>
      <c r="E184" s="156"/>
      <c r="F184" s="156"/>
      <c r="G184" s="156"/>
      <c r="H184" s="156"/>
      <c r="I184" s="156"/>
      <c r="J184" s="156"/>
      <c r="K184" s="156"/>
      <c r="L184" s="156"/>
      <c r="M184" s="156"/>
      <c r="N184" s="156"/>
    </row>
    <row r="185" spans="2:14" s="112" customFormat="1">
      <c r="B185" s="156"/>
      <c r="C185" s="156"/>
      <c r="D185" s="156"/>
      <c r="E185" s="156"/>
      <c r="F185" s="156"/>
      <c r="G185" s="156"/>
      <c r="H185" s="156"/>
      <c r="I185" s="156"/>
      <c r="J185" s="156"/>
      <c r="K185" s="156"/>
      <c r="L185" s="156"/>
      <c r="M185" s="156"/>
      <c r="N185" s="156"/>
    </row>
    <row r="186" spans="2:14" s="112" customFormat="1">
      <c r="B186" s="156"/>
      <c r="C186" s="156"/>
      <c r="D186" s="156"/>
      <c r="E186" s="156"/>
      <c r="F186" s="156"/>
      <c r="G186" s="156"/>
      <c r="H186" s="156"/>
      <c r="I186" s="156"/>
      <c r="J186" s="156"/>
      <c r="K186" s="156"/>
      <c r="L186" s="156"/>
      <c r="M186" s="156"/>
      <c r="N186" s="156"/>
    </row>
    <row r="187" spans="2:14" s="112" customFormat="1">
      <c r="B187" s="156"/>
      <c r="C187" s="156"/>
      <c r="D187" s="156"/>
      <c r="E187" s="156"/>
      <c r="F187" s="156"/>
      <c r="G187" s="156"/>
      <c r="H187" s="156"/>
      <c r="I187" s="156"/>
      <c r="J187" s="156"/>
      <c r="K187" s="156"/>
      <c r="L187" s="156"/>
      <c r="M187" s="156"/>
      <c r="N187" s="156"/>
    </row>
    <row r="188" spans="2:14" s="112" customFormat="1">
      <c r="B188" s="156"/>
      <c r="C188" s="156"/>
      <c r="D188" s="156"/>
      <c r="E188" s="156"/>
      <c r="F188" s="156"/>
      <c r="G188" s="156"/>
      <c r="H188" s="156"/>
      <c r="I188" s="156"/>
      <c r="J188" s="156"/>
      <c r="K188" s="156"/>
      <c r="L188" s="156"/>
      <c r="M188" s="156"/>
      <c r="N188" s="156"/>
    </row>
    <row r="189" spans="2:14" s="112" customFormat="1">
      <c r="B189" s="156"/>
      <c r="C189" s="156"/>
      <c r="D189" s="156"/>
      <c r="E189" s="156"/>
      <c r="F189" s="156"/>
      <c r="G189" s="156"/>
      <c r="H189" s="156"/>
      <c r="I189" s="156"/>
      <c r="J189" s="156"/>
      <c r="K189" s="156"/>
      <c r="L189" s="156"/>
      <c r="M189" s="156"/>
      <c r="N189" s="156"/>
    </row>
    <row r="190" spans="2:14" s="112" customFormat="1">
      <c r="B190" s="156"/>
      <c r="C190" s="156"/>
      <c r="D190" s="156"/>
      <c r="E190" s="156"/>
      <c r="F190" s="156"/>
      <c r="G190" s="156"/>
      <c r="H190" s="156"/>
      <c r="I190" s="156"/>
      <c r="J190" s="156"/>
      <c r="K190" s="156"/>
      <c r="L190" s="156"/>
      <c r="M190" s="156"/>
      <c r="N190" s="156"/>
    </row>
    <row r="191" spans="2:14" s="112" customFormat="1">
      <c r="B191" s="156"/>
      <c r="C191" s="156"/>
      <c r="D191" s="156"/>
      <c r="E191" s="156"/>
      <c r="F191" s="156"/>
      <c r="G191" s="156"/>
      <c r="H191" s="156"/>
      <c r="I191" s="156"/>
      <c r="J191" s="156"/>
      <c r="K191" s="156"/>
      <c r="L191" s="156"/>
      <c r="M191" s="156"/>
      <c r="N191" s="156"/>
    </row>
    <row r="192" spans="2:14" s="112" customFormat="1">
      <c r="B192" s="156"/>
      <c r="C192" s="156"/>
      <c r="D192" s="156"/>
      <c r="E192" s="156"/>
      <c r="F192" s="156"/>
      <c r="G192" s="156"/>
      <c r="H192" s="156"/>
      <c r="I192" s="156"/>
      <c r="J192" s="156"/>
      <c r="K192" s="156"/>
      <c r="L192" s="156"/>
      <c r="M192" s="156"/>
      <c r="N192" s="156"/>
    </row>
    <row r="193" spans="1:19" s="112" customFormat="1">
      <c r="B193" s="156"/>
      <c r="C193" s="156"/>
      <c r="D193" s="156"/>
      <c r="E193" s="156"/>
      <c r="F193" s="156"/>
      <c r="G193" s="156"/>
      <c r="H193" s="156"/>
      <c r="I193" s="156"/>
      <c r="J193" s="156"/>
      <c r="K193" s="156"/>
      <c r="L193" s="156"/>
      <c r="M193" s="156"/>
      <c r="N193" s="156"/>
    </row>
    <row r="194" spans="1:19" s="112" customFormat="1">
      <c r="B194" s="156"/>
      <c r="C194" s="156"/>
      <c r="D194" s="156"/>
      <c r="E194" s="156"/>
      <c r="F194" s="156"/>
      <c r="G194" s="156"/>
      <c r="H194" s="156"/>
      <c r="I194" s="156"/>
      <c r="J194" s="156"/>
      <c r="K194" s="156"/>
      <c r="L194" s="156"/>
      <c r="M194" s="156"/>
      <c r="N194" s="156"/>
    </row>
    <row r="195" spans="1:19" s="112" customFormat="1">
      <c r="B195" s="156"/>
      <c r="C195" s="156"/>
      <c r="D195" s="156"/>
      <c r="E195" s="156"/>
      <c r="F195" s="156"/>
      <c r="G195" s="156"/>
      <c r="H195" s="156"/>
      <c r="I195" s="156"/>
      <c r="J195" s="156"/>
      <c r="K195" s="156"/>
      <c r="L195" s="156"/>
      <c r="M195" s="156"/>
      <c r="N195" s="156"/>
    </row>
    <row r="196" spans="1:19" s="112" customFormat="1">
      <c r="B196" s="156"/>
      <c r="C196" s="156"/>
      <c r="D196" s="156"/>
      <c r="E196" s="156"/>
      <c r="F196" s="156"/>
      <c r="G196" s="156"/>
      <c r="H196" s="156"/>
      <c r="I196" s="156"/>
      <c r="J196" s="156"/>
      <c r="K196" s="156"/>
      <c r="L196" s="156"/>
      <c r="M196" s="156"/>
      <c r="N196" s="156"/>
    </row>
    <row r="197" spans="1:19" s="112" customFormat="1">
      <c r="B197" s="156"/>
      <c r="C197" s="156"/>
      <c r="D197" s="156"/>
      <c r="E197" s="156"/>
      <c r="F197" s="156"/>
      <c r="G197" s="156"/>
      <c r="H197" s="156"/>
      <c r="I197" s="156"/>
      <c r="J197" s="156"/>
      <c r="K197" s="156"/>
      <c r="L197" s="156"/>
      <c r="M197" s="156"/>
      <c r="N197" s="156"/>
    </row>
    <row r="198" spans="1:19" s="112" customFormat="1">
      <c r="B198" s="156"/>
      <c r="C198" s="156"/>
      <c r="D198" s="156"/>
      <c r="E198" s="156"/>
      <c r="F198" s="156"/>
      <c r="G198" s="156"/>
      <c r="H198" s="156"/>
      <c r="I198" s="156"/>
      <c r="J198" s="156"/>
      <c r="K198" s="156"/>
      <c r="L198" s="156"/>
      <c r="M198" s="156"/>
      <c r="N198" s="156"/>
    </row>
    <row r="199" spans="1:19" s="112" customFormat="1">
      <c r="B199" s="156"/>
      <c r="C199" s="156"/>
      <c r="D199" s="156"/>
      <c r="E199" s="156"/>
      <c r="F199" s="156"/>
      <c r="G199" s="156"/>
      <c r="H199" s="156"/>
      <c r="I199" s="156"/>
      <c r="J199" s="156"/>
      <c r="K199" s="156"/>
      <c r="L199" s="156"/>
      <c r="M199" s="156"/>
      <c r="N199" s="156"/>
    </row>
    <row r="200" spans="1:19" s="112" customFormat="1">
      <c r="B200" s="156"/>
      <c r="C200" s="156"/>
      <c r="D200" s="156"/>
      <c r="E200" s="156"/>
      <c r="F200" s="156"/>
      <c r="G200" s="156"/>
      <c r="H200" s="156"/>
      <c r="I200" s="156"/>
      <c r="J200" s="156"/>
      <c r="K200" s="156"/>
      <c r="L200" s="156"/>
      <c r="M200" s="156"/>
      <c r="N200" s="156"/>
    </row>
    <row r="201" spans="1:19" s="112" customFormat="1">
      <c r="B201" s="156"/>
      <c r="C201" s="156"/>
      <c r="D201" s="156"/>
      <c r="E201" s="156"/>
      <c r="F201" s="156"/>
      <c r="G201" s="156"/>
      <c r="H201" s="156"/>
      <c r="I201" s="156"/>
      <c r="J201" s="156"/>
      <c r="K201" s="156"/>
      <c r="L201" s="156"/>
      <c r="M201" s="156"/>
      <c r="N201" s="156"/>
    </row>
    <row r="202" spans="1:19" s="112" customFormat="1">
      <c r="B202" s="156"/>
      <c r="C202" s="156"/>
      <c r="D202" s="156"/>
      <c r="E202" s="156"/>
      <c r="F202" s="156"/>
      <c r="G202" s="156"/>
      <c r="H202" s="156"/>
      <c r="I202" s="156"/>
      <c r="J202" s="156"/>
      <c r="K202" s="156"/>
      <c r="L202" s="156"/>
      <c r="M202" s="156"/>
      <c r="N202" s="156"/>
    </row>
    <row r="203" spans="1:19" s="112" customFormat="1">
      <c r="B203" s="156"/>
      <c r="C203" s="156"/>
      <c r="D203" s="156"/>
      <c r="E203" s="156"/>
      <c r="F203" s="156"/>
      <c r="G203" s="156"/>
      <c r="H203" s="156"/>
      <c r="I203" s="156"/>
      <c r="J203" s="156"/>
      <c r="K203" s="156"/>
      <c r="L203" s="156"/>
      <c r="M203" s="156"/>
      <c r="N203" s="156"/>
    </row>
    <row r="204" spans="1:19" s="112" customFormat="1">
      <c r="B204" s="156"/>
      <c r="C204" s="156"/>
      <c r="D204" s="156"/>
      <c r="E204" s="156"/>
      <c r="F204" s="156"/>
      <c r="G204" s="156"/>
      <c r="H204" s="156"/>
      <c r="I204" s="156"/>
      <c r="J204" s="156"/>
      <c r="K204" s="156"/>
      <c r="L204" s="156"/>
      <c r="M204" s="156"/>
      <c r="N204" s="156"/>
      <c r="R204" s="154"/>
    </row>
    <row r="205" spans="1:19" s="112" customFormat="1">
      <c r="A205" s="154"/>
      <c r="B205" s="155"/>
      <c r="C205" s="155"/>
      <c r="D205" s="155"/>
      <c r="E205" s="155"/>
      <c r="F205" s="155"/>
      <c r="G205" s="155"/>
      <c r="H205" s="155"/>
      <c r="I205" s="155"/>
      <c r="J205" s="155"/>
      <c r="K205" s="155"/>
      <c r="L205" s="155"/>
      <c r="M205" s="155"/>
      <c r="N205" s="155"/>
      <c r="O205" s="154"/>
      <c r="Q205" s="154"/>
      <c r="R205" s="154"/>
      <c r="S205" s="154"/>
    </row>
    <row r="206" spans="1:19" s="112" customFormat="1">
      <c r="A206" s="154"/>
      <c r="B206" s="155"/>
      <c r="C206" s="155"/>
      <c r="D206" s="155"/>
      <c r="E206" s="155"/>
      <c r="F206" s="155"/>
      <c r="G206" s="155"/>
      <c r="H206" s="155"/>
      <c r="I206" s="155"/>
      <c r="J206" s="155"/>
      <c r="K206" s="155"/>
      <c r="L206" s="155"/>
      <c r="M206" s="155"/>
      <c r="N206" s="155"/>
      <c r="O206" s="154"/>
      <c r="Q206" s="154"/>
      <c r="R206" s="154"/>
      <c r="S206" s="154"/>
    </row>
    <row r="207" spans="1:19" s="112" customFormat="1">
      <c r="A207" s="154"/>
      <c r="B207" s="154"/>
      <c r="C207" s="154"/>
      <c r="D207" s="154"/>
      <c r="E207" s="154"/>
      <c r="F207" s="154"/>
      <c r="G207" s="154"/>
      <c r="H207" s="154"/>
      <c r="I207" s="154"/>
      <c r="J207" s="154"/>
      <c r="K207" s="154"/>
      <c r="L207" s="154"/>
      <c r="M207" s="154"/>
      <c r="N207" s="154"/>
      <c r="O207" s="154"/>
      <c r="Q207" s="154"/>
      <c r="R207" s="154"/>
      <c r="S207" s="154"/>
    </row>
    <row r="208" spans="1:19" s="112" customFormat="1">
      <c r="A208" s="154"/>
      <c r="B208" s="154"/>
      <c r="C208" s="154"/>
      <c r="D208" s="154"/>
      <c r="E208" s="154"/>
      <c r="F208" s="154"/>
      <c r="G208" s="154"/>
      <c r="H208" s="154"/>
      <c r="I208" s="154"/>
      <c r="J208" s="154"/>
      <c r="K208" s="154"/>
      <c r="L208" s="154"/>
      <c r="M208" s="154"/>
      <c r="N208" s="154"/>
      <c r="O208" s="154"/>
      <c r="Q208" s="154"/>
      <c r="R208" s="154"/>
      <c r="S208" s="154"/>
    </row>
    <row r="209" spans="1:19" s="112" customFormat="1">
      <c r="A209" s="154"/>
      <c r="B209" s="155"/>
      <c r="C209" s="155"/>
      <c r="D209" s="155"/>
      <c r="E209" s="155"/>
      <c r="F209" s="155"/>
      <c r="G209" s="155"/>
      <c r="H209" s="155"/>
      <c r="I209" s="155"/>
      <c r="J209" s="155"/>
      <c r="K209" s="155"/>
      <c r="L209" s="155"/>
      <c r="M209" s="155"/>
      <c r="N209" s="155"/>
      <c r="O209" s="154"/>
      <c r="P209" s="154"/>
      <c r="Q209" s="154"/>
      <c r="R209" s="154"/>
      <c r="S209" s="154"/>
    </row>
    <row r="210" spans="1:19" s="112" customFormat="1">
      <c r="A210" s="154"/>
      <c r="B210" s="155"/>
      <c r="C210" s="155"/>
      <c r="D210" s="155"/>
      <c r="E210" s="155"/>
      <c r="F210" s="155"/>
      <c r="G210" s="155"/>
      <c r="H210" s="155"/>
      <c r="I210" s="155"/>
      <c r="J210" s="155"/>
      <c r="K210" s="155"/>
      <c r="L210" s="155"/>
      <c r="M210" s="155"/>
      <c r="N210" s="155"/>
      <c r="O210" s="154"/>
      <c r="P210" s="154"/>
      <c r="Q210" s="154"/>
      <c r="R210" s="154"/>
      <c r="S210" s="154"/>
    </row>
    <row r="211" spans="1:19" s="112" customFormat="1">
      <c r="A211" s="154"/>
      <c r="B211" s="155"/>
      <c r="C211" s="155"/>
      <c r="D211" s="155"/>
      <c r="E211" s="155"/>
      <c r="F211" s="155"/>
      <c r="G211" s="155"/>
      <c r="H211" s="155"/>
      <c r="I211" s="155"/>
      <c r="J211" s="155"/>
      <c r="K211" s="155"/>
      <c r="L211" s="155"/>
      <c r="M211" s="155"/>
      <c r="N211" s="155"/>
      <c r="O211" s="154"/>
      <c r="P211" s="154"/>
      <c r="Q211" s="154"/>
      <c r="R211" s="154"/>
      <c r="S211" s="154"/>
    </row>
    <row r="212" spans="1:19" s="112" customFormat="1">
      <c r="A212" s="154"/>
      <c r="B212" s="155"/>
      <c r="C212" s="155"/>
      <c r="D212" s="155"/>
      <c r="E212" s="155"/>
      <c r="F212" s="155"/>
      <c r="G212" s="155"/>
      <c r="H212" s="155"/>
      <c r="I212" s="155"/>
      <c r="J212" s="155"/>
      <c r="K212" s="155"/>
      <c r="L212" s="155"/>
      <c r="M212" s="155"/>
      <c r="N212" s="155"/>
      <c r="O212" s="154"/>
      <c r="P212" s="154"/>
      <c r="Q212" s="154"/>
      <c r="R212" s="154"/>
      <c r="S212" s="154"/>
    </row>
    <row r="213" spans="1:19" s="112" customFormat="1">
      <c r="A213" s="154"/>
      <c r="B213" s="155"/>
      <c r="C213" s="155"/>
      <c r="D213" s="155"/>
      <c r="E213" s="155"/>
      <c r="F213" s="155"/>
      <c r="G213" s="155"/>
      <c r="H213" s="155"/>
      <c r="I213" s="155"/>
      <c r="J213" s="155"/>
      <c r="K213" s="155"/>
      <c r="L213" s="155"/>
      <c r="M213" s="155"/>
      <c r="N213" s="155"/>
      <c r="O213" s="154"/>
      <c r="P213" s="154"/>
      <c r="Q213" s="154"/>
      <c r="R213" s="154"/>
      <c r="S213" s="154"/>
    </row>
    <row r="214" spans="1:19" s="112" customFormat="1">
      <c r="A214" s="154"/>
      <c r="B214" s="155"/>
      <c r="C214" s="155"/>
      <c r="D214" s="155"/>
      <c r="E214" s="155"/>
      <c r="F214" s="155"/>
      <c r="G214" s="155"/>
      <c r="H214" s="155"/>
      <c r="I214" s="155"/>
      <c r="J214" s="155"/>
      <c r="K214" s="155"/>
      <c r="L214" s="155"/>
      <c r="M214" s="155"/>
      <c r="N214" s="155"/>
      <c r="O214" s="154"/>
      <c r="P214" s="154"/>
      <c r="Q214" s="154"/>
      <c r="R214" s="154"/>
      <c r="S214" s="154"/>
    </row>
    <row r="215" spans="1:19" s="112" customFormat="1">
      <c r="A215" s="154"/>
      <c r="B215" s="155"/>
      <c r="C215" s="155"/>
      <c r="D215" s="155"/>
      <c r="E215" s="155"/>
      <c r="F215" s="155"/>
      <c r="G215" s="155"/>
      <c r="H215" s="155"/>
      <c r="I215" s="155"/>
      <c r="J215" s="155"/>
      <c r="K215" s="155"/>
      <c r="L215" s="155"/>
      <c r="M215" s="155"/>
      <c r="N215" s="155"/>
      <c r="O215" s="154"/>
      <c r="P215" s="154"/>
      <c r="Q215" s="154"/>
      <c r="R215" s="154"/>
      <c r="S215" s="154"/>
    </row>
    <row r="216" spans="1:19" s="112" customFormat="1">
      <c r="A216" s="154"/>
      <c r="B216" s="155"/>
      <c r="C216" s="155"/>
      <c r="D216" s="155"/>
      <c r="E216" s="155"/>
      <c r="F216" s="155"/>
      <c r="G216" s="155"/>
      <c r="H216" s="155"/>
      <c r="I216" s="155"/>
      <c r="J216" s="155"/>
      <c r="K216" s="155"/>
      <c r="L216" s="155"/>
      <c r="M216" s="155"/>
      <c r="N216" s="155"/>
      <c r="O216" s="154"/>
      <c r="P216" s="154"/>
      <c r="Q216" s="154"/>
      <c r="R216" s="154"/>
      <c r="S216" s="154"/>
    </row>
    <row r="217" spans="1:19" s="112" customFormat="1">
      <c r="A217" s="154"/>
      <c r="B217" s="155"/>
      <c r="C217" s="155"/>
      <c r="D217" s="155"/>
      <c r="E217" s="155"/>
      <c r="F217" s="155"/>
      <c r="G217" s="155"/>
      <c r="H217" s="155"/>
      <c r="I217" s="155"/>
      <c r="J217" s="155"/>
      <c r="K217" s="155"/>
      <c r="L217" s="155"/>
      <c r="M217" s="155"/>
      <c r="N217" s="155"/>
      <c r="O217" s="154"/>
      <c r="P217" s="154"/>
      <c r="Q217" s="154"/>
      <c r="R217" s="154"/>
      <c r="S217" s="154"/>
    </row>
    <row r="218" spans="1:19" s="112" customFormat="1">
      <c r="A218" s="154"/>
      <c r="B218" s="155"/>
      <c r="C218" s="155"/>
      <c r="D218" s="155"/>
      <c r="E218" s="155"/>
      <c r="F218" s="155"/>
      <c r="G218" s="155"/>
      <c r="H218" s="155"/>
      <c r="I218" s="155"/>
      <c r="J218" s="155"/>
      <c r="K218" s="155"/>
      <c r="L218" s="155"/>
      <c r="M218" s="155"/>
      <c r="N218" s="155"/>
      <c r="O218" s="154"/>
      <c r="P218" s="154"/>
      <c r="Q218" s="154"/>
      <c r="R218" s="154"/>
      <c r="S218" s="154"/>
    </row>
    <row r="219" spans="1:19" s="112" customFormat="1">
      <c r="A219" s="154"/>
      <c r="B219" s="155"/>
      <c r="C219" s="155"/>
      <c r="D219" s="155"/>
      <c r="E219" s="155"/>
      <c r="F219" s="155"/>
      <c r="G219" s="155"/>
      <c r="H219" s="155"/>
      <c r="I219" s="155"/>
      <c r="J219" s="155"/>
      <c r="K219" s="155"/>
      <c r="L219" s="155"/>
      <c r="M219" s="155"/>
      <c r="N219" s="155"/>
      <c r="O219" s="154"/>
      <c r="P219" s="154"/>
      <c r="Q219" s="154"/>
      <c r="R219" s="154"/>
      <c r="S219" s="154"/>
    </row>
    <row r="220" spans="1:19" s="112" customFormat="1" ht="409.6">
      <c r="A220" s="154"/>
      <c r="B220" s="155"/>
      <c r="C220" s="155"/>
      <c r="D220" s="155"/>
      <c r="E220" s="155"/>
      <c r="F220" s="155"/>
      <c r="G220" s="155"/>
      <c r="H220" s="155"/>
      <c r="I220" s="155"/>
      <c r="J220" s="155"/>
      <c r="K220" s="155"/>
      <c r="L220" s="155"/>
      <c r="M220" s="155"/>
      <c r="N220" s="155"/>
      <c r="O220" s="154"/>
      <c r="P220" s="154"/>
      <c r="Q220" s="154"/>
      <c r="R220" s="154"/>
      <c r="S220" s="154"/>
    </row>
    <row r="221" spans="1:19" s="112" customFormat="1" ht="409.6">
      <c r="A221" s="154"/>
      <c r="B221" s="155"/>
      <c r="C221" s="155"/>
      <c r="D221" s="155"/>
      <c r="E221" s="155"/>
      <c r="F221" s="155"/>
      <c r="G221" s="155"/>
      <c r="H221" s="155"/>
      <c r="I221" s="155"/>
      <c r="J221" s="155"/>
      <c r="K221" s="155"/>
      <c r="L221" s="155"/>
      <c r="M221" s="155"/>
      <c r="N221" s="155"/>
      <c r="O221" s="154"/>
      <c r="P221" s="154"/>
      <c r="Q221" s="154"/>
      <c r="R221" s="154"/>
      <c r="S221" s="154"/>
    </row>
    <row r="222" spans="1:19" s="112" customFormat="1">
      <c r="A222" s="154"/>
      <c r="B222" s="155"/>
      <c r="C222" s="155"/>
      <c r="D222" s="155"/>
      <c r="E222" s="155"/>
      <c r="F222" s="155"/>
      <c r="G222" s="155"/>
      <c r="H222" s="155"/>
      <c r="I222" s="155"/>
      <c r="J222" s="155"/>
      <c r="K222" s="155"/>
      <c r="L222" s="155"/>
      <c r="M222" s="155"/>
      <c r="N222" s="155"/>
      <c r="O222" s="154"/>
      <c r="P222" s="154"/>
      <c r="Q222" s="154"/>
      <c r="R222" s="154"/>
      <c r="S222" s="154"/>
    </row>
  </sheetData>
  <mergeCells count="12">
    <mergeCell ref="B98:D98"/>
    <mergeCell ref="E98:K98"/>
    <mergeCell ref="L98:M98"/>
    <mergeCell ref="R99:S99"/>
    <mergeCell ref="B7:D7"/>
    <mergeCell ref="E7:K7"/>
    <mergeCell ref="L7:M7"/>
    <mergeCell ref="R54:S54"/>
    <mergeCell ref="R8:S8"/>
    <mergeCell ref="B53:D53"/>
    <mergeCell ref="E53:K53"/>
    <mergeCell ref="L53:M53"/>
  </mergeCells>
  <conditionalFormatting sqref="B12:M12 B58:M73">
    <cfRule type="cellIs" dxfId="273" priority="64" operator="equal">
      <formula>$O12</formula>
    </cfRule>
  </conditionalFormatting>
  <conditionalFormatting sqref="B13:M28 B57:M73 B33:M38">
    <cfRule type="cellIs" dxfId="272" priority="63" operator="equal">
      <formula>$O$12</formula>
    </cfRule>
  </conditionalFormatting>
  <conditionalFormatting sqref="B13:M13">
    <cfRule type="cellIs" dxfId="271" priority="62" operator="equal">
      <formula>$O13</formula>
    </cfRule>
  </conditionalFormatting>
  <conditionalFormatting sqref="B14:M14">
    <cfRule type="cellIs" dxfId="270" priority="61" operator="equal">
      <formula>$O14</formula>
    </cfRule>
  </conditionalFormatting>
  <conditionalFormatting sqref="B15:M15">
    <cfRule type="cellIs" dxfId="269" priority="57" operator="equal">
      <formula>$O15</formula>
    </cfRule>
  </conditionalFormatting>
  <conditionalFormatting sqref="B16:M16">
    <cfRule type="cellIs" dxfId="268" priority="56" operator="equal">
      <formula>$O16</formula>
    </cfRule>
  </conditionalFormatting>
  <conditionalFormatting sqref="B17:M17">
    <cfRule type="cellIs" dxfId="267" priority="55" operator="equal">
      <formula>$O17</formula>
    </cfRule>
  </conditionalFormatting>
  <conditionalFormatting sqref="B18:M18">
    <cfRule type="cellIs" dxfId="266" priority="54" operator="equal">
      <formula>$O18</formula>
    </cfRule>
  </conditionalFormatting>
  <conditionalFormatting sqref="B19:M19">
    <cfRule type="cellIs" dxfId="265" priority="53" operator="equal">
      <formula>$O19</formula>
    </cfRule>
  </conditionalFormatting>
  <conditionalFormatting sqref="B20:M20">
    <cfRule type="cellIs" dxfId="264" priority="52" operator="equal">
      <formula>$O20</formula>
    </cfRule>
  </conditionalFormatting>
  <conditionalFormatting sqref="B21:M21">
    <cfRule type="cellIs" dxfId="263" priority="48" operator="equal">
      <formula>$O21</formula>
    </cfRule>
  </conditionalFormatting>
  <conditionalFormatting sqref="B22:M22">
    <cfRule type="cellIs" dxfId="262" priority="47" operator="equal">
      <formula>$O22</formula>
    </cfRule>
  </conditionalFormatting>
  <conditionalFormatting sqref="B23:M23">
    <cfRule type="cellIs" dxfId="261" priority="46" operator="equal">
      <formula>$O23</formula>
    </cfRule>
  </conditionalFormatting>
  <conditionalFormatting sqref="B24:M24">
    <cfRule type="cellIs" dxfId="260" priority="45" operator="equal">
      <formula>$O24</formula>
    </cfRule>
  </conditionalFormatting>
  <conditionalFormatting sqref="B25:M25">
    <cfRule type="cellIs" dxfId="259" priority="41" operator="equal">
      <formula>$O25</formula>
    </cfRule>
  </conditionalFormatting>
  <conditionalFormatting sqref="B26:M26">
    <cfRule type="cellIs" dxfId="258" priority="40" operator="equal">
      <formula>$O26</formula>
    </cfRule>
  </conditionalFormatting>
  <conditionalFormatting sqref="B27:M27">
    <cfRule type="cellIs" dxfId="257" priority="39" operator="equal">
      <formula>$O27</formula>
    </cfRule>
  </conditionalFormatting>
  <conditionalFormatting sqref="B28:M28">
    <cfRule type="cellIs" dxfId="256" priority="38" operator="equal">
      <formula>$O28</formula>
    </cfRule>
  </conditionalFormatting>
  <conditionalFormatting sqref="B57:M57">
    <cfRule type="cellIs" dxfId="255" priority="37" operator="equal">
      <formula>$O57</formula>
    </cfRule>
  </conditionalFormatting>
  <conditionalFormatting sqref="B33:M33">
    <cfRule type="cellIs" dxfId="254" priority="35" operator="equal">
      <formula>$O33</formula>
    </cfRule>
  </conditionalFormatting>
  <conditionalFormatting sqref="B34:M35">
    <cfRule type="cellIs" dxfId="253" priority="31" operator="equal">
      <formula>$O34</formula>
    </cfRule>
  </conditionalFormatting>
  <conditionalFormatting sqref="C34:M35">
    <cfRule type="cellIs" dxfId="252" priority="30" operator="equal">
      <formula>$O34</formula>
    </cfRule>
  </conditionalFormatting>
  <conditionalFormatting sqref="B36:M36">
    <cfRule type="cellIs" dxfId="251" priority="27" operator="equal">
      <formula>$O36</formula>
    </cfRule>
  </conditionalFormatting>
  <conditionalFormatting sqref="C36:M36">
    <cfRule type="cellIs" dxfId="250" priority="26" operator="equal">
      <formula>$O36</formula>
    </cfRule>
  </conditionalFormatting>
  <conditionalFormatting sqref="B81:M81">
    <cfRule type="cellIs" dxfId="249" priority="12" operator="equal">
      <formula>$O81</formula>
    </cfRule>
  </conditionalFormatting>
  <conditionalFormatting sqref="B37:M38">
    <cfRule type="cellIs" dxfId="248" priority="23" operator="equal">
      <formula>$O37</formula>
    </cfRule>
  </conditionalFormatting>
  <conditionalFormatting sqref="C37:M38">
    <cfRule type="cellIs" dxfId="247" priority="22" operator="equal">
      <formula>$O37</formula>
    </cfRule>
  </conditionalFormatting>
  <conditionalFormatting sqref="B82:M83">
    <cfRule type="cellIs" dxfId="246" priority="10" operator="equal">
      <formula>$O82</formula>
    </cfRule>
  </conditionalFormatting>
  <conditionalFormatting sqref="B78:M83">
    <cfRule type="cellIs" dxfId="245" priority="16" operator="equal">
      <formula>$O$12</formula>
    </cfRule>
  </conditionalFormatting>
  <conditionalFormatting sqref="B78:M78">
    <cfRule type="cellIs" dxfId="244" priority="15" operator="equal">
      <formula>$O78</formula>
    </cfRule>
  </conditionalFormatting>
  <conditionalFormatting sqref="B79:M80">
    <cfRule type="cellIs" dxfId="243" priority="14" operator="equal">
      <formula>$O79</formula>
    </cfRule>
  </conditionalFormatting>
  <conditionalFormatting sqref="B103:M118">
    <cfRule type="cellIs" dxfId="242" priority="8" operator="equal">
      <formula>$O103</formula>
    </cfRule>
  </conditionalFormatting>
  <conditionalFormatting sqref="B102:M118">
    <cfRule type="cellIs" dxfId="241" priority="7" operator="equal">
      <formula>$O$12</formula>
    </cfRule>
  </conditionalFormatting>
  <conditionalFormatting sqref="B102:M102">
    <cfRule type="cellIs" dxfId="240" priority="6" operator="equal">
      <formula>$O102</formula>
    </cfRule>
  </conditionalFormatting>
  <conditionalFormatting sqref="B126:M126">
    <cfRule type="cellIs" dxfId="239" priority="2" operator="equal">
      <formula>$O126</formula>
    </cfRule>
  </conditionalFormatting>
  <conditionalFormatting sqref="B127:M128">
    <cfRule type="cellIs" dxfId="238" priority="1" operator="equal">
      <formula>$O127</formula>
    </cfRule>
  </conditionalFormatting>
  <conditionalFormatting sqref="B123:M128">
    <cfRule type="cellIs" dxfId="237" priority="5" operator="equal">
      <formula>$O$12</formula>
    </cfRule>
  </conditionalFormatting>
  <conditionalFormatting sqref="B123:M123">
    <cfRule type="cellIs" dxfId="236" priority="4" operator="equal">
      <formula>$O123</formula>
    </cfRule>
  </conditionalFormatting>
  <conditionalFormatting sqref="B124:M125">
    <cfRule type="cellIs" dxfId="235" priority="3" operator="equal">
      <formula>$O124</formula>
    </cfRule>
  </conditionalFormatting>
  <printOptions horizontalCentered="1"/>
  <pageMargins left="0" right="0" top="0.75" bottom="0.5" header="0" footer="0"/>
  <pageSetup scale="60" orientation="landscape" r:id="rId1"/>
  <headerFooter alignWithMargins="0">
    <oddFooter>&amp;L&amp;F - &amp;D - &amp;T&amp;C&amp;"Arial,Bold"Florida Power &amp; Light -  Confidential&amp;RPage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A81384F0AC4446BCFA4541262B40A3" ma:contentTypeVersion="" ma:contentTypeDescription="Create a new document." ma:contentTypeScope="" ma:versionID="7858f3f591b3ecf1ab3064870dd50f80">
  <xsd:schema xmlns:xsd="http://www.w3.org/2001/XMLSchema" xmlns:xs="http://www.w3.org/2001/XMLSchema" xmlns:p="http://schemas.microsoft.com/office/2006/metadata/properties" xmlns:ns2="c85253b9-0a55-49a1-98ad-b5b6252d7079" targetNamespace="http://schemas.microsoft.com/office/2006/metadata/properties" ma:root="true" ma:fieldsID="ce7e9296015639994c0241091a34abd8" ns2:_="">
    <xsd:import namespace="c85253b9-0a55-49a1-98ad-b5b6252d7079"/>
    <xsd:element name="properties">
      <xsd:complexType>
        <xsd:sequence>
          <xsd:element name="documentManagement">
            <xsd:complexType>
              <xsd:all>
                <xsd:element ref="ns2:Comments" minOccurs="0"/>
                <xsd:element ref="ns2:Document_x0020_Status"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5253b9-0a55-49a1-98ad-b5b6252d7079"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element name="Document_x0020_Status" ma:index="9" nillable="true" ma:displayName="Document Status" ma:default="Draft" ma:format="Dropdown" ma:internalName="Document_x0020_Status">
      <xsd:simpleType>
        <xsd:restriction base="dms:Choice">
          <xsd:enumeration value="Draft"/>
          <xsd:enumeration value="Final"/>
        </xsd:restriction>
      </xsd:simpleType>
    </xsd:element>
    <xsd:element name="Document_x0020_Type" ma:index="10" nillable="true" ma:displayName="Document Type" ma:default="Question" ma:format="Dropdown" ma:internalName="Document_x0020_Type">
      <xsd:simpleType>
        <xsd:restriction base="dms:Choice">
          <xsd:enumeration value="Answer"/>
          <xsd:enumeration value="Quest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Status xmlns="c85253b9-0a55-49a1-98ad-b5b6252d7079">Final</Document_x0020_Status>
    <Comments xmlns="c85253b9-0a55-49a1-98ad-b5b6252d7079" xsi:nil="true"/>
    <Document_x0020_Type xmlns="c85253b9-0a55-49a1-98ad-b5b6252d7079">Answer</Document_x0020_Typ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D09DEC-F66E-449E-B0CB-EC26FDF6F8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253b9-0a55-49a1-98ad-b5b6252d7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58CACB-580F-4690-B64E-D755B25F4378}">
  <ds:schemaRefs>
    <ds:schemaRef ds:uri="http://schemas.microsoft.com/office/2006/metadata/properties"/>
    <ds:schemaRef ds:uri="http://schemas.microsoft.com/office/infopath/2007/PartnerControls"/>
    <ds:schemaRef ds:uri="c85253b9-0a55-49a1-98ad-b5b6252d7079"/>
  </ds:schemaRefs>
</ds:datastoreItem>
</file>

<file path=customXml/itemProps3.xml><?xml version="1.0" encoding="utf-8"?>
<ds:datastoreItem xmlns:ds="http://schemas.openxmlformats.org/officeDocument/2006/customXml" ds:itemID="{AC986DAD-E927-477F-AE54-D32EA15251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16</vt:i4>
      </vt:variant>
    </vt:vector>
  </HeadingPairs>
  <TitlesOfParts>
    <vt:vector size="79" baseType="lpstr">
      <vt:lpstr>2018 E-11</vt:lpstr>
      <vt:lpstr>2017 E-11</vt:lpstr>
      <vt:lpstr>2016 E-11</vt:lpstr>
      <vt:lpstr>SUMMARY</vt:lpstr>
      <vt:lpstr>2018 SUBSEQUENT</vt:lpstr>
      <vt:lpstr>2017 TEST</vt:lpstr>
      <vt:lpstr>2016 PRIOR</vt:lpstr>
      <vt:lpstr>CP FCST</vt:lpstr>
      <vt:lpstr>GNCP FCST</vt:lpstr>
      <vt:lpstr>NCP FCST</vt:lpstr>
      <vt:lpstr>KWH FCST</vt:lpstr>
      <vt:lpstr>CP Validation</vt:lpstr>
      <vt:lpstr>2016 CP (FNG)</vt:lpstr>
      <vt:lpstr>2017 CP (FNG)</vt:lpstr>
      <vt:lpstr>2018 CP (FNG)</vt:lpstr>
      <vt:lpstr>CILC-1D</vt:lpstr>
      <vt:lpstr>CILC-1G</vt:lpstr>
      <vt:lpstr>CILC-1T</vt:lpstr>
      <vt:lpstr>GS(T)-1</vt:lpstr>
      <vt:lpstr>GSCU-1</vt:lpstr>
      <vt:lpstr>GSD(T)-1</vt:lpstr>
      <vt:lpstr>GSLD(T)-1</vt:lpstr>
      <vt:lpstr>GSLD(T)-2</vt:lpstr>
      <vt:lpstr>GSLD(T)-3</vt:lpstr>
      <vt:lpstr>MET</vt:lpstr>
      <vt:lpstr>OL-1</vt:lpstr>
      <vt:lpstr>OS-2</vt:lpstr>
      <vt:lpstr>RS(T)-1</vt:lpstr>
      <vt:lpstr>SL-1</vt:lpstr>
      <vt:lpstr>SL-2</vt:lpstr>
      <vt:lpstr>SST-1D</vt:lpstr>
      <vt:lpstr>SST-1T</vt:lpstr>
      <vt:lpstr>BLOUNTSTOWN</vt:lpstr>
      <vt:lpstr>FKEC</vt:lpstr>
      <vt:lpstr>HOMESTEAD</vt:lpstr>
      <vt:lpstr>LCEC</vt:lpstr>
      <vt:lpstr>NEW SMYRNA</vt:lpstr>
      <vt:lpstr>QUINCY</vt:lpstr>
      <vt:lpstr>SEMINOLE</vt:lpstr>
      <vt:lpstr>WINTER PARK</vt:lpstr>
      <vt:lpstr>WAUCHULA</vt:lpstr>
      <vt:lpstr>Sales Forecast by COS</vt:lpstr>
      <vt:lpstr>Billing Demands</vt:lpstr>
      <vt:lpstr>Sales by Rev Class (FNG) </vt:lpstr>
      <vt:lpstr>Sales Forecast</vt:lpstr>
      <vt:lpstr>Billing Demand</vt:lpstr>
      <vt:lpstr>Summary_Delivered_Sales</vt:lpstr>
      <vt:lpstr>Summary_CP</vt:lpstr>
      <vt:lpstr>Summary_NCP </vt:lpstr>
      <vt:lpstr>Load Control Events</vt:lpstr>
      <vt:lpstr>Avg CP LF</vt:lpstr>
      <vt:lpstr>Avg GNCP LF</vt:lpstr>
      <vt:lpstr>Avg NCP LF</vt:lpstr>
      <vt:lpstr>HOURS</vt:lpstr>
      <vt:lpstr>Avg CP</vt:lpstr>
      <vt:lpstr>Avg GNCP</vt:lpstr>
      <vt:lpstr>Avg NCP ON PEAK</vt:lpstr>
      <vt:lpstr>Avg NCP</vt:lpstr>
      <vt:lpstr>Avg KWH</vt:lpstr>
      <vt:lpstr>E11 - 2012 09 Final</vt:lpstr>
      <vt:lpstr>E11 - 2013 09 Final</vt:lpstr>
      <vt:lpstr>E11 - 2014 09 Final</vt:lpstr>
      <vt:lpstr>MANUAL</vt:lpstr>
      <vt:lpstr>'2016 CP (FNG)'!Print_Area</vt:lpstr>
      <vt:lpstr>'2017 CP (FNG)'!Print_Area</vt:lpstr>
      <vt:lpstr>'E11 - 2012 09 Final'!Print_Area</vt:lpstr>
      <vt:lpstr>'E11 - 2013 09 Final'!Print_Area</vt:lpstr>
      <vt:lpstr>'E11 - 2014 09 Final'!Print_Area</vt:lpstr>
      <vt:lpstr>'Sales by Rev Class (FNG) '!Print_Area</vt:lpstr>
      <vt:lpstr>'Sales Forecast by COS'!Print_Area</vt:lpstr>
      <vt:lpstr>Summary_CP!Print_Area</vt:lpstr>
      <vt:lpstr>'Summary_NCP '!Print_Area</vt:lpstr>
      <vt:lpstr>'2016 PRIOR'!Print_Titles</vt:lpstr>
      <vt:lpstr>'2017 TEST'!Print_Titles</vt:lpstr>
      <vt:lpstr>'CP FCST'!Print_Titles</vt:lpstr>
      <vt:lpstr>'GNCP FCST'!Print_Titles</vt:lpstr>
      <vt:lpstr>'KWH FCST'!Print_Titles</vt:lpstr>
      <vt:lpstr>'NCP FCST'!Print_Titles</vt:lpstr>
      <vt:lpstr>SUMMARY!Print_Titles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E-11 validation workpaper</dc:title>
  <dc:creator>Paris, Andres</dc:creator>
  <cp:lastModifiedBy>FPL_User</cp:lastModifiedBy>
  <cp:lastPrinted>2010-11-24T17:52:25Z</cp:lastPrinted>
  <dcterms:created xsi:type="dcterms:W3CDTF">2008-04-07T17:32:27Z</dcterms:created>
  <dcterms:modified xsi:type="dcterms:W3CDTF">2016-04-17T23:33:13Z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0x01010074A81384F0AC4446BCFA4541262B40A3</vt:lpwstr>
  </property>
</Properties>
</file>